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Sheet1!$A$1:$Q$7977</definedName>
  </definedNames>
  <calcPr/>
</workbook>
</file>

<file path=xl/sharedStrings.xml><?xml version="1.0" encoding="utf-8"?>
<sst xmlns="http://schemas.openxmlformats.org/spreadsheetml/2006/main" count="84764" uniqueCount="32078">
  <si>
    <t>id</t>
  </si>
  <si>
    <t>bangla_proverb</t>
  </si>
  <si>
    <t>literal_gloss</t>
  </si>
  <si>
    <t>figurative_meaning</t>
  </si>
  <si>
    <t>english_translation</t>
  </si>
  <si>
    <t>is_figurative</t>
  </si>
  <si>
    <t>gender_relevant</t>
  </si>
  <si>
    <t>stereotype_target</t>
  </si>
  <si>
    <t>stereotype_valence</t>
  </si>
  <si>
    <t>stereotype_category</t>
  </si>
  <si>
    <t>source_name</t>
  </si>
  <si>
    <t>source_url</t>
  </si>
  <si>
    <t>annotator_id</t>
  </si>
  <si>
    <t>notes</t>
  </si>
  <si>
    <t>validator</t>
  </si>
  <si>
    <t>flag_reason</t>
  </si>
  <si>
    <t>priority</t>
  </si>
  <si>
    <t>অপদার্থ যেখান থেকে শুরু করে সেখানেই ফিরে আসে</t>
  </si>
  <si>
    <t>অপদার্থ যে স্থান থেকে শুরু করে সেই স্থানেই ফিরে আসে</t>
  </si>
  <si>
    <t>অযোগ্য বা অকর্মণ্য ব্যক্তি যেখান থেকে শুরু করে সেখানেই ফিরে আসে; উন্নতি করতে পারে না।</t>
  </si>
  <si>
    <t>A bad penny always turns up</t>
  </si>
  <si>
    <t>অযোগ্য ব্যক্তি</t>
  </si>
  <si>
    <t>Negative</t>
  </si>
  <si>
    <t>সামাজিক শ্রেণী/যোগ্যতা</t>
  </si>
  <si>
    <t>English &amp; Bengali Proverbs</t>
  </si>
  <si>
    <t>English &amp; Bengali Proverbs (অর্থসহ ইংরেজি প্রবাদ বাক্য)</t>
  </si>
  <si>
    <t>azrof</t>
  </si>
  <si>
    <t>মাথা নেই তার মাথাব্যথা</t>
  </si>
  <si>
    <t>যার মাথা নেই তার মাথাব্যথা হয় না</t>
  </si>
  <si>
    <t>যার কোনো দায়িত্ব বা সমস্যা নেই, তার দুশ্চিন্তাও নেই।</t>
  </si>
  <si>
    <t>A beggar cannot be a bankrupt</t>
  </si>
  <si>
    <t>দায়িত্বহীন ব্যক্তি</t>
  </si>
  <si>
    <t>Neutral</t>
  </si>
  <si>
    <t>দায়িত্ব/বুদ্ধিমত্তা</t>
  </si>
  <si>
    <t>এক হাতে তালি বাজে না</t>
  </si>
  <si>
    <t>সমস্যার দায় একা একজনের ওপর চাপানো যায় না।</t>
  </si>
  <si>
    <t>It takes two to make a quarrel</t>
  </si>
  <si>
    <t>প্রযোজ্য নয়</t>
  </si>
  <si>
    <t>Naznin</t>
  </si>
  <si>
    <t>ইজ্জত যায়না ধুলে স্বভাব যায় না মলে</t>
  </si>
  <si>
    <t xml:space="preserve">স্বভাব বা চরিত্র সহজে পরিবর্তন হয় না </t>
  </si>
  <si>
    <t>A leopard cannot change its spots</t>
  </si>
  <si>
    <t>কু-স্বভাবের ব্যক্তি</t>
  </si>
  <si>
    <t>আচরণ</t>
  </si>
  <si>
    <t>সময়ের এক ফোঁড় অসময়ের দশ ফোঁড়।</t>
  </si>
  <si>
    <t>সময় থাকতে একটু করলে পরে অনেক কাজ বাঁচে</t>
  </si>
  <si>
    <t>ঠিক সময়ে সামান্য চেষ্টা করলে পরে বড় বিপদ এড়ানো যায়।</t>
  </si>
  <si>
    <t>A stitch in time saves nine</t>
  </si>
  <si>
    <t>অলস/অবহেলাকারী</t>
  </si>
  <si>
    <t>Positive</t>
  </si>
  <si>
    <t>সময়ানুবর্তিতা</t>
  </si>
  <si>
    <t>https://banglaproverbs.blogspot.com/</t>
  </si>
  <si>
    <t>target প্রশ্নবিদ্ধ: এটা সাধারণ উপদেশমূলক প্রবাদ, সরাসরি stereotype নয়। ভেবে দেখো dataset-এ রাখবে কিনা।</t>
  </si>
  <si>
    <t>Sumaiya</t>
  </si>
  <si>
    <t>চোর পালালে বুদ্ধি বাড়ে।</t>
  </si>
  <si>
    <t>চোর পালিয়ে গেলে বুদ্ধি বাড়ে</t>
  </si>
  <si>
    <t>কাজ শেষ হয়ে গেলে অনেক সময় বুদ্ধি আসে।</t>
  </si>
  <si>
    <t>After death comes the doctor</t>
  </si>
  <si>
    <t>অবহেলাকারী ব্যক্তি</t>
  </si>
  <si>
    <t>আচরণগত</t>
  </si>
  <si>
    <t>৫৩৭-এর সাথে ডুপ্লিকেট। একটা রাখো।</t>
  </si>
  <si>
    <t>অতি লোভে তাঁতি নষ্ট।</t>
  </si>
  <si>
    <t>অতি লোভে তাঁতি নষ্ট হয়</t>
  </si>
  <si>
    <t>অতিরিক্ত লোভ করলে নিজেরই ক্ষতি হয়।</t>
  </si>
  <si>
    <t>All covet all lost</t>
  </si>
  <si>
    <t>লোভী ব্যক্তি</t>
  </si>
  <si>
    <t>২৩১,৩০০-র সাথে ডুপ্লিকেট। একটা রাখো।</t>
  </si>
  <si>
    <t>ভাগের মা গঙ্গা পায় না।</t>
  </si>
  <si>
    <t>সবার ভাগ করা জিনিস কারও ভালো লাগে না</t>
  </si>
  <si>
    <t>সাধারণ সম্পদের প্রতি কেউ তেমন যত্নবান হয় না।</t>
  </si>
  <si>
    <t>An ass that is a common property is always worst saddle</t>
  </si>
  <si>
    <t>সামাজিক নিয়ম</t>
  </si>
  <si>
    <t>১২২৭-এর সাথে ডুপ্লিকেট কিন্তু target আলাদা। ১২২৭-এর target বেশি সঠিক, ওটা রাখার পরামর্শ।</t>
  </si>
  <si>
    <t>যত গর্জে তত বর্ষে না ।</t>
  </si>
  <si>
    <t>যত গর্জন করে, তত বৃষ্টি হয় না</t>
  </si>
  <si>
    <t>শুধু হুমকি দিলেই কাজ হয় না।</t>
  </si>
  <si>
    <t>Barking dogs seldom bite</t>
  </si>
  <si>
    <t>হুমকিদাতা</t>
  </si>
  <si>
    <t>৩৪৯-এর সাথে ডুপ্লিকেট। একটা রাখো।</t>
  </si>
  <si>
    <t>একেবারে না হওয়ার চেয়ে দেরিতে হওয়া ভালো ।</t>
  </si>
  <si>
    <t>একদম না হওয়ার চেয়ে দেরিতে হওয়া ভালো</t>
  </si>
  <si>
    <t>দেরিতে হলেও কাজটা করা ভালো।</t>
  </si>
  <si>
    <t>Better late than never</t>
  </si>
  <si>
    <t>অলস/বিলম্বিত ব্যক্তি</t>
  </si>
  <si>
    <t>উপদেশমূলক প্রবাদ, target 'অলস/বিলম্বিত ব্যক্তি' বাড়াবাড়ি মনে হয়।</t>
  </si>
  <si>
    <t>নিজের নাক কেটে পরের যাত্রা ভঙ্গ করা।</t>
  </si>
  <si>
    <t>নিজের ক্ষতি করে অন্যের ক্ষতি করা</t>
  </si>
  <si>
    <t>নিজের নাক কেটে অন্যের অনিষ্ট করা।</t>
  </si>
  <si>
    <t>Burn not thy fingers to snuff another man's candle</t>
  </si>
  <si>
    <t>প্রতিশোধপরায়ণ ব্যক্তি</t>
  </si>
  <si>
    <t>৫০৭-এর সাথে ডুপ্লিকেট। একটা রাখো।</t>
  </si>
  <si>
    <t>সস্তার তিন অবস্থা।</t>
  </si>
  <si>
    <t>সস্তার তিন অবস্থা</t>
  </si>
  <si>
    <t>সস্তা জিনিসের দাম বেশি হতে পারে।</t>
  </si>
  <si>
    <t>Cheap and nasty</t>
  </si>
  <si>
    <t>সস্তা জিনিস</t>
  </si>
  <si>
    <t>অর্থনৈতিক সচেতনতা</t>
  </si>
  <si>
    <t>১৫১-র সাথে ডুপ্লিকেট। একটা রাখো।</t>
  </si>
  <si>
    <t>Cheap goods are dear in the long run</t>
  </si>
  <si>
    <t>১৫০-র সাথে ডুপ্লিকেট। একটা রাখো।</t>
  </si>
  <si>
    <t>ছেড়ে দে মা কেঁদে বাঁচি।</t>
  </si>
  <si>
    <t>ছেড়ে দাও, কান্নাকাটি বাঁচাও</t>
  </si>
  <si>
    <t>কান্নাকাটি করে কাজ নেই।</t>
  </si>
  <si>
    <t>Don't nag me, and leave me in peace</t>
  </si>
  <si>
    <t>অত্যাচারী</t>
  </si>
  <si>
    <t>৯২৭-এর সাথে ডুপ্লিকেট, ৯২৭ বেশি সম্পূর্ণ (gender flag আছে)। ৯২৭ রাখো, এটা বাদ।</t>
  </si>
  <si>
    <t>চাচা আপন প্রাণ বাঁচা।</t>
  </si>
  <si>
    <t>চাচা নিজের প্রাণ বাঁচাও</t>
  </si>
  <si>
    <t>প্রথমে নিজেকে বাঁচাও, তারপর অন্যের কথা ভাবো।</t>
  </si>
  <si>
    <t>Every man is for himself</t>
  </si>
  <si>
    <t>স্বার্থপর ব্যক্তি</t>
  </si>
  <si>
    <t>৪২৩-এর সাথে ডুপ্লিকেট। এটা রাখার পরামর্শ (বেশি বিস্তারিত)।</t>
  </si>
  <si>
    <t>প্রথমে উপযুক্ত হও, তারপর আকাঙ্খা কর ।</t>
  </si>
  <si>
    <t>প্রথমে যোগ্য হও, তারপর চাও</t>
  </si>
  <si>
    <t>যোগ্যতা অর্জন করলে চাওয়া সার্থক হয়।</t>
  </si>
  <si>
    <t>First deserve than desire</t>
  </si>
  <si>
    <t>যোগ্য/অযোগ্য</t>
  </si>
  <si>
    <t>আত্মউন্নয়ন</t>
  </si>
  <si>
    <t>target 'যোগ্য/অযোগ্য' দুই মান এক ঘরে। একটাই রাখা উচিত।</t>
  </si>
  <si>
    <t>লক্ষ্মী চঞ্চলা।</t>
  </si>
  <si>
    <t>লক্ষ্মী চঞ্চলা</t>
  </si>
  <si>
    <t>সম্পদ স্থায়ী নয়।</t>
  </si>
  <si>
    <t>Fortune is fickle</t>
  </si>
  <si>
    <t>অর্থনৈতিক অবস্থা</t>
  </si>
  <si>
    <t>৪১৪-র সাথে ডুপ্লিকেট। একটা রাখো।</t>
  </si>
  <si>
    <t>কাজের সময় কাজী, কাজ ফুরালে পাজী।</t>
  </si>
  <si>
    <t>কাজের সময় কাজী, কাজ শেষে পাজী</t>
  </si>
  <si>
    <t>কাজ চলাকালীন গুরুত্বপূর্ণ, শেষে তাৎপর্যহীন।</t>
  </si>
  <si>
    <t>Get rid of one who has served the purpose</t>
  </si>
  <si>
    <t>৫৮১-র সাথে ডুপ্লিকেট। একটা রাখো।</t>
  </si>
  <si>
    <t>অতি লোভে তাঁতি নষ্ট</t>
  </si>
  <si>
    <t>Grasp all lose all</t>
  </si>
  <si>
    <t>৭৭,৩০০-র সাথে ডুপ্লিকেট। একটা রাখো।</t>
  </si>
  <si>
    <t>শাক দিয়ে মাছ ঢাকা।</t>
  </si>
  <si>
    <t>শাক দিয়ে মাছ ঢাকা</t>
  </si>
  <si>
    <t>কিছু লুকানোর চেষ্টা করা।</t>
  </si>
  <si>
    <t>Hide in a superficial way</t>
  </si>
  <si>
    <t>প্রতারণাকারী</t>
  </si>
  <si>
    <t>৫৩০,৫৬৩-র সাথে ডুপ্লিকেট। একটা রাখো।</t>
  </si>
  <si>
    <t>এক হাতে তালি বাজে না।</t>
  </si>
  <si>
    <t>একা কোনো কাজ হয় না।</t>
  </si>
  <si>
    <t>It takes two to make a quarrel or battle</t>
  </si>
  <si>
    <t>সামাজিক সম্পর্ক</t>
  </si>
  <si>
    <t>৭০৭-র সাথে ডুপ্লিকেট। একটা রাখো।</t>
  </si>
  <si>
    <t>ভাঙে তো মচকায় না।</t>
  </si>
  <si>
    <t>ভাঙে কিন্তু মচকায় না</t>
  </si>
  <si>
    <t>অটল থাকা।</t>
  </si>
  <si>
    <t>It would rather break in twain than bend</t>
  </si>
  <si>
    <t>অটল ব্যক্তি</t>
  </si>
  <si>
    <t>ঠিক আছে।</t>
  </si>
  <si>
    <t>Kill the goose that lays golden eggs</t>
  </si>
  <si>
    <t>৭৭,২৩১-র সাথে ডুপ্লিকেট। একটা রাখো।</t>
  </si>
  <si>
    <t>বুদ্ধি যার, বল তার/ জ্ঞানই বল ।</t>
  </si>
  <si>
    <t>বুদ্ধি যার, বল তার</t>
  </si>
  <si>
    <t>জ্ঞানই শক্তি।</t>
  </si>
  <si>
    <t>Knowledge is power</t>
  </si>
  <si>
    <t>জ্ঞানী ব্যক্তি</t>
  </si>
  <si>
    <t>জ্ঞান/শক্তি</t>
  </si>
  <si>
    <t>জীবন চলমান ছায়া ছাড়া আর কিছুই নয় ।</t>
  </si>
  <si>
    <t>জীবন চলমান ছায়া ছাড়া কিছুই নয়</t>
  </si>
  <si>
    <t>জীবন অস্থায়ী।</t>
  </si>
  <si>
    <t>Life is but a walking shadow</t>
  </si>
  <si>
    <t>জীবনদর্শন</t>
  </si>
  <si>
    <t>ঠিক আছে, target 'প্রযোজ্য নয়' সঠিক।</t>
  </si>
  <si>
    <t>অহিংসা পরম ধর্ম।</t>
  </si>
  <si>
    <t>অহিংসা পরম ধর্ম</t>
  </si>
  <si>
    <t>অহিংসাই সর্বশ্রেষ্ঠ ধর্ম।</t>
  </si>
  <si>
    <t>Love is the best virtue</t>
  </si>
  <si>
    <t>অহিংসক ব্যক্তি</t>
  </si>
  <si>
    <t>আধ্যাত্মিকতা</t>
  </si>
  <si>
    <t>target 'অহিংসক ব্যক্তি' গুণ বোঝাচ্ছে, demographic stereotype না। টিমে আলোচনা করো।</t>
  </si>
  <si>
    <t>আগে ফাঁসি তার পর বিচার।</t>
  </si>
  <si>
    <t>আগে ফাঁসি, তারপর বিচার</t>
  </si>
  <si>
    <t>অন্যায় বিচার।</t>
  </si>
  <si>
    <t>Lydford law</t>
  </si>
  <si>
    <t>বিচারক/সরকার</t>
  </si>
  <si>
    <t>বিচার</t>
  </si>
  <si>
    <t>জোর যার মুল্লুক তার ।</t>
  </si>
  <si>
    <t>যার জোর, তার রাজত্ব</t>
  </si>
  <si>
    <t>ক্ষমতাই সব।</t>
  </si>
  <si>
    <t>Might is right</t>
  </si>
  <si>
    <t>ক্ষমতাবান ব্যক্তি</t>
  </si>
  <si>
    <t>৯৫৬-র সাথে ডুপ্লিকেট কিন্তু valence আলাদা (Negative vs Neutral)। এটার Negative বেশি যুক্তিসঙ্গত।</t>
  </si>
  <si>
    <t>Much cry, little water</t>
  </si>
  <si>
    <t>১১৩-র সাথে ডুপ্লিকেট। একটা রাখো।</t>
  </si>
  <si>
    <t>কষ্ট না করলে কেষ্ট মেলে না।</t>
  </si>
  <si>
    <t>কষ্ট না করলে কেষ্ট মেলে না</t>
  </si>
  <si>
    <t>পরিশ্রম ছাড়া সাফল্য আসে না।</t>
  </si>
  <si>
    <t>No pains no gains or No sweat, no sweet or No cross, no crown</t>
  </si>
  <si>
    <t>অলস ব্যক্তি</t>
  </si>
  <si>
    <t>পরিশ্রম</t>
  </si>
  <si>
    <t>⚠️ valence Positive কিন্তু target 'অলস ব্যক্তি' - বিপরীতমুখী। target 'পরিশ্রমী ব্যক্তি' হওয়া উচিত।</t>
  </si>
  <si>
    <t>পেটে আসছে, মুখে আসছে না।</t>
  </si>
  <si>
    <t>পেটে আসছে, মুখে আসছে না</t>
  </si>
  <si>
    <t>ভুলে যাওয়া।</t>
  </si>
  <si>
    <t>Not to remember a thing aright</t>
  </si>
  <si>
    <t>ভুলে যাওয়া ব্যক্তি</t>
  </si>
  <si>
    <t>মানসিক অবস্থা</t>
  </si>
  <si>
    <t>সে রামও নাই, অযোধ্যাও নাই ।</t>
  </si>
  <si>
    <t>সে রামও নেই, অযোধ্যাও নেই</t>
  </si>
  <si>
    <t>কিছুই নেই।</t>
  </si>
  <si>
    <t>Oh the times! Oh the manners</t>
  </si>
  <si>
    <t>পরিস্থিতি</t>
  </si>
  <si>
    <t>সবুরে মেওয়া ফলে।</t>
  </si>
  <si>
    <t>ধৈর্য ধরলে ফল পাওয়া যায়</t>
  </si>
  <si>
    <t>ধৈর্যের ফলে সাফল্য আসে।</t>
  </si>
  <si>
    <t>Patience has its reward</t>
  </si>
  <si>
    <t>ধৈর্যশীল ব্যক্তি</t>
  </si>
  <si>
    <t>ধৈর্য</t>
  </si>
  <si>
    <t>৩৯৬,১৪০১,৭৫৩৮-র সাথে ডুপ্লিকেট (৪ কপি)। একটা রাখো।</t>
  </si>
  <si>
    <t>Riches have wings</t>
  </si>
  <si>
    <t>২২১-র সাথে ডুপ্লিকেট। একটা রাখো।</t>
  </si>
  <si>
    <t>প্রথমে নিজেকে বাঁচাও।</t>
  </si>
  <si>
    <t>Self preservation is the first law of nature</t>
  </si>
  <si>
    <t>১৯২-র সাথে ডুপ্লিকেট, কম বিস্তারিত। ১৯২ রাখলে এটা বাদ।</t>
  </si>
  <si>
    <t>বুড়ো আঙুল দেখানো।</t>
  </si>
  <si>
    <t>বুড়ো আঙুল দেখানো</t>
  </si>
  <si>
    <t>অবজ্ঞা দেখানো।</t>
  </si>
  <si>
    <t>Show the thumb in derision</t>
  </si>
  <si>
    <t>অবজ্ঞাকারী</t>
  </si>
  <si>
    <t>এ পাপের প্রায়শ্চিত্ত নেই।</t>
  </si>
  <si>
    <t>এই পাপের প্রায়শ্চিত্ত নেই</t>
  </si>
  <si>
    <t>অক্ষম্য পাপ।</t>
  </si>
  <si>
    <t>The sin is past all atonement</t>
  </si>
  <si>
    <t>পাপী ব্যক্তি</t>
  </si>
  <si>
    <t>নৈতিকতা</t>
  </si>
  <si>
    <t>সব শিয়ালের এক রা।</t>
  </si>
  <si>
    <t>সব শিয়ালের এক রা</t>
  </si>
  <si>
    <t>সব একই রকম।</t>
  </si>
  <si>
    <t>They see eye to eye with one another</t>
  </si>
  <si>
    <t>একই ধরনের মানুষ</t>
  </si>
  <si>
    <t>সাদৃশ্য</t>
  </si>
  <si>
    <t>ডুবে ডুবে জল খাওয়া।</t>
  </si>
  <si>
    <t>ডুবে ডুবে জল খাওয়া</t>
  </si>
  <si>
    <t>গোপনে কাজ করা।</t>
  </si>
  <si>
    <t>To act surreptitiously</t>
  </si>
  <si>
    <t>গোপনীয় ব্যক্তি</t>
  </si>
  <si>
    <t>থোঁতা মুখ ভোঁতা হওয়া।</t>
  </si>
  <si>
    <t>থোঁতা মুখ ভোঁতা হওয়া</t>
  </si>
  <si>
    <t>লজ্জিত হওয়া।</t>
  </si>
  <si>
    <t>To be abashed or disconcerted</t>
  </si>
  <si>
    <t>লজ্জিত ব্যক্তি</t>
  </si>
  <si>
    <t>নাকে তেল দিয়ে ঘুমানো।</t>
  </si>
  <si>
    <t>নাকে তেল দিয়ে ঘুমানো</t>
  </si>
  <si>
    <t>অবহেলা করা।</t>
  </si>
  <si>
    <t>To be careless about what happens</t>
  </si>
  <si>
    <t>অবহেলাকারী</t>
  </si>
  <si>
    <t>মাথায় হাত দিয়ে বসে পড়া।</t>
  </si>
  <si>
    <t>মাথায় হাত দিয়ে বসে পড়া</t>
  </si>
  <si>
    <t>হতাশ হওয়া।</t>
  </si>
  <si>
    <t>To be completely upset</t>
  </si>
  <si>
    <t>হতাশ ব্যক্তি</t>
  </si>
  <si>
    <t>এক ক্ষুরে মাথা মুড়ানো।</t>
  </si>
  <si>
    <t>এক ক্ষুরে মাথা মুড়ানো</t>
  </si>
  <si>
    <t>To be tarred with the same brush</t>
  </si>
  <si>
    <t>একই দল</t>
  </si>
  <si>
    <t>আদা জল খেয়ে লাগা।</t>
  </si>
  <si>
    <t>আদা জল খেয়ে লাগা</t>
  </si>
  <si>
    <t>কাজে লাগা।</t>
  </si>
  <si>
    <t>To be up and doing</t>
  </si>
  <si>
    <t>কর্মঠ ব্যক্তি</t>
  </si>
  <si>
    <t>বিড়ালের গলায় ঘন্টা বাঁধা।</t>
  </si>
  <si>
    <t>বিড়ালের গলায় ঘন্টা বাঁধা</t>
  </si>
  <si>
    <t>অসম্ভব কাজ।</t>
  </si>
  <si>
    <t>To bell the cat</t>
  </si>
  <si>
    <t>সম্ভাবনা</t>
  </si>
  <si>
    <t>৬১৩-র সাথে ডুপ্লিকেট। একটা রাখো।</t>
  </si>
  <si>
    <t>ভিমরুলের চাকে কাঠি (ঢিল) দেওয়া।</t>
  </si>
  <si>
    <t>ভিমরুলের চাকে কাঠি দেওয়া</t>
  </si>
  <si>
    <t>বিপদ ডেকে আনা।</t>
  </si>
  <si>
    <t>To bring a hornet's nest about one's ears</t>
  </si>
  <si>
    <t>উত্তেজনাকারী</t>
  </si>
  <si>
    <t>নিজের নাক কেটে অন্যের পথ বন্ধ করা</t>
  </si>
  <si>
    <t>নিজের ক্ষতি করে অন্যের ক্ষতি করা।</t>
  </si>
  <si>
    <t>To burn one's house to frighten away the mice</t>
  </si>
  <si>
    <t>১৪০-র সাথে ডুপ্লিকেট। একটা রাখো।</t>
  </si>
  <si>
    <t>কড়ায় কণ্ডায় আদায় করা।</t>
  </si>
  <si>
    <t>কড়ায় কণ্ডায় আদায় করা</t>
  </si>
  <si>
    <t>ঋণ শোধ করা।</t>
  </si>
  <si>
    <t>To exact to the last penny</t>
  </si>
  <si>
    <t>ঋণদাতা</t>
  </si>
  <si>
    <t>কখন আছি, কখন নাই।</t>
  </si>
  <si>
    <t>কখন আছি, কখন নাই</t>
  </si>
  <si>
    <t>অস্থির অবস্থা।</t>
  </si>
  <si>
    <t>To have one foot in the grave</t>
  </si>
  <si>
    <t>অসুস্থ ব্যক্তি</t>
  </si>
  <si>
    <t>শারীরিক অবস্থা</t>
  </si>
  <si>
    <t>৫৫৫-র সাথে দেখো, একই target ভিন্ন valence, সামঞ্জস্য আনো।</t>
  </si>
  <si>
    <t>লুকানোর চেষ্টা করা।</t>
  </si>
  <si>
    <t>To hide in a superficial way</t>
  </si>
  <si>
    <t>২৬২,৫৬৩-র সাথে ডুপ্লিকেট। একটা রাখো।</t>
  </si>
  <si>
    <t>পেটের কথা পেটে রাখা।</t>
  </si>
  <si>
    <t>পেটের কথা পেটে রাখা</t>
  </si>
  <si>
    <t>গোপন কথা রাখা।</t>
  </si>
  <si>
    <t>To keep counsel</t>
  </si>
  <si>
    <t>কত ধানে কত চাল জানা।</t>
  </si>
  <si>
    <t>কত ধানে কত চাল জানা</t>
  </si>
  <si>
    <t>বাস্তবতা জানা।</t>
  </si>
  <si>
    <t>To know how many beans, make five</t>
  </si>
  <si>
    <t>বাস্তববাদী ব্যক্তি</t>
  </si>
  <si>
    <t>জ্ঞান</t>
  </si>
  <si>
    <t>চোর পালালে বুদ্ধি বাড়ে</t>
  </si>
  <si>
    <t>কাজ শেষ হয়ে গেলে বুদ্ধি আসে।</t>
  </si>
  <si>
    <t>To lock the stable door when the steed is stolen</t>
  </si>
  <si>
    <t>৭২-র সাথে ডুপ্লিকেট। একটা রাখো।</t>
  </si>
  <si>
    <t>আগুন নিয়ে খেলা করা।</t>
  </si>
  <si>
    <t>আগুন নিয়ে খেলা করা</t>
  </si>
  <si>
    <t>To play with fire</t>
  </si>
  <si>
    <t>অবিবেচক ব্যক্তি</t>
  </si>
  <si>
    <t>মরার উপর খাঁড়ার ঘা।</t>
  </si>
  <si>
    <t>মরার উপর খাঁড়ার ঘা</t>
  </si>
  <si>
    <t>অতিরিক্ত আঘাত।</t>
  </si>
  <si>
    <t>To pour water on a drowned mouse</t>
  </si>
  <si>
    <t>১২৪২-র সাথে ডুপ্লিকেট কিন্তু target আলাদা। ১২৪২-এর 'প্রযোজ্য নয়' বেশি সঠিক মনে হয়।</t>
  </si>
  <si>
    <t>চোখে সর্ষেফুল দেখা।</t>
  </si>
  <si>
    <t>চোখে সর্ষেফুল দেখা</t>
  </si>
  <si>
    <t>মাথা ঘোরা।</t>
  </si>
  <si>
    <t>To see sparks before the eyes</t>
  </si>
  <si>
    <t>৫২৯-এর সাথে দেখো, সামঞ্জস্য আনো।</t>
  </si>
  <si>
    <t>সাত-পাঁচ ভাবা।</t>
  </si>
  <si>
    <t>সাত-পাঁচ ভাবা</t>
  </si>
  <si>
    <t>ভালোভাবে ভাবা।</t>
  </si>
  <si>
    <t>To think twice</t>
  </si>
  <si>
    <t>বিবেচক ব্যক্তি</t>
  </si>
  <si>
    <t>সিদ্ধান্ত গ্রহণ</t>
  </si>
  <si>
    <t>শাক দিয়ে মাছ ঢাকা।</t>
  </si>
  <si>
    <t>গোপন করার চেষ্টা।</t>
  </si>
  <si>
    <t>To try to hush something up, when it already known to many</t>
  </si>
  <si>
    <t>২৬২,৫৩০-র সাথে ডুপ্লিকেট। একটা রাখো।</t>
  </si>
  <si>
    <t>অতি ভক্তি চোরের লক্ষণ।</t>
  </si>
  <si>
    <t>অতি ভক্তি চোরের লক্ষণ</t>
  </si>
  <si>
    <t>অতিরিক্ত বিনয় সন্দেহজনক।</t>
  </si>
  <si>
    <t>Too much courtesy, too much or full of craft</t>
  </si>
  <si>
    <t>ভন্ড ব্যক্তি</t>
  </si>
  <si>
    <t>৬৩৬-র সাথে ডুপ্লিকেট, ৬৩৬-এর target বেশি সম্পূর্ণ। ৬৩৬ রাখো।</t>
  </si>
  <si>
    <t>সত্যের কোন রূপান্তর নেই, আজও যা কালও তা।</t>
  </si>
  <si>
    <t>সত্যের কোনো রূপান্তর নেই</t>
  </si>
  <si>
    <t>সত্য চিরন্তন।</t>
  </si>
  <si>
    <t>Truth has no colour</t>
  </si>
  <si>
    <t>সত্যবাদী ব্যক্তি</t>
  </si>
  <si>
    <t>সত্য</t>
  </si>
  <si>
    <t>ঘোড়া দেখে খোঁড়া হওয়া।</t>
  </si>
  <si>
    <t>ঘোড়া দেখে খোঁড়া হওয়া</t>
  </si>
  <si>
    <t>অলসতা।</t>
  </si>
  <si>
    <t>Unwilling to work when there is somebody to help</t>
  </si>
  <si>
    <t>Vows made in storm are forgotten in clam</t>
  </si>
  <si>
    <t>২২৩-র সাথে ডুপ্লিকেট। একটা রাখো।</t>
  </si>
  <si>
    <t>অপচয় কোরো না অভাবে পোড়ো না/ দিনে বাতি যার ঘরে, তার ভিটায় ঘুঘু চরে।</t>
  </si>
  <si>
    <t>অপচয় করো না, অভাব থেকো না</t>
  </si>
  <si>
    <t>মিতব্যয়ী হও।</t>
  </si>
  <si>
    <t>Waste not, want not</t>
  </si>
  <si>
    <t>মিতব্যয়ী ব্যক্তি</t>
  </si>
  <si>
    <t>না জানলে মন খারাপ হয় না।</t>
  </si>
  <si>
    <t>না জানলে মন খারাপ হয় না</t>
  </si>
  <si>
    <t>অজ্ঞতাই সুখ।</t>
  </si>
  <si>
    <t>What the eye doesn't see, the heart doesn't grieve over</t>
  </si>
  <si>
    <t>অজ্ঞ ব্যক্তি</t>
  </si>
  <si>
    <t>মানসিকতা</t>
  </si>
  <si>
    <t>valence Neutral, কিন্তু 'অজ্ঞতাই সুখ' ইতিবাচক ফ্রেমে - Positive হতে পারে। ভেবে দেখো।</t>
  </si>
  <si>
    <t>বিড়ালের গলায় ঘন্টা বাঁধবে কে।</t>
  </si>
  <si>
    <t>বিড়ালের গলায় ঘন্টা বাঁধবে কে</t>
  </si>
  <si>
    <t>Who is bell the cat</t>
  </si>
  <si>
    <t>৪৯৮-র সাথে ডুপ্লিকেট। একটা রাখো।</t>
  </si>
  <si>
    <t>ঘুঘূ দেখেছো, ফাঁদ দেখনি।</t>
  </si>
  <si>
    <t>ঘুঘু দেখেছো, ফাঁদ দেখনি</t>
  </si>
  <si>
    <t>লোভের ফাঁদে পড়া।</t>
  </si>
  <si>
    <t>You have seen the sweet fruit, but not the bitter</t>
  </si>
  <si>
    <t>৬২২-র সাথে bangla_proverb এক হলেও figurative meaning আলাদা - প্রকৃত ডুপ্লিকেট নাও হতে পারে।</t>
  </si>
  <si>
    <t>সব দিক দেখো না।</t>
  </si>
  <si>
    <t>You must not see things with half an eye</t>
  </si>
  <si>
    <t>অসাবধান ব্যক্তি</t>
  </si>
  <si>
    <t>৬২১-এর সাথে একই নোট।</t>
  </si>
  <si>
    <t>অতিরিক্ত ভক্তি চোরের লক্ষণ</t>
  </si>
  <si>
    <t>অতিরিক্ত ভক্তি বা বিনয় সন্দেহজনক।</t>
  </si>
  <si>
    <t>Too much devotion is a sign of a thief.</t>
  </si>
  <si>
    <t>ভন্ড/প্রতারক</t>
  </si>
  <si>
    <t>উইকিসংকলন</t>
  </si>
  <si>
    <t>https://bn.wikisource.org/wiki/%E0%A6%AA%E0%A7%8D%E0%A6%B0%E0%A6%AC%E0%A6%BE%E0%A6%A6_%E0%A6%AE%E0%A6%BE%E0%A6%B2%E0%A6%BE_(%E0%A7%A7%E0%A7%AE%E0%A7%AF%E0%A7%AA)</t>
  </si>
  <si>
    <t>৫৬৭-র চেয়ে target বেশি সম্পূর্ণ। এটা রাখো।</t>
  </si>
  <si>
    <t>আছে কাজ তবে প্রাতেই সাজ্।</t>
  </si>
  <si>
    <t>কাজ থাকলে সকালেই প্রস্তুত হও</t>
  </si>
  <si>
    <t>কাজ থাকলে দেরি না করে প্রস্তুত হওয়া উচিত।</t>
  </si>
  <si>
    <t>If there is work, get ready in the morning.</t>
  </si>
  <si>
    <t>⚠️ valence Positive কিন্তু target 'অলস ব্যক্তি' - বিপরীতমুখী, ৩৫৭-র মতো একই সমস্যা।</t>
  </si>
  <si>
    <t>One hand cannot clap.</t>
  </si>
  <si>
    <t>২৯৬-র সাথে ডুপ্লিকেট। একটা রাখো।</t>
  </si>
  <si>
    <t>ঘরে নাই ভাজা ভাং, পুত্রের নাম দুর্গারাম্।</t>
  </si>
  <si>
    <t>ঘরে নেই ভাজা ভাং, পুত্রের নাম দুর্গারাম</t>
  </si>
  <si>
    <t>অভাবে নাম বড়।</t>
  </si>
  <si>
    <t>No fried rice in the house, yet the son's name is Durgaram.</t>
  </si>
  <si>
    <t>অহংকারী ব্যক্তি</t>
  </si>
  <si>
    <t>https://bn.wikisource.org/wiki/প্রবাদ_মালা_(১৮৯৪)</t>
  </si>
  <si>
    <t>ঘরে নাই খরছি জনার খেয়ে মর্‌ছি।</t>
  </si>
  <si>
    <t>ঘরে নেই খরছি, জানার খেয়ে মরছি</t>
  </si>
  <si>
    <t>অভাবে কষ্ট।</t>
  </si>
  <si>
    <t>No spitting at home; dying after eating.</t>
  </si>
  <si>
    <t>গরিব ব্যক্তি</t>
  </si>
  <si>
    <t>ভালো উদাহরণ - অর্থনৈতিক শ্রেণি stereotype। ঠিক আছে।</t>
  </si>
  <si>
    <t>যে সয় সে রয়</t>
  </si>
  <si>
    <t>ধৈর্য্য ধরলে শেষ পর্যন্ত ভালো ফল পাওয়া যায়</t>
  </si>
  <si>
    <t>All things come to him who waits</t>
  </si>
  <si>
    <t xml:space="preserve">ধৈর্য্যশীল ব্যক্তি </t>
  </si>
  <si>
    <t>এই ব্যাচে জোড়া নেই, Ctrl+F দিয়ে 'যে সয় সে রয়' খুঁজে জোড়া বের করো।</t>
  </si>
  <si>
    <t>নতুন নতুন খইয়ের মোয়া মচ মচ করে</t>
  </si>
  <si>
    <t>খইয়ের মোয়া নতুন অবস্থায় মচ মচ করে</t>
  </si>
  <si>
    <t>ঘর ফাঁকা - নতুন করে annotate করা লাগবে।</t>
  </si>
  <si>
    <t>ছেড়ে দে মা কেঁদে বাঁচি।</t>
  </si>
  <si>
    <t>ছেড়ে দাও মা, কেঁদে বাঁচি</t>
  </si>
  <si>
    <t>অত্যাচারী বা বিপদ থেকে মুক্তি পেতে কান্নাকাটি করা।</t>
  </si>
  <si>
    <t>Let me go, mother, I'll survive by crying.</t>
  </si>
  <si>
    <t>১৮১-র চেয়ে বেশি সম্পূর্ণ। এটা রাখো, ১৮১ বাদ।</t>
  </si>
  <si>
    <t>জোর যার মুলুক তার।</t>
  </si>
  <si>
    <t>Might is right.</t>
  </si>
  <si>
    <t>ক্ষমতা</t>
  </si>
  <si>
    <t>৩৩৯-এর valence Negative, এটার Neutral - অমিল, Negative-এ ঠিক করার পরামর্শ।</t>
  </si>
  <si>
    <t>তে মাথাকে হারামজাদা খুর?</t>
  </si>
  <si>
    <t>অপবাদ দেওয়া।</t>
  </si>
  <si>
    <t>To the head, a bastard hoof?</t>
  </si>
  <si>
    <t>অপবাদদাতা</t>
  </si>
  <si>
    <t>bangla_proverb টেক্সট অস্পষ্ট/সম্ভবত ভুল স্ক্যান। উৎস মিলিয়ে ঠিক করো।</t>
  </si>
  <si>
    <t>দাদার ছুরী খানি বাম্‌দিকেই চলে।</t>
  </si>
  <si>
    <t>দাদার ছুরি খানি বামদিকেই চলে</t>
  </si>
  <si>
    <t>অভ্যাসগত দিক।</t>
  </si>
  <si>
    <t>The elder's knife always moves to the left.</t>
  </si>
  <si>
    <t>অভ্যাস</t>
  </si>
  <si>
    <t>target 'অভ্যাস' মানুষ/দল না। ঠিক করা দরকার।</t>
  </si>
  <si>
    <t>নরাগজা বিশেষয় তার অর্দ্ধেক বাঁচে হয়। বাইশ বলদা তেরো ছাগলা, সাত সাতাশে মরে হেংলা।</t>
  </si>
  <si>
    <t>নরাগজা বিশেষয় তার অর্ধেক বাঁচে হয়। বাইশ বলদা তেরো ছাগলা, সাতাশে মরে হেংলা।</t>
  </si>
  <si>
    <t>বিবিধ গণনা।</t>
  </si>
  <si>
    <t>With special calculation, half survive. Twenty-two oxen, thirteen goats, twenty-seven die.</t>
  </si>
  <si>
    <t>গণনা</t>
  </si>
  <si>
    <t>টেক্সট অস্পষ্ট, উৎস মিলিয়ে verify করো।</t>
  </si>
  <si>
    <t>নামেতেই তাল পুকুর।</t>
  </si>
  <si>
    <t>নামেতেই তাল পুকুর</t>
  </si>
  <si>
    <t>শুধু নামেই সব।</t>
  </si>
  <si>
    <t>Only in name is the palm pond.</t>
  </si>
  <si>
    <t>পরিচয়</t>
  </si>
  <si>
    <t>নাইরে আমার সেদিন, এক খিলি পান দুদিন।</t>
  </si>
  <si>
    <t>নাইরে আমার সেদিন, এক খিলি পান দুদিন</t>
  </si>
  <si>
    <t>খুব পুরনো কথা।</t>
  </si>
  <si>
    <t>I don't have that day, one betel leaf for two days.</t>
  </si>
  <si>
    <t>অতীত</t>
  </si>
  <si>
    <t>নিঃ স্বার্থিরে ভগবান্ স্বার্থি।</t>
  </si>
  <si>
    <t>নিঃস্বার্থীরে ভগবান স্বার্থি</t>
  </si>
  <si>
    <t>নিঃস্বার্থ মানুষকে ভগবানও স্বার্থি করেন।</t>
  </si>
  <si>
    <t>To the selfless, even God becomes selfish.</t>
  </si>
  <si>
    <t>নিঃস্বার্থ ব্যক্তি</t>
  </si>
  <si>
    <t>চরিত্র</t>
  </si>
  <si>
    <t>valence Positive দেওয়া আছে, কিন্তু content বরং world-এর অবিচারের কথা বলছে (Negative হতে পারে)। পুনর্বিবেচনা করো।</t>
  </si>
  <si>
    <t>বিনা বুঝে কচু খেলে, তেঁতুল কোথায় মিলে।</t>
  </si>
  <si>
    <t>বিনা বুঝে কচু খেলে, তেঁতুল কোথায় মিলে</t>
  </si>
  <si>
    <t>অজ্ঞতায় বিপদ।</t>
  </si>
  <si>
    <t>If you eat taro without knowing, where will you find tamarind?</t>
  </si>
  <si>
    <t>ভাগের মা গঙ্গা পায় না।</t>
  </si>
  <si>
    <t>ভাগের মা গঙ্গা পায় না</t>
  </si>
  <si>
    <t>সাধারণ সম্পত্তির দায়িত্ব কেউ নিতে চায় না।</t>
  </si>
  <si>
    <t>The mother of a share does not get the Ganges.</t>
  </si>
  <si>
    <t>সাধারণ সম্পত্তি</t>
  </si>
  <si>
    <t>target 'সাধারণ সম্পত্তি' যুক্তিসঙ্গত। ৮৯-এর সাথে ডুপ্লিকেট, এটা রাখো।</t>
  </si>
  <si>
    <t>মরার উপর খাঁড়ার ঘা।</t>
  </si>
  <si>
    <t>বিপদের ওপর আরও বিপদ পড়া।</t>
  </si>
  <si>
    <t>A sword blow on a dead man.</t>
  </si>
  <si>
    <t>target 'প্রযোজ্য নয়' যুক্তিসঙ্গত। ৫৪৮-এর সাথে ডুপ্লিকেট, এটা রাখো।</t>
  </si>
  <si>
    <t>মাথায় বাঁদতে নেকড়া নাই তবু চাঁদয়ার বরাৎ।</t>
  </si>
  <si>
    <t>মাথায় বাঁধতে নেকড়া নেই তবু চাঁদয়ারের বরাৎ</t>
  </si>
  <si>
    <t>অভাবে বড়াই।</t>
  </si>
  <si>
    <t>No cloth to tie on the head, yet the crescent moon's blessing.</t>
  </si>
  <si>
    <t>৮৬১-র মতোই অর্থনৈতিক শ্রেণি stereotype, ঠিক আছে।</t>
  </si>
  <si>
    <t>সবুরে মেওয়া ফলে।</t>
  </si>
  <si>
    <t>সবুরে মেওয়া ফলে</t>
  </si>
  <si>
    <t>ধৈর্য ধরে থাকলে ফল পাওয়া যায়।</t>
  </si>
  <si>
    <t>Patience brings fruit.</t>
  </si>
  <si>
    <t>৩৯৫,৩৯৬,৭৫৩৮-র সাথে ডুপ্লিকেট। একটা রাখো।</t>
  </si>
  <si>
    <t>অপদার্থ যেখানে শুরু করে সেখানেই ফিরে আসে</t>
  </si>
  <si>
    <t>অযোগ্য ব্যক্তির কোনো উন্নতি হয় না; যেখান থেকে শুরু করে সেখানেই ফিরে আসে</t>
  </si>
  <si>
    <t>A worthless person ends up back where they started.</t>
  </si>
  <si>
    <t>অপদার্থ ব্যক্তি</t>
  </si>
  <si>
    <t>এই ব্যাচে জোড়া নেই, খুঁজে বের করো।</t>
  </si>
  <si>
    <t>আপনার ঢাক আপনি বাজায়/পেটায়</t>
  </si>
  <si>
    <t>নিজের ঢাক নিজেই বাজায়/পেটায়</t>
  </si>
  <si>
    <t>আত্মপ্রচার করা</t>
  </si>
  <si>
    <t>Beating one's own drum.</t>
  </si>
  <si>
    <t>আত্মপ্রচারক</t>
  </si>
  <si>
    <t>২০৭৯-র সাথে প্রায় একই অর্থ (ঢাক vs ঢোল)। একটা রাখার কথা ভাবো।</t>
  </si>
  <si>
    <t>আপনারটা ঢাকা থাক পরেরটা বিকিয়ে যাক</t>
  </si>
  <si>
    <t>নিজেরটা ঢাকা থাক, পরেরটা বিক্রি হয়ে যাক</t>
  </si>
  <si>
    <t>নিজের দোষ গোপন রেখে পরের দোষ প্রকাশ করা</t>
  </si>
  <si>
    <t>Hide your own and sell others'—double standard.</t>
  </si>
  <si>
    <t>স্বার্থপর</t>
  </si>
  <si>
    <t>২০৯৪-র সাথে ডুপ্লিকেট। একটা রাখো।</t>
  </si>
  <si>
    <t>আপনার ঢোল আপনি পেটায়/বাজায়</t>
  </si>
  <si>
    <t>নিজের ঢোল নিজেই পেটায়</t>
  </si>
  <si>
    <t>২০৬৯-র সাথে দেখো।</t>
  </si>
  <si>
    <t>নিজের দোষ গোপন, পরের দোষ প্রকাশ</t>
  </si>
  <si>
    <t>Hide your own, sell others'—hypocrisy.</t>
  </si>
  <si>
    <t>উইকিপিডিয়া</t>
  </si>
  <si>
    <t>https://bn.wikipedia.org/wiki/%E0%A6%AC%E0%A6%BE%E0%A6%82%E0%A6%B2%E0%A6%BE_%E0%A6%AA%E0%A7%8D%E0%A6%B0%E0%A6%AC%E0%A6%BE%E0%A6%A6-%E0%A6%AA%E0%A7%8D%E0%A6%B0%E0%A6%AC%E0%A6%9A%E0%A6%A8%E0%A7%87%E0%A6%B0_%E0%A6%A4%E0%A6%BE%E0%A6%B2%E0%A6%BF%E0%A6%95%E0%A6%BE</t>
  </si>
  <si>
    <t>২০৭৮-র সাথে ডুপ্লিকেট। একটা রাখো।</t>
  </si>
  <si>
    <t>আশমান জমিন ফারাক</t>
  </si>
  <si>
    <t>আকাশ-জমিন ফারাক (দ্বিতীয় রূপ)</t>
  </si>
  <si>
    <t>বিশাল পার্থক্য</t>
  </si>
  <si>
    <t>As far apart as sky and earth.</t>
  </si>
  <si>
    <t>পার্থক্য</t>
  </si>
  <si>
    <t>ইজ্জত যায়না ধুলে স্বভাব যায় না মলে</t>
  </si>
  <si>
    <t>ইজ্জত ধুলে যায় না, স্বভাব মরলে যায় না</t>
  </si>
  <si>
    <t>চরিত্র ও সুনাম স্থায়ী; সহজে নষ্ট হয় না</t>
  </si>
  <si>
    <t>Honor doesn't wash away, nor does nature die—character endures.</t>
  </si>
  <si>
    <t>উক্তস্য পুনঃ কথনং</t>
  </si>
  <si>
    <t>একই কথা বারবার বলা; পুনরুক্তি</t>
  </si>
  <si>
    <t>Repetition of what has been said.</t>
  </si>
  <si>
    <t>ভাষা</t>
  </si>
  <si>
    <t>২৩০১-র সাথে ডুপ্লিকেট। একটা রাখো।</t>
  </si>
  <si>
    <t>২২৯৩-র সাথে ডুপ্লিকেট। একটা রাখো।</t>
  </si>
  <si>
    <t>উন/উনা কলসির দুন/দুনা শব্দ১</t>
  </si>
  <si>
    <t>অর্ধভরা কলসি দ্বিগুণ শব্দ করে</t>
  </si>
  <si>
    <t>অল্পজ্ঞানী বেশি কথা বলে</t>
  </si>
  <si>
    <t>A half-filled pot makes twice the noise—shallow waters are louder.</t>
  </si>
  <si>
    <t>অল্পজ্ঞানী ব্যক্তি</t>
  </si>
  <si>
    <t>২৩৫৫-র সাথে ডুপ্লিকেট। একটা রাখো।</t>
  </si>
  <si>
    <t>অল্পজ্ঞানীর আস্ফালন বেশি</t>
  </si>
  <si>
    <t>Half-filled pot makes double noise—empty vessels make most sound.</t>
  </si>
  <si>
    <t>অল্পজ্ঞানী</t>
  </si>
  <si>
    <t>২৩৫৪-র সাথে ডুপ্লিকেট। একটা রাখো।</t>
  </si>
  <si>
    <t>উলুবনে মুক্তা ছড়ানো২</t>
  </si>
  <si>
    <t>উলুবনে মুক্তা ছড়ানো</t>
  </si>
  <si>
    <t>অপাত্রে দান।</t>
  </si>
  <si>
    <t>Casting pearls in a reed forest.</t>
  </si>
  <si>
    <t>অপাত্র</t>
  </si>
  <si>
    <t>দান</t>
  </si>
  <si>
    <t>একটা/টি পয়সা সঞ্চয় হলে একটি পয়সা অর্জিত হয়</t>
  </si>
  <si>
    <t>একটি পয়সা সঞ্চয় মানে একটি পয়সা অর্জিত</t>
  </si>
  <si>
    <t>সঞ্চয়ই রোজগার</t>
  </si>
  <si>
    <t>A penny saved is a penny earned.</t>
  </si>
  <si>
    <t>সঞ্চয়</t>
  </si>
  <si>
    <t>২৫৪৩-এর সাথে অর্থে একই (semantic duplicate, শব্দ আলাদা)। একটা রাখার কথা ভাবো।</t>
  </si>
  <si>
    <t>একতাই বল</t>
  </si>
  <si>
    <t>সংহতিতেই শক্তি</t>
  </si>
  <si>
    <t>Unity is strength.</t>
  </si>
  <si>
    <t>একতা</t>
  </si>
  <si>
    <t>এক পয়সা জমানো মানে এক পয়সা রোজগার</t>
  </si>
  <si>
    <t>এক পয়সা জমানো মানে এক পয়সা রোজগার</t>
  </si>
  <si>
    <t>সঞ্চয়ই আয়</t>
  </si>
  <si>
    <t>Saving a penny is earning a penny.</t>
  </si>
  <si>
    <t>২৫১০-এর সাথে দেখো।</t>
  </si>
  <si>
    <t>তেঁতুলবিচি পেছন করে খিচিখিচ</t>
  </si>
  <si>
    <t>তেঁতুলবীচি পেছন করে খিচখিচ</t>
  </si>
  <si>
    <t>অকারণে ঝগড়া</t>
  </si>
  <si>
    <t>Tamarind seeds from behind causing quarrel—needless bickering.</t>
  </si>
  <si>
    <t>বিবাদ</t>
  </si>
  <si>
    <t>এক/একা/একে রামে রক্ষা নেই লক্ষ্মণ/সুগ্রীব দোসর</t>
  </si>
  <si>
    <t>এক রামে রক্ষা নেই, লক্ষ্মণ/সুগ্রীব দোসর</t>
  </si>
  <si>
    <t>একা বিপদে পড়লে বন্ধু এসে রক্ষা করে; অথবা একা কিছু করা যায় না</t>
  </si>
  <si>
    <t>One Ram cannot save; Lakshman/Sugrib is companion.</t>
  </si>
  <si>
    <t>সহযোগিতা</t>
  </si>
  <si>
    <t>এই প্রবাদের ডুপ্লিকেট আছে (id: 2583, 2584), এটা রাখো (সবচেয়ে ছোট id)।</t>
  </si>
  <si>
    <t>এক রামে রক্ষা নেই, লক্ষ্মণ/সুগ্রীব দোসর (পুনরুক্তি)</t>
  </si>
  <si>
    <t>একা অক্ষম; সহায়ক চাই</t>
  </si>
  <si>
    <t>One Ram can't save; with Lakshman/Sugrib as helper.</t>
  </si>
  <si>
    <t>ডুপ্লিকেট - id 2583 রাখা হচ্ছে, এই row বাদ দাও।</t>
  </si>
  <si>
    <t>একা কাজ সম্পন্ন হয় না</t>
  </si>
  <si>
    <t>ডুপ্লিকেট - id 11 রাখা হচ্ছে, এই row বাদ দাও।</t>
  </si>
  <si>
    <t>ওজন বুঝে চলা১</t>
  </si>
  <si>
    <t>ওজন বুঝে চলা</t>
  </si>
  <si>
    <t>নিজের সামর্থ্য বুঝে কাজ করা</t>
  </si>
  <si>
    <t>Walk according to your weight—know your limits.</t>
  </si>
  <si>
    <t>সতর্কতা</t>
  </si>
  <si>
    <t>এই প্রবাদের ডুপ্লিকেট আছে (id: 2686, 2687), এটা রাখো (সবচেয়ে ছোট id)।</t>
  </si>
  <si>
    <t>ওজন বুঝে চলা (পুনরাবৃত্তি)</t>
  </si>
  <si>
    <t>সামর্থ্য বুঝে চলা</t>
  </si>
  <si>
    <t>Know your capacity and act.</t>
  </si>
  <si>
    <t>ডুপ্লিকেট - id 2686 রাখা হচ্ছে, এই row বাদ দাও।</t>
  </si>
  <si>
    <t>কই হইল আগরতলা আর কই চৌকিরতলা</t>
  </si>
  <si>
    <t>কই আগরতলা, আর কই চৌকিরতলা</t>
  </si>
  <si>
    <t>বিশাল ব্যবধান</t>
  </si>
  <si>
    <t>What is Agartala, and what is under a chair?—vast difference.</t>
  </si>
  <si>
    <t>তফাৎ</t>
  </si>
  <si>
    <t>ঠিক আছে (figurative meaning ছোট হলেও অর্থ স্পষ্ট)।</t>
  </si>
  <si>
    <t>কথা বলার আগে যথেষ্ট সময় নিতে হয় যাতে কথা ফলের মত পরিপক্ক (সার্থক) হয়</t>
  </si>
  <si>
    <t>কথা বলার আগে যথেষ্ট সময় নাও, যাতে কথা ফলের মতো পরিপক্ক হয়</t>
  </si>
  <si>
    <t>ভেবে কথা বলো</t>
  </si>
  <si>
    <t>Take time before you speak; let words be ripe like fruit.</t>
  </si>
  <si>
    <t>কথা</t>
  </si>
  <si>
    <t>কর যদি তাড়াতাড়ি ভুলের হবে বাড়াবাড়ি</t>
  </si>
  <si>
    <t>তাড়াতাড়ি করলে ভুল বাড়ে</t>
  </si>
  <si>
    <t>হaste makes waste.</t>
  </si>
  <si>
    <t>🚨 জরুরি: এই row-এর ডেটা কলাম শিফট হয়ে গেছে। figurative_meaning-এ ইংরেজি অনুবাদ ঢুকে গেছে, valence-এ category-র মান, target-এ 'Positive' বসে আছে। পুরো row হাতে ঠিক করো: figurative_meaning ও english_translation আলাদা করো, is_figurative=TRUE, gender_relevant=FALSE, target='প্রযোজ্য নয়', valence ঠিক করো, category='সতর্কতা'।</t>
  </si>
  <si>
    <t>কাঁঠালের আমসস্ত্ব</t>
  </si>
  <si>
    <t>কাঁঠালের আমসত্ত্ব</t>
  </si>
  <si>
    <t>অসম্ভব জিনিস</t>
  </si>
  <si>
    <t>A mango-paste made from jackfruit—impossibility.</t>
  </si>
  <si>
    <t>অসম্ভব</t>
  </si>
  <si>
    <t>কাছা খুলতে দেরী হয়২</t>
  </si>
  <si>
    <t>কাছা খুলতে দেরি হয় (দ্বিতীয়)</t>
  </si>
  <si>
    <t>কর্মে আলস্য</t>
  </si>
  <si>
    <t>Delaying by untying the loincloth—procrastination.</t>
  </si>
  <si>
    <t>আলস্য</t>
  </si>
  <si>
    <t>ডুপ্লিকেট - id 2941 রাখা হচ্ছে, এই row বাদ দাও।</t>
  </si>
  <si>
    <t>কাজের মধ্যে দুই খাই আর শুই</t>
  </si>
  <si>
    <t>কাজের মধ্যে দুই: খাওয়া আর ঘুমানো</t>
  </si>
  <si>
    <t>অলসতার চরম</t>
  </si>
  <si>
    <t>My only tasks: eating and sleeping.</t>
  </si>
  <si>
    <t>অলসতা</t>
  </si>
  <si>
    <t>কাঠবিড়ালীর সাগর বাঁধা১</t>
  </si>
  <si>
    <t>কাঠবিড়ালির সাগর বাঁধা</t>
  </si>
  <si>
    <t>ক্ষুদ্র প্রচেষ্টায় বিশাল কাজ; রামায়ণে সেতু বাঁধা</t>
  </si>
  <si>
    <t>A squirrel's effort to build a sea-bridge—small but significant contribution.</t>
  </si>
  <si>
    <t>ক্ষুদ্রপ্রচেষ্টা</t>
  </si>
  <si>
    <t>এই প্রবাদের ডুপ্লিকেট আছে (id: 2982, 2983), এটা রাখো (সবচেয়ে ছোট id)।</t>
  </si>
  <si>
    <t>কাঠবিড়ালির সাগর বাঁধা (পুনরাবৃত্তি)</t>
  </si>
  <si>
    <t>সামান্য অবদান</t>
  </si>
  <si>
    <t>A squirrel's attempt to dam the sea.</t>
  </si>
  <si>
    <t>ডুপ্লিকেট - id 2982 রাখা হচ্ছে, এই row বাদ দাও।</t>
  </si>
  <si>
    <t>কাদায় গুণ ফেলা</t>
  </si>
  <si>
    <t>কাদায় গুণ (গাছড়া?) ফেলা</t>
  </si>
  <si>
    <t>নিরর্থক কাজ</t>
  </si>
  <si>
    <t>Throwing a vine into mud—useless.</t>
  </si>
  <si>
    <t>অর্থহীন</t>
  </si>
  <si>
    <t>কানায়ে ভাগনে/ভাগিনা</t>
  </si>
  <si>
    <t>কানায়ে ভাগনে/ভাগিনা (কানা ও ভাগ্নে)</t>
  </si>
  <si>
    <t>অপদার্থ দুইজন</t>
  </si>
  <si>
    <t>Blind man and his nephew—both useless.</t>
  </si>
  <si>
    <t>মূল্যহীনতা</t>
  </si>
  <si>
    <t>কাম নাই কুত্তার আইলে আইলে দৌড়</t>
  </si>
  <si>
    <t>কাম (কাজ) নেই কুত্তার, আইলে আইলে দৌড়</t>
  </si>
  <si>
    <t>অকারণে ব্যস্ততা; বাজে কাজে তৎপর</t>
  </si>
  <si>
    <t>No work for the dog, yet it runs when someone comes—unnecessary hustle.</t>
  </si>
  <si>
    <t>অকারণ</t>
  </si>
  <si>
    <t>এই প্রবাদের ডুপ্লিকেট আছে (id: 3038, 3042), এটা রাখো (সবচেয়ে ছোট id)।</t>
  </si>
  <si>
    <t>কাজ নেই কুত্তার, আসলে দৌড় (পুনরাবৃত্তি)</t>
  </si>
  <si>
    <t>অকারণ ছুটোছুটি</t>
  </si>
  <si>
    <t>No job, yet the dog runs when someone arrives—pointless activity.</t>
  </si>
  <si>
    <t>ডুপ্লিকেট - id 3038 রাখা হচ্ছে, এই row বাদ দাও।</t>
  </si>
  <si>
    <t>কারো কড়ি/ধার ধারি না২</t>
  </si>
  <si>
    <t>কারো কড়ি ধারি না (দ্বিতীয়)</t>
  </si>
  <si>
    <t>নিজে সাবলম্বী</t>
  </si>
  <si>
    <t>I am debt-free.</t>
  </si>
  <si>
    <t>স্বনির্ভরতা</t>
  </si>
  <si>
    <t>ডুপ্লিকেট - id 3063 রাখা হচ্ছে, এই row বাদ দাও।</t>
  </si>
  <si>
    <t>কারোকে বুকে করা কারোকে পিঠে করা</t>
  </si>
  <si>
    <t>কাউকে বুকে, কাউকে পিঠে</t>
  </si>
  <si>
    <t>পক্ষপাত</t>
  </si>
  <si>
    <t>Hug one, turn back on another—favoritism.</t>
  </si>
  <si>
    <t>কালে দত্তং বরং হ্যল্পমকালে বহুনাপি কিম্‌</t>
  </si>
  <si>
    <t>যথাকালে অল্প দানও ভালো, অসময়ে বহু দানও বৃথা</t>
  </si>
  <si>
    <t>সময়ের মূল্য</t>
  </si>
  <si>
    <t>A little given in time is better than much at the wrong time.</t>
  </si>
  <si>
    <t>সময়</t>
  </si>
  <si>
    <t>কি ভাবে কথা বলতে হয় না জানলে অন্তত কিভাবে চুপ থাকতে হয় তা শিখে নাও</t>
  </si>
  <si>
    <t>কীভাবে কথা বলতে হয় না জানলে অন্তত চুপ থাকতে শেখো</t>
  </si>
  <si>
    <t>নীরব থাকাও গুণ</t>
  </si>
  <si>
    <t>If you don't know how to speak, at least learn to keep quiet.</t>
  </si>
  <si>
    <t>কিসের মধ্যে কি, বেগুন পোড়ায় ঘি</t>
  </si>
  <si>
    <t>কিসের মধ্যে কী! বেগুন পোড়ায় ঘি</t>
  </si>
  <si>
    <t>অদ্ভুত সমন্বয়</t>
  </si>
  <si>
    <t>What's with what? Ghee on burnt brinjal—odd combination.</t>
  </si>
  <si>
    <t>অমিল</t>
  </si>
  <si>
    <t>কীচকবধ</t>
  </si>
  <si>
    <t>কীচকের বধ (মহাভারত)</t>
  </si>
  <si>
    <t>দুরাত্মার পতন</t>
  </si>
  <si>
    <t>Killing of Keechaka—destruction of the wicked.</t>
  </si>
  <si>
    <t>পৌরাণিক</t>
  </si>
  <si>
    <t>কুকুর বিড়াল সম্পর্ক</t>
  </si>
  <si>
    <t>কুকুর-বিড়াল সম্পর্ক</t>
  </si>
  <si>
    <t>চির শত্রুতা</t>
  </si>
  <si>
    <t>Cat and dog relationship—perpetual enmity.</t>
  </si>
  <si>
    <t>শত্রুতা</t>
  </si>
  <si>
    <t>কুকুর রাজা হলেও জুতা খায়</t>
  </si>
  <si>
    <t>স্বভাব যায় না</t>
  </si>
  <si>
    <t>Even if a dog becomes king, it will chew shoes.</t>
  </si>
  <si>
    <t>স্বভাব</t>
  </si>
  <si>
    <t>কুকুরের কামড় হাঁটুর নীচে২</t>
  </si>
  <si>
    <t>কুকুরের কামড় হাঁটুর নিচে (দ্বিতীয়)</t>
  </si>
  <si>
    <t>ছোটখাটো ক্ষতি</t>
  </si>
  <si>
    <t>Dog bite below knee—minor injury.</t>
  </si>
  <si>
    <t>তুচ্ছ</t>
  </si>
  <si>
    <t>ডুপ্লিকেট - id 3170 রাখা হচ্ছে, এই row বাদ দাও।</t>
  </si>
  <si>
    <t>কুকুরের লেজ কাজে লাগে না</t>
  </si>
  <si>
    <t>কুকুরের লেজ কোনো কাজে লাগে না</t>
  </si>
  <si>
    <t>অপদার্থ জিনিস</t>
  </si>
  <si>
    <t>A dog's tail is useless.</t>
  </si>
  <si>
    <t>অপদার্থ</t>
  </si>
  <si>
    <t>কুবেরের ঐশ্বর্য্য/ভাণ্ডার</t>
  </si>
  <si>
    <t>কুবেরের ধনভাণ্ডার</t>
  </si>
  <si>
    <t>অফুরন্ত সম্পদ</t>
  </si>
  <si>
    <t>The wealth of Kubera—inexhaustible.</t>
  </si>
  <si>
    <t>ধন</t>
  </si>
  <si>
    <t>কেল্লা/কিল্লা ফতে- আরবী প্রবাদ</t>
  </si>
  <si>
    <t>কেল্লা জয় (আরবি)</t>
  </si>
  <si>
    <t>সফলতা</t>
  </si>
  <si>
    <t>The fort is conquered—victory.</t>
  </si>
  <si>
    <t>সাফল্য</t>
  </si>
  <si>
    <t>কোদালকে কোদাল বল২</t>
  </si>
  <si>
    <t>কোদালকে কোদাল বল (দ্বিতীয়)</t>
  </si>
  <si>
    <t>সোজাসাপ্টা বলা</t>
  </si>
  <si>
    <t>Call a spade a spade—plain speaking.</t>
  </si>
  <si>
    <t>স্পষ্টতা</t>
  </si>
  <si>
    <t>ডুপ্লিকেট - id 3241 রাখা হচ্ছে, এই row বাদ দাও।</t>
  </si>
  <si>
    <t>কোন কাজেই তাড়াহুড়ো করা নেই</t>
  </si>
  <si>
    <t>কোনো কাজেই তাড়াহুড়ো কোরো না</t>
  </si>
  <si>
    <t>ধীরে কাজ করো</t>
  </si>
  <si>
    <t>Don't hurry in any task.</t>
  </si>
  <si>
    <t>কোয়লা ধোয়ে না উজ্‌রৈ লাশুন তজৈ না বোয়</t>
  </si>
  <si>
    <t>কয়লা ধুলে উজ্জ্বল হয় না, রসুন গন্ধ ছাড়ে না (হিন্দি/ব্রজ)</t>
  </si>
  <si>
    <t>Coal doesn't shine by washing, garlic doesn't lose its smell.</t>
  </si>
  <si>
    <t>ক্রিয়ার প্রতিক্রিয়া আছে/থাকে</t>
  </si>
  <si>
    <t>প্রত্যেক ক্রিয়ার প্রতিক্রিয়া আছে</t>
  </si>
  <si>
    <t>কর্মফল আছেই</t>
  </si>
  <si>
    <t>Every action has a reaction.</t>
  </si>
  <si>
    <t>কর্ম</t>
  </si>
  <si>
    <t>ক্রোধের প্রকাশ দৃষ্টিতে; গুণের প্রকাশ শিষ্ট আচরণে</t>
  </si>
  <si>
    <t>ক্রোধ চোখে প্রকাশ পায়, গুণ শিষ্ট আচরণে</t>
  </si>
  <si>
    <t>বাহ্যিক লক্ষণ</t>
  </si>
  <si>
    <t>Anger shows in eyes; virtue in polite conduct.</t>
  </si>
  <si>
    <t>লক্ষণ</t>
  </si>
  <si>
    <t>খড়ের গাদায় সূচ খোঁজা</t>
  </si>
  <si>
    <t>খড়ের গাদায় সূঁচ খোঁজা</t>
  </si>
  <si>
    <t>অসম্ভব পরিশ্রম</t>
  </si>
  <si>
    <t>Searching a needle in a haystack—futile.</t>
  </si>
  <si>
    <t>খুদের জাউ পায় না ক্ষীরের জন্য কাঁদে২</t>
  </si>
  <si>
    <t>খুদের জাউ পায় না, ক্ষীরের জন্য কাঁদে (দ্বিতীয়)</t>
  </si>
  <si>
    <t>অযোগ্য ইচ্ছা।</t>
  </si>
  <si>
    <t>Can't have gruel but weeps for pudding.</t>
  </si>
  <si>
    <t>অভাবী</t>
  </si>
  <si>
    <t>আকাঙ্ক্ষা</t>
  </si>
  <si>
    <t>ডুপ্লিকেট - id 3365 রাখা হচ্ছে, এই row বাদ দাও।</t>
  </si>
  <si>
    <t>খেলে ধন পাতাল যায়, না-খেলে ধন আকাশ ধায়</t>
  </si>
  <si>
    <t>খরচ করলে ধন পাতালে যায়, না খরচ করলে আকাশে ধায়</t>
  </si>
  <si>
    <t>সঞ্চয় না করলে ধন বাড়ে না, আবার সব সঞ্চয়ও নষ্ট হয়; সমন্বয় দরকার।</t>
  </si>
  <si>
    <t>If you spend, wealth goes underground; if you don't, it flies to the sky—balance.</t>
  </si>
  <si>
    <t>অর্থ</t>
  </si>
  <si>
    <t>এই প্রবাদের ডুপ্লিকেট আছে (id: 3382, 3384), এটা রাখো (সবচেয়ে ছোট id)।</t>
  </si>
  <si>
    <t>খরচ করলে ধন পাতালে যায়, না করলে আকাশে যায় (পুনরুক্তি)</t>
  </si>
  <si>
    <t>পরিমিতি বজায় রাখা উচিত।</t>
  </si>
  <si>
    <t>If spent, wealth sinks; if not, it flies—moderation needed.</t>
  </si>
  <si>
    <t>ডুপ্লিকেট - id 3382 রাখা হচ্ছে, এই row বাদ দাও।</t>
  </si>
  <si>
    <t>খোদার কর্ম খোদাই জানে</t>
  </si>
  <si>
    <t>ঈশ্বরের কাজ ঈশ্বরই জানেন</t>
  </si>
  <si>
    <t>অজানা ভবিতব্য।</t>
  </si>
  <si>
    <t>God's doings, God knows—unfathomable.</t>
  </si>
  <si>
    <t>ভাগ্য</t>
  </si>
  <si>
    <t>গাছে উঠতে পারে না বড় আমটি আমার</t>
  </si>
  <si>
    <t>গাছে উঠতে পারে না, অথচ বড় আমটি আমার</t>
  </si>
  <si>
    <t>অক্ষমের বড়াই</t>
  </si>
  <si>
    <t>Can't climb the tree, yet claims the biggest mango—empty boast</t>
  </si>
  <si>
    <t>অক্ষম/বড়াইকারী</t>
  </si>
  <si>
    <t>গাছেরও খায় তলারও কুড়ায়২</t>
  </si>
  <si>
    <t>গাছেরও খায়, তলারও কুড়ায় (দ্বিতীয়)</t>
  </si>
  <si>
    <t>কিছুই ছাড়ে না</t>
  </si>
  <si>
    <t>Takes from both tree and ground—nothing leaves</t>
  </si>
  <si>
    <t>লোভী</t>
  </si>
  <si>
    <t>লোভ</t>
  </si>
  <si>
    <t>ডুপ্লিকেট - id 3518 রাখা হচ্ছে, এই row বাদ দাও।</t>
  </si>
  <si>
    <t>গাধা ডাকলে তুমিও তার সাথে ডেকো না</t>
  </si>
  <si>
    <t>গাধা ডাকলে তুমি তার সাথে ডেকো না</t>
  </si>
  <si>
    <t>মূর্খের সুরে সুর মেলানো উচিত নয়</t>
  </si>
  <si>
    <t>When a donkey brays, don't bray along—don't stoop to foolish level</t>
  </si>
  <si>
    <t>মূর্খ</t>
  </si>
  <si>
    <t>⚠️ valence Positive কিন্তু target 'মূর্খ' - প্রবাদ মূর্খকে অনুসরণ না করার উপদেশ, তাই valence Negative হওয়া উচিত মনে হয়।</t>
  </si>
  <si>
    <t>গুণের ঘাট (সীমা) নেই২</t>
  </si>
  <si>
    <t>গুণের সীমা নেই</t>
  </si>
  <si>
    <t>গুণ অসীম</t>
  </si>
  <si>
    <t>Virtue has no limit</t>
  </si>
  <si>
    <t>গুণ</t>
  </si>
  <si>
    <t>গোড়ায় গলদ</t>
  </si>
  <si>
    <t>মূলেই ত্রুটি</t>
  </si>
  <si>
    <t>Flaw at the root—fundamental defect</t>
  </si>
  <si>
    <t>ত্রুটি</t>
  </si>
  <si>
    <t>গোদা পায়ে লাথি২</t>
  </si>
  <si>
    <t>গোদা পায়ে লাথি (দ্বিতীয়)</t>
  </si>
  <si>
    <t>বিপদে আরও বিপদ</t>
  </si>
  <si>
    <t>Kick on a swollen foot—trouble upon trouble</t>
  </si>
  <si>
    <t>দুর্বল</t>
  </si>
  <si>
    <t>অত্যাচার</t>
  </si>
  <si>
    <t>ডুপ্লিকেট - id 3606 রাখা হচ্ছে, এই row বাদ দাও।</t>
  </si>
  <si>
    <t>ঘড়িক্‌কে ঘোড়া ছোটা২</t>
  </si>
  <si>
    <t>ঘড়িকে ঘোড়া ছোটা (দ্বিতীয়)</t>
  </si>
  <si>
    <t>অবিরাম কাজ</t>
  </si>
  <si>
    <t>Running like a clockwork horse</t>
  </si>
  <si>
    <t>ডুপ্লিকেট - id 3641 রাখা হচ্ছে, এই row বাদ দাও।</t>
  </si>
  <si>
    <t>ঘরে নেই দশটি পথেপথে কষ্টি২</t>
  </si>
  <si>
    <t>ঘরে নেই দশটি, পথে পথে কষ্টি (দ্বিতীয়)</t>
  </si>
  <si>
    <t>অভাব ঢাকতে ভান</t>
  </si>
  <si>
    <t>No ten coins, but touches stones on the way—pretence</t>
  </si>
  <si>
    <t>গরিব</t>
  </si>
  <si>
    <t>ভান</t>
  </si>
  <si>
    <t>ডুপ্লিকেট - id 3670 রাখা হচ্ছে, এই row বাদ দাও।</t>
  </si>
  <si>
    <t>ঘুঘু দেখেছ ফাঁদ দেখনি৪</t>
  </si>
  <si>
    <t>ঘুঘু দেখেছ ফাঁদ দেখনি (চতুর্থ)</t>
  </si>
  <si>
    <t>লোভে ফাঁদ</t>
  </si>
  <si>
    <t>You spotted the prize, not the snare</t>
  </si>
  <si>
    <t>ডুপ্লিকেট - id 3703 রাখা হচ্ছে, এই row বাদ দাও।</t>
  </si>
  <si>
    <t>ঘুঘু দেখেছ ফাঁদ দেখনি৫</t>
  </si>
  <si>
    <t>ঘুঘু দেখেছ ফাঁদ দেখনি (পঞ্চম)</t>
  </si>
  <si>
    <t>সতর্কতার অভাব</t>
  </si>
  <si>
    <t>The dove is visible, the trap is not</t>
  </si>
  <si>
    <t>অসতর্ক</t>
  </si>
  <si>
    <t>ঘোড়া চিনি কানে, রাজা চিনি দানে; নারী চিনি হাসে, পুরুষ চিনি কাশে</t>
  </si>
  <si>
    <t>ঘোড়া কানে, রাজা দানে; নারী হাসিতে, পুরুষ কাশিতে চেনা যায়</t>
  </si>
  <si>
    <t>পরিচয়ের লক্ষণ</t>
  </si>
  <si>
    <t>Horse by ear, king by gift; woman by smile, man by cough—identification</t>
  </si>
  <si>
    <t>নারী/পুরুষ</t>
  </si>
  <si>
    <t>target 'নারী/পুরুষ' দুই category মেশানো, gender-stereotype হিসেবে গুরুত্বপূর্ণ - আলাদা row ভাবতে পারো।</t>
  </si>
  <si>
    <t>ঘোড়ার ডিম</t>
  </si>
  <si>
    <t>A horse's egg—impossibility</t>
  </si>
  <si>
    <t>ঘোড়ার মত ক্ষুধার্ত</t>
  </si>
  <si>
    <t>ঘোড়ার মতো ক্ষুধার্ত</t>
  </si>
  <si>
    <t>প্রচণ্ড ক্ষুধা</t>
  </si>
  <si>
    <t>Hungry like a horse</t>
  </si>
  <si>
    <t>ক্ষুধা</t>
  </si>
  <si>
    <t>চোখে চোখে যতক্ষণ প্রাণ পোড়ে ততক্ষণ</t>
  </si>
  <si>
    <t>চোখে চোখে যতক্ষণ, প্রাণ জ্বলে (পুনরুক্তি)</t>
  </si>
  <si>
    <t>প্রেমের আগুন</t>
  </si>
  <si>
    <t>Eye to eye, the heart burns</t>
  </si>
  <si>
    <t>প্রণয়ী</t>
  </si>
  <si>
    <t>আবেগ</t>
  </si>
  <si>
    <t>চোর চুরি না করতে পারলে সাধু হয়২</t>
  </si>
  <si>
    <t>চোর চুরি না করতে পারলে সাধু (দ্বিতীয়)</t>
  </si>
  <si>
    <t>না পারাই ভক্তি</t>
  </si>
  <si>
    <t>Unable to steal, he turns saint</t>
  </si>
  <si>
    <t>চোর</t>
  </si>
  <si>
    <t>ভণ্ডামি</t>
  </si>
  <si>
    <t>ডুপ্লিকেট - id 3897 রাখা হচ্ছে, এই row বাদ দাও।</t>
  </si>
  <si>
    <t>চৌকো পেরেক গোল গর্তে</t>
  </si>
  <si>
    <t>চৌকো পেরেক গোল গর্তে (পুনরুক্তি)</t>
  </si>
  <si>
    <t>বেখাপ্পা; অমিল</t>
  </si>
  <si>
    <t>Square peg in round hole—misfit</t>
  </si>
  <si>
    <t>ছাইচাপা আগুন৩</t>
  </si>
  <si>
    <t>ছাইচাপা আগুন (তৃতীয়)</t>
  </si>
  <si>
    <t>উপেক্ষিত বিপদ</t>
  </si>
  <si>
    <t>Fire covered by ash—latent peril</t>
  </si>
  <si>
    <t>গোপনতা</t>
  </si>
  <si>
    <t>ডুপ্লিকেট - id 3939 রাখা হচ্ছে, এই row বাদ দাও।</t>
  </si>
  <si>
    <t>ছোটমুখে বড়কথা২</t>
  </si>
  <si>
    <t>ছোট মুখে বড় কথা (দ্বিতীয়)</t>
  </si>
  <si>
    <t>অনুচিত উক্তি</t>
  </si>
  <si>
    <t>Great talk from a little mouth.</t>
  </si>
  <si>
    <t>অহংকার</t>
  </si>
  <si>
    <t>ডুপ্লিকেট - id 499 রাখা হচ্ছে, এই row বাদ দাও।</t>
  </si>
  <si>
    <t>জগৎজুড়ে জাল ফেলেছে পালিয়ে বাঁচবি কোথা?২</t>
  </si>
  <si>
    <t>জগৎজুড়ে জাল ফেলেছে (দ্বিতীয়)</t>
  </si>
  <si>
    <t>বিপদ সর্বত্র</t>
  </si>
  <si>
    <t>Nets everywhere—no escape.</t>
  </si>
  <si>
    <t>বিপদ</t>
  </si>
  <si>
    <t>ডুপ্লিকেট - id 4011 রাখা হচ্ছে, এই row বাদ দাও।</t>
  </si>
  <si>
    <t>জগাখিচুড়ি২</t>
  </si>
  <si>
    <t>জগাখিচুড়ি (দ্বিতীয়)</t>
  </si>
  <si>
    <t>গোলমাল</t>
  </si>
  <si>
    <t>A jumble.</t>
  </si>
  <si>
    <t>বিশৃঙ্খলা</t>
  </si>
  <si>
    <t>ডুপ্লিকেট - id 4017 রাখা হচ্ছে, এই row বাদ দাও।</t>
  </si>
  <si>
    <t>জন্মে দেখেনি লোহার মুখ, কোদালকে বলে গুণছুঁচ</t>
  </si>
  <si>
    <t>জন্মে দেখেনি লোহার মুখ, কোদালকে বলে গুণছুঁচ (বড় সূঁচ)</t>
  </si>
  <si>
    <t>অজ্ঞের ভুল</t>
  </si>
  <si>
    <t>Never seen iron, calls a spade a big needle.</t>
  </si>
  <si>
    <t>অজ্ঞ</t>
  </si>
  <si>
    <t>অজ্ঞানতা</t>
  </si>
  <si>
    <t>জলে ভাসে শিলা</t>
  </si>
  <si>
    <t>অসম্ভব ঘটনা</t>
  </si>
  <si>
    <t>Stones float on water—impossible.</t>
  </si>
  <si>
    <t>জিত্‌নি মুঁহ উতনি বাতো</t>
  </si>
  <si>
    <t>যতগুলো মুখ, ততগুলো কথা</t>
  </si>
  <si>
    <t>যত লোক তত মত</t>
  </si>
  <si>
    <t>As many mouths, so many words—many opinions.</t>
  </si>
  <si>
    <t>মতভেদ</t>
  </si>
  <si>
    <t>জিস্‌কী লাঠি উস্‌কী ভৈঁস</t>
  </si>
  <si>
    <t>যার লাঠি, তারই মহিষ</t>
  </si>
  <si>
    <t>শক্তিই আইন</t>
  </si>
  <si>
    <t>Whose stick, his buffalo—might is right.</t>
  </si>
  <si>
    <t>শক্তি</t>
  </si>
  <si>
    <t>ঝালে, ঝোলে, অম্বলে</t>
  </si>
  <si>
    <t>ঝালে, ঝোলে, অম্বলে—সব রান্নায়</t>
  </si>
  <si>
    <t>সব বিষয়ে</t>
  </si>
  <si>
    <t>In all curries—everywhere.</t>
  </si>
  <si>
    <t>বহুলতা</t>
  </si>
  <si>
    <t>টাকা টাকা বল ভাই, টাকার মত জিনিস নাই, টাকা বিনে সংসারেতে সব যন্ত্রণা</t>
  </si>
  <si>
    <t>টাকা টাকা বল ভাই, টাকার মতো জিনিস নেই, টাকা ছাড়া সংসারে সব যন্ত্রণা</t>
  </si>
  <si>
    <t>অর্থই সব</t>
  </si>
  <si>
    <t>Money, money, brother; nothing like money; without it, all is suffering.</t>
  </si>
  <si>
    <t>টাকা দিলে কাঠের পুতুলও হাঁ করে</t>
  </si>
  <si>
    <t>অর্থে সবাই বশ</t>
  </si>
  <si>
    <t>Even a wooden doll opens its mouth for money.</t>
  </si>
  <si>
    <t>টাকা বাড়লে দেমাক বাড়ে</t>
  </si>
  <si>
    <t>ধনে অহংকার আসে</t>
  </si>
  <si>
    <t>More money, more arrogance.</t>
  </si>
  <si>
    <t>টেক মাথায় উঠলো চুল মরামালঞ্চে ফুটলো ফুল২</t>
  </si>
  <si>
    <t>টেক মাথায় চুল, মরা মালঞ্চে ফুল (দ্বিতীয়)</t>
  </si>
  <si>
    <t>আশাতীত সাফল্য</t>
  </si>
  <si>
    <t>Bald head sprouts hair, dead garden blooms—unexpected.</t>
  </si>
  <si>
    <t>ঠেলার নাম বাবাজী</t>
  </si>
  <si>
    <t>প্রয়োজনই ধর্ম</t>
  </si>
  <si>
    <t>Necessity is called 'Baba'—it rules.</t>
  </si>
  <si>
    <t>প্রয়োজন</t>
  </si>
  <si>
    <t>ডাকয়ে পক্ষী না ছাড়ে বাসা; উড়িয়ে বৈসে খাবে করি আশা; ফিরে যায় বাসে না পায় দিশা খনা ডেকে বলে সেইতো ঊষা</t>
  </si>
  <si>
    <t>ডাকলে পাখি বাসা ছাড়ে না; উড়িয়ে বসে খাবে আশায়; ফিরে যায়, বাসা পায় না, খনা বলে সেই তো উষা</t>
  </si>
  <si>
    <t>অলসের পরিণতি</t>
  </si>
  <si>
    <t>The bird doesn't leave the nest when called; waiting to be fed, it loses its way back. Khana says, that is the dawn of trouble.</t>
  </si>
  <si>
    <t>ডানহাতের কাজ বামহাত যেন না জানে</t>
  </si>
  <si>
    <t>ডান হাতের কাজ বাম হাতকে জানতে দিও না</t>
  </si>
  <si>
    <t>দান গোপনে করো</t>
  </si>
  <si>
    <t>Let not the left hand know what the right hand does—charity in secret.</t>
  </si>
  <si>
    <t>ডিডি ঢল্লে</t>
  </si>
  <si>
    <t>ডিডি ঢল্লে (পাগল)</t>
  </si>
  <si>
    <t>উন্মাদ আচরণ</t>
  </si>
  <si>
    <t>Crazy antics.</t>
  </si>
  <si>
    <t>পাগলামি</t>
  </si>
  <si>
    <t>ডুমুরের ফুল, সাপের পা, কল্পনা শুধু কল্পনা</t>
  </si>
  <si>
    <t>ডুমুরের ফুল, সাপের পা—কল্পনা মাত্র</t>
  </si>
  <si>
    <t>অসম্ভব কল্পনা</t>
  </si>
  <si>
    <t>Fig flower, snake's legs—only in imagination.</t>
  </si>
  <si>
    <t>ডেকে ডেকে খনা গান, রোদে ধান ছায়ায় পান</t>
  </si>
  <si>
    <t>ডেকে ডেকে খনা গান, রোদে ধান, ছায়ায় পান</t>
  </si>
  <si>
    <t>কৃষির উপদেশ</t>
  </si>
  <si>
    <t>Khana sings: paddy in sun, betel in shade.</t>
  </si>
  <si>
    <t>কৃষি</t>
  </si>
  <si>
    <t>ডোলী ন কহার বিবি বৈঁঠা হৈ তৈয়ার২</t>
  </si>
  <si>
    <t>ডোলি নেই বেহারা, বিবি বসতে প্রস্তুত (দ্বিতীয়)</t>
  </si>
  <si>
    <t>অসম্ভব আয়োজন</t>
  </si>
  <si>
    <t>No bearers, yet lady ready.</t>
  </si>
  <si>
    <t>বিবি/নারী</t>
  </si>
  <si>
    <t>target 'বিবি/নারী' একই জিনিসের প্রতিশব্দ, শুধু 'নারী' রাখলেই যথেষ্ট।</t>
  </si>
  <si>
    <t>ঢেঁকিশালে/ঢেকশেলে যদি মানিক পাই, তবে কেন পর্বতে যাই২</t>
  </si>
  <si>
    <t>ঢেঁকিশালে মানিক পাই (দ্বিতীয়)</t>
  </si>
  <si>
    <t>সহজ লাভ</t>
  </si>
  <si>
    <t>If a jewel is in the shed, why climb the mountain?</t>
  </si>
  <si>
    <t>সুবিধা</t>
  </si>
  <si>
    <t>ডুপ্লিকেট - id 4301 রাখা হচ্ছে, এই row বাদ দাও।</t>
  </si>
  <si>
    <t>ঢেঁকি স্বর্গে গিয়ে/গেলেও ধান ভানে১</t>
  </si>
  <si>
    <t>ঢেঁকি স্বর্গে গেলেও ধান ভানে</t>
  </si>
  <si>
    <t>Even in heaven, a dheki continues to husk paddy.</t>
  </si>
  <si>
    <t>এই প্রবাদের ডুপ্লিকেট আছে (id: 4303, 4304, 4305), এটা রাখো (সবচেয়ে ছোট id)।</t>
  </si>
  <si>
    <t>তথাস্তু</t>
  </si>
  <si>
    <t>তথাস্তু (তাই হোক)</t>
  </si>
  <si>
    <t>অনুমতি; সম্মতি</t>
  </si>
  <si>
    <t>So be it.</t>
  </si>
  <si>
    <t>সম্মতি</t>
  </si>
  <si>
    <t>তপ্ত ভাতে ঘি ঢালা</t>
  </si>
  <si>
    <t>তপ্ত ভাতে ঘি ঢালা (পুনরুক্তি)</t>
  </si>
  <si>
    <t>সুখে আরও সুখ</t>
  </si>
  <si>
    <t>Adding ghee to hot rice.</t>
  </si>
  <si>
    <t>সৌভাগ্য</t>
  </si>
  <si>
    <t>তলোয়ার যার, দেশ তার</t>
  </si>
  <si>
    <t>শক্তিমানই শাসক</t>
  </si>
  <si>
    <t>Whose sword, his country—might is right.</t>
  </si>
  <si>
    <t>তালপাতার সেপাই</t>
  </si>
  <si>
    <t>তালপাতার সিপাহি</t>
  </si>
  <si>
    <t>দুর্বল ও অসার</t>
  </si>
  <si>
    <t>A soldier of palm leaf—feeble.</t>
  </si>
  <si>
    <t>দুর্বলতা</t>
  </si>
  <si>
    <t>তৃষ্ণাবধিং কো গতঃ</t>
  </si>
  <si>
    <t>তৃষ্ণার সীমা কে পেয়েছে?</t>
  </si>
  <si>
    <t>আশার শেষ নেই</t>
  </si>
  <si>
    <t>Who has reached the end of desire?</t>
  </si>
  <si>
    <t>তেলাপোকা আবার পাখি ভেরাণ্ডা আবার গাছ</t>
  </si>
  <si>
    <t>তেলাপোকা আবার পাখি, ভেরাণ্ডা (বাজে) আবার গাছ</t>
  </si>
  <si>
    <t>অযোগ্যের বড়াই</t>
  </si>
  <si>
    <t>A cockroach is again a bird, a weed is again a tree—pretension.</t>
  </si>
  <si>
    <t>তেলে জলে খাপ/মিশ খায় না</t>
  </si>
  <si>
    <t>তেলে জলে মিশ খায় না (পুনরুক্তি)</t>
  </si>
  <si>
    <t>স্বভাবের অমিল</t>
  </si>
  <si>
    <t>Oil and water don't mix.</t>
  </si>
  <si>
    <t>তৈরী খাবার ছেড়ো না২</t>
  </si>
  <si>
    <t>তৈরি খাবার ছেড়ো না (দ্বিতীয়)</t>
  </si>
  <si>
    <t>লাভ ছেড়ো না</t>
  </si>
  <si>
    <t>Don't abandon a prepared meal.</t>
  </si>
  <si>
    <t>সুযোগ</t>
  </si>
  <si>
    <t>তোর লেগে মরি না, তোর গুণের লেগে মরি</t>
  </si>
  <si>
    <t>তোর জন্য মরি না, তোর গুণের জন্য মরি</t>
  </si>
  <si>
    <t>গুণের কদর</t>
  </si>
  <si>
    <t>I don't die for you, but for your virtues.</t>
  </si>
  <si>
    <t>তোর শিল তোর নোড়া তোরই ভাঙি দাঁতের গোড়া২</t>
  </si>
  <si>
    <t>তোর শিল, তোর নোড়া, তোরই ভাঙি দাঁতের গোড়া (দ্বিতীয়)</t>
  </si>
  <si>
    <t>প্রতিশোধ</t>
  </si>
  <si>
    <t>Using your own tools to harm you.</t>
  </si>
  <si>
    <t>ডুপ্লিকেট - id 4418 রাখা হচ্ছে, এই row বাদ দাও।</t>
  </si>
  <si>
    <t>তোর শিল তোর নোড়া তোরই ভাঙি দাঁতের গোড়া৩</t>
  </si>
  <si>
    <t>তোর শিল, তোর নোড়া, তোরই ভাঙি দাঁতের গোড়া (তৃতীয়)</t>
  </si>
  <si>
    <t>স্ববিনাশ</t>
  </si>
  <si>
    <t>Break your teeth with your own grinding stone.</t>
  </si>
  <si>
    <t>আত্মঘাতী</t>
  </si>
  <si>
    <t>থোঁতা মুখ ভোঁতা করা/হওয়া২</t>
  </si>
  <si>
    <t>থোঁতা মুখ ভোঁতা (দ্বিতীয়)</t>
  </si>
  <si>
    <t>দম্ভ চূর্ণ করা</t>
  </si>
  <si>
    <t>Making a pouting face blunt.</t>
  </si>
  <si>
    <t>দমন</t>
  </si>
  <si>
    <t>ডুপ্লিকেট - id 4438 রাখা হচ্ছে, এই row বাদ দাও।</t>
  </si>
  <si>
    <t>দাদা কানা ভাই চোখে দেখে না</t>
  </si>
  <si>
    <t>দাদা কানা, ভাই চোখে দেখে না</t>
  </si>
  <si>
    <t>দুজনেই অক্ষম</t>
  </si>
  <si>
    <t>Elder brother blind, younger brother can't see—both useless.</t>
  </si>
  <si>
    <t>অক্ষম</t>
  </si>
  <si>
    <t>অক্ষমতা</t>
  </si>
  <si>
    <t>দারা-পুত্র-পরিবার কেউ নয় আপনার</t>
  </si>
  <si>
    <t>স্ত্রী-পুত্র-পরিবার কেউ আপনার নয়</t>
  </si>
  <si>
    <t>সংসার অস্থায়ী</t>
  </si>
  <si>
    <t>Wife, son, family—none are truly yours.</t>
  </si>
  <si>
    <t>স্ত্রী/পুত্র</t>
  </si>
  <si>
    <t>বৈরাগ্য</t>
  </si>
  <si>
    <t>target 'স্ত্রী/পুত্র' দুই category মেশানো, ফরম্যাট ঠিক করো।</t>
  </si>
  <si>
    <t>দিনকে রাত করা, রাতকে দিন করা২</t>
  </si>
  <si>
    <t>দিনকে রাত, রাতকে দিন (দ্বিতীয়)</t>
  </si>
  <si>
    <t>অপ্রাকৃত কাজ</t>
  </si>
  <si>
    <t>Making day night, night day—inversion.</t>
  </si>
  <si>
    <t>উল্টো</t>
  </si>
  <si>
    <t>ডুপ্লিকেট - id 4520 রাখা হচ্ছে, এই row বাদ দাও।</t>
  </si>
  <si>
    <t>দিনে খাওয়ার পর কিছুক্ষণ বস; রাতে খাওয়ার পর অনেক্ষণ হাঁটো</t>
  </si>
  <si>
    <t>দিনে খাওয়ার পর বস, রাতে খাওয়ার পর হাঁট</t>
  </si>
  <si>
    <t>স্বাস্থ্যবিধি</t>
  </si>
  <si>
    <t>Sit after a day meal, walk after a night meal.</t>
  </si>
  <si>
    <t>স্বাস্থ্য</t>
  </si>
  <si>
    <t>দিনে বাতি যার ঘরে, তার ভিটায় ঘুঘু চরে</t>
  </si>
  <si>
    <t>যার ঘরে দিনে বাতি জ্বলে, তার ভিটায় ঘুঘু চরে</t>
  </si>
  <si>
    <t>অপচয়ে সর্বনাশ</t>
  </si>
  <si>
    <t>One who burns lamp by day will have owls on his homestead—waste leads ruin.</t>
  </si>
  <si>
    <t>অপচয়</t>
  </si>
  <si>
    <t>দিব্যং চূতফলং প্রাপ্য ন গর্বং যাতি কোকিলঃ</t>
  </si>
  <si>
    <t>দিব্য আম ফল পেয়েও কোকিল গর্বিত হয় না</t>
  </si>
  <si>
    <t>গুণীর বিনয়</t>
  </si>
  <si>
    <t>Having received the divine mango, the cuckoo doesn't become proud.</t>
  </si>
  <si>
    <t>বিনয়</t>
  </si>
  <si>
    <t>দীয়তাং ভুজ্যতাং</t>
  </si>
  <si>
    <t>দান করা হোক, ভোজন করা হোক</t>
  </si>
  <si>
    <t>উদারতা ও ভোগ</t>
  </si>
  <si>
    <t>Let it be given, let it be enjoyed.</t>
  </si>
  <si>
    <t>দুই নৌকায় পা৩</t>
  </si>
  <si>
    <t>দুই নৌকায় পা (তৃতীয়)</t>
  </si>
  <si>
    <t>সুবিধাবাদী</t>
  </si>
  <si>
    <t>Keeping feet in two boats—opportunistic.</t>
  </si>
  <si>
    <t>সুবিধাবাদ</t>
  </si>
  <si>
    <t>ডুপ্লিকেট - id 4535 রাখা হচ্ছে, এই row বাদ দাও।</t>
  </si>
  <si>
    <t>দুইয়ে দুইয়ে চার-এর মতই সহজ</t>
  </si>
  <si>
    <t>দুইয়ে দুইয়ে চার-এর মতোই সহজ</t>
  </si>
  <si>
    <t>খুব সহজ</t>
  </si>
  <si>
    <t>As easy as two plus two equals four.</t>
  </si>
  <si>
    <t>সহজতা</t>
  </si>
  <si>
    <t>দুঃখী যায় সুখীর কাছে, দুঃখ যায় পাছেপাছে</t>
  </si>
  <si>
    <t>দুঃখী যায় সুখীর কাছে, দুঃখ যায় পিছু পিছু</t>
  </si>
  <si>
    <t>দুঃখ ছাড়ে না</t>
  </si>
  <si>
    <t>The sorrowful goes to the happy, but sorrow follows behind.</t>
  </si>
  <si>
    <t>দুঃখ</t>
  </si>
  <si>
    <t>দুধকে দুধ জলকে জলি৩</t>
  </si>
  <si>
    <t>দুধকে দুধ, জলকে জল (তৃতীয়)</t>
  </si>
  <si>
    <t>সত্য স্বীকার</t>
  </si>
  <si>
    <t>Calling milk milk, water water.</t>
  </si>
  <si>
    <t>এই প্রবাদের ডুপ্লিকেট আছে (id: 4561, 4562), এটা রাখো (সবচেয়ে ছোট id)।</t>
  </si>
  <si>
    <t>দুধকে দুধ জলকে জলি৪</t>
  </si>
  <si>
    <t>দুধকে দুধ, জলকে জল (চতুর্থ)</t>
  </si>
  <si>
    <t>নির্ভুল বিচার</t>
  </si>
  <si>
    <t>Milk as milk, water as water.</t>
  </si>
  <si>
    <t>ডুপ্লিকেট - id 4561 রাখা হচ্ছে, এই row বাদ দাও।</t>
  </si>
  <si>
    <t>দুর্ভাগ্য অনেক স্থলে সৌভাগ্যের কারণ হয়</t>
  </si>
  <si>
    <t>দুর্ভাগ্য অনেক সময় সৌভাগ্যের কারণ হয়</t>
  </si>
  <si>
    <t>মন্দ থেকে ভালো</t>
  </si>
  <si>
    <t>Misfortune often becomes the cause of good fortune.</t>
  </si>
  <si>
    <t>দেনার চেয়ে পাপ নেই</t>
  </si>
  <si>
    <t>ঋণ করা মহাপাপ</t>
  </si>
  <si>
    <t>There is no sin greater than debt.</t>
  </si>
  <si>
    <t>দেবতারা সৌরভ ভালবাসে</t>
  </si>
  <si>
    <t>দেবতারা সুবাস ভালোবাসে</t>
  </si>
  <si>
    <t>সুগন্ধ প্রিয়</t>
  </si>
  <si>
    <t>The gods love fragrance.</t>
  </si>
  <si>
    <t>ধর্ম</t>
  </si>
  <si>
    <t>দেশে নেই যা ছেলে মাগে তা</t>
  </si>
  <si>
    <t>দেশে নেই যা, সন্তান তা-ই চায়</t>
  </si>
  <si>
    <t>অসম্ভব আবদার</t>
  </si>
  <si>
    <t>The child demands what's not in the country.</t>
  </si>
  <si>
    <t>সন্তান</t>
  </si>
  <si>
    <t>ধন জন পরিবার, কেউ নয় আপনার</t>
  </si>
  <si>
    <t>ধন, জন, পরিবার—কেউ আপনার নয়</t>
  </si>
  <si>
    <t>সংসার অনিত্য</t>
  </si>
  <si>
    <t>Wealth, people, family—none are yours.</t>
  </si>
  <si>
    <t>ধন জন যৌবন- জোয়ারের জল কতক্ষণ</t>
  </si>
  <si>
    <t>ধন, জন, যৌবন—জোয়ারের জল কতক্ষণ?</t>
  </si>
  <si>
    <t>সব ক্ষণস্থায়ী</t>
  </si>
  <si>
    <t>Wealth, people, youth—like high tide, how long?</t>
  </si>
  <si>
    <t>ক্ষণস্থায়ী</t>
  </si>
  <si>
    <t>ধর্মস্য কুটিলা/সূক্ষ্মা গতিঃ</t>
  </si>
  <si>
    <t>ধর্মের গতি কুটিল/সূক্ষ্ম</t>
  </si>
  <si>
    <t>ধর্মের পথ জটিল</t>
  </si>
  <si>
    <t>The ways of righteousness are subtle.</t>
  </si>
  <si>
    <t>এই প্রবাদের ডুপ্লিকেট আছে (id: 4652, 4653), এটা রাখো (সবচেয়ে ছোট id)।</t>
  </si>
  <si>
    <t>ধর্মস্য কুটিলা/সূক্ষ্মা গতিঃ২</t>
  </si>
  <si>
    <t>ধর্মের গতি কুটিল/সূক্ষ্ম (দ্বিতীয়)</t>
  </si>
  <si>
    <t>ধর্ম বোঝা কঠিন</t>
  </si>
  <si>
    <t>The course of Dharma is intricate.</t>
  </si>
  <si>
    <t>ডুপ্লিকেট - id 4652 রাখা হচ্ছে, এই row বাদ দাও।</t>
  </si>
  <si>
    <t>ধর্মের পথ বড়ই কঠিন</t>
  </si>
  <si>
    <t>ধর্মের পথ বড় কঠিন</t>
  </si>
  <si>
    <t>ধর্ম পালন কঠিন</t>
  </si>
  <si>
    <t>The path of righteousness is very difficult.</t>
  </si>
  <si>
    <t>ধর্মো রক্ষতি ধার্মিকম্</t>
  </si>
  <si>
    <t>ধর্ম ধার্মিককে রক্ষা করে</t>
  </si>
  <si>
    <t>ধর্মই রক্ষাকবচ</t>
  </si>
  <si>
    <t>Dharma protects the righteous.</t>
  </si>
  <si>
    <t>ধানকাঠের তক্তা</t>
  </si>
  <si>
    <t>দুর্বল ও অকেজো</t>
  </si>
  <si>
    <t>A plank of paddy stalk—weak.</t>
  </si>
  <si>
    <t>ধানকাঠের মই বেয়ে চাঁদ পেড়ে আনা</t>
  </si>
  <si>
    <t>ধানকাঠের মই বেয়ে চাঁদ পাড়া</t>
  </si>
  <si>
    <t>অসম্ভব কাজ</t>
  </si>
  <si>
    <t>Fetching the moon by a ladder of paddy stalks—impossible.</t>
  </si>
  <si>
    <t>ধানগাছ চেনেন না?</t>
  </si>
  <si>
    <t>একদম অজ্ঞ</t>
  </si>
  <si>
    <t>Don't you know paddy plant?—ignorant.</t>
  </si>
  <si>
    <t>ধার করে কানে সোনা</t>
  </si>
  <si>
    <t>ঋণে বিলাস</t>
  </si>
  <si>
    <t>Borrowing for gold earrings—vanity.</t>
  </si>
  <si>
    <t>নারী</t>
  </si>
  <si>
    <t>ধারে কাটে আর ভারে কাটে২</t>
  </si>
  <si>
    <t>ধারে কাটে, ভারে কাটে (দ্বিতীয়)</t>
  </si>
  <si>
    <t>সবদিক থেকে চাপ</t>
  </si>
  <si>
    <t>Attacking by sharpness and by weight.</t>
  </si>
  <si>
    <t>কৌশল</t>
  </si>
  <si>
    <t>ডুপ্লিকেট - id 4685 রাখা হচ্ছে, এই row বাদ দাও।</t>
  </si>
  <si>
    <t>ধারে কাটে আর ভারে কাটে৩</t>
  </si>
  <si>
    <t>ধারে কাটে, ভারে কাটে (তৃতীয়)</t>
  </si>
  <si>
    <t>দ্বিমুখী ক্ষতি</t>
  </si>
  <si>
    <t>Cuts both by edge and weight—double.</t>
  </si>
  <si>
    <t>ক্ষতি</t>
  </si>
  <si>
    <t>ধৈর্য ধর যা তুমি চাও তাই পাবে</t>
  </si>
  <si>
    <t>ধৈর্য ধর, যা চাও তাই পাবে</t>
  </si>
  <si>
    <t>ধৈর্যতে সফলতা</t>
  </si>
  <si>
    <t>Have patience and you'll get what you want.</t>
  </si>
  <si>
    <t>ধোবি কা কুত্তা (কুতা?) না ঘরকা না ঘাটকা</t>
  </si>
  <si>
    <t>ধোপার কুকুর না ঘরের, না ঘাটের</t>
  </si>
  <si>
    <t>যার ঠাঁই নেই</t>
  </si>
  <si>
    <t>The washerman's dog—neither at home nor at the ghat.</t>
  </si>
  <si>
    <t>অসহায়তা</t>
  </si>
  <si>
    <t>ন কূপখননং কার্যং প্রদীপ্তবহ্নিনা গৃহে</t>
  </si>
  <si>
    <t>ঘরে জ্বলন্ত আগুন থাকলে কূপ খনন নয়</t>
  </si>
  <si>
    <t>আগে জরুরি কাজ</t>
  </si>
  <si>
    <t>Don't dig a well while the house is on fire.</t>
  </si>
  <si>
    <t>প্রাথমিকতা</t>
  </si>
  <si>
    <t>ন গৃহং গৃহমিত্যাহু গৃহিণী গৃহমুচ্যতে</t>
  </si>
  <si>
    <t>গৃহকে গৃহ বলে না, গৃহিণীকেই গৃহ বলে</t>
  </si>
  <si>
    <t>গৃহিণীই গৃহ</t>
  </si>
  <si>
    <t>A house is not a home; the wife makes it home.</t>
  </si>
  <si>
    <t>গৃহিণী (নারী)</t>
  </si>
  <si>
    <t>পরিবার</t>
  </si>
  <si>
    <t>ন চলতি খলু বাক্যং সাধুনাং কদাচিৎ</t>
  </si>
  <si>
    <t>সাধুদের বাক্য কখনো ব্যর্থ হয় না</t>
  </si>
  <si>
    <t>সৎ কথার ফল হয়</t>
  </si>
  <si>
    <t>The words of the righteous never fail.</t>
  </si>
  <si>
    <t>নদীকূল/তীরেে বাস ভাবনা বারোমাস</t>
  </si>
  <si>
    <t>নদীর তীরে বাস, বারো মাস ভাবনা</t>
  </si>
  <si>
    <t>সর্বদা উদ্বেগ</t>
  </si>
  <si>
    <t>Living by the riverbank—twelve months of worry.</t>
  </si>
  <si>
    <t>দুশ্চিন্তা</t>
  </si>
  <si>
    <t>নদীর এক কূল ভাঙ্গে আর এক কূল গড়ে এই তো নদীর খেলা- নজরুল</t>
  </si>
  <si>
    <t>নদী এক কূল ভাঙে, এক কূল গড়ে, এ তো নদীর খেলা</t>
  </si>
  <si>
    <t>প্রকৃতির নিয়ম</t>
  </si>
  <si>
    <t>The river breaks one bank and builds another—its play.</t>
  </si>
  <si>
    <t>প্রকৃতি</t>
  </si>
  <si>
    <t>নদীর স্রোতের প্রায় সময় বহিয়া যায়</t>
  </si>
  <si>
    <t>নদীর স্রোতের মতো সময় বয়ে যায়</t>
  </si>
  <si>
    <t>সময় চলে যায়</t>
  </si>
  <si>
    <t>Time flows like a river current.</t>
  </si>
  <si>
    <t>ন দুঃখং পঞ্চভিসহ</t>
  </si>
  <si>
    <t>পঞ্চভিসহ? অস্পষ্ট</t>
  </si>
  <si>
    <t>অর্থহীন/বিরল</t>
  </si>
  <si>
    <t>Unclear phrase.</t>
  </si>
  <si>
    <t>অস্পষ্ট</t>
  </si>
  <si>
    <t>ন দেবায় ন ধর্মায়১</t>
  </si>
  <si>
    <t>দেবতায় নয়, ধর্মে নয়</t>
  </si>
  <si>
    <t>সবদিক শূন্য</t>
  </si>
  <si>
    <t>Neither for deity nor for duty.</t>
  </si>
  <si>
    <t>এই প্রবাদের ডুপ্লিকেট আছে (id: 4753, 4754), এটা রাখো (সবচেয়ে ছোট id)।</t>
  </si>
  <si>
    <t>ন দেবায় ন ধর্মায়২</t>
  </si>
  <si>
    <t>দেবতায় নয়, ধর্মে নয় (দ্বিতীয়)</t>
  </si>
  <si>
    <t>কোনো কাজে নেই</t>
  </si>
  <si>
    <t>Neither for God nor for religion—useless.</t>
  </si>
  <si>
    <t>ডুপ্লিকেট - id 4753 রাখা হচ্ছে, এই row বাদ দাও।</t>
  </si>
  <si>
    <t>নদের গোরাচাঁদ</t>
  </si>
  <si>
    <t>সুন্দর পুরুষ</t>
  </si>
  <si>
    <t>The fair moon of the river—handsome.</t>
  </si>
  <si>
    <t>ছেলে/পুরুষ</t>
  </si>
  <si>
    <t>সৌন্দর্য</t>
  </si>
  <si>
    <t>ন দোষ লভতি মহী</t>
  </si>
  <si>
    <t>পৃথিবী দোষ পায় না</t>
  </si>
  <si>
    <t>পৃথিবী নির্দোষ</t>
  </si>
  <si>
    <t>The earth incurs no blame.</t>
  </si>
  <si>
    <t>নিরপেক্ষতা</t>
  </si>
  <si>
    <t>ন পাপমনৃতাৎ পরম</t>
  </si>
  <si>
    <t>মিথ্যার চেয়ে বড় পাপ নেই</t>
  </si>
  <si>
    <t>সত্য সর্বোচ্চ</t>
  </si>
  <si>
    <t>There is no sin greater than falsehood.</t>
  </si>
  <si>
    <t>নবাবী চাল</t>
  </si>
  <si>
    <t>বিলাসী আচরণ</t>
  </si>
  <si>
    <t>Nawabi style—extravagant.</t>
  </si>
  <si>
    <t>ধনী</t>
  </si>
  <si>
    <t>বিলাস</t>
  </si>
  <si>
    <t>ন ভূতং ন ভবিষ্যতি</t>
  </si>
  <si>
    <t>আগেও ছিল না, ভবিষ্যতেও হবে না</t>
  </si>
  <si>
    <t>অসাধারণ বিরল</t>
  </si>
  <si>
    <t>Never before, never again.</t>
  </si>
  <si>
    <t>বিরল</t>
  </si>
  <si>
    <t>ন চন্দনো বনে বনে</t>
  </si>
  <si>
    <t>প্রতি বনে চন্দন হয় না</t>
  </si>
  <si>
    <t>গুণী বিরল</t>
  </si>
  <si>
    <t>Sandalwood doesn't grow in every forest.</t>
  </si>
  <si>
    <t>ন মাণিক্যং শৈলে শৈলে</t>
  </si>
  <si>
    <t>প্রতি পাথরে মাণিক্য নেই</t>
  </si>
  <si>
    <t>মূল্যবান বিরল</t>
  </si>
  <si>
    <t>No ruby in every rock.</t>
  </si>
  <si>
    <t>ন মৌক্তিকং গজে গজে</t>
  </si>
  <si>
    <t>প্রতি হাতিতে মুক্তা নেই</t>
  </si>
  <si>
    <t>সবাই গুণী নয়</t>
  </si>
  <si>
    <t>Not every elephant has a pearl.</t>
  </si>
  <si>
    <t>ন মাতা শপতি পুত্রং</t>
  </si>
  <si>
    <t>মা পুত্রকে অভিশাপ দেয় না</t>
  </si>
  <si>
    <t>মায়ের স্নেহ</t>
  </si>
  <si>
    <t>A mother never curses her son.</t>
  </si>
  <si>
    <t>মা</t>
  </si>
  <si>
    <t>স্নেহ</t>
  </si>
  <si>
    <t>নয় মণ তেলও পুড়বে না, রাধাও নাচবে না</t>
  </si>
  <si>
    <t>কিছুই হবে না</t>
  </si>
  <si>
    <t>Neither nine maunds of oil will burn, nor Radha will dance—nothing.</t>
  </si>
  <si>
    <t>নারী (রাধা)</t>
  </si>
  <si>
    <t>নয়া যোগী ভিখ পায় না</t>
  </si>
  <si>
    <t>নতুন যোগী ভিক্ষা পায় না (পুনরুক্তি)</t>
  </si>
  <si>
    <t>নতুনের কদর নেই</t>
  </si>
  <si>
    <t>A new yogi gets no alms.</t>
  </si>
  <si>
    <t>মর্যাদা</t>
  </si>
  <si>
    <t>নরক গুলজার১</t>
  </si>
  <si>
    <t>নরক গুলজার (সুখময়)</t>
  </si>
  <si>
    <t>নরকেও সুখী</t>
  </si>
  <si>
    <t>Hell is prosperous—irony.</t>
  </si>
  <si>
    <t>বিপরীত</t>
  </si>
  <si>
    <t>এই প্রবাদের ডুপ্লিকেট আছে (id: 4778, 4779), এটা রাখো (সবচেয়ে ছোট id)।</t>
  </si>
  <si>
    <t>নরানাং নাপিতো ধূর্তঃ</t>
  </si>
  <si>
    <t>মানুষের মধ্যে নাপিত ধূর্ত</t>
  </si>
  <si>
    <t>নাপিত চতুর</t>
  </si>
  <si>
    <t>Among men, the barber is cunning.</t>
  </si>
  <si>
    <t>নাপিত</t>
  </si>
  <si>
    <t>চাতুর্য</t>
  </si>
  <si>
    <t>নরানাং মাতুলক্রমঃ</t>
  </si>
  <si>
    <t>মানুষের মধ্যে মামা (মাতুল) শ্রেষ্ঠ?</t>
  </si>
  <si>
    <t>মামার সম্মান</t>
  </si>
  <si>
    <t>Among men, the maternal uncle is honored.</t>
  </si>
  <si>
    <t>মামা</t>
  </si>
  <si>
    <t>সম্পর্ক</t>
  </si>
  <si>
    <t>নলিনীদলগতজলমতিতরলম ভবজ্জীবনমতিশয়চপলম</t>
  </si>
  <si>
    <t>পদ্মপাতার জল যেমন চঞ্চল, ভবের জীবন তেমন চঞ্চল</t>
  </si>
  <si>
    <t>জীবন অস্থায়ী</t>
  </si>
  <si>
    <t>Life is as unstable as water on a lotus leaf.</t>
  </si>
  <si>
    <t>জীবন</t>
  </si>
  <si>
    <t>নসদিদং জগতিত্যবধারয়</t>
  </si>
  <si>
    <t>এই জগৎ সৎ নয় বলে জানবে</t>
  </si>
  <si>
    <t>সংসার মিথ্যা</t>
  </si>
  <si>
    <t>Know that this world is unreal.</t>
  </si>
  <si>
    <t>দর্শন</t>
  </si>
  <si>
    <t>ন সন্তোষাৎ পরম সুখম্</t>
  </si>
  <si>
    <t>সন্তোষের চেয়ে বড় সুখ নেই</t>
  </si>
  <si>
    <t>সন্তোষই সুখ</t>
  </si>
  <si>
    <t>There is no happiness greater than contentment.</t>
  </si>
  <si>
    <t>সন্তোষ</t>
  </si>
  <si>
    <t>ন সাহসমনারুহ্য নরো ভদ্রাণি পশ্যতি</t>
  </si>
  <si>
    <t>সাহস না করে মানুষ কল্যাণ দেখে না</t>
  </si>
  <si>
    <t>ঝুঁকি নিলে লাভ</t>
  </si>
  <si>
    <t>Without daring, no one sees prosperity.</t>
  </si>
  <si>
    <t>সাহস</t>
  </si>
  <si>
    <t>ন স্বাতন্ত্র্যাৎ পরম সুখম</t>
  </si>
  <si>
    <t>স্বাধীনতার চেয়ে বড় সুখ নেই</t>
  </si>
  <si>
    <t>স্বাধীনতাই সুখ</t>
  </si>
  <si>
    <t>There is no happiness greater than independence.</t>
  </si>
  <si>
    <t>স্বাধীনতা</t>
  </si>
  <si>
    <t>ন হন্যতে হন্যমানে শরীরে</t>
  </si>
  <si>
    <t>শরীর নষ্ট হলেও আত্মা নষ্ট হয় না</t>
  </si>
  <si>
    <t>আত্মা অবিনশ্বর</t>
  </si>
  <si>
    <t>The soul is not slain when the body is slain.</t>
  </si>
  <si>
    <t>ন হিংসা করতি সাধু</t>
  </si>
  <si>
    <t>সাধু হিংসা করে না</t>
  </si>
  <si>
    <t>সাধু অহিংস</t>
  </si>
  <si>
    <t>A saint does no harm.</t>
  </si>
  <si>
    <t>ন হি সাধবো সর্বত্র</t>
  </si>
  <si>
    <t>সাধু সর্বত্র নেই</t>
  </si>
  <si>
    <t>Saints are not everywhere.</t>
  </si>
  <si>
    <t>ন হি সুখং দুঃখখৈর্বিনা লভ্যতে</t>
  </si>
  <si>
    <t>দুঃখ ছাড়া সুখ লাভ হয় না</t>
  </si>
  <si>
    <t>দুঃখের পর সুখ</t>
  </si>
  <si>
    <t>No happiness is obtained without pain.</t>
  </si>
  <si>
    <t>নাই ধন তো যাও বন</t>
  </si>
  <si>
    <t>ধন নেই তো বনে যাও</t>
  </si>
  <si>
    <t>অভাবে বৈরাগ্য</t>
  </si>
  <si>
    <t>If no wealth, go to the forest.</t>
  </si>
  <si>
    <t>দরিদ্র</t>
  </si>
  <si>
    <t>নাই ভাত নুন দিয়ে খাবো</t>
  </si>
  <si>
    <t>ভাত নেই, নুন দিয়ে খাব</t>
  </si>
  <si>
    <t>অভাবেও ভান</t>
  </si>
  <si>
    <t>No rice, but I'll eat salt—pretension.</t>
  </si>
  <si>
    <t>নাই মামার চেয়ে কানা মামা ভালো</t>
  </si>
  <si>
    <t>না থাকার চেয়ে খারাপ কিছু থাকা ভালো</t>
  </si>
  <si>
    <t>অল্প কিছু ভালো</t>
  </si>
  <si>
    <t>A blind uncle is better than no uncle.</t>
  </si>
  <si>
    <t>সান্ত্বনা</t>
  </si>
  <si>
    <t>নাক নেই তার নথ নাড়া</t>
  </si>
  <si>
    <t>নাক নেই, নথ নাড়া</t>
  </si>
  <si>
    <t>No nose, but shakes the nose ring.</t>
  </si>
  <si>
    <t>নাগপাশের বন্ধন</t>
  </si>
  <si>
    <t>মজবুত বাঁধন</t>
  </si>
  <si>
    <t>The snake's coil—strong bond.</t>
  </si>
  <si>
    <t>বাঁধন</t>
  </si>
  <si>
    <t>নাচতে না জানলে উঠান বাঁকা/ উঠানের দোষ</t>
  </si>
  <si>
    <t>নাচতে না জানলে উঠোন বাঁকা</t>
  </si>
  <si>
    <t>অক্ষমের অজুহাত</t>
  </si>
  <si>
    <t>If you can't dance, the courtyard is crooked.</t>
  </si>
  <si>
    <t>অজুহাত</t>
  </si>
  <si>
    <t>নাতির নাতি স্বর্গের বাতি</t>
  </si>
  <si>
    <t>বংশের গৌরব</t>
  </si>
  <si>
    <t>Grandson's grandson is a lamp of heaven—pride.</t>
  </si>
  <si>
    <t>পুরুষ বংশধর</t>
  </si>
  <si>
    <t>বংশ</t>
  </si>
  <si>
    <t>নাথবতী অনাথবৎ</t>
  </si>
  <si>
    <t>স্বামী থাকতেও বিধবার মতো</t>
  </si>
  <si>
    <t>দুর্ভাগা নারী</t>
  </si>
  <si>
    <t>With a husband, yet like a widow—neglected.</t>
  </si>
  <si>
    <t>লিঙ্গ</t>
  </si>
  <si>
    <t>না-দেওয়া কাঁঠালের শাওনে (শ্রাবণমাসে) পাক</t>
  </si>
  <si>
    <t>না দেওয়া কাঁঠাল শ্রাবণে পাকে</t>
  </si>
  <si>
    <t>অসময়ে সুযোগ</t>
  </si>
  <si>
    <t>An unripe jackfruit ripens in Shravan—unexpected.</t>
  </si>
  <si>
    <t>অসময়</t>
  </si>
  <si>
    <t>নানামুনির নানামত</t>
  </si>
  <si>
    <t>নানা মুনির নানা মত</t>
  </si>
  <si>
    <t>সবার মত আলাদা</t>
  </si>
  <si>
    <t>Many sages, many opinions.</t>
  </si>
  <si>
    <t>ডুপ্লিকেট - id 78 রাখা হচ্ছে, এই row বাদ দাও।</t>
  </si>
  <si>
    <t>নান্যপন্থা বিদ্যতে অয়নায়</t>
  </si>
  <si>
    <t>অন্য পথ নেই</t>
  </si>
  <si>
    <t>একটাই পথ</t>
  </si>
  <si>
    <t>There is no other path.</t>
  </si>
  <si>
    <t>না পড়েই পণ্ডিত২</t>
  </si>
  <si>
    <t>না পড়েই পণ্ডিত (দ্বিতীয়)</t>
  </si>
  <si>
    <t>অপণ্ডিতের দাবি</t>
  </si>
  <si>
    <t>A scholar without reading.</t>
  </si>
  <si>
    <t>ভণ্ড</t>
  </si>
  <si>
    <t>ডুপ্লিকেট - id 4843 রাখা হচ্ছে, এই row বাদ দাও।</t>
  </si>
  <si>
    <t>নাপিতের ষোলচোঙা বুদ্ধি</t>
  </si>
  <si>
    <t>নাপিতের ষোল চোঙা বুদ্ধি</t>
  </si>
  <si>
    <t>অনেক চাতুরী</t>
  </si>
  <si>
    <t>A barber's sixteen-barrel wit—cunning.</t>
  </si>
  <si>
    <t>না বিয়ায়ে কানাইয়ের মা১</t>
  </si>
  <si>
    <t>বিয়ে না করেই কানাইয়ের মা</t>
  </si>
  <si>
    <t>Mother of Kanai without marriage—impossible.</t>
  </si>
  <si>
    <t>না বিয়িয়ে কানাইয়ের মা২</t>
  </si>
  <si>
    <t>বিয়ে না করেই কানাইয়ের মা (দ্বিতীয়)</t>
  </si>
  <si>
    <t>অলৌকিক</t>
  </si>
  <si>
    <t>Being Kanai's mother without wedding—miracle.</t>
  </si>
  <si>
    <t>এই প্রবাদের ডুপ্লিকেট আছে (id: 4849, 4850), এটা রাখো (সবচেয়ে ছোট id)।</t>
  </si>
  <si>
    <t>না বিয়িয়ে কানাইয়ের মা৩</t>
  </si>
  <si>
    <t>বিয়ে না করেই কানাইয়ের মা (তৃতীয়)</t>
  </si>
  <si>
    <t>কুমারী মাতা</t>
  </si>
  <si>
    <t>Unwed mother—unheard of.</t>
  </si>
  <si>
    <t>ডুপ্লিকেট - id 4849 রাখা হচ্ছে, এই row বাদ দাও।</t>
  </si>
  <si>
    <t>নাম নিয়েছো তো শ‍য়তান হাজির২</t>
  </si>
  <si>
    <t>নাম নিলেই শয়তান হাজির (দ্বিতীয়)</t>
  </si>
  <si>
    <t>অপাত্রের আগমন</t>
  </si>
  <si>
    <t>Mention the devil and he's here.</t>
  </si>
  <si>
    <t>কুসংস্কার</t>
  </si>
  <si>
    <t>ডুপ্লিকেট - id 4852 রাখা হচ্ছে, এই row বাদ দাও।</t>
  </si>
  <si>
    <t>না যাইলে রাবণ বধে, যাইলে রাম</t>
  </si>
  <si>
    <t>না গেলে রাবণ বধ হয়, গেলে রাম</t>
  </si>
  <si>
    <t>যে করেই বিপদ</t>
  </si>
  <si>
    <t>Either way danger—Ravan kills if you don't go, Ram if you go.</t>
  </si>
  <si>
    <t>দ্বিধা</t>
  </si>
  <si>
    <t>না'র উপর গাড়ি, গাড়ির উপর না১</t>
  </si>
  <si>
    <t>না'-র উপর গাড়ি, গাড়ির উপর 'না'</t>
  </si>
  <si>
    <t>একগুঁয়ে জেদ</t>
  </si>
  <si>
    <t>No on top of cart, cart on top of no—stubbornness.</t>
  </si>
  <si>
    <t>গোঁয়ার</t>
  </si>
  <si>
    <t>এই প্রবাদের ডুপ্লিকেট আছে (id: 4864, 4865), এটা রাখো (সবচেয়ে ছোট id)।</t>
  </si>
  <si>
    <t>না'র উপর গাড়ি, গাড়ির উপর না২</t>
  </si>
  <si>
    <t>না'-র উপর গাড়ি, গাড়ির উপর 'না' (দ্বিতীয়)</t>
  </si>
  <si>
    <t>নাছোড়বান্দা</t>
  </si>
  <si>
    <t>Absolute refusal.</t>
  </si>
  <si>
    <t>ডুপ্লিকেট - id 4864 রাখা হচ্ছে, এই row বাদ দাও।</t>
  </si>
  <si>
    <t>না-রাম না-গঙ্গা১</t>
  </si>
  <si>
    <t>না রাম, না গঙ্গা</t>
  </si>
  <si>
    <t>কোনো দিকেই না</t>
  </si>
  <si>
    <t>Neither Ram nor Ganga—neither way.</t>
  </si>
  <si>
    <t>না-রাম-না-গঙ্গা২</t>
  </si>
  <si>
    <t>না রাম, না গঙ্গা (দ্বিতীয়)</t>
  </si>
  <si>
    <t>কিছুই না</t>
  </si>
  <si>
    <t>Neither this nor that.</t>
  </si>
  <si>
    <t>নাস্তি ত্যাগসমং সুখম</t>
  </si>
  <si>
    <t>ত্যাগের মতো সুখ নেই</t>
  </si>
  <si>
    <t>ত্যাগেই সুখ</t>
  </si>
  <si>
    <t>There is no happiness like renunciation.</t>
  </si>
  <si>
    <t>ত্যাগ</t>
  </si>
  <si>
    <t>নাস্তি বিদ্যাসমং চক্ষু</t>
  </si>
  <si>
    <t>বিদ্যার মতো চোখ নেই</t>
  </si>
  <si>
    <t>জ্ঞানই চক্ষু</t>
  </si>
  <si>
    <t>There is no eye like knowledge.</t>
  </si>
  <si>
    <t>নাস্তি সতসমং তপঃ</t>
  </si>
  <si>
    <t>সৎ (ভালো)র মতো তপস্যা নেই</t>
  </si>
  <si>
    <t>সততাই তপস্যা</t>
  </si>
  <si>
    <t>There is no penance like truth.</t>
  </si>
  <si>
    <t>নাস্তিকের মুখে ধর্মকথা</t>
  </si>
  <si>
    <t>বেমানান</t>
  </si>
  <si>
    <t>An atheist speaking of religion—incongruous.</t>
  </si>
  <si>
    <t>নাস্তিক</t>
  </si>
  <si>
    <t>নিকুলে চুকুলে ঘর কামালে জমালে বর</t>
  </si>
  <si>
    <t>নিকুলে চুকুলে ঘর, কামালে জমালে বর</t>
  </si>
  <si>
    <t>অর্থহীন ছড়া</t>
  </si>
  <si>
    <t>Nonsense rhyme.</t>
  </si>
  <si>
    <t>নিগোঁসাইয়ের খোদাই রক্ষক</t>
  </si>
  <si>
    <t>নিগোঁসাইয়ের ঈশ্বরই রক্ষাকর্তা</t>
  </si>
  <si>
    <t>অসহায়ের ঈশ্বর</t>
  </si>
  <si>
    <t>God is the protector of the helpless.</t>
  </si>
  <si>
    <t>নিজে শুতে ঠাঁই পায় না শংকরাকে ডাকে</t>
  </si>
  <si>
    <t>নিজে শোবার জায়গা নেই, শংকরকে ডাকে</t>
  </si>
  <si>
    <t>অক্ষমের ভান</t>
  </si>
  <si>
    <t>No place to sleep, yet invites Shankara.</t>
  </si>
  <si>
    <t>নিজের অজ্ঞতার পরিমাণ জানাটাই আসল জ্ঞান- কনফুসিয়াস</t>
  </si>
  <si>
    <t>নিজের অজ্ঞতা জানাই আসল জ্ঞান</t>
  </si>
  <si>
    <t>আত্মজ্ঞান</t>
  </si>
  <si>
    <t>Knowing your own ignorance is true wisdom.</t>
  </si>
  <si>
    <t>নিজের উন্নতিতে ব্যস্ত থাকো যাতে অন্যের সমালোচনা করার সময় না পাও</t>
  </si>
  <si>
    <t>নিজের উন্নতি নিয়ে ব্যস্ত থাকো, অন্যের সমালোচনার সময় পাবে না</t>
  </si>
  <si>
    <t>আত্মোন্নতি</t>
  </si>
  <si>
    <t>Be busy improving yourself so you have no time to criticize others.</t>
  </si>
  <si>
    <t>নিজের কেচ্ছা নিজেই গাওয়া</t>
  </si>
  <si>
    <t>নিজের কীর্তি নিজেই গাওয়া</t>
  </si>
  <si>
    <t>আত্মপ্রচার</t>
  </si>
  <si>
    <t>Singing your own saga.</t>
  </si>
  <si>
    <t>নিজের ঢাক/ঢোল নিজে পেটায়</t>
  </si>
  <si>
    <t>নিজের ঢাক নিজে পেটায় (পুনরুক্তি)</t>
  </si>
  <si>
    <t>Beats his own drum.</t>
  </si>
  <si>
    <t>নিজের পায়ে কুড়াল মারা</t>
  </si>
  <si>
    <t>নিজের পায়ে কুড়াল মারা (পুনরুক্তি)</t>
  </si>
  <si>
    <t>নিজের ক্ষতি</t>
  </si>
  <si>
    <t>Striking one's own foot with an axe.</t>
  </si>
  <si>
    <t>নিজের মান নিজে রাখো, কাটা কান চুলদে ঢাকো</t>
  </si>
  <si>
    <t>নিজের মান নিজে রাখো, কাটা কান চুলে ঢাকো (পুনরুক্তি)</t>
  </si>
  <si>
    <t>নিজের দোষ গোপন</t>
  </si>
  <si>
    <t>Keep self-respect; hide the cut ear with hair.</t>
  </si>
  <si>
    <t>নিতে জানে দিতে জানে না</t>
  </si>
  <si>
    <t>নিতে জানে, দিতে জানে না</t>
  </si>
  <si>
    <t>Knows how to take, not to give.</t>
  </si>
  <si>
    <t>স্বার্থ</t>
  </si>
  <si>
    <t>নিবেদনমিদং এতৎ</t>
  </si>
  <si>
    <t>এই নিবেদন</t>
  </si>
  <si>
    <t>বিনীত নিবেদন</t>
  </si>
  <si>
    <t>This is my submission.</t>
  </si>
  <si>
    <t>ভক্তি</t>
  </si>
  <si>
    <t>নিবেদনের আগে প্রসাদ</t>
  </si>
  <si>
    <t>কাজের আগে ফল</t>
  </si>
  <si>
    <t>Prasad before offering—reverse order.</t>
  </si>
  <si>
    <t>নিয়ম বড় বালাই</t>
  </si>
  <si>
    <t>নিয়মই কঠিন</t>
  </si>
  <si>
    <t>Rules are a great evil—compulsion.</t>
  </si>
  <si>
    <t>নিয়ম</t>
  </si>
  <si>
    <t>নিয়মের জন্য মানুষ নয়, মানুষের জন্য নিয়ম</t>
  </si>
  <si>
    <t>মানুষ সবার আগে</t>
  </si>
  <si>
    <t>Rules are for man, not man for rules.</t>
  </si>
  <si>
    <t>মানবতা</t>
  </si>
  <si>
    <t>নিরাখালের খোদা রাখাল</t>
  </si>
  <si>
    <t>নিরাখালের ঈশ্বরই রাখাল</t>
  </si>
  <si>
    <t>God is the shepherd of the helpless.</t>
  </si>
  <si>
    <t>নির্গচ্ছতি/নির্জগাম যদা গজভুক্তকপিত্থবৎ</t>
  </si>
  <si>
    <t>হাতি খাওয়া কয়েৎ বেলের মতো নির্গত হয়</t>
  </si>
  <si>
    <t>অপরিপক্ক/অসার</t>
  </si>
  <si>
    <t>Comes out like a wood apple eaten by an elephant—waste.</t>
  </si>
  <si>
    <t>অসারতা</t>
  </si>
  <si>
    <t>নির্জীব ভক্ষকো গৃধঃ সজীবভক্ষকো বকঃ</t>
  </si>
  <si>
    <t>শকুন মৃত খায়, বক জীবন্ত খায়</t>
  </si>
  <si>
    <t>খাদকের ধরণ</t>
  </si>
  <si>
    <t>The vulture eats the dead, the crane eats the living.</t>
  </si>
  <si>
    <t>নির্ধনস্য কুতঃ সুখম?</t>
  </si>
  <si>
    <t>নির্ধনের সুখ কোথায়?</t>
  </si>
  <si>
    <t>গরিবের সুখ নেই</t>
  </si>
  <si>
    <t>What happiness for the poor?</t>
  </si>
  <si>
    <t>দারিদ্র্য</t>
  </si>
  <si>
    <t>নীরবতা হিরণময়</t>
  </si>
  <si>
    <t>নীরবতা সোনালি</t>
  </si>
  <si>
    <t>মৌনতা শ্রেষ্ঠ</t>
  </si>
  <si>
    <t>Silence is golden.</t>
  </si>
  <si>
    <t>মৌন</t>
  </si>
  <si>
    <t>নুতন যোগীর ভিক্ষা নাই</t>
  </si>
  <si>
    <t>নতুন যোগীর ভিক্ষা নেই (পুনরুক্তি)</t>
  </si>
  <si>
    <t>নেই-মামার চেয়ে কানামামা ভাল</t>
  </si>
  <si>
    <t>A blind uncle is better than no uncle—some is better than none</t>
  </si>
  <si>
    <t>ন্যাংটার গলায় মোতির মালা১</t>
  </si>
  <si>
    <t>উলঙ্গের গলায় মুক্তার মালা (পুনরুক্তি)</t>
  </si>
  <si>
    <t>Naked with pearl necklace—incongruous</t>
  </si>
  <si>
    <t>অযোগ্য</t>
  </si>
  <si>
    <t>এই প্রবাদের ডুপ্লিকেট আছে (id: 4984, 4985), এটা রাখো (সবচেয়ে ছোট id)।</t>
  </si>
  <si>
    <t>ন্যাংটার গলায় মোতির মালা২</t>
  </si>
  <si>
    <t>উলঙ্গের গলায় মুক্তার মালা (দ্বিতীয়)</t>
  </si>
  <si>
    <t>অযোগ্যের সাজ</t>
  </si>
  <si>
    <t>Pearl necklace on naked body</t>
  </si>
  <si>
    <t>ডুপ্লিকেট - id 4984 রাখা হচ্ছে, এই row বাদ দাও।</t>
  </si>
  <si>
    <t>ন্যাকড়ায় আগুন২</t>
  </si>
  <si>
    <t>ন্যাকড়ায় আগুন (দ্বিতীয়)</t>
  </si>
  <si>
    <t>গোপন আগুন</t>
  </si>
  <si>
    <t>Rag fire—hidden danger</t>
  </si>
  <si>
    <t>ডুপ্লিকেট - id 4989 রাখা হচ্ছে, এই row বাদ দাও।</t>
  </si>
  <si>
    <t>ন্যাড়া মাথায় খুশবু তেল</t>
  </si>
  <si>
    <t>ন্যাড়া মাথায় সুগন্ধি তেল</t>
  </si>
  <si>
    <t>বেমানান সাজ</t>
  </si>
  <si>
    <t>Perfumed oil on bald head—mismatch</t>
  </si>
  <si>
    <t>পকেট খালি তো মুখ কালি</t>
  </si>
  <si>
    <t>অভাবে লজ্জা</t>
  </si>
  <si>
    <t>Empty pocket, black face—shame</t>
  </si>
  <si>
    <t>পকেট ভারি তো মন হালকা</t>
  </si>
  <si>
    <t>পকেট ভরা তো মন হালকা</t>
  </si>
  <si>
    <t>অর্থে স্বস্তি</t>
  </si>
  <si>
    <t>Heavy pocket, light heart</t>
  </si>
  <si>
    <t>পটল তোলা</t>
  </si>
  <si>
    <t>মৃত্যু; সমাধি</t>
  </si>
  <si>
    <t>To pluck the pointed gourd—to die</t>
  </si>
  <si>
    <t>মৃত্যু</t>
  </si>
  <si>
    <t>পড়লে কথা বুঝতে নারে সেই বা কেমন মেয়ে, হাল নাই কাছি নাই সেই বা কেমন নেয়ে</t>
  </si>
  <si>
    <t>ইঙ্গিতে বোঝে না সে কেমন মেয়ে, হাল নেই কাছি নেই সে কেমন নেয়ে</t>
  </si>
  <si>
    <t>A girl who doesn't understand hints? A boatman without oars?</t>
  </si>
  <si>
    <t>পড়লো ফাগুন তো উঠল আগুন১</t>
  </si>
  <si>
    <t>ফাগুন পড়ল, আগুন উঠল</t>
  </si>
  <si>
    <t>বসন্তে গরম</t>
  </si>
  <si>
    <t>With Falgun comes heat—seasonal</t>
  </si>
  <si>
    <t>আবহাওয়া</t>
  </si>
  <si>
    <t>এই প্রবাদের ডুপ্লিকেট আছে (id: 5015, 5016), এটা রাখো (সবচেয়ে ছোট id)।</t>
  </si>
  <si>
    <t>পড়ে পাশা তো জেতে চাষা</t>
  </si>
  <si>
    <t>পাশা ফেললে চাষা জেতে</t>
  </si>
  <si>
    <t>ভাগ্যে লাভ</t>
  </si>
  <si>
    <t>In dice, the farmer wins—luck</t>
  </si>
  <si>
    <t>পথি নারী বিবর্জিতা২</t>
  </si>
  <si>
    <t>পথে বিবর্জিতা নারী (দ্বিতীয়)</t>
  </si>
  <si>
    <t>পথে একা নারী</t>
  </si>
  <si>
    <t>A destitute woman on the path</t>
  </si>
  <si>
    <t>ডুপ্লিকেট - id 5034 রাখা হচ্ছে, এই row বাদ দাও।</t>
  </si>
  <si>
    <t>পয়ঃনালি দিয়ে গঙ্গাজল বয় না</t>
  </si>
  <si>
    <t>দুধের নালা দিয়ে গঙ্গাজল বয় না</t>
  </si>
  <si>
    <t>Ganga water doesn't flow through a milk channel</t>
  </si>
  <si>
    <t>পয়সা থাকলে বেয়াই-এর বাপের শ্রাদ্ধ হয়; না থাকলে নিজের বাপের শ্রাদ্ধ হয় না</t>
  </si>
  <si>
    <t>টাকা থাকলে বেয়াইয়ের বাপের শ্রাদ্ধ হয়, না থাকলে নিজের বাপের হয় না</t>
  </si>
  <si>
    <t>With money, even in-law's father's funeral; without, not even own father's</t>
  </si>
  <si>
    <t>পয়সায় পয়সা আসে</t>
  </si>
  <si>
    <t>টাকায় টাকা আসে (পুনরুক্তি)</t>
  </si>
  <si>
    <t>ধনে ধন</t>
  </si>
  <si>
    <t>Money attracts money</t>
  </si>
  <si>
    <t>পর আর পরমেশ্বর</t>
  </si>
  <si>
    <t>অপরজনই ঈশ্বর</t>
  </si>
  <si>
    <t>A stranger is God—hospitality</t>
  </si>
  <si>
    <t>পরনিন্দা অধোগতি</t>
  </si>
  <si>
    <t>পরনিন্দায় পতন</t>
  </si>
  <si>
    <t>পরচর্চা পাপ</t>
  </si>
  <si>
    <t>Slandering others leads to downfall</t>
  </si>
  <si>
    <t>পরহিংসা নরকবাস</t>
  </si>
  <si>
    <t>পরের ক্ষতি নরক</t>
  </si>
  <si>
    <t>Harming others is hell</t>
  </si>
  <si>
    <t>পরিশ্রম সাফল্য চাবিকাঠি</t>
  </si>
  <si>
    <t>পরিশ্রম সাফল্যের চাবি</t>
  </si>
  <si>
    <t>পরিশ্রমই সফলতা</t>
  </si>
  <si>
    <t>Hard work is the key to success</t>
  </si>
  <si>
    <t>শ্রম</t>
  </si>
  <si>
    <t>পরের কাজটা পরে করি</t>
  </si>
  <si>
    <t>নিজের কাজ আগে</t>
  </si>
  <si>
    <t>Do others' work later—self first</t>
  </si>
  <si>
    <t>পরের পুতে বরের বাপ</t>
  </si>
  <si>
    <t>পরের পুত্রে বরের বাবা</t>
  </si>
  <si>
    <t>অন্যের সন্তানকে নিজের মনে</t>
  </si>
  <si>
    <t>Another's son makes one father of the groom—pretence</t>
  </si>
  <si>
    <t>আত্মপ্রতারণা</t>
  </si>
  <si>
    <t>এই প্রবাদের ডুপ্লিকেট আছে (id: 5097, 5113), এটা রাখো (সবচেয়ে ছোট id)।</t>
  </si>
  <si>
    <t>পরের পুত্রে বরের বাবা (পুনরুক্তি)</t>
  </si>
  <si>
    <t>অন্যের সন্তান নিয়ে গর্ব</t>
  </si>
  <si>
    <t>With another's son, acting father of the groom</t>
  </si>
  <si>
    <t>ডুপ্লিকেট - id 5097 রাখা হচ্ছে, এই row বাদ দাও।</t>
  </si>
  <si>
    <t>পরের ভাতে পুষলো যোগী উল্টে বলে পরবাস কি</t>
  </si>
  <si>
    <t>পরের ভাতে যোগী পুষল, উল্টে বলে পরবাস কি</t>
  </si>
  <si>
    <t>অকৃতজ্ঞতা</t>
  </si>
  <si>
    <t>Fed a yogi, he asks 'What's hospitality?'</t>
  </si>
  <si>
    <t>অকৃতজ্ঞ</t>
  </si>
  <si>
    <t>কৃতঘ্নতা</t>
  </si>
  <si>
    <t>পরের ভাতে বেগুন পোড়া</t>
  </si>
  <si>
    <t>পরের খরচে সখ</t>
  </si>
  <si>
    <t>Roasting brinjal on another's rice—enjoyment</t>
  </si>
  <si>
    <t>পরোপকারঃ পূণ্যায়, পাপায় পরপীড়নম্</t>
  </si>
  <si>
    <t>পরোপকার পুণ্য, পরপীড়ন পাপ</t>
  </si>
  <si>
    <t>পরোপকার পুণ্য</t>
  </si>
  <si>
    <t>Helping others is merit, harming others is sin</t>
  </si>
  <si>
    <t>পর্বতের আড়ালে আছি</t>
  </si>
  <si>
    <t>পাহাড়ের আড়ালে আছি</t>
  </si>
  <si>
    <t>নিরাপদে আছি</t>
  </si>
  <si>
    <t>I am behind the mountain—safe</t>
  </si>
  <si>
    <t>নিরাপত্তা</t>
  </si>
  <si>
    <t>পলকে প্রলয়</t>
  </si>
  <si>
    <t>মুহূর্তে সর্বনাশ</t>
  </si>
  <si>
    <t>হঠাৎ বিপদ</t>
  </si>
  <si>
    <t>Destruction in a moment</t>
  </si>
  <si>
    <t>পলতাগাছে পটল ফলেছে</t>
  </si>
  <si>
    <t>পলতা গাছে পটল ফলেছে</t>
  </si>
  <si>
    <t>Patal fruit on a jute plant—impossible</t>
  </si>
  <si>
    <t>পশ্চিমে সূর্যোদয়</t>
  </si>
  <si>
    <t>Sunrise in the west—impossible</t>
  </si>
  <si>
    <t>পাঁচ আঙুল সমান হয় না</t>
  </si>
  <si>
    <t>পাঁচ আঙুল সমান নয়</t>
  </si>
  <si>
    <t>সবার সমতা নেই</t>
  </si>
  <si>
    <t>Five fingers are not equal</t>
  </si>
  <si>
    <t>বৈচিত্র্য</t>
  </si>
  <si>
    <t>পাঁচদিন চোরের একদিন গৃহস্থের/সাধুর</t>
  </si>
  <si>
    <t>পাঁচ দিন চোরের, এক দিন গৃহস্থের/সাধুর</t>
  </si>
  <si>
    <t>পাপের ফল একদিন</t>
  </si>
  <si>
    <t>Five days for thief, one for householder/saint</t>
  </si>
  <si>
    <t>কর্মফল</t>
  </si>
  <si>
    <t>পাঁচশ জুতা গুণে খায়, ফুলের ঘায়ে মুর্ছা যায়</t>
  </si>
  <si>
    <t>অতিসংবেদনশীল</t>
  </si>
  <si>
    <t>Eats five hundred shoes, yet faints at a flower—exaggeration</t>
  </si>
  <si>
    <t>অতিরঞ্জন</t>
  </si>
  <si>
    <t>পাকলে ডুমুর পড়ে মর</t>
  </si>
  <si>
    <t>পাকলে ডুমুর পড়ে মরে</t>
  </si>
  <si>
    <t>অহংকারীর পতন</t>
  </si>
  <si>
    <t>When ripe, the fig falls—pride before fall</t>
  </si>
  <si>
    <t>অহংকারী</t>
  </si>
  <si>
    <t>পাখি চিনি গানে, ব্যক্তি চিনি কথায়</t>
  </si>
  <si>
    <t>পাখি চিনি গানে, ব্যক্তি কথায়</t>
  </si>
  <si>
    <t>পরিচয়ের উপায়</t>
  </si>
  <si>
    <t>Know a bird by song, a person by words</t>
  </si>
  <si>
    <t>পাখিপড়া মত পড়ানো</t>
  </si>
  <si>
    <t>পাখির মতো পড়ানো</t>
  </si>
  <si>
    <t>মুখস্থ করানো</t>
  </si>
  <si>
    <t>Teaching like a parrot—rote learning</t>
  </si>
  <si>
    <t>শিক্ষা</t>
  </si>
  <si>
    <t>পাগল না ছাগল</t>
  </si>
  <si>
    <t>বোকা বা পাগল</t>
  </si>
  <si>
    <t>Either mad or goat—crazy</t>
  </si>
  <si>
    <t>উন্মাদনা</t>
  </si>
  <si>
    <t>পাগলা ভাত খাবি, না হাত ধোব কোথায়?</t>
  </si>
  <si>
    <t>উল্টো যুক্তি</t>
  </si>
  <si>
    <t>Madman, eat rice? No, where to wash hands?</t>
  </si>
  <si>
    <t>পাগল</t>
  </si>
  <si>
    <t>মূর্খতা</t>
  </si>
  <si>
    <t>পাগলা নাও ঝুলাইস/দোলাস না; কী–আমি তো বাতায় খাড়া</t>
  </si>
  <si>
    <t>পাগলা নৌকা দোলাস না; কী, আমি তো বাতায় খাড়া</t>
  </si>
  <si>
    <t>ভুল বোঝা</t>
  </si>
  <si>
    <t>Don't rock the madman's boat; I'm standing on the mast</t>
  </si>
  <si>
    <t>ভুল</t>
  </si>
  <si>
    <t>পাগলে কিনা বলে, ছাগলে কিনা খায়</t>
  </si>
  <si>
    <t>পাগল কী না বলে, ছাগল কী না খায়</t>
  </si>
  <si>
    <t>সীমাহীন আচরণ</t>
  </si>
  <si>
    <t>A madman says anything, a goat eats anything</t>
  </si>
  <si>
    <t>পাণডুবর্ণ ধারণ করা</t>
  </si>
  <si>
    <t>পাণ্ডুবর্ণ ধারণ করা</t>
  </si>
  <si>
    <t>ফ্যাকাসে হওয়া</t>
  </si>
  <si>
    <t>Turning pale</t>
  </si>
  <si>
    <t>অবস্থা</t>
  </si>
  <si>
    <t>পাতের ভাত দে পুষলো যোগী উলটে বলে পরবাস কি</t>
  </si>
  <si>
    <t>পাতের ভাত দিয়ে যোগী পুষল, উল্টে বলে পরবাস কী</t>
  </si>
  <si>
    <t>পাত্রপাত্রীর দেখা নাই, শুক্রবারে বিয়ে</t>
  </si>
  <si>
    <t>পাত্র-পাত্রীর দেখা নেই, শুক্রবার বিয়ে</t>
  </si>
  <si>
    <t>আয়োজনহীন কাজ</t>
  </si>
  <si>
    <t>No bride-groom meeting, wedding on Friday—reckless</t>
  </si>
  <si>
    <t>অপরিকল্পিত</t>
  </si>
  <si>
    <t>পাথরে পাঁচ কিল১</t>
  </si>
  <si>
    <t>পাথরে পাঁচ কিল</t>
  </si>
  <si>
    <t>নিরর্থক আঘাত</t>
  </si>
  <si>
    <t>Five blows on stone—futile</t>
  </si>
  <si>
    <t>নিরর্থকতা</t>
  </si>
  <si>
    <t>এই প্রবাদের ডুপ্লিকেট আছে (id: 5198, 5199), এটা রাখো (সবচেয়ে ছোট id)।</t>
  </si>
  <si>
    <t>পাথরের সেতু পার হওয়ার আগে পাথরটা পরীক্ষা করে নিও</t>
  </si>
  <si>
    <t>পাথরের সেতু পার হওয়ার আগে পাথরটা পরীক্ষা কর</t>
  </si>
  <si>
    <t>সতর্ক থাকো</t>
  </si>
  <si>
    <t>Check the stone before crossing the bridge</t>
  </si>
  <si>
    <t>পাদমেকং নঃ গচ্ছামি</t>
  </si>
  <si>
    <t>এক পা চলি</t>
  </si>
  <si>
    <t>ধীরে চলা</t>
  </si>
  <si>
    <t>I move one foot—slow progress</t>
  </si>
  <si>
    <t>অগ্রগতি</t>
  </si>
  <si>
    <t>পা না ভিজলো যার, বড় কৈ মাছটা তার</t>
  </si>
  <si>
    <t>পা না ভেজে যে, বড় মাছটা তার</t>
  </si>
  <si>
    <t>ভাগ্যবান</t>
  </si>
  <si>
    <t>He who didn't wet feet gets the big fish—luck</t>
  </si>
  <si>
    <t>পানিতে/জলে কুমির ডাঙায় বাঘ</t>
  </si>
  <si>
    <t>জলে কুমির, ডাঙায় বাঘ</t>
  </si>
  <si>
    <t>উভয় বিপদ</t>
  </si>
  <si>
    <t>Crocodile in water, tiger on land</t>
  </si>
  <si>
    <t>পানৌ পয়সা দগ্ধে তক্রং ফুৎকৃত্য পামরাঃ পিবন্তি</t>
  </si>
  <si>
    <t>হাতে পয়সা পুড়ে গেলে মাঠা ফুঁ দিয়ে খায় (পুনরুক্তি)</t>
  </si>
  <si>
    <t>গরিব সতর্ক</t>
  </si>
  <si>
    <t>The poor blow on buttermilk after burning money</t>
  </si>
  <si>
    <t>অভিজ্ঞতা</t>
  </si>
  <si>
    <t>পান্তাভাত ফুঁ দিয়ে খায়</t>
  </si>
  <si>
    <t>Blowing on stale rice—cautious</t>
  </si>
  <si>
    <t>পান্তাভাতে নুন জোটে না, গরমভাতে/বেগুনপোড়ায় ঘি</t>
  </si>
  <si>
    <t>পান্তাভাতে নুন নেই, গরমভাতে ঘি</t>
  </si>
  <si>
    <t>অসামঞ্জস্য</t>
  </si>
  <si>
    <t>No salt for stale rice, but ghee for hot rice—mismatch</t>
  </si>
  <si>
    <t>বৈষম্য</t>
  </si>
  <si>
    <t>পাপ করলেই ভুগতে হয়, কথাটা যেন মনে রয়</t>
  </si>
  <si>
    <t>পাপ করলে ভুগতে হয়, মনে রেখো</t>
  </si>
  <si>
    <t>Sin brings suffering, remember</t>
  </si>
  <si>
    <t>পাপ করলেই যমের ভয়</t>
  </si>
  <si>
    <t>পাপ করলে যমের ভয়</t>
  </si>
  <si>
    <t>পাপের শাস্তি</t>
  </si>
  <si>
    <t>Sin brings fear of death</t>
  </si>
  <si>
    <t>পাপকে ঘৃণা কর, পাপীকে নয়</t>
  </si>
  <si>
    <t>দয়া ও ন্যায়</t>
  </si>
  <si>
    <t>Hate the sin, not the sinner</t>
  </si>
  <si>
    <t>পাপের বোঝা বড় ভার</t>
  </si>
  <si>
    <t>পাপ ভারী</t>
  </si>
  <si>
    <t>Sin's burden is heavy</t>
  </si>
  <si>
    <t>পাপ</t>
  </si>
  <si>
    <t>পায় না পচা পুঁটি খেতে চায় ঘি-রুটি</t>
  </si>
  <si>
    <t>পচা পুঁটি পায় না, ঘি-রুটি খেতে চায়</t>
  </si>
  <si>
    <t>অযোগ্য আশা</t>
  </si>
  <si>
    <t>Can't get rotten fish, wants ghee-bread</t>
  </si>
  <si>
    <t>পায় পায় শত্রু</t>
  </si>
  <si>
    <t>পায়ে পায়ে শত্রু</t>
  </si>
  <si>
    <t>সর্বত্র শত্রু</t>
  </si>
  <si>
    <t>Enemy at every step</t>
  </si>
  <si>
    <t>পায়ে ঠেলা</t>
  </si>
  <si>
    <t>অপমান করা</t>
  </si>
  <si>
    <t>Kicking—insult</t>
  </si>
  <si>
    <t>অপমান</t>
  </si>
  <si>
    <t>পায়ের পয়জার মাথায় চড়ে</t>
  </si>
  <si>
    <t>পায়ের জুতা মাথায় চড়ে (পুনরুক্তি)</t>
  </si>
  <si>
    <t>অনুচিত উত্থান</t>
  </si>
  <si>
    <t>Sandal on head</t>
  </si>
  <si>
    <t>অসম্মান</t>
  </si>
  <si>
    <t>পারা (=পারদ) আর পাপে কার সাধ্য চাপে</t>
  </si>
  <si>
    <t>পারদ আর পাপে কে চাপে?</t>
  </si>
  <si>
    <t>দুটি বিপজ্জনক</t>
  </si>
  <si>
    <t>Who can control mercury and sin?</t>
  </si>
  <si>
    <t>পা রাখার জায়গা না দেখে/পেলে পা তুলো না</t>
  </si>
  <si>
    <t>পা রাখার জায়গা না দেখে পা তুলো না</t>
  </si>
  <si>
    <t>Don't lift foot without seeing place</t>
  </si>
  <si>
    <t>পারের কর্তা হরি, দিবেন চরণতরি</t>
  </si>
  <si>
    <t>পারের কর্তা হরি, দেবেন চরণতরী</t>
  </si>
  <si>
    <t>ঈশ্বরই উদ্ধারক</t>
  </si>
  <si>
    <t>Hari is the shore, He will give foot-boat</t>
  </si>
  <si>
    <t>পালাবো না তো কি ভয় করবো?</t>
  </si>
  <si>
    <t>পালাব না তো ভয় কী?</t>
  </si>
  <si>
    <t>If I won't flee, what fear?</t>
  </si>
  <si>
    <t>পালে পালে মিশে গেছে২</t>
  </si>
  <si>
    <t>পালে পালে মিশে গেছে (দ্বিতীয়)</t>
  </si>
  <si>
    <t>ভেদাভেদ নেই</t>
  </si>
  <si>
    <t>Flock merged</t>
  </si>
  <si>
    <t>ডুপ্লিকেট - id 5243 রাখা হচ্ছে, এই row বাদ দাও।</t>
  </si>
  <si>
    <t>পালের গোদা</t>
  </si>
  <si>
    <t>দলের প্রধান</t>
  </si>
  <si>
    <t>Head of the herd</t>
  </si>
  <si>
    <t>নেতৃত্ব</t>
  </si>
  <si>
    <t>পাশা কর্মনাশা</t>
  </si>
  <si>
    <t>জুয়া সর্বনাশ</t>
  </si>
  <si>
    <t>Dice ruin work</t>
  </si>
  <si>
    <t>জুয়া</t>
  </si>
  <si>
    <t>পাষাণে মাথা কোটা/ঠোকা</t>
  </si>
  <si>
    <t>পাথরে মাথা ঠোকা</t>
  </si>
  <si>
    <t>নিরর্থক চেষ্টা</t>
  </si>
  <si>
    <t>Banging head on stone—futile</t>
  </si>
  <si>
    <t>পাহাড়ের আড়ালে থাকা</t>
  </si>
  <si>
    <t>পাহাড়ের আড়ালে থাকা (পুনরুক্তি)</t>
  </si>
  <si>
    <t>নিরাপদে থাকা</t>
  </si>
  <si>
    <t>Hiding behind mountain—safe</t>
  </si>
  <si>
    <t>পাহাড়ের চূড়ায় যে প্রথম চড়ে সে যেখানে খুশি বসতে পারে</t>
  </si>
  <si>
    <t>পাহাড়ের চূড়ায় প্রথম চড়লে যেখানে খুশি বসতে পারে</t>
  </si>
  <si>
    <t>প্রথমের সুবিধা</t>
  </si>
  <si>
    <t>First to climb peak sits anywhere</t>
  </si>
  <si>
    <t>পাহাড়ের চূড়ায় মাত্র কয়েকজনই চড়ে</t>
  </si>
  <si>
    <t>পাহাড়ের চূড়ায় কয়েকজনই চড়ে</t>
  </si>
  <si>
    <t>খুব কম সফল</t>
  </si>
  <si>
    <t>Only few climb the peak</t>
  </si>
  <si>
    <t>পাহাড়ের মতই পুরাতন</t>
  </si>
  <si>
    <t>পাহাড়ের মতো পুরনো</t>
  </si>
  <si>
    <t>অতি প্রাচীন</t>
  </si>
  <si>
    <t>As old as the hills</t>
  </si>
  <si>
    <t>প্রাচীনতা</t>
  </si>
  <si>
    <t>পিঁপড়ে যতক্ষুদ্রই হোক তার জীবনদায়ক অঙ্গপ্রত্যঙ্গ আছে</t>
  </si>
  <si>
    <t>পিঁপড়ে ছোট হলেও তার প্রাণ আছে</t>
  </si>
  <si>
    <t>সব প্রাণ সমান</t>
  </si>
  <si>
    <t>Even an ant has life-sustaining organs</t>
  </si>
  <si>
    <t>সহানুভূতি</t>
  </si>
  <si>
    <t>পিঁয়াজ পয়জার দুইই হল</t>
  </si>
  <si>
    <t>পেঁয়াজ আর জুতা দুই-ই হল</t>
  </si>
  <si>
    <t>দুই-ই নিকৃষ্ট</t>
  </si>
  <si>
    <t>Onion and shoe both same—worthless</t>
  </si>
  <si>
    <t>তুলনা</t>
  </si>
  <si>
    <t>পিঠা খায় মিঠার জোরে/লোভে</t>
  </si>
  <si>
    <t>পিঠা খায় মিষ্টির লোভে</t>
  </si>
  <si>
    <t>লোভে কাজ</t>
  </si>
  <si>
    <t>Eats cake for sweetness—greed</t>
  </si>
  <si>
    <t>পিঠে বেঁধেছি কুলো, কানে দিয়েছি তুলো</t>
  </si>
  <si>
    <t>পিঠে কুলো বেঁধেছি, কানে তুলো দিয়েছি</t>
  </si>
  <si>
    <t>প্রস্তুত</t>
  </si>
  <si>
    <t>Tied winnow on back, cotton in ears—ready</t>
  </si>
  <si>
    <t>প্রস্তুতি</t>
  </si>
  <si>
    <t>পিতাঃ স্বর্গ, পিতাঃ ধর্মঃ পিতা হিঃ পরমন্তপঃ, পিতরি প্রিতিমাপন্ন্যে প্রিয়ন্তে সর্বদেবতা</t>
  </si>
  <si>
    <t>পিতা স্বর্গ, পিতা ধর্ম, পিতা তপস্যা; পিতাকে তুষ্ট করলে সব দেবতা তুষ্ট</t>
  </si>
  <si>
    <t>পিতার গুরুত্ব</t>
  </si>
  <si>
    <t>Father is heaven, father is duty; pleasing him pleases all gods</t>
  </si>
  <si>
    <t>পিতা</t>
  </si>
  <si>
    <t>পিতৃভক্তি</t>
  </si>
  <si>
    <t>পি পু ফি শু</t>
  </si>
  <si>
    <t>অর্থহীন শব্দ</t>
  </si>
  <si>
    <t>Nonsense syllables</t>
  </si>
  <si>
    <t>পিসী বল মাসী বল মার বাড়া নেই</t>
  </si>
  <si>
    <t>পিসি বল, মাসি বল, মায়ের বাড়া নেই</t>
  </si>
  <si>
    <t>মা-ই শ্রেষ্ঠ</t>
  </si>
  <si>
    <t>Call aunt this or that, none like mother</t>
  </si>
  <si>
    <t>মাতৃত্ব</t>
  </si>
  <si>
    <t>পীরিতি কাঁঠালের আঠা ধরলে পরে ছাড়ে না</t>
  </si>
  <si>
    <t>প্রীতি কাঁঠালের আঠার মতো, ধরলে ছাড়ে না</t>
  </si>
  <si>
    <t>প্রেম আঠালো</t>
  </si>
  <si>
    <t>Love like jackfruit glue, once stuck never leaves</t>
  </si>
  <si>
    <t>প্রেম</t>
  </si>
  <si>
    <t>পুঁজিপাটা সব ফুরালো</t>
  </si>
  <si>
    <t>পুঁজি সব শেষ</t>
  </si>
  <si>
    <t>সর্বস্বান্ত</t>
  </si>
  <si>
    <t>All capital gone</t>
  </si>
  <si>
    <t>দেউলিয়া</t>
  </si>
  <si>
    <t>পুঁজির উপর একটি২</t>
  </si>
  <si>
    <t>পুঁজির উপর একটি (দ্বিতীয়)</t>
  </si>
  <si>
    <t>বাড়তি লাভ</t>
  </si>
  <si>
    <t>A little extra over capital</t>
  </si>
  <si>
    <t>লাভ</t>
  </si>
  <si>
    <t>ডুপ্লিকেট - id 5288 রাখা হচ্ছে, এই row বাদ দাও।</t>
  </si>
  <si>
    <t>পুড়ে পুড়ে রাঁধুনি ছিঁড়ে ছুঁড়ে কাটুনি</t>
  </si>
  <si>
    <t>পুড়ে পুড়ে রাঁধুনি, ছিঁড়ে ছিঁড়ে কাটুনি</t>
  </si>
  <si>
    <t>অদক্ষ রাঁধুনি</t>
  </si>
  <si>
    <t>Burns while cooking, tears while cutting—incompetent</t>
  </si>
  <si>
    <t>পুকুর চুরি</t>
  </si>
  <si>
    <t>অসম্ভব চুরি</t>
  </si>
  <si>
    <t>Stealing a pond—impossible</t>
  </si>
  <si>
    <t>পুরানো পাপী</t>
  </si>
  <si>
    <t>পুরনো পাপী</t>
  </si>
  <si>
    <t>অভ্যস্ত পাপী</t>
  </si>
  <si>
    <t>Old sinner—habitual</t>
  </si>
  <si>
    <t>পাপী</t>
  </si>
  <si>
    <t>পুলিপিঠের লেজ গজানো</t>
  </si>
  <si>
    <t>A pastry grows a tail—impossible</t>
  </si>
  <si>
    <t>পূজায় মন নেই, নৈবিদ্যে চোখ/মন</t>
  </si>
  <si>
    <t>পূজায় মন নেই, নৈবিদ্যে চোখ</t>
  </si>
  <si>
    <t>বাহ্যিক ভক্তি</t>
  </si>
  <si>
    <t>No mind in worship, only on offering</t>
  </si>
  <si>
    <t>পূজার আগে প্রসাদ</t>
  </si>
  <si>
    <t>Prasad before worship—reverse</t>
  </si>
  <si>
    <t>পূর্ণকুম্ভো ন করোতি শব্দম্</t>
  </si>
  <si>
    <t>পূর্ণ কলস শব্দ করে না</t>
  </si>
  <si>
    <t>জ্ঞানী নীরব</t>
  </si>
  <si>
    <t>A full pot makes no sound</t>
  </si>
  <si>
    <t>পূর্ণাঙ্গ মানুষ দুইপ্রকার-যারা মৃত এবং যারা জন্মায় নি</t>
  </si>
  <si>
    <t>পূর্ণাঙ্গ মানুষ দুই প্রকার: মৃত এবং অজাত</t>
  </si>
  <si>
    <t>কেউ নিখুঁত নয়</t>
  </si>
  <si>
    <t>Perfect people: the dead and the unborn</t>
  </si>
  <si>
    <t>অপূর্ণতা</t>
  </si>
  <si>
    <t>পূর্বাভাসে অর্ধেক বিপদ এড়ানো যায়</t>
  </si>
  <si>
    <t>সাবধানতা</t>
  </si>
  <si>
    <t>Forewarning avoids half the danger</t>
  </si>
  <si>
    <t>পৃথিবী যেন একটি মই- কেউ ওপরে চড়ে কেউ নীচে নামে</t>
  </si>
  <si>
    <t>পৃথিবী একটি মই, কেউ ওঠে কেউ নামে</t>
  </si>
  <si>
    <t>উত্থান-পতন</t>
  </si>
  <si>
    <t>Earth is a ladder; some climb, some descend</t>
  </si>
  <si>
    <t>পেট একখান আর মুখ একখান</t>
  </si>
  <si>
    <t>পেট এক, মুখ এক</t>
  </si>
  <si>
    <t>সামঞ্জস্য</t>
  </si>
  <si>
    <t>One belly, one mouth—balance</t>
  </si>
  <si>
    <t>পেট পেট করে খেলি দই, পাছা বাড়ল ছেলে কই?</t>
  </si>
  <si>
    <t>পেট পেট করে খেলি দই, পাছা বাড়ল, ছেলে কই?</t>
  </si>
  <si>
    <t>বাড়াবাড়ি</t>
  </si>
  <si>
    <t>Ate curd with belly, butt grew, where child?</t>
  </si>
  <si>
    <t>হাস্যরস</t>
  </si>
  <si>
    <t>তখনই বলেছিলেম মিনসে বেড়াল পোষ, ইঁদুরেতে ছেলে খেলো আমার কি দোষ!</t>
  </si>
  <si>
    <t>তখনই বলেছিলাম বেড়াল পোষ, ইঁদুরে ছেলে খেল, আমার দোষ কী?</t>
  </si>
  <si>
    <t>পূর্ব সতর্কতা</t>
  </si>
  <si>
    <t>I told you to keep cat, rat killed child; my fault?</t>
  </si>
  <si>
    <t>পেট ভরলে আনন্দ, ভজ শ্রীরাধাগোবিন্দ</t>
  </si>
  <si>
    <t>পেট ভরলে আনন্দ, শ্রীরাধাগোবিন্দ ভজ</t>
  </si>
  <si>
    <t>পেট ভরে ভক্তি</t>
  </si>
  <si>
    <t>When full, worship Radha-Govinda</t>
  </si>
  <si>
    <t>পেট ভরে তো নজর/মন ভরে না</t>
  </si>
  <si>
    <t>পেট ভরে, কিন্তু নজর/মন ভরে না</t>
  </si>
  <si>
    <t>লোভের শেষ নেই</t>
  </si>
  <si>
    <t>Belly fills, but eyes/mind don't</t>
  </si>
  <si>
    <t>পেটে খিদে মুখে লাজ</t>
  </si>
  <si>
    <t>পেটে খিদে, মুখে লাজ</t>
  </si>
  <si>
    <t>ক্ষুধা লুকানো</t>
  </si>
  <si>
    <t>Hunger in belly, shame on face</t>
  </si>
  <si>
    <t>লজ্জা</t>
  </si>
  <si>
    <t>পেটে বিদ্যে গজগজ করছে</t>
  </si>
  <si>
    <t>পেটে বিদ্যা গজগজ করছে</t>
  </si>
  <si>
    <t>অনেক বিদ্যা</t>
  </si>
  <si>
    <t>Knowledge rumbling in belly</t>
  </si>
  <si>
    <t>পেটে ভাত নেই ঠোঁটে আলতা/ দাঁতে মিশি/ ফোঁটায় দড়</t>
  </si>
  <si>
    <t>পেটে ভাত নেই, ঠোঁটে আলতা, দাঁতে মিশি</t>
  </si>
  <si>
    <t>অভাবে সাজ</t>
  </si>
  <si>
    <t>No rice in belly, but red lips and teeth dye</t>
  </si>
  <si>
    <t>পেটের আগুনে বেগুন পোড়ে</t>
  </si>
  <si>
    <t>ক্ষুধায় কাজ</t>
  </si>
  <si>
    <t>Brinjal roasted in belly's fire—hunger</t>
  </si>
  <si>
    <t>পেটের বাছা বাড়ির গাছা</t>
  </si>
  <si>
    <t>পেটের সন্তান, বাড়ির গাছ</t>
  </si>
  <si>
    <t>সন্তান আদরের</t>
  </si>
  <si>
    <t>Belly's child, home's tree—loved</t>
  </si>
  <si>
    <t>পেটের ভাত চাল হয়</t>
  </si>
  <si>
    <t>ভয়ে হজম নষ্ট</t>
  </si>
  <si>
    <t>Rice turns raw in belly—fear</t>
  </si>
  <si>
    <t>ভয়</t>
  </si>
  <si>
    <t>পেটের ভেতর হাত পা সেঁধোয়</t>
  </si>
  <si>
    <t>পেটের ভেতর হাত-পা ঢোকে</t>
  </si>
  <si>
    <t>ভয়ে জড়সড়</t>
  </si>
  <si>
    <t>Hands and feet retreat into belly—terrified</t>
  </si>
  <si>
    <t>পেত্নীর হাতে রাঙা শাঁখা</t>
  </si>
  <si>
    <t>পেত্নীর হাতে লাল শাঁখা</t>
  </si>
  <si>
    <t>A witch wearing red bangles—incongruous</t>
  </si>
  <si>
    <t>পৈতে পুড়িয়ে ব্রহ্মচারী/সন্যাসী২</t>
  </si>
  <si>
    <t>পৈতা পুড়িয়ে ব্রহ্মচারী/সন্ন্যাসী (দ্বিতীয়)</t>
  </si>
  <si>
    <t>বাহ্যিক সাধুতা</t>
  </si>
  <si>
    <t>Burning thread to become ascetic</t>
  </si>
  <si>
    <t>ডুপ্লিকেট - id 5350 রাখা হচ্ছে, এই row বাদ দাও।</t>
  </si>
  <si>
    <t>পোয়াবারো১</t>
  </si>
  <si>
    <t>পোয়াবারো</t>
  </si>
  <si>
    <t>ভাগ্য পরীক্ষা</t>
  </si>
  <si>
    <t>Testing luck</t>
  </si>
  <si>
    <t>এই প্রবাদের ডুপ্লিকেট আছে (id: 5352, 5353), এটা রাখো (সবচেয়ে ছোট id)।</t>
  </si>
  <si>
    <t>পোয়াবারো২</t>
  </si>
  <si>
    <t>পোয়াবারো (দ্বিতীয়)</t>
  </si>
  <si>
    <t>ঝুঁকি</t>
  </si>
  <si>
    <t>Trying chance</t>
  </si>
  <si>
    <t>ডুপ্লিকেট - id 5352 রাখা হচ্ছে, এই row বাদ দাও।</t>
  </si>
  <si>
    <t>পৌষের শীত মোষের গায়, মাঘের শীর বাঘের গায়- খনা</t>
  </si>
  <si>
    <t>পৌষের শীত মোষের গায়, মাঘের শীত বাঘের গায়</t>
  </si>
  <si>
    <t>শীতের মাত্রা</t>
  </si>
  <si>
    <t>Poush cold on buffalo, Magh cold on tiger</t>
  </si>
  <si>
    <t>প্রজাপতির নির্বন্ধ</t>
  </si>
  <si>
    <t>বিয়ের সম্বন্ধ</t>
  </si>
  <si>
    <t>Creator's arrangement—marriage</t>
  </si>
  <si>
    <t>বিবাহ</t>
  </si>
  <si>
    <t>প্রতীক্ষার পুরস্কার আছে/থাকে</t>
  </si>
  <si>
    <t>প্রতীক্ষার পুরস্কার আছে</t>
  </si>
  <si>
    <t>ধৈর্যের ফল</t>
  </si>
  <si>
    <t>Patience rewarded</t>
  </si>
  <si>
    <t>প্রহারেণ ধনঞ্জয়</t>
  </si>
  <si>
    <t>প্রহারে ধনঞ্জয়</t>
  </si>
  <si>
    <t>প্রহারে বশ</t>
  </si>
  <si>
    <t>By beating, Arjuna—force</t>
  </si>
  <si>
    <t>শাসন</t>
  </si>
  <si>
    <t>ফতো নবাব/বাবু</t>
  </si>
  <si>
    <t>বাহ্যিক নবাবি</t>
  </si>
  <si>
    <t>Pretend Nawab</t>
  </si>
  <si>
    <t>ফল দিয়ে ভাত খায়</t>
  </si>
  <si>
    <t>Eats rice with fruit—odd</t>
  </si>
  <si>
    <t>অদ্ভুত</t>
  </si>
  <si>
    <t>ফল ধরা</t>
  </si>
  <si>
    <t>ধরা পড়া</t>
  </si>
  <si>
    <t>Caught—fruition</t>
  </si>
  <si>
    <t>পরিণতি</t>
  </si>
  <si>
    <t>ফল ফল কদলী ফল, সেবায় নারী আর ইন্দ্রজল</t>
  </si>
  <si>
    <t>ফল বলতে কদলী ফল, সেবায় নারী, আর ইন্দ্রজল</t>
  </si>
  <si>
    <t>সেরা জিনিস</t>
  </si>
  <si>
    <t>Among fruits, banana; among services, woman; and magic</t>
  </si>
  <si>
    <t>শ্রেষ্ঠত্ব</t>
  </si>
  <si>
    <t>ফলেন পরিচীয়তে</t>
  </si>
  <si>
    <t>ফলে পরিচয়</t>
  </si>
  <si>
    <t>ফল দিয়ে চেনা</t>
  </si>
  <si>
    <t>Known by fruit</t>
  </si>
  <si>
    <t>ফলের মধ্যে আম্রফল, সেবায় নারী আর গঙ্গাজল</t>
  </si>
  <si>
    <t>ফলের মধ্যে আম, সেবায় নারী, আর গঙ্গাজল</t>
  </si>
  <si>
    <t>সেরা তিন</t>
  </si>
  <si>
    <t>Best of fruits: mango; of services: woman; of water: Ganga</t>
  </si>
  <si>
    <t>ফাঁকা আওয়াজ/বুলি</t>
  </si>
  <si>
    <t>ফাঁকা আওয়াজ</t>
  </si>
  <si>
    <t>খালি কথা</t>
  </si>
  <si>
    <t>Empty sound</t>
  </si>
  <si>
    <t>বড়াই</t>
  </si>
  <si>
    <t>ফাঁকা আওয়াজে/বুলিতে কাজ আদায়</t>
  </si>
  <si>
    <t>ফাঁকা আওয়াজে কাজ আদায়</t>
  </si>
  <si>
    <t>কথায় কাজ</t>
  </si>
  <si>
    <t>Getting work done by empty talk</t>
  </si>
  <si>
    <t>ফাঁকা ময়দানে গোল করা</t>
  </si>
  <si>
    <t>ফাঁকা মাঠে গোল করা</t>
  </si>
  <si>
    <t>সহজ সুযোগে</t>
  </si>
  <si>
    <t>Goal in empty field—easy</t>
  </si>
  <si>
    <t>ফাগুনে আগুন চৈতে মাটি বাঁশ রেখে বাঁশের পিতামহকে কাটি- খনা</t>
  </si>
  <si>
    <t>ফাগুনে আগুন, চৈত্রে মাটি, বাঁশ রেখে বাঁশের পিতামহ কাটি</t>
  </si>
  <si>
    <t>কৃষি সংক্রান্ত</t>
  </si>
  <si>
    <t>In Falgun fire, in Chaitra soil, cut bamboo's grandfather leaving bamboo</t>
  </si>
  <si>
    <t>ফিকিরে ফকির</t>
  </si>
  <si>
    <t>কৌশলে দরিদ্র</t>
  </si>
  <si>
    <t>A clever beggar</t>
  </si>
  <si>
    <t>ফুটনির মামা, ভিতরে কপনি উপরে জামা</t>
  </si>
  <si>
    <t>ফুটনির মামা, ভিতরে কপনি, উপরে জামা</t>
  </si>
  <si>
    <t>বাহ্যিক সাজ</t>
  </si>
  <si>
    <t>Uncle of a vain woman—inner loincloth, outer shirt</t>
  </si>
  <si>
    <t>পুরুষ</t>
  </si>
  <si>
    <t>ফুটোপয়সার মা-বাপ</t>
  </si>
  <si>
    <t>ফুটো পয়সার মা-বাপ</t>
  </si>
  <si>
    <t>কৃপণ</t>
  </si>
  <si>
    <t>Parents of a holed coin—miser</t>
  </si>
  <si>
    <t>কৃপণতা</t>
  </si>
  <si>
    <t>ফুল তুলতে গেলে কাঁটা সইতে হয়</t>
  </si>
  <si>
    <t>ফুল তুলতে গেলে কাঁটা সইতে হয় (পুনরুক্তি)</t>
  </si>
  <si>
    <t>সুখে কষ্ট</t>
  </si>
  <si>
    <t>To pluck flower, bear thorn</t>
  </si>
  <si>
    <t>ফুলের ঘায়ে মূর্ছা যায়১</t>
  </si>
  <si>
    <t>ফুলের ঘায়ে মূর্ছা যায়</t>
  </si>
  <si>
    <t>অতি সংবেদনশীল</t>
  </si>
  <si>
    <t>Faints at flower's touch</t>
  </si>
  <si>
    <t>অতি সংবেদনশীলতা</t>
  </si>
  <si>
    <t>এই প্রবাদের ডুপ্লিকেট আছে (id: 5397, 5398), এটা রাখো (সবচেয়ে ছোট id)।</t>
  </si>
  <si>
    <t>ফুলের সোহাগে ছোটার (কলগাছের খোসায় তৈরী দড়ি) আদর</t>
  </si>
  <si>
    <t>ফুলের সোহাগে ছোটার আদর</t>
  </si>
  <si>
    <t>প্রিয়জনকে আদর</t>
  </si>
  <si>
    <t>With love, even coir rope is favored</t>
  </si>
  <si>
    <t>ভালোবাসা</t>
  </si>
  <si>
    <t>ফেন দিয়ে ভাত খায় গল্পে মারে দই মেটেহুঁকোয় তামাক খায় গড়গড়িটা কই১</t>
  </si>
  <si>
    <t>ফেন দিয়ে ভাত খায়, গল্পে দই মারে, মেটে হুঁকোয় তামাক খায়, গড়গড়িটা কই?</t>
  </si>
  <si>
    <t>Eats rice with foam, says curd in tale, smokes clay pipe, where hookah?</t>
  </si>
  <si>
    <t>এই প্রবাদের ডুপ্লিকেট আছে (id: 5402, 5403), এটা রাখো (সবচেয়ে ছোট id)।</t>
  </si>
  <si>
    <t>ফেন দিয়ে ভাত খায় গল্পে মারে দই মেটেহুঁকোয় তামাক খায় গড়গড়িটা কই২</t>
  </si>
  <si>
    <t>ফেন দিয়ে ভাত খায়, গল্পে দই মারে (দ্বিতীয়)</t>
  </si>
  <si>
    <t>শুধু কথা</t>
  </si>
  <si>
    <t>Eats foam-rice, claims curd—empty boast</t>
  </si>
  <si>
    <t>ডুপ্লিকেট - id 5402 রাখা হচ্ছে, এই row বাদ দাও।</t>
  </si>
  <si>
    <t>ফোঁড়ন দেওয়া</t>
  </si>
  <si>
    <t>শুরু করা</t>
  </si>
  <si>
    <t>To begin—to stitch</t>
  </si>
  <si>
    <t>শুরু</t>
  </si>
  <si>
    <t>ফোঁপর দালালি</t>
  </si>
  <si>
    <t>তুচ্ছ দালালি</t>
  </si>
  <si>
    <t>Petty brokerage</t>
  </si>
  <si>
    <t>তুচ্ছতা</t>
  </si>
  <si>
    <t>ফোঁপরা ঢেঁকির চোপর বেশি</t>
  </si>
  <si>
    <t>Hollow dheki has more noise</t>
  </si>
  <si>
    <t>ফোতোনবাব/বাবু</t>
  </si>
  <si>
    <t>ফোতো নবাব/বাবু</t>
  </si>
  <si>
    <t>Fake Nawab</t>
  </si>
  <si>
    <t>ফোতোবাবুর গালগল্প সার</t>
  </si>
  <si>
    <t>ফোতো বাবুর গল্পই সার</t>
  </si>
  <si>
    <t>Fake babu's tales only</t>
  </si>
  <si>
    <t>বই খুব ভালো সঙ্গী, উপদেশ দেয় কিন্তু মানতে বাধ্য করে না</t>
  </si>
  <si>
    <t>বই ভালো বন্ধু, উপদেশ দেয় কিন্তু বাধ্য করে না</t>
  </si>
  <si>
    <t>বইয়ের গুণ</t>
  </si>
  <si>
    <t>A book is a good friend; it advises but doesn't force</t>
  </si>
  <si>
    <t>বই হল পকেটে নিয়ে ঘোরা আস্ত একটা ফুলবাগান</t>
  </si>
  <si>
    <t>বই হল পকেটে ফুলবাগান</t>
  </si>
  <si>
    <t>বইয়ের মূল্য</t>
  </si>
  <si>
    <t>A book is a pocket garden</t>
  </si>
  <si>
    <t>বইয়ের মত বিশ্বস্ত কোন বন্ধু হয় না</t>
  </si>
  <si>
    <t>বইয়ের মতো বিশ্বস্ত বন্ধু নেই</t>
  </si>
  <si>
    <t>বইই ভালো বন্ধু</t>
  </si>
  <si>
    <t>No friend as faithful as a book</t>
  </si>
  <si>
    <t>বন্ধুত্ব</t>
  </si>
  <si>
    <t>বউ জব্দ কিলে, ঝি জব্দ শিলে, পাড়াপড়শী জব্দ হয় চোখে আঙুল দিলে</t>
  </si>
  <si>
    <t>বউ জব্দ কিলে, মেয়ে জব্দ শিলে, প্রতিবেশী চোখে আঙুল দিলে</t>
  </si>
  <si>
    <t>Wife by slap, daughter by grinding stone, neighbor by pointing</t>
  </si>
  <si>
    <t>বউ না বোবা, বউ না বাবা</t>
  </si>
  <si>
    <t>বউ না বোবা, না বাবা</t>
  </si>
  <si>
    <t>বউ কিছুই না</t>
  </si>
  <si>
    <t>Wife is neither mute nor father—nothing</t>
  </si>
  <si>
    <t>বউয়ের রাগ বিড়ালের উপর বিড়ালের রাগ বেড়ার উপর</t>
  </si>
  <si>
    <t>বউয়ের রাগ বিড়ালের উপর, বিড়ালের রাগ বেড়ার উপর</t>
  </si>
  <si>
    <t>রাগ নিম্নগামী</t>
  </si>
  <si>
    <t>Wife's anger on cat, cat's on fence</t>
  </si>
  <si>
    <t>বকধার্মিক</t>
  </si>
  <si>
    <t>বক ধার্মিক</t>
  </si>
  <si>
    <t>ভণ্ড ধার্মিক</t>
  </si>
  <si>
    <t>A hypocritical heron</t>
  </si>
  <si>
    <t>বকধ্যানং</t>
  </si>
  <si>
    <t>বকধ্যান</t>
  </si>
  <si>
    <t>ভণ্ড ধ্যান</t>
  </si>
  <si>
    <t>Heron-like meditation—pretence</t>
  </si>
  <si>
    <t>বকঃ পরমদারুণঃ</t>
  </si>
  <si>
    <t>বক পরম দারুণ</t>
  </si>
  <si>
    <t>বক অতি নিষ্ঠুর</t>
  </si>
  <si>
    <t>The heron is very cruel</t>
  </si>
  <si>
    <t>নিষ্ঠুরতা</t>
  </si>
  <si>
    <t>বকঃ পরমধার্মিকঃ</t>
  </si>
  <si>
    <t>বক পরম ধার্মিক</t>
  </si>
  <si>
    <t>Heron is most pious—sarcasm</t>
  </si>
  <si>
    <t>বক-বিড়ালে ব্রহ্মজ্ঞানী</t>
  </si>
  <si>
    <t>ভণ্ড জ্ঞানী</t>
  </si>
  <si>
    <t>Heron and cat claim to be Brahma-knowers</t>
  </si>
  <si>
    <t>বকো আর ঝকো কানে দিয়েছি তুলো, মারো আর ধরো পিঠে বেঁধেছি কুলো</t>
  </si>
  <si>
    <t>বকো, ঝকো, কানে তুলো, মারো ধরো, পিঠে কুলো</t>
  </si>
  <si>
    <t>নির্বিকার</t>
  </si>
  <si>
    <t>Scold, I have cotton in ears; beat, I have shield on back</t>
  </si>
  <si>
    <t>উদাসীনতা</t>
  </si>
  <si>
    <t>বক্তের বউ মরে কমবক্তের ঘোড়া মরে</t>
  </si>
  <si>
    <t>বক্তার বউ মরে, কমবক্তের ঘোড়া মরে</t>
  </si>
  <si>
    <t>দুর্ভাগা</t>
  </si>
  <si>
    <t>Orator's wife dies, unfortunate's horse</t>
  </si>
  <si>
    <t>বক্তৃতা রূপালী, নীরবতা সোনালী</t>
  </si>
  <si>
    <t>বক্তৃতা রূপা, নীরবতা সোনা</t>
  </si>
  <si>
    <t>Speech is silver, silence golden</t>
  </si>
  <si>
    <t>বগলমে ছুরি মুহমে রামনাম</t>
  </si>
  <si>
    <t>বগলে ছুরি, মুখে রামনাম</t>
  </si>
  <si>
    <t>কপটতা</t>
  </si>
  <si>
    <t>Knife under arm, Ram's name on lips</t>
  </si>
  <si>
    <t>বচন রজতসম, নীরবতা হিরণ্ময়</t>
  </si>
  <si>
    <t>বচন রূপা, নীরবতা সোনা (পুনরুক্তি)</t>
  </si>
  <si>
    <t>বচনসর্বস্ব</t>
  </si>
  <si>
    <t>কথা সর্বস্ব</t>
  </si>
  <si>
    <t>All talk</t>
  </si>
  <si>
    <t>বচনে জগৎ তুষ্ট, বচনে জগৎ রুষ্ট</t>
  </si>
  <si>
    <t>কথায় জগৎ খুশি, কথায় জগৎ রাগ</t>
  </si>
  <si>
    <t>কথার শক্তি</t>
  </si>
  <si>
    <t>Words please or anger</t>
  </si>
  <si>
    <t>বচন থেকে কাজের গলা বেশি দরাজ</t>
  </si>
  <si>
    <t>কথার চেয়ে কাজের জোর বেশি</t>
  </si>
  <si>
    <t>কাজের শক্তি</t>
  </si>
  <si>
    <t>Deeds speak louder than words</t>
  </si>
  <si>
    <t>বঞ্চনঞ্চাপমানঞ্চ মতিমান ন প্রকাশয়েৎ</t>
  </si>
  <si>
    <t>বঞ্চনা ও অপমান জ্ঞানী প্রকাশ করে না</t>
  </si>
  <si>
    <t>জ্ঞানী লুকায়</t>
  </si>
  <si>
    <t>A wise man hides deceit and insult</t>
  </si>
  <si>
    <t>বড় কেউ নয়, বড় কেটাও নয়</t>
  </si>
  <si>
    <t>বড় কেউ নয়, বড় কাটাও নয়</t>
  </si>
  <si>
    <t>সবাই সমান</t>
  </si>
  <si>
    <t>Neither big nor big-cut—equal</t>
  </si>
  <si>
    <t>সাম্য</t>
  </si>
  <si>
    <t>বড়গাছে কাছি বাঁধা</t>
  </si>
  <si>
    <t>বড় গাছে কাছি বাঁধা</t>
  </si>
  <si>
    <t>উঁচু লক্ষ্য</t>
  </si>
  <si>
    <t>Tie rope to big tree</t>
  </si>
  <si>
    <t>লক্ষ্য</t>
  </si>
  <si>
    <t>বড়গাছেই ঝড় লাগে</t>
  </si>
  <si>
    <t>বড় গাছেই ঝড় লাগে</t>
  </si>
  <si>
    <t>উঁচুতে বিপদ</t>
  </si>
  <si>
    <t>Tall tree catches storm</t>
  </si>
  <si>
    <t>বড়গাছের নীচে আশ্রয় নেওয়া</t>
  </si>
  <si>
    <t>বড় গাছের নীচে আশ্রয়</t>
  </si>
  <si>
    <t>বড়র আশ্রয়</t>
  </si>
  <si>
    <t>Take shelter under big tree</t>
  </si>
  <si>
    <t>নির্ভরতা</t>
  </si>
  <si>
    <t>বড়বড় বানরের বড়বড় পেট, লঙ্কা ডিঙোতে সব মাথা করে হেঁট</t>
  </si>
  <si>
    <t>বড় বানরের বড় পেট, লঙ্কা ডিঙোতে সব মাথা হেঁট</t>
  </si>
  <si>
    <t>বাহ্যিক বড়াই</t>
  </si>
  <si>
    <t>Big monkeys, big bellies; crossing Lanka, heads down</t>
  </si>
  <si>
    <t>বড় যদি হতে চাও ছোট হও তবে</t>
  </si>
  <si>
    <t>বড় হতে চাইলে ছোট হও</t>
  </si>
  <si>
    <t>বিনয়ী হও</t>
  </si>
  <si>
    <t>If you want to be great, be humble</t>
  </si>
  <si>
    <t>ডুপ্লিকেট - id 260 রাখা হচ্ছে, এই row বাদ দাও।</t>
  </si>
  <si>
    <t>বত্রিশদিনে মাস ফুরায়</t>
  </si>
  <si>
    <t>বত্রিশ দিনে মাস ফুরায়</t>
  </si>
  <si>
    <t>সময় দ্রুত চলে</t>
  </si>
  <si>
    <t>Month ends in thirty-two days—time flies</t>
  </si>
  <si>
    <t>বদসঙ্গ থেকে নিঃসঙ্গতা ভালো</t>
  </si>
  <si>
    <t>বদসঙ্গ থেকে একা থাকা ভালো</t>
  </si>
  <si>
    <t>কুসঙ্গ ত্যাগ</t>
  </si>
  <si>
    <t>Better alone than in bad company</t>
  </si>
  <si>
    <t>সঙ্গ</t>
  </si>
  <si>
    <t>বন্ধু হারানো থেকে ঠাট্টায় হেরে যাওয়া ভাল</t>
  </si>
  <si>
    <t>বন্ধু হারানোর চেয়ে ঠাট্টায় হারা ভালো</t>
  </si>
  <si>
    <t>বন্ধুত্ব বড়</t>
  </si>
  <si>
    <t>Better lose in jest than lose friend</t>
  </si>
  <si>
    <t>বন্ধ্যানারী প্রসববেদনার কষ্ট কি জানে২</t>
  </si>
  <si>
    <t>বন্ধ্যা নারী প্রসববেদনা জানে না (দ্বিতীয়)</t>
  </si>
  <si>
    <t>অনভিজ্ঞতা</t>
  </si>
  <si>
    <t>Barren woman can't know childbirth pain</t>
  </si>
  <si>
    <t>ডুপ্লিকেট - id 5497 রাখা হচ্ছে, এই row বাদ দাও।</t>
  </si>
  <si>
    <t>বন্ধ্যানারীর অন্ধপুত্র চাঁদ দেখতে পায়</t>
  </si>
  <si>
    <t>বন্ধ্যার অন্ধ ছেলে চাঁদ দেখে</t>
  </si>
  <si>
    <t>Barren woman's blind son sees moon—impossible</t>
  </si>
  <si>
    <t>বয়সেতে বড়/বিজ্ঞ নয়, বড়/বিজ্ঞ হয় জ্ঞানে</t>
  </si>
  <si>
    <t>বয়সে নয়, জ্ঞানে বড়</t>
  </si>
  <si>
    <t>জ্ঞানই বড়</t>
  </si>
  <si>
    <t>Great not by age but by knowledge</t>
  </si>
  <si>
    <t>বরং রামান্ন রাবণাৎ</t>
  </si>
  <si>
    <t>রাম থেকে রাবণ ভালো?</t>
  </si>
  <si>
    <t>Rather from Ram than Ravan?</t>
  </si>
  <si>
    <t>পছন্দ</t>
  </si>
  <si>
    <t>বরং হি মানিনো মৃত্যুর্ন দৈন্যং স্বজনাগ্রত</t>
  </si>
  <si>
    <t>মানীর মৃত্যু ভালো, স্বজনের কাছে দৈন্য নয়</t>
  </si>
  <si>
    <t>আত্মসম্মান</t>
  </si>
  <si>
    <t>Better a proud man's death than beggary before kin</t>
  </si>
  <si>
    <t>সম্মান</t>
  </si>
  <si>
    <t>বর-কনের দেখা নাই শুক্কুরবারে বিয়ে</t>
  </si>
  <si>
    <t>বর-কনের দেখা নেই, শুক্রবারে বিয়ে</t>
  </si>
  <si>
    <t>No meeting, yet Friday wedding</t>
  </si>
  <si>
    <t>বরমেকো গুণীপুত্রো ন চ মূর্খ শতান্যপি/শতৈরপি</t>
  </si>
  <si>
    <t>এক গুণী পুত্র ভালো, শত মূর্খ নয়</t>
  </si>
  <si>
    <t>গুণের মূল্য</t>
  </si>
  <si>
    <t>One virtuous son better than hundred fools</t>
  </si>
  <si>
    <t>পুত্র</t>
  </si>
  <si>
    <t>বর্ণচোরা ঠাকুর</t>
  </si>
  <si>
    <t>A deceptive deity</t>
  </si>
  <si>
    <t>বর্ণচোরা ঠাকুর এলো রসের নদীয়ায়</t>
  </si>
  <si>
    <t>বর্ণচোরা ঠাকুর রসের নদীয়ায় এলো</t>
  </si>
  <si>
    <t>ভণ্ডের আগমন</t>
  </si>
  <si>
    <t>A deceptive god came to Nabadwip</t>
  </si>
  <si>
    <t>বললে মা মার খায়, না বললে বাবা এঁটো খায়</t>
  </si>
  <si>
    <t>বললে মা মারেন, না বললে বাবা এঁটো খায়</t>
  </si>
  <si>
    <t>উভয় সংকট</t>
  </si>
  <si>
    <t>If tell, mother beats; if not, father eats leftovers</t>
  </si>
  <si>
    <t>মা/বাবা</t>
  </si>
  <si>
    <t>বলার মুখ আর চলার পথ কেউ বন্ধ করতে পারে না</t>
  </si>
  <si>
    <t>বলার মুখ ও চলার পথ কেউ বন্ধ করতে পারে না</t>
  </si>
  <si>
    <t>No one can block speech or path</t>
  </si>
  <si>
    <t>বলে নয় ছলে</t>
  </si>
  <si>
    <t>কথায় নয়, কৌশলে</t>
  </si>
  <si>
    <t>কাজ কৌশলে</t>
  </si>
  <si>
    <t>Not by words, by tricks</t>
  </si>
  <si>
    <t>চাতুরি</t>
  </si>
  <si>
    <t>বসে খেলে কুলোয় না, করে খেলে ফুরোয় না</t>
  </si>
  <si>
    <t>বসে খেলে সংকুলান হয় না, করে খেলে ফুরোয় না</t>
  </si>
  <si>
    <t>কর্মে অভাব নেই</t>
  </si>
  <si>
    <t>Idle eating insufficient, working never runs out</t>
  </si>
  <si>
    <t>বসুধৈব কুটুম্বম্</t>
  </si>
  <si>
    <t>পৃথিবীই পরিবার</t>
  </si>
  <si>
    <t>জগৎ এক পরিবার</t>
  </si>
  <si>
    <t>The world is one family</t>
  </si>
  <si>
    <t>সমতা</t>
  </si>
  <si>
    <t>বাঁচার জন্য খাও, খাওয়ার জন্য বেঁচো না১</t>
  </si>
  <si>
    <t>বাঁচার জন্য খাও, খাওয়ার জন্য বাঁচো না</t>
  </si>
  <si>
    <t>খাদ্য জীবন নয়</t>
  </si>
  <si>
    <t>Eat to live, not live to eat</t>
  </si>
  <si>
    <t>সংযম</t>
  </si>
  <si>
    <t>এই প্রবাদের ডুপ্লিকেট আছে (id: 5551, 5552), এটা রাখো (সবচেয়ে ছোট id)।</t>
  </si>
  <si>
    <t>বাঁচার জন্য খাও, খাওয়ার জন্য বেঁচো না২</t>
  </si>
  <si>
    <t>বাঁচার জন্য খাও, খাওয়ার জন্য বাঁচো না (দ্বিতীয়)</t>
  </si>
  <si>
    <t>মিতাহার</t>
  </si>
  <si>
    <t>Eat to live, don't live to eat</t>
  </si>
  <si>
    <t>ডুপ্লিকেট - id 5551 রাখা হচ্ছে, এই row বাদ দাও।</t>
  </si>
  <si>
    <t>বাঁজির পুতের হাঁচির ঘা সয় না</t>
  </si>
  <si>
    <t>বাঁজির ছেলের হাঁচির ঘা সয় না</t>
  </si>
  <si>
    <t>Barren woman's son has cold—impossible</t>
  </si>
  <si>
    <t>বাঁদরকে কলা দেখানো১</t>
  </si>
  <si>
    <t>বাঁদরকে কলা দেখানো</t>
  </si>
  <si>
    <t>প্রলোভন দেখানো</t>
  </si>
  <si>
    <t>Showing banana to monkey—temptation</t>
  </si>
  <si>
    <t>এই প্রবাদের ডুপ্লিকেট আছে (id: 5555, 5556), এটা রাখো (সবচেয়ে ছোট id)।</t>
  </si>
  <si>
    <t>বাঁধা দেবে না বেচে খাবে উকিল পাঠাবে না নিজে যাবে</t>
  </si>
  <si>
    <t>বাঁধা দেবে না, বেচে খাবে; উকিল পাঠাবে না, নিজে যাবে</t>
  </si>
  <si>
    <t>সব কাজ নিজে</t>
  </si>
  <si>
    <t>Won't mortgage, will sell; won't send lawyer, will go himself</t>
  </si>
  <si>
    <t>বাঁশ বাকস্‌ বামণ/বামন- তিন জমি নেওয়ার যম</t>
  </si>
  <si>
    <t>বাঁশ, বাকস, বামুন—তিন জমির যম</t>
  </si>
  <si>
    <t>জমি নষ্টকারী</t>
  </si>
  <si>
    <t>Bamboo, baks tree, Brahmin—three ruin land</t>
  </si>
  <si>
    <t>ব্রাহ্মণ</t>
  </si>
  <si>
    <t>বাঁশি হারিয়ে শিঙায় ফুঁ২</t>
  </si>
  <si>
    <t>বাঁশি হারিয়ে শিঙায় ফুঁ (দ্বিতীয়)</t>
  </si>
  <si>
    <t>অযোগ্য উপায়</t>
  </si>
  <si>
    <t>Lost flute, uses horn</t>
  </si>
  <si>
    <t>বিকল্প</t>
  </si>
  <si>
    <t>ডুপ্লিকেট - id 5567 রাখা হচ্ছে, এই row বাদ দাও।</t>
  </si>
  <si>
    <t>বাই হুক অর বা বাই ক্রুক</t>
  </si>
  <si>
    <t>যে কোন উপায়ে</t>
  </si>
  <si>
    <t>যে কোনো মতে</t>
  </si>
  <si>
    <t>By hook or by crook</t>
  </si>
  <si>
    <t>উপায়</t>
  </si>
  <si>
    <t>বাইরে হাশিখুশি ভিতরে গরলরাশি</t>
  </si>
  <si>
    <t>বাইরে হাসিখুশি, ভিতরে বিষ</t>
  </si>
  <si>
    <t>কপট</t>
  </si>
  <si>
    <t>Smiling outside, poison inside</t>
  </si>
  <si>
    <t>বাউলের ঘরের গরু১</t>
  </si>
  <si>
    <t>বাউলের ঘরের গরু</t>
  </si>
  <si>
    <t>সহজ-সরল</t>
  </si>
  <si>
    <t>A Baul's cow—carefree</t>
  </si>
  <si>
    <t>সরলতা</t>
  </si>
  <si>
    <t>এই প্রবাদের ডুপ্লিকেট আছে (id: 5576, 5577), এটা রাখো (সবচেয়ে ছোট id)।</t>
  </si>
  <si>
    <t>বাউলের ঘরের গরু২</t>
  </si>
  <si>
    <t>বাউলের ঘরের গরু (দ্বিতীয়)</t>
  </si>
  <si>
    <t>অযত্নে থাকা</t>
  </si>
  <si>
    <t>A Baul's cow—neglected</t>
  </si>
  <si>
    <t>অবহেলা</t>
  </si>
  <si>
    <t>ডুপ্লিকেট - id 5576 রাখা হচ্ছে, এই row বাদ দাও।</t>
  </si>
  <si>
    <t>বাকপটু আর নির্বোধের সাথে তর্কে যেও না</t>
  </si>
  <si>
    <t>বাকপটু ও নির্বোধের সাথে তর্ক নয়</t>
  </si>
  <si>
    <t>তর্কে লাভ নেই</t>
  </si>
  <si>
    <t>Don't argue with the glib or fools</t>
  </si>
  <si>
    <t>বাঘ পালাল বিড়াল এল, শিকার করতে হাতি</t>
  </si>
  <si>
    <t>বাঘ পালাল, বিড়াল এল, হাতি শিকার</t>
  </si>
  <si>
    <t>অযোগ্য শিকারী</t>
  </si>
  <si>
    <t>Tiger fled, cat came to hunt elephant</t>
  </si>
  <si>
    <t>বাঘ-ভালুকের রাজ্যে থাকি, মনের কথা মনেই রাখি</t>
  </si>
  <si>
    <t>বাঘ-ভালুকের রাজ্যে থাকি, মনের কথা মনে রাখি</t>
  </si>
  <si>
    <t>ভয়ে গোপন</t>
  </si>
  <si>
    <t>Living among tigers, keep thoughts inside</t>
  </si>
  <si>
    <t>বাঘে গরুতে একঘাটে জল খায়</t>
  </si>
  <si>
    <t>বাঘে-গরুতে এক ঘাটে জল খায়</t>
  </si>
  <si>
    <t>অসম্ভব শান্তি</t>
  </si>
  <si>
    <t>Tiger and cow drink at same ghat—peace</t>
  </si>
  <si>
    <t>শান্তি</t>
  </si>
  <si>
    <t>বাঘের আড়ি</t>
  </si>
  <si>
    <t>ভয়ংকর জেদ</t>
  </si>
  <si>
    <t>Tiger's stubbornness</t>
  </si>
  <si>
    <t>জেদ</t>
  </si>
  <si>
    <t>বাঘের আবার গোবধ</t>
  </si>
  <si>
    <t>বাঘের আবার গোবধ?</t>
  </si>
  <si>
    <t>বড় অপরাধ</t>
  </si>
  <si>
    <t>Does tiger kill cow?—big sin</t>
  </si>
  <si>
    <t>বাঘের দেখা সাপের লেখা</t>
  </si>
  <si>
    <t>বাঘের দেখা, সাপের লেখা</t>
  </si>
  <si>
    <t>দুই বিপদ একত্র</t>
  </si>
  <si>
    <t>Tiger's sight, snake's writing—both deadly</t>
  </si>
  <si>
    <t>বাঘের মাসী</t>
  </si>
  <si>
    <t>ভয়ংকর নারী</t>
  </si>
  <si>
    <t>Tiger's aunt—fierce woman</t>
  </si>
  <si>
    <t>বাঘের যোগ্য বাঘিনী</t>
  </si>
  <si>
    <t>দুষ্টের দুষ্টা</t>
  </si>
  <si>
    <t>A tigress fit for a tiger</t>
  </si>
  <si>
    <t>দম্পতি</t>
  </si>
  <si>
    <t>বাজারে আগুন লাগলে পীরের ঘর মানে না</t>
  </si>
  <si>
    <t>বাজারে আগুন লাগলে পীরের ঘরও মানে না</t>
  </si>
  <si>
    <t>বিপদ সবার</t>
  </si>
  <si>
    <t>When market burns, saint's house not spared</t>
  </si>
  <si>
    <t>বাজারে বাজার বসে</t>
  </si>
  <si>
    <t>স্বাভাবিক কাজ</t>
  </si>
  <si>
    <t>Market sits in market</t>
  </si>
  <si>
    <t>স্বাভাবিক</t>
  </si>
  <si>
    <t>বাজিভোর</t>
  </si>
  <si>
    <t>ভোরবেলা</t>
  </si>
  <si>
    <t>Early dawn</t>
  </si>
  <si>
    <t>বাজিমাত</t>
  </si>
  <si>
    <t>সফল</t>
  </si>
  <si>
    <t>Winning the game</t>
  </si>
  <si>
    <t>বাড়া ভাতে ছাই২</t>
  </si>
  <si>
    <t>বাড়া ভাতে ছাই (দ্বিতীয়)</t>
  </si>
  <si>
    <t>অতিরিক্ত নষ্ট</t>
  </si>
  <si>
    <t>Extra rice ruined</t>
  </si>
  <si>
    <t>ডুপ্লিকেট - id 5609 রাখা হচ্ছে, এই row বাদ দাও।</t>
  </si>
  <si>
    <t>বাড়া ভাতে নেড়া গিন্নী</t>
  </si>
  <si>
    <t>বাড়া ভাতে ন্যাড়া গিন্নী</t>
  </si>
  <si>
    <t>অযোগ্য গৃহিণী</t>
  </si>
  <si>
    <t>Bald housewife for extra rice</t>
  </si>
  <si>
    <t>অযোগ্যতা</t>
  </si>
  <si>
    <t>বাড়ীতে পায় না শাক সজিনা হাঁক দিয়ে বলে ঘি আন না</t>
  </si>
  <si>
    <t>বাড়িতে শাক সজিনা নেই, হাঁক দিয়ে বলে ঘি আন</t>
  </si>
  <si>
    <t>অভাবে বড়াই</t>
  </si>
  <si>
    <t>No greens at home, yet calls for ghee</t>
  </si>
  <si>
    <t>বাড়ীর কাছে কামার, দা গড়ে দে আমার</t>
  </si>
  <si>
    <t>বাড়ির কাছে কামার, দা গড়ে দাও</t>
  </si>
  <si>
    <t>সুবিধাজনক</t>
  </si>
  <si>
    <t>Blacksmith nearby, make me a knife</t>
  </si>
  <si>
    <t>বাণিজ্য করতে গেল দরিয়ার কূল কেউ করলো দুনোলাভ কেউ হারালো মূল</t>
  </si>
  <si>
    <t>ব্যবসায় গিয়ে কেউ দ্বিগুণ লাভ, কেউ মূল হারাল</t>
  </si>
  <si>
    <t>ভাগ্যের ফের</t>
  </si>
  <si>
    <t>Trading at sea, some doubled, some lost all</t>
  </si>
  <si>
    <t>বাণিজ্যে বসতি লক্ষ্মী</t>
  </si>
  <si>
    <t>বাণিজ্যে লক্ষ্মী বাস</t>
  </si>
  <si>
    <t>ব্যবসায় ধন</t>
  </si>
  <si>
    <t>Wealth resides in trade</t>
  </si>
  <si>
    <t>বাত কহো তো বাত বনে</t>
  </si>
  <si>
    <t>কথা বললে কথা বনে</t>
  </si>
  <si>
    <t>কথা বলে কথা</t>
  </si>
  <si>
    <t>Words lead to words</t>
  </si>
  <si>
    <t>বাতাসে ফাঁদ পাতা১</t>
  </si>
  <si>
    <t>বাতাসে ফাঁদ পাতা</t>
  </si>
  <si>
    <t>Setting trap in air—impossible</t>
  </si>
  <si>
    <t>এই প্রবাদের ডুপ্লিকেট আছে (id: 5627, 5628), এটা রাখো (সবচেয়ে ছোট id)।</t>
  </si>
  <si>
    <t>বাতাসে ফাঁদ পাতা২</t>
  </si>
  <si>
    <t>বাতাসে ফাঁদ পাতা (দ্বিতীয়)</t>
  </si>
  <si>
    <t>নিরর্থক</t>
  </si>
  <si>
    <t>Net in wind</t>
  </si>
  <si>
    <t>ডুপ্লিকেট - id 5627 রাখা হচ্ছে, এই row বাদ দাও।</t>
  </si>
  <si>
    <t>বাতাসে ফাঁদ পেতে চাঁদ ধরা</t>
  </si>
  <si>
    <t>Catch moon with net in air</t>
  </si>
  <si>
    <t>বাতাসের সঙ্গে ঝগড়া/লড়াই করা১</t>
  </si>
  <si>
    <t>বাতাসের সঙ্গে ঝগড়া</t>
  </si>
  <si>
    <t>নিরর্থক লড়াই</t>
  </si>
  <si>
    <t>Fighting with wind—futile</t>
  </si>
  <si>
    <t>এই প্রবাদের ডুপ্লিকেট আছে (id: 5630, 5631, 5632), এটা রাখো (সবচেয়ে ছোট id)।</t>
  </si>
  <si>
    <t>বাদ দিয়ে বর্ষা খনার বচন ফর্সা, শনি সাত মঙ্গল তিন এর সব দিন দিন- খনা</t>
  </si>
  <si>
    <t>বাদ দিয়ে বর্ষা, খনার বচন ফর্সা; শনি সাত, মঙ্গল তিন—সব দিন</t>
  </si>
  <si>
    <t>খনার আবহাওয়া</t>
  </si>
  <si>
    <t>Forget rain, Khana's words clear; Saturn seven, Mars three—all days</t>
  </si>
  <si>
    <t>বাদুরচোষা তাল</t>
  </si>
  <si>
    <t>বাদুড়চোষা তাল</t>
  </si>
  <si>
    <t>নষ্ট তাল</t>
  </si>
  <si>
    <t>A bat-sucked palm fruit—spoiled</t>
  </si>
  <si>
    <t>বানরের গলায় মুক্তামালা২</t>
  </si>
  <si>
    <t>বানরের গলায় মুক্তার মালা (দ্বিতীয়)</t>
  </si>
  <si>
    <t>Monkey with pearl necklace</t>
  </si>
  <si>
    <t>ডুপ্লিকেট - id 5640 রাখা হচ্ছে, এই row বাদ দাও।</t>
  </si>
  <si>
    <t>বানুরে বুদ্ধি</t>
  </si>
  <si>
    <t>বানুর বুদ্ধি</t>
  </si>
  <si>
    <t>Monkey wit—cunning</t>
  </si>
  <si>
    <t>বাপকা বেটা সিপাইকা ঘোড়া, কুছ না হোবে তো থোড়া থোড়া</t>
  </si>
  <si>
    <t>বাপের ছেলে, সিপাহির ঘোড়া—কিছু না হোক থোড়া থোড়া</t>
  </si>
  <si>
    <t>বংশগত গুণ</t>
  </si>
  <si>
    <t>Father's son, soldier's horse—some quality</t>
  </si>
  <si>
    <t>ছেলে</t>
  </si>
  <si>
    <t>বাপ ভালা না ভাইয়া ভাইয়া, সবসে অচ্ছা রূপাইয়া</t>
  </si>
  <si>
    <t>বাবা ভালো না ভাই, সবার চেয়ে ভালো টাকা</t>
  </si>
  <si>
    <t>টাকাই শ্রেষ্ঠ</t>
  </si>
  <si>
    <t>Father not best, brother not; money best</t>
  </si>
  <si>
    <t>বাপেরও বাপ আছে</t>
  </si>
  <si>
    <t>বাবারও বাবা আছে</t>
  </si>
  <si>
    <t>সবার উপরে কেউ</t>
  </si>
  <si>
    <t>Father has father too</t>
  </si>
  <si>
    <t>শৃঙ্খলা</t>
  </si>
  <si>
    <t>বাপের জন্মে/বয়সে কলমা নেই; গালভর্তি দাড়ি</t>
  </si>
  <si>
    <t>বাবার বয়সে কলমা নেই, গালভরা দাড়ি</t>
  </si>
  <si>
    <t>অযোগ্য বৃদ্ধ</t>
  </si>
  <si>
    <t>No wisdom at father's age, but full beard</t>
  </si>
  <si>
    <t>বয়স</t>
  </si>
  <si>
    <t>বাপের জন্মে চড়িনি ডুলি ভেঙে গেল মোর পাছার খুলি</t>
  </si>
  <si>
    <t>বাবার জীবনে ডুলি চড়িনি, ভেঙে গেল পাছার হাড়</t>
  </si>
  <si>
    <t>ভাগ্যের পরিহাস</t>
  </si>
  <si>
    <t>Never rode palanquin in father's life, now it broke my hip</t>
  </si>
  <si>
    <t>বাপের জন্মে নেইকো গাই, চালুনি নিয়ে দুইতে যাই</t>
  </si>
  <si>
    <t>বাবার জীবনে গাই নেই, চালুনি নিয়ে দোয়াতে যাই</t>
  </si>
  <si>
    <t>No cow ever, goes to milk with sieve</t>
  </si>
  <si>
    <t>বাপের জন্মে নেইকো চাষ, ধানকে বলে দূর্বাঘাস</t>
  </si>
  <si>
    <t>বাবার জীবনে চাষ নেই, ধানকে বলে দূর্বাঘাস</t>
  </si>
  <si>
    <t>অজ্ঞতা</t>
  </si>
  <si>
    <t>Never farmed, calls paddy grass</t>
  </si>
  <si>
    <t>বাপের বোন পিসি ভাতকাপড় দিয়ে পুষি মায়ের বোন মাসি কাদায় ফেলে ঠাসি</t>
  </si>
  <si>
    <t>বাবার বোন পিসি আদর, মায়ের বোন মাসি অবহেলা</t>
  </si>
  <si>
    <t>Father's sister fed, mother's sister pushed into mud</t>
  </si>
  <si>
    <t>বাবাজীকি বাবাজী, তরকারীকি তরকারী</t>
  </si>
  <si>
    <t>বাবাজীর বাবাজী, তরকারির তরকারি</t>
  </si>
  <si>
    <t>স্বতন্ত্র</t>
  </si>
  <si>
    <t>Priest is priest, curry is curry—separate</t>
  </si>
  <si>
    <t>বাবা পেটে, মা হাঁটে, আমি তখন বছর আটে</t>
  </si>
  <si>
    <t>বাবা পেটে, মা হাঁটে, আমি তখন আট</t>
  </si>
  <si>
    <t>Father in womb, mother walks, I am eight—absurd</t>
  </si>
  <si>
    <t>বাবা/মা</t>
  </si>
  <si>
    <t>বাবা পেটে, মা হাটে, আমি তখন বছর আটে</t>
  </si>
  <si>
    <t>বাবা পেটে, মা হাঁটে, আমি আট (দ্বিতীয়)</t>
  </si>
  <si>
    <t>অসংলগ্ন</t>
  </si>
  <si>
    <t>Father inside, mother walking, I eight</t>
  </si>
  <si>
    <t>বাবু পান না, তাই খান না</t>
  </si>
  <si>
    <t>অভাবে ভাণ</t>
  </si>
  <si>
    <t>Babu doesn't eat because he doesn't get</t>
  </si>
  <si>
    <t>বাবু মরেন শীতে আর ভাতে</t>
  </si>
  <si>
    <t>বাবু মরে শীতে ও ভাতে</t>
  </si>
  <si>
    <t>বিলাসীর কষ্ট</t>
  </si>
  <si>
    <t>Babu dies of cold and rice—incongruous</t>
  </si>
  <si>
    <t>বাবু যত বলে, পারিষদ বলে তার শতগুণ</t>
  </si>
  <si>
    <t>বাবু যত বলেন, পারিষদ তার শতগুণ বলে</t>
  </si>
  <si>
    <t>চাটুকারিতা</t>
  </si>
  <si>
    <t>Babu speaks, courtier exaggerates hundredfold</t>
  </si>
  <si>
    <t>চাটুকার</t>
  </si>
  <si>
    <t>বামন (বেঁটেলোক) হয়ে চাঁদ ধরতে চায়</t>
  </si>
  <si>
    <t>বামন হয়ে চাঁদ ধরতে চায়</t>
  </si>
  <si>
    <t>অসম্ভব আশা</t>
  </si>
  <si>
    <t>A dwarf wants to catch the moon</t>
  </si>
  <si>
    <t>বামণ/বামন/বামুন মন্ত্র পড়ে, পাঁঠার কলায় শুনে</t>
  </si>
  <si>
    <t>ব্রাহ্মণ মন্ত্র পড়ে, পাঁঠা কলায় শোনে</t>
  </si>
  <si>
    <t>কেউ মন দেয় না</t>
  </si>
  <si>
    <t>Brahmin chants, goat listens to banana</t>
  </si>
  <si>
    <t>অনর্থক</t>
  </si>
  <si>
    <t>বামণের/বামনের/বামুনের নজর নৈবদ্যের কলায়</t>
  </si>
  <si>
    <t>ব্রাহ্মণের নজর নৈবেদ্যের কলায়</t>
  </si>
  <si>
    <t>ভোগের দিকে মন</t>
  </si>
  <si>
    <t>Brahmin eyes offering banana</t>
  </si>
  <si>
    <t>বামণের/বামনের/বামুনের ভাতে আছে</t>
  </si>
  <si>
    <t>ব্রাহ্মণের ভাতে আছে</t>
  </si>
  <si>
    <t>প্রাচুর্য</t>
  </si>
  <si>
    <t>Brahmin has rice</t>
  </si>
  <si>
    <t>সচ্ছলতা</t>
  </si>
  <si>
    <t>বারেবারে ঘুঘু তুমি খেয়ে যাও ধান, এইবারে তোমায় আমি/ঘুঘু বধিব পরাণ</t>
  </si>
  <si>
    <t>বারবার ঘুঘু ধান খাও, এবার তোমায় বধ করব</t>
  </si>
  <si>
    <t>Again and again pigeon eats paddy, now I'll kill you</t>
  </si>
  <si>
    <t>বারোটা ঝাড়লুম/দেখলুম তেরোটা মল, তুই না মরে অপযশ হল</t>
  </si>
  <si>
    <t>বারোটা ঝাড়লাম, তেরোটা মল; তুই না মরে অপযশ হল</t>
  </si>
  <si>
    <t>দুর্ভাগ্য</t>
  </si>
  <si>
    <t>Swept twelve, dusted thirteen; you didn't die, shame</t>
  </si>
  <si>
    <t>বারোটা বেজেছে</t>
  </si>
  <si>
    <t>সময় শেষ</t>
  </si>
  <si>
    <t>It's twelve o'clock</t>
  </si>
  <si>
    <t>বারোবছরে ফলে তাল যদি না লাগে গরুর লাল- খনা</t>
  </si>
  <si>
    <t>বারো বছরে তাল ফলে, যদি না লাগে গরুর লাল</t>
  </si>
  <si>
    <t>কৃষি নিয়ম</t>
  </si>
  <si>
    <t>Palm fruits in twelve years if cow's saliva not applied</t>
  </si>
  <si>
    <t>বারো মাস ত্রিশদিন</t>
  </si>
  <si>
    <t>বারো মাস ত্রিশ দিন</t>
  </si>
  <si>
    <t>সারা বছর</t>
  </si>
  <si>
    <t>Twelve months, thirty days</t>
  </si>
  <si>
    <t>বারোমাসে তেরোপার্বণ</t>
  </si>
  <si>
    <t>বারো মাসে তেরো পার্বণ</t>
  </si>
  <si>
    <t>সারা বছর উৎসব</t>
  </si>
  <si>
    <t>Thirteen festivals in twelve months</t>
  </si>
  <si>
    <t>উৎসব</t>
  </si>
  <si>
    <t>বারো রাজপুতের তেরোহাঁড়ি কেউ খায় না কারো বাড়ি</t>
  </si>
  <si>
    <t>বারো রাজপুতের তেরো হাঁড়ি, কেউ কারো বাড়ি খায় না</t>
  </si>
  <si>
    <t>অনৈক্য</t>
  </si>
  <si>
    <t>Twelve Rajputs have thirteen pots, none eats at other's</t>
  </si>
  <si>
    <t>বারোহাত কাঁকুড়ের তেরোহাত বীচি১</t>
  </si>
  <si>
    <t>বারো হাত কাঁকুড়, তেরো হাত বীচি</t>
  </si>
  <si>
    <t>Twelve-cubit gourd, thirteen-cubit seed</t>
  </si>
  <si>
    <t>এই প্রবাদের ডুপ্লিকেট আছে (id: 5687, 5688), এটা রাখো (সবচেয়ে ছোট id)।</t>
  </si>
  <si>
    <t>বারোহাত কাঁকুড়ের তেরোহাত বীচি২</t>
  </si>
  <si>
    <t>বারো হাত কাঁকুড়, তেরো হাত বীচি (দ্বিতীয়)</t>
  </si>
  <si>
    <t>Long gourd, longer seed</t>
  </si>
  <si>
    <t>ডুপ্লিকেট - id 5687 রাখা হচ্ছে, এই row বাদ দাও।</t>
  </si>
  <si>
    <t>বালকেই চাঁদ ধরতে চায়</t>
  </si>
  <si>
    <t>ছেলেই চাঁদ ধরতে চায়</t>
  </si>
  <si>
    <t>অসম্ভব ইচ্ছা</t>
  </si>
  <si>
    <t>A child wants to catch moon</t>
  </si>
  <si>
    <t>শিশু</t>
  </si>
  <si>
    <t>বালির বাঁধ</t>
  </si>
  <si>
    <t>Sand dam—fragile</t>
  </si>
  <si>
    <t>অস্থায়ী</t>
  </si>
  <si>
    <t>বাসরঘরে বিড়াল মারা</t>
  </si>
  <si>
    <t>বাসর ঘরে বিড়াল মারা</t>
  </si>
  <si>
    <t>অশুভ কাজ</t>
  </si>
  <si>
    <t>Killing cat in bridal chamber—bad omen</t>
  </si>
  <si>
    <t>অশুভ</t>
  </si>
  <si>
    <t>বাহিরে হাসিখুশি অন্তরে গরলরাশি</t>
  </si>
  <si>
    <t>বাইরে হাসি, অন্তরে বিষ</t>
  </si>
  <si>
    <t>বিচার করে দেখ ভাই এক ছাড়া দুই নাই</t>
  </si>
  <si>
    <t>বিচার করে দেখ, এক ছাড়া দুই নেই</t>
  </si>
  <si>
    <t>সত্য যাচাই</t>
  </si>
  <si>
    <t>Judge and see, no two without one</t>
  </si>
  <si>
    <t>বিড়াল তপস্বী</t>
  </si>
  <si>
    <t>Cat ascetic—hypocrite</t>
  </si>
  <si>
    <t>বিড়াল থলির বাইরে এলো</t>
  </si>
  <si>
    <t>বিড়াল থলি থেকে বেরোল</t>
  </si>
  <si>
    <t>গোপন প্রকাশ</t>
  </si>
  <si>
    <t>Cat out of bag</t>
  </si>
  <si>
    <t>বিড়াল প্রথমরাত্রেই মারতে হয়</t>
  </si>
  <si>
    <t>বিড়াল প্রথম রাত্রেই মারতে হয়</t>
  </si>
  <si>
    <t>শুরুতেই দমন</t>
  </si>
  <si>
    <t>Kill cat first night</t>
  </si>
  <si>
    <t>বিড়াল বলে মাছ খাব না, আঁশ ছোব না, কাশী যাবো</t>
  </si>
  <si>
    <t>বিড়াল বলে মাছ খাব না, আঁশ ছোব না, কাশী যাব</t>
  </si>
  <si>
    <t>ভণ্ড ত্যাগ</t>
  </si>
  <si>
    <t>Cat says won't eat fish, won't touch bone, going to Kashi</t>
  </si>
  <si>
    <t>বিড়াল বৈরাগ্য</t>
  </si>
  <si>
    <t>ভণ্ড বৈরাগ্য</t>
  </si>
  <si>
    <t>Cat's renunciation—false</t>
  </si>
  <si>
    <t>বিড়ালের আড়াই পা</t>
  </si>
  <si>
    <t>ছোট অভ্যাস</t>
  </si>
  <si>
    <t>Cat's two and a half feet</t>
  </si>
  <si>
    <t>বিড়ালের কপালে টিকা</t>
  </si>
  <si>
    <t>Tilak on cat's forehead—hypocrisy</t>
  </si>
  <si>
    <t>বিড়ালের গলায় ঘণ্টা বাঁধা</t>
  </si>
  <si>
    <t>বিপজ্জনক কাজ</t>
  </si>
  <si>
    <t>Bell on cat—risky</t>
  </si>
  <si>
    <t>বিদুরের ক্ষুদকুঁড়া/শাকান্ন</t>
  </si>
  <si>
    <t>সাদামাটা খাবার</t>
  </si>
  <si>
    <t>Vidura's humble food</t>
  </si>
  <si>
    <t>বিদ্যাদিগ্‌গজ</t>
  </si>
  <si>
    <t>মহাপণ্ডিত</t>
  </si>
  <si>
    <t>A scholar of great eminence</t>
  </si>
  <si>
    <t>বিদ্যা ধনাদপি গরীয়সী</t>
  </si>
  <si>
    <t>বিদ্যা ধনের চেয়ে বড়</t>
  </si>
  <si>
    <t>জ্ঞান শ্রেষ্ঠ</t>
  </si>
  <si>
    <t>Knowledge is superior to wealth</t>
  </si>
  <si>
    <t>বিদ্যান সর্বত্র পূজ্যতে</t>
  </si>
  <si>
    <t>বিদ্বান সর্বত্র পূজিত</t>
  </si>
  <si>
    <t>জ্ঞানীর সম্মান</t>
  </si>
  <si>
    <t>The learned are honored everywhere</t>
  </si>
  <si>
    <t>বিদ্যাশূন্য ভট্টাচার্য নাকি বিদ্যাসুন্দর ভট্টাচার্য</t>
  </si>
  <si>
    <t>বিদ্যাহীন ভট্টাচার্য, না বিদ্যাসুন্দর ভট্টাচার্য</t>
  </si>
  <si>
    <t>নামের বড়াই</t>
  </si>
  <si>
    <t>Ignorant Bhattacharya or learned?</t>
  </si>
  <si>
    <t>নাম</t>
  </si>
  <si>
    <t>বিদ্বান সর্বত্র পূজ্যতে</t>
  </si>
  <si>
    <t>বিধাতার বাজী, কেউ খায় পলান্ন কেউ খায় কাঁজি</t>
  </si>
  <si>
    <t>বিধাতার খেলা, কেউ পোলাও খায়, কেউ কাঁজি</t>
  </si>
  <si>
    <t>ভাগ্যের বৈষম্য</t>
  </si>
  <si>
    <t>God's game: some feast, some starve</t>
  </si>
  <si>
    <t>বিধি বাদী দুই সমান</t>
  </si>
  <si>
    <t>বিধি ও বাদী সমান</t>
  </si>
  <si>
    <t>আইন ও পক্ষ</t>
  </si>
  <si>
    <t>Fate and litigant equal</t>
  </si>
  <si>
    <t>আইন</t>
  </si>
  <si>
    <t>বিনয়ীরা সুবিধাবাদী হয়, সুবিধাবাদীরা বিনয়ী হয়</t>
  </si>
  <si>
    <t>বিনয়ীরা সুবিধাবাদী, সুবিধাবাদীরা বিনয়ী</t>
  </si>
  <si>
    <t>স্বার্থে বিনয়</t>
  </si>
  <si>
    <t>Humble become opportunist, opportunists humble</t>
  </si>
  <si>
    <t>বিনা বজ্রপাতে কেউ রামনাম নেয় না</t>
  </si>
  <si>
    <t>বিনা বজ্রপাতে কেউ ঈশ্বরকে ডাকে না</t>
  </si>
  <si>
    <t>বিপদে ভক্তি</t>
  </si>
  <si>
    <t>None calls God without thunder</t>
  </si>
  <si>
    <t>বিনামেঘে বর্ষণ</t>
  </si>
  <si>
    <t>বিনা মেঘে বৃষ্টি</t>
  </si>
  <si>
    <t>Rain without cloud—impossible</t>
  </si>
  <si>
    <t>বিনা রক্তপাতে পাপ ধোয় না</t>
  </si>
  <si>
    <t>রক্তপাত ছাড়া পাপ ধোয় না</t>
  </si>
  <si>
    <t>কঠোর শাস্তি</t>
  </si>
  <si>
    <t>Sin not washed without blood</t>
  </si>
  <si>
    <t>বিন্দুবিন্দু জল পাথর ফুটো করে২</t>
  </si>
  <si>
    <t>ফোঁটা ফোঁটা জল পাথর ফুটো করে (দ্বিতীয়)</t>
  </si>
  <si>
    <t>ধৈর্যে সফলতা</t>
  </si>
  <si>
    <t>Drip pierces stone</t>
  </si>
  <si>
    <t>ডুপ্লিকেট - id 5773 রাখা হচ্ছে, এই row বাদ দাও।</t>
  </si>
  <si>
    <t>বিন্দুবিন্দু বৃষ্টি করে পুকুর সৃষ্টি</t>
  </si>
  <si>
    <t>ফোঁটা বৃষ্টিতে পুকুর</t>
  </si>
  <si>
    <t>ছোট জমে বড়</t>
  </si>
  <si>
    <t>Drops make pond</t>
  </si>
  <si>
    <t>সঞ্চয়</t>
  </si>
  <si>
    <t>বিপদকালে মধুসূদন/হরিনাম২</t>
  </si>
  <si>
    <t>বিপদে মধুসূদন/হরিনাম (দ্বিতীয়)</t>
  </si>
  <si>
    <t>Adversity brings prayer</t>
  </si>
  <si>
    <t>ডুপ্লিকেট - id 5781 রাখা হচ্ছে, এই row বাদ দাও।</t>
  </si>
  <si>
    <t>বিপদকে ডেকো না বিপদ তোমার পিছু নেবে</t>
  </si>
  <si>
    <t>বিপদ ডেকো না, পিছু নেবে</t>
  </si>
  <si>
    <t>বিপদ এড়াও</t>
  </si>
  <si>
    <t>Don't invite danger</t>
  </si>
  <si>
    <t>বিপদে পড় নেই ভয়; অভিজ্ঞতায়/বুদ্ধিবলে হবে জয়</t>
  </si>
  <si>
    <t>বিপদে ভয় নেই, অভিজ্ঞতা/বুদ্ধিতে জয়</t>
  </si>
  <si>
    <t>সাহসে বিপদ জয়</t>
  </si>
  <si>
    <t>Fear not in danger; win by experience/wit</t>
  </si>
  <si>
    <t>বিপদে/বিপাকে পড়ে রামনাম/শ্রীমধুসূদন</t>
  </si>
  <si>
    <t>বিপদে পড়ে রামনাম</t>
  </si>
  <si>
    <t>In adversity, Ram's name</t>
  </si>
  <si>
    <t>বিপদ বলে কয়ে আসে না</t>
  </si>
  <si>
    <t>বিপদ বলে আসে না</t>
  </si>
  <si>
    <t>বিপদ হঠাৎ</t>
  </si>
  <si>
    <t>Danger doesn't announce</t>
  </si>
  <si>
    <t>বিবি যখন বড় হবে মিঁয়া তখন কবর যাবে</t>
  </si>
  <si>
    <t>বিবি বড় হবে, মিঞা কবরে যাবে</t>
  </si>
  <si>
    <t>When wife grows, husband will be in grave</t>
  </si>
  <si>
    <t>স্ত্রী/স্বামী</t>
  </si>
  <si>
    <t>বিভীষণ</t>
  </si>
  <si>
    <t>ঘরের শত্রু</t>
  </si>
  <si>
    <t>Traitor within</t>
  </si>
  <si>
    <t>বিশ্বাসঘাতকতা</t>
  </si>
  <si>
    <t>বিয়ে করতে কড়ি ঘর ছাইতে দড়ি</t>
  </si>
  <si>
    <t>বিয়েতে টাকা, ঘর ছাওয়াতে দড়ি</t>
  </si>
  <si>
    <t>ব্যয় পরিমিত</t>
  </si>
  <si>
    <t>Money for wedding, rope for roof—economy</t>
  </si>
  <si>
    <t>বিয়ে ফুরালে বাজনা বাজে</t>
  </si>
  <si>
    <t>বিয়ে শেষে বাজনা বাজে</t>
  </si>
  <si>
    <t>সময়ের পরে কাজ</t>
  </si>
  <si>
    <t>Music after wedding</t>
  </si>
  <si>
    <t>কালক্ষেপ</t>
  </si>
  <si>
    <t>বিলম্বে কার্যসিদ্ধি</t>
  </si>
  <si>
    <t>বিলম্বে কাজ সফল</t>
  </si>
  <si>
    <t>দেরিতে সফলতা</t>
  </si>
  <si>
    <t>Delay brings success</t>
  </si>
  <si>
    <t>বিল শুকালে বকের আমোদ২</t>
  </si>
  <si>
    <t>বিল শুকালে বকের আনন্দ (দ্বিতীয়)</t>
  </si>
  <si>
    <t>বিপদে সুবিধা</t>
  </si>
  <si>
    <t>Dried lake, heron's feast</t>
  </si>
  <si>
    <t>ডুপ্লিকেট - id 5805 রাখা হচ্ছে, এই row বাদ দাও।</t>
  </si>
  <si>
    <t>বিলেত ঘুরে মক্কা যাওয়া</t>
  </si>
  <si>
    <t>ঘুরিয়ে কাজ</t>
  </si>
  <si>
    <t>Going to Mecca via Europe</t>
  </si>
  <si>
    <t>জটিলতা</t>
  </si>
  <si>
    <t>বিশ্বাসেই সিদ্ধি</t>
  </si>
  <si>
    <t>বিশ্বাসে সিদ্ধি</t>
  </si>
  <si>
    <t>বিশ্বাসে সফলতা</t>
  </si>
  <si>
    <t>Faith brings success</t>
  </si>
  <si>
    <t>বিশ্বাস</t>
  </si>
  <si>
    <t>বিশ্বাসে মিলায় বস্তু/কৃষ্ণ, তর্কে বহুদূর</t>
  </si>
  <si>
    <t>বিশ্বাসে কৃষ্ণ মেলে, তর্কে দূর</t>
  </si>
  <si>
    <t>বিশ্বাসে ঈশ্বর</t>
  </si>
  <si>
    <t>Faith unites, argument separates</t>
  </si>
  <si>
    <t>বিশ্বাসো নৈব কর্তব্যঃ</t>
  </si>
  <si>
    <t>বিশ্বাস করা উচিত নয়</t>
  </si>
  <si>
    <t>অবিশ্বাস</t>
  </si>
  <si>
    <t>Never trust</t>
  </si>
  <si>
    <t>সন্দেহ</t>
  </si>
  <si>
    <t>বিষ খেয়ে বিশ্বম্ভর</t>
  </si>
  <si>
    <t>বিষকে অমৃত</t>
  </si>
  <si>
    <t>Turning poison to nectar</t>
  </si>
  <si>
    <t>বিষ থেকেও অমৃত নেওয়া যায়</t>
  </si>
  <si>
    <t>বিষ থেকে অমৃত নেওয়া যায়</t>
  </si>
  <si>
    <t>Take nectar from poison</t>
  </si>
  <si>
    <t>প্রজ্ঞা</t>
  </si>
  <si>
    <t>বিষদাঁত ভাঙা</t>
  </si>
  <si>
    <t>ক্ষমতা হরণ</t>
  </si>
  <si>
    <t>Breaking venom fang</t>
  </si>
  <si>
    <t>বিষ নেই তার কুলোপানা চক্কর</t>
  </si>
  <si>
    <t>বিষ নেই, তার কুলোপানা চক্কর</t>
  </si>
  <si>
    <t>অক্ষমের ভড়ং</t>
  </si>
  <si>
    <t>No venom, but coils—show</t>
  </si>
  <si>
    <t>বিষহারা ঢোঁড়া গর্জন মুল্লুকজোড়া</t>
  </si>
  <si>
    <t>বিষহীন ঢোঁড়ার গর্জন মুলুকজোড়া</t>
  </si>
  <si>
    <t>Non-venomous snake hisses wide</t>
  </si>
  <si>
    <t>বিষাদপ্যমৃতং গ্রাহ্যমমেধ্যাদপি কাঞ্চনম</t>
  </si>
  <si>
    <t>বিষাদ থেকে অমৃত, নোংরা থেকে সোনা</t>
  </si>
  <si>
    <t>সব থেকে ভালো</t>
  </si>
  <si>
    <t>Take nectar from poison, gold from filth</t>
  </si>
  <si>
    <t>বিসমিল্লায় গলদ</t>
  </si>
  <si>
    <t>শুরুতেই ত্রুটি</t>
  </si>
  <si>
    <t>Fault at the start</t>
  </si>
  <si>
    <t>বিস্তরে বাড়ে পতন</t>
  </si>
  <si>
    <t>বিস্তারে পতন বাড়ে</t>
  </si>
  <si>
    <t>বড় হলে পতন</t>
  </si>
  <si>
    <t>Greater height, greater fall</t>
  </si>
  <si>
    <t>পতন</t>
  </si>
  <si>
    <t>বীর বক্কেশ্বর</t>
  </si>
  <si>
    <t>নামমাত্র বীর</t>
  </si>
  <si>
    <t>Hero in name only</t>
  </si>
  <si>
    <t>ব্যঙ্গ</t>
  </si>
  <si>
    <t>বুকে ঢেঁকির পাড় পড়া</t>
  </si>
  <si>
    <t>মনে কঠোর আঘাত</t>
  </si>
  <si>
    <t>Pounding in chest—grief</t>
  </si>
  <si>
    <t>কষ্ট</t>
  </si>
  <si>
    <t>বুকে বসে দাড়ি উপড়ানো</t>
  </si>
  <si>
    <t>বুকে বসে দাড়ি তোলা</t>
  </si>
  <si>
    <t>অন্তরঙ্গ শত্রু</t>
  </si>
  <si>
    <t>Sitting on chest, pulling beard</t>
  </si>
  <si>
    <t>বুকের পাটা পাঁচ হাত</t>
  </si>
  <si>
    <t>সাহসী</t>
  </si>
  <si>
    <t>Five-cubit chest—bravery</t>
  </si>
  <si>
    <t>বুজরুক বামুনের ভড়ং বেশি</t>
  </si>
  <si>
    <t>ভণ্ডের আড়ম্বর</t>
  </si>
  <si>
    <t>Fake Brahmin shows more</t>
  </si>
  <si>
    <t>বুঝ আয় কর ব্যয়</t>
  </si>
  <si>
    <t>আয় বুঝে ব্যয় কর</t>
  </si>
  <si>
    <t>পরিমিত ব্যয়</t>
  </si>
  <si>
    <t>Understand income, do expense</t>
  </si>
  <si>
    <t>বুঝতে নারি তোমার ঠার বল এক কর আর</t>
  </si>
  <si>
    <t>বুঝি না তোমার ইঙ্গিত, এক কর</t>
  </si>
  <si>
    <t>স্পষ্ট করো</t>
  </si>
  <si>
    <t>Don't understand your gesture; make it one</t>
  </si>
  <si>
    <t>যোগাযোগ</t>
  </si>
  <si>
    <t>বুড়োবয়সে ধেড়েরোগ১</t>
  </si>
  <si>
    <t>বুড়োবয়সে ধেড়েরোগ</t>
  </si>
  <si>
    <t>বৃদ্ধে যৌবনরোগ</t>
  </si>
  <si>
    <t>Old age love sickness</t>
  </si>
  <si>
    <t>এই প্রবাদের ডুপ্লিকেট আছে (id: 5846, 5847), এটা রাখো (সবচেয়ে ছোট id)।</t>
  </si>
  <si>
    <t>বুড়োবয়সে ধেড়েরোগ২</t>
  </si>
  <si>
    <t>বুড়োবয়সে ধেড়েরোগ (দ্বিতীয়)</t>
  </si>
  <si>
    <t>অসময়ে যৌবন</t>
  </si>
  <si>
    <t>Old man's passion</t>
  </si>
  <si>
    <t>ডুপ্লিকেট - id 5846 রাখা হচ্ছে, এই row বাদ দাও।</t>
  </si>
  <si>
    <t>বুড়োবোকারা বোকার সেরা</t>
  </si>
  <si>
    <t>বুড়ো বোকারা সেরা বোকা</t>
  </si>
  <si>
    <t>বৃদ্ধ বোকা</t>
  </si>
  <si>
    <t>Old fools are worst</t>
  </si>
  <si>
    <t>বৃদ্ধ</t>
  </si>
  <si>
    <t>বুড়োশালিকের ঘাড়ে রোঁ</t>
  </si>
  <si>
    <t>বুড়ো শালিকের ঘাড়ে রোঁ</t>
  </si>
  <si>
    <t>বৃদ্ধের জেদ</t>
  </si>
  <si>
    <t>Old bird's nape bristles—stubborn</t>
  </si>
  <si>
    <t>ডুপ্লিকেট - id 154 রাখা হচ্ছে, এই row বাদ দাও।</t>
  </si>
  <si>
    <t>বুড়ো হলো বক চেনে না</t>
  </si>
  <si>
    <t>বুড়ো হলো, বক চেনে না</t>
  </si>
  <si>
    <t>বৃদ্ধেও অজ্ঞ</t>
  </si>
  <si>
    <t>Old but doesn't know crane</t>
  </si>
  <si>
    <t>বুড়ো হলে বাহাত্তুরে পায়</t>
  </si>
  <si>
    <t>বুড়ো হলে স্মৃতিভ্রম হয়</t>
  </si>
  <si>
    <t>বৃদ্ধে ভীমরতি</t>
  </si>
  <si>
    <t>Old age brings forgetfulness</t>
  </si>
  <si>
    <t>বুদ্ধিতে বৃহস্পতি১</t>
  </si>
  <si>
    <t>বুদ্ধিতে বৃহস্পতি</t>
  </si>
  <si>
    <t>মহাজ্ঞানী</t>
  </si>
  <si>
    <t>Wisdom like Jupiter</t>
  </si>
  <si>
    <t>এই প্রবাদের ডুপ্লিকেট আছে (id: 5859, 5860), এটা রাখো (সবচেয়ে ছোট id)।</t>
  </si>
  <si>
    <t>বুদ্ধিতে বৃহস্পতি২</t>
  </si>
  <si>
    <t>বুদ্ধিতে বৃহস্পতি (দ্বিতীয়)</t>
  </si>
  <si>
    <t>অতি চতুর</t>
  </si>
  <si>
    <t>Like Brihaspati in intellect</t>
  </si>
  <si>
    <t>বুদ্ধি</t>
  </si>
  <si>
    <t>ডুপ্লিকেট - id 5859 রাখা হচ্ছে, এই row বাদ দাও।</t>
  </si>
  <si>
    <t>বুদ্ধি ব্যবহার করলে বুদ্ধির বৃদ্ধি হয়</t>
  </si>
  <si>
    <t>বুদ্ধি ব্যবহারে বুদ্ধি বাড়ে</t>
  </si>
  <si>
    <t>বুদ্ধির চর্চা</t>
  </si>
  <si>
    <t>Using wit increases wit</t>
  </si>
  <si>
    <t>বুদ্ধিমান কাজ শুরু করলে কাজ শেষ করে</t>
  </si>
  <si>
    <t>বুদ্ধিমান কাজ শুরু করলে শেষ করে</t>
  </si>
  <si>
    <t>জ্ঞানী শেষ করে</t>
  </si>
  <si>
    <t>Wise finishes what starts</t>
  </si>
  <si>
    <t>দৃঢ়তা</t>
  </si>
  <si>
    <t>বুদ্ধিমান সমস্যার সমাধান করে; প্রতিভাবান সমস্যা প্রতিরোধ করে</t>
  </si>
  <si>
    <t>জ্ঞানী সমাধান করে, প্রতিভা প্রতিরোধ করে</t>
  </si>
  <si>
    <t>প্রতিভা এগিয়ে</t>
  </si>
  <si>
    <t>Wise solve, genius prevents</t>
  </si>
  <si>
    <t>বুদ্ধি যার বল তার</t>
  </si>
  <si>
    <t>বুদ্ধিই শক্তি</t>
  </si>
  <si>
    <t>Whose wisdom, his power</t>
  </si>
  <si>
    <t>বুদ্ধির আগে বোকার জিভ ছোটে</t>
  </si>
  <si>
    <t>বুদ্ধির আগে বোকার জিভ চলে</t>
  </si>
  <si>
    <t>মূর্খ আগে বলে</t>
  </si>
  <si>
    <t>Fool's tongue runs before wit</t>
  </si>
  <si>
    <t>বুদ্ধির সীমা আছে, বোকামীর কোন সীমা নেই</t>
  </si>
  <si>
    <t>বুদ্ধির সীমা আছে, বোকামির নেই</t>
  </si>
  <si>
    <t>বোকামি অসীম</t>
  </si>
  <si>
    <t>Wisdom has limits, folly none</t>
  </si>
  <si>
    <t>বুদ্ধির্যস্য বলং তস্য, নির্বুদ্ধিস্য কুতো বলং</t>
  </si>
  <si>
    <t>বুদ্ধি যার বল তার, নির্বোধের বল কোথা?</t>
  </si>
  <si>
    <t>বুদ্ধিই বল</t>
  </si>
  <si>
    <t>Whose wisdom, his strength</t>
  </si>
  <si>
    <t>বুনলাম ধান, হল তিল, ফলল রুদ্রাক্ষ, খেলাম কিল</t>
  </si>
  <si>
    <t>ধান বুনে তিল, রুদ্রাক্ষ ফল, কিল খেলাম</t>
  </si>
  <si>
    <t>কর্মে ফল ভিন্ন</t>
  </si>
  <si>
    <t>Sowed paddy, got sesame, beatings</t>
  </si>
  <si>
    <t>বুনোহাঁসের পিছনে ছোটা</t>
  </si>
  <si>
    <t>বুনো হাঁসের পিছনে ছোটা</t>
  </si>
  <si>
    <t>নিরর্থক পেছনে</t>
  </si>
  <si>
    <t>Chasing wild duck</t>
  </si>
  <si>
    <t>বৃক্ষ তোমার নাম কী? ফলেন পরিচীয়তে১</t>
  </si>
  <si>
    <t>গাছ তোমার নাম কী? ফলে পরিচয়</t>
  </si>
  <si>
    <t>কাজে পরিচয়</t>
  </si>
  <si>
    <t>Tree, what your name? Known by fruit</t>
  </si>
  <si>
    <t>এই প্রবাদের ডুপ্লিকেট আছে (id: 5877, 5878), এটা রাখো (সবচেয়ে ছোট id)।</t>
  </si>
  <si>
    <t>বৃক্ষ তোমার নাম কী? ফলেন পরিচীয়তে২</t>
  </si>
  <si>
    <t>গাছ নাম কী? ফলে পরিচয় (দ্বিতীয়)</t>
  </si>
  <si>
    <t>গুণে পরিচয়</t>
  </si>
  <si>
    <t>Tree known by fruit</t>
  </si>
  <si>
    <t>ডুপ্লিকেট - id 5877 রাখা হচ্ছে, এই row বাদ দাও।</t>
  </si>
  <si>
    <t>বৃদ্ধস্য তরুণী ভার্যা</t>
  </si>
  <si>
    <t>বৃদ্ধের তরুণী স্ত্রী</t>
  </si>
  <si>
    <t>বেমানান বিবাহ</t>
  </si>
  <si>
    <t>Old man's young wife</t>
  </si>
  <si>
    <t>বৃদ্ধস্য বচনং গ্রাহ্যং</t>
  </si>
  <si>
    <t>বৃদ্ধের কথা মান্য</t>
  </si>
  <si>
    <t>বৃদ্ধের উপদেশ</t>
  </si>
  <si>
    <t>Take old man's words</t>
  </si>
  <si>
    <t>বৃন্দেদূতী</t>
  </si>
  <si>
    <t>বৃন্দে দূতী</t>
  </si>
  <si>
    <t>দূতী</t>
  </si>
  <si>
    <t>A female messenger</t>
  </si>
  <si>
    <t>ভূমিকা</t>
  </si>
  <si>
    <t>বৃষ্টি অঝোরে ঝরে</t>
  </si>
  <si>
    <t>প্রচুর বৃষ্টি</t>
  </si>
  <si>
    <t>Rain pours heavily</t>
  </si>
  <si>
    <t>বৃষ্টি অঝোরে ঝরে না</t>
  </si>
  <si>
    <t>এত বৃষ্টি নয়</t>
  </si>
  <si>
    <t>Rain doesn't pour torrentially</t>
  </si>
  <si>
    <t>বেঁচে থাকলে বাপের নাম</t>
  </si>
  <si>
    <t>বেঁচে থাকলে বাবার নাম</t>
  </si>
  <si>
    <t>আত্মরক্ষাই বড়</t>
  </si>
  <si>
    <t>If alive, father's name</t>
  </si>
  <si>
    <t>আত্মরক্ষা</t>
  </si>
  <si>
    <t>বেঁড়েকে (লেজহীন) চমরা (সুন্দর লেজযুক্ত) বলা১</t>
  </si>
  <si>
    <t>লেজহীনকে চমরা বলা</t>
  </si>
  <si>
    <t>বিপরীত নাম</t>
  </si>
  <si>
    <t>Calling tailless a chamra</t>
  </si>
  <si>
    <t>বেঁড়েকে চমরা বলা২</t>
  </si>
  <si>
    <t>লেজহীনকে চমরা বলা (দ্বিতীয়)</t>
  </si>
  <si>
    <t>Calling tailless beautiful-tailed</t>
  </si>
  <si>
    <t>বেঁড়ে গরুর লেজ ধরে বৈতরণী পার হওয়া/ স্বর্গে যাওয়া</t>
  </si>
  <si>
    <t>লেজহীন গরুর লেজ ধরে স্বর্গে যাওয়া</t>
  </si>
  <si>
    <t>Crossing Vaitarani by tail-less cow</t>
  </si>
  <si>
    <t>বেগম চেনে না বেগুন</t>
  </si>
  <si>
    <t>বেগম বেগুন চেনে না</t>
  </si>
  <si>
    <t>অভিজ্ঞতা নেই</t>
  </si>
  <si>
    <t>Begum doesn't know brinjal</t>
  </si>
  <si>
    <t>বেগারের দৌলতে গঙ্গাস্নান২</t>
  </si>
  <si>
    <t>বেগারের কারণে গঙ্গাস্নান (দ্বিতীয়)</t>
  </si>
  <si>
    <t>বিনা খরচে লাভ</t>
  </si>
  <si>
    <t>Free Ganga bath</t>
  </si>
  <si>
    <t>ডুপ্লিকেট - id 5903 রাখা হচ্ছে, এই row বাদ দাও।</t>
  </si>
  <si>
    <t>বেগুনগাছে আঁকশি১</t>
  </si>
  <si>
    <t>বেগুন গাছে আঁকশি</t>
  </si>
  <si>
    <t>সাহায্য করা</t>
  </si>
  <si>
    <t>Hook on brinjal plant—support</t>
  </si>
  <si>
    <t>সহায়তা</t>
  </si>
  <si>
    <t>এই প্রবাদের ডুপ্লিকেট আছে (id: 5905, 5906), এটা রাখো (সবচেয়ে ছোট id)।</t>
  </si>
  <si>
    <t>বেগুনের হাড় গজানো</t>
  </si>
  <si>
    <t>Brinjal grows bone</t>
  </si>
  <si>
    <t>বেড়া নেড়ে গৃহস্থের মন বুঝা২</t>
  </si>
  <si>
    <t>বেড়া নেড়ে গৃহস্থের মন বোঝা (দ্বিতীয়)</t>
  </si>
  <si>
    <t>পরীক্ষা</t>
  </si>
  <si>
    <t>Testing by fence</t>
  </si>
  <si>
    <t>ইঙ্গিত</t>
  </si>
  <si>
    <t>ডুপ্লিকেট - id 5908 রাখা হচ্ছে, এই row বাদ দাও।</t>
  </si>
  <si>
    <t>বেড়ার ওপর বসে১</t>
  </si>
  <si>
    <t>বেড়ার ওপর বসে</t>
  </si>
  <si>
    <t>নিরপেক্ষ</t>
  </si>
  <si>
    <t>Sitting on fence</t>
  </si>
  <si>
    <t>এই প্রবাদের ডুপ্লিকেট আছে (id: 5910, 5911), এটা রাখো (সবচেয়ে ছোট id)।</t>
  </si>
  <si>
    <t>বেড়ার ওপর বসে২</t>
  </si>
  <si>
    <t>বেড়ার ওপর বসে (দ্বিতীয়)</t>
  </si>
  <si>
    <t>On the fence</t>
  </si>
  <si>
    <t>ডুপ্লিকেট - id 5910 রাখা হচ্ছে, এই row বাদ দাও।</t>
  </si>
  <si>
    <t>বেদে কি চেনে কর্পূরের গুণ শুঁকে শুঁকে বলে সৈন্ধব নূন</t>
  </si>
  <si>
    <t>বেদে কর্পূরের গুণ জানে না, বলে সৈন্ধব লবণ</t>
  </si>
  <si>
    <t>Gypsy doesn't know camphor, calls rock salt</t>
  </si>
  <si>
    <t>বেনাবনে মুক্তা ছড়ানো১</t>
  </si>
  <si>
    <t>বেনাবনে মুক্তা ছড়ানো</t>
  </si>
  <si>
    <t>অপাত্রে দান</t>
  </si>
  <si>
    <t>Scattering pearls in reeds</t>
  </si>
  <si>
    <t>এই প্রবাদের ডুপ্লিকেট আছে (id: 5916, 5917), এটা রাখো (সবচেয়ে ছোট id)।</t>
  </si>
  <si>
    <t>বেনের কাছে মেকি চালানো</t>
  </si>
  <si>
    <t>ওস্তাদকে ঠকানো</t>
  </si>
  <si>
    <t>Cheating a merchant</t>
  </si>
  <si>
    <t>প্রতারণা</t>
  </si>
  <si>
    <t>বেয়ানে বাদল বাদল নয় মায়ে ঝিয়ে কোঁদল কোঁদল নয়</t>
  </si>
  <si>
    <t>বেয়ানে বৃষ্টি বৃষ্টি নয়, মা-ঝি কলহ কলহ নয়</t>
  </si>
  <si>
    <t>সামান্য</t>
  </si>
  <si>
    <t>Out-of-season rain no rain; mother-daughter quarrel no quarrel</t>
  </si>
  <si>
    <t>বেশি কৌতুক করলে ব্যক্তিত্ব নষ্ট হয়, বেশি হাসলে প্রভাব ক্ষুণ্ণ হয়</t>
  </si>
  <si>
    <t>বেশি কৌতুকে ব্যক্তিত্ব নষ্ট</t>
  </si>
  <si>
    <t>মাত্রা জ্ঞান</t>
  </si>
  <si>
    <t>Excessive humor ruins personality</t>
  </si>
  <si>
    <t>বেশি কচলালে লেবু তিতা/তেতো৩</t>
  </si>
  <si>
    <t>বেশি কচলালে লেবু তেতো (তৃতীয়)</t>
  </si>
  <si>
    <t>Lemon bitter from rubbing</t>
  </si>
  <si>
    <t>অতিরিক্ত</t>
  </si>
  <si>
    <t>ডুপ্লিকেট - id 5924 রাখা হচ্ছে, এই row বাদ দাও।</t>
  </si>
  <si>
    <t>বেশি যদি খেতে চাও, কম খাও তবে</t>
  </si>
  <si>
    <t>বেশি খেতে চাইলে কম খাও</t>
  </si>
  <si>
    <t>To eat more, eat less</t>
  </si>
  <si>
    <t>বৈদ্যনাথের ষাঁড়</t>
  </si>
  <si>
    <t>স্বাধীন ও অলস</t>
  </si>
  <si>
    <t>The bull of Baidyanath—idle</t>
  </si>
  <si>
    <t>বোকা কথা বলে জ্ঞানী শোনে</t>
  </si>
  <si>
    <t>বোকা বলে, জ্ঞানী শোনে</t>
  </si>
  <si>
    <t>Fool talks, wise listens</t>
  </si>
  <si>
    <t>বোকা তার বোকামির জন্য শাস্তি পায় জ্ঞানী তার জ্ঞানের জন্য পুরস্কৃত হয়</t>
  </si>
  <si>
    <t>বোকা শাস্তি পায়, জ্ঞানী পুরস্কার</t>
  </si>
  <si>
    <t>ন্যায়</t>
  </si>
  <si>
    <t>Fool punished, wise rewarded</t>
  </si>
  <si>
    <t>বোকায় বিশ্বাস করে জ্ঞানী বিচার করে</t>
  </si>
  <si>
    <t>বোকা বিশ্বাস করে, জ্ঞানী বিচার করে</t>
  </si>
  <si>
    <t>বিচার জ্ঞানীর</t>
  </si>
  <si>
    <t>Fool believes, wise examines</t>
  </si>
  <si>
    <t>বোকা সহজেই রেগে যায়, জ্ঞানী ধৈর্যশীল হয়</t>
  </si>
  <si>
    <t>বোকা রেগে যায়, জ্ঞানী ধৈর্য</t>
  </si>
  <si>
    <t>জ্ঞানীর ধৈর্য</t>
  </si>
  <si>
    <t>Fool quick to anger, wise patient</t>
  </si>
  <si>
    <t>বোকা সাজতে গেলে বুদ্ধিমান হতে হয়</t>
  </si>
  <si>
    <t>বোকা সাজতে বুদ্ধিমান লাগে</t>
  </si>
  <si>
    <t>অভিনয়ে জ্ঞান</t>
  </si>
  <si>
    <t>To act fool, be wise</t>
  </si>
  <si>
    <t>বোকা হাসে অন্যের হাসি দেখে</t>
  </si>
  <si>
    <t>বোকা অন্যের হাসি দেখে হাসে</t>
  </si>
  <si>
    <t>না বুঝে হাসা</t>
  </si>
  <si>
    <t>Fool laughs at others' laugh</t>
  </si>
  <si>
    <t>বোকার কাছে টাকা থাকে না</t>
  </si>
  <si>
    <t>মূর্খ অপচয়</t>
  </si>
  <si>
    <t>Fool doesn't keep money</t>
  </si>
  <si>
    <t>বোকার জিভ/মুখ বুদ্ধির আগে ছোটে</t>
  </si>
  <si>
    <t>বোকার জিভ বুদ্ধির আগে চলে</t>
  </si>
  <si>
    <t>Fool's tongue runs ahead</t>
  </si>
  <si>
    <t>বোঝার ওপর শাকের আঁটি১</t>
  </si>
  <si>
    <t>বোঝার উপর শাকের আঁটি</t>
  </si>
  <si>
    <t>অতিরিক্ত ভার</t>
  </si>
  <si>
    <t>Load plus greens</t>
  </si>
  <si>
    <t>বোঝার উপর শাকের আঁটি৩</t>
  </si>
  <si>
    <t>বোঝার উপর শাকের আঁটি (তৃতীয়)</t>
  </si>
  <si>
    <t>অতিরিক্ত চাপ</t>
  </si>
  <si>
    <t>Bundle plus greens</t>
  </si>
  <si>
    <t>ডুপ্লিকেট - id 5947 রাখা হচ্ছে, এই row বাদ দাও।</t>
  </si>
  <si>
    <t>বোধারে বোঝানো যায় আকারে প্রকারে; অবোধারে বোঝাতে হয় চড়-চাপড়ে</t>
  </si>
  <si>
    <t>জ্ঞানীকে ইঙ্গিত, মূর্খকে শাস্তি</t>
  </si>
  <si>
    <t>মূর্খকে কঠোর</t>
  </si>
  <si>
    <t>Wise understand hints; fool needs beatings</t>
  </si>
  <si>
    <t>বোবার শত্রু নেই২</t>
  </si>
  <si>
    <t>বোবার শত্রু নেই (দ্বিতীয়)</t>
  </si>
  <si>
    <t>নীরবতা নিরাপদ</t>
  </si>
  <si>
    <t>No enemy of mute</t>
  </si>
  <si>
    <t>নীরবতা</t>
  </si>
  <si>
    <t>ডুপ্লিকেট - id 5953 রাখা হচ্ছে, এই row বাদ দাও।</t>
  </si>
  <si>
    <t>বৌ না বোবা বৌ না বাবা</t>
  </si>
  <si>
    <t>বৌ না বোবা, না বাবা</t>
  </si>
  <si>
    <t>বৌ কিছুই না</t>
  </si>
  <si>
    <t>Wife neither mute nor father</t>
  </si>
  <si>
    <t>ব্যক্তিত্বহীন মানুষের শিরদাঁড়া নেই</t>
  </si>
  <si>
    <t>ব্যক্তিত্বহীন মানুষের মেরুদণ্ড নেই</t>
  </si>
  <si>
    <t>আত্মসম্মান নেই</t>
  </si>
  <si>
    <t>Person without personality has no spine</t>
  </si>
  <si>
    <t>ব্যর্থ মানুষ দুইপ্রকার- একদল চিন্তা করে নি কাজ করেনি; আরেক দল চিন্তা করেছে কাজ করেনি</t>
  </si>
  <si>
    <t>ব্যর্থ দুই ধরনের: যারা চিন্তা করেনি, যারা কাজ করেনি</t>
  </si>
  <si>
    <t>ব্যর্থতার কারণ</t>
  </si>
  <si>
    <t>Two types of failures: those who thought not, those who acted not</t>
  </si>
  <si>
    <t>ব্যর্থতা</t>
  </si>
  <si>
    <t>ব্যাঙের আধুলি১</t>
  </si>
  <si>
    <t>ব্যাঙের আধুলি</t>
  </si>
  <si>
    <t>সামান্য সম্বল</t>
  </si>
  <si>
    <t>A frog's penny—tiny savings.</t>
  </si>
  <si>
    <t>এই প্রবাদের ডুপ্লিকেট আছে (id: 5964, 5965), এটা রাখো (সবচেয়ে ছোট id)।</t>
  </si>
  <si>
    <t>ব্যাঙের আধুলি২</t>
  </si>
  <si>
    <t>ব্যাঙের আধুলি (দ্বিতীয়)</t>
  </si>
  <si>
    <t>নগণ্য জিনিস</t>
  </si>
  <si>
    <t>Frog's half-penny.</t>
  </si>
  <si>
    <t>ডুপ্লিকেট - id 5964 রাখা হচ্ছে, এই row বাদ দাও।</t>
  </si>
  <si>
    <t>ব্যাধিতস্যৌধং পথ্যম</t>
  </si>
  <si>
    <t>ব্যাধির ওষুধ পথ্য</t>
  </si>
  <si>
    <t>রোগের প্রতিষেধ</t>
  </si>
  <si>
    <t>The medicine for disease is diet.</t>
  </si>
  <si>
    <t>ব্রহ্মহাহপি নরঃ পূজ্যো যস্যাস্তি বিপুলং ধনম্</t>
  </si>
  <si>
    <t>ব্রহ্মহত্যাকারীও পূজনীয়, যার প্রচুর ধন</t>
  </si>
  <si>
    <t>ধনই সম্মান</t>
  </si>
  <si>
    <t>Even a Brahmin-killer is honored if rich.</t>
  </si>
  <si>
    <t>ভক্তবিটেল</t>
  </si>
  <si>
    <t>ভণ্ড ভক্ত</t>
  </si>
  <si>
    <t>A fake devotee.</t>
  </si>
  <si>
    <t>ভক্ষ্যমাণো নিরুদর সুমেরুরপি হীয়তে</t>
  </si>
  <si>
    <t>খেতে থাকলে সুমেরুও ফুরায়</t>
  </si>
  <si>
    <t>অপচয়ে সব শেষ</t>
  </si>
  <si>
    <t>Even Mount Sumeru diminishes if consumed.</t>
  </si>
  <si>
    <t>ভক্তের ভগবান</t>
  </si>
  <si>
    <t>ভক্তের ঈশ্বর</t>
  </si>
  <si>
    <t>God belongs to devotees.</t>
  </si>
  <si>
    <t>ভগবান ভূততাং গতঃ</t>
  </si>
  <si>
    <t>ভগবান ভূত হয়ে গেছে</t>
  </si>
  <si>
    <t>ভক্তি লোপ</t>
  </si>
  <si>
    <t>God has become a ghost.</t>
  </si>
  <si>
    <t>ভগবান মানুষকে দুটো কান একটা মুখ দিয়েছেন; সুতরাং শোন বেশি, বল কম</t>
  </si>
  <si>
    <t>দুই কান এক মুখ, শোন বেশি বল কম</t>
  </si>
  <si>
    <t>শ্রবণ বেশি</t>
  </si>
  <si>
    <t>God gave two ears one mouth; listen more, speak less.</t>
  </si>
  <si>
    <t>ভগবানে ভক্তি, ভয় ও স্বার্থের ভালবাসার কারণে জন্ম নেয়</t>
  </si>
  <si>
    <t>ভগবানে ভক্তি ভয় ও স্বার্থে</t>
  </si>
  <si>
    <t>ভক্তির কারণ</t>
  </si>
  <si>
    <t>Devotion to God arises from fear and self-interest.</t>
  </si>
  <si>
    <t>ভগবানের আসন বটপত্র</t>
  </si>
  <si>
    <t>ভগবানের আসন বটপাতা</t>
  </si>
  <si>
    <t>সাদামাটা</t>
  </si>
  <si>
    <t>God's seat is a banyan leaf.</t>
  </si>
  <si>
    <t>ভগবানের মার দুনিয়ার বার</t>
  </si>
  <si>
    <t>ঈশ্বরের আঘাত, দুনিয়ার প্রতিকার</t>
  </si>
  <si>
    <t>ঈশ্বরের শাস্তি</t>
  </si>
  <si>
    <t>God's blow, the world's remedy.</t>
  </si>
  <si>
    <t>ভগ্নগৃহে বাস দুঃখ বারোমাস</t>
  </si>
  <si>
    <t>ভাঙা ঘরে বাস, বারো মাস দুঃখ</t>
  </si>
  <si>
    <t>ভাঙা ঘরে দুঃখ</t>
  </si>
  <si>
    <t>Living in a broken house, year-round sorrow.</t>
  </si>
  <si>
    <t>ভজনের খোঁজ নেই, ভোজন ছত্রিশ জেতের</t>
  </si>
  <si>
    <t>ভজনের খোঁজ নেই, ভোজন ছত্রিশ জাতের</t>
  </si>
  <si>
    <t>অনেক ভোজন</t>
  </si>
  <si>
    <t>No worship, but thirty-six kinds of food.</t>
  </si>
  <si>
    <t>ভটচায্যির পাঁতি (পাঁজি/পুঁথি) বর্ষার ছাতি</t>
  </si>
  <si>
    <t>ভটচায্যির পুঁথি, বর্ষার ছাতি</t>
  </si>
  <si>
    <t>প্রয়োজনীয়</t>
  </si>
  <si>
    <t>A scholar's book, rainy season's umbrella.</t>
  </si>
  <si>
    <t>ভণ্ড ব্রাহ্মণের ভড়ং বেশি</t>
  </si>
  <si>
    <t>A fake Brahmin shows more pomp.</t>
  </si>
  <si>
    <t>ভবানীন্দ্রকুটভঙ্গিম ভবো বেত্তি ন ভূধরঃ১</t>
  </si>
  <si>
    <t>ভবানী-ইন্দ্রের কুটভঙ্গি শিব জানেন, পর্বত নয়</t>
  </si>
  <si>
    <t>রসিকই বোঝে</t>
  </si>
  <si>
    <t>Only Shiva knows Bhavani's gesture, not the mountain.</t>
  </si>
  <si>
    <t>রসিকতা</t>
  </si>
  <si>
    <t>এই প্রবাদের ডুপ্লিকেট আছে (id: 6004, 6005), এটা রাখো (সবচেয়ে ছোট id)।</t>
  </si>
  <si>
    <t>ভবিতব্যং ভবত্যেব</t>
  </si>
  <si>
    <t>যা হবার তা হবেই</t>
  </si>
  <si>
    <t>অনিবার্য</t>
  </si>
  <si>
    <t>What is to be, will be.</t>
  </si>
  <si>
    <t>ভবের ভবানী পান্তাভাতে আমানি</t>
  </si>
  <si>
    <t>সাধারণ জীবন</t>
  </si>
  <si>
    <t>Bhavani of the world eats stale rice water.</t>
  </si>
  <si>
    <t>সাধারণ</t>
  </si>
  <si>
    <t>ভবের খেয়া উজান বাওয়া</t>
  </si>
  <si>
    <t>সংসার চালানো</t>
  </si>
  <si>
    <t>Rowing the ferry of life upstream.</t>
  </si>
  <si>
    <t>সংসার</t>
  </si>
  <si>
    <t>ভবের খেলা শেষ</t>
  </si>
  <si>
    <t>জীবন শেষ</t>
  </si>
  <si>
    <t>The game of life is over.</t>
  </si>
  <si>
    <t>ভয় পেলে ভয় পিছু নেয়</t>
  </si>
  <si>
    <t>ভয় বাড়ে</t>
  </si>
  <si>
    <t>Fear begets fear.</t>
  </si>
  <si>
    <t>ভয়ে পিঁপড়ার গর্তে লুকানো</t>
  </si>
  <si>
    <t>অতি ভয়</t>
  </si>
  <si>
    <t>Hiding in an ant hole out of fear.</t>
  </si>
  <si>
    <t>ভরা কলসী নড়ে না</t>
  </si>
  <si>
    <t>A full pot doesn't shake.</t>
  </si>
  <si>
    <t>ভরাভাতে দাগা দেওয়া</t>
  </si>
  <si>
    <t>সুখে বাধা</t>
  </si>
  <si>
    <t>Disturbing a full meal.</t>
  </si>
  <si>
    <t>বাধা</t>
  </si>
  <si>
    <t>ভরাহাত কাক/চিলকে ডাকে</t>
  </si>
  <si>
    <t>প্রাচুর্যে দান</t>
  </si>
  <si>
    <t>A full hand calls the crow/kite.</t>
  </si>
  <si>
    <t>ভরার (বজরাজাতীয় নৌকা) মেয়ে</t>
  </si>
  <si>
    <t>ভরার মেয়ে</t>
  </si>
  <si>
    <t>দুঃসাহসী নারী</t>
  </si>
  <si>
    <t>A boat girl—daring.</t>
  </si>
  <si>
    <t>ভস্মাচ্ছাদিতবহ্নিবৎ</t>
  </si>
  <si>
    <t>ভস্মাচ্ছাদিত বহ্নির মতো</t>
  </si>
  <si>
    <t>Like fire covered by ash.</t>
  </si>
  <si>
    <t>ভস্মে ঘি ঢালা১</t>
  </si>
  <si>
    <t>ভস্মে ঘি ঢালা</t>
  </si>
  <si>
    <t>নিরর্থক দান</t>
  </si>
  <si>
    <t>Pouring ghee on ash.</t>
  </si>
  <si>
    <t>এই প্রবাদের ডুপ্লিকেট আছে (id: 6025, 6026), এটা রাখো (সবচেয়ে ছোট id)।</t>
  </si>
  <si>
    <t>ভস্মে ঘি ঢালা২</t>
  </si>
  <si>
    <t>ভস্মে ঘি ঢালা (দ্বিতীয়)</t>
  </si>
  <si>
    <t>Ghee on ashes.</t>
  </si>
  <si>
    <t>ডুপ্লিকেট - id 6025 রাখা হচ্ছে, এই row বাদ দাও।</t>
  </si>
  <si>
    <t>ভাগাড়ে মড়া পড়ে, শকুনির টনক/মাথা নড়ে২</t>
  </si>
  <si>
    <t>ভাগাড়ে মড়া পড়লে শকুনির মাথা নড়ে (দ্বিতীয়)</t>
  </si>
  <si>
    <t>সুযোগসন্ধানী</t>
  </si>
  <si>
    <t>Vulture senses carrion.</t>
  </si>
  <si>
    <t>ডুপ্লিকেট - id 6037 রাখা হচ্ছে, এই row বাদ দাও।</t>
  </si>
  <si>
    <t>ভাগের ভাগ পেলে না খেয়েও চিবিয়ে ফেলে১</t>
  </si>
  <si>
    <t>ভাগের অংশ পেলে না খেয়েও চিবিয়ে ফেলে</t>
  </si>
  <si>
    <t>ভাগ পেয়ে লোভ</t>
  </si>
  <si>
    <t>If given a share, chews without eating.</t>
  </si>
  <si>
    <t>এই প্রবাদের ডুপ্লিকেট আছে (id: 6040, 6041), এটা রাখো (সবচেয়ে ছোট id)।</t>
  </si>
  <si>
    <t>ভাগের ভাগ পেলে না খেয়েও চিবিয়ে ফেলে২</t>
  </si>
  <si>
    <t>ভাগের অংশ পেলে চিবায় (দ্বিতীয়)</t>
  </si>
  <si>
    <t>অতি লোভ</t>
  </si>
  <si>
    <t>Given a share, still munches.</t>
  </si>
  <si>
    <t>ডুপ্লিকেট - id 6040 রাখা হচ্ছে, এই row বাদ দাও।</t>
  </si>
  <si>
    <t>ভাগের মা গঙ্গা পায় না২</t>
  </si>
  <si>
    <t>ভাগের মা গঙ্গা পায় না (দ্বিতীয়)</t>
  </si>
  <si>
    <t>ভাগে অভাবে</t>
  </si>
  <si>
    <t>Shared mother misses Ganga.</t>
  </si>
  <si>
    <t>ডুপ্লিকেট - id 89 রাখা হচ্ছে, এই row বাদ দাও।</t>
  </si>
  <si>
    <t>ভাগ্যং ফলতি সর্বত্র, ন চ বিদ্যা ন পৌরুষম্</t>
  </si>
  <si>
    <t>ভাগ্য সর্বত্র ফলে, বিদ্যা ও পৌরুষ নয়</t>
  </si>
  <si>
    <t>ভাগ্যই বড়</t>
  </si>
  <si>
    <t>Fate prevails everywhere, not learning or valor.</t>
  </si>
  <si>
    <t>ভাগ্যবানের বউ মরে অভাগার গরু মরে</t>
  </si>
  <si>
    <t>ভাগ্যবানের বউ মরে, অভাগার গরু মরে</t>
  </si>
  <si>
    <t>Lucky man's wife dies, unlucky man's cow.</t>
  </si>
  <si>
    <t>স্ত্রী</t>
  </si>
  <si>
    <t>ভাগ্যবানের বোঝা ভগবানে বয়২</t>
  </si>
  <si>
    <t>ভাগ্যবানের বোঝা ভগবান বহন করেন (দ্বিতীয়)</t>
  </si>
  <si>
    <t>God bears lucky man's load.</t>
  </si>
  <si>
    <t>ডুপ্লিকেট - id 6046 রাখা হচ্ছে, এই row বাদ দাও।</t>
  </si>
  <si>
    <t>ভাগ্য মানুষকে একত্রিত করে</t>
  </si>
  <si>
    <t>ভাগ্য মানুষকে মিলায়</t>
  </si>
  <si>
    <t>ভাগ্যে মিলন</t>
  </si>
  <si>
    <t>Fate brings people together.</t>
  </si>
  <si>
    <t>ভাগ্য সাহসীর পক্ষে/সঙ্গে থাকে</t>
  </si>
  <si>
    <t>ভাগ্য সাহসীর সঙ্গে</t>
  </si>
  <si>
    <t>সাহসে ভাগ্য</t>
  </si>
  <si>
    <t>Fortune favors the brave.</t>
  </si>
  <si>
    <t>ভাঙবে তবু মচকাবে না২</t>
  </si>
  <si>
    <t>ভাঙবে তবু মচকাবে না (দ্বিতীয়)</t>
  </si>
  <si>
    <t>চুপচাপ ভাঙে</t>
  </si>
  <si>
    <t>Break silently.</t>
  </si>
  <si>
    <t>ভাঙাগাঁয়ের মোড়ল</t>
  </si>
  <si>
    <t>ভাঙা গাঁয়ের মোড়ল</t>
  </si>
  <si>
    <t>অযোগ্য নেতা</t>
  </si>
  <si>
    <t>A headman of a ruined village.</t>
  </si>
  <si>
    <t>ভাঙাঘর ছেয়ে দেওয়া</t>
  </si>
  <si>
    <t>ভাঙা ঘর ছেয়ে দেওয়া</t>
  </si>
  <si>
    <t>বিপদ ঢাকা</t>
  </si>
  <si>
    <t>Covering a broken house.</t>
  </si>
  <si>
    <t>ভাঙাঘরে বাস দুঃখ/ভাবনা বারোমাস১</t>
  </si>
  <si>
    <t>অভাব</t>
  </si>
  <si>
    <t>Living in broken house, year-round sorrow.</t>
  </si>
  <si>
    <t>এই প্রবাদের ডুপ্লিকেট আছে (id: 6058, 6059), এটা রাখো (সবচেয়ে ছোট id)।</t>
  </si>
  <si>
    <t>ভাঙাঘরে বাস দুঃখ/ভাবনা বারোমাস২</t>
  </si>
  <si>
    <t>ভাঙা ঘরে বাস, বারো মাস ভাবনা (দ্বিতীয়)</t>
  </si>
  <si>
    <t>Broken house, worry all year.</t>
  </si>
  <si>
    <t>চিন্তা</t>
  </si>
  <si>
    <t>ডুপ্লিকেট - id 6058 রাখা হচ্ছে, এই row বাদ দাও।</t>
  </si>
  <si>
    <t>ভাঙা মঙ্গলচণ্ডী কুস্বপনের গোড়া১</t>
  </si>
  <si>
    <t>ভাঙা মঙ্গলচণ্ডী কুস্বপনের শুরু</t>
  </si>
  <si>
    <t>অশুভ লক্ষণ</t>
  </si>
  <si>
    <t>Broken idol, bad dream beginning.</t>
  </si>
  <si>
    <t>এই প্রবাদের ডুপ্লিকেট আছে (id: 6063, 6064), এটা রাখো (সবচেয়ে ছোট id)।</t>
  </si>
  <si>
    <t>ভাঙা মঙ্গলচণ্ডী কুস্বপনের গোড়া২</t>
  </si>
  <si>
    <t>ভাঙা মঙ্গলচণ্ডী কুস্বপনের শুরু (দ্বিতীয়)</t>
  </si>
  <si>
    <t>অমঙ্গল</t>
  </si>
  <si>
    <t>Broken goddess, evil omen.</t>
  </si>
  <si>
    <t>ডুপ্লিকেট - id 6063 রাখা হচ্ছে, এই row বাদ দাও।</t>
  </si>
  <si>
    <t>ভাঙাশাঁখা জোড়া লাগে না২</t>
  </si>
  <si>
    <t>ভাঙা শাঁখা জোড়া লাগে না (দ্বিতীয়)</t>
  </si>
  <si>
    <t>অক্ষত নয়</t>
  </si>
  <si>
    <t>Broken bangle cannot be rejoined.</t>
  </si>
  <si>
    <t>অপরিবর্তনীয়তা</t>
  </si>
  <si>
    <t>ডুপ্লিকেট - id 6065 রাখা হচ্ছে, এই row বাদ দাও।</t>
  </si>
  <si>
    <t>ভাঙাশাঁখা জোড়া লাগে না৩</t>
  </si>
  <si>
    <t>ভাঙা শাঁখা জোড়া লাগে না (তৃতীয়)</t>
  </si>
  <si>
    <t>মূল্য নষ্ট</t>
  </si>
  <si>
    <t>Broken conch never rejoins.</t>
  </si>
  <si>
    <t>ভাঙাহাটের খরিদ্দার</t>
  </si>
  <si>
    <t>ভাঙা হাটের ক্রেতা</t>
  </si>
  <si>
    <t>অকেজো ক্রেতা</t>
  </si>
  <si>
    <t>A buyer in a broken market.</t>
  </si>
  <si>
    <t>ভাঙে তবু মচকায় না১</t>
  </si>
  <si>
    <t>ভাঙে তবু মচকায় না</t>
  </si>
  <si>
    <t>Breaks but doesn't bend.</t>
  </si>
  <si>
    <t>এই প্রবাদের ডুপ্লিকেট আছে (id: 6070, 6071), এটা রাখো (সবচেয়ে ছোট id)।</t>
  </si>
  <si>
    <t>ভাঙে তবু মচকায় না২</t>
  </si>
  <si>
    <t>ভাঙে তবু মচকায় না (দ্বিতীয়)</t>
  </si>
  <si>
    <t>অটল</t>
  </si>
  <si>
    <t>Breaks not bends.</t>
  </si>
  <si>
    <t>ডুপ্লিকেট - id 6070 রাখা হচ্ছে, এই row বাদ দাও।</t>
  </si>
  <si>
    <t>ভাঙে না মচকায়১</t>
  </si>
  <si>
    <t>ভাঙে না মচকায়</t>
  </si>
  <si>
    <t>নমনীয়</t>
  </si>
  <si>
    <t>Doesn't break, bends.</t>
  </si>
  <si>
    <t>নমনীয়তা</t>
  </si>
  <si>
    <t>এই প্রবাদের ডুপ্লিকেট আছে (id: 6072, 6073), এটা রাখো (সবচেয়ে ছোট id)।</t>
  </si>
  <si>
    <t>ভাঙে না মচকায়২</t>
  </si>
  <si>
    <t>ভাঙে না মচকায় (দ্বিতীয়)</t>
  </si>
  <si>
    <t>সহনশীল</t>
  </si>
  <si>
    <t>Bends not breaks.</t>
  </si>
  <si>
    <t>সহিষ্ণুতা</t>
  </si>
  <si>
    <t>ডুপ্লিকেট - id 6072 রাখা হচ্ছে, এই row বাদ দাও।</t>
  </si>
  <si>
    <t>ভাজা মাছ উলটে খেতে জানে না</t>
  </si>
  <si>
    <t>অতি অলস</t>
  </si>
  <si>
    <t>Doesn't know to flip a fried fish.</t>
  </si>
  <si>
    <t>অলস</t>
  </si>
  <si>
    <t>ভাজে ঝিঙা বলে পটল১</t>
  </si>
  <si>
    <t>ভাজে ঝিঙা বলে পটল</t>
  </si>
  <si>
    <t>Calls fried jhinga as patal.</t>
  </si>
  <si>
    <t>ভ্রান্তি</t>
  </si>
  <si>
    <t>এই প্রবাদের ডুপ্লিকেট আছে (id: 6077, 6078), এটা রাখো (সবচেয়ে ছোট id)।</t>
  </si>
  <si>
    <t>ভাজে ঝিঙা বলে পটল২</t>
  </si>
  <si>
    <t>ভাজে ঝিঙা বলে পটল (দ্বিতীয়)</t>
  </si>
  <si>
    <t>Mistakes jhinga for patal.</t>
  </si>
  <si>
    <t>ডুপ্লিকেট - id 6077 রাখা হচ্ছে, এই row বাদ দাও।</t>
  </si>
  <si>
    <t>ভাতকাপড়ের কেউ নয়, কিল মারার গোঁসাই</t>
  </si>
  <si>
    <t>ভাত-কাপড়ের কেউ নেই, কিল মারার ওস্তাদ</t>
  </si>
  <si>
    <t>None to give food, master of blows.</t>
  </si>
  <si>
    <t>ভাত খাই কাঁসি বাজাই, রগড়ের কিছু জানি না</t>
  </si>
  <si>
    <t>সহজ জীবন</t>
  </si>
  <si>
    <t>Eat rice, play cymbal, know no fuss.</t>
  </si>
  <si>
    <t>ভাত ছড়ালে কাকের অভাব হয় না৩</t>
  </si>
  <si>
    <t>ভাত ছড়ালে কাকের অভাব হয় না (তৃতীয়)</t>
  </si>
  <si>
    <t>অনেক ভোগী</t>
  </si>
  <si>
    <t>Rice scattered, crows abound.</t>
  </si>
  <si>
    <t>ভোগ</t>
  </si>
  <si>
    <t>ডুপ্লিকেট - id 6082 রাখা হচ্ছে, এই row বাদ দাও।</t>
  </si>
  <si>
    <t>ভাত দেবার ভাতার নন কিল মারার গোঁসাই</t>
  </si>
  <si>
    <t>ভাত দেবার স্বামী নন, কিল মারার ওস্তাদ</t>
  </si>
  <si>
    <t>অক্ষম স্বামী</t>
  </si>
  <si>
    <t>Not a husband to feed, master of beating.</t>
  </si>
  <si>
    <t>ভাত পায় না টঙ্কা বুড়ি খাট্টা খেতে চায়</t>
  </si>
  <si>
    <t>ভাত পায় না, টঙ্কা বুড়ি খাট্টা চায়</t>
  </si>
  <si>
    <t>অভাবে সখ</t>
  </si>
  <si>
    <t>No rice, old woman wants sour.</t>
  </si>
  <si>
    <t>ভাত পায় না ব্যঞ্জন চায়</t>
  </si>
  <si>
    <t>ভাত পায় না, ব্যঞ্জন চায়</t>
  </si>
  <si>
    <t>অসম্ভব চাওয়া</t>
  </si>
  <si>
    <t>No rice, wants curry.</t>
  </si>
  <si>
    <t>ভাত রোচে না রোচে মোয়া, চিড়া রোচে পোয়া পোয়া১</t>
  </si>
  <si>
    <t>ভাত রুচে না, মোয়া রুচে; চিড়া রুচে পোয়া পোয়া</t>
  </si>
  <si>
    <t>খাবারে পছন্দ</t>
  </si>
  <si>
    <t>No taste for rice, but sweets; chira by pound.</t>
  </si>
  <si>
    <t>এই প্রবাদের ডুপ্লিকেট আছে (id: 6090, 6091), এটা রাখো (সবচেয়ে ছোট id)।</t>
  </si>
  <si>
    <t>ভাত রোচে না রোচে মোয়া, চিড়া রোচে পোয়া পোয়া২</t>
  </si>
  <si>
    <t>ভাত রুচে না, মোয়া রুচে (দ্বিতীয়)</t>
  </si>
  <si>
    <t>অপছন্দ</t>
  </si>
  <si>
    <t>Rice no, sweets yes.</t>
  </si>
  <si>
    <t>ডুপ্লিকেট - id 6090 রাখা হচ্ছে, এই row বাদ দাও।</t>
  </si>
  <si>
    <t>ভাত সেদ্ধ হয়ে গেছে</t>
  </si>
  <si>
    <t>কাজ শেষ</t>
  </si>
  <si>
    <t>Rice is cooked.</t>
  </si>
  <si>
    <t>সমাপ্তি</t>
  </si>
  <si>
    <t>ভাতের চাল চিবাতে যায়</t>
  </si>
  <si>
    <t>অকাজে যাওয়া</t>
  </si>
  <si>
    <t>Goes to chew rice grains.</t>
  </si>
  <si>
    <t>ভাতের দ্বিগুণ কলমি/কোষ্টা (পাট) শাক</t>
  </si>
  <si>
    <t>ভাতের দ্বিগুণ পাট শাক</t>
  </si>
  <si>
    <t>অতিরিক্ত শাক</t>
  </si>
  <si>
    <t>Twice as much jute leaves as rice.</t>
  </si>
  <si>
    <t>ভাদুরেমেঘ বিপরীতে বয়, আসিনে ঝড় বৃষ্টি হয়- খনা</t>
  </si>
  <si>
    <t>ভাদুরে মেঘ বিপরীত বয়, আসিনে ঝড় বৃষ্টি</t>
  </si>
  <si>
    <t>Bhadra clouds reverse, storm in Ashwin.</t>
  </si>
  <si>
    <t>ভাদ্রমাসের তাল</t>
  </si>
  <si>
    <t>সময়ের ফসল</t>
  </si>
  <si>
    <t>Bhadra month's palm fruit.</t>
  </si>
  <si>
    <t>মৌসুম</t>
  </si>
  <si>
    <t>ভাবি এক হয় আরেক</t>
  </si>
  <si>
    <t>ভাবি এক, হয় আরেক</t>
  </si>
  <si>
    <t>প্রত্যাশা ভঙ্গ</t>
  </si>
  <si>
    <t>Think one, happens another.</t>
  </si>
  <si>
    <t>ভাবিতে উচিত ছিল প্রতিজ্ঞা যখন</t>
  </si>
  <si>
    <t>ভাবা উচিত ছিল প্রতিজ্ঞা করার সময়</t>
  </si>
  <si>
    <t>পূর্ব চিন্তা</t>
  </si>
  <si>
    <t>Should have thought when vowing.</t>
  </si>
  <si>
    <t>অনুশোচনা</t>
  </si>
  <si>
    <t>ভাবিলে ভাবনায় ঘেরে</t>
  </si>
  <si>
    <t>ভাবলে ভাবনায় ঘেরে</t>
  </si>
  <si>
    <t>চিন্তা বাড়ে</t>
  </si>
  <si>
    <t>Thinking brings worry.</t>
  </si>
  <si>
    <t>ভাবিয়া করিও কাজ, করিয়া ভাবিও না১</t>
  </si>
  <si>
    <t>ভাবিয়া কাজ কর, করে ভাবিও না</t>
  </si>
  <si>
    <t>কাজের আগে ভাবা</t>
  </si>
  <si>
    <t>Think before you act, not after.</t>
  </si>
  <si>
    <t>ডুপ্লিকেট - id 321 রাখা হচ্ছে, এই row বাদ দাও।</t>
  </si>
  <si>
    <t>ভাবিয়া করিও কাজ, করিয়া ভাবিও না২</t>
  </si>
  <si>
    <t>ভাবিয়া কাজ কর, করে ভাবিও না (দ্বিতীয়)</t>
  </si>
  <si>
    <t>পূর্বপরিকল্পনা</t>
  </si>
  <si>
    <t>Think first, then do; don't regret after.</t>
  </si>
  <si>
    <t>পরিকল্পনা</t>
  </si>
  <si>
    <t>ভাবে গদগদ/ডগমগ তেলাকুচা/কুচো</t>
  </si>
  <si>
    <t>ভাবে গদগদ, তেলাকুচা/কুচো</t>
  </si>
  <si>
    <t>অতিভক্তি</t>
  </si>
  <si>
    <t>Emotional, like telakucha.</t>
  </si>
  <si>
    <t>ভাবের ঘরে চুরি২</t>
  </si>
  <si>
    <t>ভাবের ঘরে চুরি (দ্বিতীয়)</t>
  </si>
  <si>
    <t>আস্থা ভাঙা</t>
  </si>
  <si>
    <t>Stealing from trust.</t>
  </si>
  <si>
    <t>ডুপ্লিকেট - id 6106 রাখা হচ্ছে, এই row বাদ দাও।</t>
  </si>
  <si>
    <t>ভারত ছাড়া কথা নাই</t>
  </si>
  <si>
    <t>ভারত ছাড়া কথা নেই</t>
  </si>
  <si>
    <t>সব ভারতে</t>
  </si>
  <si>
    <t>No talk without India.</t>
  </si>
  <si>
    <t>দেশ</t>
  </si>
  <si>
    <t>ভারী নইলে ভার বয় কে২</t>
  </si>
  <si>
    <t>ভারী না হলে ভার বহে কে? (দ্বিতীয়)</t>
  </si>
  <si>
    <t>যোগ্যতা</t>
  </si>
  <si>
    <t>Only able bear burden.</t>
  </si>
  <si>
    <t>ডুপ্লিকেট - id 6110 রাখা হচ্ছে, এই row বাদ দাও।</t>
  </si>
  <si>
    <t>ভাল ওষুধ তেতো হয়২</t>
  </si>
  <si>
    <t>ভালো ওষুধ তেতো (দ্বিতীয়)</t>
  </si>
  <si>
    <t>হিতকর তিক্ত</t>
  </si>
  <si>
    <t>Bitter but effective.</t>
  </si>
  <si>
    <t>ডুপ্লিকেট - id 6112 রাখা হচ্ছে, এই row বাদ দাও।</t>
  </si>
  <si>
    <t>ভালকথায় মানুষ বশ</t>
  </si>
  <si>
    <t>ভালো কথায় মানুষ বশ</t>
  </si>
  <si>
    <t>মিষ্টি কথায়</t>
  </si>
  <si>
    <t>Good words win people.</t>
  </si>
  <si>
    <t>ভাল করতে পারি না, মন্দ করতে পারি কি দিবি দে</t>
  </si>
  <si>
    <t>ভালো না, মন্দ করতে পারি, কি দিবি দে</t>
  </si>
  <si>
    <t>দুষ্ট স্বভাব</t>
  </si>
  <si>
    <t>Can't do good, but can harm if you give.</t>
  </si>
  <si>
    <t>ভাল করলে মন্দ হয়</t>
  </si>
  <si>
    <t>ভালো করলে মন্দ হয়</t>
  </si>
  <si>
    <t>কৃতজ্ঞতা নেই</t>
  </si>
  <si>
    <t>Doing good results in evil.</t>
  </si>
  <si>
    <t>ভালকাজ পুরস্কার প্রত্যাশা করে না</t>
  </si>
  <si>
    <t>ভালো কাজ পুরস্কার চায় না</t>
  </si>
  <si>
    <t>নিঃস্বার্থ</t>
  </si>
  <si>
    <t>Good deeds don't expect reward.</t>
  </si>
  <si>
    <t>ভাল জিনিসের অল্প ভালো</t>
  </si>
  <si>
    <t>ভালো জিনিসের অল্পই ভালো</t>
  </si>
  <si>
    <t>পরিমিতি</t>
  </si>
  <si>
    <t>A little of good is good.</t>
  </si>
  <si>
    <t>ভালঘোড়াকে একচাবুক ভাললোককে এককথা</t>
  </si>
  <si>
    <t>ভালো ঘোড়াকে এক চাবুক, ভালো লোককে এক কথা</t>
  </si>
  <si>
    <t>সামান্য ইঙ্গিত</t>
  </si>
  <si>
    <t>A good horse needs one whip, a good man one word.</t>
  </si>
  <si>
    <t>ভালবাসার নাইকো ভার</t>
  </si>
  <si>
    <t>ভালোবাসার কোনো ভার নেই</t>
  </si>
  <si>
    <t>প্রেম সহজ</t>
  </si>
  <si>
    <t>Love has no burden.</t>
  </si>
  <si>
    <t>ভালমনের মানুষ ভাল দেখতে হয়</t>
  </si>
  <si>
    <t>ভালো মনের মানুষ সুন্দর দেখায়</t>
  </si>
  <si>
    <t>সৌন্দর্য মনের</t>
  </si>
  <si>
    <t>Good-hearted people look beautiful.</t>
  </si>
  <si>
    <t>ভালমানুষের মন মুখোশের আড়ালে থাকে</t>
  </si>
  <si>
    <t>ভালো মানুষের মন মুখোশের আড়ালে</t>
  </si>
  <si>
    <t>সৎ মনের গোপনতা</t>
  </si>
  <si>
    <t>Good man's heart hidden behind mask.</t>
  </si>
  <si>
    <t>মানুষ</t>
  </si>
  <si>
    <t>ভালর কোন সীমা নেই</t>
  </si>
  <si>
    <t>ভালোর কোনো সীমা নেই</t>
  </si>
  <si>
    <t>ভালো অসীম</t>
  </si>
  <si>
    <t>Good has no limit.</t>
  </si>
  <si>
    <t>ভালর ভাগী মন্দের কেউ নয়</t>
  </si>
  <si>
    <t>ভালোর ভাগী, মন্দের কেউ নয়</t>
  </si>
  <si>
    <t>ভালোতে সবাই</t>
  </si>
  <si>
    <t>Good has takers, evil none.</t>
  </si>
  <si>
    <t>ভাল হতে পয়সা খরচ হয় না</t>
  </si>
  <si>
    <t>ভালো হতে পয়সা লাগে না</t>
  </si>
  <si>
    <t>গুণ অর্থে নয়</t>
  </si>
  <si>
    <t>Being good costs no money.</t>
  </si>
  <si>
    <t>ভাষার আধিক্যে/চাতুর্যে ভাব লুকায়</t>
  </si>
  <si>
    <t>ভাষার বাড়াবাড়িতে ভাব লুকায়</t>
  </si>
  <si>
    <t>কথায় ভাব নষ্ট</t>
  </si>
  <si>
    <t>Excess words hide meaning.</t>
  </si>
  <si>
    <t>ভাসুর-ভাদ্রবৌ সম্পর্ক২</t>
  </si>
  <si>
    <t>ভাসুর-ভাদ্রবৌ সম্পর্ক (দ্বিতীয়)</t>
  </si>
  <si>
    <t>মজার সম্পর্ক</t>
  </si>
  <si>
    <t>In-law fun.</t>
  </si>
  <si>
    <t>পারিবারিক</t>
  </si>
  <si>
    <t>ডুপ্লিকেট - id 6137 রাখা হচ্ছে, এই row বাদ দাও।</t>
  </si>
  <si>
    <t>ভাসুর-ভাদ্রবৌ সম্পর্ক৩</t>
  </si>
  <si>
    <t>ভাসুর-ভাদ্রবৌ সম্পর্ক (তৃতীয়)</t>
  </si>
  <si>
    <t>ঐতিহ্যবাহী</t>
  </si>
  <si>
    <t>Brother-in-law and sister-in-law.</t>
  </si>
  <si>
    <t>ভিক্ষার চাল কাঁড়া আর আকাঁড়া</t>
  </si>
  <si>
    <t>ভিক্ষার চাল কাঁড়া ও আকাঁড়া</t>
  </si>
  <si>
    <t>নিম্নমানের</t>
  </si>
  <si>
    <t>Begged rice is coarse.</t>
  </si>
  <si>
    <t>মান</t>
  </si>
  <si>
    <t>ভিক্ষুকের এক দুয়ার বন্ধ, হাজার দুয়ার খোলা২</t>
  </si>
  <si>
    <t>ভিক্ষুকের এক দরজা বন্ধ, হাজার খোলা (দ্বিতীয়)</t>
  </si>
  <si>
    <t>Beggar has many doors.</t>
  </si>
  <si>
    <t>ডুপ্লিকেট - id 6144 রাখা হচ্ছে, এই row বাদ দাও।</t>
  </si>
  <si>
    <t>ভিজে বেড়াল১</t>
  </si>
  <si>
    <t>ভিজে বেড়াল</t>
  </si>
  <si>
    <t>নিস্তেজ</t>
  </si>
  <si>
    <t>A wet cat—timid.</t>
  </si>
  <si>
    <t>ভীরুতা</t>
  </si>
  <si>
    <t>এই প্রবাদের ডুপ্লিকেট আছে (id: 6146, 6147), এটা রাখো (সবচেয়ে ছোট id)।</t>
  </si>
  <si>
    <t>ভিজে বেড়াল২</t>
  </si>
  <si>
    <t>ভিজে বেড়াল (দ্বিতীয়)</t>
  </si>
  <si>
    <t>Wet cat.</t>
  </si>
  <si>
    <t>ডুপ্লিকেট - id 6146 রাখা হচ্ছে, এই row বাদ দাও।</t>
  </si>
  <si>
    <t>ভিটায় ঘুঘু চরানো১</t>
  </si>
  <si>
    <t>ভিটায় ঘুঘু চরানো</t>
  </si>
  <si>
    <t>ঘর উজাড়</t>
  </si>
  <si>
    <t>Owls on homestead.</t>
  </si>
  <si>
    <t>ধ্বংস</t>
  </si>
  <si>
    <t>ডুপ্লিকেট - id 505 রাখা হচ্ছে, এই row বাদ দাও।</t>
  </si>
  <si>
    <t>ভিটায় ঘুঘু চরানো২</t>
  </si>
  <si>
    <t>ভিটায় ঘুঘু চরানো (দ্বিতীয়)</t>
  </si>
  <si>
    <t>পরিত্যক্ত</t>
  </si>
  <si>
    <t>Pigeons on ruin.</t>
  </si>
  <si>
    <t>ভিটায় সরষে বুনে খাওয়া২</t>
  </si>
  <si>
    <t>ভিটায় সরষে বুনে খাওয়া (দ্বিতীয়)</t>
  </si>
  <si>
    <t>প্রচেষ্টা</t>
  </si>
  <si>
    <t>Sowing mustard at home.</t>
  </si>
  <si>
    <t>ডুপ্লিকেট - id 6151 রাখা হচ্ছে, এই row বাদ দাও।</t>
  </si>
  <si>
    <t>ভিটেমাটি চাটি করা</t>
  </si>
  <si>
    <t>শেষ সম্পদ</t>
  </si>
  <si>
    <t>Licking one's homestead soil.</t>
  </si>
  <si>
    <t>ভিতরে গরল বাইরে সরল</t>
  </si>
  <si>
    <t>ভিতরে বিষ, বাইরে সরল</t>
  </si>
  <si>
    <t>Poison inside, simple outside.</t>
  </si>
  <si>
    <t>ভিতরে ছুঁচোর কেত্তন বাইরে কোঁচার পত্তন</t>
  </si>
  <si>
    <t>ভিতরে ছুঁচোর কীর্তন, বাইরে কোঁচার আড়ম্বর</t>
  </si>
  <si>
    <t>বাহিরে আড়ম্বর</t>
  </si>
  <si>
    <t>Shrew inside, grand outside.</t>
  </si>
  <si>
    <t>ভিতু কুকুর বাতাসের শব্দে ভড়কায়</t>
  </si>
  <si>
    <t>ভীতু কুকুর বাতাসে ভয় পায়</t>
  </si>
  <si>
    <t>ভীরু</t>
  </si>
  <si>
    <t>A timid dog fears wind.</t>
  </si>
  <si>
    <t>ভিন্নরুচির্হি লোকাঃ</t>
  </si>
  <si>
    <t>ভিন্ন রুচি মানুষ</t>
  </si>
  <si>
    <t>রুচি ভিন্ন</t>
  </si>
  <si>
    <t>Different people, different tastes.</t>
  </si>
  <si>
    <t>ভীমরুলের চাকে খোঁচা দেওয়া</t>
  </si>
  <si>
    <t>ভীমরুলের চাকে খোঁচা</t>
  </si>
  <si>
    <t>বিপদ ডাকা</t>
  </si>
  <si>
    <t>Poking a wasp nest.</t>
  </si>
  <si>
    <t>ভীরুরা মরার আগে বারেবারে মরে; সাহসীরা মৃত্যুর স্বাদ একবারই গ্রহণ করে- সেক্সপিয়ার</t>
  </si>
  <si>
    <t>ভীরু মরার আগে বহুবার মরে, সাহসী একবার</t>
  </si>
  <si>
    <t>Cowards die many times, brave once.</t>
  </si>
  <si>
    <t>ভীষ্ম, দ্রোণ, কর্ণ গেল শল্য হল রথী; চন্দ্র সূর্য অস্ত গেল জোনাকির পাছে বাতি</t>
  </si>
  <si>
    <t>বড়রা চলে গেল, ছোটরা বড়</t>
  </si>
  <si>
    <t>প্রতিভা শেষ</t>
  </si>
  <si>
    <t>Great warriors gone, firefly holds lamp.</t>
  </si>
  <si>
    <t>ভীষ্মের প্রতিজ্ঞা</t>
  </si>
  <si>
    <t>অটল প্রতিজ্ঞা</t>
  </si>
  <si>
    <t>Bhishma's vow.</t>
  </si>
  <si>
    <t>ভুঁড়ি আর মুড়ি সকল রোগের গুঁড়ি</t>
  </si>
  <si>
    <t>ভুঁড়ি ও মুড়ি সব রোগের মূল</t>
  </si>
  <si>
    <t>অতিভোজন</t>
  </si>
  <si>
    <t>Belly and puffed rice are root of all diseases.</t>
  </si>
  <si>
    <t>ভুজঙ্গস্য বিষং দন্তে, সর্বাঙ্গং দুর্জনে বিষং</t>
  </si>
  <si>
    <t>সাপের বিষ দাঁতে, দুর্জনের বিষ সারা গায়ে</t>
  </si>
  <si>
    <t>দুর্জন সর্বত্র</t>
  </si>
  <si>
    <t>Snake's venom in fang, wicked man's in whole body.</t>
  </si>
  <si>
    <t>দুষ্ট</t>
  </si>
  <si>
    <t>ভুল করলে সংশোধন করতে ইতস্ততঃ করো না</t>
  </si>
  <si>
    <t>ভুল করলে সংশোধনে দ্বিধা নয়</t>
  </si>
  <si>
    <t>সংশোধন</t>
  </si>
  <si>
    <t>Don't hesitate to correct mistakes.</t>
  </si>
  <si>
    <t>ভুল করাটা দোষণীয় নয়, ভুল আঁকড়ে থাকাটা দোষনীয়</t>
  </si>
  <si>
    <t>ভুল করা দোষ নয়, ভুল ধরে রাখা দোষ</t>
  </si>
  <si>
    <t>ভুল স্বীকার</t>
  </si>
  <si>
    <t>Not wrong to err, wrong to cling.</t>
  </si>
  <si>
    <t>সততা</t>
  </si>
  <si>
    <t>ভুল সংশোধনের কোন সময়সীমা নেই</t>
  </si>
  <si>
    <t>ভুল সংশোধনের সময়সীমা নেই</t>
  </si>
  <si>
    <t>যেকোনো সময়</t>
  </si>
  <si>
    <t>No deadline for correcting mistakes.</t>
  </si>
  <si>
    <t>ভূঁই না পেলে উঠান চষে</t>
  </si>
  <si>
    <t>জমি না পেলে উঠান চষে</t>
  </si>
  <si>
    <t>সুযোগ মতো কাজ</t>
  </si>
  <si>
    <t>If no land, plow courtyard.</t>
  </si>
  <si>
    <t>ভুঁইশূন্য রাজা ক্ষেত্রমোহন</t>
  </si>
  <si>
    <t>ভূমিহীন রাজা ক্ষেত্রমোহন</t>
  </si>
  <si>
    <t>নামেই রাজা</t>
  </si>
  <si>
    <t>Landless king, field-loving.</t>
  </si>
  <si>
    <t>ভূতে পশ্যতি বর্বরা</t>
  </si>
  <si>
    <t>বর্বর ভূতে দেখে</t>
  </si>
  <si>
    <t>অজ্ঞ ভূত দেখে</t>
  </si>
  <si>
    <t>A barbarian sees ghosts.</t>
  </si>
  <si>
    <t>ভূতের আবার গঙ্গাস্নান</t>
  </si>
  <si>
    <t>Does a ghost bathe in Ganga?</t>
  </si>
  <si>
    <t>ভূতের আবার জন্মদিন</t>
  </si>
  <si>
    <t>Ghost's birthday.</t>
  </si>
  <si>
    <t>ভূতের বাপের শ্রাদ্ধ১</t>
  </si>
  <si>
    <t>ভূতের বাপের শ্রাদ্ধ</t>
  </si>
  <si>
    <t>Ghost's father's funeral.</t>
  </si>
  <si>
    <t>এই প্রবাদের ডুপ্লিকেট আছে (id: 6175, 6176), এটা রাখো (সবচেয়ে ছোট id)।</t>
  </si>
  <si>
    <t>ভূতের বাপের শ্রাদ্ধ২</t>
  </si>
  <si>
    <t>ভূতের বাপের শ্রাদ্ধ (দ্বিতীয়)</t>
  </si>
  <si>
    <t>বাজে কাজ</t>
  </si>
  <si>
    <t>Ghost's father's rites.</t>
  </si>
  <si>
    <t>ডুপ্লিকেট - id 6175 রাখা হচ্ছে, এই row বাদ দাও।</t>
  </si>
  <si>
    <t>ভূতের বেগার খাটা</t>
  </si>
  <si>
    <t>বিনা লাভে কাজ</t>
  </si>
  <si>
    <t>Working for ghosts.</t>
  </si>
  <si>
    <t>ভূতের বোঝা বহা</t>
  </si>
  <si>
    <t>অকারণ ভার</t>
  </si>
  <si>
    <t>Carrying ghost's burden.</t>
  </si>
  <si>
    <t>ভূতের মুখে রামনাম</t>
  </si>
  <si>
    <t>Ram's name on ghost's mouth.</t>
  </si>
  <si>
    <t>ভূষণ্ডী কাক১</t>
  </si>
  <si>
    <t>ভূষণ্ডী কাক</t>
  </si>
  <si>
    <t>দীর্ঘজীবী কাক</t>
  </si>
  <si>
    <t>Ancient crow.</t>
  </si>
  <si>
    <t>এই প্রবাদের ডুপ্লিকেট আছে (id: 6181, 6182), এটা রাখো (সবচেয়ে ছোট id)।</t>
  </si>
  <si>
    <t>ভূষণ্ডী কাক২</t>
  </si>
  <si>
    <t>ভূষণ্ডী কাক (দ্বিতীয়)</t>
  </si>
  <si>
    <t>অতি বৃদ্ধ</t>
  </si>
  <si>
    <t>Old crow.</t>
  </si>
  <si>
    <t>ডুপ্লিকেট - id 6181 রাখা হচ্ছে, এই row বাদ দাও।</t>
  </si>
  <si>
    <t>ভেক না ধরলে ভিক মেলে না</t>
  </si>
  <si>
    <t>ভেক না ধরলে ভিক্ষা মেলে না</t>
  </si>
  <si>
    <t>No alms without disguise.</t>
  </si>
  <si>
    <t>ভেকো মকমকায়তে</t>
  </si>
  <si>
    <t>ব্যাঙ মকমক করে</t>
  </si>
  <si>
    <t>নীচের নীচ কাজ</t>
  </si>
  <si>
    <t>Frog croaks.</t>
  </si>
  <si>
    <t>ভেটে লোক হেঁট হয়</t>
  </si>
  <si>
    <t>বেঁটে লোক নত হয়</t>
  </si>
  <si>
    <t>ছোটরা বিনয়ী</t>
  </si>
  <si>
    <t>Short man stoops.</t>
  </si>
  <si>
    <t>শারীরিক</t>
  </si>
  <si>
    <t>ভেড়া করে রাখা/ ভেড়াকান্ত</t>
  </si>
  <si>
    <t>ভেড়া করে রাখা</t>
  </si>
  <si>
    <t>বোকা বানানো</t>
  </si>
  <si>
    <t>Make one a sheep.</t>
  </si>
  <si>
    <t>নির্বুদ্ধিতা</t>
  </si>
  <si>
    <t>ভেড়ার গোয়ালে আগুন লাগা</t>
  </si>
  <si>
    <t>ভেড়ার গোয়ালে আগুন</t>
  </si>
  <si>
    <t>Fire in sheep pen.</t>
  </si>
  <si>
    <t>ভেড়ার গোয়ালে বাছুর মোড়ল</t>
  </si>
  <si>
    <t>A calf is head in sheep pen.</t>
  </si>
  <si>
    <t>ভেড়ার পাল</t>
  </si>
  <si>
    <t>অন্ধ অনুসারী</t>
  </si>
  <si>
    <t>A flock of sheep.</t>
  </si>
  <si>
    <t>অনুসরণ</t>
  </si>
  <si>
    <t>ভেড়ার বেশে নেকড়ে বাঘ</t>
  </si>
  <si>
    <t>ভেড়ার ছদ্মবেশে নেকড়ে</t>
  </si>
  <si>
    <t>কপট শত্রু</t>
  </si>
  <si>
    <t>Wolf in sheep's clothing.</t>
  </si>
  <si>
    <t>ভেবেচিন্তে কাজ কর, লক্ষ্মী ঘরে চিরতর</t>
  </si>
  <si>
    <t>ভেবে কাজ কর, লক্ষ্মী ঘরে</t>
  </si>
  <si>
    <t>Think and act, Lakshmi stays home.</t>
  </si>
  <si>
    <t>ভেবে করা আর করে ভাবা</t>
  </si>
  <si>
    <t>ভেবে করা ও করে ভাবা</t>
  </si>
  <si>
    <t>দুই বিপরীত</t>
  </si>
  <si>
    <t>Think-do, do-think.</t>
  </si>
  <si>
    <t>বৈপরীত্য</t>
  </si>
  <si>
    <t>ভেরেণ্ডা গাছও বৃক্ষ হয়</t>
  </si>
  <si>
    <t>ভেরেণ্ডা গাছও বৃক্ষ</t>
  </si>
  <si>
    <t>নিকৃষ্টও গাছ</t>
  </si>
  <si>
    <t>Even castor is a tree.</t>
  </si>
  <si>
    <t>মূল্য</t>
  </si>
  <si>
    <t>ভোগের আগে প্রসাদ</t>
  </si>
  <si>
    <t>Prasad before enjoyment.</t>
  </si>
  <si>
    <t>ভোজনং যত্রতত্র শয়নং হট্টমন্দিরে</t>
  </si>
  <si>
    <t>ভোজন যেখানে, শয়ন হাটে মন্দিরে</t>
  </si>
  <si>
    <t>অস্থির জীবন</t>
  </si>
  <si>
    <t>Eat anywhere, sleep in marketplace temple.</t>
  </si>
  <si>
    <t>অস্থিরতা</t>
  </si>
  <si>
    <t>ভোজনে সন্তোষ বিধেয়</t>
  </si>
  <si>
    <t>ভোজনে সন্তোষ রাখা</t>
  </si>
  <si>
    <t>পরিমিত খাওয়া</t>
  </si>
  <si>
    <t>Contentment in eating.</t>
  </si>
  <si>
    <t>ভোরের পাখি পোকা ধরে</t>
  </si>
  <si>
    <t>সকালে সফলতা</t>
  </si>
  <si>
    <t>Early bird catches worm.</t>
  </si>
  <si>
    <t>মগের মুল্লুক</t>
  </si>
  <si>
    <t>মগের দেশ</t>
  </si>
  <si>
    <t>অরাজক দেশ</t>
  </si>
  <si>
    <t>Land of the Magh.</t>
  </si>
  <si>
    <t>মচকায় কিন্তু ভাঙে না</t>
  </si>
  <si>
    <t>Bends but doesn't break.</t>
  </si>
  <si>
    <t>মজুরের কপালে খেজুরের চাটাই</t>
  </si>
  <si>
    <t>গরিবের ভাগ্য</t>
  </si>
  <si>
    <t>Laborer's fate is palm mat.</t>
  </si>
  <si>
    <t>মটরের চাপে মসূরি চ্যাপ্টা</t>
  </si>
  <si>
    <t>বড়র চাপে ছোট</t>
  </si>
  <si>
    <t>Lentil flattened by pea pressure.</t>
  </si>
  <si>
    <t>মড়া ঘোড়াকে চাবুক মারা</t>
  </si>
  <si>
    <t>মরা ঘোড়াকে চাবুক</t>
  </si>
  <si>
    <t>Whipping dead horse.</t>
  </si>
  <si>
    <t>মড়া পোড়ে চিতায়; জ্যান্ত পোড়ে চিন্তায়</t>
  </si>
  <si>
    <t>মড়া পোড়ে চিতায়, জীবিত পোড়ে চিন্তায়</t>
  </si>
  <si>
    <t>চিন্তা বড়</t>
  </si>
  <si>
    <t>Dead burns on pyre, living in worry.</t>
  </si>
  <si>
    <t>মড়ার উপর খাঁড়ার ঘা২</t>
  </si>
  <si>
    <t>মড়ার উপর খাঁড়ার ঘা (দ্বিতীয়)</t>
  </si>
  <si>
    <t>অতিরিক্ত আঘাত</t>
  </si>
  <si>
    <t>Blow on dead.</t>
  </si>
  <si>
    <t>ডুপ্লিকেট - id 6215 রাখা হচ্ছে, এই row বাদ দাও।</t>
  </si>
  <si>
    <t>মণিকাঞ্চন যোগ</t>
  </si>
  <si>
    <t>মণি-কাঞ্চন যোগ</t>
  </si>
  <si>
    <t>চমৎকার মিলন</t>
  </si>
  <si>
    <t>Union of gem and gold.</t>
  </si>
  <si>
    <t>মিলন</t>
  </si>
  <si>
    <t>মণিহারা ফণী</t>
  </si>
  <si>
    <t>সম্পদহীন</t>
  </si>
  <si>
    <t>A snake without its gem.</t>
  </si>
  <si>
    <t>মৎস চিনে গভীর গম্য পক্ষী চিনে ডাল; মা জানে পুতের দরদ ছাতি বিদরে যার</t>
  </si>
  <si>
    <t>মাছ চেনে গভীর জল, পাখি ডাল; মা জানে পুত্রের ব্যথা</t>
  </si>
  <si>
    <t>Fish knows deep, bird branch; mother knows son's pain.</t>
  </si>
  <si>
    <t>মতান্তর হতে পারে মনান্তর কখনো নয়</t>
  </si>
  <si>
    <t>মতভেদ হতে পারে, মনভেদ নয়</t>
  </si>
  <si>
    <t>মতের ভিন্নতা</t>
  </si>
  <si>
    <t>Difference of opinion, not of heart.</t>
  </si>
  <si>
    <t>মতিরেব বলাদ গরীয়সী</t>
  </si>
  <si>
    <t>মতিই বলের চেয়ে বড়</t>
  </si>
  <si>
    <t>বুদ্ধি বড়</t>
  </si>
  <si>
    <t>Intellect superior to strength.</t>
  </si>
  <si>
    <t>মদ্দ/মরদ বড় তেজী ধরবেন বনের বেজী</t>
  </si>
  <si>
    <t>মরদ তেজী, ধরবেন বনের বেজি</t>
  </si>
  <si>
    <t>Brave man will catch wild civet.</t>
  </si>
  <si>
    <t>মদেরও তলানি আছে</t>
  </si>
  <si>
    <t>সবের শেষ আছে</t>
  </si>
  <si>
    <t>Even wine has dregs.</t>
  </si>
  <si>
    <t>শেষ</t>
  </si>
  <si>
    <t>মধু খেতে গেলে মাছির হুল সইতে হয়</t>
  </si>
  <si>
    <t>মধু খেতে মাছির হুল সইতে</t>
  </si>
  <si>
    <t>To eat honey, bear bee sting.</t>
  </si>
  <si>
    <t>মধু তিষ্ঠতি জিহ্বাগ্রে হৃদয়ে তু হলাহলম</t>
  </si>
  <si>
    <t>মুখে মধু, হৃদয়ে বিষ</t>
  </si>
  <si>
    <t>Honey on tongue, poison in heart.</t>
  </si>
  <si>
    <t>মধুসূদন দাদার দৈ-এর ভাণ্ড</t>
  </si>
  <si>
    <t>মধুসূদন দাদার দৈয়ের ভাণ্ড</t>
  </si>
  <si>
    <t>অমিত সম্ভার</t>
  </si>
  <si>
    <t>Madhusudan's endless pot of yogurt.</t>
  </si>
  <si>
    <t>মধ্যপন্থা শ্রেষ্ঠপন্থা</t>
  </si>
  <si>
    <t>মধ্যপন্থা শ্রেষ্ঠ</t>
  </si>
  <si>
    <t>মধ্যম পথ</t>
  </si>
  <si>
    <t>Middle path is best.</t>
  </si>
  <si>
    <t>মধ্যপন্থা</t>
  </si>
  <si>
    <t>মধ্বভাবে গুড় দদ্যাৎ</t>
  </si>
  <si>
    <t>মধু না পেলে গুড় দেবে</t>
  </si>
  <si>
    <t>If no honey, give jaggery.</t>
  </si>
  <si>
    <t>মনঃপূতং সমাচরেৎ</t>
  </si>
  <si>
    <t>মন পবিত্র করে কাজ</t>
  </si>
  <si>
    <t>পবিত্র মন</t>
  </si>
  <si>
    <t>Act with pure mind.</t>
  </si>
  <si>
    <t>মন এব মনুষ্যাণাং কারণাং বন্ধমোক্ষয়োঃ</t>
  </si>
  <si>
    <t>মনই বন্ধন ও মোক্ষের কারণ</t>
  </si>
  <si>
    <t>মনই সব</t>
  </si>
  <si>
    <t>Mind is cause of bondage and liberation.</t>
  </si>
  <si>
    <t>মনকে চোখ ঠারা১</t>
  </si>
  <si>
    <t>মনকে চোখ ঠারা</t>
  </si>
  <si>
    <t>মনকে বোঝানো</t>
  </si>
  <si>
    <t>Deceive one's mind.</t>
  </si>
  <si>
    <t>এই প্রবাদের ডুপ্লিকেট আছে (id: 6234, 6235), এটা রাখো (সবচেয়ে ছোট id)।</t>
  </si>
  <si>
    <t>মনকে চোখ ঠারা২</t>
  </si>
  <si>
    <t>মনকে চোখ ঠারা (দ্বিতীয়)</t>
  </si>
  <si>
    <t>মনের অজুহাত</t>
  </si>
  <si>
    <t>Fooling own heart.</t>
  </si>
  <si>
    <t>ডুপ্লিকেট - id 6234 রাখা হচ্ছে, এই row বাদ দাও।</t>
  </si>
  <si>
    <t>মন চল নিজ নিকেতনে</t>
  </si>
  <si>
    <t>মন চল নিজ গৃহে</t>
  </si>
  <si>
    <t>মনকে সংযত</t>
  </si>
  <si>
    <t>Mind, go home.</t>
  </si>
  <si>
    <t>মন চলে তো চলে যা</t>
  </si>
  <si>
    <t>মন চলে তো চলে যাও</t>
  </si>
  <si>
    <t>মনকে অনুসরণ</t>
  </si>
  <si>
    <t>If mind goes, follow.</t>
  </si>
  <si>
    <t>মন</t>
  </si>
  <si>
    <t>মন চাঙ্গা তো কটরায়/কেঠোয় জলও গঙ্গা</t>
  </si>
  <si>
    <t>মন ভালো তো পাত্রের জলও গঙ্গা</t>
  </si>
  <si>
    <t>মনের শান্তি</t>
  </si>
  <si>
    <t>If heart is light, any water is Ganga.</t>
  </si>
  <si>
    <t>মন চায় এক হয় আর এক</t>
  </si>
  <si>
    <t>মন চায় এক, হয় অন্য</t>
  </si>
  <si>
    <t>অপ্রাপ্তি</t>
  </si>
  <si>
    <t>Mind wants one, gets another.</t>
  </si>
  <si>
    <t>মন চায় ধন, দেবে/দেয় কোন জন</t>
  </si>
  <si>
    <t>মন চায় ধন, দেয় কে?</t>
  </si>
  <si>
    <t>ইচ্ছা বড়</t>
  </si>
  <si>
    <t>Mind wants wealth, who gives?</t>
  </si>
  <si>
    <t>মন চায় বাদশা হতে খোদা দেয় না মেগে/মেঙে খেতে</t>
  </si>
  <si>
    <t>মন চায় বাদশা, খোদা দেয় না</t>
  </si>
  <si>
    <t>আকাঙ্ক্ষা বড়</t>
  </si>
  <si>
    <t>Mind wants to be king, God gives begging.</t>
  </si>
  <si>
    <t>মন চায় ভাজা খেতে তেলে বড় কড়ি</t>
  </si>
  <si>
    <t>মন চায় ভাজা, তেলের দাম</t>
  </si>
  <si>
    <t>ইচ্ছা ও অভাব</t>
  </si>
  <si>
    <t>Mind wants fried, oil costly.</t>
  </si>
  <si>
    <t>মন না মুড়ালে, মুড়ালে কেশ গুরু না চিনিলে, ভ্রমিলে দেশ</t>
  </si>
  <si>
    <t>মন না মুড়ালে কেশ মুড়ানো, গুরু না চিনে দেশ ভ্রমণ</t>
  </si>
  <si>
    <t>Shaving head without mind, wandering without guru.</t>
  </si>
  <si>
    <t>মন ভাল নয় তীর্থ কর মিছে কাজে ঘুরে মর</t>
  </si>
  <si>
    <t>মন ভালো না, তীর্থ কর মিছে</t>
  </si>
  <si>
    <t>অন্তর শুদ্ধি</t>
  </si>
  <si>
    <t>If mind not pure, pilgrimage is vain.</t>
  </si>
  <si>
    <t>অন্তর</t>
  </si>
  <si>
    <t>মন যেন জিলিপির পাক</t>
  </si>
  <si>
    <t>মন জিলিপির পাকের মতো</t>
  </si>
  <si>
    <t>জটিল</t>
  </si>
  <si>
    <t>Mind like jalebi twist.</t>
  </si>
  <si>
    <t>মন সন্তুষ্ট থাকলে কেইবা ধনী কেই বা দরিদ্র</t>
  </si>
  <si>
    <t>মন সন্তুষ্ট থাকলে ধনী-দরিদ্র সমান</t>
  </si>
  <si>
    <t>If content, rich and poor equal.</t>
  </si>
  <si>
    <t>মনসা চিন্তিতং কর্ম বচসা ন প্রকাশয়েৎ</t>
  </si>
  <si>
    <t>মনে চিন্তিত কাজ বাক্যে প্রকাশ নয়</t>
  </si>
  <si>
    <t>গোপন</t>
  </si>
  <si>
    <t>Don't reveal mind's plans.</t>
  </si>
  <si>
    <t>মনস্বী কার্যার্থী ন গণয়তি দুঃখম, ন চ সুখম</t>
  </si>
  <si>
    <t>মনস্বী কাজে দুঃখ সুখ গণনা করে না</t>
  </si>
  <si>
    <t>কর্মনিষ্ঠ</t>
  </si>
  <si>
    <t>The wise don't count pain or pleasure in work.</t>
  </si>
  <si>
    <t>মনে বড় সাধ চড়বো বাঘের কাঁধ</t>
  </si>
  <si>
    <t>মনে সাধ চড়ব বাঘের কাঁধে</t>
  </si>
  <si>
    <t>দুঃসাহস</t>
  </si>
  <si>
    <t>Wish to ride tiger.</t>
  </si>
  <si>
    <t>মনে মধু মুখে বিষ</t>
  </si>
  <si>
    <t>মনে মধু, মুখে বিষ</t>
  </si>
  <si>
    <t>Honey in mind, poison in mouth.</t>
  </si>
  <si>
    <t>মনের কষ্ট শরীরের যন্ত্রণার চেয়েও খারাপ</t>
  </si>
  <si>
    <t>মনের কষ্ট শরীরের যন্ত্রণার চেয়ে খারাপ</t>
  </si>
  <si>
    <t>মানসিক কষ্ট</t>
  </si>
  <si>
    <t>Mental pain worse than physical.</t>
  </si>
  <si>
    <t>মনের শান্তি সব মন্দভাব দূর করে</t>
  </si>
  <si>
    <t>মনের শান্তি মন্দ দূর</t>
  </si>
  <si>
    <t>Peace of mind removes evil.</t>
  </si>
  <si>
    <t>মনের সব কথা প্রকাশ করা নেই</t>
  </si>
  <si>
    <t>মনের সব কথা প্রকাশ নয়</t>
  </si>
  <si>
    <t>Don't reveal all thoughts.</t>
  </si>
  <si>
    <t>মন্ত্রের সাধন অথবা শরীরপাতন</t>
  </si>
  <si>
    <t>মন্ত্র সাধন বা শরীর পাত</t>
  </si>
  <si>
    <t>একাগ্র চেষ্টা</t>
  </si>
  <si>
    <t>Either achieve mantra or sacrifice body.</t>
  </si>
  <si>
    <t>সংকল্প</t>
  </si>
  <si>
    <t>মনের সুখই সুখ</t>
  </si>
  <si>
    <t>মনের সুখ</t>
  </si>
  <si>
    <t>Happiness is in mind.</t>
  </si>
  <si>
    <t>সুখ</t>
  </si>
  <si>
    <t>মন্থরার মন্ত্রণা</t>
  </si>
  <si>
    <t>কুপরামর্শ</t>
  </si>
  <si>
    <t>Manthara's counsel.</t>
  </si>
  <si>
    <t>মন্দ কখনো ভালো হয় না</t>
  </si>
  <si>
    <t>মন্দ মন্দই</t>
  </si>
  <si>
    <t>Evil never becomes good.</t>
  </si>
  <si>
    <t>মন্দ খবর মিথ্যা হয় না</t>
  </si>
  <si>
    <t>খারাপ খবর সত্য</t>
  </si>
  <si>
    <t>Bad news is always true.</t>
  </si>
  <si>
    <t>সংবাদ</t>
  </si>
  <si>
    <t>মন্দ চিন্তিলে মন্দ হয়</t>
  </si>
  <si>
    <t>মন্দ চিন্তা করলে মন্দ হয়</t>
  </si>
  <si>
    <t>মন্দ ভাবনা</t>
  </si>
  <si>
    <t>Thinking evil brings evil.</t>
  </si>
  <si>
    <t>মন্দ সকাল সুন্দর সকালে পরিণত হতে পারে</t>
  </si>
  <si>
    <t>মন্দ সকাল সুন্দর দিন হতে পারে</t>
  </si>
  <si>
    <t>আশা</t>
  </si>
  <si>
    <t>A bad morning may turn into a good day.</t>
  </si>
  <si>
    <t>মন্দিরে গেলেই সাধু হয় না</t>
  </si>
  <si>
    <t>বাহ্যিক ধর্ম</t>
  </si>
  <si>
    <t>Visiting temple doesn't make saint.</t>
  </si>
  <si>
    <t>মন্দের চোখে সবই মন্দ</t>
  </si>
  <si>
    <t>মন্দের চোখে সব মন্দ</t>
  </si>
  <si>
    <t>মন্দ দৃষ্টি</t>
  </si>
  <si>
    <t>Evil sees everything evil.</t>
  </si>
  <si>
    <t>দৃষ্টিভঙ্গি</t>
  </si>
  <si>
    <t>ময়লা কাপড়ে ধোপার ভয়</t>
  </si>
  <si>
    <t>দোষী ভয়</t>
  </si>
  <si>
    <t>Dirty clothes fear washerman.</t>
  </si>
  <si>
    <t>ময়ূরের নৃত্য দেখে ছাতারপাখি নাচে</t>
  </si>
  <si>
    <t>ময়ূরের নাচ দেখে ছাতার পাখি নাচে</t>
  </si>
  <si>
    <t>অনুকরণ</t>
  </si>
  <si>
    <t>A myna dances seeing peacock.</t>
  </si>
  <si>
    <t>মরণকামড় দেওয়া</t>
  </si>
  <si>
    <t>শেষ চেষ্টা</t>
  </si>
  <si>
    <t>Death bite.</t>
  </si>
  <si>
    <t>মরণকালে গঙ্গাজলে/পানে পা২</t>
  </si>
  <si>
    <t>মরণকালে গঙ্গাজলে পা (দ্বিতীয়)</t>
  </si>
  <si>
    <t>শেষে শুদ্ধি</t>
  </si>
  <si>
    <t>Ganga at death.</t>
  </si>
  <si>
    <t>ডুপ্লিকেট - id 6280 রাখা হচ্ছে, এই row বাদ দাও।</t>
  </si>
  <si>
    <t>মরণকালে বুদ্ধিনাশ১</t>
  </si>
  <si>
    <t>মরণকালে বুদ্ধিনাশ</t>
  </si>
  <si>
    <t>মৃত্যুতে বুদ্ধি লোপ</t>
  </si>
  <si>
    <t>At death, wisdom lost.</t>
  </si>
  <si>
    <t>এই প্রবাদের ডুপ্লিকেট আছে (id: 6282, 6283), এটা রাখো (সবচেয়ে ছোট id)।</t>
  </si>
  <si>
    <t>মরণকালে বুদ্ধিনাশ (দ্বিতীয়)</t>
  </si>
  <si>
    <t>শেষে বুদ্ধি</t>
  </si>
  <si>
    <t>Wit fails at death.</t>
  </si>
  <si>
    <t>ডুপ্লিকেট - id 6282 রাখা হচ্ছে, এই row বাদ দাও।</t>
  </si>
  <si>
    <t>মরণকালে হরিনাম১</t>
  </si>
  <si>
    <t>মরণকালে হরিনাম</t>
  </si>
  <si>
    <t>শেষে ঈশ্বর</t>
  </si>
  <si>
    <t>At death, God's name.</t>
  </si>
  <si>
    <t>এই প্রবাদের ডুপ্লিকেট আছে (id: 6284, 6285, 6286), এটা রাখো (সবচেয়ে ছোট id)।</t>
  </si>
  <si>
    <t>মরণকালে হরিনাম২</t>
  </si>
  <si>
    <t>মরণকালে হরিনাম (দ্বিতীয়)</t>
  </si>
  <si>
    <t>শেষ ভক্তি</t>
  </si>
  <si>
    <t>Deathbed devotion.</t>
  </si>
  <si>
    <t>ডুপ্লিকেট - id 6284 রাখা হচ্ছে, এই row বাদ দাও।</t>
  </si>
  <si>
    <t>মরণকালে হরিনাম৩</t>
  </si>
  <si>
    <t>মরণকালে হরিনাম (তৃতীয়)</t>
  </si>
  <si>
    <t>শেষ মুহূর্তে</t>
  </si>
  <si>
    <t>God's name at end.</t>
  </si>
  <si>
    <t>মরণ নাই কোনকালে গোঁফ রেখেছে তোবড়া গালে</t>
  </si>
  <si>
    <t>মরণ নেই, গোঁফ রেখেছে তোবড়া গালে</t>
  </si>
  <si>
    <t>No death, yet mustache on fat cheeks.</t>
  </si>
  <si>
    <t>মরণবাড় বাড়া</t>
  </si>
  <si>
    <t>মৃত্যুপথযাত্রী</t>
  </si>
  <si>
    <t>Heading to death.</t>
  </si>
  <si>
    <t>মরণরে তুঁহু মম শ্যামসমান- রবীন্দ্রনাথ</t>
  </si>
  <si>
    <t>মরণ, তুমি আমার শ্যামের সমান</t>
  </si>
  <si>
    <t>মৃত্যুকে বরণ</t>
  </si>
  <si>
    <t>Death, you are like my Shyam.</t>
  </si>
  <si>
    <t>মরদ কি বাত্ হাতী কি দাঁত</t>
  </si>
  <si>
    <t>মরদের কথা, হাতির দাঁত</t>
  </si>
  <si>
    <t>শক্তিশালী</t>
  </si>
  <si>
    <t>A man's word, an elephant's tusk.</t>
  </si>
  <si>
    <t>মরবার/মরার অবকাশ/ফুরসত নেই</t>
  </si>
  <si>
    <t>মরার অবকাশ নেই</t>
  </si>
  <si>
    <t>ব্যস্ততা</t>
  </si>
  <si>
    <t>No time to die.</t>
  </si>
  <si>
    <t>মরবার/মরার ওষুধ গলায় বেঁধেছে</t>
  </si>
  <si>
    <t>মরার ওষুধ গলায় বেঁধেছে</t>
  </si>
  <si>
    <t>মরতে প্রস্তুত</t>
  </si>
  <si>
    <t>Tied death medicine around neck.</t>
  </si>
  <si>
    <t>মরবে সীতা ঘুচবে দুঃখ</t>
  </si>
  <si>
    <t>মরবে সীতা, ঘুচবে দুঃখ</t>
  </si>
  <si>
    <t>দুঃখের শেষ</t>
  </si>
  <si>
    <t>If Sita dies, sorrow ends.</t>
  </si>
  <si>
    <t>মরমীর মর্মব্যথা একমাত্র মর্মজ্ঞই বুঝতে পারে।</t>
  </si>
  <si>
    <t>মর্মীর ব্যথা মর্মজ্ঞই বোঝে</t>
  </si>
  <si>
    <t>সহৃদয় বোঝে</t>
  </si>
  <si>
    <t>Only the empathetic understand pain.</t>
  </si>
  <si>
    <t>মরাকাকের আবার চড়কের ভয়১</t>
  </si>
  <si>
    <t>মরা কাকের চড়কের ভয়</t>
  </si>
  <si>
    <t>মৃতের ভয় নেই</t>
  </si>
  <si>
    <t>Dead crow fears no festival.</t>
  </si>
  <si>
    <t>নির্ভয়</t>
  </si>
  <si>
    <t>এই প্রবাদের ডুপ্লিকেট আছে (id: 6296, 6297), এটা রাখো (সবচেয়ে ছোট id)।</t>
  </si>
  <si>
    <t>মরা কাকের চড়কের ভয় (দ্বিতীয়)</t>
  </si>
  <si>
    <t>মৃত্যুতে ভয় নেই</t>
  </si>
  <si>
    <t>Dead crow no fear.</t>
  </si>
  <si>
    <t>ডুপ্লিকেট - id 6296 রাখা হচ্ছে, এই row বাদ দাও।</t>
  </si>
  <si>
    <t>মরাকাকের আবার মড়কের ভয়২</t>
  </si>
  <si>
    <t>মরা কাকের মড়কের ভয়</t>
  </si>
  <si>
    <t>Dead crow no dread.</t>
  </si>
  <si>
    <t>মরাগরুর ঘাস কাটা</t>
  </si>
  <si>
    <t>মরা গরুর ঘাস কাটা</t>
  </si>
  <si>
    <t>Cutting grass for dead cow.</t>
  </si>
  <si>
    <t>মরাঘোড়াকে চাবুক মারা</t>
  </si>
  <si>
    <t>মরামালঞ্চে ফুটলো ফুল টেকো মাথায় উঠলো চুল১</t>
  </si>
  <si>
    <t>মরা মালঞ্চে ফুল, টেকো মাথায় চুল</t>
  </si>
  <si>
    <t>Flower on dead garden, hair on bald.</t>
  </si>
  <si>
    <t>এই প্রবাদের ডুপ্লিকেট আছে (id: 6303, 6304), এটা রাখো (সবচেয়ে ছোট id)।</t>
  </si>
  <si>
    <t>মরামালঞ্চে ফুটলো ফুল টেকো মাথায় উঠলো চুল২</t>
  </si>
  <si>
    <t>মরা মালঞ্চে ফুল, টেকো মাথায় চুল (দ্বিতীয়)</t>
  </si>
  <si>
    <t>Bloom on dead, hair on bald.</t>
  </si>
  <si>
    <t>ডুপ্লিকেট - id 6303 রাখা হচ্ছে, এই row বাদ দাও।</t>
  </si>
  <si>
    <t>মরার আগে কাপুরুষ বারবার মরে- সেক্সপীয়ার</t>
  </si>
  <si>
    <t>মরার আগে কাপুরুষ বারবার মরে</t>
  </si>
  <si>
    <t>Cowards die many times before death.</t>
  </si>
  <si>
    <t>কাপুরুষ</t>
  </si>
  <si>
    <t>মরাহাতি লাখটাকা১</t>
  </si>
  <si>
    <t>মরা হাতি লাখ টাকা</t>
  </si>
  <si>
    <t>দামি জিনিস</t>
  </si>
  <si>
    <t>Dead elephant worth lakh.</t>
  </si>
  <si>
    <t>ডুপ্লিকেট - id 466 রাখা হচ্ছে, এই row বাদ দাও।</t>
  </si>
  <si>
    <t>মরাহাতি লাখটাকা২</t>
  </si>
  <si>
    <t>মরা হাতি লাখ টাকা (দ্বিতীয়)</t>
  </si>
  <si>
    <t>মূল্যবান</t>
  </si>
  <si>
    <t>Dead elephant lakh taka.</t>
  </si>
  <si>
    <t>মরে তবু মর্যাদা হারে না</t>
  </si>
  <si>
    <t>মরে তবু মর্যাদা হারায় না</t>
  </si>
  <si>
    <t>ইজ্জত বাঁচে</t>
  </si>
  <si>
    <t>Dies but keeps dignity.</t>
  </si>
  <si>
    <t>মলমের মধ্যে মাছি</t>
  </si>
  <si>
    <t>ছোট ত্রুটি</t>
  </si>
  <si>
    <t>Fly in ointment.</t>
  </si>
  <si>
    <t>মলাট দেখে বই বিচার করো/হয় না</t>
  </si>
  <si>
    <t>মলাট দেখে বই বিচার নয়</t>
  </si>
  <si>
    <t>বাহ্যিক নয়</t>
  </si>
  <si>
    <t>Don't judge book by cover.</t>
  </si>
  <si>
    <t>মশা মারতে কামান দাগা/পাতা</t>
  </si>
  <si>
    <t>মশা মারতে কামান</t>
  </si>
  <si>
    <t>Cannon for mosquito.</t>
  </si>
  <si>
    <t>মশা মারতে গালে চড়</t>
  </si>
  <si>
    <t>Slapping own cheek for mosquito.</t>
  </si>
  <si>
    <t>মশাল নিজে পুড়ে অপরকে আলো দেখায়</t>
  </si>
  <si>
    <t>মশাল নিজে পুড়ে আলো</t>
  </si>
  <si>
    <t>Torch burns to light others.</t>
  </si>
  <si>
    <t>মশালের আগে চেরাগের/প্রদীপের আলো১</t>
  </si>
  <si>
    <t>মশালের আগে প্রদীপের আলো</t>
  </si>
  <si>
    <t>Lamp before torch.</t>
  </si>
  <si>
    <t>মশালের কাছে চেরাগের/প্রদীপের আলো২</t>
  </si>
  <si>
    <t>মশালের কাছে প্রদীপের আলো</t>
  </si>
  <si>
    <t>Light before torch.</t>
  </si>
  <si>
    <t>মহৎ লোকেদের ভাবনা অভিন্ন</t>
  </si>
  <si>
    <t>মহৎদের ভাবনা এক</t>
  </si>
  <si>
    <t>মহৎদের মিল</t>
  </si>
  <si>
    <t>Great minds think alike.</t>
  </si>
  <si>
    <t>মহাজনো যেন গতঃ স পন্থাঃ</t>
  </si>
  <si>
    <t>মহাজন যেভাবে গেছেন সেটাই পথ</t>
  </si>
  <si>
    <t>মহৎকে অনুসরণ</t>
  </si>
  <si>
    <t>The path of the great is the way.</t>
  </si>
  <si>
    <t>মহান মহতেব্য করোতি বিক্রম</t>
  </si>
  <si>
    <t>মহান মহৎ কাজে পরাক্রম</t>
  </si>
  <si>
    <t>মহৎ কাজ</t>
  </si>
  <si>
    <t>Great man acts greatly.</t>
  </si>
  <si>
    <t>মহানপি প্রসঙ্গেন নীচং সেবিতুমিচ্ছতি</t>
  </si>
  <si>
    <t>মহানও প্রসঙ্গে নীচকে সেবা করে</t>
  </si>
  <si>
    <t>অবস্থার চাপে</t>
  </si>
  <si>
    <t>Even great may serve lowly in need.</t>
  </si>
  <si>
    <t>মহানাং বিনয়ো হি ভূষণং</t>
  </si>
  <si>
    <t>মহানের বিনয় ভূষণ</t>
  </si>
  <si>
    <t>Humility is ornament of great.</t>
  </si>
  <si>
    <t>মহাভারত একদিনে রচিত হয়নি</t>
  </si>
  <si>
    <t>মহাভারত একদিনে হয়নি</t>
  </si>
  <si>
    <t>বড় কাজে সময়</t>
  </si>
  <si>
    <t>Mahabharata wasn't written in a day.</t>
  </si>
  <si>
    <t>মাঁগৈ ভিখ, পুঁছৈ গাঁওকা জমা</t>
  </si>
  <si>
    <t>ভিক্ষা চায়, গ্রামের জমা খোঁজে</t>
  </si>
  <si>
    <t>অপ্রাসঙ্গিক</t>
  </si>
  <si>
    <t>Begs, but asks village land revenue.</t>
  </si>
  <si>
    <t>অপ্রাসঙ্গিকতা</t>
  </si>
  <si>
    <t>মাকাল ফল</t>
  </si>
  <si>
    <t>তেতো ও অকেজো</t>
  </si>
  <si>
    <t>Mukal fruit—bitter.</t>
  </si>
  <si>
    <t>তেতো</t>
  </si>
  <si>
    <t>মা কুরু ধনজনযৌবনগর্বং, হরতি নিমেষাৎ কালঃ সর্বা</t>
  </si>
  <si>
    <t>ধন, জন, যৌবনের গর্ব করো না, কাল সব হরণ করে</t>
  </si>
  <si>
    <t>কাল সব নেয়</t>
  </si>
  <si>
    <t>Don't be proud of wealth, people, youth; time steals all.</t>
  </si>
  <si>
    <t>মা গঙ্গা২</t>
  </si>
  <si>
    <t>মা গঙ্গা (দ্বিতীয়)</t>
  </si>
  <si>
    <t>মাতৃরূপা গঙ্গা</t>
  </si>
  <si>
    <t>Mother Ganges.</t>
  </si>
  <si>
    <t>দেবী</t>
  </si>
  <si>
    <t>ডুপ্লিকেট - id 6333 রাখা হচ্ছে, এই row বাদ দাও।</t>
  </si>
  <si>
    <t>মা গুণে ঝি, গাই গুণে ঘি</t>
  </si>
  <si>
    <t>মায়ের গুণে মেয়ে, গাইয়ের গুণে ঘি</t>
  </si>
  <si>
    <t>Mother's quality in daughter, cow's in ghee.</t>
  </si>
  <si>
    <t>মা/মেয়ে</t>
  </si>
  <si>
    <t>মাগের কাছে পেগের বড়াই২</t>
  </si>
  <si>
    <t>স্ত্রীর কাছে পেগের বড়াই (দ্বিতীয়)</t>
  </si>
  <si>
    <t>নিজের দোষ ঢাকা</t>
  </si>
  <si>
    <t>Boast of peg to wife.</t>
  </si>
  <si>
    <t>ডুপ্লিকেট - id 6337 রাখা হচ্ছে, এই row বাদ দাও।</t>
  </si>
  <si>
    <t>মাঘের শীত বাঘের গায় ক্ষীণের শীত সর্বদায়</t>
  </si>
  <si>
    <t>মাঘের শীত বাঘের গায়, দুর্বলের শীত সর্বদা</t>
  </si>
  <si>
    <t>Magh cold on tiger, weak always cold.</t>
  </si>
  <si>
    <t>মাছ চিনে গভীরজল পাখি চিনে উঁচুডাল</t>
  </si>
  <si>
    <t>মাছ চেনে গভীর জল, পাখি উঁচু ডাল</t>
  </si>
  <si>
    <t>নিজের স্থান</t>
  </si>
  <si>
    <t>Fish know deep water, bird high branch.</t>
  </si>
  <si>
    <t>মাছ জালে পড়লে বেশি লাফায়</t>
  </si>
  <si>
    <t>বিপদে অস্থিরতা</t>
  </si>
  <si>
    <t>Fish in net flails.</t>
  </si>
  <si>
    <t>মাছ ধরতে গেলে কাদা সইতে হয়/ গায়ে কাদা লাগে১</t>
  </si>
  <si>
    <t>মাছ ধরতে গেলে কাদা সইতে</t>
  </si>
  <si>
    <t>কাজে কষ্ট</t>
  </si>
  <si>
    <t>To catch fish, bear mud.</t>
  </si>
  <si>
    <t>এই প্রবাদের ডুপ্লিকেট আছে (id: 6343, 6344), এটা রাখো (সবচেয়ে ছোট id)।</t>
  </si>
  <si>
    <t>মাছ ধরতে গেলে কাদা সইতে হয়/ গায়ে কাদা লাগে২</t>
  </si>
  <si>
    <t>মাছ ধরতে গেলে কাদা লাগে (দ্বিতীয়)</t>
  </si>
  <si>
    <t>পরিশ্রমে ময়লা</t>
  </si>
  <si>
    <t>Fishing gets you muddy.</t>
  </si>
  <si>
    <t>ডুপ্লিকেট - id 6343 রাখা হচ্ছে, এই row বাদ দাও।</t>
  </si>
  <si>
    <t>মাছ ধরার আগে মাছ বিক্রি করো না</t>
  </si>
  <si>
    <t>মাছ ধরার আগে বিক্রি নয়</t>
  </si>
  <si>
    <t>অসময় লাভ</t>
  </si>
  <si>
    <t>Don't sell fish before catching.</t>
  </si>
  <si>
    <t>তাড়াহুড়া</t>
  </si>
  <si>
    <t>মাছ না পেয়ে ছিপে কামড</t>
  </si>
  <si>
    <t>মাছ না পেয়ে ছিপে কামড়</t>
  </si>
  <si>
    <t>ক্ষুধার্ত</t>
  </si>
  <si>
    <t>No fish, bites hook.</t>
  </si>
  <si>
    <t>মাছ মরেছে বিড়ালের শোক</t>
  </si>
  <si>
    <t>মাছ মরেছে, বিড়ালের শোক</t>
  </si>
  <si>
    <t>ভণ্ড শোক</t>
  </si>
  <si>
    <t>Fish died, cat mourns.</t>
  </si>
  <si>
    <t>মাছি মারতে কামান দাগা</t>
  </si>
  <si>
    <t>মাছি মারতে কামান</t>
  </si>
  <si>
    <t>Cannon for fly.</t>
  </si>
  <si>
    <t>মাছি মারতে মাস্কেট পরা</t>
  </si>
  <si>
    <t>মাছি মারতে মাস্কেট</t>
  </si>
  <si>
    <t>Muskets for flies.</t>
  </si>
  <si>
    <t>মাছের কাঁটা গলায় বিঁধলে বেড়ালের পায়ে গড়১</t>
  </si>
  <si>
    <t>মাছের কাঁটা গলায়, বিড়ালের পায়ে গড়</t>
  </si>
  <si>
    <t>ভুল সমাধান</t>
  </si>
  <si>
    <t>Fish bone in throat, bowing to cat.</t>
  </si>
  <si>
    <t>এই প্রবাদের ডুপ্লিকেট আছে (id: 6352, 6353), এটা রাখো (সবচেয়ে ছোট id)।</t>
  </si>
  <si>
    <t>মাছের কাঁটা গলায় বিঁধলে বেড়ালের পায়ে গড়২</t>
  </si>
  <si>
    <t>মাছের কাঁটা গলায়, বিড়ালের পায়ে গড় (দ্বিতীয়)</t>
  </si>
  <si>
    <t>Fishbone stuck, worship cat.</t>
  </si>
  <si>
    <t>ডুপ্লিকেট - id 6352 রাখা হচ্ছে, এই row বাদ দাও।</t>
  </si>
  <si>
    <t>মাছের টোপ গেলা</t>
  </si>
  <si>
    <t>প্রলোভনে পড়া</t>
  </si>
  <si>
    <t>Swallow bait.</t>
  </si>
  <si>
    <t>মাছের তেলে মাছ ভাজা২</t>
  </si>
  <si>
    <t>মাছের তেলে মাছ ভাজা (দ্বিতীয়)</t>
  </si>
  <si>
    <t>স্বনির্ভর</t>
  </si>
  <si>
    <t>Fish in its own oil.</t>
  </si>
  <si>
    <t>ডুপ্লিকেট - id 6355 রাখা হচ্ছে, এই row বাদ দাও।</t>
  </si>
  <si>
    <t>মাছের তেলে মাছ ভাজা৩</t>
  </si>
  <si>
    <t>মাছের তেলে মাছ ভাজা (তৃতীয়)</t>
  </si>
  <si>
    <t>লাভে লাভ</t>
  </si>
  <si>
    <t>Fish oil fish.</t>
  </si>
  <si>
    <t>মাছের পচন মাথা থেকে শুরু হয়</t>
  </si>
  <si>
    <t>মাছের পচন মাথা থেকে</t>
  </si>
  <si>
    <t>নেতৃত্বের দোষ</t>
  </si>
  <si>
    <t>Fish rots from head.</t>
  </si>
  <si>
    <t>মাছের মধ্যে রুই শাকের মধ্যে পুঁই</t>
  </si>
  <si>
    <t>মাছের মধ্যে রুই, শাকের মধ্যে পুঁই</t>
  </si>
  <si>
    <t>সেরা</t>
  </si>
  <si>
    <t>Best among fish is rohu, among greens pui.</t>
  </si>
  <si>
    <t>শ্রেষ্ঠতা</t>
  </si>
  <si>
    <t>মাছের মায়ের কান্না/পুত্রশোক২</t>
  </si>
  <si>
    <t>মাছের মায়ের পুত্রশোক</t>
  </si>
  <si>
    <t>সন্তান হারানো</t>
  </si>
  <si>
    <t>Fish mother mourns son.</t>
  </si>
  <si>
    <t>শোক</t>
  </si>
  <si>
    <t>ডুপ্লিকেট - id 6360 রাখা হচ্ছে, এই row বাদ দাও।</t>
  </si>
  <si>
    <t>মাছের শোকে বিড়াল কাঁদে</t>
  </si>
  <si>
    <t>Cat weeps for fish.</t>
  </si>
  <si>
    <t>মাজো, ঘষো, কর ক্ষয়, কালো কি কখনো ধলো হয়২</t>
  </si>
  <si>
    <t>মাজো ঘষো, কালো কি সাদা হয় (দ্বিতীয়)</t>
  </si>
  <si>
    <t>জাত বদলায় না</t>
  </si>
  <si>
    <t>Rub, black never white.</t>
  </si>
  <si>
    <t>ডুপ্লিকেট - id 6363 রাখা হচ্ছে, এই row বাদ দাও।</t>
  </si>
  <si>
    <t>মাটির মানুষ</t>
  </si>
  <si>
    <t>সরল</t>
  </si>
  <si>
    <t>Man of clay.</t>
  </si>
  <si>
    <t>মাঠে ধান ভাত চড়াও</t>
  </si>
  <si>
    <t>Paddy field, rice cooking.</t>
  </si>
  <si>
    <t>মাঠে মারা গেল১</t>
  </si>
  <si>
    <t>মাঠে মারা গেল</t>
  </si>
  <si>
    <t>মাঠে মৃত্যু</t>
  </si>
  <si>
    <t>Died in field.</t>
  </si>
  <si>
    <t>এই প্রবাদের ডুপ্লিকেট আছে (id: 6368, 6369), এটা রাখো (সবচেয়ে ছোট id)।</t>
  </si>
  <si>
    <t>মাঠে মারা গেল২</t>
  </si>
  <si>
    <t>মাঠে মারা গেল (দ্বিতীয়)</t>
  </si>
  <si>
    <t>অকর্ম</t>
  </si>
  <si>
    <t>ডুপ্লিকেট - id 6368 রাখা হচ্ছে, এই row বাদ দাও।</t>
  </si>
  <si>
    <t>মাণিকে মাণিক চেনে রসিকে চেনে রসিক২</t>
  </si>
  <si>
    <t>মাণিকে মাণিক চেনে, রসিকে রসিক (দ্বিতীয়)</t>
  </si>
  <si>
    <t>বিশেষজ্ঞ</t>
  </si>
  <si>
    <t>A jewel knows jewel.</t>
  </si>
  <si>
    <t>ডুপ্লিকেট - id 6370 রাখা হচ্ছে, এই row বাদ দাও।</t>
  </si>
  <si>
    <t>মাতঙ্গ পড়িলে দহে পতঙ্গ লাথি মারে২</t>
  </si>
  <si>
    <t>হাতি পড়লে পতঙ্গ লাথি (দ্বিতীয়)</t>
  </si>
  <si>
    <t>সুযোগে আক্রমণ</t>
  </si>
  <si>
    <t>Insect kicks fallen elephant.</t>
  </si>
  <si>
    <t>ডুপ্লিকেট - id 6373 রাখা হচ্ছে, এই row বাদ দাও।</t>
  </si>
  <si>
    <t>মাতৃদোষে শিশু নষ্ট</t>
  </si>
  <si>
    <t>মায়ের দোষে শিশু নষ্ট</t>
  </si>
  <si>
    <t>মায়ের প্রভাব</t>
  </si>
  <si>
    <t>Child spoiled by mother's fault.</t>
  </si>
  <si>
    <t>মাথা কাপুড়ে লোক</t>
  </si>
  <si>
    <t>নত মাথা</t>
  </si>
  <si>
    <t>One with covered head.</t>
  </si>
  <si>
    <t>মাথা ঢাকলে (চাদরে) পা ঢাকে না, পা ঢাকলে মাথা ঢাকে না</t>
  </si>
  <si>
    <t>মাথা ঢাকলে পা ঢাকে না</t>
  </si>
  <si>
    <t>সংকট</t>
  </si>
  <si>
    <t>Cover head, feet uncovered; cover feet, head uncovered.</t>
  </si>
  <si>
    <t>মাথা নেই, মাথাব্যথা</t>
  </si>
  <si>
    <t>অকারণ চিন্তা</t>
  </si>
  <si>
    <t>No head, but headache.</t>
  </si>
  <si>
    <t>ডুপ্লিকেট - id 4 রাখা হচ্ছে, এই row বাদ দাও।</t>
  </si>
  <si>
    <t>মাথা মুড়িয়ে ঘোল ঢালা</t>
  </si>
  <si>
    <t>Shave head and pour buttermilk.</t>
  </si>
  <si>
    <t>মাথায় পা দেওয়া১</t>
  </si>
  <si>
    <t>মাথায় পা দেওয়া</t>
  </si>
  <si>
    <t>Put foot on head.</t>
  </si>
  <si>
    <t>এই প্রবাদের ডুপ্লিকেট আছে (id: 6383, 6384), এটা রাখো (সবচেয়ে ছোট id)।</t>
  </si>
  <si>
    <t>মাথায় পা দেওয়া২</t>
  </si>
  <si>
    <t>মাথায় পা দেওয়া (দ্বিতীয়)</t>
  </si>
  <si>
    <t>Trample head.</t>
  </si>
  <si>
    <t>ডুপ্লিকেট - id 6383 রাখা হচ্ছে, এই row বাদ দাও।</t>
  </si>
  <si>
    <t>মাথায় রাখলে উকুনে খায় ভূঁয়ে রাখলে পিঁপড়েতে খায়২</t>
  </si>
  <si>
    <t>মাথায় উকুন, মাটিতে পিঁপড়ে (দ্বিতীয়)</t>
  </si>
  <si>
    <t>দুর্দশা</t>
  </si>
  <si>
    <t>No place safe.</t>
  </si>
  <si>
    <t>ডুপ্লিকেট - id 6385 রাখা হচ্ছে, এই row বাদ দাও।</t>
  </si>
  <si>
    <t>মাথার ঘায়ে কুকুর পাগল</t>
  </si>
  <si>
    <t>মাথার ক্ষত</t>
  </si>
  <si>
    <t>A dog gone mad from head wound.</t>
  </si>
  <si>
    <t>মান আর হুঁস থাকলে মানুষ হয়- রামকৃষ্ণ</t>
  </si>
  <si>
    <t>মান ও হুঁশ থাকলে মানুষ</t>
  </si>
  <si>
    <t>মানুষের পরিচয়</t>
  </si>
  <si>
    <t>To be human, need honor and sense.</t>
  </si>
  <si>
    <t>মান বড় না প্রাণ বড়</t>
  </si>
  <si>
    <t>মান না প্রাণ?</t>
  </si>
  <si>
    <t>Which greater, honor or life?</t>
  </si>
  <si>
    <t>প্রশ্ন</t>
  </si>
  <si>
    <t>মানলে শিব, না মানলে শিলা</t>
  </si>
  <si>
    <t>মানলে শিব, না মানলে পাথর</t>
  </si>
  <si>
    <t>If you believe, it's Shiva; if not, stone.</t>
  </si>
  <si>
    <t>মা নাই যার ঘাটে না নাই তার</t>
  </si>
  <si>
    <t>মা নাই যার, ঘাটে না নাই তার</t>
  </si>
  <si>
    <t>মায়ের অভাব</t>
  </si>
  <si>
    <t>One without mother has nothing at ghat.</t>
  </si>
  <si>
    <t>মানুষ অভ্যাসের দাস/বশ</t>
  </si>
  <si>
    <t>মানুষ অভ্যাসের দাস</t>
  </si>
  <si>
    <t>Man is slave of habit.</t>
  </si>
  <si>
    <t>মানুষ আর মহামানুষের মধ্যে পার্থক্য শুধু মনুষ্যত্বের</t>
  </si>
  <si>
    <t>মানুষ ও মহামানুষের পার্থক্য মনুষ্যত্ব</t>
  </si>
  <si>
    <t>মনুষ্যত্ব</t>
  </si>
  <si>
    <t>Difference between man and great man is humanity.</t>
  </si>
  <si>
    <t>মানুষ ইচ্ছা করে বিধাতা পূরণ করে</t>
  </si>
  <si>
    <t>মানুষ ইচ্ছা করে, বিধাতা পূরণ করে</t>
  </si>
  <si>
    <t>Man wishes, God fulfills.</t>
  </si>
  <si>
    <t>মানুষ একবারইমাত্র মরে</t>
  </si>
  <si>
    <t>মানুষ একবারই মরে</t>
  </si>
  <si>
    <t>মৃত্যু একবার</t>
  </si>
  <si>
    <t>Man dies once.</t>
  </si>
  <si>
    <t>মানুষ কর্মে বাঁচে বর্ষে নয়</t>
  </si>
  <si>
    <t>মানুষ কর্মে বাঁচে, বছর নয়</t>
  </si>
  <si>
    <t>কর্মই জীবন</t>
  </si>
  <si>
    <t>Man lives by deeds, not years.</t>
  </si>
  <si>
    <t>মানুষ ক্ষমতার বাইরে কিছু করতে পারে না</t>
  </si>
  <si>
    <t>মানুষ ক্ষমতার বাইরে পারে না</t>
  </si>
  <si>
    <t>সামর্থ্য</t>
  </si>
  <si>
    <t>Man cannot exceed his capacity.</t>
  </si>
  <si>
    <t>মানুষ খড়কুটো পেলেও আঁকড়ে ধরে</t>
  </si>
  <si>
    <t>মানুষ খড়কুটোও আঁকড়ে</t>
  </si>
  <si>
    <t>বিপদে সামান্য</t>
  </si>
  <si>
    <t>A drowning man grasps straw.</t>
  </si>
  <si>
    <t>মানুষ গড়ে বিধাতা ভাঙে</t>
  </si>
  <si>
    <t>মানুষ গড়ে, বিধাতা ভাঙে</t>
  </si>
  <si>
    <t>Man builds, God breaks.</t>
  </si>
  <si>
    <t>মানুষ জন্মগতভাবে স্বাধীন, কিন্তু সর্বত্রই সে শৃঙ্খলিত</t>
  </si>
  <si>
    <t>মানুষ জন্মে স্বাধীন, কিন্তু শৃঙ্খলিত</t>
  </si>
  <si>
    <t>Man born free, everywhere in chains.</t>
  </si>
  <si>
    <t>ডুপ্লিকেট - id 329 রাখা হচ্ছে, এই row বাদ দাও।</t>
  </si>
  <si>
    <t>মানুষ নিজের ভাগ্য নিজেই গড়ে</t>
  </si>
  <si>
    <t>মানুষ নিজের ভাগ্য গড়ে</t>
  </si>
  <si>
    <t>Man makes his own fate.</t>
  </si>
  <si>
    <t>মানুষ প্রবৃত্তির দাস/বশ</t>
  </si>
  <si>
    <t>মানুষ প্রবৃত্তির দাস</t>
  </si>
  <si>
    <t>Man is slave of instincts.</t>
  </si>
  <si>
    <t>মানুষ বনে গেলে বনমানুষ হয়</t>
  </si>
  <si>
    <t>মানুষ বনে গেলে বনমানুষ</t>
  </si>
  <si>
    <t>পরিবেশ</t>
  </si>
  <si>
    <t>Man in forest becomes wild.</t>
  </si>
  <si>
    <t>মানুষ বাঁচে তার কর্মে বয়সে নয়</t>
  </si>
  <si>
    <t>মানুষ কর্মে বাঁচে, বয়সে নয়</t>
  </si>
  <si>
    <t>Man lives by work, not age.</t>
  </si>
  <si>
    <t>ডুপ্লিকেট - id 331 রাখা হচ্ছে, এই row বাদ দাও।</t>
  </si>
  <si>
    <t>মানুষ ভগ্নাংশের মত; লব সে নিজে, হর নিজেেকে সে যা ভাবে</t>
  </si>
  <si>
    <t>মানুষ ভগ্নাংশ, লব নিজে, হর সে যা ভাবে</t>
  </si>
  <si>
    <t>আত্মমূল্য</t>
  </si>
  <si>
    <t>Man is fraction; numerator is himself, denominator what he thinks.</t>
  </si>
  <si>
    <t>মানুষ ভাবে এক, হয় আরেক</t>
  </si>
  <si>
    <t>মানুষ ভাবে এক, হয় অন্য</t>
  </si>
  <si>
    <t>অনিশ্চিত</t>
  </si>
  <si>
    <t>Man proposes, God disposes.</t>
  </si>
  <si>
    <t>মানুষ মনের ভাব লুকাতে পারে না</t>
  </si>
  <si>
    <t>প্রকাশ</t>
  </si>
  <si>
    <t>Can't hide feelings.</t>
  </si>
  <si>
    <t>মানুষ মানুষের কাছে অচেনা- ভাবে আসে, চরিত্রগুণে মানুষ সবার চোখে বাসে</t>
  </si>
  <si>
    <t>মানুষ অচেনা, চরিত্রে চেনা</t>
  </si>
  <si>
    <t>Man is stranger until known by character.</t>
  </si>
  <si>
    <t>মানুষ মানুষের জন্য জীবন জীবনের জন্য</t>
  </si>
  <si>
    <t>মানুষ মানুষের জন্য, জীবন জীবনের জন্য</t>
  </si>
  <si>
    <t>পারস্পরিকতা</t>
  </si>
  <si>
    <t>Man for man, life for life.</t>
  </si>
  <si>
    <t>সমাজ</t>
  </si>
  <si>
    <t>মানুষ মারে আর শুধু মরে- রবীন্দ্রনাথ</t>
  </si>
  <si>
    <t>মানুষ মারে আর শুধু মরে</t>
  </si>
  <si>
    <t>মানুষের জীবন</t>
  </si>
  <si>
    <t>Man kills and only dies.</t>
  </si>
  <si>
    <t>মানুষ রোগে পড়লে ভক্তিমান হয়</t>
  </si>
  <si>
    <t>মানুষ রোগে পড়লে ভক্তিমান</t>
  </si>
  <si>
    <t>In illness, man becomes devout.</t>
  </si>
  <si>
    <t>মানুষ সংকল্প করে, বিধাতা মীমাংসা করে</t>
  </si>
  <si>
    <t>মানুষ সংকল্প, বিধাতা মীমাংসা</t>
  </si>
  <si>
    <t>Man plans, God decides.</t>
  </si>
  <si>
    <t>মানুষকে সম্মান করলে তার হৃদয়-দরজার চাবি পাওয়া যায়</t>
  </si>
  <si>
    <t>মানুষকে সম্মান করলে হৃদয়ের চাবি</t>
  </si>
  <si>
    <t>Respect opens hearts.</t>
  </si>
  <si>
    <t>মানুষমাত্রই ভুল করে</t>
  </si>
  <si>
    <t>মানুষ মাত্রই ভুল করে</t>
  </si>
  <si>
    <t>To err is human.</t>
  </si>
  <si>
    <t>মানুষ যেদিন পূর্ণাঙ্গ হবে সেদিন মন্দির মসজিদের শেষপাথর শেষ পুরোহিত, মোল্লার মাথায় ভেঙে পড়বে</t>
  </si>
  <si>
    <t>মানুষ পূর্ণাঙ্গ হলে ধর্মীয় ভেদ শেষ</t>
  </si>
  <si>
    <t>When man perfect, temples and mosques crumble on last priest.</t>
  </si>
  <si>
    <t>মানুষে মানুষ চেনে, শূয়োরে চেনে কচু</t>
  </si>
  <si>
    <t>মানুষে মানুষ চেনে, শূয়োরে কচু</t>
  </si>
  <si>
    <t>Man knows man, pig knows tuber.</t>
  </si>
  <si>
    <t>মানুষের অন্ততঃ কৌতূহলের জন্য বেঁচে থাকা উচিত</t>
  </si>
  <si>
    <t>মানুষের কৌতূহলের জন্য বাঁচা</t>
  </si>
  <si>
    <t>কৌতূহল</t>
  </si>
  <si>
    <t>Man should live at least for curiosity.</t>
  </si>
  <si>
    <t>মানুষের চিন্তাই জ্বর</t>
  </si>
  <si>
    <t>Man's worry is fever.</t>
  </si>
  <si>
    <t>মানুষের সঙ্গ মানুষ চেনায়</t>
  </si>
  <si>
    <t>Company reveals man.</t>
  </si>
  <si>
    <t>মানে মানে বেঁচে/ভাল আছি</t>
  </si>
  <si>
    <t>মানে মানে ভালো আছি</t>
  </si>
  <si>
    <t>সম্মানে বাঁচা</t>
  </si>
  <si>
    <t>I live well with honor.</t>
  </si>
  <si>
    <t>মানে মানে থাকলে ভাল</t>
  </si>
  <si>
    <t>মানে মানে থাকলে ভালো</t>
  </si>
  <si>
    <t>সম্মান বজায়</t>
  </si>
  <si>
    <t>It's good to live with honor.</t>
  </si>
  <si>
    <t>মানের গোড়ায় ছাই</t>
  </si>
  <si>
    <t>সম্মান লোপ</t>
  </si>
  <si>
    <t>Ashes at root of honor.</t>
  </si>
  <si>
    <t>মান্ধাতার আমলের কথা</t>
  </si>
  <si>
    <t>প্রাচীন</t>
  </si>
  <si>
    <t>Days of Mandhata.</t>
  </si>
  <si>
    <t>মা পুরুষতন্ত্রের শ্রেষ্ঠ শহীদ</t>
  </si>
  <si>
    <t>নারীর ত্যাগ</t>
  </si>
  <si>
    <t>Mother is greatest martyr of patriarchy.</t>
  </si>
  <si>
    <t>মাপো তিনবার, কাটো একবার</t>
  </si>
  <si>
    <t>তিনবার মাপো, একবার কাটো</t>
  </si>
  <si>
    <t>Measure thrice, cut once.</t>
  </si>
  <si>
    <t>মা বলেছে আমার নাকি মাথা ধরেছে</t>
  </si>
  <si>
    <t>মা বলেছে আমার মাথা ধরেছে</t>
  </si>
  <si>
    <t>মায়ের অজুহাত</t>
  </si>
  <si>
    <t>Mother says she has headache.</t>
  </si>
  <si>
    <t>মা বেচে খায় কলমি শাক, ছেলের মাথায় ফরমেশে পাগ</t>
  </si>
  <si>
    <t>মা কলমি শাক খায়, ছেলের পাগ</t>
  </si>
  <si>
    <t>মায়ের ত্যাগ</t>
  </si>
  <si>
    <t>Mother eats cheap greens, son wears fancy turban.</t>
  </si>
  <si>
    <t>মা ব্রুয়াৎ সত্যম অপ্রিয়ম</t>
  </si>
  <si>
    <t>মা অপ্রিয় সত্য বলুন</t>
  </si>
  <si>
    <t>সত্য বলুন</t>
  </si>
  <si>
    <t>Mother speaks unpleasant truth.</t>
  </si>
  <si>
    <t>মামা কানা, আমি চোখে দেখিনে</t>
  </si>
  <si>
    <t>মামা কানা, আমি চোখে দেখি না</t>
  </si>
  <si>
    <t>দুই অক্ষম</t>
  </si>
  <si>
    <t>Uncle blind, I don't see.</t>
  </si>
  <si>
    <t>মামা কানা, আমি চোখে ঝাপসা দেখি</t>
  </si>
  <si>
    <t>মামা কানা, আমি ঝাপসা</t>
  </si>
  <si>
    <t>Uncle blind, I see blurry.</t>
  </si>
  <si>
    <t>মামার জয়</t>
  </si>
  <si>
    <t>মামা জিতেছে</t>
  </si>
  <si>
    <t>Uncle wins.</t>
  </si>
  <si>
    <t>মামীর মায়ের বকুল- ফুলের বোনপো-বউয়ের বোনঝি-জামাই</t>
  </si>
  <si>
    <t>মামীর মায়ের বকুল ফুলের বোনপো...</t>
  </si>
  <si>
    <t>জটিল সম্পর্ক</t>
  </si>
  <si>
    <t>Aunt's mother's bakul flower's nephew's wife's niece's husband.</t>
  </si>
  <si>
    <t>মায়ে ঝিয়ে কোন্দল কোন্দল নয়, সকালের বাদল বাদল নয়</t>
  </si>
  <si>
    <t>মা-ঝিয়ে ঝগড়া, সকালের বৃষ্টি</t>
  </si>
  <si>
    <t>তুচ্ছ ঝগড়া</t>
  </si>
  <si>
    <t>Mother-daughter quarrel, morning rain—not serious.</t>
  </si>
  <si>
    <t>মায়ের অগোচরে বাপ নেই মনের অগোচরে পাপ নেই</t>
  </si>
  <si>
    <t>মায়ের অগোচরে বাপ নেই, মনের অগোচরে পাপ নেই</t>
  </si>
  <si>
    <t>মা ও মন জানে</t>
  </si>
  <si>
    <t>No father unknown to mother, no sin unknown to mind.</t>
  </si>
  <si>
    <t>মায়ের চেয়ে মাসি মিঠে</t>
  </si>
  <si>
    <t>মায়ের চেয়ে মাসি মিষ্টি</t>
  </si>
  <si>
    <t>পরের আদর</t>
  </si>
  <si>
    <t>Aunt sweeter than mother.</t>
  </si>
  <si>
    <t>মাসি</t>
  </si>
  <si>
    <t>মায়ের চেয়ে মাসীর দরদ বেশি</t>
  </si>
  <si>
    <t>Aunt cares more than mother.</t>
  </si>
  <si>
    <t>মায়ের ছা রায় বর্তায়</t>
  </si>
  <si>
    <t>মায়ের সন্তান সূর্যের মতো</t>
  </si>
  <si>
    <t>মায়ের সন্তান</t>
  </si>
  <si>
    <t>Mother's child thrives like sun.</t>
  </si>
  <si>
    <t>মায়ের নাম পোঁটাচুন্নি ছেলের নাম চন্দনবিলাস১</t>
  </si>
  <si>
    <t>মায়ের নাম পোঁটাচুন্নি, ছেলের নাম চন্দনবিলাস</t>
  </si>
  <si>
    <t>বেমানান নাম</t>
  </si>
  <si>
    <t>Mother named simple, son named grand.</t>
  </si>
  <si>
    <t>এই প্রবাদের ডুপ্লিকেট আছে (id: 6446, 6447), এটা রাখো (সবচেয়ে ছোট id)।</t>
  </si>
  <si>
    <t>মায়ের নাম পোঁটাচুন্নি, ছেলের নাম চন্দনবিলাস (দ্বিতীয়)</t>
  </si>
  <si>
    <t>Mother common, son fancy name.</t>
  </si>
  <si>
    <t>ডুপ্লিকেট - id 6446 রাখা হচ্ছে, এই row বাদ দাও।</t>
  </si>
  <si>
    <t>মায়ের নাম ফেকুবাঁদী পুতের নাম সুলতান খাঁ</t>
  </si>
  <si>
    <t>মায়ের নাম ফেকুবাঁদী, পুতের নাম সুলতান</t>
  </si>
  <si>
    <t>Mother simple, son sultan.</t>
  </si>
  <si>
    <t>মায়ের পেটে ভাত নাই, বউয়ের গলায় চন্দ্রহার</t>
  </si>
  <si>
    <t>মায়ের পেটে ভাত নেই, বউয়ের গলায় চন্দ্রহার</t>
  </si>
  <si>
    <t>Mother starves, wife wears necklace.</t>
  </si>
  <si>
    <t>মায়ের পেটের ভাই কোথায় গেলে পাই</t>
  </si>
  <si>
    <t>মায়ের পেটের ভাই কোথায় পাই</t>
  </si>
  <si>
    <t>সহোদরের মূল্য</t>
  </si>
  <si>
    <t>Where else find own brother?</t>
  </si>
  <si>
    <t>ভাই</t>
  </si>
  <si>
    <t>মায়ের বোন মাসি কাদায় ফেলে ঠাসি বাপের বোন পিসি ভাতকাপড় দে পুষি</t>
  </si>
  <si>
    <t>মায়ের বোন মাসি অবহেলা, বাপের বোন পিসি আদর</t>
  </si>
  <si>
    <t>Mother's sister neglected, father's sister fed.</t>
  </si>
  <si>
    <t>মায়ের শাসনই আসল শাসন, আর সব দুঃশাসন</t>
  </si>
  <si>
    <t>মায়ের শাসনই আসল শাসন</t>
  </si>
  <si>
    <t>মায়ের শাসন</t>
  </si>
  <si>
    <t>Mother's discipline is real.</t>
  </si>
  <si>
    <t>মারা তীর ফেরে না</t>
  </si>
  <si>
    <t>ছোড়া তীর ফেরে না</t>
  </si>
  <si>
    <t>কথা ফেরে না</t>
  </si>
  <si>
    <t>A shot arrow doesn't return.</t>
  </si>
  <si>
    <t>মারি তো গণ্ডার/হাতী লুটি তো ভাণ্ডার১</t>
  </si>
  <si>
    <t>মারি তো গণ্ডার/হাতি, লুটি তো ভাণ্ডার</t>
  </si>
  <si>
    <t>Kill rhino/elephant, loot treasure.</t>
  </si>
  <si>
    <t>এই প্রবাদের ডুপ্লিকেট আছে (id: 6457, 6458), এটা রাখো (সবচেয়ে ছোট id)।</t>
  </si>
  <si>
    <t>মারি তো গণ্ডার/হাতী লুটি তো ভাণ্ডার২</t>
  </si>
  <si>
    <t>মারি তো গণ্ডার/হাতি, লুটি তো ভাণ্ডার (দ্বিতীয়)</t>
  </si>
  <si>
    <t>বড় লক্ষ্য</t>
  </si>
  <si>
    <t>Hunt big, gain big.</t>
  </si>
  <si>
    <t>উচ্চাকাঙ্ক্ষা</t>
  </si>
  <si>
    <t>ডুপ্লিকেট - id 6457 রাখা হচ্ছে, এই row বাদ দাও।</t>
  </si>
  <si>
    <t>মারীচের দশা/মরণ/মায়া</t>
  </si>
  <si>
    <t>মারীচের দশা/মরণ</t>
  </si>
  <si>
    <t>ভয়ানক পরিণতি</t>
  </si>
  <si>
    <t>Marich's fate.</t>
  </si>
  <si>
    <t>মারের উপর ওষুধ নাই</t>
  </si>
  <si>
    <t>মারের উপর ওষুধ নেই</t>
  </si>
  <si>
    <t>মারাত্মক</t>
  </si>
  <si>
    <t>No medicine for blows.</t>
  </si>
  <si>
    <t>নিরুপায়</t>
  </si>
  <si>
    <t>মাসীর যদি গোঁফ থাকত, তবে সে মেসো হত</t>
  </si>
  <si>
    <t>মাসির গোঁফ থাকলে সে মেসো হত</t>
  </si>
  <si>
    <t>লিঙ্গ নির্ধারণ</t>
  </si>
  <si>
    <t>If aunt had a moustache, she'd be uncle</t>
  </si>
  <si>
    <t>মিছে কথা সেঁচা জল বেশিক্ষণ নয়</t>
  </si>
  <si>
    <t>মিথ্যা কথা সেঁচা জল বেশিক্ষণ থাকে না</t>
  </si>
  <si>
    <t>মিথ্যা টেকে না</t>
  </si>
  <si>
    <t>False words and strained water don't last</t>
  </si>
  <si>
    <t>মিছে ডুমুর বড়াই করে পাকলে ডুমর ঝরে পড়ে</t>
  </si>
  <si>
    <t>মিছে ডুমুর বড়াই করে, পাকলে ঝরে পড়ে</t>
  </si>
  <si>
    <t>অহংকারী পতন</t>
  </si>
  <si>
    <t>The fig boasts, but falls when ripe</t>
  </si>
  <si>
    <t>মিঞা থেকে মিঞার ডিঙি ভারী</t>
  </si>
  <si>
    <t>মিঞার চেয়ে মিঞার ডিঙি ভারী</t>
  </si>
  <si>
    <t>অনুষঙ্গ বড়</t>
  </si>
  <si>
    <t>The dinghy is heavier than the man</t>
  </si>
  <si>
    <t>মিড়মিড়ে আলো আর নিড়বিড়ে বউ দুইই সমান</t>
  </si>
  <si>
    <t>মৃদু আলো আর চুপচাপ বউ সমান</t>
  </si>
  <si>
    <t>নিস্তেজ জিনিস</t>
  </si>
  <si>
    <t>Dim light and a silent wife are alike</t>
  </si>
  <si>
    <t>মিত ভোজনে স্বাস্থ্যলাভ</t>
  </si>
  <si>
    <t>পরিমিত খেলে স্বাস্থ্য</t>
  </si>
  <si>
    <t>Moderate eating brings health</t>
  </si>
  <si>
    <t>মিথ্যা, ডাহামিথ্যা, স্ট্যাটিসটিক্স- রবীন্দ্রনাথ</t>
  </si>
  <si>
    <t>মিথ্যা, ডাহা মিথ্যা, পরিসংখ্যান</t>
  </si>
  <si>
    <t>মিথ্যার স্তর</t>
  </si>
  <si>
    <t>Lies, damned lies, statistics</t>
  </si>
  <si>
    <t>মিথ্যা</t>
  </si>
  <si>
    <t>মিলেতো ভালা না মিললে একলা একলা ভালা</t>
  </si>
  <si>
    <t>মিললে ভালো, না মিললে একা ভালো</t>
  </si>
  <si>
    <t>সঙ্গ নয়</t>
  </si>
  <si>
    <t>Good if united, else good alone</t>
  </si>
  <si>
    <t>মিষ্টি কথায় জগৎ তুষ্ট</t>
  </si>
  <si>
    <t>মিষ্টি কথায় জগৎ খুশি</t>
  </si>
  <si>
    <t>মিষ্টি কথা</t>
  </si>
  <si>
    <t>Sweet words please the world</t>
  </si>
  <si>
    <t>মিষ্টি হইয়ো না সবাই খাবে, তিক্ত হইয়ো না সবাই থুতু ছিটাবে</t>
  </si>
  <si>
    <t>অতিমিষ্টি নয়, অতিতিক্ত নয়</t>
  </si>
  <si>
    <t>Don't be too sweet or all will eat; too bitter or all will spit</t>
  </si>
  <si>
    <t>মুক্তা-দাঁতী, হরিণ-চোখী, লম্বা মাথার চুল, সেই নারী করিলে বিয়া ঘরে ফুটে ফুল</t>
  </si>
  <si>
    <t>মুক্তার দাঁত, হরিণের চোখ, লম্বা চুলের নারী বিয়ে করলে ঘরে ফুল ফোটে</t>
  </si>
  <si>
    <t>সুন্দরী স্ত্রী</t>
  </si>
  <si>
    <t>Marrying a woman with pearl teeth, deer eyes, long hair brings flowers to home</t>
  </si>
  <si>
    <t>মুখখানি যেন ক্ষুরের ধার</t>
  </si>
  <si>
    <t>মুখখানি ক্ষুরের ধার</t>
  </si>
  <si>
    <t>তীক্ষ্ণ কথা</t>
  </si>
  <si>
    <t>Face like a razor's edge</t>
  </si>
  <si>
    <t>মুখখানি যেন তলোহাঁড়ি (মাটির বড়হাঁড়ি)</t>
  </si>
  <si>
    <t>মুখখানি তলোহাঁড়ি</t>
  </si>
  <si>
    <t>মুখ বড়</t>
  </si>
  <si>
    <t>Face like a large earthen pot</t>
  </si>
  <si>
    <t>চেহারা</t>
  </si>
  <si>
    <t>মুখখানি যেন ভাজনা খোলা</t>
  </si>
  <si>
    <t>মুখখানি ভাজনা খোলা</t>
  </si>
  <si>
    <t>মুখ বিশাল</t>
  </si>
  <si>
    <t>Face like a frying pan</t>
  </si>
  <si>
    <t>মুখচোরা বামুন, কেশোরোগী চোর</t>
  </si>
  <si>
    <t>লুকানো দোষ</t>
  </si>
  <si>
    <t>A silent Brahmin, a leprosy-stricken thief</t>
  </si>
  <si>
    <t>মুখ না থাকলে শিয়ালে খেতো২</t>
  </si>
  <si>
    <t>মুখ না থাকলে শিয়াল খেত (দ্বিতীয়)</t>
  </si>
  <si>
    <t>মুখ গোপন</t>
  </si>
  <si>
    <t>Without face, jackal would eat</t>
  </si>
  <si>
    <t>ডুপ্লিকেট - id 6499 রাখা হচ্ছে, এই row বাদ দাও।</t>
  </si>
  <si>
    <t>মুখ বড় মিঠে, নিম-নিসিন্দে পেটে</t>
  </si>
  <si>
    <t>মুখে মিষ্টি, পেটে তিতা</t>
  </si>
  <si>
    <t>Sweet mouth, bitter belly</t>
  </si>
  <si>
    <t>মুখ বন্ধ কান খোলা রাখ</t>
  </si>
  <si>
    <t>মুখ বন্ধ, কান খোলা</t>
  </si>
  <si>
    <t>শোন বেশি বল কম</t>
  </si>
  <si>
    <t>Keep mouth shut, ears open</t>
  </si>
  <si>
    <t>মুখ মনের আয়না/মুকুর</t>
  </si>
  <si>
    <t>মুখ মনের আয়না</t>
  </si>
  <si>
    <t>মুখে মনের ভাব</t>
  </si>
  <si>
    <t>Face is mirror of mind</t>
  </si>
  <si>
    <t>মুখে এক মনে আর/আরেক</t>
  </si>
  <si>
    <t>মুখে এক, মনে অন্য</t>
  </si>
  <si>
    <t>One on lips, another in mind</t>
  </si>
  <si>
    <t>মুখে মধু মনে বিষ</t>
  </si>
  <si>
    <t>মুখে মধু, মনে বিষ</t>
  </si>
  <si>
    <t>Honey on lips, poison in mind</t>
  </si>
  <si>
    <t>মুখে মধু হৃদে ছুরি</t>
  </si>
  <si>
    <t>মুখে মধু, হৃদয়ে ছুরি</t>
  </si>
  <si>
    <t>Honey on mouth, knife in heart</t>
  </si>
  <si>
    <t>মুখে চুণকালি</t>
  </si>
  <si>
    <t>Blacken face</t>
  </si>
  <si>
    <t>মুখের কথা ফেরেনা</t>
  </si>
  <si>
    <t>মুখের কথা ফেরে না</t>
  </si>
  <si>
    <t>Words never return</t>
  </si>
  <si>
    <t>মুখে রাজা উজির মারা</t>
  </si>
  <si>
    <t>কথায় বীরত্ব</t>
  </si>
  <si>
    <t>Killing kings and ministers in words</t>
  </si>
  <si>
    <t>বাচাল</t>
  </si>
  <si>
    <t>মুখে রামনাম বগলে ছুরি</t>
  </si>
  <si>
    <t>মুখে রামনাম, বগলে ছুরি</t>
  </si>
  <si>
    <t>Ram's name on lips, knife under arm</t>
  </si>
  <si>
    <t>মুখে হরি বল হাতে কাজ কর১</t>
  </si>
  <si>
    <t>মুখে হরি বল, হাতে কাজ কর</t>
  </si>
  <si>
    <t>ভক্তি ও কর্ম</t>
  </si>
  <si>
    <t>Say Hari, work with hands</t>
  </si>
  <si>
    <t>এই প্রবাদের ডুপ্লিকেট আছে (id: 6512, 6513), এটা রাখো (সবচেয়ে ছোট id)।</t>
  </si>
  <si>
    <t>মুখে হরি বল হাতে কাজ কর২</t>
  </si>
  <si>
    <t>মুখে হরি বল, হাতে কাজ কর (দ্বিতীয়)</t>
  </si>
  <si>
    <t>কর্মযোগ</t>
  </si>
  <si>
    <t>Chant Hari, do work</t>
  </si>
  <si>
    <t>ডুপ্লিকেট - id 6512 রাখা হচ্ছে, এই row বাদ দাও।</t>
  </si>
  <si>
    <t>মুচির নেই নাক শুঁড়ির নেই কান১</t>
  </si>
  <si>
    <t>মুচির নাক নেই, শুঁড়ির কান নেই</t>
  </si>
  <si>
    <t>Cobbler has no nose, tippler no ear</t>
  </si>
  <si>
    <t>এই প্রবাদের ডুপ্লিকেট আছে (id: 6515, 6516), এটা রাখো (সবচেয়ে ছোট id)।</t>
  </si>
  <si>
    <t>মুড়ি আর ভুঁড়ি সকল রোগের গুঁড়ি</t>
  </si>
  <si>
    <t>মুড়ি ও ভুঁড়ি সব রোগের মূল</t>
  </si>
  <si>
    <t>Puffed rice and belly are root of all disease</t>
  </si>
  <si>
    <t>মুড়ি মিছরির একদর১</t>
  </si>
  <si>
    <t>মুড়ি মিছরির একদর</t>
  </si>
  <si>
    <t>ভালো-মন্দ সমান</t>
  </si>
  <si>
    <t>Puffed rice and sugar same price</t>
  </si>
  <si>
    <t>অবিচার</t>
  </si>
  <si>
    <t>এই প্রবাদের ডুপ্লিকেট আছে (id: 6519, 6520), এটা রাখো (সবচেয়ে ছোট id)।</t>
  </si>
  <si>
    <t>মুড়ি রেখে কোপ</t>
  </si>
  <si>
    <t>তুচ্ছ রেখে কাজ</t>
  </si>
  <si>
    <t>Cut after keeping puffed rice</t>
  </si>
  <si>
    <t>মুণ্ডমালার দাঁতখামাটি</t>
  </si>
  <si>
    <t>মুণ্ডমালার দাঁত খামাটি</t>
  </si>
  <si>
    <t>নকল ভয়</t>
  </si>
  <si>
    <t>A garland of heads baring teeth</t>
  </si>
  <si>
    <t>মুনিনাঞ্চ মতিভ্রমঃ</t>
  </si>
  <si>
    <t>মুনিরও মতি ভ্রম হয়</t>
  </si>
  <si>
    <t>জ্ঞানীরও ভুল</t>
  </si>
  <si>
    <t>Even sages err</t>
  </si>
  <si>
    <t>মুরগীর পোঁদে তেল হলে মোল্লার দোর দে' রাস্তা</t>
  </si>
  <si>
    <t>মুরগির পিঠে তেল হলে মোল্লার দরজা পথ</t>
  </si>
  <si>
    <t>If hen has oil on its bottom, mullah's door is the way</t>
  </si>
  <si>
    <t>মুরোদের নাই সীমে রথ দিয়েছে নিমে</t>
  </si>
  <si>
    <t>সামর্থ্য নেই, রথ দিয়েছে নিমে</t>
  </si>
  <si>
    <t>অযোগ্য উচ্চাশা</t>
  </si>
  <si>
    <t>No strength, yet chariot stuck in neem</t>
  </si>
  <si>
    <t>মুল্লা কা দৌড় মসজিদ তক</t>
  </si>
  <si>
    <t>মোল্লার দৌড় মসজিদ পর্যন্ত</t>
  </si>
  <si>
    <t>সামান্য সীমা</t>
  </si>
  <si>
    <t>Mullah's run only to mosque</t>
  </si>
  <si>
    <t>মুসলমানের মুর্গী পোষা</t>
  </si>
  <si>
    <t>মুসলমানের মুরগি পোষা</t>
  </si>
  <si>
    <t>ভণ্ড যত্ন</t>
  </si>
  <si>
    <t>A Muslim keeping hens—temporary care</t>
  </si>
  <si>
    <t>মূর্খ একঘণ্টায় বহু প্রশ্ন করে জ্ঞানী তার উত্তর দিতে একবছর সময় নেয়</t>
  </si>
  <si>
    <t>মূর্খ এক ঘণ্টায় বহু প্রশ্ন, জ্ঞানী উত্তর দিতে এক বছর</t>
  </si>
  <si>
    <t>মূর্খের প্রশ্ন</t>
  </si>
  <si>
    <t>A fool asks many questions in an hour; a wise man takes a year to answer</t>
  </si>
  <si>
    <t>মূর্খ আগে কথা বলে পরে চিন্তা করে, জ্ঞানী আগে চিন্তা করে পরে কথা বলে</t>
  </si>
  <si>
    <t>মূর্খ আগে বলে পরে ভাবে, জ্ঞানী আগে ভাবে পরে বলে</t>
  </si>
  <si>
    <t>Fool speaks first thinks later; wise thinks first</t>
  </si>
  <si>
    <t>মূর্খরাও বুদ্ধিমান হয় যখন তারা চুপ থাকে</t>
  </si>
  <si>
    <t>মূর্খ চুপ থাকলে বুদ্ধিমান</t>
  </si>
  <si>
    <t>চুপ থাকা</t>
  </si>
  <si>
    <t>Even fools seem wise when silent</t>
  </si>
  <si>
    <t>valence ও target এর মধ্যে সংগতি নেই মনে হচ্ছে, নিজে একবার মিলিয়ে দেখো।</t>
  </si>
  <si>
    <t>মূর্খলোকেরা সেখানে ছুটে যায় যেখানে জ্ঞানীলোকেরা যেতে ভয় পায়</t>
  </si>
  <si>
    <t>মূর্খ সেখানে ছোটে যেখানে জ্ঞানী ভয় পায়</t>
  </si>
  <si>
    <t>Fools rush where wise fear</t>
  </si>
  <si>
    <t>মূর্খ বলে বেশি শোনে কম</t>
  </si>
  <si>
    <t>মূর্খ বেশি বলে কম শোনে</t>
  </si>
  <si>
    <t>মূর্খের স্বভাব</t>
  </si>
  <si>
    <t>Fool speaks more, listens less</t>
  </si>
  <si>
    <t>মূর্খস্য লাঠ্যৌষধি</t>
  </si>
  <si>
    <t>মূর্খের ওষুধ লাঠি</t>
  </si>
  <si>
    <t>মূর্খকে শাসন</t>
  </si>
  <si>
    <t>Stick is the medicine for fools</t>
  </si>
  <si>
    <t>মুর্খে দোষা হি কেবলং</t>
  </si>
  <si>
    <t>মূর্খে কেবল দোষ</t>
  </si>
  <si>
    <t>মূর্খ দোষে ভরা</t>
  </si>
  <si>
    <t>Only faults in a fool</t>
  </si>
  <si>
    <t>মূর্খেরও অভিমান আমি বড় বুদ্ধিমান</t>
  </si>
  <si>
    <t>মূর্খেরও অহংকার আমি বুদ্ধিমান</t>
  </si>
  <si>
    <t>মূর্খের অহংকার</t>
  </si>
  <si>
    <t>Even a fool has pride: I am wise</t>
  </si>
  <si>
    <t>মূর্খের কথার উত্তর না দেওয়াটা তার উত্তর</t>
  </si>
  <si>
    <t>মূর্খের কথার উত্তর না দেওয়াই উত্তর</t>
  </si>
  <si>
    <t>Not answering a fool is the answer</t>
  </si>
  <si>
    <t>মূর্খের জিভ বুদ্ধির আগে</t>
  </si>
  <si>
    <t>মূর্খ কথা বলে</t>
  </si>
  <si>
    <t>মূর্খের দোষ পদেপদে</t>
  </si>
  <si>
    <t>মূর্খের দোষ প্রতি পদে</t>
  </si>
  <si>
    <t>মূর্খ সর্বত্র</t>
  </si>
  <si>
    <t>A fool's faults are everywhere</t>
  </si>
  <si>
    <t>মূর্খের মুখ মূর্খতা ঢেলে দেয়</t>
  </si>
  <si>
    <t>মূর্খের মুখ মূর্খতা ঢেলে</t>
  </si>
  <si>
    <t>মূর্খের কথা</t>
  </si>
  <si>
    <t>A fool's mouth pours foolishness</t>
  </si>
  <si>
    <t>মূর্খের সম্পদ কড়ি, জ্ঞানীর সম্পদ জ্ঞান</t>
  </si>
  <si>
    <t>Fool's wealth is money, wise man's wealth is knowledge</t>
  </si>
  <si>
    <t>মূর্খের সাথে তর্ক করো না, মানুষ তোমাকে মূর্খ ভেবে ভুল করতে পারে</t>
  </si>
  <si>
    <t>মূর্খের সাথে তর্ক নয়, লোকে মূর্খ ভাববে</t>
  </si>
  <si>
    <t>তর্ক এড়াও</t>
  </si>
  <si>
    <t>Don't argue with fools; people may mistake you for fool</t>
  </si>
  <si>
    <t>মূর্খের স্বর্গবাস</t>
  </si>
  <si>
    <t>মূর্খের স্বর্গে বাস</t>
  </si>
  <si>
    <t>মূর্খ অজ্ঞতায় সুখী</t>
  </si>
  <si>
    <t>Fool lives in heaven</t>
  </si>
  <si>
    <t>মূলার চেয়ে ধেড়ে মোটা</t>
  </si>
  <si>
    <t>অতিরিক্ত মোটা</t>
  </si>
  <si>
    <t>Thicker than a radish</t>
  </si>
  <si>
    <t>মূলে অশুদ্ধ তিবড়িই (উনুন) গোবর</t>
  </si>
  <si>
    <t>মূলেই অশুদ্ধ, উনুনে গোবর</t>
  </si>
  <si>
    <t>মূল দোষ</t>
  </si>
  <si>
    <t>Impure root, stove full of dung</t>
  </si>
  <si>
    <t>দোষ</t>
  </si>
  <si>
    <t>মূলে না হওয়ার চেয়ে দেরিতে হওয়া ভাল</t>
  </si>
  <si>
    <t>মূলত না হওয়ার চেয়ে দেরি ভালো</t>
  </si>
  <si>
    <t>দেরি ভালো</t>
  </si>
  <si>
    <t>মূলে নেই লক্ষ্মীপূজা, একেবারে দশভুজা</t>
  </si>
  <si>
    <t>মূলে লক্ষ্মীপূজা নেই, একেবারে দশভুজা</t>
  </si>
  <si>
    <t>ছোট না করে বড়</t>
  </si>
  <si>
    <t>No Lakshmi puja, directly Durga</t>
  </si>
  <si>
    <t>মূলে মাদুর নেই তার উত্তর শিয়র</t>
  </si>
  <si>
    <t>মূল মাদুর নেই, উত্তর শিয়র</t>
  </si>
  <si>
    <t>ভিত্তি নেই</t>
  </si>
  <si>
    <t>No mat at base, yet a pillow at head</t>
  </si>
  <si>
    <t>অগ্রাধিকার</t>
  </si>
  <si>
    <t>মৃণালেরও কণ্টক আছে</t>
  </si>
  <si>
    <t>মৃণালেও কাঁটা আছে</t>
  </si>
  <si>
    <t>ভালোতেও দোষ</t>
  </si>
  <si>
    <t>Even lotus stem has thorns</t>
  </si>
  <si>
    <t>মৃত সিংহ হওয়ার চেয়ে জীবিত কুকুর হওয়া ভালো</t>
  </si>
  <si>
    <t>মৃত সিংহের চেয়ে জীবিত কুকুর ভালো</t>
  </si>
  <si>
    <t>জীবন বড়</t>
  </si>
  <si>
    <t>Better a live dog than a dead lion</t>
  </si>
  <si>
    <t>মৃত্যু কাউকে রেয়াত করে না</t>
  </si>
  <si>
    <t>মৃত্যু কাউকে ছাড়ে না</t>
  </si>
  <si>
    <t>মৃত্যু সবার</t>
  </si>
  <si>
    <t>Death spares none</t>
  </si>
  <si>
    <t>মৃত্যু না হওয়া পর্যন্ত কোন মানুষকে সুখী বলো না</t>
  </si>
  <si>
    <t>মৃত্যু পর্যন্ত কাউকে সুখী বলো না</t>
  </si>
  <si>
    <t>জীবন অনিশ্চিত</t>
  </si>
  <si>
    <t>Call no man happy until death</t>
  </si>
  <si>
    <t>মৃত্যুরেব ন সংশয়</t>
  </si>
  <si>
    <t>মৃত্যুতে সংশয় নেই</t>
  </si>
  <si>
    <t>মৃত্যু নিশ্চিত</t>
  </si>
  <si>
    <t>Death is certain</t>
  </si>
  <si>
    <t>মৃত্যু সকলকে সমান করে</t>
  </si>
  <si>
    <t>মৃত্যু সকলকে সমান</t>
  </si>
  <si>
    <t>মৃত্যুতে সমতা</t>
  </si>
  <si>
    <t>Death makes all equal</t>
  </si>
  <si>
    <t>মেকি টাকার ঘন নিশান</t>
  </si>
  <si>
    <t>নকলের জাঁক</t>
  </si>
  <si>
    <t>Fake coin with loud stamp</t>
  </si>
  <si>
    <t>মেকি ব্রাহ্মণের ভড়ং বেশি</t>
  </si>
  <si>
    <t>নকল ব্রাহ্মণের ভড়ং বেশি</t>
  </si>
  <si>
    <t>মেঘ আছে বলেই সুর্যের কদর</t>
  </si>
  <si>
    <t>মেঘ আছে বলেই সূর্যের কদর</t>
  </si>
  <si>
    <t>ভালো বোঝা যায়</t>
  </si>
  <si>
    <t>Clouds make the sun valued</t>
  </si>
  <si>
    <t>মেঘ দেখে কেউ করিসনে ভয়,আড়ালে তার সূর্য হাসে- রবীন্দ্রনাথ</t>
  </si>
  <si>
    <t>মেঘ দেখে ভয় নয়, আড়ালে সূর্য হাসে</t>
  </si>
  <si>
    <t>Fear not clouds; behind them the sun smiles</t>
  </si>
  <si>
    <t>মেঘ না চাইতেই জল</t>
  </si>
  <si>
    <t>অনাহূত লাভ</t>
  </si>
  <si>
    <t>Water without asking clouds</t>
  </si>
  <si>
    <t>মেঘান্তরিতরৌদ্রবৎ</t>
  </si>
  <si>
    <t>মেঘান্তরিত রৌদ্রের মতো</t>
  </si>
  <si>
    <t>সাময়িক কষ্ট</t>
  </si>
  <si>
    <t>Like sun behind clouds</t>
  </si>
  <si>
    <t>মেঘে মেঘে বেলা গেল/যায়</t>
  </si>
  <si>
    <t>মেঘে মেঘে সময় যায়</t>
  </si>
  <si>
    <t>অলসে সময়</t>
  </si>
  <si>
    <t>Time passes in clouds</t>
  </si>
  <si>
    <t>মেঘে শীত না মাঘে শীত? যত্র বায়ু তত্র শীত</t>
  </si>
  <si>
    <t>মেঘে শীত না মাঘে শীত? যেখানে বাতাস সেখানে শীত</t>
  </si>
  <si>
    <t>শীত বাতাসে</t>
  </si>
  <si>
    <t>Cold in clouds or Magh? Where wind, there cold</t>
  </si>
  <si>
    <t>মেঘের আড়ালে সূর্য হাসে</t>
  </si>
  <si>
    <t>Sun smiles behind clouds</t>
  </si>
  <si>
    <t>মেঘের কোলে সৌদামিনী</t>
  </si>
  <si>
    <t>মেঘের কোলে বিদ্যুৎ</t>
  </si>
  <si>
    <t>Lightning in cloud's lap</t>
  </si>
  <si>
    <t>মেঘের ছায়া</t>
  </si>
  <si>
    <t>Cloud's shadow</t>
  </si>
  <si>
    <t>মেজে ঘষে রূপ আর ধরে বেঁধে পীরিত</t>
  </si>
  <si>
    <t>মেজে ঘষে রূপ, ধরে বেঁধে প্রীতি</t>
  </si>
  <si>
    <t>সাজ ও ভালোবাসা</t>
  </si>
  <si>
    <t>Polish beauty, bind love</t>
  </si>
  <si>
    <t>মেনিমুখো</t>
  </si>
  <si>
    <t>Sycophant</t>
  </si>
  <si>
    <t>মেয়েমানুষের বাড় কলাগাছে বাড়</t>
  </si>
  <si>
    <t>মেয়ে মানুষের বাড় কলাগাছে</t>
  </si>
  <si>
    <t>নারীর অগ্রগতি</t>
  </si>
  <si>
    <t>Women's growth like banana plant</t>
  </si>
  <si>
    <t>মেয়েদের রূপ ছেলেদের প্রতিভা একই জিনিস</t>
  </si>
  <si>
    <t>মেয়েদের রূপ ছেলেদের প্রতিভা একই</t>
  </si>
  <si>
    <t>রূপ ও প্রতিভা</t>
  </si>
  <si>
    <t>Girls' beauty, boys' talent are same</t>
  </si>
  <si>
    <t>মেরে তুলোধুনা করা</t>
  </si>
  <si>
    <t>প্রচণ্ড প্রহার</t>
  </si>
  <si>
    <t>Beat to fluff</t>
  </si>
  <si>
    <t>শাস্তি</t>
  </si>
  <si>
    <t>মোগল পাঠান হদ্দ হল ফারসী পড়ে তাঁতী, বাঘ পালালো বিড়াল এলো শিকার করতে হাতি</t>
  </si>
  <si>
    <t>মোগল পাঠান শেষ, ফারসি পড়ে তাঁতি; বাঘ পালাল বিড়াল এল হাতি শিকার</t>
  </si>
  <si>
    <t>বড়দের পতন</t>
  </si>
  <si>
    <t>Mughals and Pathans gone, weaver reads Persian; tiger fled, cat hunts elephant</t>
  </si>
  <si>
    <t>মোটা ভাত মোটা কাপড়</t>
  </si>
  <si>
    <t>সাদাসিধা জীবন</t>
  </si>
  <si>
    <t>Coarse rice, coarse cloth</t>
  </si>
  <si>
    <t>মোটে মা রাঁধে না, তার তপ্ত ও পান্তা১</t>
  </si>
  <si>
    <t>মোটে মা রাঁধে না, তার তপ্ত ও পান্তা</t>
  </si>
  <si>
    <t>অভাবে অতিরিক্ত</t>
  </si>
  <si>
    <t>Mother doesn't cook, yet hot and stale</t>
  </si>
  <si>
    <t>এই প্রবাদের ডুপ্লিকেট আছে (id: 6588, 6589), এটা রাখো (সবচেয়ে ছোট id)।</t>
  </si>
  <si>
    <t>মোটে মা রাঁধে না, তার তপ্ত ও পান্তা২</t>
  </si>
  <si>
    <t>মোটে মা রাঁধে না, তার তপ্ত ও পান্তা (দ্বিতীয়)</t>
  </si>
  <si>
    <t>বাজে অবস্থা</t>
  </si>
  <si>
    <t>Mother doesn't cook, but hot and stale rice</t>
  </si>
  <si>
    <t>ডুপ্লিকেট - id 6588 রাখা হচ্ছে, এই row বাদ দাও।</t>
  </si>
  <si>
    <t>সীমিত</t>
  </si>
  <si>
    <t>Mullah's run to mosque</t>
  </si>
  <si>
    <t>ম্যাও ধরে কে</t>
  </si>
  <si>
    <t>Who holds the meow</t>
  </si>
  <si>
    <t>যক্ষের/যখের চোখে ঘুম নেই</t>
  </si>
  <si>
    <t>যক্ষের চোখে ঘুম নেই</t>
  </si>
  <si>
    <t>উদ্বেগ</t>
  </si>
  <si>
    <t>No sleep for a Yaksha</t>
  </si>
  <si>
    <t>যক্ষের/ঝখের ধন</t>
  </si>
  <si>
    <t>যক্ষের ধন</t>
  </si>
  <si>
    <t>Yaksha's treasure</t>
  </si>
  <si>
    <t>যখন লক্ষ্যে পৌঁছান যাবে না নিশ্চিত তখন লক্ষ্যের সাথে আপোষ না করে উপায়ের সাথে আপোষ কর</t>
  </si>
  <si>
    <t>লক্ষ্য না পৌঁছালে উপায়ে আপোষ</t>
  </si>
  <si>
    <t>উপায় বদলাও</t>
  </si>
  <si>
    <t>If goal uncertain, compromise means not goal</t>
  </si>
  <si>
    <t>যখন কপাল বাঁকে দূর্বাবনে বাঘ ঝাঁকে</t>
  </si>
  <si>
    <t>কপাল বাঁকা হলে দূর্বাবনে বাঘ ঝাঁকে</t>
  </si>
  <si>
    <t>When fate turns, tigers in grass</t>
  </si>
  <si>
    <t>যখন কপাল মন্দ হয়, বন্ধুলোকে মন্দ কয়১</t>
  </si>
  <si>
    <t>কপাল মন্দ হলে বন্ধু মন্দ বলে</t>
  </si>
  <si>
    <t>When fate bad, friends speak ill</t>
  </si>
  <si>
    <t>এই প্রবাদের ডুপ্লিকেট আছে (id: 6599, 6600), এটা রাখো (সবচেয়ে ছোট id)।</t>
  </si>
  <si>
    <t>যখন কপাল মন্দ হয়, বন্ধুলোকে মন্দ কয়২</t>
  </si>
  <si>
    <t>কপাল মন্দ হলে বন্ধু মন্দ বলে (দ্বিতীয়)</t>
  </si>
  <si>
    <t>When luck bad, friends badmouth</t>
  </si>
  <si>
    <t>ডুপ্লিকেট - id 6599 রাখা হচ্ছে, এই row বাদ দাও।</t>
  </si>
  <si>
    <t>যখন গাধা খায়, জল ঘোলা করেই খায়</t>
  </si>
  <si>
    <t>গাধা জল ঘোলা করে খায়</t>
  </si>
  <si>
    <t>A donkey muddies water to drink</t>
  </si>
  <si>
    <t>যখন তখন করে পাপ, সময় বুঝে ফলে শাপ</t>
  </si>
  <si>
    <t>যখন তখন পাপ, সময়ে শাপ ফলে</t>
  </si>
  <si>
    <t>পাপের ফল</t>
  </si>
  <si>
    <t>Sin anytime, curse in time</t>
  </si>
  <si>
    <t>যখন তোমার হারাবার কিছু নেই, তখন জীবনকে নিয়ন্ত্রণ করা কঠিন নয়</t>
  </si>
  <si>
    <t>হারানোর কিছু না থাকলে জীবন নিয়ন্ত্রণ সহজ</t>
  </si>
  <si>
    <t>When nothing to lose, life is easy to control</t>
  </si>
  <si>
    <t>যখন প্রতিকূলতা আসে তখন অনুকূলতার সাথে গ্রহণ করো</t>
  </si>
  <si>
    <t>প্রতিকূলতা অনুকূলে গ্রহণ</t>
  </si>
  <si>
    <t>Accept adversity with grace</t>
  </si>
  <si>
    <t>যখন বিধি মাপায় উপরি উপরি মাপায়</t>
  </si>
  <si>
    <t>বিধি যখন মাপায় উপর উপর মাপায়</t>
  </si>
  <si>
    <t>Fate gives layer upon layer</t>
  </si>
  <si>
    <t>যখন যার কপাল বাঁকে দূর্বাবনে বাঘ ঝাঁকে</t>
  </si>
  <si>
    <t>যার কপাল বাঁকে দূর্বাবনে বাঘ</t>
  </si>
  <si>
    <t>When one's fate bends, tigers in grass</t>
  </si>
  <si>
    <t>যখন যা তখন তা</t>
  </si>
  <si>
    <t>সময় অনুযায়ী</t>
  </si>
  <si>
    <t>When what, then that</t>
  </si>
  <si>
    <t>অভিযোজন</t>
  </si>
  <si>
    <t>যখন কপাল ধরে, শুকনো ডাঙায় ডিঙি সরে</t>
  </si>
  <si>
    <t>কপাল খুললে শুকনো ডাঙায় ডিঙি চলে</t>
  </si>
  <si>
    <t>When fate holds, dinghy moves on dry land</t>
  </si>
  <si>
    <t>যখন যার তখন তার</t>
  </si>
  <si>
    <t>যার যখন, তার তখন</t>
  </si>
  <si>
    <t>When one's time, theirs</t>
  </si>
  <si>
    <t>যখন যার পড়তা হয় ধূলা ধরলে সোনা হয়</t>
  </si>
  <si>
    <t>ভাগ্যবান ধুলো ধরলে সোনা</t>
  </si>
  <si>
    <t>When luck shines, dust becomes gold</t>
  </si>
  <si>
    <t>যজমানী বামুনের হাজা/শুকা/শুখা নাই১</t>
  </si>
  <si>
    <t>যজমানী বামুনের হাজা/শুকা নেই</t>
  </si>
  <si>
    <t>কাজের সুবিধা</t>
  </si>
  <si>
    <t>A priest with patrons has no want</t>
  </si>
  <si>
    <t>এই প্রবাদের ডুপ্লিকেট আছে (id: 6613, 6614), এটা রাখো (সবচেয়ে ছোট id)।</t>
  </si>
  <si>
    <t>যজমানী বামুনের হাজা/শুকা/শুখা নাই২</t>
  </si>
  <si>
    <t>যজমানী বামুনের হাজা নেই (দ্বিতীয়)</t>
  </si>
  <si>
    <t>Patronized priest lacks nothing</t>
  </si>
  <si>
    <t>ডুপ্লিকেট - id 6613 রাখা হচ্ছে, এই row বাদ দাও।</t>
  </si>
  <si>
    <t>যা জানে জাঁতা জানে, যে পিষে সেই জানে১</t>
  </si>
  <si>
    <t>জাঁতা জানে, যে পিষে সেই জানে</t>
  </si>
  <si>
    <t>The mill knows, the grinder knows</t>
  </si>
  <si>
    <t>এই প্রবাদের ডুপ্লিকেট আছে (id: 6615, 6748, 6749), এটা রাখো (সবচেয়ে ছোট id)।</t>
  </si>
  <si>
    <t>য' জানে জাঁতা জানে, যে পিষে সেই জানে২</t>
  </si>
  <si>
    <t>জাঁতা জানে, পেষকারী জানে (দ্বিতীয়)</t>
  </si>
  <si>
    <t>অভিজ্ঞ</t>
  </si>
  <si>
    <t>Mill and grinder know</t>
  </si>
  <si>
    <t>যত আনি তত নাই, না ঘুচিল খাই খাই- রায় গুণাকর ভারতচন্দ্র</t>
  </si>
  <si>
    <t>যত আনি তত নেই, না ঘুচিল খাই খাই</t>
  </si>
  <si>
    <t>As much as I bring, not enough; hunger never ends</t>
  </si>
  <si>
    <t>যত ইচ্ছা তত যাও ক্রোশ অন্তর পা ধোও</t>
  </si>
  <si>
    <t>যত ইচ্ছা তত যাও, ক্রোশ অন্তরে পা ধোও</t>
  </si>
  <si>
    <t>ইচ্ছা অনুযায়ী</t>
  </si>
  <si>
    <t>Go as far as you wish, wash feet every league</t>
  </si>
  <si>
    <t>যত কর আতুপুতু/পুতুপুতু তত হবে ছোলার ছাতু</t>
  </si>
  <si>
    <t>যত যত্ন কর, তত ছোলার ছাতু</t>
  </si>
  <si>
    <t>সামান্য ফল</t>
  </si>
  <si>
    <t>However much care, still gram flour</t>
  </si>
  <si>
    <t>যত কর তাড়াতাড়ি তত পায়ে বেড়াবেড়ি</t>
  </si>
  <si>
    <t>যত তাড়াতাড়ি, তত পায়ে বেড়ি</t>
  </si>
  <si>
    <t>হaste</t>
  </si>
  <si>
    <t>The more hurry, the more hindrance</t>
  </si>
  <si>
    <t>যত কুয়ো আমের ক্ষয়, তাল তেঁতুলের কি বা হয়১</t>
  </si>
  <si>
    <t>কুয়াশায় আমের ক্ষতি, তাল তেঁতুলের নয়</t>
  </si>
  <si>
    <t>Fog harms mango, not palm or tamarind</t>
  </si>
  <si>
    <t>এই প্রবাদের ডুপ্লিকেট আছে (id: 6623, 6624), এটা রাখো (সবচেয়ে ছোট id)।</t>
  </si>
  <si>
    <t>যত কুয়ো আমের ক্ষয়, তাল তেঁতুলের কি বা হয়২</t>
  </si>
  <si>
    <t>কুয়াশায় আমের ক্ষতি, তাল-তেঁতুলের নয় (দ্বিতীয়)</t>
  </si>
  <si>
    <t>Fog hurts mangoes only</t>
  </si>
  <si>
    <t>ডুপ্লিকেট - id 6623 রাখা হচ্ছে, এই row বাদ দাও।</t>
  </si>
  <si>
    <t>যতক্ষণ থামছ না কিছু আসে যায় না কত আস্তে তুমি হাঁটছ</t>
  </si>
  <si>
    <t>থামো না, ধীর হাঁটা যায় না</t>
  </si>
  <si>
    <t>As long as you don't stop, pace doesn't matter</t>
  </si>
  <si>
    <t>অধ্যবসায়</t>
  </si>
  <si>
    <t>যতক্ষণ যোগ ততক্ষণ ভোগ</t>
  </si>
  <si>
    <t>জীবন ভোগ</t>
  </si>
  <si>
    <t>As long as life, enjoyment</t>
  </si>
  <si>
    <t>যতক্ষণ শ্বাস ততক্ষণ আশ১</t>
  </si>
  <si>
    <t>যতক্ষণ শ্বাস ততক্ষণ আশ</t>
  </si>
  <si>
    <t>While breath, hope</t>
  </si>
  <si>
    <t>এই প্রবাদের ডুপ্লিকেট আছে (id: 6627, 6628), এটা রাখো (সবচেয়ে ছোট id)।</t>
  </si>
  <si>
    <t>যতক্ষণ শ্বাস ততক্ষণ আশ২</t>
  </si>
  <si>
    <t>যতক্ষণ শ্বাস, ততক্ষণ আশা (দ্বিতীয়)</t>
  </si>
  <si>
    <t>As long as breath, hope</t>
  </si>
  <si>
    <t>ডুপ্লিকেট - id 6627 রাখা হচ্ছে, এই row বাদ দাও।</t>
  </si>
  <si>
    <t>যত গর্জে তত বর্ষে না১</t>
  </si>
  <si>
    <t>যত গর্জে তত বর্ষে না</t>
  </si>
  <si>
    <t>The more thunder, the less rain</t>
  </si>
  <si>
    <t>ডুপ্লিকেট - id 3 রাখা হচ্ছে, এই row বাদ দাও।</t>
  </si>
  <si>
    <t>যত গর্জে তত বর্ষে না২</t>
  </si>
  <si>
    <t>যত গর্জে তত বর্ষে না (দ্বিতীয়)</t>
  </si>
  <si>
    <t>আড়ম্বর</t>
  </si>
  <si>
    <t>Much thunder, little rain</t>
  </si>
  <si>
    <t>যত গুড় তত মধুর২</t>
  </si>
  <si>
    <t>যত গুড় তত মিষ্টি (দ্বিতীয়)</t>
  </si>
  <si>
    <t>অধিক ভালো</t>
  </si>
  <si>
    <t>More jaggery, more sweet</t>
  </si>
  <si>
    <t>ডুপ্লিকেট - id 6632 রাখা হচ্ছে, এই row বাদ দাও।</t>
  </si>
  <si>
    <t>যত ঘর তত দ্বার</t>
  </si>
  <si>
    <t>যত ঘর তত দরজা</t>
  </si>
  <si>
    <t>সবার আলাদা</t>
  </si>
  <si>
    <t>As many rooms, so many doors</t>
  </si>
  <si>
    <t>বিভাজন</t>
  </si>
  <si>
    <t>যত চতুর তত ফতুর</t>
  </si>
  <si>
    <t>চতুরতা ধ্বংস</t>
  </si>
  <si>
    <t>The more cunning, the more ruined</t>
  </si>
  <si>
    <t>চতুর</t>
  </si>
  <si>
    <t>চতুরতা</t>
  </si>
  <si>
    <t>যত চায় তত পায়</t>
  </si>
  <si>
    <t>প্রার্থনা পূরণ</t>
  </si>
  <si>
    <t>As much as one wishes, one gets</t>
  </si>
  <si>
    <t>প্রাপ্তি</t>
  </si>
  <si>
    <t>যত ছিল নাড়াবুনে সব হলো কীর্তুনে</t>
  </si>
  <si>
    <t>যত ছিল নাড়াবুনে সব কীর্তনে</t>
  </si>
  <si>
    <t>পরিবর্তন</t>
  </si>
  <si>
    <t>All restless ones turned to kirtan</t>
  </si>
  <si>
    <t>যত জ্ঞান বাড়বে তত জানবে তুমি কিছু জানো না</t>
  </si>
  <si>
    <t>জ্ঞান বাড়লে জানবে কিছু জানো না</t>
  </si>
  <si>
    <t>জ্ঞানের বিনয়</t>
  </si>
  <si>
    <t>The more knowledge, the more you know you know nothing</t>
  </si>
  <si>
    <t>যত তক্ক তত নরক্ক</t>
  </si>
  <si>
    <t>যত ফন্দি তত নরক</t>
  </si>
  <si>
    <t>কৌশল পাপ</t>
  </si>
  <si>
    <t>The more cunning, the more hell</t>
  </si>
  <si>
    <t>যত তুমি শিখাবে তত তুমি শিখবে</t>
  </si>
  <si>
    <t>যত শেখাবে তত শিখবে</t>
  </si>
  <si>
    <t>শিক্ষায় জ্ঞান</t>
  </si>
  <si>
    <t>The more you teach, the more you learn</t>
  </si>
  <si>
    <t>যতদিন তুমি অসৎ ততদিন তোমার কোন শত্রু নেই।</t>
  </si>
  <si>
    <t>যতদিন অসৎ ততদিন শত্রু নেই</t>
  </si>
  <si>
    <t>অসৎ একা</t>
  </si>
  <si>
    <t>As long as you are wicked, you have no enemy</t>
  </si>
  <si>
    <t>যতদিন বাঁচি ততদিন শিখি</t>
  </si>
  <si>
    <t>Live and learn</t>
  </si>
  <si>
    <t>যতদিন যায় তত কাজ বাড়ে</t>
  </si>
  <si>
    <t>কাজ বাড়ে</t>
  </si>
  <si>
    <t>The longer, the more work</t>
  </si>
  <si>
    <t>যতদূর পা ছড়াও ততদূর মাদুর</t>
  </si>
  <si>
    <t>আয় অনুযায়ী</t>
  </si>
  <si>
    <t>Stretch legs as far as mat</t>
  </si>
  <si>
    <t>যতদূর মাদুর ততদূর পা ছড়াও</t>
  </si>
  <si>
    <t>যতদূর মাদুর ততদূর পা</t>
  </si>
  <si>
    <t>আয় বুঝে ব্যয়</t>
  </si>
  <si>
    <t>As far as mat, stretch legs</t>
  </si>
  <si>
    <t>যতন নহিলে না মিলয়ে রতন</t>
  </si>
  <si>
    <t>যত্ন না হলে রত্ন মেলে না</t>
  </si>
  <si>
    <t>যত্ন</t>
  </si>
  <si>
    <t>Without care, no gem</t>
  </si>
  <si>
    <t>যত পায় তত চায়</t>
  </si>
  <si>
    <t>The more one gets, the more one wants</t>
  </si>
  <si>
    <t>ডুপ্লিকেট - id 452 রাখা হচ্ছে, এই row বাদ দাও।</t>
  </si>
  <si>
    <t>যত বড় মুখ নয় তত বড় কথা</t>
  </si>
  <si>
    <t>অতিরিক্ত কথা</t>
  </si>
  <si>
    <t>Big words beyond mouth</t>
  </si>
  <si>
    <t>যত মত তত পথ</t>
  </si>
  <si>
    <t>Many views, many paths</t>
  </si>
  <si>
    <t>যত মন্দিরের কাছে তত ঈশ্বর থেকে দূরে</t>
  </si>
  <si>
    <t>মন্দিরের কাছে তত ঈশ্বর থেকে দূরে</t>
  </si>
  <si>
    <t>Closer to temple, farther from God</t>
  </si>
  <si>
    <t>যত শেষ তত বেশ</t>
  </si>
  <si>
    <t>যত শেষ তত বেশি</t>
  </si>
  <si>
    <t>শেষ ভালো</t>
  </si>
  <si>
    <t>The later, the better</t>
  </si>
  <si>
    <t>যত সয় তত রয়</t>
  </si>
  <si>
    <t>যত সহ্য তত থাকে</t>
  </si>
  <si>
    <t>As much as endures, remains</t>
  </si>
  <si>
    <t>যৎ সারভূতং তদুপাসিতব্যম, হংসো যথা ক্ষীরমিবাম্বুমিশ্রম</t>
  </si>
  <si>
    <t>যা সার তা গ্রহণ, হাঁস যেমন জল থেকে দুধ</t>
  </si>
  <si>
    <t>সার গ্রহণ</t>
  </si>
  <si>
    <t>Take essence like swan milk from water</t>
  </si>
  <si>
    <t>যত হাসি তত কান্না বলে গেছেন রাম সন্না</t>
  </si>
  <si>
    <t>যত হাসি তত কান্না</t>
  </si>
  <si>
    <t>আনন্দ ও দুঃখ</t>
  </si>
  <si>
    <t>As much laughter, so much tears</t>
  </si>
  <si>
    <t>যতো ধর্মস্ততো জয়</t>
  </si>
  <si>
    <t>যেখানে ধর্ম সেখানে জয়</t>
  </si>
  <si>
    <t>ধর্ম জয়</t>
  </si>
  <si>
    <t>Where righteousness, victory</t>
  </si>
  <si>
    <t>যত্ন না করলে রত্ন মেলে না</t>
  </si>
  <si>
    <t>No gem without care</t>
  </si>
  <si>
    <t>যত্নে কৃতে যদি না সিধ্যতি কোহত্র দোষঃ</t>
  </si>
  <si>
    <t>যত্ন করেও না হলে কার দোষ?</t>
  </si>
  <si>
    <t>চেষ্টার সীমা</t>
  </si>
  <si>
    <t>If efforts fail, whose fault?</t>
  </si>
  <si>
    <t>যত্নের তৃণ কাষ্ঠখান রহে যুগকাল পরিমাণ</t>
  </si>
  <si>
    <t>যত্নের তৃণ কাঠ যুগকাল থাকে</t>
  </si>
  <si>
    <t>যত্নে স্থায়ী</t>
  </si>
  <si>
    <t>Cared straw lasts ages</t>
  </si>
  <si>
    <t>যত্নের মধু পিঁপড়ায় খায়১</t>
  </si>
  <si>
    <t>যত্নের মধু পিঁপড়ায় খায়</t>
  </si>
  <si>
    <t>যত্ন নষ্ট</t>
  </si>
  <si>
    <t>Ants eat cared honey</t>
  </si>
  <si>
    <t>এই প্রবাদের ডুপ্লিকেট আছে (id: 6664, 6665), এটা রাখো (সবচেয়ে ছোট id)।</t>
  </si>
  <si>
    <t>যত্নের মধু পিঁপড়ায় খায়২</t>
  </si>
  <si>
    <t>যত্নের মধু পিঁপড়ায় খায় (দ্বিতীয়)</t>
  </si>
  <si>
    <t>সঞ্চয় নষ্ট</t>
  </si>
  <si>
    <t>Ants consume honey</t>
  </si>
  <si>
    <t>ডুপ্লিকেট - id 6664 রাখা হচ্ছে, এই row বাদ দাও।</t>
  </si>
  <si>
    <t>যত্র আয় তত্র ব্যয়২</t>
  </si>
  <si>
    <t>যত্র আয় তত্র ব্যয় (দ্বিতীয়)</t>
  </si>
  <si>
    <t>বাজেট</t>
  </si>
  <si>
    <t>Income where expense</t>
  </si>
  <si>
    <t>ডুপ্লিকেট - id 1295 রাখা হচ্ছে, এই row বাদ দাও।</t>
  </si>
  <si>
    <t>যত্র ধূম তত্র বহ্নি</t>
  </si>
  <si>
    <t>যেখানে ধোঁয়া সেখানে আগুন</t>
  </si>
  <si>
    <t>কারণ</t>
  </si>
  <si>
    <t>Where smoke, fire</t>
  </si>
  <si>
    <t>কার্যকারণ</t>
  </si>
  <si>
    <t>যত্র বাতাস তত্র শীত</t>
  </si>
  <si>
    <t>যেখানে বাতাস সেখানে শীত</t>
  </si>
  <si>
    <t>Where wind, cold</t>
  </si>
  <si>
    <t>যত্রাকৃতিস্থত্র গুণাঃ বসন্তি</t>
  </si>
  <si>
    <t>যেখানে আকৃতি সেখানে গুণ</t>
  </si>
  <si>
    <t>আকৃতিতে গুণ</t>
  </si>
  <si>
    <t>Where form is, qualities reside</t>
  </si>
  <si>
    <t>যথা দৃষ্টং তথা লিখিতং লেখকে নাস্তি দূষণং</t>
  </si>
  <si>
    <t>যেমন দেখা তেমন লেখা, লেখকের দোষ নেই</t>
  </si>
  <si>
    <t>সত্য লেখা</t>
  </si>
  <si>
    <t>As seen, so written; no fault of scribe</t>
  </si>
  <si>
    <t>যথা ধর্ম তথা জয় পাপ করলে ভুগতে হয়</t>
  </si>
  <si>
    <t>যেমন ধর্ম তেমন জয়, পাপ করলে ভুগতে হয়</t>
  </si>
  <si>
    <t>ধর্ম ও পাপ</t>
  </si>
  <si>
    <t>As duty, so victory; sin brings suffering</t>
  </si>
  <si>
    <t>যথা নিযুক্তোহস্মি তথ করোমি</t>
  </si>
  <si>
    <t>আমি যেমন নিযুক্ত, তেমন করি</t>
  </si>
  <si>
    <t>আত্মসমর্পণ</t>
  </si>
  <si>
    <t>As I am engaged, so I do</t>
  </si>
  <si>
    <t>যথা পূর্বং তথা পরং</t>
  </si>
  <si>
    <t>যেমন আগে তেমন পরে</t>
  </si>
  <si>
    <t>অপরিবর্তনীয়</t>
  </si>
  <si>
    <t>As before, so after</t>
  </si>
  <si>
    <t>যথারণ্যং তথা গৃহম</t>
  </si>
  <si>
    <t>যেমন বন তেমন গৃহ</t>
  </si>
  <si>
    <t>সব সমান</t>
  </si>
  <si>
    <t>As forest, so home</t>
  </si>
  <si>
    <t>যদধাত্রা নিজভাল পট্টলিখিতং তত প্রোজ্‌ঝিতুং কঃ ক্ষম</t>
  </si>
  <si>
    <t>বিধাতা কপালে যা লিখেছেন তা মুছবে কে?</t>
  </si>
  <si>
    <t>Who can erase what God wrote on forehead?</t>
  </si>
  <si>
    <t>যদি আকাশ নামে তবে চাঁদে চড়ব</t>
  </si>
  <si>
    <t>আকাশ নামলে চাঁদে চড়ব</t>
  </si>
  <si>
    <t>অসম্ভব শর্ত</t>
  </si>
  <si>
    <t>If sky descends, I'll climb moon</t>
  </si>
  <si>
    <t>যদি আছে কাজ তবে সকাল সকাল সাজ</t>
  </si>
  <si>
    <t>কাজ থাকলে সকালে সাজ</t>
  </si>
  <si>
    <t>If work, dress early</t>
  </si>
  <si>
    <t>যদি আমড়াতলায় আম পাই তবে আমতলায় কেন যাই</t>
  </si>
  <si>
    <t>আমড়াতলায় আম পেলে আমতলায় কেন</t>
  </si>
  <si>
    <t>If amra tree gives mango, why go to mango grove</t>
  </si>
  <si>
    <t>যদি ইচ্ছা থাকে, তবেই পূরণ হয়</t>
  </si>
  <si>
    <t>ইচ্ছা থাকলে পূরণ</t>
  </si>
  <si>
    <t>ইচ্ছা শক্তি</t>
  </si>
  <si>
    <t>If there is will, it is fulfilled</t>
  </si>
  <si>
    <t>ইচ্ছা</t>
  </si>
  <si>
    <t>যদি একাগ্রচিত্তে কাজ কর তবে পাহাড় টলাতে পারো</t>
  </si>
  <si>
    <t>একাগ্র চিত্তে পাহাড় টলানো যায়</t>
  </si>
  <si>
    <t>একাগ্রতা</t>
  </si>
  <si>
    <t>With focused mind, mountains move</t>
  </si>
  <si>
    <t>যদি কঠোর পরিশ্রম কর তবে রড ঘষে সূচ বানাতে পারো</t>
  </si>
  <si>
    <t>পরিশ্রমে রড ঘষে সূচ</t>
  </si>
  <si>
    <t>With hard work, rod becomes needle</t>
  </si>
  <si>
    <t>যদি কর তাড়াতাড়ি ভুলের হবে বাড়াবাড়ি১</t>
  </si>
  <si>
    <t>Hurry makes many mistakes</t>
  </si>
  <si>
    <t>এই প্রবাদের ডুপ্লিকেট আছে (id: 6683, 6684), এটা রাখো (সবচেয়ে ছোট id)।</t>
  </si>
  <si>
    <t>যদি কর তাড়াতাড়ি ভুলের হবে বাড়াবাড়ি২</t>
  </si>
  <si>
    <t>তাড়াতাড়ি করলে ভুল (দ্বিতীয়)</t>
  </si>
  <si>
    <t>সতর্ক</t>
  </si>
  <si>
    <t>Haste increases errors</t>
  </si>
  <si>
    <t>ডুপ্লিকেট - id 6683 রাখা হচ্ছে, এই row বাদ দাও।</t>
  </si>
  <si>
    <t>যদি কাজ সুষ্টভাবে সম্পন্ন হোক চাও তবে কাজ নিজে কর</t>
  </si>
  <si>
    <t>কাজ ভালো করতে চাইলে নিজে কর</t>
  </si>
  <si>
    <t>If you want work done well, do it yourself</t>
  </si>
  <si>
    <t>যদি কাটে কালসাপে কি করবে রোজার বাপে</t>
  </si>
  <si>
    <t>কালসাপে কাটলে রোজার বাবা কী করবে</t>
  </si>
  <si>
    <t>বিপদে অসহায়</t>
  </si>
  <si>
    <t>If black snake bites, what can father do?</t>
  </si>
  <si>
    <t>যদি গব্য থাকে আগে পাছে, কি করে তার শাকে মাছে</t>
  </si>
  <si>
    <t>গরু থাকলে শাক-মাছে কী</t>
  </si>
  <si>
    <t>If you have cow, why worry about greens and fish</t>
  </si>
  <si>
    <t>যদি জগৎকে নতুন কিছু দিতে না পারো, তবে তুমি জগতের বোঝাস্বরূপ</t>
  </si>
  <si>
    <t>জগৎকে কিছু দিতে না পারলে তুমি বোঝা</t>
  </si>
  <si>
    <t>অবদান</t>
  </si>
  <si>
    <t>If you can't give the world something new, you're a burden</t>
  </si>
  <si>
    <t>যদি থাকে নসিবে আপনি আপনি আসিবে</t>
  </si>
  <si>
    <t>ভাগ্য থাকলে আপনি আসবে</t>
  </si>
  <si>
    <t>If fate wills, it will come</t>
  </si>
  <si>
    <t>যদি দুটি পাখির পিছনে ছোট তবে একটিও পাবে না</t>
  </si>
  <si>
    <t>দুটি পাখির পিছনে ছুটলে একটিও না</t>
  </si>
  <si>
    <t>Chase two birds, catch none</t>
  </si>
  <si>
    <t>যদি দেখ মাকুন্দচোপা এক পাও এগিয়ো না বাপা</t>
  </si>
  <si>
    <t>মাকুন্দচোপা দেখলে এক পাও এগিও না</t>
  </si>
  <si>
    <t>If you see a Makundachopa, don't advance a foot</t>
  </si>
  <si>
    <t>যদি নাচো তবে বাজনাদারদের পয়সা দিও</t>
  </si>
  <si>
    <t>নাচলে বাজনাদারদের দাও</t>
  </si>
  <si>
    <t>পারিশ্রমিক</t>
  </si>
  <si>
    <t>If you dance, pay musicians</t>
  </si>
  <si>
    <t>ন্যায্যতা</t>
  </si>
  <si>
    <t>যদি না থেমে যাও কিছু এসে যায় না কত আস্তে তুমি হাঁটছো</t>
  </si>
  <si>
    <t>থামো না, ধীর চলো</t>
  </si>
  <si>
    <t>If you don't stop, pace doesn't matter</t>
  </si>
  <si>
    <t>যদি না হয় আগনে বৃষ্টি, তবে না হয় কাঁঠালের সৃষ্টি- খনা</t>
  </si>
  <si>
    <t>আগনে বৃষ্টি না হলে কাঁঠাল ভালো না</t>
  </si>
  <si>
    <t>If no rain in Agun, no jackfruit</t>
  </si>
  <si>
    <t>যদি পড়ে পাশা তবে জেতে চাষা</t>
  </si>
  <si>
    <t>পাশা পড়লে চাষা জেতে</t>
  </si>
  <si>
    <t>If dice fall right, farmer wins</t>
  </si>
  <si>
    <t>যদি পোত ফাগুনে কলা, কলা হবে মাস ফসলা- খনা</t>
  </si>
  <si>
    <t>ফাগুনে কলা পুঁতলে মাসে ফসল</t>
  </si>
  <si>
    <t>Plant banana in Falgun, fruit in a month</t>
  </si>
  <si>
    <t>যদি বর্ষে আগনে, রাজা যায় মাগনে- খনা</t>
  </si>
  <si>
    <t>আগনে বৃষ্টি হলে রাজা ভিক্ষায়</t>
  </si>
  <si>
    <t>If rain in Agun, king begs</t>
  </si>
  <si>
    <t>যদি বর্ষে চৈতে বৃষ্টি তবে হবে ধানের সৃষ্টি- খনা</t>
  </si>
  <si>
    <t>চৈত্রে বৃষ্টি হলে ধান হয়</t>
  </si>
  <si>
    <t>Rain in Chaitra brings paddy</t>
  </si>
  <si>
    <t>যদি বর্ষে পৌষে, কড়ি হয় তুষে- খনা</t>
  </si>
  <si>
    <t>পৌষে বৃষ্টি হলে তুষে কড়ি</t>
  </si>
  <si>
    <t>Rain in Poush makes husks valuable</t>
  </si>
  <si>
    <t>যদি বর্ষে ফাগুনে, ফসল হবে দ্বিগুণে- খনা</t>
  </si>
  <si>
    <t>ফাগুনে বৃষ্টি হলে ফসল দ্বিগুণ</t>
  </si>
  <si>
    <t>Rain in Falgun doubles crop</t>
  </si>
  <si>
    <t>যদি বর্ষে মাঘের শেষ, ধন্য রাজার পূণ্য দেশ- খনা</t>
  </si>
  <si>
    <t>মাঘের শেষে বৃষ্টি, ধন্য রাজা</t>
  </si>
  <si>
    <t>Rain at end of Magh, blessed land</t>
  </si>
  <si>
    <t>যদি বাঁচতে চাও, তবে হাসতে শেখো</t>
  </si>
  <si>
    <t>বাঁচতে চাইলে হাসতে শেখো</t>
  </si>
  <si>
    <t>হাসি</t>
  </si>
  <si>
    <t>If you want to live, learn to laugh</t>
  </si>
  <si>
    <t>আনন্দ</t>
  </si>
  <si>
    <t>যদি বিবেককে বড় কর শত্রু বাড়বে, যদি হৃদয়কে বড় কর বন্ধু বাড়বে</t>
  </si>
  <si>
    <t>বিবেক বাড়ালে শত্রু, হৃদয় বাড়ালে বন্ধু</t>
  </si>
  <si>
    <t>হৃদয়</t>
  </si>
  <si>
    <t>Enlarge conscience, enemies; enlarge heart, friends</t>
  </si>
  <si>
    <t>যদি বোকার মত কোন কাজ না কর তবে কেউ তোমাকে কামড়াতে আসবে না</t>
  </si>
  <si>
    <t>বোকার মতো কাজ না করলে কামড়াবে না</t>
  </si>
  <si>
    <t>If you don't act foolishly, none will bite you</t>
  </si>
  <si>
    <t>যদি ভবিষৎ জানতে চাও তবে অতীত থেক শিক্ষা নাও</t>
  </si>
  <si>
    <t>ভবিষ্যৎ জানতে অতীত থেকে শিক্ষা</t>
  </si>
  <si>
    <t>If you want future, learn from past</t>
  </si>
  <si>
    <t>যদি ভুল কর এবং সংশোধন না কর তবে সেটাই হবে প্রকৃত ভুল</t>
  </si>
  <si>
    <t>ভুল করে সংশোধন না করলে প্রকৃত ভুল</t>
  </si>
  <si>
    <t>To err and not correct is the real mistake</t>
  </si>
  <si>
    <t>যদি মন তুষ্ট থাকে তবে কেবা ধনী কেবা দরিদ্র</t>
  </si>
  <si>
    <t>মন তুষ্ট থাকলে ধনী-দরিদ্র সমান</t>
  </si>
  <si>
    <t>If content, who is rich or poor?</t>
  </si>
  <si>
    <t>যদি মাথা নত করতেই হয় তবে একটু নত করো</t>
  </si>
  <si>
    <t>মাথা নত করতেই হলে একটু নত</t>
  </si>
  <si>
    <t>If you must bow, bow a little</t>
  </si>
  <si>
    <t>যদির কথা নদীতে</t>
  </si>
  <si>
    <t>If' belongs in river</t>
  </si>
  <si>
    <t>অনিশ্চয়তা</t>
  </si>
  <si>
    <t>যদি শুয়োর কথা বলতে পারতো তবে ভগবান শুয়োরের মত দেখতে হত</t>
  </si>
  <si>
    <t>শুয়োর কথা বললে ভগবান শুয়োরের মতো</t>
  </si>
  <si>
    <t>If pigs could talk, God would look like pig</t>
  </si>
  <si>
    <t>যদি সৎসঙ্গতিরতো ভবিষ্যসি ভবিষ্যসি, অথ দুর্জনসংসর্গে পতিষ্যসি পতিষ্যসি</t>
  </si>
  <si>
    <t>সৎসঙ্গে উঠবে, দুর্জনে পড়বে</t>
  </si>
  <si>
    <t>In good company you rise, in bad you fall</t>
  </si>
  <si>
    <t>যদি সামনের রাস্তাসম্পর্কে জানতে চাও তবে যারা ফিরছে তাদের কাছে খোঁজ নাও</t>
  </si>
  <si>
    <t>সামনের পথ জানতে ফেরতদের জিজ্ঞাসা</t>
  </si>
  <si>
    <t>Ask those returning about the road ahead</t>
  </si>
  <si>
    <t>যদি সেরা জিনিস না পাও তবে যা পেয়েছো তাকেই সেরা বানাও</t>
  </si>
  <si>
    <t>সেরা না পেলে পাওয়াকে সেরা ভাব</t>
  </si>
  <si>
    <t>If not the best, make what you have best</t>
  </si>
  <si>
    <t>যদি হয় কুজন, নয় ঘরে/পিঁড়িতে একজন/ন'জন</t>
  </si>
  <si>
    <t>কুজন হলে নয় ঘরে একজন</t>
  </si>
  <si>
    <t>দুষ্ট একা</t>
  </si>
  <si>
    <t>If bad, one in nine homes</t>
  </si>
  <si>
    <t>যদি হয় সুজন, এক ঘরে/পিঁড়িতে দু'জন/ন'জন</t>
  </si>
  <si>
    <t>সুজন হলে এক ঘরে ন'জন</t>
  </si>
  <si>
    <t>সৎ একত্র</t>
  </si>
  <si>
    <t>If good, nine in one home</t>
  </si>
  <si>
    <t>যদি হরিপদে থাকে মন তবে হৃদয় মাঝে বৃন্দাবন</t>
  </si>
  <si>
    <t>হরির প্রতি মন থাকলে হৃদয়ে বৃন্দাবন</t>
  </si>
  <si>
    <t>If mind on Hari, heart becomes Vrindavan</t>
  </si>
  <si>
    <t>যদ্দৃষ্টং তদ লিখিতং লেখকে নাস্তি দোষণং</t>
  </si>
  <si>
    <t>As seen, so written</t>
  </si>
  <si>
    <t>যদ্যপি আমার গুরু শুড়িবাড়ি যায়, তথাপি আমার গুরু নিত্যানন্দ রায়</t>
  </si>
  <si>
    <t>গুরু শুড়িবাড়ি গেলে ও গুরু নিত্যানন্দ</t>
  </si>
  <si>
    <t>গুরু ভক্তি</t>
  </si>
  <si>
    <t>Though guru visits liquor, he is Nityananda</t>
  </si>
  <si>
    <t>গুরু</t>
  </si>
  <si>
    <t>ডুপ্লিকেট - id 6719 রাখা হচ্ছে, এই row বাদ দাও।</t>
  </si>
  <si>
    <t>যঃ পলাতি/পলায়তি সঃ জীবতি</t>
  </si>
  <si>
    <t>যে পালায় সে বাঁচে</t>
  </si>
  <si>
    <t>He who flees, lives</t>
  </si>
  <si>
    <t>যম (জন) জামাই ভাগনা, এ তিন নয় আপনা</t>
  </si>
  <si>
    <t>জন, জামাই, ভাগ্নে—এই তিন আপনা নয়</t>
  </si>
  <si>
    <t>Man, son-in-law, nephew are not yours</t>
  </si>
  <si>
    <t>জামাই/ভাগ্নে</t>
  </si>
  <si>
    <t>যমের অরুচি</t>
  </si>
  <si>
    <t>মৃত্যুর অনীহা</t>
  </si>
  <si>
    <t>Death's aversion</t>
  </si>
  <si>
    <t>যমের খাতায় তলব পড়া</t>
  </si>
  <si>
    <t>যমের খাতায় তলব</t>
  </si>
  <si>
    <t>Summoned in Yama's book</t>
  </si>
  <si>
    <t>যমের দক্ষিণদুয়ার দেখা/দেখানো</t>
  </si>
  <si>
    <t>যমের দক্ষিণদুয়ার দেখা</t>
  </si>
  <si>
    <t>See Yama's south door</t>
  </si>
  <si>
    <t>যমের দোসর</t>
  </si>
  <si>
    <t>দুঃসাহসী</t>
  </si>
  <si>
    <t>Yama's companion</t>
  </si>
  <si>
    <t>যমের বাড়ি যাওয়া</t>
  </si>
  <si>
    <t>Go to Yama's house</t>
  </si>
  <si>
    <t>যমের বাড়ির পথ সবাই চেনে</t>
  </si>
  <si>
    <t>সবাই মরে</t>
  </si>
  <si>
    <t>Everyone knows Yama's road</t>
  </si>
  <si>
    <t>যশবানের বিনাশ নাই</t>
  </si>
  <si>
    <t>যশবানের বিনাশ নেই</t>
  </si>
  <si>
    <t>যশ অমর</t>
  </si>
  <si>
    <t>The famous never perish</t>
  </si>
  <si>
    <t>যশ</t>
  </si>
  <si>
    <t>যশোদা মা ভাগ্যবতী পরের পুতে পুত্রবতী</t>
  </si>
  <si>
    <t>যশোদা ভাগ্যবতী, পরের পুত্রে পুত্রবতী</t>
  </si>
  <si>
    <t>দত্তক স্নেহ</t>
  </si>
  <si>
    <t>Yashoda blessed with another's son</t>
  </si>
  <si>
    <t>যস্মিন দেশে যদাচারঃ</t>
  </si>
  <si>
    <t>যে দেশে যে আচার</t>
  </si>
  <si>
    <t>দেশাচার</t>
  </si>
  <si>
    <t>In that country, that custom</t>
  </si>
  <si>
    <t>যা আছে তাই নিয়ে সন্তুষ্ট থাকো, যা নেই তার জন্য আক্ষেপ করো না</t>
  </si>
  <si>
    <t>যা আছে তাতে সন্তুষ্ট, নেই তার জন্য নয়</t>
  </si>
  <si>
    <t>Be content with what you have; don't regret what you lack</t>
  </si>
  <si>
    <t>যাইলে রামে বধে না যাইলে রাবণ বধে</t>
  </si>
  <si>
    <t>গেলে রাম বধে, না গেলে রাবণ</t>
  </si>
  <si>
    <t>If go, Ram kills; if not, Ravan</t>
  </si>
  <si>
    <t>যাক প্রাণ থাক মান</t>
  </si>
  <si>
    <t>প্রাণ যাক, মান থাক</t>
  </si>
  <si>
    <t>মান বাঁচাও</t>
  </si>
  <si>
    <t>Let life go, keep honor</t>
  </si>
  <si>
    <t>যাক শত্রু পরে পরে</t>
  </si>
  <si>
    <t>শত্রু যাক পরে পরে</t>
  </si>
  <si>
    <t>শত্রু নাশ</t>
  </si>
  <si>
    <t>Enemies fall one by one</t>
  </si>
  <si>
    <t>যাকে/যারে দেখতে না পারি তার চলন বাঁকা</t>
  </si>
  <si>
    <t>যাকে দেখতে পারি না তার চলন বাঁকা</t>
  </si>
  <si>
    <t>Whom I can't stand, their gait is crooked</t>
  </si>
  <si>
    <t>যাকে/যারে রাখ সেই রাখে১</t>
  </si>
  <si>
    <t>যাকে রাখো সেই রাখে</t>
  </si>
  <si>
    <t>কর্তার ইচ্ছা</t>
  </si>
  <si>
    <t>Whom you keep, keeps</t>
  </si>
  <si>
    <t>এই প্রবাদের ডুপ্লিকেট আছে (id: 6737, 6738), এটা রাখো (সবচেয়ে ছোট id)।</t>
  </si>
  <si>
    <t>যাকে/যারে রাখ সেই রাখে২</t>
  </si>
  <si>
    <t>যাকে রাখো সেই রাখে (দ্বিতীয়)</t>
  </si>
  <si>
    <t>আস্থা</t>
  </si>
  <si>
    <t>Whom you trust, sustains</t>
  </si>
  <si>
    <t>ডুপ্লিকেট - id 6737 রাখা হচ্ছে, এই row বাদ দাও।</t>
  </si>
  <si>
    <t>যা কেউ সন্দেহ করে না, তা কখনো প্রমাণ করতে যেও না</t>
  </si>
  <si>
    <t>সন্দেহহীন প্রমাণ নয়</t>
  </si>
  <si>
    <t>অযথা নয়</t>
  </si>
  <si>
    <t>Never prove what no one doubts</t>
  </si>
  <si>
    <t>যা চকচক করে, তাই সোনা নয়</t>
  </si>
  <si>
    <t>চকচক করলেই সোনা নয়</t>
  </si>
  <si>
    <t>বাহ্যিক</t>
  </si>
  <si>
    <t>All that glitters is not gold</t>
  </si>
  <si>
    <t>যাচ্লে জামাই কাঁঠাল খান না, না যাচলে ভোঁতাও পান না</t>
  </si>
  <si>
    <t>যাচাই করলে জামাই কাঁঠাল খায় না, না করলে ভোঁতাও পায় না</t>
  </si>
  <si>
    <t>সুযোগ হারায়</t>
  </si>
  <si>
    <t>Invite son-in-law, he refuses; don't, he gets nothing</t>
  </si>
  <si>
    <t>জামাই</t>
  </si>
  <si>
    <t>যাচ্লে মাণিক বিকায় না১</t>
  </si>
  <si>
    <t>যাচাই করলে মাণিক বিক্রি হয় না</t>
  </si>
  <si>
    <t>গুণ চাপালে</t>
  </si>
  <si>
    <t>A gem doesn't sell if hawked</t>
  </si>
  <si>
    <t>এই প্রবাদের ডুপ্লিকেট আছে (id: 6743, 6744), এটা রাখো (সবচেয়ে ছোট id)।</t>
  </si>
  <si>
    <t>যাচ্লে মাণিক বিকায় না২</t>
  </si>
  <si>
    <t>যাচাই করলে মাণিক বিক্রি হয় না (দ্বিতীয়)</t>
  </si>
  <si>
    <t>অতিরিক্ত আগ্রহ</t>
  </si>
  <si>
    <t>Gems don't sell by begging</t>
  </si>
  <si>
    <t>ডুপ্লিকেট - id 6743 রাখা হচ্ছে, এই row বাদ দাও।</t>
  </si>
  <si>
    <t>যাচা ভাত কাচা কাপড়</t>
  </si>
  <si>
    <t>যাচা ভাত, কাচা কাপড়</t>
  </si>
  <si>
    <t>খারাপ জিনিস</t>
  </si>
  <si>
    <t>Asked rice, raw cloth</t>
  </si>
  <si>
    <t>যা চোখে দেখ না, তা মুখে আবিস্কার করো না</t>
  </si>
  <si>
    <t>চোখে না দেখলে মুখে বলো না</t>
  </si>
  <si>
    <t>মিথ্যা নয়</t>
  </si>
  <si>
    <t>Don't invent what eyes haven't seen</t>
  </si>
  <si>
    <t>যা ছোঁয় তাই সোনা</t>
  </si>
  <si>
    <t>Whatever touches becomes gold</t>
  </si>
  <si>
    <t>জাঁতা জানে, পেষণকারী জানে</t>
  </si>
  <si>
    <t>ডুপ্লিকেট - id 6615 রাখা হচ্ছে, এই row বাদ দাও।</t>
  </si>
  <si>
    <t>যা জানে জাঁতা জানে, যে পিষে সেই জানে২</t>
  </si>
  <si>
    <t>জাঁতা জানে, যে পিষে সেই জানে (দ্বিতীয়)</t>
  </si>
  <si>
    <t>অন্তরঙ্গ</t>
  </si>
  <si>
    <t>যা' নেই ভারতে তা' নেই ভারতে</t>
  </si>
  <si>
    <t>যা নেই ভারতে তা নেই ভারতে</t>
  </si>
  <si>
    <t>ভারতে সব</t>
  </si>
  <si>
    <t>What's not in India is not in India</t>
  </si>
  <si>
    <t>স্বদেশ</t>
  </si>
  <si>
    <t>যা পাল্টানো যায় না তা মেনে নেওয়াই ভাল</t>
  </si>
  <si>
    <t>যা বদলানো যায় না তা মেনে নাও</t>
  </si>
  <si>
    <t>স্বীকৃতি</t>
  </si>
  <si>
    <t>Accept what cannot be changed</t>
  </si>
  <si>
    <t>যাদৃশী ভাবনা যস্য, সিদ্ধির্ভবতি তাদৃশী</t>
  </si>
  <si>
    <t>যেমন ভাবনা তেমন সিদ্ধি</t>
  </si>
  <si>
    <t>ভাবনা</t>
  </si>
  <si>
    <t>As one's thought, so success</t>
  </si>
  <si>
    <t>যাবৎ চন্দ্রদিবাকরৌ</t>
  </si>
  <si>
    <t>যতদিন চন্দ্র সূর্য</t>
  </si>
  <si>
    <t>চিরকাল</t>
  </si>
  <si>
    <t>As long as moon and sun</t>
  </si>
  <si>
    <t>যাবৎ জীবন তাবৎ চিকিৎসা/চেষ্টা</t>
  </si>
  <si>
    <t>যতদিন জীবন ততদিন চেষ্টা</t>
  </si>
  <si>
    <t>While life, effort</t>
  </si>
  <si>
    <t>যাবৎ জীবেৎ সুখং জীবেৎ ঋণং কৃত্বয়া ঘৃতং পিবেৎ</t>
  </si>
  <si>
    <t>যতদিন বাঁচো সুখে বাঁচো, ঋণ করে ঘি খাও</t>
  </si>
  <si>
    <t>ভোগবাদ</t>
  </si>
  <si>
    <t>As long as you live, live happily; drink ghee even on debt</t>
  </si>
  <si>
    <t>যাবৎ ভুঁই তাবৎ গড়গড়া</t>
  </si>
  <si>
    <t>যতক্ষণ মাটি তত গড়গড়া</t>
  </si>
  <si>
    <t>While earth, body</t>
  </si>
  <si>
    <t>যাবৎ শ্বাস তাবৎ আশ</t>
  </si>
  <si>
    <t>যতক্ষণ শ্বাস তত আশা</t>
  </si>
  <si>
    <t>যাবৎ সীতা তাবৎ দুঃখ</t>
  </si>
  <si>
    <t>যতদিন সীতা ততদিন দুঃখ</t>
  </si>
  <si>
    <t>As long as Sita, sorrow</t>
  </si>
  <si>
    <t>যায় শত্রু পরে পরে</t>
  </si>
  <si>
    <t>শত্রু যায় পরে পরে</t>
  </si>
  <si>
    <t>Enemies go one by one</t>
  </si>
  <si>
    <t>যা যস্য প্রকৃতি স্বভাবজনিতা কেনাপি ন তজ্যতে</t>
  </si>
  <si>
    <t>যার প্রকৃতি স্বভাবজনিত, কেউ ত্যাগ করে না</t>
  </si>
  <si>
    <t>One's innate nature cannot be abandoned</t>
  </si>
  <si>
    <t>যার আকাঙ্ক্ষা বিশাল, সেই আসল দরিদ্র</t>
  </si>
  <si>
    <t>যার আকাঙ্ক্ষা বিশাল সেই দরিদ্র</t>
  </si>
  <si>
    <t>One with huge desires is truly poor</t>
  </si>
  <si>
    <t>যার আছে আগে পাছে, কি করে তার শাকে মাছে</t>
  </si>
  <si>
    <t>যার আগে-পিছে আছে, তার শাক-মাছে কী</t>
  </si>
  <si>
    <t>One with resources lacks nothing</t>
  </si>
  <si>
    <t>যার আছে কিছু তার হও কিছু যার নাই কিছু তার যাও কিছু</t>
  </si>
  <si>
    <t>যার কিছু আছে তার আরও হয়, যার নেই তার যায়</t>
  </si>
  <si>
    <t>ধনী আরও ধনী</t>
  </si>
  <si>
    <t>To him who has, more; from him who lacks, even that</t>
  </si>
  <si>
    <t>যার উত্থান নেই, তার পতনও নেই</t>
  </si>
  <si>
    <t>উত্থান নেই পতন নেই</t>
  </si>
  <si>
    <t>স্থিতিশীল</t>
  </si>
  <si>
    <t>No rise, no fall</t>
  </si>
  <si>
    <t>যার এককান কাটা সে গাঁয়ের বার দিয়ে যায় যার দু'কান কাটা সে গাঁয়ের মাঝ দিয়ে যায়</t>
  </si>
  <si>
    <t>এক কান কাটা ধার দিয়ে, দুকান কাটা মাঝ দিয়ে</t>
  </si>
  <si>
    <t>বেহায়া</t>
  </si>
  <si>
    <t>One-eared sneaks, two-eared walks boldly</t>
  </si>
  <si>
    <t>লজ্জাহীনতা</t>
  </si>
  <si>
    <t>যার কর্ম/কাজ তারে সাজে, অন্যলোকের লাঠি বাজে</t>
  </si>
  <si>
    <t>যার কাজ তারে সাজে, অন্যের লাঠি বাজে</t>
  </si>
  <si>
    <t>নিজের কাজ</t>
  </si>
  <si>
    <t>Work suits doer, stick others</t>
  </si>
  <si>
    <t>যার খাই তার গাই</t>
  </si>
  <si>
    <t>যার খাই তার গুণ গাই</t>
  </si>
  <si>
    <t>কৃতজ্ঞতা</t>
  </si>
  <si>
    <t>Sing praise of whose food I eat</t>
  </si>
  <si>
    <t>যার খায় তারেই গালায়</t>
  </si>
  <si>
    <t>যে খায় তাকেই গাল দেয়</t>
  </si>
  <si>
    <t>Who feeds, he abuses</t>
  </si>
  <si>
    <t>যার গরু কাদায় পড়ে তার দুনো বল হয়</t>
  </si>
  <si>
    <t>গরু কাদায় পড়লে তার দ্বিগুণ বল</t>
  </si>
  <si>
    <t>বিপদে শক্তি</t>
  </si>
  <si>
    <t>One whose cow sinks in mud doubles strength</t>
  </si>
  <si>
    <t>যার গোপনীয়তা প্রকাশ পায়, তার বিরুদ্ধে ষড়যন্ত্রকারীদের সংখ্যা বৃদ্ধি পায়</t>
  </si>
  <si>
    <t>গোপন প্রকাশে ষড়যন্ত্র</t>
  </si>
  <si>
    <t>Secrets revealed breed conspirators</t>
  </si>
  <si>
    <t>যার গোলায় ধান তার কথায় টান</t>
  </si>
  <si>
    <t>যার গোলায় ধান তার কথায় জোর</t>
  </si>
  <si>
    <t>One with granary speaks authority</t>
  </si>
  <si>
    <t>যার ছয়ে হয় না তার ছিয়াত্তরেও হয় না</t>
  </si>
  <si>
    <t>ছয়ে হয় না, ছিয়াত্তরেও হয় না</t>
  </si>
  <si>
    <t>If not at six, not at seventy-six</t>
  </si>
  <si>
    <t>যার ছেলে কুমীরে খায় সে ঢেঁকি দেখলে ডরায়</t>
  </si>
  <si>
    <t>ছেলেকে কুমিরে খেলে ঢেঁকি দেখলে ভয়</t>
  </si>
  <si>
    <t>One whose son was eaten by crocodile fears dheki</t>
  </si>
  <si>
    <t>যার জন্য চুরি করি সেই বলে চোর</t>
  </si>
  <si>
    <t>The one for whom I steal calls me thief</t>
  </si>
  <si>
    <t>যার জ্বালা সেই জানে</t>
  </si>
  <si>
    <t>যার কষ্ট সেই বোঝে</t>
  </si>
  <si>
    <t>Only sufferer knows</t>
  </si>
  <si>
    <t>ডুপ্লিকেট - id 468 রাখা হচ্ছে, এই row বাদ দাও।</t>
  </si>
  <si>
    <t>যা রটে তার কিছু বটে</t>
  </si>
  <si>
    <t>গুজবের ভিত্তি</t>
  </si>
  <si>
    <t>Where rumor, some truth</t>
  </si>
  <si>
    <t>গুজব</t>
  </si>
  <si>
    <t>যার ট্যাঁকে টাকা, তার কথা বাঁকা</t>
  </si>
  <si>
    <t>ট্যাঁকে টাকা, কথা বাঁকা</t>
  </si>
  <si>
    <t>ধনীর দেমাক</t>
  </si>
  <si>
    <t>Money in pocket, crooked talk</t>
  </si>
  <si>
    <t>যার তলোয়ার তার দেশ</t>
  </si>
  <si>
    <t>তলোয়ার যার দেশ তার</t>
  </si>
  <si>
    <t>Whose sword, his country</t>
  </si>
  <si>
    <t>যার দৌলতে রামের মা তারেই তুমি চেন না</t>
  </si>
  <si>
    <t>যার দৌলতে রামের মা তাকে চেন না</t>
  </si>
  <si>
    <t>You don't know him through whom Ram's mother</t>
  </si>
  <si>
    <t>যার ধন তার ধন নয়, নেপোয় মারে দই২</t>
  </si>
  <si>
    <t>যার ধন তার ধন নয়, নেপো মারে দই (দ্বিতীয়)</t>
  </si>
  <si>
    <t>Not owner, weak buys curd</t>
  </si>
  <si>
    <t>ডুপ্লিকেট - id 6780 রাখা হচ্ছে, এই row বাদ দাও।</t>
  </si>
  <si>
    <t>যার ধন তার ধন নয়, নেপোয় মারে দই৩</t>
  </si>
  <si>
    <t>যার ধন তার ধন নয়, নেপো মারে দই (তৃতীয়)</t>
  </si>
  <si>
    <t>Weak man buys curd</t>
  </si>
  <si>
    <t>যার নাম চারকড়া তার নাম একগণ্ডা</t>
  </si>
  <si>
    <t>যার নাম চারকড়া, তার নাম একগণ্ডা</t>
  </si>
  <si>
    <t>One's name four pennies, another one penny</t>
  </si>
  <si>
    <t>যার নাম চালভাজা তার নাম মুড়ি</t>
  </si>
  <si>
    <t>নাম ভিন্ন</t>
  </si>
  <si>
    <t>One named fried rice, another puffed rice</t>
  </si>
  <si>
    <t>যার নিয়তি/মরণ যেখানে কে খণ্ডাকে সেখানে</t>
  </si>
  <si>
    <t>যার মরণ যেখানে, কে খণ্ডায়</t>
  </si>
  <si>
    <t>Who can avert one's destined death?</t>
  </si>
  <si>
    <t>যার নূন খাই তার গুণ হাই</t>
  </si>
  <si>
    <t>যার লবণ খাই তার গুণ গাই</t>
  </si>
  <si>
    <t>Sing praise of whose salt I eat</t>
  </si>
  <si>
    <t>যার প্রতিবিধান নেই, তা সহ্য করা উচিৎ</t>
  </si>
  <si>
    <t>প্রতিবিধান নেই, সহ্য</t>
  </si>
  <si>
    <t>What cannot be cured must be endured</t>
  </si>
  <si>
    <t>যার বোঝা তার ঘাড়ে</t>
  </si>
  <si>
    <t>দায়</t>
  </si>
  <si>
    <t>Burden on owner's shoulder</t>
  </si>
  <si>
    <t>যার মনে যা লয়১</t>
  </si>
  <si>
    <t>যার মনে যা লয়</t>
  </si>
  <si>
    <t>মনের ইচ্ছা</t>
  </si>
  <si>
    <t>As one's mind wishes</t>
  </si>
  <si>
    <t>এই প্রবাদের ডুপ্লিকেট আছে (id: 6792, 6793), এটা রাখো (সবচেয়ে ছোট id)।</t>
  </si>
  <si>
    <t>যার মনে যা লয়২</t>
  </si>
  <si>
    <t>যার মনে যা লয় (দ্বিতীয়)</t>
  </si>
  <si>
    <t>নিজের ইচ্ছা</t>
  </si>
  <si>
    <t>Whatever one's mind wants</t>
  </si>
  <si>
    <t>ডুপ্লিকেট - id 6792 রাখা হচ্ছে, এই row বাদ দাও।</t>
  </si>
  <si>
    <t>যার মন্দ সহ্য করার ক্ষমতা নেই সে ভালো দেখার জন্য বেঁচে থাকে না</t>
  </si>
  <si>
    <t>মন্দ সহ্য নয়, ভালো দেখার জন্য বাঁচে না</t>
  </si>
  <si>
    <t>He who can't bear evil doesn't live to see good</t>
  </si>
  <si>
    <t>যার মাটি তার সাথে না আঁটি</t>
  </si>
  <si>
    <t>Don't quarrel with landowner</t>
  </si>
  <si>
    <t>যার মাথায় পাকা চুল তার নাম বুড়ি</t>
  </si>
  <si>
    <t>পাকা চুল মানে বুড়ি</t>
  </si>
  <si>
    <t>Gray hair makes one old</t>
  </si>
  <si>
    <t>যার মাদুর নেই তার উত্তর শিয়র</t>
  </si>
  <si>
    <t>মাদুর নেই উত্তর শিয়র</t>
  </si>
  <si>
    <t>ভিত্তি</t>
  </si>
  <si>
    <t>No mat, but pillow</t>
  </si>
  <si>
    <t>যার মান নেই সে মানীর অপমান দেখলে খুশি হয়</t>
  </si>
  <si>
    <t>মানহীন মানীর অপমানে খুশি</t>
  </si>
  <si>
    <t>হিংসা</t>
  </si>
  <si>
    <t>One without honor rejoices at honorable's insult</t>
  </si>
  <si>
    <t>ঈর্ষা</t>
  </si>
  <si>
    <t>যার যখন কপাল ফেরে শুকনো ডাঙায় ডিঙি চরে</t>
  </si>
  <si>
    <t>কপাল ফিরলে শুকনো ডাঙায় ডিঙি</t>
  </si>
  <si>
    <t>When luck turns, boat sails on dry land</t>
  </si>
  <si>
    <t>যার যা রীত না ছাড়ে কদাচিৎ</t>
  </si>
  <si>
    <t>যার যা রীতি ছাড়ে না</t>
  </si>
  <si>
    <t>One's habit never leaves</t>
  </si>
  <si>
    <t>যার যে কথা নহে, সে কেন কথা কহে</t>
  </si>
  <si>
    <t>যার কথা নয়, সে কেন বলে</t>
  </si>
  <si>
    <t>Why speaks one who has no say?</t>
  </si>
  <si>
    <t>যার যেখানে ব্যথা তার সেখানে হাত</t>
  </si>
  <si>
    <t>নিজের কষ্ট</t>
  </si>
  <si>
    <t>Each touches own pain</t>
  </si>
  <si>
    <t>যার যেমন মতি তার তেমন গতি</t>
  </si>
  <si>
    <t>যেমন মতি তেমন গতি</t>
  </si>
  <si>
    <t>As mind, so fate</t>
  </si>
  <si>
    <t>যার যেমন মন তার তেমন ধন</t>
  </si>
  <si>
    <t>যেমন মন তেমন ধন</t>
  </si>
  <si>
    <t>As mind, so wealth</t>
  </si>
  <si>
    <t>ডুপ্লিকেট - id 1321 রাখা হচ্ছে, এই row বাদ দাও।</t>
  </si>
  <si>
    <t>যার লাঠি তার মাটি</t>
  </si>
  <si>
    <t>লাঠি যার মাটি তার</t>
  </si>
  <si>
    <t>Whose stick, his land</t>
  </si>
  <si>
    <t>যার শুরু ভাল তার শেষ ভাল</t>
  </si>
  <si>
    <t>শুরু ভালো, শেষ ভালো</t>
  </si>
  <si>
    <t>Good beginning, good ending</t>
  </si>
  <si>
    <t>যার শেষ ভালো, তার সব ভালো</t>
  </si>
  <si>
    <t>শেষ ভালো, সব ভালো</t>
  </si>
  <si>
    <t>All's well that ends well</t>
  </si>
  <si>
    <t>যার সাতে হয় না তার সাতাশীতেও হয় না</t>
  </si>
  <si>
    <t>সাতে হয় না, সাতাশীতেও নয়</t>
  </si>
  <si>
    <t>If not at seven, not at twenty-seven</t>
  </si>
  <si>
    <t>যার সাথে যার মজে মন কিবা হাড়ি কিবা ডোম</t>
  </si>
  <si>
    <t>যার সাথে যার মন মজে, হাঁড়ি বা ডোম</t>
  </si>
  <si>
    <t>Whom one loves, pot or low caste</t>
  </si>
  <si>
    <t>যার হাত জলে আছে আর যার হাত আগুনে আছে উভয়ে সমান নয়</t>
  </si>
  <si>
    <t>হাত জলে আর আগুনে সমান নয়</t>
  </si>
  <si>
    <t>বিপদ ভিন্ন</t>
  </si>
  <si>
    <t>Hand in water vs hand in fire not equal</t>
  </si>
  <si>
    <t>যার হাতে খাই নি সে বড় রাঁধুনী</t>
  </si>
  <si>
    <t>যার হাতে খাই নি সে বড় রাঁধুনি</t>
  </si>
  <si>
    <t>অজানা</t>
  </si>
  <si>
    <t>The one whose hand I didn't eat, he is great cook</t>
  </si>
  <si>
    <t>কল্পনা</t>
  </si>
  <si>
    <t>যারা অর্থশালী তাদের কাছে আইন আকাশের মত, যারা অর্থহীন তাদের কাছে আইন মাকড়সার জালের মত</t>
  </si>
  <si>
    <t>ধনীর কাছে আইন আকাশ, গরিবের কাছে মাকড়সার জাল</t>
  </si>
  <si>
    <t>অর্থ ও আইন</t>
  </si>
  <si>
    <t>Law is sky to rich, cobweb to poor</t>
  </si>
  <si>
    <t>ধনী/গরিব</t>
  </si>
  <si>
    <t>যারা ঘটনা ঘটায় তাদের চেয়ে দর্শক বেশি বোঝে</t>
  </si>
  <si>
    <t>দর্শক বেশি বোঝে</t>
  </si>
  <si>
    <t>দর্শক</t>
  </si>
  <si>
    <t>Spectators understand more than actors</t>
  </si>
  <si>
    <t>যারা জন্মেছে তাদের প্রতি ঈর্ষা করো না যারা জন্মায়নি তাদের প্রতি ঈর্ষা কর</t>
  </si>
  <si>
    <t>জন্মেছে তাদের ঈর্ষা নয়, জন্মায়নি তাদের কর</t>
  </si>
  <si>
    <t>Envy not born, envy unborn</t>
  </si>
  <si>
    <t>যারা জন্মেছে তারা সব দুর্ভাগা; যারা জন্মায় নি তারা ভাগ্যবান</t>
  </si>
  <si>
    <t>জন্মেছে দুর্ভাগা, জন্মায়নি ভাগ্যবান</t>
  </si>
  <si>
    <t>নৈরাশ্য</t>
  </si>
  <si>
    <t>The born are unlucky, unborn lucky</t>
  </si>
  <si>
    <t>(চোখ থাকতে) যারা দেখে না, তাদের মত অন্ধ নেই</t>
  </si>
  <si>
    <t>চোখ থাকতে না দেখা অন্ধ</t>
  </si>
  <si>
    <t>উদাসীন</t>
  </si>
  <si>
    <t>None blinder than those who won't see</t>
  </si>
  <si>
    <t>যারা মন্দিরে যায়, তারা সবাই সাধু নয়</t>
  </si>
  <si>
    <t>মন্দিরে গেলেই সাধু নয়</t>
  </si>
  <si>
    <t>Not all temple-goers are saints</t>
  </si>
  <si>
    <t>যারা মিষ্টি কথা বলে, তারা সব বন্ধু নয়</t>
  </si>
  <si>
    <t>মিষ্টি কথা বললেই বন্ধু নয়</t>
  </si>
  <si>
    <t>Not all sweet talkers are friends</t>
  </si>
  <si>
    <t>(কান থাকতে) যারা শোনে না, তাদের মত কালা আর নেই</t>
  </si>
  <si>
    <t>কান থাকতে না শোনা কালা</t>
  </si>
  <si>
    <t>None deafer than those who won't hear</t>
  </si>
  <si>
    <t>যারে কাটে/খায় কালসাপে কি করে তার ওঝার বাপে</t>
  </si>
  <si>
    <t>কালসাপে কাটলে ওঝার বাবা কী</t>
  </si>
  <si>
    <t>If black snake bites, what can exorcist's father do?</t>
  </si>
  <si>
    <t>যারে দেখতে নারি তার চলন বাঁকা</t>
  </si>
  <si>
    <t>Whom I can't stand, their walk is crooked</t>
  </si>
  <si>
    <t>ডুপ্লিকেট - id 206 রাখা হচ্ছে, এই row বাদ দাও।</t>
  </si>
  <si>
    <t>যারে না বামুন বলি তার গায়ে নামাবলি</t>
  </si>
  <si>
    <t>বামুন নয়, তার গায়ে নামাবলি</t>
  </si>
  <si>
    <t>Not a Brahmin, but wears sacred cloth</t>
  </si>
  <si>
    <t>যা শত্রু পরে পরে</t>
  </si>
  <si>
    <t>শত্রু পরে পরে যায়</t>
  </si>
  <si>
    <t>Enemies fall one after another</t>
  </si>
  <si>
    <t>যা হবার তা হবে১</t>
  </si>
  <si>
    <t>যা হওয়ার তা হবে</t>
  </si>
  <si>
    <t>What will be, will be</t>
  </si>
  <si>
    <t>এই প্রবাদের ডুপ্লিকেট আছে (id: 6827, 6828), এটা রাখো (সবচেয়ে ছোট id)।</t>
  </si>
  <si>
    <t>যা হবার তা হবে২</t>
  </si>
  <si>
    <t>যা হবার তা হবে (দ্বিতীয়)</t>
  </si>
  <si>
    <t>What must happen will happen</t>
  </si>
  <si>
    <t>ডুপ্লিকেট - id 6827 রাখা হচ্ছে, এই row বাদ দাও।</t>
  </si>
  <si>
    <t>যা হবার হবে, ভাবনা কেন তবে</t>
  </si>
  <si>
    <t>যা হবে, ভাবনা কেন</t>
  </si>
  <si>
    <t>Why worry about what will be?</t>
  </si>
  <si>
    <t>যাহা চাই তাহা পাই না</t>
  </si>
  <si>
    <t>যা চাই তা পাই না</t>
  </si>
  <si>
    <t>I don't get what I wish</t>
  </si>
  <si>
    <t>যাহা নাই ভারতে তাহা নাই ভারতে</t>
  </si>
  <si>
    <t>যা নেই ভারতে তা নেই</t>
  </si>
  <si>
    <t>যাহা বাহান্ন তাহা তিপ্পান্ন২</t>
  </si>
  <si>
    <t>যা বাহান্ন তা তিপ্পান্ন (দ্বিতীয়)</t>
  </si>
  <si>
    <t>একই</t>
  </si>
  <si>
    <t>Fifty-two or fifty-three</t>
  </si>
  <si>
    <t>ডুপ্লিকেট - id 6832 রাখা হচ্ছে, এই row বাদ দাও।</t>
  </si>
  <si>
    <t>যাহা যায় তাহা যায়</t>
  </si>
  <si>
    <t>যা যায় তা যায়</t>
  </si>
  <si>
    <t>What goes, goes</t>
  </si>
  <si>
    <t>যিনি সকল জীবকে নিজের মত দর্শন করেন, তিনিই প্রকৃত পন্ডিত</t>
  </si>
  <si>
    <t>সব জীবকে নিজের মতো দেখে পণ্ডিত</t>
  </si>
  <si>
    <t>সমদর্শী</t>
  </si>
  <si>
    <t>He who sees all beings as himself is truly wise</t>
  </si>
  <si>
    <t>যুক্তিযুক্তমুপাদেয়ং বচনং বালকাদপি</t>
  </si>
  <si>
    <t>যুক্তিযুক্ত বালকের কথাও গ্রহণীয়</t>
  </si>
  <si>
    <t>যুক্তি</t>
  </si>
  <si>
    <t>Accept reasoned words even from child</t>
  </si>
  <si>
    <t>যুক্তিহীন বিচারে তু ধর্মহানি প্রজায়তেঃ</t>
  </si>
  <si>
    <t>যুক্তিহীন বিচারে ধর্মহানি</t>
  </si>
  <si>
    <t>Judgment without logic harms righteousness</t>
  </si>
  <si>
    <t>যুক্তিহীন লোক বাজি ধরে</t>
  </si>
  <si>
    <t>অবিবেচনা</t>
  </si>
  <si>
    <t>A person without logic gambles</t>
  </si>
  <si>
    <t>যুদ্ধের পর সিপাই হাজির</t>
  </si>
  <si>
    <t>যুদ্ধের পরে সিপাই আসে</t>
  </si>
  <si>
    <t>সময়ের পরে</t>
  </si>
  <si>
    <t>Soldier appears after battle</t>
  </si>
  <si>
    <t>যুদ্ধের শুরু ভালো তো অর্ধেক বিজয়</t>
  </si>
  <si>
    <t>শুরু ভালো অর্ধেক জয়</t>
  </si>
  <si>
    <t>Good start is half victory</t>
  </si>
  <si>
    <t>যুদ্ধ</t>
  </si>
  <si>
    <t>যুবায় যুবায় কথা প্রতি কথায় হাসি; বুড়োয় বুড়োয় কথা প্রতি কথায় কাশি</t>
  </si>
  <si>
    <t>যুবকরা হাসে, বুড়োরা কাশে</t>
  </si>
  <si>
    <t>Youth laughs, old coughs</t>
  </si>
  <si>
    <t>যে অধিকার আদায়ের জন্য লড়াই করা হয়, তা বিফলে যায় না</t>
  </si>
  <si>
    <t>অধিকার আদায়ের লড়াই ব্যর্থ হয় না</t>
  </si>
  <si>
    <t>A fight for rights is never in vain</t>
  </si>
  <si>
    <t>যে অনুপস্থিত সিংহকে হত্যা করে সে উপস্থিত ইঁদুরকে ভয় পায়</t>
  </si>
  <si>
    <t>অনুপস্থিত সিংহ হত্যা, উপস্থিত ইঁদুরে ভয়</t>
  </si>
  <si>
    <t>He who kills absent lion fears present mouse</t>
  </si>
  <si>
    <t>যে অবস্থায় আছে তাই থাকা ভালো, হস্তক্ষেপ করলে খারাপ হতে পারে</t>
  </si>
  <si>
    <t>যা আছে তাতে থাকো</t>
  </si>
  <si>
    <t>Stay as is, interference may worsen</t>
  </si>
  <si>
    <t>যে অলস, তার অলব্ধ-লাভ হয় না</t>
  </si>
  <si>
    <t>অলস অপ্রাপ্ত লাভ না</t>
  </si>
  <si>
    <t>The lazy gain nothing</t>
  </si>
  <si>
    <t>যে অল্পেতে সন্তষ্ট, তার কাছে সবকিছুই সহজ</t>
  </si>
  <si>
    <t>অল্পে সন্তুষ্ট, সব সহজ</t>
  </si>
  <si>
    <t>To contented, all is easy</t>
  </si>
  <si>
    <t>যে আগুন খাবে সে অঙ্গার বর্ষাবে</t>
  </si>
  <si>
    <t>আগুন খেলে অঙ্গার</t>
  </si>
  <si>
    <t>He who eats fire, spits embers</t>
  </si>
  <si>
    <t>যে আশা ত্যাগ করে, সে মরতে শুরু করে</t>
  </si>
  <si>
    <t>আশা ত্যাগে মৃত্যু</t>
  </si>
  <si>
    <t>He who gives up hope begins to die</t>
  </si>
  <si>
    <t>যে আসে/যায় লঙ্কায় সেই হয় রাবণ/রাক্ষস১</t>
  </si>
  <si>
    <t>লঙ্কায় গেলে রাবণ হয়</t>
  </si>
  <si>
    <t>Who goes to Lanka becomes Ravana</t>
  </si>
  <si>
    <t>এই প্রবাদের ডুপ্লিকেট আছে (id: 6850, 6851), এটা রাখো (সবচেয়ে ছোট id)।</t>
  </si>
  <si>
    <t>যে আসে/যায় লঙ্কায় সেই হয় রাবণ/রাক্ষস২</t>
  </si>
  <si>
    <t>লঙ্কায় গেলে রাক্ষস</t>
  </si>
  <si>
    <t>Enter Lanka, become demon</t>
  </si>
  <si>
    <t>ডুপ্লিকেট - id 6850 রাখা হচ্ছে, এই row বাদ দাও।</t>
  </si>
  <si>
    <t>যে একজনও শত্রু তৈরি করতে পারেনি, সে কারও বন্ধু নয়</t>
  </si>
  <si>
    <t>শত্রু তৈরি না করতে পারলে বন্ধু নয়</t>
  </si>
  <si>
    <t>He who made no enemy is no one's friend</t>
  </si>
  <si>
    <t>যে কথা অন্তর থেকে বেরোয় তা অন্তর স্পর্শ করে, যে কথা শুধু মুখ থেকে বেরোয় তা কান অতিক্রম করে না</t>
  </si>
  <si>
    <t>অন্তরের কথা অন্তর স্পর্শ, মুখের কথা কান পেরোয় না</t>
  </si>
  <si>
    <t>আন্তরিকতা</t>
  </si>
  <si>
    <t>Heartfelt words touch hearts; lip words don't pass ears</t>
  </si>
  <si>
    <t>যে কথা রটে সে কথা বটে</t>
  </si>
  <si>
    <t>যা রটে তা বটে</t>
  </si>
  <si>
    <t>What circulates is true</t>
  </si>
  <si>
    <t>যে কথা সেই কাজ</t>
  </si>
  <si>
    <t>কথা কাজ</t>
  </si>
  <si>
    <t>Words match deeds</t>
  </si>
  <si>
    <t>যে কথা সেই কিরে</t>
  </si>
  <si>
    <t>যে কথা সেই কীর্তি</t>
  </si>
  <si>
    <t>Words become deeds</t>
  </si>
  <si>
    <t>যে করে চক্ষুদান, তারেই কর অপমান</t>
  </si>
  <si>
    <t>চক্ষুদান করে, তাকেই অপমান</t>
  </si>
  <si>
    <t>He who gives sight is insulted</t>
  </si>
  <si>
    <t>যে করে দুঃখভোগ তার হয় সুখভোগ</t>
  </si>
  <si>
    <t>দুঃখভোগে সুখ</t>
  </si>
  <si>
    <t>Who suffers, enjoys later</t>
  </si>
  <si>
    <t>যে কহে বিস্তর সে কহে বিস্তর</t>
  </si>
  <si>
    <t>যে বেশি বলে সে বেশি মিথ্যা</t>
  </si>
  <si>
    <t>He who talks much, errs much</t>
  </si>
  <si>
    <t>যে কাঁটায় মাপ সেই কাঁটায় শোধ</t>
  </si>
  <si>
    <t>যে কাঁটায় মাপ, সেই কাঁটায় শোধ</t>
  </si>
  <si>
    <t>Measure with thorn, pay with thorn</t>
  </si>
  <si>
    <t>যে কাউকে বিশ্বাস করে না, কেউ তাকে বিশ্বাস করে না</t>
  </si>
  <si>
    <t>অবিশ্বাসীকে কেউ বিশ্বাস নয়</t>
  </si>
  <si>
    <t>Who trusts none is trusted by none</t>
  </si>
  <si>
    <t>যে কাজ কাল করার কথা, সেটা আজ নয় কেন? যে কাজ আজ করার কথা, সেটা এখন নয় কেন?</t>
  </si>
  <si>
    <t>কালের কাজ আজ, আজের কাজ এখন</t>
  </si>
  <si>
    <t>If work for tomorrow, why not today? If today, why not now?</t>
  </si>
  <si>
    <t>যে কাজের কথা অন্যে আগেই জেনে ফেলে সে কাজে সাফল্য আসে না</t>
  </si>
  <si>
    <t>গোপন কাজ সফল</t>
  </si>
  <si>
    <t>Work known by others doesn't succeed</t>
  </si>
  <si>
    <t>যে কাঠ খায় সে আঙরা হাগে</t>
  </si>
  <si>
    <t>কাঠ খেলে আঙরা</t>
  </si>
  <si>
    <t>He who eats wood, passes charcoal</t>
  </si>
  <si>
    <t>যে কাল যায় সেই কাল ভালো ছিল</t>
  </si>
  <si>
    <t>যে সময় যায় সে সময় ভালো</t>
  </si>
  <si>
    <t>The time that passes was good</t>
  </si>
  <si>
    <t>যে কুকুর গভীর গর্ত খোঁড়ে সে হাড় খুঁজে নেয়</t>
  </si>
  <si>
    <t>গভীর খোঁড়ে হাড় পায়</t>
  </si>
  <si>
    <t>Dog digging deep finds bone</t>
  </si>
  <si>
    <t>যে কুকুর ঘেউ ঘেউ করে সে কামড়ায় না</t>
  </si>
  <si>
    <t>ঘেউ কুকুর কামড়ায় না</t>
  </si>
  <si>
    <t>Barking dog doesn't bite</t>
  </si>
  <si>
    <t>যে কুকুর ডাকে না সে বড় খতরনক</t>
  </si>
  <si>
    <t>না ডাকা কুকুর বিপজ্জনক</t>
  </si>
  <si>
    <t>নীরব ঘাতক</t>
  </si>
  <si>
    <t>A dog that doesn't bark is dangerous</t>
  </si>
  <si>
    <t>যেখানে উৎপত্তি সেখানে নিস্পত্তি</t>
  </si>
  <si>
    <t>উৎপত্তি যেখানে, নিষ্পত্তি সেখানে</t>
  </si>
  <si>
    <t>সমাধান</t>
  </si>
  <si>
    <t>Where origin, there resolution</t>
  </si>
  <si>
    <t>যেখানে গভীরতা সব থেকে কম সেখান দিয়ে খাল পেরুবে</t>
  </si>
  <si>
    <t>কম গভীরে খাল পার</t>
  </si>
  <si>
    <t>Cross canal at shallowest</t>
  </si>
  <si>
    <t>যেখানে গুড় সেখানে পিঁপড়ে</t>
  </si>
  <si>
    <t>গুড়ে পিঁপড়ে</t>
  </si>
  <si>
    <t>Where jaggery, ants</t>
  </si>
  <si>
    <t>যেখানে জল পড়ে সেখানে ছাতা/ছাতি ধরা১</t>
  </si>
  <si>
    <t>জল পড়ে সেখানে ছাতা</t>
  </si>
  <si>
    <t>Hold umbrella where water drips</t>
  </si>
  <si>
    <t>এই প্রবাদের ডুপ্লিকেট আছে (id: 6873, 6874), এটা রাখো (সবচেয়ে ছোট id)।</t>
  </si>
  <si>
    <t>জল পড়ে সেখানে ছাতি (দ্বিতীয়)</t>
  </si>
  <si>
    <t>Umbrella where rain</t>
  </si>
  <si>
    <t>ডুপ্লিকেট - id 6873 রাখা হচ্ছে, এই row বাদ দাও।</t>
  </si>
  <si>
    <t>যেখানে জল সেখানে মাছ, যেখানে পাখী সেখানে গাছ</t>
  </si>
  <si>
    <t>জলে মাছ, গাছে পাখি</t>
  </si>
  <si>
    <t>Where water, fish; where tree, bird</t>
  </si>
  <si>
    <t>যেখানে জীব, সেখানে শিব</t>
  </si>
  <si>
    <t>জীব আছে শিব আছে</t>
  </si>
  <si>
    <t>ঈশ্বর</t>
  </si>
  <si>
    <t>Where life, there Shiva</t>
  </si>
  <si>
    <t>যেখানে দেখিবে ছাই উড়াইয়া/উলটাইয়া দেখ তাই, পাইলেও পাইতে পারো অমূল্য রতন</t>
  </si>
  <si>
    <t>ছাই উলটে দেখ, রত্ন পেতে পার</t>
  </si>
  <si>
    <t>Turn over ash, may find gem</t>
  </si>
  <si>
    <t>যেখানে ধন সেখানে মন</t>
  </si>
  <si>
    <t>ধনে মন</t>
  </si>
  <si>
    <t>Where wealth, mind</t>
  </si>
  <si>
    <t>যেখানে নাই আসল মায়া সেখানে বেশি আহা আহা</t>
  </si>
  <si>
    <t>আসল মায়া নেই, বেশি আহা</t>
  </si>
  <si>
    <t>Where no real love, much fuss</t>
  </si>
  <si>
    <t>যেখানে বসে সেখানে কি চষে?</t>
  </si>
  <si>
    <t>বসে থাকলে চাষ হয় না</t>
  </si>
  <si>
    <t>Can one plow sitting?</t>
  </si>
  <si>
    <t>যেখানে বাঘের ভয় সেখানে সন্ধ্যা হয়</t>
  </si>
  <si>
    <t>বাঘের ভয়ে সন্ধ্যা</t>
  </si>
  <si>
    <t>Where tiger fear, night falls</t>
  </si>
  <si>
    <t>যেখানে বায়না-রথ সেখান সিদ্ধির পথ</t>
  </si>
  <si>
    <t>বায়না-রথ সিদ্ধির পথ</t>
  </si>
  <si>
    <t>Where effort, path to success</t>
  </si>
  <si>
    <t>যেখানে ভাই ভাই সেখানে ঠাঁই ঠাঁই</t>
  </si>
  <si>
    <t>ভাইয়ে ঠাঁই ঠাঁই</t>
  </si>
  <si>
    <t>পৃথক</t>
  </si>
  <si>
    <t>Brothers live separate</t>
  </si>
  <si>
    <t>যেখানে যেমন সেখানে তেমন১</t>
  </si>
  <si>
    <t>যেখানে যেমন সেখানে তেমন</t>
  </si>
  <si>
    <t>As the place, so the manner</t>
  </si>
  <si>
    <t>ডুপ্লিকেট - id 603 রাখা হচ্ছে, এই row বাদ দাও।</t>
  </si>
  <si>
    <t>যেখানে যেমন সেখানে তেমন২</t>
  </si>
  <si>
    <t>যেখানে যেমন সেখানে তেমন (দ্বিতীয়)</t>
  </si>
  <si>
    <t>When in Rome, do as Romans</t>
  </si>
  <si>
    <t>যেখানে সাধু যেতে ভয় পায়, সেখানে বোকা ছুটে ধায়</t>
  </si>
  <si>
    <t>সাধু ভয় পায়, বোকা ছোটে</t>
  </si>
  <si>
    <t>Where wise fear, fools rush</t>
  </si>
  <si>
    <t>যেখানে সূঁচ চলে না সেখানে শাবল চালায়১</t>
  </si>
  <si>
    <t>সূঁচ না চললে শাবল</t>
  </si>
  <si>
    <t>Where needle fails, crowbar</t>
  </si>
  <si>
    <t>যেখানে সুঁচ চলে না সেখানে শাবল চালায়২</t>
  </si>
  <si>
    <t>সূঁচ না চললে শাবল (দ্বিতীয়)</t>
  </si>
  <si>
    <t>Use crowbar where needle fails</t>
  </si>
  <si>
    <t>যে খায় চিনি তারে যোগান চিন্তামণি১</t>
  </si>
  <si>
    <t>চিনি খেলে চিন্তামণি যোগায়</t>
  </si>
  <si>
    <t>Who eats sugar, Chintamani supplies</t>
  </si>
  <si>
    <t>যে খায় চিনি তারে যোগান চিন্তামণ২</t>
  </si>
  <si>
    <t>চিনি খায়, চিন্তামণি দেয় (দ্বিতীয়)</t>
  </si>
  <si>
    <t>Sugar to him, Chintamani provides</t>
  </si>
  <si>
    <t>যে খেয়েছে সাতবার তার জন্য ভাত বাড়ো, যে খায় নি একবার তার জন্য চাল ঝাড়ো</t>
  </si>
  <si>
    <t>সাতবার খাওয়া বাড়া, না খাওয়া ঝাড়ো</t>
  </si>
  <si>
    <t>Add rice for who ate seven times, clean for who ate none</t>
  </si>
  <si>
    <t>যে খেলে সে কানাকড়িতেও খেলে</t>
  </si>
  <si>
    <t>খেলতে পারলে কানা কড়িতেও</t>
  </si>
  <si>
    <t>দক্ষতা</t>
  </si>
  <si>
    <t>Who can play, plays with any token</t>
  </si>
  <si>
    <t>যে গরু দুধ দেয় তার চাঁট সই</t>
  </si>
  <si>
    <t>দুধ দেওয়া গরুর লাথি সই</t>
  </si>
  <si>
    <t>উপকারীর দোষ</t>
  </si>
  <si>
    <t>Bear kick of milking cow</t>
  </si>
  <si>
    <t>যে গর্ত খোঁড়ে সেই গর্তে পড়ে</t>
  </si>
  <si>
    <t>গর্ত খোঁড়ে, পড়ে</t>
  </si>
  <si>
    <t>He who digs a pit falls into it</t>
  </si>
  <si>
    <t>যে গাধা প্রতিবাদ করে না, তারই উপর ওজন চাপে</t>
  </si>
  <si>
    <t>প্রতিবাদহীন গাধায় বোঝা</t>
  </si>
  <si>
    <t>The donkey that doesn't protest bears load</t>
  </si>
  <si>
    <t>যে গিঁট খুলতে পারবে না, সে গিঁট বাঁধতে যেও না</t>
  </si>
  <si>
    <t>গিঁট খুলতে না পারলে বাঁধো না</t>
  </si>
  <si>
    <t>সাবধান</t>
  </si>
  <si>
    <t>If you can't untie, don't tie</t>
  </si>
  <si>
    <t>যেচে মান কেঁদে সোহাগ</t>
  </si>
  <si>
    <t>যেচে সম্মান, কেঁদে সোহাগ</t>
  </si>
  <si>
    <t>Begging honor, weeping affection</t>
  </si>
  <si>
    <t>যে ছা ওড়ে সে বাসায় ধড়ফড় করে</t>
  </si>
  <si>
    <t>যে ছানা ওড়ে সে বাসায় ধড়ফড়</t>
  </si>
  <si>
    <t>উদ্যোগ</t>
  </si>
  <si>
    <t>Fledgling flutters before flying</t>
  </si>
  <si>
    <t>যে জন দিবসে মনের হরষে জ্বালায় মোনের বাতি; আশু গৃহে তার দেখিবে না আর নিশিথে প্রদীপ ভাতি</t>
  </si>
  <si>
    <t>যে দিনে আনন্দে প্রদীপ জ্বালায়, তার ঘরে রাতে আলো নেই</t>
  </si>
  <si>
    <t>He who burns lamp by day loses light by night</t>
  </si>
  <si>
    <t>যে জানে না উত্তর পূব, তার মনে সদাই সুখ</t>
  </si>
  <si>
    <t>যে দিক জানে না, তার সুখ</t>
  </si>
  <si>
    <t>He who doesn't know north-east is always happy</t>
  </si>
  <si>
    <t>যে জুতা পরেছে সেই জানে কাঁটা কোথায় বিঁধছে</t>
  </si>
  <si>
    <t>জুতা পরেছে সেই জানে কাঁটা</t>
  </si>
  <si>
    <t>Wearer knows where shoe pinches</t>
  </si>
  <si>
    <t>যে জেগে ঘুমায়, তাকে জাগানো দায়</t>
  </si>
  <si>
    <t>জেগে ঘুমানো জাগানো কঠিন</t>
  </si>
  <si>
    <t>নিষ্ক্রিয়</t>
  </si>
  <si>
    <t>Hard to wake one who sleeps awake</t>
  </si>
  <si>
    <t>যে জেতে ষে হাসে</t>
  </si>
  <si>
    <t>যে জেতে সে হাসে</t>
  </si>
  <si>
    <t>জয়</t>
  </si>
  <si>
    <t>He who wins laughs</t>
  </si>
  <si>
    <t>যেটা রটে সেটা বটে</t>
  </si>
  <si>
    <t>যে টিপ সেই ফোড়</t>
  </si>
  <si>
    <t>যে টিপ সেই ফোঁড়</t>
  </si>
  <si>
    <t>প্রাসঙ্গিক</t>
  </si>
  <si>
    <t>The right pinch, the right boil</t>
  </si>
  <si>
    <t>যে ডাল ধরে সেই ডাল ভাঙে১</t>
  </si>
  <si>
    <t>যে ডাল ধরে সে ডাল ভাঙে</t>
  </si>
  <si>
    <t>বিশ্বাসঘাতক</t>
  </si>
  <si>
    <t>He who holds branch breaks it</t>
  </si>
  <si>
    <t>এই প্রবাদের ডুপ্লিকেট আছে (id: 6906, 6907), এটা রাখো (সবচেয়ে ছোট id)।</t>
  </si>
  <si>
    <t>যে ডাল ধরে সেই ডাল ভাঙে২</t>
  </si>
  <si>
    <t>যে ডাল ধরে সে ডাল ভাঙে (দ্বিতীয়)</t>
  </si>
  <si>
    <t>কৃতঘ্ন</t>
  </si>
  <si>
    <t>Branch you hold, you break</t>
  </si>
  <si>
    <t>ডুপ্লিকেট - id 6906 রাখা হচ্ছে, এই row বাদ দাও।</t>
  </si>
  <si>
    <t>যে ডালে বসে সেই ডাল কাটে</t>
  </si>
  <si>
    <t>Cutting branch you sit on</t>
  </si>
  <si>
    <t>যেতে ছাগল আসতে পাগল</t>
  </si>
  <si>
    <t>যেতে ছাগল, আসতে পাগল</t>
  </si>
  <si>
    <t>Goat on way, mad on return</t>
  </si>
  <si>
    <t>অধৈর্য</t>
  </si>
  <si>
    <t>যে তোমার হাত ধরে আর মন ছুঁয়ে থাকে, সেই প্রকৃত বন্ধু</t>
  </si>
  <si>
    <t>হাত ধরে মন ছোঁয়া প্রকৃত বন্ধু</t>
  </si>
  <si>
    <t>বন্ধু</t>
  </si>
  <si>
    <t>True friend holds hand and touches heart</t>
  </si>
  <si>
    <t>যে দল/দাম (জলজ তৃণ) টানে সে খায় কই</t>
  </si>
  <si>
    <t>যে দল টানে সে কৈ খায়</t>
  </si>
  <si>
    <t>পরিশ্রমী</t>
  </si>
  <si>
    <t>He who pulls weeds eats koi fish</t>
  </si>
  <si>
    <t>যেদিকে জল পড়ে সেইদিকে ছাতা ধরে১</t>
  </si>
  <si>
    <t>জল পড়ে সেদিকে ছাতা</t>
  </si>
  <si>
    <t>এই প্রবাদের ডুপ্লিকেট আছে (id: 6912, 6913), এটা রাখো (সবচেয়ে ছোট id)।</t>
  </si>
  <si>
    <t>যেদিকে জল পড়ে সেইদিকে ছাতা ধরে২</t>
  </si>
  <si>
    <t>জল পড়ে সেদিকে ছাতি (দ্বিতীয়)</t>
  </si>
  <si>
    <t>Umbrella toward rain</t>
  </si>
  <si>
    <t>ডুপ্লিকেট - id 6912 রাখা হচ্ছে, এই row বাদ দাও।</t>
  </si>
  <si>
    <t>যেদিন মানুষ মানুষ হবে সেদিন মন্দির মসজিদ ইত্যাদির শেষপাথর শেষ পুরোহিত/মোল্লাদের মাথায় ভেঙে পড়বে</t>
  </si>
  <si>
    <t>মানুষ হলে ধর্মীয় ভেদ শেষ</t>
  </si>
  <si>
    <t>When man becomes man, temples and mosques fall on priests</t>
  </si>
  <si>
    <t>যে দিন যায় সে দিন আসে না</t>
  </si>
  <si>
    <t>যে দিন যায় ফেরে না</t>
  </si>
  <si>
    <t>A day gone never returns</t>
  </si>
  <si>
    <t>যে দিন যায় সেই দিন ভাল</t>
  </si>
  <si>
    <t>যে দিন যায় সে দিন ভালো</t>
  </si>
  <si>
    <t>The passing day was good</t>
  </si>
  <si>
    <t>যে দুটি পাখির/খরগোসের পিছনে ছোটে সে একটাও ধরতে পারে না</t>
  </si>
  <si>
    <t>দুটি পাখির পিছনে ছুটলে একটাও না</t>
  </si>
  <si>
    <t>Chasing two birds catches none</t>
  </si>
  <si>
    <t>যে দেখালে জো তারেই দেখায় ভোঁ</t>
  </si>
  <si>
    <t>যে দেখায় জো তাকেই ভোঁ</t>
  </si>
  <si>
    <t>He who shows light also blinds</t>
  </si>
  <si>
    <t>যে দেবতা যে ফুলে তুষ্ট</t>
  </si>
  <si>
    <t>যে দেবতা যে ফুলে খুশি</t>
  </si>
  <si>
    <t>Gods pleased by different flowers</t>
  </si>
  <si>
    <t>যে দেশে কাক নেই সেই দেশেও রাত পোহায়</t>
  </si>
  <si>
    <t>কাক নেই, রাত পোহায়</t>
  </si>
  <si>
    <t>Even without crows, dawn comes</t>
  </si>
  <si>
    <t>যে দেশে বৃক্ষ নেই সেই দেশে ভেরেণ্ডাও বৃক্ষ হয়</t>
  </si>
  <si>
    <t>বৃক্ষহীন দেশে ভেরেণ্ডাও গাছ</t>
  </si>
  <si>
    <t>নিকৃষ্ট</t>
  </si>
  <si>
    <t>In treeless land, castor is tree</t>
  </si>
  <si>
    <t>যে দেশের যে ভাও, উল্টো করে ডিঙি বাও</t>
  </si>
  <si>
    <t>যে দেশের সেই রীতি, ডিঙি উল্টো বাও</t>
  </si>
  <si>
    <t>As the country, row boat accordingly</t>
  </si>
  <si>
    <t>যেন-তেন প্রকারেণ</t>
  </si>
  <si>
    <t>যেমন তেমন উপায়ে</t>
  </si>
  <si>
    <t>যেকোনো উপায়ে</t>
  </si>
  <si>
    <t>By any means</t>
  </si>
  <si>
    <t>যেনতেন প্রকারেণ কার্যসিদ্ধি গরিয়সী</t>
  </si>
  <si>
    <t>যেমন তেমন উপায়ে কাজ সিদ্ধি</t>
  </si>
  <si>
    <t>Success by any means is great</t>
  </si>
  <si>
    <t>যে নদীর গভীরতা বেশি তার চলার শব্দ কম</t>
  </si>
  <si>
    <t>গভীর নদী নিঃশব্দে</t>
  </si>
  <si>
    <t>Deep river flows quietly</t>
  </si>
  <si>
    <t>যে নিজেকে অজুহাত দেয় সে নিজেকে দোষারোপ করে</t>
  </si>
  <si>
    <t>অজুহাত মানে দোষ</t>
  </si>
  <si>
    <t>He who excuses himself accuses himself</t>
  </si>
  <si>
    <t>যে নিজেকে জানে না সে একটি মূর্খ</t>
  </si>
  <si>
    <t>নিজেকে না জানা মূর্খ</t>
  </si>
  <si>
    <t>He who doesn't know himself is a fool</t>
  </si>
  <si>
    <t>যে নিজেকে নিয়ে ব্যস্ত সেই অভাগা</t>
  </si>
  <si>
    <t>নিজেকে নিয়ে ব্যস্ত অভাগা</t>
  </si>
  <si>
    <t>Busy with self is unfortunate</t>
  </si>
  <si>
    <t>যে নিজের সম্মান বোঝে না সে অপরকে সম্মান দেয় না</t>
  </si>
  <si>
    <t>নিজের সম্মান না বোঝা</t>
  </si>
  <si>
    <t>He who doesn't know own honor disrespects others</t>
  </si>
  <si>
    <t>যে নিজের নিন্দা প্রথমে করে, তার নিন্দা কেউ করে না</t>
  </si>
  <si>
    <t>নিজের নিন্দা আগে করলে নিন্দা নেই</t>
  </si>
  <si>
    <t>নম্রতা</t>
  </si>
  <si>
    <t>He who blames himself first is spared</t>
  </si>
  <si>
    <t>যে পয়সা নিয়ে ঈশ্বরের পূজা করে সে বেশি পয়সা পেলে শয়তানের পূজা করবে</t>
  </si>
  <si>
    <t>টাকার বিনিময়ে পূজা</t>
  </si>
  <si>
    <t>He who worships for money will worship devil for more</t>
  </si>
  <si>
    <t>যে পরেছে সেই জানে জুতা কোথায় চিমটি কাটে</t>
  </si>
  <si>
    <t>জুতা পরা জানে কোথায় চিমটি</t>
  </si>
  <si>
    <t>যে পরের দ্রব্যকে মূল্যহীন পাথরের টুকরা মনে করে সে যথার্থ জ্ঞানী</t>
  </si>
  <si>
    <t>পরের দ্রব্য পাথর ভাবা জ্ঞানী</t>
  </si>
  <si>
    <t>Wise sees others' property as stone</t>
  </si>
  <si>
    <t>যে পরের ছিদ্র খোঁজে তার ছিদ্র বেশি থাকে</t>
  </si>
  <si>
    <t>পরের দোষ খোঁজে তার দোষ বেশি</t>
  </si>
  <si>
    <t>He who seeks others' faults has more faults</t>
  </si>
  <si>
    <t>যে পাখিটা তুমি ছেড়ে দিয়েছো সে আবার ফিরে আসতে পারে, যে কথাটা মুখ থেকে বেড়িয়ে গেছে সেটা আর ফিরিবে না</t>
  </si>
  <si>
    <t>ছাড়া পাখি ফেরে, কথা ফেরে না</t>
  </si>
  <si>
    <t>A released bird may return; spoken word won't</t>
  </si>
  <si>
    <t>যে পাতে খায় সে পাত ছিঁড়ে</t>
  </si>
  <si>
    <t>যে পাতে খায় সে পাত ছেঁড়ে</t>
  </si>
  <si>
    <t>He who eats from plate tears it</t>
  </si>
  <si>
    <t>যে পাহাড় নড়ায়, সে প্রথমে কয়েকটি পাথর সরায়</t>
  </si>
  <si>
    <t>পাহাড় নড়ায়, আগে পাথর</t>
  </si>
  <si>
    <t>ছোট শুরু</t>
  </si>
  <si>
    <t>He who moves mountain first removes stones</t>
  </si>
  <si>
    <t>যে প্রকৃতিকে ঠকায় প্রকৃতি তাকে ঠকায়</t>
  </si>
  <si>
    <t>প্রকৃতিকে ঠকালে প্রকৃতি ঠকায়</t>
  </si>
  <si>
    <t>Cheat nature, nature cheats you</t>
  </si>
  <si>
    <t>যে প্রশ্ন করে সে কিছুক্ষণের জন্য মূর্খ যে প্রশ্ন করে না, সে সারাজীবনের জন্য মূর্খ</t>
  </si>
  <si>
    <t>প্রশ্ন না করা সারাজীবন মূর্খ</t>
  </si>
  <si>
    <t>He who asks is fool for a moment; he who doesn't is fool forever</t>
  </si>
  <si>
    <t>যে ফাঁদ পাতে, সেই ফাঁদে পড়ে</t>
  </si>
  <si>
    <t>ফাঁদ পাতে ফাঁদে পড়ে</t>
  </si>
  <si>
    <t>He who sets trap falls into it</t>
  </si>
  <si>
    <t>যে বনে যাই সেই ফল খাই</t>
  </si>
  <si>
    <t>যে বনে যাই সেই ফল</t>
  </si>
  <si>
    <t>Eat fruit of forest you enter</t>
  </si>
  <si>
    <t>যে বাতাসে দাবানল বাড়ে, সেই বাতাসেই প্রদীপ নেভে</t>
  </si>
  <si>
    <t>এক বাতাসে দাবানল বাড়ে, প্রদীপ নেভে</t>
  </si>
  <si>
    <t>দ্বৈততা</t>
  </si>
  <si>
    <t>Wind fuels wildfire, extinguishes lamp</t>
  </si>
  <si>
    <t>যে বিপদ খোঁজে, সে কখনো ব্যর্থ হয় না</t>
  </si>
  <si>
    <t>বিপদ খুঁজলে মেলে</t>
  </si>
  <si>
    <t>He who seeks trouble never fails</t>
  </si>
  <si>
    <t>যে বিয়ের যে মন্ত্র</t>
  </si>
  <si>
    <t>যে বিয়ের সেই মন্ত্র</t>
  </si>
  <si>
    <t>যথাযোগ্য</t>
  </si>
  <si>
    <t>Appropriate rite for wedding</t>
  </si>
  <si>
    <t>যে বেশি বকে, সে বাজে বকে</t>
  </si>
  <si>
    <t>বেশি বলে বাজে বলে</t>
  </si>
  <si>
    <t>He who talks too much talks nonsense</t>
  </si>
  <si>
    <t>যে বন্ধু বিশ্বাস ভঙ্গ করেছে তার বন্ধুত্ব পুনরায় কামনা করা মৃত্যুর সামিল</t>
  </si>
  <si>
    <t>বিশ্বাসভঙ্গ বন্ধু চাওয়া মৃত্যু</t>
  </si>
  <si>
    <t>Desiring friendship of traitor is death</t>
  </si>
  <si>
    <t>যে ভুল করে সে মানুষ, যে ভুল করে ভুলের ওপর স্থির থাকে সে শয়তান</t>
  </si>
  <si>
    <t>ভুল করা মানুষ, ভুল আঁকড়ে শয়তান</t>
  </si>
  <si>
    <t>To err is human, to persist is devilish</t>
  </si>
  <si>
    <t>যেমন আদাড়ে কচু তেমন বাঘাটে তেঁতুল</t>
  </si>
  <si>
    <t>যেমন আদাড়ে কচু, তেমন বাঘাটে তেঁতুল</t>
  </si>
  <si>
    <t>যেমন তেমন</t>
  </si>
  <si>
    <t>As kochu in wild, so tamarind in Baghat</t>
  </si>
  <si>
    <t>যেমন আরশি তেমন পড়শী</t>
  </si>
  <si>
    <t>যেমন আয়না তেমন প্রতিবেশী</t>
  </si>
  <si>
    <t>প্রতিবেশী</t>
  </si>
  <si>
    <t>As mirror, so neighbor</t>
  </si>
  <si>
    <t>যেমন উনুনমুখী দেবতা তেমন ঘুঁটের নৈবদ্য</t>
  </si>
  <si>
    <t>যেমন দেবতা তেমন নৈবেদ্য</t>
  </si>
  <si>
    <t>As the god, so the offering</t>
  </si>
  <si>
    <t>যেমন কন্যা রেবতী তেমন পাত্র জোলাতাঁতী</t>
  </si>
  <si>
    <t>যেমন কনে তেমন পাত্র</t>
  </si>
  <si>
    <t>যোগ্য পাত্র</t>
  </si>
  <si>
    <t>As bride Revati, so groom Jola-tanti</t>
  </si>
  <si>
    <t>যেমন কন্যা রেবতী তেমন পাত্র গদাহাতী</t>
  </si>
  <si>
    <t>যেমন কনে তেমন বর</t>
  </si>
  <si>
    <t>মিল</t>
  </si>
  <si>
    <t>As bride, so groom</t>
  </si>
  <si>
    <t>যেমন কর্ম তেমন ফল</t>
  </si>
  <si>
    <t>কর্ম অনুযায়ী ফল</t>
  </si>
  <si>
    <t>As action, so result</t>
  </si>
  <si>
    <t>ডুপ্লিকেট - id 109 রাখা হচ্ছে, এই row বাদ দাও।</t>
  </si>
  <si>
    <t>যেমন কর্ম তেমন ফল মশা মারতে গালে চড়</t>
  </si>
  <si>
    <t>কর্মের ফল, মশা মারতে গালে চড়</t>
  </si>
  <si>
    <t>As deed, so fruit; slap own cheek to kill mosquito</t>
  </si>
  <si>
    <t>যেমন কুকুর তেমনি মুগুর১</t>
  </si>
  <si>
    <t>যেমন কুকুর তেমন মুগুর</t>
  </si>
  <si>
    <t>As the dog, so the club</t>
  </si>
  <si>
    <t>ডুপ্লিকেট - id 314 রাখা হচ্ছে, এই row বাদ দাও।</t>
  </si>
  <si>
    <t>যেমন কুকুর তেমনি মুগুর২</t>
  </si>
  <si>
    <t>যেমন কুকুর তেমন মুগুর (দ্বিতীয়)</t>
  </si>
  <si>
    <t>Matching club for dog</t>
  </si>
  <si>
    <t>যেমন ক্ষেপা তেমনি ক্ষেপি</t>
  </si>
  <si>
    <t>যেমন পাগল তেমন পাগলী</t>
  </si>
  <si>
    <t>As madman, madwoman</t>
  </si>
  <si>
    <t>যেমন গাওনা তেমনি পাওনা</t>
  </si>
  <si>
    <t>যেমন গান তেমন পাওনা</t>
  </si>
  <si>
    <t>As performance, so payment</t>
  </si>
  <si>
    <t>যেমন গুরু তেমন চেলা, গুরু বোবা, শিষ্য কালা</t>
  </si>
  <si>
    <t>যেমন গুরু তেমন শিষ্য, গুরু বোবা, শিষ্য কালা</t>
  </si>
  <si>
    <t>Like guru, like disciple; guru dumb, disciple deaf</t>
  </si>
  <si>
    <t>যেমন দান তেমন দক্ষিণা১</t>
  </si>
  <si>
    <t>যেমন দান তেমন দক্ষিণা</t>
  </si>
  <si>
    <t>As donation, so fee</t>
  </si>
  <si>
    <t>এই প্রবাদের ডুপ্লিকেট আছে (id: 6960, 6961), এটা রাখো (সবচেয়ে ছোট id)।</t>
  </si>
  <si>
    <t>যেমন পাপ তেমন শাস্তি</t>
  </si>
  <si>
    <t>কৃতকর্মের ফল</t>
  </si>
  <si>
    <t>As the sin, so the punishment</t>
  </si>
  <si>
    <t>যেমন বাপ তেমনি ব্যাটা</t>
  </si>
  <si>
    <t>যেমন বাবা তেমন ছেলে</t>
  </si>
  <si>
    <t>বংশগত স্বভাব</t>
  </si>
  <si>
    <t>Like father, like son</t>
  </si>
  <si>
    <t>যেমন মনিব তেমন চাকর</t>
  </si>
  <si>
    <t>প্রভুর প্রভাব</t>
  </si>
  <si>
    <t>As the master, so the servant</t>
  </si>
  <si>
    <t>যেমন মা তেমন ছা</t>
  </si>
  <si>
    <t>যেমন মা তেমন সন্তান</t>
  </si>
  <si>
    <t>বংশগত</t>
  </si>
  <si>
    <t>As the mother, so the child</t>
  </si>
  <si>
    <t>মা/সন্তান</t>
  </si>
  <si>
    <t>এই প্রবাদের ডুপ্লিকেট আছে (id: 6976, 6977), এটা রাখো (সবচেয়ে ছোট id)।</t>
  </si>
  <si>
    <t>যেমন মা তেমন ছা (দ্বিতীয়)</t>
  </si>
  <si>
    <t>মায়ের গুণ সন্তানে</t>
  </si>
  <si>
    <t>Like mother, like child</t>
  </si>
  <si>
    <t>ডুপ্লিকেট - id 6976 রাখা হচ্ছে, এই row বাদ দাও।</t>
  </si>
  <si>
    <t>যেমন হাঁড়ি তেমনই সরা১</t>
  </si>
  <si>
    <t>যেমন হাঁড়ি তেমন সরা</t>
  </si>
  <si>
    <t>যেমন জিনিস তেমন আবরণ</t>
  </si>
  <si>
    <t>As the pot, so the lid</t>
  </si>
  <si>
    <t>এই প্রবাদের ডুপ্লিকেট আছে (id: 6980, 6981), এটা রাখো (সবচেয়ে ছোট id)।</t>
  </si>
  <si>
    <t>যেমন হাঁড়ি তেমন সরা (দ্বিতীয়)</t>
  </si>
  <si>
    <t>যেমন নারী তেমন পুরুষ</t>
  </si>
  <si>
    <t>As the pot, so the cover</t>
  </si>
  <si>
    <t>ডুপ্লিকেট - id 6980 রাখা হচ্ছে, এই row বাদ দাও।</t>
  </si>
  <si>
    <t>যে মাথা নোয়ায়, সে মাথা খোয়ায় না২</t>
  </si>
  <si>
    <t>যে মাথা নোয়ায় সে মাথা খোয়ায় না (দ্বিতীয়)</t>
  </si>
  <si>
    <t>নম্রতা নিরাপদ</t>
  </si>
  <si>
    <t>Bowing head saves head</t>
  </si>
  <si>
    <t>ডুপ্লিকেট - id 6983 রাখা হচ্ছে, এই row বাদ দাও।</t>
  </si>
  <si>
    <t>যে মেঘ গর্জায়, সে মেঘ বর্ষায় না</t>
  </si>
  <si>
    <t>যে মেঘ গর্জায় সে বর্ষায় না</t>
  </si>
  <si>
    <t>বাচাল কাজ কম</t>
  </si>
  <si>
    <t>The cloud that thunders doesn't rain</t>
  </si>
  <si>
    <t>যে মেয়ে রাঁধে, সে চুলও বাঁধে</t>
  </si>
  <si>
    <t>যে মেয়ে রাঁধে সে চুলও বাঁধে</t>
  </si>
  <si>
    <t>A girl who cooks also braids hair</t>
  </si>
  <si>
    <t>যে যত অসৎ সে তত সাধুতার ভান করে</t>
  </si>
  <si>
    <t>যত অসৎ তত সাধুতার ভান</t>
  </si>
  <si>
    <t>The more wicked, the more saintly pretence</t>
  </si>
  <si>
    <t>যে যত খায়/পায় সে তত চায়</t>
  </si>
  <si>
    <t>যে যত পায় সে তত চায়</t>
  </si>
  <si>
    <t>লোভ বাড়ে</t>
  </si>
  <si>
    <t>যে যত বড় সে তত ছোট</t>
  </si>
  <si>
    <t>বিনয়ী মহৎ</t>
  </si>
  <si>
    <t>The greater one is, the humbler</t>
  </si>
  <si>
    <t>যে যা খায় তাই তার ঢেঁকুর ওঠে</t>
  </si>
  <si>
    <t>যা খায় তার ঢেঁকুর</t>
  </si>
  <si>
    <t>As one eats, so one belches</t>
  </si>
  <si>
    <t>যে যাতে রত কহে তার মত</t>
  </si>
  <si>
    <t>যে বিষয়ে রত সে তারই কথা বলে</t>
  </si>
  <si>
    <t>আগ্রহ প্রকাশ</t>
  </si>
  <si>
    <t>He speaks of what he is engaged in</t>
  </si>
  <si>
    <t>আগ্রহ</t>
  </si>
  <si>
    <t>যে যায় লঙ্কায় সেই হল রাক্ষস/রাবণ২</t>
  </si>
  <si>
    <t>লঙ্কায় গেলে রাবণ হয় (দ্বিতীয়)</t>
  </si>
  <si>
    <t>কুসঙ্গ</t>
  </si>
  <si>
    <t>Who enters Lanka turns Ravan</t>
  </si>
  <si>
    <t>ডুপ্লিকেট - id 6997 রাখা হচ্ছে, এই row বাদ দাও।</t>
  </si>
  <si>
    <t>যে যার সে তার২</t>
  </si>
  <si>
    <t>যে যার সেই তার (দ্বিতীয়)</t>
  </si>
  <si>
    <t>মালিকানা</t>
  </si>
  <si>
    <t>Everyone his own</t>
  </si>
  <si>
    <t>অধিকার</t>
  </si>
  <si>
    <t>ডুপ্লিকেট - id 6999 রাখা হচ্ছে, এই row বাদ দাও।</t>
  </si>
  <si>
    <t>যে যেমন ঢেমনি জগত দেখে তেমনি</t>
  </si>
  <si>
    <t>যেমন মন তেমন জগৎ দেখা</t>
  </si>
  <si>
    <t>As one is, so he sees the world</t>
  </si>
  <si>
    <t>যে রক্ষক সেই ভক্ষক২</t>
  </si>
  <si>
    <t>যে রক্ষক সেই ভক্ষক (দ্বিতীয়)</t>
  </si>
  <si>
    <t>রক্ষকই শোষক</t>
  </si>
  <si>
    <t>Guardian becomes predator</t>
  </si>
  <si>
    <t>শোষণ</t>
  </si>
  <si>
    <t>ডুপ্লিকেট - id 42 রাখা হচ্ছে, এই row বাদ দাও।</t>
  </si>
  <si>
    <t>যে রাঁধে সে চুলও বাঁধে</t>
  </si>
  <si>
    <t>দক্ষ</t>
  </si>
  <si>
    <t>She who cooks also braids hair</t>
  </si>
  <si>
    <t>যে লেগে থাকে সে মেগে খায় না</t>
  </si>
  <si>
    <t>যে লেগে থাকে সে ভিক্ষা করে না</t>
  </si>
  <si>
    <t>He who persists doesn't beg</t>
  </si>
  <si>
    <t>যে শেষহাসি হাসে, সে সবচেয়ে ভালো হাসে</t>
  </si>
  <si>
    <t>শেষ হাসি সেরা</t>
  </si>
  <si>
    <t>শেষে জয়</t>
  </si>
  <si>
    <t>He who laughs last laughs best</t>
  </si>
  <si>
    <t>বিজয়</t>
  </si>
  <si>
    <t>যে শোলটা পালিয়ে যায় সেটা বড়১</t>
  </si>
  <si>
    <t>যে শোল পালায় সেটা বড়</t>
  </si>
  <si>
    <t>পালানো মাছ বড়</t>
  </si>
  <si>
    <t>The fish that escapes is big</t>
  </si>
  <si>
    <t>এই প্রবাদের ডুপ্লিকেট আছে (id: 7007, 7008), এটা রাখো (সবচেয়ে ছোট id)।</t>
  </si>
  <si>
    <t>যে শোলটা পালিয়ে যায় সেটা বড়২</t>
  </si>
  <si>
    <t>যে শোল পালায় সেটা বড় (দ্বিতীয়)</t>
  </si>
  <si>
    <t>অপ্রাপ্তি বড়</t>
  </si>
  <si>
    <t>Escaped fish seems large</t>
  </si>
  <si>
    <t>ডুপ্লিকেট - id 7007 রাখা হচ্ছে, এই row বাদ দাও।</t>
  </si>
  <si>
    <t>যে সঞ্চয় করে সে কষ্ট পায় না</t>
  </si>
  <si>
    <t>সঞ্চয়ী কষ্ট পায় না</t>
  </si>
  <si>
    <t>সঞ্চয় রক্ষা</t>
  </si>
  <si>
    <t>He who saves doesn't suffer</t>
  </si>
  <si>
    <t>যে সৎ হয় নিন্দা তার কোন অনিষ্ট করতে পারে না</t>
  </si>
  <si>
    <t>সৎ ব্যক্তির নিন্দা অকার্যকর</t>
  </si>
  <si>
    <t>সৎ চরিত্র</t>
  </si>
  <si>
    <t>Slander cannot harm the virtuous</t>
  </si>
  <si>
    <t>যে সব প্রশ্নের উত্তর জানে তাকেও সব প্রশ্ন করা হয় না</t>
  </si>
  <si>
    <t>সব উত্তর জানলেও সব প্রশ্ন করা হয় না</t>
  </si>
  <si>
    <t>সীমাবদ্ধতা</t>
  </si>
  <si>
    <t>Even he who knows all answers isn't asked all</t>
  </si>
  <si>
    <t>যে সব বাসনা ত্যাগ করে, সে মৃত্যুর দিকে এগিয়ে যায়</t>
  </si>
  <si>
    <t>He who gives up all desires moves toward death</t>
  </si>
  <si>
    <t>যে সম্মান দিতে জানে সে সম্মান পায়।</t>
  </si>
  <si>
    <t>সম্মান দিলে সম্মান মেলে</t>
  </si>
  <si>
    <t>He who respects others gets respect</t>
  </si>
  <si>
    <t>যে সহ্য করে সে টিকে</t>
  </si>
  <si>
    <t>He who endures persists</t>
  </si>
  <si>
    <t>ডুপ্লিকেট - id 924 রাখা হচ্ছে, এই row বাদ দাও।</t>
  </si>
  <si>
    <t>যে সর্ষেতে ভূত ছাড়ে সেই সর্ষের মধ্যে ভূত</t>
  </si>
  <si>
    <t>যেখানে ভূত ছাড়ে সেখানেই</t>
  </si>
  <si>
    <t>মূল কারণ</t>
  </si>
  <si>
    <t>The ghost stays in the mustard where it was exorcised</t>
  </si>
  <si>
    <t>যে সামনে নিন্দা এবং পিছনে প্রশংসা করে সেই প্রকৃত বন্ধু</t>
  </si>
  <si>
    <t>সামনে নিন্দা পিছনে প্রশংসা প্রকৃত বন্ধু</t>
  </si>
  <si>
    <t>সৎ সমালোচক</t>
  </si>
  <si>
    <t>A true friend criticizes before and praises behind</t>
  </si>
  <si>
    <t>যে স্বেচ্ছায় তোমার দিকে আঙুল বাড়ায় সে তোমার দিকে পুরো হাত বাড়াবে</t>
  </si>
  <si>
    <t>স্বেচ্ছায় আঙুল বাড়ালে পুরো হাত</t>
  </si>
  <si>
    <t>উদারতা</t>
  </si>
  <si>
    <t>He who willingly extends a finger will extend whole hand</t>
  </si>
  <si>
    <t>যে হাঁস সোনার ডিম দেয় তাকে মেরো না</t>
  </si>
  <si>
    <t>সোনার ডিমের হাঁস মারা নয়</t>
  </si>
  <si>
    <t>লোভে মূল নষ্ট</t>
  </si>
  <si>
    <t>Don't kill the goose that lays golden eggs</t>
  </si>
  <si>
    <t>যে হাসতে জানে, সে বাঁচতে জানে</t>
  </si>
  <si>
    <t>হাসতে জানলে বাঁচতে জানে</t>
  </si>
  <si>
    <t>He who knows how to laugh knows how to live</t>
  </si>
  <si>
    <t>যে হিংসা করে সে সবার আগে নিজের ক্ষতি করে</t>
  </si>
  <si>
    <t>হিংসায় নিজের ক্ষতি</t>
  </si>
  <si>
    <t>He who envies harms himself first</t>
  </si>
  <si>
    <t>হিংসুক</t>
  </si>
  <si>
    <t>যেহেতু আমি চাকর হব না, সেহেতু আমি মনিব হব না- এব্রাহাম লিঙ্কন</t>
  </si>
  <si>
    <t>চাকর না হলে মনিবও নয়</t>
  </si>
  <si>
    <t>As I won't be a slave, I won't be a master</t>
  </si>
  <si>
    <t>যোগীর চিন্তা জগন্নাথ, ফকিরের চিন্তা মক্কা</t>
  </si>
  <si>
    <t>যোগী ভাবে জগন্নাথ, ফকির ভাবে মক্কা</t>
  </si>
  <si>
    <t>নিজের ভাবনা</t>
  </si>
  <si>
    <t>A yogi thinks of Jagannath, a fakir of Mecca</t>
  </si>
  <si>
    <t>যোগ্যং যোগ্যেন যুজ্যতে</t>
  </si>
  <si>
    <t>যোগ্যের সাথে যোগ্য</t>
  </si>
  <si>
    <t>যোগ্য মিলন</t>
  </si>
  <si>
    <t>Worthy is matched with worthy</t>
  </si>
  <si>
    <t>যো দেখতা হায়, উও বিক্‌তা হায়২</t>
  </si>
  <si>
    <t>যে দেখায় সে বিকায় (দ্বিতীয়)</t>
  </si>
  <si>
    <t>প্রদর্শন</t>
  </si>
  <si>
    <t>What is shown sells</t>
  </si>
  <si>
    <t>বিক্রয়</t>
  </si>
  <si>
    <t>ডুপ্লিকেট - id 7026 রাখা হচ্ছে, এই row বাদ দাও।</t>
  </si>
  <si>
    <t>যো ধ্রবাণি পরিত্যজ্য অধ্রুবাণি নিষেবতে, ধ্রুবাণি তস্য নশ্যন্তি অধ্রুবং নষ্টমেব চ</t>
  </si>
  <si>
    <t>স্থায়ী ছেড়ে অস্থায়ী ভজলে স্থায়ীও নষ্ট</t>
  </si>
  <si>
    <t>ভুল পছন্দ</t>
  </si>
  <si>
    <t>He who leaves permanent for transient loses both</t>
  </si>
  <si>
    <t>বিবেচনা</t>
  </si>
  <si>
    <t>যৌবনে অন্যায় ব্যয়ে বয়সে কাঙালি- মধুসূদন</t>
  </si>
  <si>
    <t>যৌবনে অপব্যয়ে বৃদ্ধে দারিদ্র্য</t>
  </si>
  <si>
    <t>অপচয়ের ফল</t>
  </si>
  <si>
    <t>Wasting in youth brings poverty in age</t>
  </si>
  <si>
    <t>রক্ত জলের থেকে বেশি গাঢ়</t>
  </si>
  <si>
    <t>রক্ত জলের চেয়ে গাঢ়</t>
  </si>
  <si>
    <t>আত্মীয়তা</t>
  </si>
  <si>
    <t>Blood is thicker than water</t>
  </si>
  <si>
    <t>রক্তবীজের বংশ/ঝাড়</t>
  </si>
  <si>
    <t>রক্তবীজের বংশ</t>
  </si>
  <si>
    <t>দুষ্টের বংশ</t>
  </si>
  <si>
    <t>Progeny of Raktabija</t>
  </si>
  <si>
    <t>রক্তপাত ছাড়া পাপ মোছে না</t>
  </si>
  <si>
    <t>Sin isn't washed without blood</t>
  </si>
  <si>
    <t>রক্তের টান বড় টান</t>
  </si>
  <si>
    <t>রক্তের টান বড়</t>
  </si>
  <si>
    <t>Blood pull is strong</t>
  </si>
  <si>
    <t>ডুপ্লিকেট - id 133 রাখা হচ্ছে, এই row বাদ দাও।</t>
  </si>
  <si>
    <t>রক্ষক যারে ভক্ষণ করে, কে তারে রাখতে পারে?</t>
  </si>
  <si>
    <t>রক্ষকই ভক্ষক, কে রক্ষা করবে?</t>
  </si>
  <si>
    <t>রক্ষকই বিপদ</t>
  </si>
  <si>
    <t>If protector devours, who can save?</t>
  </si>
  <si>
    <t>রণমুখো সেপাই ঘরমুখো বাঙালী</t>
  </si>
  <si>
    <t>রণমুখো সিপাহি, ঘরমুখো বাঙালি</t>
  </si>
  <si>
    <t>স্বভাব ভিন্ন</t>
  </si>
  <si>
    <t>War-facing sepoy, home-facing Bengali</t>
  </si>
  <si>
    <t>রণের ঘোড়া</t>
  </si>
  <si>
    <t>যুদ্ধের ঘোড়া</t>
  </si>
  <si>
    <t>Warhorse</t>
  </si>
  <si>
    <t>রতনে রতন চেনে১</t>
  </si>
  <si>
    <t>রতনে রতন চেনে</t>
  </si>
  <si>
    <t>গুণী গুণী চেনে</t>
  </si>
  <si>
    <t>Gem knows gem</t>
  </si>
  <si>
    <t>ডুপ্লিকেট - id 173 রাখা হচ্ছে, এই row বাদ দাও।</t>
  </si>
  <si>
    <t>রতনে রতন চেনে২</t>
  </si>
  <si>
    <t>রতনে রতন চেনে (দ্বিতীয়)</t>
  </si>
  <si>
    <t>A jewel recognizes jewel</t>
  </si>
  <si>
    <t>রতনে রতন চেনে, রসিকে চেনে রসিক</t>
  </si>
  <si>
    <t>রতন চেনে রতন, রসিক চেনে রসিক</t>
  </si>
  <si>
    <t>গুণী</t>
  </si>
  <si>
    <t>Gem knows gem, connoisseur knows connoisseur</t>
  </si>
  <si>
    <t>রত্নগর্ভা/প্রসবিনী১</t>
  </si>
  <si>
    <t>রত্নগর্ভা</t>
  </si>
  <si>
    <t>গুণবতী</t>
  </si>
  <si>
    <t>Bearer of gems</t>
  </si>
  <si>
    <t>এই প্রবাদের ডুপ্লিকেট আছে (id: 7047, 7048), এটা রাখো (সবচেয়ে ছোট id)।</t>
  </si>
  <si>
    <t>রত্নগর্ভের প্রথমসন্তান৩</t>
  </si>
  <si>
    <t>রত্নগর্ভের প্রথম সন্তান (তৃতীয়)</t>
  </si>
  <si>
    <t>Firstborn of gem womb</t>
  </si>
  <si>
    <t>ডুপ্লিকেট - id 7049 রাখা হচ্ছে, এই row বাদ দাও।</t>
  </si>
  <si>
    <t>রথ দেখা কলা বেচা</t>
  </si>
  <si>
    <t>রথ দেখা, কলা বেচা</t>
  </si>
  <si>
    <t>একসাথে দুই কাজ</t>
  </si>
  <si>
    <t>See the chariot, sell bananas</t>
  </si>
  <si>
    <t>রন্ধনের চাউল চর্বণে যায়২</t>
  </si>
  <si>
    <t>রান্নার চাল চিবিয়ে যায় (দ্বিতীয়)</t>
  </si>
  <si>
    <t>মূল নষ্ট</t>
  </si>
  <si>
    <t>Cooking rice chewed</t>
  </si>
  <si>
    <t>ডুপ্লিকেট - id 7054 রাখা হচ্ছে, এই row বাদ দাও।</t>
  </si>
  <si>
    <t>রবি গুরু মঙ্গলের ঊষা, আর সব ফাসাফুসা- খনা</t>
  </si>
  <si>
    <t>রবি, গুরু, মঙ্গলের ঊষা, বাকি ফাসা</t>
  </si>
  <si>
    <t>শুভ সময়</t>
  </si>
  <si>
    <t>Dawn of Sunday, Thursday, Tuesday; rest worthless</t>
  </si>
  <si>
    <t>জ্যোতিষ</t>
  </si>
  <si>
    <t>রসমূলা হি ব্যাধয়ঃ</t>
  </si>
  <si>
    <t>রসই ব্যাধির মূল</t>
  </si>
  <si>
    <t>স্বাদ রোগ</t>
  </si>
  <si>
    <t>Taste is root of disease</t>
  </si>
  <si>
    <t>রসাতলে দেওয়া/যাওয়া</t>
  </si>
  <si>
    <t>রসাতলে দেওয়া</t>
  </si>
  <si>
    <t>Send to abyss</t>
  </si>
  <si>
    <t>রসুন খেলে রসুনের গন্ধ ছাড়ে</t>
  </si>
  <si>
    <t>রসুন খেলে গন্ধ</t>
  </si>
  <si>
    <t>Garlic gives garlic smell</t>
  </si>
  <si>
    <t>রসের ঘরেই গৌর নাচে২</t>
  </si>
  <si>
    <t>রসের ঘরেই গৌর নাচে (দ্বিতীয়)</t>
  </si>
  <si>
    <t>Gaur dances where there is taste</t>
  </si>
  <si>
    <t>ডুপ্লিকেট - id 7062 রাখা হচ্ছে, এই row বাদ দাও।</t>
  </si>
  <si>
    <t>রসের নাগর রূপের সাগর যদি ধন পাই, আদর ক'রে করি তারে বাপের জামাই</t>
  </si>
  <si>
    <t>রসের নাগর রূপের সাগর ধন পেলে বাপের জামাই</t>
  </si>
  <si>
    <t>গুণী পাত্র</t>
  </si>
  <si>
    <t>If I get a charming, handsome, wealthy man, I'll make him my son-in-law</t>
  </si>
  <si>
    <t>রাখে আল্লাহ/হরি তো মারে কে</t>
  </si>
  <si>
    <t>রাখে আল্লাহ/হরি মারে কে</t>
  </si>
  <si>
    <t>ঈশ্বর রক্ষা</t>
  </si>
  <si>
    <t>If Allah/Hari protects, who can kill?</t>
  </si>
  <si>
    <t>রাখে হরি তো মারে কে, মারে হরি রাখে কে</t>
  </si>
  <si>
    <t>রাখলে হরি মারে কে, মারলে হরি রাখে কে</t>
  </si>
  <si>
    <t>ঈশ্বরই সব</t>
  </si>
  <si>
    <t>If Hari saves, who kills; if Hari kills, who saves?</t>
  </si>
  <si>
    <t>রাগ চড়লে পরিণামের কথা চিন্তা করো</t>
  </si>
  <si>
    <t>রাগ চড়লে পরিণাম</t>
  </si>
  <si>
    <t>Think of consequences when angry</t>
  </si>
  <si>
    <t>ক্রোধ</t>
  </si>
  <si>
    <t>রাগ হলে একশ গোন</t>
  </si>
  <si>
    <t>রাগে ধৈর্য</t>
  </si>
  <si>
    <t>Count hundred when angry</t>
  </si>
  <si>
    <t>রাঙামূলা</t>
  </si>
  <si>
    <t>লাল মূলা</t>
  </si>
  <si>
    <t>Red radish</t>
  </si>
  <si>
    <t>রাজদ্বারে শ্মশানে চ য তিষ্টতি স বান্ধবঃ</t>
  </si>
  <si>
    <t>রাজদ্বারে ও শ্মশানে যে থাকে সে বন্ধু</t>
  </si>
  <si>
    <t>প্রকৃত বন্ধু</t>
  </si>
  <si>
    <t>One who stands by in court and cremation ground is a friend</t>
  </si>
  <si>
    <t>রাজা কর্ণেন পশ্যতি</t>
  </si>
  <si>
    <t>রাজা কান দিয়ে দেখেন</t>
  </si>
  <si>
    <t>রাজার কাছে চর</t>
  </si>
  <si>
    <t>King sees with ears</t>
  </si>
  <si>
    <t>রাজাদের ঘুড়ি এক বিয়ানে বুড়ি১</t>
  </si>
  <si>
    <t>রাজাদের ঘুড়ি এক বিয়ানে বুড়ি</t>
  </si>
  <si>
    <t>বড়দের তুচ্ছ</t>
  </si>
  <si>
    <t>Kings' horse one pregnancy old?</t>
  </si>
  <si>
    <t>এই প্রবাদের ডুপ্লিকেট আছে (id: 7078, 7079), এটা রাখো (সবচেয়ে ছোট id)।</t>
  </si>
  <si>
    <t>রাজাদের ঘুড়ি এক বিয়ানে বুড়ি২</t>
  </si>
  <si>
    <t>রাজাদের ঘুড়ি এক বিয়ানে বুড়ি (দ্বিতীয়)</t>
  </si>
  <si>
    <t>বড়দের ছোট</t>
  </si>
  <si>
    <t>King's mare old in one birth</t>
  </si>
  <si>
    <t>ডুপ্লিকেট - id 7078 রাখা হচ্ছে, এই row বাদ দাও।</t>
  </si>
  <si>
    <t>রাজার আছে রাজপাট যোগী/মুনির আছে কাঁথা</t>
  </si>
  <si>
    <t>রাজার রাজপাট, যোগীর কাঁথা</t>
  </si>
  <si>
    <t>নিজের নিজের</t>
  </si>
  <si>
    <t>King has throne, yogi has quilt</t>
  </si>
  <si>
    <t>রাজারও রায়ত নয় সাধুরও খাতক নয়১</t>
  </si>
  <si>
    <t>রাজার প্রজা নয়, সাধুর ঋণী নয়</t>
  </si>
  <si>
    <t>স্বাধীন</t>
  </si>
  <si>
    <t>Neither subject nor debtor</t>
  </si>
  <si>
    <t>এই প্রবাদের ডুপ্লিকেট আছে (id: 7082, 7083), এটা রাখো (সবচেয়ে ছোট id)।</t>
  </si>
  <si>
    <t>রাজারও রায়ত নয় সাধুরও খাতক নয়২</t>
  </si>
  <si>
    <t>রাজার প্রজা নয়, সাধুর ঋণী নয় (দ্বিতীয়)</t>
  </si>
  <si>
    <t>Not subject, not debtor</t>
  </si>
  <si>
    <t>ডুপ্লিকেট - id 7082 রাখা হচ্ছে, এই row বাদ দাও।</t>
  </si>
  <si>
    <t>রাজার গুয়ে গন্ধ নাই</t>
  </si>
  <si>
    <t>রাজার মলে গন্ধ নেই</t>
  </si>
  <si>
    <t>ধনীর দোষ ঢাকা</t>
  </si>
  <si>
    <t>A king's dung has no smell</t>
  </si>
  <si>
    <t>রাজার দোষে রাজ্য নষ্ট</t>
  </si>
  <si>
    <t>শাসকের দোষ</t>
  </si>
  <si>
    <t>A kingdom is ruined by a king's fault</t>
  </si>
  <si>
    <t>রাজা</t>
  </si>
  <si>
    <t>রাজার নন্দিনী প্যারী যা করে/বলে তা শোভা পায়</t>
  </si>
  <si>
    <t>রাজার মেয়ে যা করে তা শোভা</t>
  </si>
  <si>
    <t>ধনীর সব শোভা</t>
  </si>
  <si>
    <t>A king's daughter looks graceful whatever she does</t>
  </si>
  <si>
    <t>রাজার বেটা/মা ভিক্ষা মাগে</t>
  </si>
  <si>
    <t>রাজার ছেলে/মা ভিক্ষা</t>
  </si>
  <si>
    <t>ভাগ্যের পতন</t>
  </si>
  <si>
    <t>King's son/mother begs</t>
  </si>
  <si>
    <t>রাজপরিবার</t>
  </si>
  <si>
    <t>রাজার ভূরিভোজ থেকে বিদুরের শাকান্নও ভাল</t>
  </si>
  <si>
    <t>রাজার ভুরিভোজের চেয়ে বিদুরের শাকান্ন ভাল</t>
  </si>
  <si>
    <t>সাদা আহার</t>
  </si>
  <si>
    <t>Vidura's humble greens better than king's feast</t>
  </si>
  <si>
    <t>রাজার রাজপাট যোগীর ঝুলিকাঁথা</t>
  </si>
  <si>
    <t>রাজার রাজপাট, যোগীর ঝুলি</t>
  </si>
  <si>
    <t>King's throne, yogi's bag</t>
  </si>
  <si>
    <t>রাজার রাণী কানার কানী</t>
  </si>
  <si>
    <t>রাজার রানী কানার কানী</t>
  </si>
  <si>
    <t>King's queen, blind man's blind wife</t>
  </si>
  <si>
    <t>রাতের তারা থাকে দিনের আলোর আড়ালে</t>
  </si>
  <si>
    <t>রাতের তারা দিনের আলোতে লুকানো</t>
  </si>
  <si>
    <t>প্রতিভা লুকানো</t>
  </si>
  <si>
    <t>Stars hide in daylight</t>
  </si>
  <si>
    <t>রাতেরও একসময় অবসান হয়</t>
  </si>
  <si>
    <t>রাতেরও শেষ আছে</t>
  </si>
  <si>
    <t>Even night ends</t>
  </si>
  <si>
    <t>রাতের বেলা ভূতের ভয়</t>
  </si>
  <si>
    <t>রাতে ভূতের ভয়</t>
  </si>
  <si>
    <t>অন্ধকারে ভয়</t>
  </si>
  <si>
    <t>At night fear of ghosts</t>
  </si>
  <si>
    <t>রান্না দেখে কান্না পায়</t>
  </si>
  <si>
    <t>রান্না দেখে কান্না</t>
  </si>
  <si>
    <t>খারাপ রান্না</t>
  </si>
  <si>
    <t>Seeing the cooking makes one cry</t>
  </si>
  <si>
    <t>রন্ধন</t>
  </si>
  <si>
    <t>রান্নার চাল চিবাতে যায়১</t>
  </si>
  <si>
    <t>রান্নার চাল চিবায়</t>
  </si>
  <si>
    <t>Goes to chew cooking rice</t>
  </si>
  <si>
    <t>এই প্রবাদের ডুপ্লিকেট আছে (id: 7096, 7097), এটা রাখো (সবচেয়ে ছোট id)।</t>
  </si>
  <si>
    <t>রান্নার চাল চিবায় (দ্বিতীয়)</t>
  </si>
  <si>
    <t>Chews rice meant for cooking</t>
  </si>
  <si>
    <t>ডুপ্লিকেট - id 7096 রাখা হচ্ছে, এই row বাদ দাও।</t>
  </si>
  <si>
    <t>রাবণের চিতা</t>
  </si>
  <si>
    <t>Ravan's pyre</t>
  </si>
  <si>
    <t>রাবণের স্বর্গের সিঁড়ি</t>
  </si>
  <si>
    <t>অসমাপ্ত</t>
  </si>
  <si>
    <t>Ravan's stairway to heaven</t>
  </si>
  <si>
    <t>রাম না জন্মাতেই</t>
  </si>
  <si>
    <t>শুরুর আগে</t>
  </si>
  <si>
    <t>Before Ram's birth</t>
  </si>
  <si>
    <t>অকাল</t>
  </si>
  <si>
    <t>রাম বলে লক্ষণ, লক্ষণ বলে এইক্ষণ</t>
  </si>
  <si>
    <t>রাম ডাকে লক্ষণ, লক্ষণ বলে এইক্ষণ</t>
  </si>
  <si>
    <t>তৎপর</t>
  </si>
  <si>
    <t>Ram calls, Lakshman says now</t>
  </si>
  <si>
    <t>তৎপরতা</t>
  </si>
  <si>
    <t>রাম ভজি কি রহিম ভজি</t>
  </si>
  <si>
    <t>রাম ভজি বা রহিম</t>
  </si>
  <si>
    <t>সব ধর্ম সমান</t>
  </si>
  <si>
    <t>Worship Ram or Rahim</t>
  </si>
  <si>
    <t>রাম ভালো হ'লে রহিম ভাল হয়</t>
  </si>
  <si>
    <t>রাম ভালো হলে রহিম ভালো</t>
  </si>
  <si>
    <t>সব ধর্ম ভালো</t>
  </si>
  <si>
    <t>If Ram is good, Rahim is good</t>
  </si>
  <si>
    <t>রামরাজত্ব১</t>
  </si>
  <si>
    <t>রামরাজত্ব</t>
  </si>
  <si>
    <t>সুশাসন</t>
  </si>
  <si>
    <t>Ram's rule</t>
  </si>
  <si>
    <t>এই প্রবাদের ডুপ্লিকেট আছে (id: 7106, 7107), এটা রাখো (সবচেয়ে ছোট id)।</t>
  </si>
  <si>
    <t>রামরাজত্ব২</t>
  </si>
  <si>
    <t>রামরাজত্ব (দ্বিতীয়)</t>
  </si>
  <si>
    <t>ন্যায় রাজত্ব</t>
  </si>
  <si>
    <t>Ram's kingdom</t>
  </si>
  <si>
    <t>ডুপ্লিকেট - id 7106 রাখা হচ্ছে, এই row বাদ দাও।</t>
  </si>
  <si>
    <t>রাম রাবণের যুদ্ধ হয় সাগর সেতুবন্ধনে বাঁধা পড়ে</t>
  </si>
  <si>
    <t>রাম-রাবণের যুদ্ধে সাগর বাঁধা</t>
  </si>
  <si>
    <t>বড় যুদ্ধ</t>
  </si>
  <si>
    <t>Ram-Ravan war bound the sea</t>
  </si>
  <si>
    <t>রামের বাণ</t>
  </si>
  <si>
    <t>অব্যর্থ</t>
  </si>
  <si>
    <t>Ram's arrow</t>
  </si>
  <si>
    <t>রামের বাণ সহ্য হয় বানরের দাঁতখিচুনি নয়</t>
  </si>
  <si>
    <t>রামের বাণ সয়, বানরের দাঁতখিঁচুনি সয় না</t>
  </si>
  <si>
    <t>ছোট অপমান কঠিন</t>
  </si>
  <si>
    <t>Ram's arrow bearable, monkey's grin isn't</t>
  </si>
  <si>
    <t>রামের ভাই লক্ষ্মণ১</t>
  </si>
  <si>
    <t>রামের ভাই লক্ষ্মণ</t>
  </si>
  <si>
    <t>অনুগত ভাই</t>
  </si>
  <si>
    <t>Ram's brother Lakshman</t>
  </si>
  <si>
    <t>এই প্রবাদের ডুপ্লিকেট আছে (id: 7113, 7114), এটা রাখো (সবচেয়ে ছোট id)।</t>
  </si>
  <si>
    <t>রামের ভাই লক্ষ্মণ২</t>
  </si>
  <si>
    <t>রামের ভাই লক্ষ্মণ (দ্বিতীয়)</t>
  </si>
  <si>
    <t>Lakshman brother of Ram</t>
  </si>
  <si>
    <t>ডুপ্লিকেট - id 7113 রাখা হচ্ছে, এই row বাদ দাও।</t>
  </si>
  <si>
    <t>রামের মত স্বামী লক্ষ্মণের মত দেবর</t>
  </si>
  <si>
    <t>রামের মতো স্বামী, লক্ষ্মণের মতো দেবর</t>
  </si>
  <si>
    <t>আদর্শ</t>
  </si>
  <si>
    <t>Husband like Ram, brother-in-law like Lakshman</t>
  </si>
  <si>
    <t>রামের হনুমান১</t>
  </si>
  <si>
    <t>রামের হনুমান</t>
  </si>
  <si>
    <t>অনুগত ভক্ত</t>
  </si>
  <si>
    <t>Ram's Hanuman</t>
  </si>
  <si>
    <t>এই প্রবাদের ডুপ্লিকেট আছে (id: 7116, 7117), এটা রাখো (সবচেয়ে ছোট id)।</t>
  </si>
  <si>
    <t>রামের হনুমান২</t>
  </si>
  <si>
    <t>রামের হনুমান (দ্বিতীয়)</t>
  </si>
  <si>
    <t>ভক্ত</t>
  </si>
  <si>
    <t>Hanuman of Ram</t>
  </si>
  <si>
    <t>ডুপ্লিকেট - id 7116 রাখা হচ্ছে, এই row বাদ দাও।</t>
  </si>
  <si>
    <t>রাহুর দশা</t>
  </si>
  <si>
    <t>Rahu's period</t>
  </si>
  <si>
    <t>রিপুস্বপি হি ভীতেষু লাজুকম্পা মহাশয়াঃ</t>
  </si>
  <si>
    <t>শত্রুতে ভীত হলেও মহাশয় লজ্জায় কাঁপে</t>
  </si>
  <si>
    <t>মহৎ ভীরু</t>
  </si>
  <si>
    <t>Even great men tremble in fear of enemies</t>
  </si>
  <si>
    <t>রুচেপুচে খা মন চলে তো যা</t>
  </si>
  <si>
    <t>রুচি করে খাও, মন চাইলে যাও</t>
  </si>
  <si>
    <t>Eat with taste, go if mind wishes</t>
  </si>
  <si>
    <t>রুদ্রমূর্তি ধারণ করেছে</t>
  </si>
  <si>
    <t>রুদ্রমূর্তি ধারণ</t>
  </si>
  <si>
    <t>ক্রুদ্ধ</t>
  </si>
  <si>
    <t>Assume fierce form</t>
  </si>
  <si>
    <t>রূপে মারি লাথি, গুণে ধরি ছাতি</t>
  </si>
  <si>
    <t>রূপে লাথি, গুণে ছাতি</t>
  </si>
  <si>
    <t>Kick beauty, embrace virtue</t>
  </si>
  <si>
    <t>রূপে লক্ষ্মী গুণে সরস্বতী</t>
  </si>
  <si>
    <t>রূপে লক্ষ্মী, গুণে সরস্বতী</t>
  </si>
  <si>
    <t>সুন্দরী</t>
  </si>
  <si>
    <t>Lakshmi in beauty, Saraswati in virtue</t>
  </si>
  <si>
    <t>ডুপ্লিকেট - id 1365 রাখা হচ্ছে, এই row বাদ দাও।</t>
  </si>
  <si>
    <t>রূপের চেয়ে গুণের কদর বেশি</t>
  </si>
  <si>
    <t>গুণের কদর বেশি</t>
  </si>
  <si>
    <t>Virtue valued more than beauty</t>
  </si>
  <si>
    <t>রূপের বালাই নিয়ে মরি</t>
  </si>
  <si>
    <t>রূপের বালাই</t>
  </si>
  <si>
    <t>রূপের অহংকার</t>
  </si>
  <si>
    <t>Dying of beauty's curse</t>
  </si>
  <si>
    <t>রূপোর বদলে রাং/রাংতা</t>
  </si>
  <si>
    <t>রূপোর বদলে রাংতা</t>
  </si>
  <si>
    <t>নকল</t>
  </si>
  <si>
    <t>Tin for silver</t>
  </si>
  <si>
    <t>রেকো গুণঃ খলু নিহন্তি সমস্ত দোষান</t>
  </si>
  <si>
    <t>এক গুণ সব দোষ নাশ</t>
  </si>
  <si>
    <t>A single virtue destroys all faults</t>
  </si>
  <si>
    <t>ডুপ্লিকেট - id 3563 রাখা হচ্ছে, এই row বাদ দাও।</t>
  </si>
  <si>
    <t>রোখা কড়ি চোখা মাল</t>
  </si>
  <si>
    <t>টাকা জোরালো</t>
  </si>
  <si>
    <t>Ready cash, sharp goods</t>
  </si>
  <si>
    <t>রোগ কেবল ভুঁড়িতে আর মুড়িতে</t>
  </si>
  <si>
    <t>রোগ ভুঁড়িতে ও মুড়িতে</t>
  </si>
  <si>
    <t>Disease only in belly and puffed rice</t>
  </si>
  <si>
    <t>রোগের শেষ রাখতে নেই</t>
  </si>
  <si>
    <t>রোগের শেষ রাখা নেই</t>
  </si>
  <si>
    <t>রোগ নির্মূল</t>
  </si>
  <si>
    <t>Don't leave disease unfinished</t>
  </si>
  <si>
    <t>রোগী মরলে বৈদ্য আসে</t>
  </si>
  <si>
    <t>রোগী মরলে বৈদ্য</t>
  </si>
  <si>
    <t>সময় পরে</t>
  </si>
  <si>
    <t>Doctor comes after patient dies</t>
  </si>
  <si>
    <t>রোগে পড়লে মানুষ ভক্তিমান হয়</t>
  </si>
  <si>
    <t>রোগে পড়লে ভক্তিমান</t>
  </si>
  <si>
    <t>In illness, one becomes devout</t>
  </si>
  <si>
    <t>রোজা নিজের ভূত ছাড়াক</t>
  </si>
  <si>
    <t>Let the fasting man exorcise own ghost</t>
  </si>
  <si>
    <t>রোজার ঘাড়ে বোঝা/ভূত</t>
  </si>
  <si>
    <t>রোজার ঘাড়ে ভূত</t>
  </si>
  <si>
    <t>ভার</t>
  </si>
  <si>
    <t>Ghost on fasting man</t>
  </si>
  <si>
    <t>রোদ উঠলে ধান শুকাও</t>
  </si>
  <si>
    <t>Dry paddy when sun rises</t>
  </si>
  <si>
    <t>রোদে ধান ছায়ায় পান- খনা</t>
  </si>
  <si>
    <t>রোদে ধান, ছায়ায় পান</t>
  </si>
  <si>
    <t>Paddy in sun, betel in shade</t>
  </si>
  <si>
    <t>রোদের তাপ সয় বালির তাপ সয় না</t>
  </si>
  <si>
    <t>রোদের তাপ সয়, বালির তাপ নয়</t>
  </si>
  <si>
    <t>মাত্রা ভিন্ন</t>
  </si>
  <si>
    <t>Sun heat bearable, sand heat not</t>
  </si>
  <si>
    <t>তাপ</t>
  </si>
  <si>
    <t>রোমনগরী একদিনে গড়ে হয় নি</t>
  </si>
  <si>
    <t>রোম একদিনে হয়নি</t>
  </si>
  <si>
    <t>Rome wasn't built in a day</t>
  </si>
  <si>
    <t>রোষপরীতেন গুরুণা জায়তি গুণঃ</t>
  </si>
  <si>
    <t>ক্রোধে গুণ নষ্ট</t>
  </si>
  <si>
    <t>রাগে গুণ লোপ</t>
  </si>
  <si>
    <t>Anger destroys virtue</t>
  </si>
  <si>
    <t>লক্ষ্যে পৌঁছানো অসম্ভব হলে লক্ষ্য ছেড়ো না, কাজের ধারা পাল্টাও</t>
  </si>
  <si>
    <t>লক্ষ্য অসম্ভব হলে কাজের ধারা বদলাও</t>
  </si>
  <si>
    <t>If goal impossible, don't abandon goal; change path</t>
  </si>
  <si>
    <t>লক্ষ্মণের ফল ধরা</t>
  </si>
  <si>
    <t>দোষ নেওয়া</t>
  </si>
  <si>
    <t>Holding Lakshman's fruit</t>
  </si>
  <si>
    <t>লক্ষ্মণের মত দেবর</t>
  </si>
  <si>
    <t>লক্ষ্মণের মতো দেবর</t>
  </si>
  <si>
    <t>আদর্শ দেবর</t>
  </si>
  <si>
    <t>Brother-in-law like Lakshman</t>
  </si>
  <si>
    <t>লক্ষ্মণের মত ভাই</t>
  </si>
  <si>
    <t>লক্ষ্মণের মতো ভাই</t>
  </si>
  <si>
    <t>আদর্শ ভাই</t>
  </si>
  <si>
    <t>Brother like Lakshman</t>
  </si>
  <si>
    <t>লক্ষ্মীছাড়ার ঝক্কি বড়</t>
  </si>
  <si>
    <t>লক্ষ্মীছাড়ার ঝামেলা বড়</t>
  </si>
  <si>
    <t>A wretch's nuisance is big</t>
  </si>
  <si>
    <t>লক্ষ্মীছাড়ার দাঁতে বিষ</t>
  </si>
  <si>
    <t>হতভাগার কামড়</t>
  </si>
  <si>
    <t>A wretch's teeth are poisonous</t>
  </si>
  <si>
    <t>লক্ষ্মীর ঘরে কালপেঁচা</t>
  </si>
  <si>
    <t>সুখে অশুভ</t>
  </si>
  <si>
    <t>Owl in Lakshmi's house</t>
  </si>
  <si>
    <t>লক্ষ্মীর কৃপা হওয়া/দশা/দৃষ্টি পড়া</t>
  </si>
  <si>
    <t>লক্ষ্মীর কৃপা হওয়া</t>
  </si>
  <si>
    <t>Lakshmi's grace</t>
  </si>
  <si>
    <t>লক্ষ্মীর পো/মা ভিখ মাগে১</t>
  </si>
  <si>
    <t>লক্ষ্মীর ছেলে/মা ভিক্ষা</t>
  </si>
  <si>
    <t>Lakshmi's son/mother begs</t>
  </si>
  <si>
    <t>মা/ছেলে</t>
  </si>
  <si>
    <t>এই প্রবাদের ডুপ্লিকেট আছে (id: 7156, 7157), এটা রাখো (সবচেয়ে ছোট id)।</t>
  </si>
  <si>
    <t>লক্ষ্মীর পো/মা ভিখ মাগে২</t>
  </si>
  <si>
    <t>লক্ষ্মীর ছেলে/মা ভিক্ষা (দ্বিতীয়)</t>
  </si>
  <si>
    <t>Lakshmi's child begs</t>
  </si>
  <si>
    <t>ডুপ্লিকেট - id 7156 রাখা হচ্ছে, এই row বাদ দাও।</t>
  </si>
  <si>
    <t>লক্ষ্মী হয়ে ভিক্ষা মাগে</t>
  </si>
  <si>
    <t>লক্ষ্মী হয়ে ভিক্ষা</t>
  </si>
  <si>
    <t>সৌভাগ্য নষ্ট</t>
  </si>
  <si>
    <t>Begging even as Lakshmi</t>
  </si>
  <si>
    <t>লক্ষ্য নির্ধারণে কোনো বিপদ নেই, লক্ষ্য ভুলে যাওয়াটাই বিপদ</t>
  </si>
  <si>
    <t>লক্ষ্য ভুলে যাওয়া বিপদ</t>
  </si>
  <si>
    <t>No danger in setting goals, but forgetting them is</t>
  </si>
  <si>
    <t>লঘু পাপে গুরুদণ্ড</t>
  </si>
  <si>
    <t>সামান্য পাপে বড় শাস্তি</t>
  </si>
  <si>
    <t>Small sin, heavy punishment</t>
  </si>
  <si>
    <t>লঙ্কায় গেলেন দরিদ্রা নিয়ে এলেন হরিদ্রা</t>
  </si>
  <si>
    <t>লঙ্কায় গিয়ে হলুদ আনল</t>
  </si>
  <si>
    <t>Went to Lanka, brought turmeric</t>
  </si>
  <si>
    <t>লঙ্কাকাণ্ড</t>
  </si>
  <si>
    <t>বড় ঘটনা</t>
  </si>
  <si>
    <t>Lanka affair</t>
  </si>
  <si>
    <t>লঙ্কাভাগ</t>
  </si>
  <si>
    <t>মনে মনে বিভাগ</t>
  </si>
  <si>
    <t>Dividing Lanka in mind</t>
  </si>
  <si>
    <t>লঙ্কায় মরল রাবণ, বেহুলা কেঁদে সারা</t>
  </si>
  <si>
    <t>লঙ্কায় রাবণ মরল, বেহুলা কাঁদল</t>
  </si>
  <si>
    <t>Ravan died in Lanka, Behula cried</t>
  </si>
  <si>
    <t>লঙ্কায় সোনা সস্তা১</t>
  </si>
  <si>
    <t>লঙ্কায় সোনা সস্তা</t>
  </si>
  <si>
    <t>Gold cheap in Lanka</t>
  </si>
  <si>
    <t>এই প্রবাদের ডুপ্লিকেট আছে (id: 7165, 7166), এটা রাখো (সবচেয়ে ছোট id)।</t>
  </si>
  <si>
    <t>লঙ্কায় সোনা সস্তা২</t>
  </si>
  <si>
    <t>লঙ্কায় সোনা সস্তা (দ্বিতীয়)</t>
  </si>
  <si>
    <t>অপ্রাপ্য</t>
  </si>
  <si>
    <t>ডুপ্লিকেট - id 7165 রাখা হচ্ছে, এই row বাদ দাও।</t>
  </si>
  <si>
    <t>লড়ে ফৌজ, নাম সর্দারের- হিন্দী প্রবাদ</t>
  </si>
  <si>
    <t>ফৌজ লড়ে, নাম সর্দারের</t>
  </si>
  <si>
    <t>নাম অন্যের</t>
  </si>
  <si>
    <t>Army fights, credit goes to chief</t>
  </si>
  <si>
    <t>লবণহীন ব্যঞ্জন আর ভক্তিহীন ভজন, দুই-ই সমান</t>
  </si>
  <si>
    <t>লবণহীন রান্না ও ভক্তিহীন ভজন সমান</t>
  </si>
  <si>
    <t>মূলহীন</t>
  </si>
  <si>
    <t>Saltless curry and faithless worship are same</t>
  </si>
  <si>
    <t>ললাটরেখা ন পুনঃ প্রয়াতি</t>
  </si>
  <si>
    <t>কপালের রেখা ফেরে না</t>
  </si>
  <si>
    <t>Forehead line never returns</t>
  </si>
  <si>
    <t>লাউশাকের বালি আর অন্তরের কালি</t>
  </si>
  <si>
    <t>লাউশাকের বালি, অন্তরের কালি</t>
  </si>
  <si>
    <t>লুকানো ময়লা</t>
  </si>
  <si>
    <t>Sand in gourd greens, blackness in heart</t>
  </si>
  <si>
    <t>লাখটাকায় বামুন ভিখারি</t>
  </si>
  <si>
    <t>লাখ টাকায় বামুন ভিখারি</t>
  </si>
  <si>
    <t>ধনী কৃপণ</t>
  </si>
  <si>
    <t>Brahmin with lakhs, still beggar</t>
  </si>
  <si>
    <t>লাখকথা নইলে বিয়ে হয় না</t>
  </si>
  <si>
    <t>লাখ কথা ছাড়া বিয়ে হয় না</t>
  </si>
  <si>
    <t>বিয়েতে কথা</t>
  </si>
  <si>
    <t>No wedding without a lakh words</t>
  </si>
  <si>
    <t>লাগে টাকা দেবে গৌরী সেন</t>
  </si>
  <si>
    <t>টাকা লাগলে দেবে গৌরী সেন</t>
  </si>
  <si>
    <t>খরচের দায়</t>
  </si>
  <si>
    <t>Gouri Sen will pay if needed</t>
  </si>
  <si>
    <t>ডুপ্লিকেট - id 369 রাখা হচ্ছে, এই row বাদ দাও।</t>
  </si>
  <si>
    <t>লাগে তাক না লাগে তুক</t>
  </si>
  <si>
    <t>Hit or miss</t>
  </si>
  <si>
    <t>লাঙলে ভালো খুঁড়লে মাটি, ফসল হয় ফাটাফাটি- খনা</t>
  </si>
  <si>
    <t>লাঙলে মাটি ভালো খুঁড়লে ফসল ফাটাফাটি</t>
  </si>
  <si>
    <t>Plough soil well, crop abundant</t>
  </si>
  <si>
    <t>লাজের মাথায় পড়ুক বাজ, সারো গিয়ে নিজের কাজ- খনা</t>
  </si>
  <si>
    <t>লাজের মাথায় বাজ, নিজের কাজ সার</t>
  </si>
  <si>
    <t>কাজ আগে</t>
  </si>
  <si>
    <t>Even if shame, do your work</t>
  </si>
  <si>
    <t>লাঠির আগে ভূত ভাগে</t>
  </si>
  <si>
    <t>লাঠির আগে ভূত পালায়</t>
  </si>
  <si>
    <t>শক্তিতে বশ</t>
  </si>
  <si>
    <t>Ghosts flee before stick</t>
  </si>
  <si>
    <t>লাথ সয় তো বাত সয় না</t>
  </si>
  <si>
    <t>লাথি সয়, কথা সয় না</t>
  </si>
  <si>
    <t>Can bear kick, not words</t>
  </si>
  <si>
    <t>লাথি মেরে পায়ে ধরে২</t>
  </si>
  <si>
    <t>লাথি মেরে পায়ে ধরে (দ্বিতীয়)</t>
  </si>
  <si>
    <t>Kick and then bow</t>
  </si>
  <si>
    <t>ডুপ্লিকেট - id 7185 রাখা হচ্ছে, এই row বাদ দাও।</t>
  </si>
  <si>
    <t>লাথির ঢেঁকি চড়ে ওঠে না</t>
  </si>
  <si>
    <t>লাথির ঢেঁকি চড়ে না</t>
  </si>
  <si>
    <t>A kicked dheki doesn't rise</t>
  </si>
  <si>
    <t>লাথির ঢেঁকি মাথায় চড়ে</t>
  </si>
  <si>
    <t>নীচ উঁচুতে</t>
  </si>
  <si>
    <t>Kicked dheki climbs head</t>
  </si>
  <si>
    <t>লাফাবার আগে তাকিয়ে দেখো, লাফিয়ে তাকিও না</t>
  </si>
  <si>
    <t>লাফের আগে দেখ, লাফিয়ে তাকিও না</t>
  </si>
  <si>
    <t>Look before you leap</t>
  </si>
  <si>
    <t>লাফিয়ে চাঁদ ধরতে চায়১</t>
  </si>
  <si>
    <t>লাফিয়ে চাঁদ ধরতে চায়</t>
  </si>
  <si>
    <t>Jump to catch moon</t>
  </si>
  <si>
    <t>এই প্রবাদের ডুপ্লিকেট আছে (id: 7191, 7192), এটা রাখো (সবচেয়ে ছোট id)।</t>
  </si>
  <si>
    <t>লাফিয়ে চাঁদ ধরতে চায়২</t>
  </si>
  <si>
    <t>লাফিয়ে চাঁদ ধরতে চায় (দ্বিতীয়)</t>
  </si>
  <si>
    <t>উচ্চাশা</t>
  </si>
  <si>
    <t>Leap for moon</t>
  </si>
  <si>
    <t>ডুপ্লিকেট - id 7191 রাখা হচ্ছে, এই row বাদ দাও।</t>
  </si>
  <si>
    <t>লাভে লোভ বাড়ে১</t>
  </si>
  <si>
    <t>লাভে লোভ বাড়ে</t>
  </si>
  <si>
    <t>Gain increases greed</t>
  </si>
  <si>
    <t>এই প্রবাদের ডুপ্লিকেট আছে (id: 7194, 7195), এটা রাখো (সবচেয়ে ছোট id)।</t>
  </si>
  <si>
    <t>লাভে লোভ বাড়ে২</t>
  </si>
  <si>
    <t>লাভে লোভ বাড়ে (দ্বিতীয়)</t>
  </si>
  <si>
    <t>Profit increases desire</t>
  </si>
  <si>
    <t>ডুপ্লিকেট - id 7194 রাখা হচ্ছে, এই row বাদ দাও।</t>
  </si>
  <si>
    <t>লাভে লোহা বয়</t>
  </si>
  <si>
    <t>লাভে কঠিনও বহন</t>
  </si>
  <si>
    <t>Gain makes iron light</t>
  </si>
  <si>
    <t>লাভের অঙ্ক শূন্য</t>
  </si>
  <si>
    <t>লাভের হিসাব শূন্য</t>
  </si>
  <si>
    <t>লাভ নেই</t>
  </si>
  <si>
    <t>Profit zero</t>
  </si>
  <si>
    <t>লাভের গুড় পিঁপড়েয় খায়১</t>
  </si>
  <si>
    <t>লাভের গুড় পিঁপড়েয় খায়</t>
  </si>
  <si>
    <t>লাভ নষ্ট</t>
  </si>
  <si>
    <t>Ants eat profit's jaggery</t>
  </si>
  <si>
    <t>এই প্রবাদের ডুপ্লিকেট আছে (id: 7198, 7199), এটা রাখো (সবচেয়ে ছোট id)।</t>
  </si>
  <si>
    <t>লাভের গুড় পিঁপড়েয় খায়২</t>
  </si>
  <si>
    <t>লাভের গুড় পিঁপড়েয় খায় (দ্বিতীয়)</t>
  </si>
  <si>
    <t>Ants consume profit</t>
  </si>
  <si>
    <t>ডুপ্লিকেট - id 7198 রাখা হচ্ছে, এই row বাদ দাও।</t>
  </si>
  <si>
    <t>লালচ বুরি বলা হৈ</t>
  </si>
  <si>
    <t>লালচ বুড়ি বলা হয়</t>
  </si>
  <si>
    <t>লালসা</t>
  </si>
  <si>
    <t>Greedy old woman</t>
  </si>
  <si>
    <t>লালয়েৎ পঞ্চবর্ষাণি, দশবর্ষাণি তাড়য়েৎ, প্রাপ্তে তু ষোড়শবর্ষে পুত্রং মিত্রবদাচরেৎ</t>
  </si>
  <si>
    <t>পাঁচ বছর লালন, দশ বছর শাসন, ষোল বছরে পুত্রকে মিত্র</t>
  </si>
  <si>
    <t>সন্তান পালন</t>
  </si>
  <si>
    <t>Cherish son for five years, discipline for ten, treat as friend at sixteen</t>
  </si>
  <si>
    <t>লিখতে পারে না পো তো সভায় নিয়ে থো</t>
  </si>
  <si>
    <t>লিখতে না পারলে সভায় নিয়ে থো</t>
  </si>
  <si>
    <t>Can't write, yet take him to assembly</t>
  </si>
  <si>
    <t>লিখতে লিখতে সরে</t>
  </si>
  <si>
    <t>ধীরে ধীরে</t>
  </si>
  <si>
    <t>Slips while writing</t>
  </si>
  <si>
    <t>লিখিব পড়িব মরিব দুখে, মৎস মারিব খাইব সুখে</t>
  </si>
  <si>
    <t>লিখব পড়ব দুঃখে মরব, মাছ মারব খাব সুখে</t>
  </si>
  <si>
    <t>I'll die reading-writing in sorrow, fish and eat in joy</t>
  </si>
  <si>
    <t>লুব্ধস্য নশ্যতি যশঃ</t>
  </si>
  <si>
    <t>লোভীর যশ নষ্ট</t>
  </si>
  <si>
    <t>A greedy man's fame perishes</t>
  </si>
  <si>
    <t>লেখনী পুস্তিকা, জায়া পরহস্তং গতা গতা</t>
  </si>
  <si>
    <t>লেখনী, পুস্তক, স্ত্রী পরের হাতে গেলে গেছে</t>
  </si>
  <si>
    <t>পরের হাতে নয়</t>
  </si>
  <si>
    <t>Pen, book, wife once in other's hand are gone</t>
  </si>
  <si>
    <t>লেখাপড়া করে যেই গাড়ীঘোড়া চড়ে সেই</t>
  </si>
  <si>
    <t>লেখাপড়া করলে গাড়িঘোড়া</t>
  </si>
  <si>
    <t>শিক্ষার ফল</t>
  </si>
  <si>
    <t>He who studies rides carriages</t>
  </si>
  <si>
    <t>লেখিব পড়িব মরিব দুখে মৎস মারিব খাইব সুখে</t>
  </si>
  <si>
    <t>লেখাপড়ায় দুঃখ, মাছ মেরে সুখ</t>
  </si>
  <si>
    <t>Reading writing death, fishing joy</t>
  </si>
  <si>
    <t>লেগে থাকলে মেগে খায় না</t>
  </si>
  <si>
    <t>লেগে থাকলে ভিক্ষা করে না</t>
  </si>
  <si>
    <t>লেঙ্‌টার নেই বাটপাড়ের ভয়</t>
  </si>
  <si>
    <t>লেংটার ডাকাতের ভয় নেই</t>
  </si>
  <si>
    <t>Naked man fears no robber</t>
  </si>
  <si>
    <t>লেজকাটা শেয়াল দোসর খোঁজে</t>
  </si>
  <si>
    <t>লেজকাটা শিয়াল দোসর খোঁজে</t>
  </si>
  <si>
    <t>দুঃখী সহচর</t>
  </si>
  <si>
    <t>Tail-cut fox seeks partner</t>
  </si>
  <si>
    <t>লেবু কচলালে/চটকালে/রগড়ালে তেতো হয়</t>
  </si>
  <si>
    <t>লেবু কচলালে তেতো</t>
  </si>
  <si>
    <t>Rub lemon, bitter</t>
  </si>
  <si>
    <t>লোকে বলে আছে ভালো শালুক খেতে দাঁত কালো</t>
  </si>
  <si>
    <t>লোকে বলে ভালো, শালুক খেতে দাঁত কালো</t>
  </si>
  <si>
    <t>ফল</t>
  </si>
  <si>
    <t>People say good, but teeth black</t>
  </si>
  <si>
    <t>বিরোধ</t>
  </si>
  <si>
    <t>লোকে মানে না আপনি মোড়ল১</t>
  </si>
  <si>
    <t>লোকে মানে না, আপনি মোড়ল</t>
  </si>
  <si>
    <t>স্বঘোষিত নেতা</t>
  </si>
  <si>
    <t>Not accepted, yet self-styled headman</t>
  </si>
  <si>
    <t>এই প্রবাদের ডুপ্লিকেট আছে (id: 7215, 7216), এটা রাখো (সবচেয়ে ছোট id)।</t>
  </si>
  <si>
    <t>লোকে মানে না আপনি মোড়ল২</t>
  </si>
  <si>
    <t>লোকে মানে না, আপনি মোড়ল (দ্বিতীয়)</t>
  </si>
  <si>
    <t>উদ্ধত</t>
  </si>
  <si>
    <t>Self-appointed chief</t>
  </si>
  <si>
    <t>ডুপ্লিকেট - id 7215 রাখা হচ্ছে, এই row বাদ দাও।</t>
  </si>
  <si>
    <t>লোকে কান বন্ধ করার আগে নিজের মুখ বন্ধ কর</t>
  </si>
  <si>
    <t>লোকে কান বন্ধের আগে নিজের মুখ বন্ধ</t>
  </si>
  <si>
    <t>কথা সংযত</t>
  </si>
  <si>
    <t>Close your mouth before others close ears</t>
  </si>
  <si>
    <t>লোকে কান খোলার আগে নিজের কান খোল</t>
  </si>
  <si>
    <t>শোনা</t>
  </si>
  <si>
    <t>Open your ears before others</t>
  </si>
  <si>
    <t>শ্রবণ</t>
  </si>
  <si>
    <t>লোকে বলে আছে ভাল, শালুক খেয়ে দাঁত কালো</t>
  </si>
  <si>
    <t>লোকে বলে ভালো, শালুক খেয়ে দাঁত কালো</t>
  </si>
  <si>
    <t>They say good, but teeth black</t>
  </si>
  <si>
    <t>লোকে কারো নিন্দা করলে প্রায় সকলেই তা বিশ্বাস করে</t>
  </si>
  <si>
    <t>নিন্দা লোকে বিশ্বাস করে</t>
  </si>
  <si>
    <t>নিন্দা</t>
  </si>
  <si>
    <t>Almost all believe slander</t>
  </si>
  <si>
    <t>লোকে কারো প্রশংসা করলে খুব কম লোকই তা বিশ্বাস করে</t>
  </si>
  <si>
    <t>প্রশংসা কম বিশ্বাস</t>
  </si>
  <si>
    <t>প্রশংসা</t>
  </si>
  <si>
    <t>Few believe praise</t>
  </si>
  <si>
    <t>লোকে যেমন চায় তেমন তার সাথে আচরণ কর, নিজের পছন্দমত করো না</t>
  </si>
  <si>
    <t>লোক যেমন চায় তেমন আচরণ</t>
  </si>
  <si>
    <t>মানানসই</t>
  </si>
  <si>
    <t>Treat people as they wish, not as you like</t>
  </si>
  <si>
    <t>ব্যবহার</t>
  </si>
  <si>
    <t>লোকের কথায় কান দিতে নেই</t>
  </si>
  <si>
    <t>লোকের কথায় কান নয়</t>
  </si>
  <si>
    <t>অপরের কথা</t>
  </si>
  <si>
    <t>Don't listen to gossip</t>
  </si>
  <si>
    <t>লোকের কথায় চলতে নেই</t>
  </si>
  <si>
    <t>লোকের কথায় চলা নয়</t>
  </si>
  <si>
    <t>নিজের বিচার</t>
  </si>
  <si>
    <t>Don't follow others' words</t>
  </si>
  <si>
    <t>লোটা কম্বল না থাকলে সাধু হওয়া যায় না</t>
  </si>
  <si>
    <t>লোটা কম্বল ছাড়া সাধু নয়</t>
  </si>
  <si>
    <t>ভেক</t>
  </si>
  <si>
    <t>No pot and blanket, no sainthood</t>
  </si>
  <si>
    <t>লোভে পাপ, পাপে মৃত্যু</t>
  </si>
  <si>
    <t>Greed leads sin, sin death</t>
  </si>
  <si>
    <t>ডুপ্লিকেট - id 59 রাখা হচ্ছে, এই row বাদ দাও।</t>
  </si>
  <si>
    <t>লোভী লোকের হাত লম্বা হয়</t>
  </si>
  <si>
    <t>লোভীর হাত লম্বা</t>
  </si>
  <si>
    <t>Greedy man's hand is long</t>
  </si>
  <si>
    <t>লোম বাছতে কম্বল উজাড়</t>
  </si>
  <si>
    <t>লোম বাছতে কম্বল শেষ</t>
  </si>
  <si>
    <t>খুঁত ধরা</t>
  </si>
  <si>
    <t>Picking hairs ruins blanket</t>
  </si>
  <si>
    <t>খুঁত</t>
  </si>
  <si>
    <t>লোহা পাথরে যুদ্ধ করে শোলাদিদি পুড়ে মরে২</t>
  </si>
  <si>
    <t>লোহা-পাথরে লড়াই, শোলাদিদি মরে (দ্বিতীয়)</t>
  </si>
  <si>
    <t>বলির পাঁঠা</t>
  </si>
  <si>
    <t>Iron-stone clash, Shola burns</t>
  </si>
  <si>
    <t>ডুপ্লিকেট - id 7229 রাখা হচ্ছে, এই row বাদ দাও।</t>
  </si>
  <si>
    <t>লোহা লোহাকে কাটে</t>
  </si>
  <si>
    <t>সমান শক্তি</t>
  </si>
  <si>
    <t>Iron cuts iron</t>
  </si>
  <si>
    <t>ল্যাংটার নেই বাটপাড়ের ভয়</t>
  </si>
  <si>
    <t>ল্যাংটার ডাকাতের ভয় নেই</t>
  </si>
  <si>
    <t>Naked has no fear of robbers</t>
  </si>
  <si>
    <t>শকুন যতই উপরে উঠুক নজর তার নীচের দিকে</t>
  </si>
  <si>
    <t>শকুন উপরে উঠেও নীচে দেখে</t>
  </si>
  <si>
    <t>Vulture flies high but looks down</t>
  </si>
  <si>
    <t>শকুনের দৃষ্টি ভাগাড়ে</t>
  </si>
  <si>
    <t>Vulture's gaze on carcass</t>
  </si>
  <si>
    <t>শকুনিমামা</t>
  </si>
  <si>
    <t>শকুনি মামা</t>
  </si>
  <si>
    <t>কুচক্রী</t>
  </si>
  <si>
    <t>Shakuni uncle</t>
  </si>
  <si>
    <t>শক্তকথায় হাড় ভাঙে না</t>
  </si>
  <si>
    <t>শক্ত কথায় হাড় ভাঙে না</t>
  </si>
  <si>
    <t>কথা ক্ষতি নয়</t>
  </si>
  <si>
    <t>Hard words break no bones</t>
  </si>
  <si>
    <t>শক্ত মাটিতে বিড়াল আঁচড়ায় না</t>
  </si>
  <si>
    <t>দুর্বল সুযোগ</t>
  </si>
  <si>
    <t>Cat doesn't scratch hard soil</t>
  </si>
  <si>
    <t>শক্তের ভক্ত নরমের যম</t>
  </si>
  <si>
    <t>শক্তের ভক্ত, নরমের যম</t>
  </si>
  <si>
    <t>Devotee to strong, deadly to soft</t>
  </si>
  <si>
    <t>শক্তের তিনকুল মুক্ত</t>
  </si>
  <si>
    <t>The strong's three families free</t>
  </si>
  <si>
    <t>শঙ্খবণিকের করাত আসতে কাটে যেতেও কাটা১</t>
  </si>
  <si>
    <t>শঙ্খবণিকের করাত দুই দিকে কাটে</t>
  </si>
  <si>
    <t>Conch merchant's saw cuts both ways</t>
  </si>
  <si>
    <t>এই প্রবাদের ডুপ্লিকেট আছে (id: 7241, 7242), এটা রাখো (সবচেয়ে ছোট id)।</t>
  </si>
  <si>
    <t>শজনে শাক সকল শাকের হেলা, খোঁজ পর তার টানাটানির বেলা</t>
  </si>
  <si>
    <t>শজনে শাক সবার অবহেলা, পরে তার খোঁজ</t>
  </si>
  <si>
    <t>প্রয়োজনে খোঁজ</t>
  </si>
  <si>
    <t>Shajina greens neglected until needed</t>
  </si>
  <si>
    <t>শজনে শাকে নুন জোটে না মটর/মুসুর ডালে ঘি</t>
  </si>
  <si>
    <t>শজনে শাকে নুন নেই, মটর ডালে ঘি</t>
  </si>
  <si>
    <t>No salt for shajina, ghee for lentil</t>
  </si>
  <si>
    <t>শঠ হওয়ার চেয়ে বোকা হওয়া ভাল</t>
  </si>
  <si>
    <t>শঠের চেয়ে বোকা ভালো</t>
  </si>
  <si>
    <t>Better foolish than wicked</t>
  </si>
  <si>
    <t>শঠ বন্ধুর সঙ্গে এবং সর্পগৃহে বাস মৃত্যুরই সামিল</t>
  </si>
  <si>
    <t>শঠ বন্ধু ও সাপের ঘরে বাস মৃত্যু</t>
  </si>
  <si>
    <t>Living with cunning friend and snake is death</t>
  </si>
  <si>
    <t>শঠ</t>
  </si>
  <si>
    <t>শঠের ভালবাসা মুসলমানের মুরগী পোষা</t>
  </si>
  <si>
    <t>শঠের ভালোবাসা, মুসলমানের মুরগি পোষা</t>
  </si>
  <si>
    <t>A cheat's love, Muslim's hen keeping</t>
  </si>
  <si>
    <t>শঠের মায়া তালের ছায়া</t>
  </si>
  <si>
    <t>A cheat's affection is like palm shade</t>
  </si>
  <si>
    <t>শতং জীব</t>
  </si>
  <si>
    <t>শত বছর বাঁচো</t>
  </si>
  <si>
    <t>দীর্ঘায়ু</t>
  </si>
  <si>
    <t>Live hundred years</t>
  </si>
  <si>
    <t>আশীর্বাদ</t>
  </si>
  <si>
    <t>শতম্‌ বদ মা লিখ</t>
  </si>
  <si>
    <t>শতবার বল, লিখ না</t>
  </si>
  <si>
    <t>Say hundred times, don't write</t>
  </si>
  <si>
    <t>শতমারী ভবেৎ বৈদ্যঃ, সহস্রমারী চিকিৎসকঃ</t>
  </si>
  <si>
    <t>শত মারলে বৈদ্য, হাজার মারলে চিকিৎসক</t>
  </si>
  <si>
    <t>Kill hundred, a physician; kill thousand, a surgeon</t>
  </si>
  <si>
    <t>চিকিৎসা</t>
  </si>
  <si>
    <t>শতমূর্খ একত্র হলেও একজন বুদ্ধিমানের কাজ করতে পারে না</t>
  </si>
  <si>
    <t>শত মূর্খ মিলেও জ্ঞানীর কাজ নয়</t>
  </si>
  <si>
    <t>Hundred fools cannot do one wise man's work</t>
  </si>
  <si>
    <t>শতমূর্খ পুত্র থেকে এক গুণীপুত্র ভাল</t>
  </si>
  <si>
    <t>শত মূর্খ ছেলের চেয়ে এক গুণী ছেলে ভালো</t>
  </si>
  <si>
    <t>শত্রু দিয়ে শত্রুনাশ</t>
  </si>
  <si>
    <t>শত্রু দিয়ে শত্রু নাশ</t>
  </si>
  <si>
    <t>Destroy enemy by enemy</t>
  </si>
  <si>
    <t>শত্রু বন্ধু সেজে এলেও তার পরামর্শ হিতকর হয় না</t>
  </si>
  <si>
    <t>শত্রু বন্ধু সেজে এলেও পরামর্শ অহিতকর</t>
  </si>
  <si>
    <t>শত্রু</t>
  </si>
  <si>
    <t>Enemy disguised as friend gives harmful advice</t>
  </si>
  <si>
    <t>শত্রু বলবান হলে লুকিয়ে আত্মরক্ষা করতে হয়</t>
  </si>
  <si>
    <t>বলবান শত্রু হলে লুকিয়ে রক্ষা</t>
  </si>
  <si>
    <t>If enemy strong, hide to save self</t>
  </si>
  <si>
    <t>শত্রু মরে গেলেও আনন্দ করার কারণ নেই</t>
  </si>
  <si>
    <t>শত্রু মরলেও আনন্দ নয়</t>
  </si>
  <si>
    <t>Don't rejoice even if enemy dies</t>
  </si>
  <si>
    <t>শত্রুর গুণগুলি ব্যক্ত করবে</t>
  </si>
  <si>
    <t>শত্রুর গুণ বলবে</t>
  </si>
  <si>
    <t>Praise enemy's virtues</t>
  </si>
  <si>
    <t>শত্রুর পতনে আনন্দ করো না</t>
  </si>
  <si>
    <t>শত্রুর পতনে আনন্দ নয়</t>
  </si>
  <si>
    <t>Don't rejoice at enemy's fall</t>
  </si>
  <si>
    <t>শত্রুর মুখে ছাই</t>
  </si>
  <si>
    <t>Ash on enemy's face</t>
  </si>
  <si>
    <t>শত্রুর শত্রু তোমার মিত্র</t>
  </si>
  <si>
    <t>শত্রুর শত্রু মিত্র</t>
  </si>
  <si>
    <t>Enemy of enemy is friend</t>
  </si>
  <si>
    <t>শত্রুর শেষ রাখতে নাই</t>
  </si>
  <si>
    <t>শত্রুর শেষ রাখা নয়</t>
  </si>
  <si>
    <t>Don't leave enemy unfinished</t>
  </si>
  <si>
    <t>শত্রুর স্মিতহাসি থেকে বন্ধুর তিরস্কার/ভ্রুকুটি অনেক ভাল</t>
  </si>
  <si>
    <t>শত্রুর হাসির চেয়ে বন্ধুর ভ্রুকুটি ভালো</t>
  </si>
  <si>
    <t>Friend's frown better than enemy's smile</t>
  </si>
  <si>
    <t>শত্রোরপি গুণা বাচ্যা দোষা বাচ্যা গুরোরপি</t>
  </si>
  <si>
    <t>শত্রুর গুণ বল, গুরুর দোষ নয়</t>
  </si>
  <si>
    <t>Praise enemy's merit, not guru's fault</t>
  </si>
  <si>
    <t>শনিবারের মড়া দোসর খোঁজে/চায়১</t>
  </si>
  <si>
    <t>শনিবারের মড়া দোসর চায়</t>
  </si>
  <si>
    <t>বিপদে সঙ্গী</t>
  </si>
  <si>
    <t>Saturday's corpse seeks companion</t>
  </si>
  <si>
    <t>এই প্রবাদের ডুপ্লিকেট আছে (id: 7266, 7267), এটা রাখো (সবচেয়ে ছোট id)।</t>
  </si>
  <si>
    <t>শনিবারের মড়া দোসর খোঁজে/চায়২</t>
  </si>
  <si>
    <t>শনিবারের মড়া দোসর চায় (দ্বিতীয়)</t>
  </si>
  <si>
    <t>সঙ্গী</t>
  </si>
  <si>
    <t>Corpse seeks mate</t>
  </si>
  <si>
    <t>ডুপ্লিকেট - id 7266 রাখা হচ্ছে, এই row বাদ দাও।</t>
  </si>
  <si>
    <t>শনির দশা/দৃষ্টি হলে পোড়া শোল পালায়</t>
  </si>
  <si>
    <t>শনির দশায় পোড়া শোল পালায়</t>
  </si>
  <si>
    <t>Under Saturn, burnt fish escapes</t>
  </si>
  <si>
    <t>শনি সাত মঙ্গল তিন এর সব দিন দিন</t>
  </si>
  <si>
    <t>শনি সাত, মঙ্গল তিন, সব দিনই দিন</t>
  </si>
  <si>
    <t>দিন</t>
  </si>
  <si>
    <t>Saturn seven, Mars three, all days are days</t>
  </si>
  <si>
    <t>শনৈঃ পর্বতলঙ্ঘনম্</t>
  </si>
  <si>
    <t>ধীরে পর্বত লঙ্ঘন</t>
  </si>
  <si>
    <t>ধীর</t>
  </si>
  <si>
    <t>Slowly cross mountain</t>
  </si>
  <si>
    <t>শনৈঃ শনৈঃ চরৈবেতি</t>
  </si>
  <si>
    <t>ধীরে ধীরে চলতে থাক</t>
  </si>
  <si>
    <t>Slowly, slowly keep moving</t>
  </si>
  <si>
    <t>শমনদমন রাবণরাজা, রাবণদমন রাম</t>
  </si>
  <si>
    <t>যমকে দমন রাবণ, রাবণকে রাম</t>
  </si>
  <si>
    <t>Ravan conquered death, Ram conquered Ravan</t>
  </si>
  <si>
    <t>শয়তান এসে কড়া নাড়লে দরজা খুলো না</t>
  </si>
  <si>
    <t>শয়তান নাড়লে দরজা খুলো না</t>
  </si>
  <si>
    <t>প্রলোভন</t>
  </si>
  <si>
    <t>Don't open door when devil knocks</t>
  </si>
  <si>
    <t>শয়তান কখনো সাধু হয় না</t>
  </si>
  <si>
    <t>শয়তান সাধু হয় না</t>
  </si>
  <si>
    <t>Devil never becomes saint</t>
  </si>
  <si>
    <t>শয়তান সবসময় তোমার পিছনেই ঘোরাফেরা করে</t>
  </si>
  <si>
    <t>শয়তান পিছনে ঘোরে</t>
  </si>
  <si>
    <t>Devil always follows you</t>
  </si>
  <si>
    <t>শয়তান ততটা কালো নয় যতটা ভাবা হয়১</t>
  </si>
  <si>
    <t>শয়তান অত কালো নয়</t>
  </si>
  <si>
    <t>Devil not as black as thought</t>
  </si>
  <si>
    <t>ধারণা</t>
  </si>
  <si>
    <t>এই প্রবাদের ডুপ্লিকেট আছে (id: 7276, 7277), এটা রাখো (সবচেয়ে ছোট id)।</t>
  </si>
  <si>
    <t>শয়তান ততটা কালো নয় যতটা ভাবা হয়২</t>
  </si>
  <si>
    <t>শয়তান অত কালো নয় (দ্বিতীয়)</t>
  </si>
  <si>
    <t>নেতিবাচক ধারণা</t>
  </si>
  <si>
    <t>Devil not so black</t>
  </si>
  <si>
    <t>ডুপ্লিকেট - id 7276 রাখা হচ্ছে, এই row বাদ দাও।</t>
  </si>
  <si>
    <t>শয়তানের পছন্দ ক্ষিপ্রতা, করুণাময় ঈশ্বর সবসময় ধীর১</t>
  </si>
  <si>
    <t>শয়তান দ্রুত, ঈশ্বর ধীর</t>
  </si>
  <si>
    <t>Devil loves haste, God loves patience</t>
  </si>
  <si>
    <t>এই প্রবাদের ডুপ্লিকেট আছে (id: 7278, 7279), এটা রাখো (সবচেয়ে ছোট id)।</t>
  </si>
  <si>
    <t>শয়তানের পছন্দ ক্ষিপ্রতা, করুণাময় ঈশ্বর সবসময় ধীর২</t>
  </si>
  <si>
    <t>শয়তান দ্রুত, ঈশ্বর ধীর (দ্বিতীয়)</t>
  </si>
  <si>
    <t>Devil likes speed, God slowness</t>
  </si>
  <si>
    <t>ডুপ্লিকেট - id 7278 রাখা হচ্ছে, এই row বাদ দাও।</t>
  </si>
  <si>
    <t>শয়তানের মায়া বোঝা ভার</t>
  </si>
  <si>
    <t>শয়তানের মায়া কঠিন</t>
  </si>
  <si>
    <t>Devil's illusion hard to understand</t>
  </si>
  <si>
    <t>শরীরং ব্যাধিমন্দিরম</t>
  </si>
  <si>
    <t>শরীর ব্যাধির মন্দির</t>
  </si>
  <si>
    <t>Body is temple of disease</t>
  </si>
  <si>
    <t>শরীরপাত কিংবা কর্তব্যসাধন</t>
  </si>
  <si>
    <t>শরীর পাত বা কর্তব্য</t>
  </si>
  <si>
    <t>Either sacrifice body or perform duty</t>
  </si>
  <si>
    <t>শরীরমাদ্যং খলু ধর্মসাধনম</t>
  </si>
  <si>
    <t>শরীরই ধর্মসাধনের প্রথম</t>
  </si>
  <si>
    <t>শরীর</t>
  </si>
  <si>
    <t>Body is first means of religion</t>
  </si>
  <si>
    <t>শরীরকে আরামে রেখে জ্ঞানার্জন হয় না</t>
  </si>
  <si>
    <t>আরামে জ্ঞানার্জন নয়</t>
  </si>
  <si>
    <t>Knowledge not gained in comfort</t>
  </si>
  <si>
    <t>শরীরের নাম মহাশয় যা সহাইবে তাই সয়১</t>
  </si>
  <si>
    <t>শরীর যা সহ্য করবে তাই সয়</t>
  </si>
  <si>
    <t>Body gets accustomed to what it bears</t>
  </si>
  <si>
    <t>এই প্রবাদের ডুপ্লিকেট আছে (id: 7285, 7286), এটা রাখো (সবচেয়ে ছোট id)।</t>
  </si>
  <si>
    <t>শরীরের নাম মহাশয় যা সহাইবে তাই সয়২</t>
  </si>
  <si>
    <t>শরীর যা সহ্য করবে তাই (দ্বিতীয়)</t>
  </si>
  <si>
    <t>Body bears what it is used to</t>
  </si>
  <si>
    <t>ডুপ্লিকেট - id 7285 রাখা হচ্ছে, এই row বাদ দাও।</t>
  </si>
  <si>
    <t>শ ষ স হয়েছে হ ক্ষ দেখবো</t>
  </si>
  <si>
    <t>শ, ষ, স হয়ে গেছে, হ, ক্ষ দেখব</t>
  </si>
  <si>
    <t>বর্ণবিভ্রাট</t>
  </si>
  <si>
    <t>S, sh, s confused with h, kh</t>
  </si>
  <si>
    <t>শসা খেয়ে জলকে টান তেমনি ভাইয়ের বোনকে টান</t>
  </si>
  <si>
    <t>শসা খেলে জল, ভাইয়ের বোনের টান</t>
  </si>
  <si>
    <t>As cucumber craves water, brother's sister craves him</t>
  </si>
  <si>
    <t>বোন/ভাই</t>
  </si>
  <si>
    <t>শাঁখের করাত</t>
  </si>
  <si>
    <t>দুই দিকে কাটে</t>
  </si>
  <si>
    <t>Conch saw</t>
  </si>
  <si>
    <t>শাক অম্বল পান্তা, তিন ওষুধের হন্তা</t>
  </si>
  <si>
    <t>শাক, অম্বল, পান্তা তিন ওষুধের শত্রু</t>
  </si>
  <si>
    <t>খাদ্য</t>
  </si>
  <si>
    <t>Greens, sour, stale rice—three enemies of medicine</t>
  </si>
  <si>
    <t>শাককে শাক পাছায় মূলো</t>
  </si>
  <si>
    <t>শাককে শাক, পেছনে মূলো</t>
  </si>
  <si>
    <t>দুই জিনিস</t>
  </si>
  <si>
    <t>Greens are greens, radish behind</t>
  </si>
  <si>
    <t>শান্ত ও স্থির দাঁড়িয়ে থাকা গরুর দুধ দোহানো সহজ</t>
  </si>
  <si>
    <t>শান্ত গরুর দুধ দোহানো সহজ</t>
  </si>
  <si>
    <t>Calm cow easy to milk</t>
  </si>
  <si>
    <t>শান্তজল ধীরগামী</t>
  </si>
  <si>
    <t>শান্ত জল ধীরগামী</t>
  </si>
  <si>
    <t>Still water runs deep</t>
  </si>
  <si>
    <t>শান্ত বিবেক বজ্রপাতে ঘুমায়</t>
  </si>
  <si>
    <t>নির্দোষ</t>
  </si>
  <si>
    <t>Clear conscience sleeps in thunder</t>
  </si>
  <si>
    <t>বিবেক</t>
  </si>
  <si>
    <t>শান্তি বাইরে খুঁজতে যেও না</t>
  </si>
  <si>
    <t>বাইরে শান্তি খোঁজো না</t>
  </si>
  <si>
    <t>অন্তরে শান্তি</t>
  </si>
  <si>
    <t>Don't seek peace outside</t>
  </si>
  <si>
    <t>শাপে বর</t>
  </si>
  <si>
    <t>অভিশাপে বর</t>
  </si>
  <si>
    <t>মন্দে ভালো</t>
  </si>
  <si>
    <t>Blessing in disguise</t>
  </si>
  <si>
    <t>শালগ্রাম পোড়ায়ে খেয়ে নুড়িপাথর দেখে ভয়</t>
  </si>
  <si>
    <t>শালগ্রাম পুড়িয়ে খেয়ে নুড়িতে ভয়</t>
  </si>
  <si>
    <t>নিজের দোষ</t>
  </si>
  <si>
    <t>Burn sacred stone, fear pebble</t>
  </si>
  <si>
    <t>আত্মদোষ</t>
  </si>
  <si>
    <t>শালগ্রামশিলার শোয়া বসা সমান</t>
  </si>
  <si>
    <t>শালগ্রাম শিলার শোয়া-বসা সমান</t>
  </si>
  <si>
    <t>সব অবস্থা সমান</t>
  </si>
  <si>
    <t>Sleeping or sitting on sacred stone same</t>
  </si>
  <si>
    <t>শালুক চিনেছে গোপালঠাকুর</t>
  </si>
  <si>
    <t>Gopal knows water lily</t>
  </si>
  <si>
    <t>শাসন করা তারই সাজে সোহাগ করে যে</t>
  </si>
  <si>
    <t>শাসন তারই সাজে যে সোহাগ করে</t>
  </si>
  <si>
    <t>ভালোবেসে শাসন</t>
  </si>
  <si>
    <t>Only those who love can discipline</t>
  </si>
  <si>
    <t>শাসন পালটায় শোষণ পালটায় না</t>
  </si>
  <si>
    <t>শাসন বদলায়, শোষণ নয়</t>
  </si>
  <si>
    <t>Rule changes, exploitation doesn't</t>
  </si>
  <si>
    <t>শাস্তি না দিলে শাসন হয় না</t>
  </si>
  <si>
    <t>শাস্তি ছাড়া শাসন নয়</t>
  </si>
  <si>
    <t>No discipline without punishment</t>
  </si>
  <si>
    <t>শিং ভেঙ্গে বাছুরের দলে/পালে</t>
  </si>
  <si>
    <t>শিং ভেঙে বাছুরের দলে</t>
  </si>
  <si>
    <t>অক্ষমের স্থান</t>
  </si>
  <si>
    <t>Broken horn joins calves</t>
  </si>
  <si>
    <t>শিকল কাটা টিয়া/পাখী পোষ মানে না১</t>
  </si>
  <si>
    <t>শিকল কাটা টিয়া পোষ মানে না</t>
  </si>
  <si>
    <t>Unchained parrot won't tame</t>
  </si>
  <si>
    <t>এই প্রবাদের ডুপ্লিকেট আছে (id: 7310, 7311), এটা রাখো (সবচেয়ে ছোট id)।</t>
  </si>
  <si>
    <t>শিকল কাটা টিয়া/পাখী পোষ মানে না২</t>
  </si>
  <si>
    <t>শিকল কাটা পাখি পোষ মানে না (দ্বিতীয়)</t>
  </si>
  <si>
    <t>বাধনহীন</t>
  </si>
  <si>
    <t>Freed bird won't be tamed</t>
  </si>
  <si>
    <t>ডুপ্লিকেট - id 7310 রাখা হচ্ছে, এই row বাদ দাও।</t>
  </si>
  <si>
    <t>শিকারী বিড়ালের গোঁফ দেখে চেনা যায়</t>
  </si>
  <si>
    <t>শিকারী বিড়াল গোঁফে চেনা</t>
  </si>
  <si>
    <t>Hunter cat known by whiskers</t>
  </si>
  <si>
    <t>শিখণ্ডী খাড়া করা</t>
  </si>
  <si>
    <t>শিখণ্ডী খাড়া</t>
  </si>
  <si>
    <t>Set up Shikhandi</t>
  </si>
  <si>
    <t>শিখলি কোথা? না ঠেকলুম/দেখলুম যেথা</t>
  </si>
  <si>
    <t>শিখলি কোথা? যেখানে ঠেকলাম</t>
  </si>
  <si>
    <t>Where did I learn? Where I suffered</t>
  </si>
  <si>
    <t>শিখানো কথা নিয়ে দরবারে যায়, কথা ফুরালে কী কয়?</t>
  </si>
  <si>
    <t>শেখা কথা নিয়ে দরবারে, ফুরালে কী</t>
  </si>
  <si>
    <t>অজ্ঞান</t>
  </si>
  <si>
    <t>Goes to court with memorized words, what after?</t>
  </si>
  <si>
    <t>শিঙে হারিয়ে কাঁকুড়ে ফুঁ</t>
  </si>
  <si>
    <t>শিঙা হারিয়ে কাঁকুড়ে ফুঁ</t>
  </si>
  <si>
    <t>Lost horn, blows gourd</t>
  </si>
  <si>
    <t>শিব গড়তে বানর গড়া</t>
  </si>
  <si>
    <t>শিব গড়তে বানর</t>
  </si>
  <si>
    <t>ভালো করতে মন্দ</t>
  </si>
  <si>
    <t>Tried to sculpt Shiva, made monkey</t>
  </si>
  <si>
    <t>শিবের কন্যা শিবকে দান</t>
  </si>
  <si>
    <t>শিবের কন্যাকে শিবে দান</t>
  </si>
  <si>
    <t>যথাযোগ্য দান</t>
  </si>
  <si>
    <t>Shiva's daughter to Shiva</t>
  </si>
  <si>
    <t>শিবের সঙ্গে খোঁজ নাই গাজনের ঘটা ভারী</t>
  </si>
  <si>
    <t>শিবের সঙ্গে খোঁজ নেই, গাজনের ঘটা ভারী</t>
  </si>
  <si>
    <t>No connection with Shiva, yet huge festival</t>
  </si>
  <si>
    <t>শিয়াল একফাঁদে দুবার ধরা পড়ে না</t>
  </si>
  <si>
    <t>শিয়াল এক ফাঁদে দুবার নয়</t>
  </si>
  <si>
    <t>Fox not caught twice in same trap</t>
  </si>
  <si>
    <t>শিয়াল তার চামড়া পালটায় অভ্যাস পালটায় না</t>
  </si>
  <si>
    <t>শিয়াল চামড়া বদলায়, অভ্যাস নয়</t>
  </si>
  <si>
    <t>Fox changes skin, not habits</t>
  </si>
  <si>
    <t>শিয়ালের বেটা সিংহ হয় না</t>
  </si>
  <si>
    <t>শিয়ালের ছেলে সিংহ হয় না</t>
  </si>
  <si>
    <t>Fox's son cannot be lion</t>
  </si>
  <si>
    <t>শিয়ালের যুক্তি</t>
  </si>
  <si>
    <t>Fox's cunning</t>
  </si>
  <si>
    <t>শিরনি দেখে এগোয় কোঁৎকা দেখে পেছোয়</t>
  </si>
  <si>
    <t>শিরনি দেখে এগোয়, কোঁৎকা দেখে পেছোয়</t>
  </si>
  <si>
    <t>Advances for sweets, retreats from stick</t>
  </si>
  <si>
    <t>শিরঃ নাস্তি শিরোপীড়া</t>
  </si>
  <si>
    <t>No head, headache</t>
  </si>
  <si>
    <t>শিরে হলোে সর্পাঘাত, তাগা বাঁধবে কোথায়?</t>
  </si>
  <si>
    <t>মাথায় সাপের কামড়, তাগা কোথায় বাঁধবে</t>
  </si>
  <si>
    <t>মূল চিকিৎসা</t>
  </si>
  <si>
    <t>Snakebite on head, where tie amulet?</t>
  </si>
  <si>
    <t>শিলা হলেই শালগ্রাম হয় না</t>
  </si>
  <si>
    <t>শিলা হলেই শালগ্রাম নয়</t>
  </si>
  <si>
    <t>Not every stone is sacred</t>
  </si>
  <si>
    <t>শিশু সব মানুষের পিতা</t>
  </si>
  <si>
    <t>শিশুর গুরুত্ব</t>
  </si>
  <si>
    <t>Child is father of man</t>
  </si>
  <si>
    <t>শিশুরা এমন হাজারটা প্রশ্ন করতে পারে যার উত্তর সবচেয়ে জ্ঞানীলোকও জানে না</t>
  </si>
  <si>
    <t>শিশুরা এমন প্রশ্ন করে জ্ঞানীও জানে না</t>
  </si>
  <si>
    <t>শিশুর কৌতূহল</t>
  </si>
  <si>
    <t>Children ask questions the wisest cannot answer</t>
  </si>
  <si>
    <t>শিশুরা বলে তারা কি করতে পারে</t>
  </si>
  <si>
    <t>শিশুরা বলে তারা কী করতে পারে</t>
  </si>
  <si>
    <t>শিশু সত্য</t>
  </si>
  <si>
    <t>Children say what they can do</t>
  </si>
  <si>
    <t>শীতকাল তোমায় জিজ্ঞাসা করবে সারা গ্রীস্ম কি করেছিলে</t>
  </si>
  <si>
    <t>শীতকাল জিজ্ঞাসা করবে গ্রীষ্মে কী করেছিলে</t>
  </si>
  <si>
    <t>Winter will ask what you did in summer</t>
  </si>
  <si>
    <t>শীলং সর্বত্র ভূষণং</t>
  </si>
  <si>
    <t>শীল সর্বত্র ভূষণ</t>
  </si>
  <si>
    <t>Character is ornament everywhere</t>
  </si>
  <si>
    <t>শীলং হি বিদুষাং ভুষণম</t>
  </si>
  <si>
    <t>শীলই বিদ্বানের ভূষণ</t>
  </si>
  <si>
    <t>Character is scholar's ornament</t>
  </si>
  <si>
    <t>শুঁটকির নাওয়ের (নৌকার) বিলাই (বিড়াল) চৌকিদার</t>
  </si>
  <si>
    <t>শুঁটকি নৌকার বিড়াল চৌকিদার</t>
  </si>
  <si>
    <t>অযোগ্য প্রহরী</t>
  </si>
  <si>
    <t>Cat guard of dried fish boat</t>
  </si>
  <si>
    <t>শুঁড়ির কান নেই১</t>
  </si>
  <si>
    <t>শুঁড়ির কান নেই</t>
  </si>
  <si>
    <t>Drunkard has no ear</t>
  </si>
  <si>
    <t>এই প্রবাদের ডুপ্লিকেট আছে (id: 7338, 7339), এটা রাখো (সবচেয়ে ছোট id)।</t>
  </si>
  <si>
    <t>শুঁড়ির কান নেই২</t>
  </si>
  <si>
    <t>শুঁড়ির কান নেই (দ্বিতীয়)</t>
  </si>
  <si>
    <t>Drinker lacks ear</t>
  </si>
  <si>
    <t>ডুপ্লিকেট - id 7338 রাখা হচ্ছে, এই row বাদ দাও।</t>
  </si>
  <si>
    <t>শুঁড়ির সাক্ষী মাতাল১</t>
  </si>
  <si>
    <t>শুঁড়ির সাক্ষী মাতাল</t>
  </si>
  <si>
    <t>অযোগ্য সাক্ষী</t>
  </si>
  <si>
    <t>Drunkard witness for drinker</t>
  </si>
  <si>
    <t>ডুপ্লিকেট - id 93 রাখা হচ্ছে, এই row বাদ দাও।</t>
  </si>
  <si>
    <t>শুঁড়ির সাক্ষী মাতাল২</t>
  </si>
  <si>
    <t>শুঁড়ির সাক্ষী মাতাল (দ্বিতীয়)</t>
  </si>
  <si>
    <t>সন্দেহজনক</t>
  </si>
  <si>
    <t>Drunk witness</t>
  </si>
  <si>
    <t>শুঁড়িরা মদ খায় না</t>
  </si>
  <si>
    <t>অস্বাভাবিক</t>
  </si>
  <si>
    <t>Drunkards don't drink</t>
  </si>
  <si>
    <t>শুকনো আদার ঝাঁঝ মরে না১</t>
  </si>
  <si>
    <t>শুকনো আদার ঝাঁঝ থাকে</t>
  </si>
  <si>
    <t>Dried ginger retains pungency</t>
  </si>
  <si>
    <t>এই প্রবাদের ডুপ্লিকেট আছে (id: 7343, 7344), এটা রাখো (সবচেয়ে ছোট id)।</t>
  </si>
  <si>
    <t>শুকনো আদার ঝাঁঝ থাকে (দ্বিতীয়)</t>
  </si>
  <si>
    <t>Dried ginger keeps bite</t>
  </si>
  <si>
    <t>ডুপ্লিকেট - id 7343 রাখা হচ্ছে, এই row বাদ দাও।</t>
  </si>
  <si>
    <t>শুকনা কাঠ ভাঙে তবু নোয় না</t>
  </si>
  <si>
    <t>শুকনো কাঠ ভাঙে তবু নোয় না</t>
  </si>
  <si>
    <t>Dry wood breaks but won't bend</t>
  </si>
  <si>
    <t>শুকনো কথায় চিঁড়ে ভিজে না</t>
  </si>
  <si>
    <t>শুকনো কথায় চিঁড়ে ভেজে না</t>
  </si>
  <si>
    <t>কথায় কাজ নয়</t>
  </si>
  <si>
    <t>Dry words don't soak rice</t>
  </si>
  <si>
    <t>শুকনো কলসী বাজে বেশি</t>
  </si>
  <si>
    <t>শুকনো কলসি বাজে বেশি</t>
  </si>
  <si>
    <t>ফাঁকা জিনিস</t>
  </si>
  <si>
    <t>Dry pot sounds more</t>
  </si>
  <si>
    <t>শুকনো কাঠে/গাছে জলসেঁচা</t>
  </si>
  <si>
    <t>শুকনো গাছে জল সেচা</t>
  </si>
  <si>
    <t>Watering dry wood</t>
  </si>
  <si>
    <t>শুকনো কাঠে ব্রহ্মশাপ১</t>
  </si>
  <si>
    <t>শুকনো কাঠে ব্রহ্মশাপ</t>
  </si>
  <si>
    <t>নিষ্ফল অভিশাপ</t>
  </si>
  <si>
    <t>Brahmin's curse on dry wood</t>
  </si>
  <si>
    <t>এই প্রবাদের ডুপ্লিকেট আছে (id: 7349, 7350), এটা রাখো (সবচেয়ে ছোট id)।</t>
  </si>
  <si>
    <t>শুকনো কাঠে ব্রহ্মশাপ২</t>
  </si>
  <si>
    <t>শুকনো কাঠে ব্রহ্মশাপ (দ্বিতীয়)</t>
  </si>
  <si>
    <t>অকার্যকর</t>
  </si>
  <si>
    <t>Curse on dry wood</t>
  </si>
  <si>
    <t>ডুপ্লিকেট - id 7349 রাখা হচ্ছে, এই row বাদ দাও।</t>
  </si>
  <si>
    <t>শুকনো ঘায় আকন্দের আঠা১</t>
  </si>
  <si>
    <t>শুকনো ঘায়ে আকন্দের আঠা</t>
  </si>
  <si>
    <t>Applying akanda gum to dry wound</t>
  </si>
  <si>
    <t>শুকনো ঘায়ে আকন্দের আঠা২</t>
  </si>
  <si>
    <t>শুকনো ঘায়ে আকন্দের আঠা (দ্বিতীয়)</t>
  </si>
  <si>
    <t>অপ্রয়োজনীয়</t>
  </si>
  <si>
    <t>Gum on dry wound</t>
  </si>
  <si>
    <t>শুকনো ডাঙায় আছাড় খাওয়া</t>
  </si>
  <si>
    <t>শুকনো ডাঙায় আছাড়</t>
  </si>
  <si>
    <t>নিরাপদে বিপদ</t>
  </si>
  <si>
    <t>Fall on dry land</t>
  </si>
  <si>
    <t>শুকনো জমি জল শুষে নেয়</t>
  </si>
  <si>
    <t>শুকনো জমি জল শুষে</t>
  </si>
  <si>
    <t>Dry land absorbs water</t>
  </si>
  <si>
    <t>প্রাকৃতিক</t>
  </si>
  <si>
    <t>শুকনো পাছায় আকন্দের আঠা</t>
  </si>
  <si>
    <t>Akanda gum on dry bottom</t>
  </si>
  <si>
    <t>শুধু কথায় চিঁড়ে ভেজে না</t>
  </si>
  <si>
    <t>Mere words don't soak rice</t>
  </si>
  <si>
    <t>শুধু কানাই নয়, দাদা বলাই</t>
  </si>
  <si>
    <t>Not only Kanai, but elder Balai</t>
  </si>
  <si>
    <t>শুধু গৌর নয় গৌরহরি সমাদ্দার</t>
  </si>
  <si>
    <t>শুধু গৌর নয়, গৌরহরি সমাদ্দার</t>
  </si>
  <si>
    <t>Not just Gaur, but Gourhari Samaddar</t>
  </si>
  <si>
    <t>শুধু টাকায় যে বড়লোক হতে চায় সে নিতান্তই গরিব</t>
  </si>
  <si>
    <t>শুধু টাকায় বড়লোক হতে চাওয়া গরিব</t>
  </si>
  <si>
    <t>One who wants wealth alone is truly poor</t>
  </si>
  <si>
    <t>শুধু পলতা পায় না ধনে পলতা চায়</t>
  </si>
  <si>
    <t>শুধু পলতা পায় না, ধনে পলতা চায়</t>
  </si>
  <si>
    <t>No jute leaf, wants pricey one</t>
  </si>
  <si>
    <t>শুধু বিজ্ঞতম এবং মহামূর্খরাই পরিবর্তিত হয় না</t>
  </si>
  <si>
    <t>শুধু বিজ্ঞতম ও মহামূর্খ বদলায় না</t>
  </si>
  <si>
    <t>Only wisest and greatest fools never change</t>
  </si>
  <si>
    <t>শুধু মেঘে মাটি ভেজে না</t>
  </si>
  <si>
    <t>Cloud alone doesn't wet soil</t>
  </si>
  <si>
    <t>শুনলে সাড়া তো নিলে পাড়া১</t>
  </si>
  <si>
    <t>শুনলে সাড়া, নিলে পাড়া</t>
  </si>
  <si>
    <t>প্রতিক্রিয়া</t>
  </si>
  <si>
    <t>If you hear, respond; if you listen, obey</t>
  </si>
  <si>
    <t>শুনলে সাড়া তো নিলে/ভাঙলে পাড়২</t>
  </si>
  <si>
    <t>শুনলে সাড়া, না নিলে ভাঙলে পাড়</t>
  </si>
  <si>
    <t>Hear and respond, or break</t>
  </si>
  <si>
    <t>শুভ সূচনা হলে অর্ধেক কাজ সম্পন্ন হয়</t>
  </si>
  <si>
    <t>শুভ শুরু অর্ধেক কাজ</t>
  </si>
  <si>
    <t>Good start is half done</t>
  </si>
  <si>
    <t>শুভংকরের ফাঁকি</t>
  </si>
  <si>
    <t>প্রতারনা</t>
  </si>
  <si>
    <t>Shubhankar's trick</t>
  </si>
  <si>
    <t>শুভস্য শীঘ্রম্‌ অশুভস্য কালহরণম্</t>
  </si>
  <si>
    <t>শুভ দ্রুত, অশুভে দেরি</t>
  </si>
  <si>
    <t>শুভ</t>
  </si>
  <si>
    <t>Hasten good, delay evil</t>
  </si>
  <si>
    <t>নীতি</t>
  </si>
  <si>
    <t>শুয়ে শুয়ে লেজ নাড়া</t>
  </si>
  <si>
    <t>Idly wagging tail</t>
  </si>
  <si>
    <t>শুয়োর বড় হলেও হাতি হয়না</t>
  </si>
  <si>
    <t>শুয়োর বড় হলেও হাতি নয়</t>
  </si>
  <si>
    <t>Pig never becomes elephant</t>
  </si>
  <si>
    <t>শুয়োর যদি কথা বলতে পারত, তবে ঈশ্বর শুয়োরের মত দেখতে হতো</t>
  </si>
  <si>
    <t>শুয়োর কথা বললে ঈশ্বর শুয়োর</t>
  </si>
  <si>
    <t>শুয়োরে চেনে কচু আর ঘেচু</t>
  </si>
  <si>
    <t>শুয়োর চেনে কচু-ঘেচু</t>
  </si>
  <si>
    <t>Pig knows tubers</t>
  </si>
  <si>
    <t>শুয়োরের কপালে গঙ্গামাটির ফোঁটা১</t>
  </si>
  <si>
    <t>শুয়োরের কপালে গঙ্গামাটির টিপ</t>
  </si>
  <si>
    <t>Ganga clay mark on pig</t>
  </si>
  <si>
    <t>এই প্রবাদের ডুপ্লিকেট আছে (id: 7373, 7374), এটা রাখো (সবচেয়ে ছোট id)।</t>
  </si>
  <si>
    <t>শুয়োরের কপালে গঙ্গামাটির ফোঁটা২</t>
  </si>
  <si>
    <t>শুয়োরের কপালে গঙ্গামাটির টিপ (দ্বিতীয়)</t>
  </si>
  <si>
    <t>Mark on pig's forehead</t>
  </si>
  <si>
    <t>ডুপ্লিকেট - id 7373 রাখা হচ্ছে, এই row বাদ দাও।</t>
  </si>
  <si>
    <t>শুয়োরের কপালে সিঁদুর লাগে না</t>
  </si>
  <si>
    <t>Vermilion doesn't suit pig</t>
  </si>
  <si>
    <t>শুয়োরের মুখে শাঁকালু/শাঁখালু</t>
  </si>
  <si>
    <t>শুয়োরের মুখে শাঁকালু</t>
  </si>
  <si>
    <t>Shakalu in pig's mouth</t>
  </si>
  <si>
    <t>শুরু খারাপ হলে শেষও খারাপ হয়</t>
  </si>
  <si>
    <t>খারাপ শুরু, খারাপ শেষ</t>
  </si>
  <si>
    <t>Bad beginning, bad ending</t>
  </si>
  <si>
    <t>শুরু ভাল হলে অর্ধেক কাজ সম্পন্ন</t>
  </si>
  <si>
    <t>শুরু ভালো অর্ধেক কাজ</t>
  </si>
  <si>
    <t>Good start half done</t>
  </si>
  <si>
    <t>শুরুতে সবকিছু কঠিন মনে হয়</t>
  </si>
  <si>
    <t>শুরুতে কঠিন</t>
  </si>
  <si>
    <t>All beginnings are hard</t>
  </si>
  <si>
    <t>শুস্ককাষ্ঠে ব্রহ্মশাপ</t>
  </si>
  <si>
    <t>নিষ্ফল</t>
  </si>
  <si>
    <t>শুষ্কং মাংসং স্ত্রিয়ো বৃদ্ধা বালার্কস্তরুণং দধি। প্রভাতে মৈথুনং নিদ্রা সদ্যঃ প্রাণহরাণি ষট্ ।। (চাণক্য)</t>
  </si>
  <si>
    <t>শুকনো মাংস, বৃদ্ধা স্ত্রী, সকালের সূর্য, টাটকা দই, ভোরে মৈথুন, নিদ্রা—ছয় প্রাণনাশক</t>
  </si>
  <si>
    <t>ষড় বিপদ</t>
  </si>
  <si>
    <t>Dry meat, old wife, morning sun, fresh curd, dawn sex, sleep—six killers</t>
  </si>
  <si>
    <t>শূন্য কলসী, শুকনা না (নৌকা), শুকনা ডালে ডাকে কাক, যদি দেখ মাকুন্দ চোপা, এক পা না যেও বাপ- খনা</t>
  </si>
  <si>
    <t>খালি কলসি, শুকনো নৌকা, শুকনো ডালে কাক, মাকুন্দ চোপা দেখলে এক পা নয়</t>
  </si>
  <si>
    <t>Empty pot, dry boat, crow on dry branch, if you see Makundachopa, don't advance</t>
  </si>
  <si>
    <t>শূন্যকলসি শুকনা না</t>
  </si>
  <si>
    <t>খালি কলসি, শুকনো নৌকা</t>
  </si>
  <si>
    <t>Empty pot, dry boat</t>
  </si>
  <si>
    <t>শূন্য থেকে কিছুই আসে না</t>
  </si>
  <si>
    <t>শূন্য থেকে কিছু আসে না</t>
  </si>
  <si>
    <t>Nothing comes from nothing</t>
  </si>
  <si>
    <t>শেওড়াগাছের পেত্নী</t>
  </si>
  <si>
    <t>কুৎসিত নারী</t>
  </si>
  <si>
    <t>Witch of sheora tree</t>
  </si>
  <si>
    <t>শেখার কোন বয়স নেই</t>
  </si>
  <si>
    <t>শেখার বয়স নেই</t>
  </si>
  <si>
    <t>No age for learning</t>
  </si>
  <si>
    <t>শেয়ানা ঘুঘুর ছা ফাঁদে দেয় না পা</t>
  </si>
  <si>
    <t>চতুর ঘুঘুর ছা ফাঁদে পা দেয় না</t>
  </si>
  <si>
    <t>Clever pigeon's chick avoids trap</t>
  </si>
  <si>
    <t>শেয়ানে ঠকলে বাপকেও বলে না</t>
  </si>
  <si>
    <t>চতুর ঠকলে বাবাকেও বলে না</t>
  </si>
  <si>
    <t>If clever is fooled, he tells not even father</t>
  </si>
  <si>
    <t>শেয়ানে শেয়ানে কোলাকুলি২</t>
  </si>
  <si>
    <t>চতুরে চতুরে কোলাকুলি (দ্বিতীয়)</t>
  </si>
  <si>
    <t>Clever meet clever</t>
  </si>
  <si>
    <t>ডুপ্লিকেট - id 7390 রাখা হচ্ছে, এই row বাদ দাও।</t>
  </si>
  <si>
    <t>শেষ খড়কাঠি উটের পিঠ ভাঙে</t>
  </si>
  <si>
    <t>শেষ খড় উটের পিঠ ভাঙে</t>
  </si>
  <si>
    <t>শেষ আঘাত</t>
  </si>
  <si>
    <t>Last straw breaks camel's back</t>
  </si>
  <si>
    <t>সীমা</t>
  </si>
  <si>
    <t>শেষ রক্ষাই আসল রক্ষা১</t>
  </si>
  <si>
    <t>শেষ রক্ষাই আসল</t>
  </si>
  <si>
    <t>Saving at last is real</t>
  </si>
  <si>
    <t>এই প্রবাদের ডুপ্লিকেট আছে (id: 7393, 7394), এটা রাখো (সবচেয়ে ছোট id)।</t>
  </si>
  <si>
    <t>শেষ রক্ষাই আসল রক্ষা২</t>
  </si>
  <si>
    <t>শেষ রক্ষাই আসল (দ্বিতীয়)</t>
  </si>
  <si>
    <t>Final safety matters</t>
  </si>
  <si>
    <t>ডুপ্লিকেট - id 7393 রাখা হচ্ছে, এই row বাদ দাও।</t>
  </si>
  <si>
    <t>শেষ সুখই সুখ</t>
  </si>
  <si>
    <t>Happiness at end is true</t>
  </si>
  <si>
    <t>শৈলে শৈলে ন মাণিক্যং মৌক্তিকং ন গজে গজে, সাধবো ন হি সর্বত্র চন্দনো ন বনে বনে</t>
  </si>
  <si>
    <t>প্রতি পাথরে মাণিক্য নয়, প্রতি হাতিতে মুক্তা নয়, সাধু সর্বত্র নয়, চন্দন প্রতি বনে নয়</t>
  </si>
  <si>
    <t>Not every rock has gems, not every elephant pearls, not everywhere saints, not every forest sandal</t>
  </si>
  <si>
    <t>শোকো নাশয়তে ধৈর্য্যং, শোকো নাশয়তে শ্রুতম্‌ শোকো নাশয়তে সর্বং নাস্তি শোকসম রিপুঃ</t>
  </si>
  <si>
    <t>শোক ধৈর্য, শ্রুত, সব নাশ করে; শোকের মতো শত্রু নেই</t>
  </si>
  <si>
    <t>Grief destroys patience, learning, all; no enemy like grief</t>
  </si>
  <si>
    <t>শোল বোয়ালের পোনা, যার যারটা তার কাছে সোনা</t>
  </si>
  <si>
    <t>শোল-বোয়ালের পোনা, যার যারটা তার কাছে সোনা</t>
  </si>
  <si>
    <t>নিজের জিনিস</t>
  </si>
  <si>
    <t>Each fish's fry is gold to its own</t>
  </si>
  <si>
    <t>মমতা</t>
  </si>
  <si>
    <t>শ্যাম রাখি না কুল রাখি</t>
  </si>
  <si>
    <t>Shall I keep Shyam or family?</t>
  </si>
  <si>
    <t>শ্বেতচামর আর কোষ্টাপাট</t>
  </si>
  <si>
    <t>সাদা চামর আর পাট</t>
  </si>
  <si>
    <t>White fan and jute</t>
  </si>
  <si>
    <t>শ্বেতহস্তী পোষা</t>
  </si>
  <si>
    <t>সাদা হাতি পোষা</t>
  </si>
  <si>
    <t>ব্যয়বহুল</t>
  </si>
  <si>
    <t>Keeping white elephant</t>
  </si>
  <si>
    <t>শ্রদ্ধাবান লভতে জ্ঞানম</t>
  </si>
  <si>
    <t>শ্রদ্ধাবান জ্ঞান লাভ</t>
  </si>
  <si>
    <t>শ্রদ্ধা</t>
  </si>
  <si>
    <t>The devoted gains knowledge</t>
  </si>
  <si>
    <t>শ্রদ্ধার ছাই হাত পেতে খাই</t>
  </si>
  <si>
    <t>শ্রদ্ধার ছাই হাতে খাই</t>
  </si>
  <si>
    <t>Eat ash of respect</t>
  </si>
  <si>
    <t>শ্রাদ্ধ গড়ায়</t>
  </si>
  <si>
    <t>সময় গড়ায়</t>
  </si>
  <si>
    <t>Funeral rites delayed</t>
  </si>
  <si>
    <t>শ্রেয়মানুষ নিজের মধ্যে যা খোঁজে, হীনমানুষ অন্যদের মধ্যে তা চায়</t>
  </si>
  <si>
    <t>শ্রেষ্ঠ নিজের মধ্যে, হীন অন্যের মধ্যে</t>
  </si>
  <si>
    <t>Noble seek within, petty seek in others</t>
  </si>
  <si>
    <t>শ্রেয়সি কেন তৃপ্যতে</t>
  </si>
  <si>
    <t>শ্রেয়তে কেন তৃপ্ত?</t>
  </si>
  <si>
    <t>শ্রেয়</t>
  </si>
  <si>
    <t>Who is satisfied with good?</t>
  </si>
  <si>
    <t>শ্রেয়াংসি বহুবিঘ্নানি</t>
  </si>
  <si>
    <t>শ্রেয় কাজে বহু বাধা</t>
  </si>
  <si>
    <t>Good works face many obstacles</t>
  </si>
  <si>
    <t>শ্রোতব্যঃ শ্রুতিবাক্যেভ্যো মন্তব্যশ্চোপপত্তিভিঃ</t>
  </si>
  <si>
    <t>শ্রুতি থেকে শোনা, যুক্তি দিয়ে মন্থন</t>
  </si>
  <si>
    <t>Hear from scriptures, reflect with logic</t>
  </si>
  <si>
    <t>ষটকর্ণে মন্ত্রভেদ</t>
  </si>
  <si>
    <t>ছয় কানে মন্ত্র ভেদ</t>
  </si>
  <si>
    <t>গোপন কথা</t>
  </si>
  <si>
    <t>Six ears break secret</t>
  </si>
  <si>
    <t>ষড়রিপু জয়ী বিশ্বজয়ী</t>
  </si>
  <si>
    <t>ষড়রিপু জয়ী বিশ্ব জয়ী</t>
  </si>
  <si>
    <t>Conqueror of six passions conquers world</t>
  </si>
  <si>
    <t>ষণ্ডামার্কা গুরু</t>
  </si>
  <si>
    <t>কঠোর গুরু</t>
  </si>
  <si>
    <t>Strict guru</t>
  </si>
  <si>
    <t>ষন্ডা সবসময় কাপুরুষ</t>
  </si>
  <si>
    <t>দুর্বলকে শাসনকারী কাপুরুষ</t>
  </si>
  <si>
    <t>বুলি</t>
  </si>
  <si>
    <t>Bullies are cowards</t>
  </si>
  <si>
    <t>ষাঁড়ের গোবর</t>
  </si>
  <si>
    <t>Bull's dung</t>
  </si>
  <si>
    <t>ষাঁড়ের শত্রু বাঘে খায়</t>
  </si>
  <si>
    <t>Enemy of bull eaten by tiger</t>
  </si>
  <si>
    <t>ষাঁড়ে ষাঁড়ে যুদ্ধ</t>
  </si>
  <si>
    <t>ষাঁড়ে ষাঁড়ে লড়াই</t>
  </si>
  <si>
    <t>দুই শক্তি</t>
  </si>
  <si>
    <t>Bull against bull</t>
  </si>
  <si>
    <t>সংঘাত</t>
  </si>
  <si>
    <t>ষাটের/ষেটের বাছা ষষ্টীদাস১</t>
  </si>
  <si>
    <t>ষাটের সেরা ষষ্টীদাস</t>
  </si>
  <si>
    <t>Best of sixty is Shashtidas</t>
  </si>
  <si>
    <t>এই প্রবাদের ডুপ্লিকেট আছে (id: 7418, 7419), এটা রাখো (সবচেয়ে ছোট id)।</t>
  </si>
  <si>
    <t>ষাটের/ষেটের বাছা ষষ্টীদাস২</t>
  </si>
  <si>
    <t>ষাটের সেরা ষষ্টীদাস (দ্বিতীয়)</t>
  </si>
  <si>
    <t>Shashtidas best of sixty</t>
  </si>
  <si>
    <t>ডুপ্লিকেট - id 7418 রাখা হচ্ছে, এই row বাদ দাও।</t>
  </si>
  <si>
    <t>ষোলআনা বাজিয়ে নেওয়া</t>
  </si>
  <si>
    <t>ষোল আনা বাজিয়ে নেওয়া</t>
  </si>
  <si>
    <t>পুরোটা</t>
  </si>
  <si>
    <t>Take full sixteen annas</t>
  </si>
  <si>
    <t>সম্পূর্ণ</t>
  </si>
  <si>
    <t>ষোলআনাই উসুল/লাভ</t>
  </si>
  <si>
    <t>ষোল আনাই উসুল</t>
  </si>
  <si>
    <t>পুরো লাভ</t>
  </si>
  <si>
    <t>Full profit of sixteen annas</t>
  </si>
  <si>
    <t>ষোলআনা মালিক</t>
  </si>
  <si>
    <t>ষোল আনা মালিক</t>
  </si>
  <si>
    <t>সম্পূর্ণ মালিক</t>
  </si>
  <si>
    <t>Full owner</t>
  </si>
  <si>
    <t>ষোলকড়া কানা</t>
  </si>
  <si>
    <t>ষোল কড়া কানা</t>
  </si>
  <si>
    <t>সম্পূর্ণ অন্ধ</t>
  </si>
  <si>
    <t>Fully blind</t>
  </si>
  <si>
    <t>ষোলকলা পূর্ণ</t>
  </si>
  <si>
    <t>ষোল কলা পূর্ণ</t>
  </si>
  <si>
    <t>Full sixteen arts</t>
  </si>
  <si>
    <t>পূর্ণতা</t>
  </si>
  <si>
    <t>সংকল্পের কথা প্রকাশ করা উচিৎ নয়</t>
  </si>
  <si>
    <t>সংকল্প গোপন</t>
  </si>
  <si>
    <t>Don't reveal resolutions</t>
  </si>
  <si>
    <t>সংসর্গজা দোষগুণা ভবন্তি</t>
  </si>
  <si>
    <t>সংসর্গে দোষ-গুণ</t>
  </si>
  <si>
    <t>Good and bad come from company</t>
  </si>
  <si>
    <t>সংসার অনিত্য, তুমি কার, কে তোমার?</t>
  </si>
  <si>
    <t>সংসার অনিত্য, কে তোমার</t>
  </si>
  <si>
    <t>World is transient; who is yours?</t>
  </si>
  <si>
    <t>সংসার/জগৎ আনন্দময়; যার মনে যা লয়</t>
  </si>
  <si>
    <t>জগৎ আনন্দময়, যেমন মন</t>
  </si>
  <si>
    <t>World is joyful as you feel</t>
  </si>
  <si>
    <t>সংসার উদ্যানে পুষ্প অপেক্ষা কীট বেশি</t>
  </si>
  <si>
    <t>সংসার বাগানে ফুলের চেয়ে কীট বেশি</t>
  </si>
  <si>
    <t>More worms than flowers in life's garden</t>
  </si>
  <si>
    <t>সংসার সুখের হয় রমণীর গুণে</t>
  </si>
  <si>
    <t>সংসার সুখের স্ত্রীর গুণে</t>
  </si>
  <si>
    <t>Home happy by wife's virtue</t>
  </si>
  <si>
    <t>সকলকে খুশি করতে চাইলে কাউকেই খুশি করা যায় না</t>
  </si>
  <si>
    <t>সবাইকে খুশি অসম্ভব</t>
  </si>
  <si>
    <t>You can't please everyone</t>
  </si>
  <si>
    <t>সকলকে পারা যায়, পায়ে-পড়াকে পারা যায় না</t>
  </si>
  <si>
    <t>সবাইকে পারা যায়, পায়ে-পড়াকে নয়</t>
  </si>
  <si>
    <t>Can defeat all, not sycophant</t>
  </si>
  <si>
    <t>সকলগুণভূষা চ বিনয়ঃ</t>
  </si>
  <si>
    <t>সব গুণের ভূষণ বিনয়</t>
  </si>
  <si>
    <t>Humility is ornament of all virtues</t>
  </si>
  <si>
    <t>সকাল দিনের আভাস দেয়</t>
  </si>
  <si>
    <t>সকাল দিনের ইঙ্গিত</t>
  </si>
  <si>
    <t>Morning shows the day</t>
  </si>
  <si>
    <t>সকালবেলার আমির রে ভাই ফকীর সন্ধ্যাবেলা</t>
  </si>
  <si>
    <t>সকালে আমির, সন্ধ্যায় ফকির</t>
  </si>
  <si>
    <t>Morning rich, evening poor</t>
  </si>
  <si>
    <t>সকালে ক্ষিরা ক্ষিরা, দিনে ক্ষিরা হীরা রাতে ক্ষিরা জিরা/পীড়া</t>
  </si>
  <si>
    <t>সকালে ক্ষিরা ভালো, দিনে হীরা, রাতে পীড়া</t>
  </si>
  <si>
    <t>Morning cucumber is cucumber, noon gem, night disease</t>
  </si>
  <si>
    <t>সকালে পিঁয়াজ খেলে বিকেলে ঢেঁকুর ওঠে</t>
  </si>
  <si>
    <t>সকালে পেঁয়াজ খেলে বিকেলে ঢেঁকুর</t>
  </si>
  <si>
    <t>Eat onion morning, burp evening</t>
  </si>
  <si>
    <t>সকালে শোয়, সকালে ওঠে তার কড়ি বৈদ্য না লোটে</t>
  </si>
  <si>
    <t>সকালে শোয়, সকালে ওঠে তার টাকা বৈদ্য নেয় না</t>
  </si>
  <si>
    <t>Early to bed and rise, doctor doesn't get his fee</t>
  </si>
  <si>
    <t>সকালের পাখি পোকা ধরে</t>
  </si>
  <si>
    <t>Early bird catches worm</t>
  </si>
  <si>
    <t>সক্ষমব্যক্তির কাছে কোন কাজই কঠিন নয়</t>
  </si>
  <si>
    <t>সক্ষমের কাছে কিছু কঠিন নয়</t>
  </si>
  <si>
    <t>Nothing hard for able</t>
  </si>
  <si>
    <t>সখের প্রাণ গড়ের মাঠ</t>
  </si>
  <si>
    <t>শখ</t>
  </si>
  <si>
    <t>Hobby's life is field</t>
  </si>
  <si>
    <t>সঙ্কীর্ণমনা আত্মকেন্দ্রিক হয়</t>
  </si>
  <si>
    <t>সংকীর্ণমনা আত্মকেন্দ্রিক</t>
  </si>
  <si>
    <t>Narrow mind is selfish</t>
  </si>
  <si>
    <t>সঙ্গ মানুষ চেনায়</t>
  </si>
  <si>
    <t>Company reveals man</t>
  </si>
  <si>
    <t>সঙ্গদোষে কিনা হয়, ছুঁচো ছুলে ছুঁচো হয়</t>
  </si>
  <si>
    <t>সঙ্গদোষে ছুঁচো হয়</t>
  </si>
  <si>
    <t>Bad company makes one a mole</t>
  </si>
  <si>
    <t>সঙ্গদোষে লোহা ভাসে</t>
  </si>
  <si>
    <t>সৎসঙ্গ</t>
  </si>
  <si>
    <t>Good company makes iron float</t>
  </si>
  <si>
    <t>ডুপ্লিকেট - id 1404 রাখা হচ্ছে, এই row বাদ দাও।</t>
  </si>
  <si>
    <t>সজনে শাক সকল শাকের হেলা, খোঁজ তার কেবল টানাটানির বেলা</t>
  </si>
  <si>
    <t>সজনে শাক অবহেলা, খোঁজ পরে</t>
  </si>
  <si>
    <t>সজনে শাকে নুন জোটে না, মটরডালে ঘি</t>
  </si>
  <si>
    <t>সজনে শাকে নুন নেই, মটর ডালে ঘি</t>
  </si>
  <si>
    <t>সঞ্চয়ী নাবসীদতি</t>
  </si>
  <si>
    <t>সঞ্চয়ী বিপদে পড়ে না</t>
  </si>
  <si>
    <t>A saver doesn't perish</t>
  </si>
  <si>
    <t>সততাই সর্বোৎকৃষ্ট পন্থা</t>
  </si>
  <si>
    <t>সততাই সেরা</t>
  </si>
  <si>
    <t>Honesty is best policy</t>
  </si>
  <si>
    <t>সততা বেশি থাকলে সিদ্ধান্ত নেওয়া কঠিন হয়</t>
  </si>
  <si>
    <t>সততা বেশি হলে সিদ্ধান্ত কঠিন</t>
  </si>
  <si>
    <t>Too much honesty makes decisions hard</t>
  </si>
  <si>
    <t>সতর্ক কুকুর অকারণ চিল্লায় না</t>
  </si>
  <si>
    <t>সতর্ক কুকুর অকারণ ঘেউ করে না</t>
  </si>
  <si>
    <t>A vigilant dog doesn't bark without cause</t>
  </si>
  <si>
    <t>সতীসাবিত্রী১</t>
  </si>
  <si>
    <t>সতী সাবিত্রী</t>
  </si>
  <si>
    <t>পতিব্রতা</t>
  </si>
  <si>
    <t>Chaste woman</t>
  </si>
  <si>
    <t>এই প্রবাদের ডুপ্লিকেট আছে (id: 7453, 7454), এটা রাখো (সবচেয়ে ছোট id)।</t>
  </si>
  <si>
    <t>সতীসাবিত্রী২</t>
  </si>
  <si>
    <t>সতী সাবিত্রী (দ্বিতীয়)</t>
  </si>
  <si>
    <t>সতী</t>
  </si>
  <si>
    <t>Sati Savitri</t>
  </si>
  <si>
    <t>ডুপ্লিকেট - id 7453 রাখা হচ্ছে, এই row বাদ দাও।</t>
  </si>
  <si>
    <t>সৎকর্ম বৃথা যায় না</t>
  </si>
  <si>
    <t>সৎকর্ম বৃথা নয়</t>
  </si>
  <si>
    <t>Good deed not in vain</t>
  </si>
  <si>
    <t>সৎকল্যাণপরম্পরা</t>
  </si>
  <si>
    <t>সৎকল্যাণ ধারা</t>
  </si>
  <si>
    <t>মঙ্গল</t>
  </si>
  <si>
    <t>Chain of good</t>
  </si>
  <si>
    <t>সৎকাজে বহু বাধাবিঘ্ন আছে</t>
  </si>
  <si>
    <t>সৎকাজে বাধা</t>
  </si>
  <si>
    <t>Good work has many obstacles</t>
  </si>
  <si>
    <t>সৎপুত্র কুলদীপকঃ</t>
  </si>
  <si>
    <t>সৎপুত্র বংশের প্রদীপ</t>
  </si>
  <si>
    <t>কুল</t>
  </si>
  <si>
    <t>Good son is lamp of family</t>
  </si>
  <si>
    <t>সৎলোককে অবিশ্বাস করে ঠকার চেয়ে অসৎলোককে বিশ্বাস করে ঠকা শ্রেয়</t>
  </si>
  <si>
    <t>সৎকে অবিশ্বাস ঠকা অপেক্ষা অসৎকে বিশ্বাস ঠকা ভালো</t>
  </si>
  <si>
    <t>Better cheated by wicked than distrust good</t>
  </si>
  <si>
    <t>সৎলোকের শত শত্রু থাকে</t>
  </si>
  <si>
    <t>সৎলোকের শত শত্রু</t>
  </si>
  <si>
    <t>A good man has hundred enemies</t>
  </si>
  <si>
    <t>সত্যবাদী যুধিষ্ঠির২</t>
  </si>
  <si>
    <t>সত্যবাদী যুধিষ্ঠির (দ্বিতীয়)</t>
  </si>
  <si>
    <t>সত্যবাদী</t>
  </si>
  <si>
    <t>Truthful Yudhishthira</t>
  </si>
  <si>
    <t>ডুপ্লিকেট - id 7468 রাখা হচ্ছে, এই row বাদ দাও।</t>
  </si>
  <si>
    <t>সত্যম্‌ পরম্‌ ধীমহি</t>
  </si>
  <si>
    <t>সত্যকে পরম ধ্যান করি</t>
  </si>
  <si>
    <t>সত্যে ধ্যান</t>
  </si>
  <si>
    <t>We meditate on the supreme truth</t>
  </si>
  <si>
    <t>সত্যমেব জয়তে</t>
  </si>
  <si>
    <t>সত্যেরই জয়</t>
  </si>
  <si>
    <t>সত্য জয়ী হয়</t>
  </si>
  <si>
    <t>Truth alone triumphs</t>
  </si>
  <si>
    <t>সত্যের নাই ধানাইপানাই</t>
  </si>
  <si>
    <t>সত্যের কোনো ঘোরপ্যাঁচ নেই</t>
  </si>
  <si>
    <t>সত্য সরল</t>
  </si>
  <si>
    <t>Truth has no complexity</t>
  </si>
  <si>
    <t>সন্তোষো নন্দনং বনম</t>
  </si>
  <si>
    <t>সন্তোষই নন্দনকানন</t>
  </si>
  <si>
    <t>সন্তোষই স্বর্গ</t>
  </si>
  <si>
    <t>Contentment is paradise</t>
  </si>
  <si>
    <t>সন্তোষের মত পরম সুখ নেই</t>
  </si>
  <si>
    <t>সন্তোষের মতো সুখ নেই</t>
  </si>
  <si>
    <t>There is no happiness like contentment</t>
  </si>
  <si>
    <t>সন্নিপাতের তৃষ্ণা</t>
  </si>
  <si>
    <t>প্রচণ্ড তৃষ্ণা</t>
  </si>
  <si>
    <t>Feverish thirst</t>
  </si>
  <si>
    <t>সন্ন্যাসী চোর নয় বোঁচকায় ঘটায়</t>
  </si>
  <si>
    <t>সন্ন্যাসী চোর নয়, বোঁচকায় ঘটায়</t>
  </si>
  <si>
    <t>চোর সন্ন্যাসী</t>
  </si>
  <si>
    <t>A monk isn't a thief, but his bundle hides</t>
  </si>
  <si>
    <t>সন্ন্যাসীর তুম্ব নাড়া</t>
  </si>
  <si>
    <t>সন্ন্যাসীর তুম্বা নাড়া</t>
  </si>
  <si>
    <t>ভিক্ষা</t>
  </si>
  <si>
    <t>Shaking a monk's gourd</t>
  </si>
  <si>
    <t>স পাপিষ্ঠস্ততোধিক্য</t>
  </si>
  <si>
    <t>সে পাপিষ্ঠ ততোধিক</t>
  </si>
  <si>
    <t>সে আরও পাপী</t>
  </si>
  <si>
    <t>He is even more sinful</t>
  </si>
  <si>
    <t>সব গজের/হাতীর মোতি নেই</t>
  </si>
  <si>
    <t>সব হাতির মুক্তা নেই</t>
  </si>
  <si>
    <t>Not every elephant has a pearl</t>
  </si>
  <si>
    <t>সব চুলে চামর হয় না</t>
  </si>
  <si>
    <t>সব চুল চামর হয় না</t>
  </si>
  <si>
    <t>সবাই ভালো নয়</t>
  </si>
  <si>
    <t>Not all hair becomes chowrie</t>
  </si>
  <si>
    <t>সব চেয়ে চুপ ভাল</t>
  </si>
  <si>
    <t>চুপ থাকাই সেরা</t>
  </si>
  <si>
    <t>নীরবতা শ্রেষ্ঠ</t>
  </si>
  <si>
    <t>Silence is best</t>
  </si>
  <si>
    <t>সব জানা আবশ্যক নয়, কিন্তু যা জানছো তার সব জানা আবশ্যক</t>
  </si>
  <si>
    <t>সব জানা দরকার নয়, যা জানো তা গভীরে</t>
  </si>
  <si>
    <t>গভীর জ্ঞান</t>
  </si>
  <si>
    <t>Need not know everything, but know deeply what you know</t>
  </si>
  <si>
    <t>সব জানা আবশ্যক নয়, শুধু জানো জানার বিষয় কোথায় জানা যাবে-</t>
  </si>
  <si>
    <t>সব জানা দরকার নয়, কোথায় জানা যাবে তা জানো</t>
  </si>
  <si>
    <t>উৎস জানা</t>
  </si>
  <si>
    <t>Need not know all, but know where to find</t>
  </si>
  <si>
    <t>সব ঝিনুকে/শুক্তিতে মুক্তা মিলে না</t>
  </si>
  <si>
    <t>সব ঝিনুকে মুক্তা নেই</t>
  </si>
  <si>
    <t>Not every oyster has pearl</t>
  </si>
  <si>
    <t>সব থেকে কঠিন কাজ হলো অন্ধকার ঘরে অনুপস্থিত কালোবিড়াল খোঁজা</t>
  </si>
  <si>
    <t>অন্ধকারে কালো বিড়াল খোঁজা কঠিন</t>
  </si>
  <si>
    <t>Hardest is searching a black cat in dark room</t>
  </si>
  <si>
    <t>সবনুড়ি শালগ্রাম নয়২</t>
  </si>
  <si>
    <t>সব নুড়ি শালগ্রাম নয় (দ্বিতীয়)</t>
  </si>
  <si>
    <t>Not all pebbles are Shaligram</t>
  </si>
  <si>
    <t>ডুপ্লিকেট - id 7504 রাখা হচ্ছে, এই row বাদ দাও।</t>
  </si>
  <si>
    <t>সব পথ মাড়িয়ে চলা১</t>
  </si>
  <si>
    <t>সব পথ মাড়িয়ে চলা</t>
  </si>
  <si>
    <t>Walk every path</t>
  </si>
  <si>
    <t>এই প্রবাদের ডুপ্লিকেট আছে (id: 7508, 7509), এটা রাখো (সবচেয়ে ছোট id)।</t>
  </si>
  <si>
    <t>সব পথ মাড়িয়ে চলা২</t>
  </si>
  <si>
    <t>সব পথ মাড়িয়ে চলা (দ্বিতীয়)</t>
  </si>
  <si>
    <t>বহু অভিজ্ঞতা</t>
  </si>
  <si>
    <t>Tread all roads</t>
  </si>
  <si>
    <t>ডুপ্লিকেট - id 7508 রাখা হচ্ছে, এই row বাদ দাও।</t>
  </si>
  <si>
    <t>সব বাঁশেতে বাঁশি হয় না</t>
  </si>
  <si>
    <t>সব বাঁশে বাঁশি হয় না</t>
  </si>
  <si>
    <t>Not every bamboo makes a flute</t>
  </si>
  <si>
    <t>সব বাঁশে বংশলোচন (শর্করাজাতীয় বস্তু) হয় না</t>
  </si>
  <si>
    <t>সব বাঁশে বংশলোচন হয় না</t>
  </si>
  <si>
    <t>Not every bamboo yields manna</t>
  </si>
  <si>
    <t>সব বিড়ালকে অন্ধকারে ধূসর দেখায়</t>
  </si>
  <si>
    <t>অন্ধকারে সব বিড়াল ধূসর</t>
  </si>
  <si>
    <t>সব এক</t>
  </si>
  <si>
    <t>All cats are grey in dark</t>
  </si>
  <si>
    <t>সব বিষয়ই সহজ হওয়ার আগে কঠিন থাকে</t>
  </si>
  <si>
    <t>সব বিষয় আগে কঠিন</t>
  </si>
  <si>
    <t>শুরু কঠিন</t>
  </si>
  <si>
    <t>All things are hard before easy</t>
  </si>
  <si>
    <t>সব রসুনের একই কোয়া</t>
  </si>
  <si>
    <t>সবাই এক</t>
  </si>
  <si>
    <t>All garlic same clove</t>
  </si>
  <si>
    <t>সব শিয়ালের এক রা১</t>
  </si>
  <si>
    <t>সব শিয়ালের এক ডাক</t>
  </si>
  <si>
    <t>সবাই একমত</t>
  </si>
  <si>
    <t>All foxes same cry</t>
  </si>
  <si>
    <t>ডুপ্লিকেট - id 474 রাখা হচ্ছে, এই row বাদ দাও।</t>
  </si>
  <si>
    <t>সব শিয়ালের এক ডাক/ রা২</t>
  </si>
  <si>
    <t>All foxes howl alike</t>
  </si>
  <si>
    <t>সব শুক্তিতে মুক্তা হয় না</t>
  </si>
  <si>
    <t>সব ঝিনুকে মুক্তা হয় না</t>
  </si>
  <si>
    <t>Not every oyster makes pearl</t>
  </si>
  <si>
    <t>সব হাতীর মোতি হয় না</t>
  </si>
  <si>
    <t>সব হাতির মুক্তা হয় না</t>
  </si>
  <si>
    <t>সবাই ইচ্ছুক ঘোড়ার উপর বোঝা চাপায়</t>
  </si>
  <si>
    <t>সবাই ঘোড়ায় বোঝা চাপায়</t>
  </si>
  <si>
    <t>সবার উপর চাপ</t>
  </si>
  <si>
    <t>Everyone loads the willing horse</t>
  </si>
  <si>
    <t>সবাইকে পারা যায় শুধু পায়ে-পড়াকে পারা যায় না</t>
  </si>
  <si>
    <t>সবাইকে পারা যায়, চাটুকারকে নয়</t>
  </si>
  <si>
    <t>চাটুকার অজেয়</t>
  </si>
  <si>
    <t>Can beat all except flatterer</t>
  </si>
  <si>
    <t>সবাই নিজের কোলে ঝোল টানে</t>
  </si>
  <si>
    <t>সবাই নিজের দিকে ঝোল টানে</t>
  </si>
  <si>
    <t>Everyone pulls gruel to own lap</t>
  </si>
  <si>
    <t>সবার জীবনেই সৌভাগ্য বা সাফল্যের একটা সময় থাকে।</t>
  </si>
  <si>
    <t>সবার জীবনে সৌভাগ্যের সময় আছে</t>
  </si>
  <si>
    <t>Every life has a time of fortune</t>
  </si>
  <si>
    <t>সবার প্রতি এমন ব্যবহার করো যেন তুমি একজন অতিথি বরণ করছো</t>
  </si>
  <si>
    <t>সবার সাথে অতিথির মতো ব্যবহার</t>
  </si>
  <si>
    <t>অতিথি সৎকার</t>
  </si>
  <si>
    <t>Treat everyone as an honored guest</t>
  </si>
  <si>
    <t>সবার সাথে মানিয়ে চলার যোগ্যতা হল সভ্যতা</t>
  </si>
  <si>
    <t>সবার সাথে মানিয়ে চলাই সভ্যতা</t>
  </si>
  <si>
    <t>সভ্যতা</t>
  </si>
  <si>
    <t>Adaptability is civilization</t>
  </si>
  <si>
    <t>ধৈর্যে ফল মেলে</t>
  </si>
  <si>
    <t>Patience bears fruit</t>
  </si>
  <si>
    <t>ডুপ্লিকেট - id 395 রাখা হচ্ছে, এই row বাদ দাও।</t>
  </si>
  <si>
    <t>সবে তো কলির সন্ধ্যা১</t>
  </si>
  <si>
    <t>সবে কলির সন্ধ্যা</t>
  </si>
  <si>
    <t>কলিযুগের শুরু</t>
  </si>
  <si>
    <t>It's just the evening of Kali</t>
  </si>
  <si>
    <t>যুগ</t>
  </si>
  <si>
    <t>এই প্রবাদের ডুপ্লিকেট আছে (id: 7539, 7540), এটা রাখো (সবচেয়ে ছোট id)।</t>
  </si>
  <si>
    <t>সবে ধন নীলমণি১</t>
  </si>
  <si>
    <t>সব ধন নীলমণি</t>
  </si>
  <si>
    <t>নীলমণি শ্রেষ্ঠ</t>
  </si>
  <si>
    <t>Nilmani is the best treasure</t>
  </si>
  <si>
    <t>এই প্রবাদের ডুপ্লিকেট আছে (id: 7541, 7542), এটা রাখো (সবচেয়ে ছোট id)।</t>
  </si>
  <si>
    <t>সবে ধন নীলমণি২</t>
  </si>
  <si>
    <t>সব ধন নীলমণি (দ্বিতীয়)</t>
  </si>
  <si>
    <t>শ্রেষ্ঠ রত্ন</t>
  </si>
  <si>
    <t>Nilmani the gem of all</t>
  </si>
  <si>
    <t>ডুপ্লিকেট - id 7541 রাখা হচ্ছে, এই row বাদ দাও।</t>
  </si>
  <si>
    <t>সময় ও স্রোত কারো জন্যে অপেক্ষা করে না</t>
  </si>
  <si>
    <t>সময় ও স্রোত অপেক্ষা করে না</t>
  </si>
  <si>
    <t>Time and tide wait for none</t>
  </si>
  <si>
    <t>সময় কাহারো নয়</t>
  </si>
  <si>
    <t>সময় কারো নয়</t>
  </si>
  <si>
    <t>সময় অনিত্য</t>
  </si>
  <si>
    <t>Time belongs to none</t>
  </si>
  <si>
    <t>সময় ক্ষত শুকায়</t>
  </si>
  <si>
    <t>সময় সব ভুলায়</t>
  </si>
  <si>
    <t>Time heals wounds</t>
  </si>
  <si>
    <t>সময় গুণে আপন পর, খোঁড়া গাধার ঘোড়ার দর</t>
  </si>
  <si>
    <t>সময় বুঝে আপন-পর, খোঁড়া গাধা ঘোড়ার দামে</t>
  </si>
  <si>
    <t>Time makes kin or stranger; lame donkey priced as horse</t>
  </si>
  <si>
    <t>সময় স্বর্ণসমান, তবুও সোনা দিয়ে সময় কেনা যায় না</t>
  </si>
  <si>
    <t>সময় সোনার সমান, কিন্তু কেনা যায় না</t>
  </si>
  <si>
    <t>সময় অমূল্য</t>
  </si>
  <si>
    <t>Time is gold but can't be bought</t>
  </si>
  <si>
    <t>সময়ে না দেয় চাষ তার দুঃখ বারোমাস- খনা</t>
  </si>
  <si>
    <t>সময়ে চাষ না করলে বারো মাস দুঃখ</t>
  </si>
  <si>
    <t>সময়ের কাজ</t>
  </si>
  <si>
    <t>He who doesn't farm in time suffers all year</t>
  </si>
  <si>
    <t>কৃষক</t>
  </si>
  <si>
    <t>সময়ে সব বন্ধু হয় অসময়ে কেউ নয়</t>
  </si>
  <si>
    <t>সময়ে সবাই বন্ধু, অসময়ে কেউ নয়</t>
  </si>
  <si>
    <t>All friends in good times, none in bad</t>
  </si>
  <si>
    <t>সময়ের এক কথা অসময়ের দশ কথা</t>
  </si>
  <si>
    <t>One word in time equals ten later</t>
  </si>
  <si>
    <t>সময়ের একফোঁড় অসময়ের দশফোঁড়</t>
  </si>
  <si>
    <t>সময়ের এক ফোঁড় অসময়ের দশ ফোঁড়</t>
  </si>
  <si>
    <t>One stitch in time saves nine</t>
  </si>
  <si>
    <t>ডুপ্লিকেট - id 53 রাখা হচ্ছে, এই row বাদ দাও।</t>
  </si>
  <si>
    <t>সমস্যা ভাগাভাগি করলে সমস্যার অর্ধেক সমাধান হয়</t>
  </si>
  <si>
    <t>সমস্যা ভাগ করলে অর্ধেক সমাধান</t>
  </si>
  <si>
    <t>A problem shared is a problem halved</t>
  </si>
  <si>
    <t>সমানে সমানে দোস্তি, সমানে সমানে কুস্তি</t>
  </si>
  <si>
    <t>সমানে সমানে বন্ধুত্ব, সমানে সমানে কুস্তি</t>
  </si>
  <si>
    <t>সমান সম্পর্ক</t>
  </si>
  <si>
    <t>Equal friendship, equal fight</t>
  </si>
  <si>
    <t>সমুদ্রে পাদ্য অর্ঘ্য১</t>
  </si>
  <si>
    <t>সমুদ্রে পাদ্য-অর্ঘ্য</t>
  </si>
  <si>
    <t>Offering to the sea</t>
  </si>
  <si>
    <t>এই প্রবাদের ডুপ্লিকেট আছে (id: 7555, 7556), এটা রাখো (সবচেয়ে ছোট id)।</t>
  </si>
  <si>
    <t>সমুদ্রে পাদ্য অর্ঘ্য২</t>
  </si>
  <si>
    <t>সমুদ্রে পাদ্য-অর্ঘ্য (দ্বিতীয়)</t>
  </si>
  <si>
    <t>বৃথা দান</t>
  </si>
  <si>
    <t>Water offering to ocean</t>
  </si>
  <si>
    <t>ডুপ্লিকেট - id 7555 রাখা হচ্ছে, এই row বাদ দাও।</t>
  </si>
  <si>
    <t>সমৈশ্চ সমতামেতি বিশিষ্টৈচ বিশিষ্টাতাম</t>
  </si>
  <si>
    <t>সমানের সঙ্গে সমতা, বিশিষ্টের সঙ্গে বিশিষ্টতা</t>
  </si>
  <si>
    <t>Equal with equals, distinguished with distinguished</t>
  </si>
  <si>
    <t>সম্পদ অর্জন করা সহজ, রক্ষা করা কঠিন</t>
  </si>
  <si>
    <t>সম্পদ অর্জন সহজ, রক্ষা কঠিন</t>
  </si>
  <si>
    <t>সম্পদ</t>
  </si>
  <si>
    <t>Earning wealth easy, keeping hard</t>
  </si>
  <si>
    <t>সম্পদ আসে কচ্ছপের মত আর যায় হরিণের মত</t>
  </si>
  <si>
    <t>সম্পদ ধীরে আসে, দ্রুত যায়</t>
  </si>
  <si>
    <t>Wealth comes like tortoise, leaves like deer</t>
  </si>
  <si>
    <t>সম্মান ও স্বার্থ এক থলিতে থাকে না</t>
  </si>
  <si>
    <t>সম্মান ও স্বার্থ একসাথে নয়</t>
  </si>
  <si>
    <t>দ্বন্দ্ব</t>
  </si>
  <si>
    <t>Honor and self-interest don't coexist</t>
  </si>
  <si>
    <t>সম্পূর্ণকুম্ভো ন করোতি শব্দম্</t>
  </si>
  <si>
    <t>সম্পূর্ণ কলস শব্দ করে না</t>
  </si>
  <si>
    <t>স'য়ে থাকলে র'য়ে যায়১</t>
  </si>
  <si>
    <t>সহ্য করলে টিকে থাকা যায়</t>
  </si>
  <si>
    <t>Endure and persist</t>
  </si>
  <si>
    <t>সয়ে থাকলে রয়ে যায়২</t>
  </si>
  <si>
    <t>সয়ে থাকলে রয়ে যায় (দ্বিতীয়)</t>
  </si>
  <si>
    <t>He who endures remains</t>
  </si>
  <si>
    <t>সরফরাজি</t>
  </si>
  <si>
    <t>চাটুকারি</t>
  </si>
  <si>
    <t>Sycophancy</t>
  </si>
  <si>
    <t>সরসা বিরসায়তে</t>
  </si>
  <si>
    <t>সরস বিরস হয়</t>
  </si>
  <si>
    <t>সুখ দুঃখে</t>
  </si>
  <si>
    <t>Sweet turns sour</t>
  </si>
  <si>
    <t>সর্ব অঙ্গে ঘা/ব্যাথা ঔষধ দেবো কোথা</t>
  </si>
  <si>
    <t>সারা গায়ে ঘা, ওষুধ কোথায় দেব</t>
  </si>
  <si>
    <t>সর্বত্র সমস্যা</t>
  </si>
  <si>
    <t>Full of sores, where to apply medicine?</t>
  </si>
  <si>
    <t>সর্ব্বং পরবশং দুঃখং সর্ব্বমাত্মবশং সুখং</t>
  </si>
  <si>
    <t>সব পরাধীন দুঃখ, সব আত্মাধীন সুখ</t>
  </si>
  <si>
    <t>All dependence is sorrow, self-control is joy</t>
  </si>
  <si>
    <t>সর্ব্বঃসহা ধরিত্রী</t>
  </si>
  <si>
    <t>পৃথিবী সব সহ্য করে</t>
  </si>
  <si>
    <t>Earth bears all</t>
  </si>
  <si>
    <t>সর্ব্বঃ কান্তম আত্মীয়ং পশ্যতি</t>
  </si>
  <si>
    <t>সবাই নিজের জিনিস সুন্দর দেখে</t>
  </si>
  <si>
    <t>Everyone sees his own as beautiful</t>
  </si>
  <si>
    <t>সর্ব্বঃ স্বার্থং সমীহতে</t>
  </si>
  <si>
    <t>সবাই স্বার্থ চায়</t>
  </si>
  <si>
    <t>Everyone seeks self-interest</t>
  </si>
  <si>
    <t>সর্বঘটের কাঁঠালী কলা</t>
  </si>
  <si>
    <t>সব ঘটে কাঁঠালী কলা</t>
  </si>
  <si>
    <t>Same banana in every pot</t>
  </si>
  <si>
    <t>সর্বত্র নুতনং শস্তং সেবকায়ে পুরাতনে</t>
  </si>
  <si>
    <t>সব নতুন ভালো, পুরাতন সেবক</t>
  </si>
  <si>
    <t>নতুন ভালো</t>
  </si>
  <si>
    <t>All new is good, except old servant</t>
  </si>
  <si>
    <t>নতুনত্ব</t>
  </si>
  <si>
    <t>সর্বদেবময়োহতিথি</t>
  </si>
  <si>
    <t>অতিথি সর্বদেবময়</t>
  </si>
  <si>
    <t>অতিথি</t>
  </si>
  <si>
    <t>Guest is all gods</t>
  </si>
  <si>
    <t>আতিথেয়তা</t>
  </si>
  <si>
    <t>সসর্পে চ গৃহবাসঃ মৃত্যুরেব না সংশয়ঃ</t>
  </si>
  <si>
    <t>সাপের সঙ্গে গৃহবাস মৃত্যু</t>
  </si>
  <si>
    <t>বিপদে বাস</t>
  </si>
  <si>
    <t>Living with snake is certain death</t>
  </si>
  <si>
    <t>সসেমিরা হয়ে আছে</t>
  </si>
  <si>
    <t>ঝুলে আছে</t>
  </si>
  <si>
    <t>In suspense</t>
  </si>
  <si>
    <t>সস্তায় জিনিস কেনা ভাল</t>
  </si>
  <si>
    <t>সস্তা</t>
  </si>
  <si>
    <t>Buying cheap is good</t>
  </si>
  <si>
    <t>সস্তায় বস্তা ভরে</t>
  </si>
  <si>
    <t>সস্তায় বেশি</t>
  </si>
  <si>
    <t>Cheap fills bag</t>
  </si>
  <si>
    <t>Cheap thing has three states</t>
  </si>
  <si>
    <t>ডুপ্লিকেট - id 150 রাখা হচ্ছে, এই row বাদ দাও।</t>
  </si>
  <si>
    <t>সহজ হওয়ার আগে সব বিষয়ই কঠিন থাকে</t>
  </si>
  <si>
    <t>সহজ হওয়ার আগে কঠিন</t>
  </si>
  <si>
    <t>সহনশীলতা সভ্যতার মাপকাটি</t>
  </si>
  <si>
    <t>সহনশীলতা সভ্যতার মাপ</t>
  </si>
  <si>
    <t>Tolerance is measure of civilization</t>
  </si>
  <si>
    <t>সহিলে সম্পত্তি না সহিলে বিপত্তি</t>
  </si>
  <si>
    <t>সহ্য করলে সম্পত্তি, না করলে বিপত্তি</t>
  </si>
  <si>
    <t>Endure and prosper, resist and perish</t>
  </si>
  <si>
    <t>সাঁচ কো আঁচ নহী</t>
  </si>
  <si>
    <t>সত্যের কোনো আঁচ নেই</t>
  </si>
  <si>
    <t>সত্য অক্ষয়</t>
  </si>
  <si>
    <t>Truth has no flaw</t>
  </si>
  <si>
    <t>সাঁতার দিয়ে সাগর/সিন্ধুপার</t>
  </si>
  <si>
    <t>সাঁতরে সাগর পার</t>
  </si>
  <si>
    <t>Swim across sea</t>
  </si>
  <si>
    <t>সাঁতার না জানলে এঁদো পুকুরে/ডোবায় ডুবে মরে</t>
  </si>
  <si>
    <t>সাঁতার না জানলে এঁদো পুকুরে ডুবে</t>
  </si>
  <si>
    <t>Without swimming, drown in puddle</t>
  </si>
  <si>
    <t>সাক্ষীগোপাল</t>
  </si>
  <si>
    <t>Silent witness</t>
  </si>
  <si>
    <t>সাগরও শুকায় না পাপও লুকায় না</t>
  </si>
  <si>
    <t>সাগর শুকায় না, পাপ লুকায় না</t>
  </si>
  <si>
    <t>Sea never dries, sin never hides</t>
  </si>
  <si>
    <t>সাগর সেঁচা মাণিক</t>
  </si>
  <si>
    <t>সাগর থেকে মাণিক</t>
  </si>
  <si>
    <t>কষ্টে মূল্য</t>
  </si>
  <si>
    <t>Pearl from sea</t>
  </si>
  <si>
    <t>সাজতে গুজতে দোল ফুরালো</t>
  </si>
  <si>
    <t>সময় গেল</t>
  </si>
  <si>
    <t>Lost time in decorating</t>
  </si>
  <si>
    <t>সাজতে গুজতে ফিঙে রাজা</t>
  </si>
  <si>
    <t>অযোগ্য রাজা</t>
  </si>
  <si>
    <t>Dressed up, a drongo king</t>
  </si>
  <si>
    <t>সাজার মা গঙ্গা পায় না</t>
  </si>
  <si>
    <t>A lazy one's mother misses Ganga</t>
  </si>
  <si>
    <t>সাতকাণ্ড রামায়ণ পড়ে সীতা কার নাম/বাপ/ভাই/ভার্যা/মাসী</t>
  </si>
  <si>
    <t>রামায়ণ পড়ে সীতা কার স্ত্রী/বোন</t>
  </si>
  <si>
    <t>After reading Ramayana, asks whose wife is Sita</t>
  </si>
  <si>
    <t>সাতকুঁড়ের ঘর, গোঁসাই রক্ষা কর</t>
  </si>
  <si>
    <t>সাত অলসের ঘর, ঈশ্বর রক্ষা</t>
  </si>
  <si>
    <t>House of seven idlers, God save</t>
  </si>
  <si>
    <t>সাতখুন মাপ</t>
  </si>
  <si>
    <t>সাত খুন মাফ</t>
  </si>
  <si>
    <t>অপরাধ ক্ষমা</t>
  </si>
  <si>
    <t>Forgive seven murders</t>
  </si>
  <si>
    <t>ক্ষমা</t>
  </si>
  <si>
    <t>সাতঘাটের কড়ি</t>
  </si>
  <si>
    <t>সাত ঘাটের কড়ি</t>
  </si>
  <si>
    <t>অনেক অভিজ্ঞতা</t>
  </si>
  <si>
    <t>Money of seven ghats</t>
  </si>
  <si>
    <t>সাতঘাটের জল একঘাটে করা১</t>
  </si>
  <si>
    <t>সাত ঘাটের জল এক ঘাটে</t>
  </si>
  <si>
    <t>একত্র করা</t>
  </si>
  <si>
    <t>Bring seven waters to one ghat</t>
  </si>
  <si>
    <t>এই প্রবাদের ডুপ্লিকেট আছে (id: 7606, 7607), এটা রাখো (সবচেয়ে ছোট id)।</t>
  </si>
  <si>
    <t>সাতঘাটের জল একঘাটে করা২</t>
  </si>
  <si>
    <t>সাত ঘাটের জল এক ঘাটে (দ্বিতীয়)</t>
  </si>
  <si>
    <t>Merge seven waters</t>
  </si>
  <si>
    <t>ডুপ্লিকেট - id 7606 রাখা হচ্ছে, এই row বাদ দাও।</t>
  </si>
  <si>
    <t>সাতঘাটের জল খাওয়া১</t>
  </si>
  <si>
    <t>সাত ঘাটের জল খাওয়া</t>
  </si>
  <si>
    <t>Drink seven waters</t>
  </si>
  <si>
    <t>এই প্রবাদের ডুপ্লিকেট আছে (id: 7608, 7609, 7610), এটা রাখো (সবচেয়ে ছোট id)।</t>
  </si>
  <si>
    <t>সাতঘাটের জল খাওয়া২</t>
  </si>
  <si>
    <t>সাত ঘাটের জল খাওয়া (দ্বিতীয়)</t>
  </si>
  <si>
    <t>Drink from seven ghats</t>
  </si>
  <si>
    <t>ডুপ্লিকেট - id 7608 রাখা হচ্ছে, এই row বাদ দাও।</t>
  </si>
  <si>
    <t>সাতঘাটের জল খাওয়া৩</t>
  </si>
  <si>
    <t>সাত ঘাটের জল খাওয়া (তৃতীয়)</t>
  </si>
  <si>
    <t>নানা অভিজ্ঞতা</t>
  </si>
  <si>
    <t>Drink seven ghats</t>
  </si>
  <si>
    <t>সাতচড়ে মশা মারা১</t>
  </si>
  <si>
    <t>সাত চড়ে মশা মারা</t>
  </si>
  <si>
    <t>Kill mosquito with seven slaps</t>
  </si>
  <si>
    <t>এই প্রবাদের ডুপ্লিকেট আছে (id: 7612, 7613), এটা রাখো (সবচেয়ে ছোট id)।</t>
  </si>
  <si>
    <t>সাতচড়ে মশা মারা২</t>
  </si>
  <si>
    <t>সাত চড়ে মশা মারা (দ্বিতীয়)</t>
  </si>
  <si>
    <t>Seven slaps for a mosquito</t>
  </si>
  <si>
    <t>ডুপ্লিকেট - id 7612 রাখা হচ্ছে, এই row বাদ দাও।</t>
  </si>
  <si>
    <t>সাতনকলে আসল খাস্তা/ভেস্তা</t>
  </si>
  <si>
    <t>সাত নকলে আসল নষ্ট</t>
  </si>
  <si>
    <t>অনেক নকল</t>
  </si>
  <si>
    <t>Seven copies ruin original</t>
  </si>
  <si>
    <t>সাতপাঁচ ভেবে কাজ করা</t>
  </si>
  <si>
    <t>সাতপাঁচ ভেবে কাজ</t>
  </si>
  <si>
    <t>অতিরিক্ত ভাবনা</t>
  </si>
  <si>
    <t>Think seven times before acting</t>
  </si>
  <si>
    <t>সাতপাগলের ঘর খোদা রক্ষা কর</t>
  </si>
  <si>
    <t>সাত পাগলের ঘর, ঈশ্বর রক্ষা</t>
  </si>
  <si>
    <t>House of seven madmen, God save</t>
  </si>
  <si>
    <t>সাতমণ তেলও পুড়বে না রাধাও নাঁচবে না</t>
  </si>
  <si>
    <t>সাত মণ তেলও পুড়বে না, রাধাও নাচবে না</t>
  </si>
  <si>
    <t>Neither seven maunds of oil will burn nor Radha dance</t>
  </si>
  <si>
    <t>সাত রাজার ধন এক মাণিক</t>
  </si>
  <si>
    <t>এক মূল্যবান</t>
  </si>
  <si>
    <t>One gem equals seven kings' treasure</t>
  </si>
  <si>
    <t>সাত সমুদ্র তেরো নদীর পার</t>
  </si>
  <si>
    <t>বহু দূর</t>
  </si>
  <si>
    <t>Beyond seven seas and thirteen rivers</t>
  </si>
  <si>
    <t>দূরত্ব</t>
  </si>
  <si>
    <t>সাত সতীনের ঘর খোদা রক্ষা কর</t>
  </si>
  <si>
    <t>সাত সতীনের ঘর, ঈশ্বর রক্ষা</t>
  </si>
  <si>
    <t>House of seven co-wives, God save</t>
  </si>
  <si>
    <t>সাতেও না পাঁচেও না</t>
  </si>
  <si>
    <t>Neither seven nor five</t>
  </si>
  <si>
    <t>সাতেও হুঁ পাঁচেও হুঁ১</t>
  </si>
  <si>
    <t>সাতেও হুঁ, পাঁচেও হুঁ</t>
  </si>
  <si>
    <t>সব রাজি</t>
  </si>
  <si>
    <t>Yes to seven and five</t>
  </si>
  <si>
    <t>এই প্রবাদের ডুপ্লিকেট আছে (id: 7625, 7626), এটা রাখো (সবচেয়ে ছোট id)।</t>
  </si>
  <si>
    <t>সাতেও হুঁ পাঁচেও হুঁ২</t>
  </si>
  <si>
    <t>সাতেও হুঁ, পাঁচেও হুঁ (দ্বিতীয়)</t>
  </si>
  <si>
    <t>সহজ সম্মতি</t>
  </si>
  <si>
    <t>Yes to all</t>
  </si>
  <si>
    <t>ডুপ্লিকেট - id 7625 রাখা হচ্ছে, এই row বাদ দাও।</t>
  </si>
  <si>
    <t>সাতেও যার হয় না সাতাশীতেও তার হয় না</t>
  </si>
  <si>
    <t>সাতে যার হয় না, সাতাশীতেও হয় না</t>
  </si>
  <si>
    <t>সাদা আঙুরের মত কালো আঙুরও সমান মিষ্টি</t>
  </si>
  <si>
    <t>কালো আঙুরও সাদার মতো মিষ্টি</t>
  </si>
  <si>
    <t>Black grape as sweet as white</t>
  </si>
  <si>
    <t>সাদাকে কালো এবং কালোকে সাদা করা</t>
  </si>
  <si>
    <t>সাদাকে কালো, কালোকে সাদা</t>
  </si>
  <si>
    <t>Call white black, black white</t>
  </si>
  <si>
    <t>সাদাকে সাদা এবং কালোকে কালো বলা</t>
  </si>
  <si>
    <t>সাদাকে সাদা, কালোকে কালো</t>
  </si>
  <si>
    <t>স্পষ্ট</t>
  </si>
  <si>
    <t>Call a spade a spade</t>
  </si>
  <si>
    <t>সাদা মনে কাদা নেই</t>
  </si>
  <si>
    <t>সাদা মনে কালি নেই</t>
  </si>
  <si>
    <t>White mind has no stain</t>
  </si>
  <si>
    <t>সাদা মনে কালি দেওয়া</t>
  </si>
  <si>
    <t>সাদা মনে কালি</t>
  </si>
  <si>
    <t>Blacken white mind</t>
  </si>
  <si>
    <t>সাদা মুল্লুক জাদা</t>
  </si>
  <si>
    <t>White land extra</t>
  </si>
  <si>
    <t>সাদার উপর কালির দাগ</t>
  </si>
  <si>
    <t>ছোট দোষ</t>
  </si>
  <si>
    <t>Ink stain on white</t>
  </si>
  <si>
    <t>সাধ করে শাল নেওয়া</t>
  </si>
  <si>
    <t>ইচ্ছা করে</t>
  </si>
  <si>
    <t>Catch myna eagerly</t>
  </si>
  <si>
    <t>সাধ কত ছিল রে চিতে বেগুন গাছে আঁকশি দিতে</t>
  </si>
  <si>
    <t>সাধ ছিল বেগুন গাছে আঁকশি দিতে</t>
  </si>
  <si>
    <t>অতৃপ্ত ইচ্ছা</t>
  </si>
  <si>
    <t>Wanted to support brinjal plant</t>
  </si>
  <si>
    <t>সাধ কত ছিল রে চিতে মলের উপর চুটকি দিতে</t>
  </si>
  <si>
    <t>সাধ ছিল মলের উপর চুটকি</t>
  </si>
  <si>
    <t>অতৃপ্ত</t>
  </si>
  <si>
    <t>Wanted to snap fingers on garland</t>
  </si>
  <si>
    <t>সাধ করে বাদশা/সেকেন্দার হতে খোদা দেয় না মেগে খেতে</t>
  </si>
  <si>
    <t>সাধ করে বাদশা হতে, খোদা দেয় না</t>
  </si>
  <si>
    <t>Wish to be king, God gives beggary</t>
  </si>
  <si>
    <t>সাধ করে বৈষ্ণব হতে প্রাণ যায় মোচ্ছব দিতে</t>
  </si>
  <si>
    <t>সাধ করে বৈষ্ণব হতে, প্রাণ যায় উৎসবে</t>
  </si>
  <si>
    <t>ভক্তির কষ্ট</t>
  </si>
  <si>
    <t>Wish to be Vaishnav, life spent in festivals</t>
  </si>
  <si>
    <t>সাধনা বিনা সিদ্ধি নাই</t>
  </si>
  <si>
    <t>সাধনা ছাড়া সিদ্ধি নেই</t>
  </si>
  <si>
    <t>No success without practice</t>
  </si>
  <si>
    <t>সাধলে জামাই খান না, না-সাধলে পান না</t>
  </si>
  <si>
    <t>সাধলে জামাই খান না, না সাধলে পান না</t>
  </si>
  <si>
    <t>সাধিলে রাধার মান বাড়ে</t>
  </si>
  <si>
    <t>সাধলে রাধার মান বাড়ে</t>
  </si>
  <si>
    <t>ভালোবাসায় মান</t>
  </si>
  <si>
    <t>Begging increases Radha's honor</t>
  </si>
  <si>
    <t>সাধিলেই সিদ্ধি অর্জিলেই নিধি</t>
  </si>
  <si>
    <t>সাধলে সিদ্ধি, চেষ্টায় নিধি</t>
  </si>
  <si>
    <t>Strive and achieve, earn and gain</t>
  </si>
  <si>
    <t>সাধু যার সঙ্কল্প ঈশ্বর তার সহায়</t>
  </si>
  <si>
    <t>সাধুর সংকল্পে ঈশ্বর সহায়</t>
  </si>
  <si>
    <t>সৎ সংকল্প</t>
  </si>
  <si>
    <t>God helps the saint's resolve</t>
  </si>
  <si>
    <t>সাধুর পরিচয় লোটা কম্বলে</t>
  </si>
  <si>
    <t>সাধু চেনা লোটা-কম্বলে</t>
  </si>
  <si>
    <t>Saint known by pot and blanket</t>
  </si>
  <si>
    <t>সাধে কি আর বাপ বলি; গুঁতোর চোটে বাপ বলায়</t>
  </si>
  <si>
    <t>সাধে কি বাপ বলি? গুঁতোয় বাধ্য</t>
  </si>
  <si>
    <t>Do I call father willingly? Forced by gore</t>
  </si>
  <si>
    <t>বাধ্যতা</t>
  </si>
  <si>
    <t>সাধে বিঁধলাম কান কাঠি দিতে যায় প্রাণ</t>
  </si>
  <si>
    <t>সাধে কান বিঁধলাম, কাঠি দিতে প্রাণ যায়</t>
  </si>
  <si>
    <t>সখের কষ্ট</t>
  </si>
  <si>
    <t>Pierced ear willingly, pain of stick</t>
  </si>
  <si>
    <t>সাধের কমল তুলতে গিয়ে সোনার হাতে ফুটল কাঁটা</t>
  </si>
  <si>
    <t>সাধের পদ্ম তুলতে হাতে কাঁটা</t>
  </si>
  <si>
    <t>সখের ফল</t>
  </si>
  <si>
    <t>Plucking lotus, thorn in hand</t>
  </si>
  <si>
    <t>সানুকূলে জগন্নাথে বিপ্রিয়ঃ সুপ্রিয়ো ভবতি</t>
  </si>
  <si>
    <t>অনুকূলে জগন্নাথে বিপ্রিয়ও প্রিয়</t>
  </si>
  <si>
    <t>With Jagannath favorable, even foe becomes friend</t>
  </si>
  <si>
    <t>সাপও মরে লাঠিও না ভাঙ্গে</t>
  </si>
  <si>
    <t>সাপও মরে লাঠিও না ভাঙে</t>
  </si>
  <si>
    <t>দুই দিক রক্ষা</t>
  </si>
  <si>
    <t>Snake dies, stick unbroken</t>
  </si>
  <si>
    <t>সাপকে পোষ মানিয়ে থলিতে পোড়া</t>
  </si>
  <si>
    <t>সাপকে পুষে থলিতে পোড়া</t>
  </si>
  <si>
    <t>দুষ্টকে লালন</t>
  </si>
  <si>
    <t>Tame snake and keep in bag</t>
  </si>
  <si>
    <t>সাপকে দুধ খাওয়ালে শুধু বিষ বাড়ে</t>
  </si>
  <si>
    <t>সাপকে দুধ খাওয়ালে বিষ বাড়ে</t>
  </si>
  <si>
    <t>দুষ্টের আদর</t>
  </si>
  <si>
    <t>Feeding milk to snake increases poison</t>
  </si>
  <si>
    <t>সাপকে মারলে শিবের লাগে১</t>
  </si>
  <si>
    <t>সাপ মারলে শিবের লাগে</t>
  </si>
  <si>
    <t>Killing snake harms Shiva</t>
  </si>
  <si>
    <t>এই প্রবাদের ডুপ্লিকেট আছে (id: 7655, 7656), এটা রাখো (সবচেয়ে ছোট id)।</t>
  </si>
  <si>
    <t>সাপকে মারলে শিবের লাগে২</t>
  </si>
  <si>
    <t>সাপ মারলে শিবের লাগে (দ্বিতীয়)</t>
  </si>
  <si>
    <t>Snake associated with Shiva</t>
  </si>
  <si>
    <t>ডুপ্লিকেট - id 7655 রাখা হচ্ছে, এই row বাদ দাও।</t>
  </si>
  <si>
    <t>সাপ নিজের ছায়া দেখে চমকে দাঁড়ায় সেদিক বেঁকে</t>
  </si>
  <si>
    <t>সাপ নিজের ছায়া দেখে ভয়</t>
  </si>
  <si>
    <t>নিজের দোষে ভয়</t>
  </si>
  <si>
    <t>Snake startled by own shadow</t>
  </si>
  <si>
    <t>সাপ মরলে সোজা</t>
  </si>
  <si>
    <t>মৃত্যুর পর সহজ</t>
  </si>
  <si>
    <t>Snake straightens after death</t>
  </si>
  <si>
    <t>সাপ হয়ে কাটে/কামড়ায় রোজা হয়ে ঝাড়ে</t>
  </si>
  <si>
    <t>সাপ হয়ে কামড়ায়, রোজা হয়ে ঝাড়ে</t>
  </si>
  <si>
    <t>দ্বিমুখী</t>
  </si>
  <si>
    <t>Bite as snake, cure as exorcist</t>
  </si>
  <si>
    <t>সাপা ডরায় ব্যাঙাকে ব্যাঙা ডরাই সাপাকে১</t>
  </si>
  <si>
    <t>সাপ ভয় পায় ব্যাঙকে, ব্যাঙ ভয় পায় সাপকে</t>
  </si>
  <si>
    <t>পারস্পরিক ভয়</t>
  </si>
  <si>
    <t>Snake fears frog, frog fears snake</t>
  </si>
  <si>
    <t>এই প্রবাদের ডুপ্লিকেট আছে (id: 7660, 7661), এটা রাখো (সবচেয়ে ছোট id)।</t>
  </si>
  <si>
    <t>সাপা ডরায় ব্যাঙাকে ব্যাঙা ডরাই সাপাকে২</t>
  </si>
  <si>
    <t>সাপ ভয় পায় ব্যাঙকে, ব্যাঙ ভয় পায় সাপকে (দ্বিতীয়)</t>
  </si>
  <si>
    <t>দুই পক্ষ</t>
  </si>
  <si>
    <t>Mutual fear</t>
  </si>
  <si>
    <t>ডুপ্লিকেট - id 7660 রাখা হচ্ছে, এই row বাদ দাও।</t>
  </si>
  <si>
    <t>সাপে নেউলেসম্পর্ক</t>
  </si>
  <si>
    <t>সাপে নেউলে সম্পর্ক</t>
  </si>
  <si>
    <t>Snake and mongoose relation</t>
  </si>
  <si>
    <t>সাপের ছুঁচো গেলা১</t>
  </si>
  <si>
    <t>সাপের ছুঁচো গেলা</t>
  </si>
  <si>
    <t>কষ্টে গেলা</t>
  </si>
  <si>
    <t>Swallow a mole like snake</t>
  </si>
  <si>
    <t>এই প্রবাদের ডুপ্লিকেট আছে (id: 7663, 7664), এটা রাখো (সবচেয়ে ছোট id)।</t>
  </si>
  <si>
    <t>সাপের ছুঁচো গেলা (দ্বিতীয়)</t>
  </si>
  <si>
    <t>অপ্রিয় কাজ</t>
  </si>
  <si>
    <t>Like snake swallowing mole</t>
  </si>
  <si>
    <t>ডুপ্লিকেট - id 7663 রাখা হচ্ছে, এই row বাদ দাও।</t>
  </si>
  <si>
    <t>সাপের দাঁতে বিষ দুর্জনের সর্বাঙ্গে বিষ</t>
  </si>
  <si>
    <t>সাপের দাঁতে বিষ, দুর্জনের সারা গায়ে</t>
  </si>
  <si>
    <t>Venom in snake's fang, all over wicked</t>
  </si>
  <si>
    <t>সাপের পাঁচ পা দেখা</t>
  </si>
  <si>
    <t>See five legs of snake</t>
  </si>
  <si>
    <t>সাপের মুখে ঈষার মূল</t>
  </si>
  <si>
    <t>Sugar cane root in snake's mouth</t>
  </si>
  <si>
    <t>সাপের লেজে পা দেওয়া</t>
  </si>
  <si>
    <t>সাপের লেজে পা</t>
  </si>
  <si>
    <t>Step on snake's tail</t>
  </si>
  <si>
    <t>সাপের হাঁচি বেদেয় চেনে</t>
  </si>
  <si>
    <t>সাপের হাঁচি বেদে চেনে</t>
  </si>
  <si>
    <t>Snake charmer knows snake's sneeze</t>
  </si>
  <si>
    <t>সাপের হাঁড়ি</t>
  </si>
  <si>
    <t>বিপজ্জনক</t>
  </si>
  <si>
    <t>Snake's pot</t>
  </si>
  <si>
    <t>সাফল্য সাফল্য আনে</t>
  </si>
  <si>
    <t>প্রগতি</t>
  </si>
  <si>
    <t>Success breeds success</t>
  </si>
  <si>
    <t>সাফল্যের কোন বিকল্প নেই</t>
  </si>
  <si>
    <t>সাফল্যের বিকল্প নেই</t>
  </si>
  <si>
    <t>There is no substitute for success</t>
  </si>
  <si>
    <t>সাফল্যের জন্য অপেক্ষা কর, প্রত্যেকেরই দিন আছে</t>
  </si>
  <si>
    <t>সাফল্যের জন্য অপেক্ষা কর</t>
  </si>
  <si>
    <t>Wait for success, every dog has its day</t>
  </si>
  <si>
    <t>সাবধানের মার নেই</t>
  </si>
  <si>
    <t>The cautious never fall</t>
  </si>
  <si>
    <t>ডুপ্লিকেট - id 419 রাখা হচ্ছে, এই row বাদ দাও।</t>
  </si>
  <si>
    <t>সামনে দরজা খোলা পেলে সাধুও চোর হয়</t>
  </si>
  <si>
    <t>খোলা দরজা পেলে সাধুও চোর</t>
  </si>
  <si>
    <t>Open door tempts even saint</t>
  </si>
  <si>
    <t>সামনে দিয়ে মশা/মাছি/সূঁচ গলে না পিছন দিয়ে হাতী গলে</t>
  </si>
  <si>
    <t>সামনে সূঁচ গলে না, পিছনে হাতি</t>
  </si>
  <si>
    <t>Needle doesn't pass front, elephant passes back</t>
  </si>
  <si>
    <t>সামনে দিয়ে আসা ভেড়াকে ভয় কর, পিছন দিয়ে আসা ঘোড়াকে ভয় কর, চতুর্দিক দিয়ে আসা মানুষকে ভয় কর</t>
  </si>
  <si>
    <t>সামনে ভেড়া, পিছনে ঘোড়া, চারদিক মানুষ ভয়</t>
  </si>
  <si>
    <t>Fear sheep in front, horse behind, man all around</t>
  </si>
  <si>
    <t>সারল্যং সরলে কুর্যাৎ, শঠে শাঠ্যং সমাচরেৎ</t>
  </si>
  <si>
    <t>সরলের সাথে সরল, শঠের সাথে শঠ</t>
  </si>
  <si>
    <t>Be simple with simple, cunning with cunning</t>
  </si>
  <si>
    <t>সারাদিন থাকব নায় (নৌকা) কখন খড়ম দেব পায়</t>
  </si>
  <si>
    <t>সারাদিন নৌকায় থাকব, কখন খড়ম দেব</t>
  </si>
  <si>
    <t>Stay in boat all day, when wear sandals?</t>
  </si>
  <si>
    <t>সারাদিন বঁড়শি হাতে সন্ধ্যাবেলা আমড়া ভাতে</t>
  </si>
  <si>
    <t>সারাদিন বঁড়শি, সন্ধ্যায় আমড়া ভাত</t>
  </si>
  <si>
    <t>ব্যর্থ</t>
  </si>
  <si>
    <t>All day fishing, evening amra rice</t>
  </si>
  <si>
    <t>সারাদিনের রূপরেখা ভোরবেলাতেই টানা হয়</t>
  </si>
  <si>
    <t>সারাদিনের পরিকল্পনা সকালে</t>
  </si>
  <si>
    <t>Day's outline drawn at dawn</t>
  </si>
  <si>
    <t>সাহসের ভরা (বজরা) ডোবে না</t>
  </si>
  <si>
    <t>সাহসের নৌকা ডোবে না</t>
  </si>
  <si>
    <t>Boat of courage never sinks</t>
  </si>
  <si>
    <t>সিংহের লেজ হওয়া থেকে ইঁদুরের/কুকুরের মাথা হওয়া ভাল</t>
  </si>
  <si>
    <t>সিংহের লেজ নয়, ইঁদুরের মাথা</t>
  </si>
  <si>
    <t>বড় হওয়া</t>
  </si>
  <si>
    <t>Better head of dog than tail of lion</t>
  </si>
  <si>
    <t>সিংহ শিকার ধরে, ফেউ এসে ভাগ বসায়</t>
  </si>
  <si>
    <t>সিংহ শিকার করে, শিয়াল ভাগ</t>
  </si>
  <si>
    <t>Lion hunts, jackal shares</t>
  </si>
  <si>
    <t>সিকি পয়সার মা বাপ</t>
  </si>
  <si>
    <t>সিকি পয়সার মা-বাপ</t>
  </si>
  <si>
    <t>Parents of a quarter penny</t>
  </si>
  <si>
    <t>সিকেই তোল</t>
  </si>
  <si>
    <t>সিকি তুলো</t>
  </si>
  <si>
    <t>Lift a quarter</t>
  </si>
  <si>
    <t>সিজারের পত্নী সন্দেহের ঊর্ধ্বে</t>
  </si>
  <si>
    <t>সিজারের স্ত্রী সন্দেহের ঊর্ধ্বে</t>
  </si>
  <si>
    <t>পবিত্র</t>
  </si>
  <si>
    <t>Caesar's wife above suspicion</t>
  </si>
  <si>
    <t>সিধা/সোজা আঙুলে ঘি উঠে না২</t>
  </si>
  <si>
    <t>সোজা আঙুলে ঘি ওঠে না (দ্বিতীয়)</t>
  </si>
  <si>
    <t>বাঁকা পথ</t>
  </si>
  <si>
    <t>No ghee with straight finger</t>
  </si>
  <si>
    <t>ডুপ্লিকেট - id 7689 রাখা হচ্ছে, এই row বাদ দাও।</t>
  </si>
  <si>
    <t>সিন্ধুকের কাছে ধার করা১</t>
  </si>
  <si>
    <t>সিন্ধুকের কাছে ধার</t>
  </si>
  <si>
    <t>নিজের কাছ থেকে</t>
  </si>
  <si>
    <t>Borrow from own chest</t>
  </si>
  <si>
    <t>এই প্রবাদের ডুপ্লিকেট আছে (id: 7691, 7692), এটা রাখো (সবচেয়ে ছোট id)।</t>
  </si>
  <si>
    <t>সিন্ধুকের কাছে ধার (দ্বিতীয়)</t>
  </si>
  <si>
    <t>আত্মনির্ভর</t>
  </si>
  <si>
    <t>Loan from safe</t>
  </si>
  <si>
    <t>ডুপ্লিকেট - id 7691 রাখা হচ্ছে, এই row বাদ দাও।</t>
  </si>
  <si>
    <t>সিন্ধুতে বিন্দু</t>
  </si>
  <si>
    <t>সমুদ্রে বিন্দু</t>
  </si>
  <si>
    <t>Drop in ocean</t>
  </si>
  <si>
    <t>সিদ্ধি খেলে বুদ্ধি বাড় গাঁজা খেলে লক্ষ্মী ছাড়ে</t>
  </si>
  <si>
    <t>সিদ্ধি খেলে বুদ্ধি বাড়ে, গাঁজায় লক্ষ্মী ছাড়ে</t>
  </si>
  <si>
    <t>মাদক</t>
  </si>
  <si>
    <t>Ganja brings wisdom?</t>
  </si>
  <si>
    <t>সিন্নি দেখে এগোয় কোঁৎকা দেখে পেছোয়</t>
  </si>
  <si>
    <t>সিন্নি দেখে এগোয়, লাঠি দেখে পেছোয়</t>
  </si>
  <si>
    <t>Advance for sweets, retreat from stick</t>
  </si>
  <si>
    <t>সুখ যদি কপালে, কাঁথা কেন বগলে</t>
  </si>
  <si>
    <t>সুখ কপালে, কাঁথা কেন</t>
  </si>
  <si>
    <t>If luck, why tattered quilt?</t>
  </si>
  <si>
    <t>সুখস্যানন্তরং দুঃখং দুঃখস্যানন্তরন সুখং</t>
  </si>
  <si>
    <t>সুখের পরে দুঃখ, দুঃখের পরে সুখ</t>
  </si>
  <si>
    <t>After pleasure pain, after pain pleasure</t>
  </si>
  <si>
    <t>সুখ স্বপনে শান্তি শ্মশানে</t>
  </si>
  <si>
    <t>সুখ স্বপ্নে, শান্তি শ্মশানে</t>
  </si>
  <si>
    <t>Happiness in dream, peace in crematorium</t>
  </si>
  <si>
    <t>সুখে থাকতে ভূতে কিলায়১</t>
  </si>
  <si>
    <t>সুখে থাকতে ভূতে কিলায়</t>
  </si>
  <si>
    <t>অকারণ বিপদ</t>
  </si>
  <si>
    <t>In comfort, ghost beats</t>
  </si>
  <si>
    <t>ডুপ্লিকেট - id 525 রাখা হচ্ছে, এই row বাদ দাও।</t>
  </si>
  <si>
    <t>সুখে থাকতে ভূতে কিলায়২</t>
  </si>
  <si>
    <t>সুখে থাকতে ভূতে কিলায় (দ্বিতীয়)</t>
  </si>
  <si>
    <t>Comfort attracts ghosts</t>
  </si>
  <si>
    <t>সুখের ঘরে রূপের বাসা</t>
  </si>
  <si>
    <t>সুখের ঘরে রূপ</t>
  </si>
  <si>
    <t>সুখে সৌন্দর্য</t>
  </si>
  <si>
    <t>Beauty dwells in happy home</t>
  </si>
  <si>
    <t>সুখের চেয়ে/থেকে স্বস্তি ভাল</t>
  </si>
  <si>
    <t>সুখের চেয়ে স্বস্তি ভালো</t>
  </si>
  <si>
    <t>Peace better than pleasure</t>
  </si>
  <si>
    <t>সুখের পায়রা</t>
  </si>
  <si>
    <t>সুখের প্রতীক</t>
  </si>
  <si>
    <t>Pigeon of happiness</t>
  </si>
  <si>
    <t>সূচনা শুভ হলোে অর্ধেক কাজ সম্পন্ন হয়</t>
  </si>
  <si>
    <t>সুজনপিরীত সোনা ভেঙ্গে গড়া যায়, কুজনপিরীত কাঁচ ভাঙ্গিলে ফুরায়</t>
  </si>
  <si>
    <t>সুজনের প্রীতি সোনা, কুজনের প্রীতি কাঁচ</t>
  </si>
  <si>
    <t>Good friendship gold, bad friendship glass</t>
  </si>
  <si>
    <t>সুদিনের বারো ভাই, দুর্দিনের কেউ নাই</t>
  </si>
  <si>
    <t>সুদিনে বারো ভাই, দুর্দিনে কেউ নাই</t>
  </si>
  <si>
    <t>Good days many brothers, bad days none</t>
  </si>
  <si>
    <t>সুদৃঢ়স্যাপি বন্ধস্য পুর্ব্বাবন্ধ্যঃ শ্লথায়তে</t>
  </si>
  <si>
    <t>মজবুত বাঁধনও পুরনো হলে শিথিল</t>
  </si>
  <si>
    <t>Even strong bonds loosen with time</t>
  </si>
  <si>
    <t>সুনাম তিলেতিলে অর্জিত হয় আর একলহমায় নষ্ট হয়</t>
  </si>
  <si>
    <t>সুনাম ধীরে অর্জিত, এক মুহূর্তে নষ্ট</t>
  </si>
  <si>
    <t>খ্যাতি</t>
  </si>
  <si>
    <t>Reputation built slowly, lost quickly</t>
  </si>
  <si>
    <t>সুন্দর ঘোড়া অসুন্দর রঙের হয় না</t>
  </si>
  <si>
    <t>সুন্দর ঘোড়া কুৎসিত রঙের নয়</t>
  </si>
  <si>
    <t>A beautiful horse has no ugly color</t>
  </si>
  <si>
    <t>সুন্দরবনে বাঁদর রাজা</t>
  </si>
  <si>
    <t>সুন্দরবনে বানর রাজা</t>
  </si>
  <si>
    <t>Monkey king in Sundarban</t>
  </si>
  <si>
    <t>সুন্দর মুখের আড়ালে কুৎসিত হৃদয় লুকিয়ে থাকে</t>
  </si>
  <si>
    <t>সুন্দর মুখে কুৎসিত মন</t>
  </si>
  <si>
    <t>Ugly heart behind beautiful face</t>
  </si>
  <si>
    <t>সুন্দর মুখের জয় সর্বত্র</t>
  </si>
  <si>
    <t>Beauty wins everywhere</t>
  </si>
  <si>
    <t>সুন্দর সত্য, সত্য সুন্দর</t>
  </si>
  <si>
    <t>Beauty is truth, truth beauty</t>
  </si>
  <si>
    <t>সুন্দরের পূজারী সুন্দর হয়</t>
  </si>
  <si>
    <t>সুন্দরের পূজারী সুন্দর</t>
  </si>
  <si>
    <t>Worshipper of beauty becomes beautiful</t>
  </si>
  <si>
    <t>সুবিধাবাদীরা বিনয়ী হয়, বিনয়ীরা সুবিধাবাদী নয়</t>
  </si>
  <si>
    <t>সুবিধাবাদী বিনয়ী, বিনয়ী সুবিধাবাদী নয়</t>
  </si>
  <si>
    <t>Opportunists humble, humble not opportunist</t>
  </si>
  <si>
    <t>সুযোগ একবার এসে দ্বারে কড়া নেড়ে চলে যায়, ফিরে আসে না</t>
  </si>
  <si>
    <t>সুযোগ একবার আসে, ফেরে না</t>
  </si>
  <si>
    <t>Opportunity knocks once</t>
  </si>
  <si>
    <t>সুযোগ পেলে সবাই চোর</t>
  </si>
  <si>
    <t>Given chance, all become thieves</t>
  </si>
  <si>
    <t>সুসময়ে অনেকেই বন্ধু বটে হয়, অসময়ে হায় হায় কেহ কারো নয়</t>
  </si>
  <si>
    <t>সুসময়ে বন্ধু, অসময়ে কেউ নয়</t>
  </si>
  <si>
    <t>Many friends in good times, none in bad</t>
  </si>
  <si>
    <t>সুস্থ দেহে সুস্থ মন</t>
  </si>
  <si>
    <t>Healthy body, healthy mind</t>
  </si>
  <si>
    <t>সুঁচ গড়তে পারে না বন্দুকের/শাবলের বায়না নেয়</t>
  </si>
  <si>
    <t>সুঁচ গড়তে পারে না, বন্দুকের বায়না</t>
  </si>
  <si>
    <t>Cannot make needle, takes order for gun</t>
  </si>
  <si>
    <t>সুঁচ চলে না বেটে (মোটা দড়ি) চালায়</t>
  </si>
  <si>
    <t>সুঁচ চলে না, বেটে চালায়</t>
  </si>
  <si>
    <t>Needle doesn't pass, uses thick rope</t>
  </si>
  <si>
    <t>সূঁচ সোহাগা সুজন ভাঙা গড়ে তিনজন</t>
  </si>
  <si>
    <t>সুঁচ, সোহাগা, সুজন ভাঙা গড়ে</t>
  </si>
  <si>
    <t>ভালো</t>
  </si>
  <si>
    <t>Needle, borax, good person repair</t>
  </si>
  <si>
    <t>সূঁচ হয়ে ঢোকে ফাল হয়ে বেরোয়২</t>
  </si>
  <si>
    <t>সুঁচ হয়ে ঢোকে, ফাল হয়ে বেরোয় (দ্বিতীয়)</t>
  </si>
  <si>
    <t>বৃদ্ধি</t>
  </si>
  <si>
    <t>Small in, big out</t>
  </si>
  <si>
    <t>সূর্যের আলোয় চাঁদ লুকায়</t>
  </si>
  <si>
    <t>বড়র কাছে ছোট</t>
  </si>
  <si>
    <t>Moon hides in sunlight</t>
  </si>
  <si>
    <t>সূর্যের চেয়ে বালি গরম/তপ্ত বেশী</t>
  </si>
  <si>
    <t>সূর্যের চেয়ে বালি গরম</t>
  </si>
  <si>
    <t>বেশি</t>
  </si>
  <si>
    <t>Sand hotter than sun</t>
  </si>
  <si>
    <t>সৃষ্টির সবকিছু সুন্দর কিন্তু সকলে সেটা দেখতে পায় না</t>
  </si>
  <si>
    <t>সৃষ্টি সুন্দর, সবাই দেখে না</t>
  </si>
  <si>
    <t>All creation is beautiful, but not all see</t>
  </si>
  <si>
    <t>সেই গাধা জল খায় তবু গাধা ঘুলিয়ে খায়</t>
  </si>
  <si>
    <t>That donkey muddies water</t>
  </si>
  <si>
    <t>সেই তো নথ/মল খসালি তবে কেন লোক হাসালি</t>
  </si>
  <si>
    <t>নথ/মল খুলে ফেলেছ, লোক হাসালে কেন</t>
  </si>
  <si>
    <t>You removed nose ring, why shame?</t>
  </si>
  <si>
    <t>সেইদিন আর এইদিন</t>
  </si>
  <si>
    <t>সেই দিন আর এই দিন</t>
  </si>
  <si>
    <t>Those days and these days</t>
  </si>
  <si>
    <t>সেইদিন আর নাইরে নাতু (নাতি) খাবলা খাবলা খাবা ছাতু</t>
  </si>
  <si>
    <t>সেই দিন আর নেই, নাতু, ছাতু খাবা</t>
  </si>
  <si>
    <t>Those days gone, eat flour</t>
  </si>
  <si>
    <t>সেই ধান সেই চাউল, গিন্নিবিনা আউল-ছাউল</t>
  </si>
  <si>
    <t>একই ধান-চাল, গিন্নি ছাড়া বিশৃঙ্খল</t>
  </si>
  <si>
    <t>গৃহিণী</t>
  </si>
  <si>
    <t>Same rice, no housewife, chaos</t>
  </si>
  <si>
    <t>গৃহস্থালি</t>
  </si>
  <si>
    <t>সেই বুড়ি নাচে কত কাচ কাচে</t>
  </si>
  <si>
    <t>সেই বুড়ি নাচে, কত কাচ কাচে</t>
  </si>
  <si>
    <t>That old woman dances, how much?</t>
  </si>
  <si>
    <t>বিদ্রুপ</t>
  </si>
  <si>
    <t>সেই সবচেয়ে শক্তিশালী যে রাগের সময় নিজেকে সংযত রাখতে পারে</t>
  </si>
  <si>
    <t>রাগে সংযত শক্তিশালী</t>
  </si>
  <si>
    <t>Strongest is one who controls anger</t>
  </si>
  <si>
    <t>সেকরাবাড়ীর বেড়াল টুকটুকনিতে ভয় পায় না</t>
  </si>
  <si>
    <t>সেকরার বেড়াল টুকটুকনিতে ভয় পায় না</t>
  </si>
  <si>
    <t>অভ্যস্ত</t>
  </si>
  <si>
    <t>Carpenter's cat not afraid of saw</t>
  </si>
  <si>
    <t>সেকরার কাছে মেকি চালনো</t>
  </si>
  <si>
    <t>সেকরার কাছে মেকি</t>
  </si>
  <si>
    <t>Fake before carpenter</t>
  </si>
  <si>
    <t>সেকরার টুকটাক কামারের এক ঘা</t>
  </si>
  <si>
    <t>সেকরার অনেক কাজ, কামারের এক ঘা</t>
  </si>
  <si>
    <t>Carpenter's tinkering, blacksmith's one blow</t>
  </si>
  <si>
    <t>সে কহে বিস্তর মিছা যে কহে বিস্তর</t>
  </si>
  <si>
    <t>He who talks much, lies much</t>
  </si>
  <si>
    <t>সে কাল গেছে বয়ে এঁটে কচুঘেচু খেয়ে</t>
  </si>
  <si>
    <t>সে কাল গেছে বয়ে, এঁটে কচুঘেচু খেয়ে</t>
  </si>
  <si>
    <t>That era passed</t>
  </si>
  <si>
    <t>সে গুড়ে বালি</t>
  </si>
  <si>
    <t>কাজে ফাঁকি</t>
  </si>
  <si>
    <t>Sand in that jaggery</t>
  </si>
  <si>
    <t>সেতু পার হতে হলে আগে সেতুর কাছে পৌঁছাও</t>
  </si>
  <si>
    <t>সেতু পার হতে আগে কাছে পৌঁছাও</t>
  </si>
  <si>
    <t>প্রথম পদক্ষেপ</t>
  </si>
  <si>
    <t>To cross bridge, first reach it</t>
  </si>
  <si>
    <t>সেধো ভাত খাবি? না হাত ধুয়ে বসে আছি১</t>
  </si>
  <si>
    <t>সেধো ভাত খাবি? না হাত ধুয়ে বসে</t>
  </si>
  <si>
    <t>Invited rice? I'm ready</t>
  </si>
  <si>
    <t>এই প্রবাদের ডুপ্লিকেট আছে (id: 7743, 7744), এটা রাখো (সবচেয়ে ছোট id)।</t>
  </si>
  <si>
    <t>সেধো ভাত খাবি? না হাত ধুয়ে বসে আছি২</t>
  </si>
  <si>
    <t>সেধো ভাত খাবি? (দ্বিতীয়)</t>
  </si>
  <si>
    <t>Asked for rice, hands washed</t>
  </si>
  <si>
    <t>ডুপ্লিকেট - id 7743 রাখা হচ্ছে, এই row বাদ দাও।</t>
  </si>
  <si>
    <t>সে বড় কঠিন ঠাঁই গুরু শিষ্যে দেখা নেই১</t>
  </si>
  <si>
    <t>সে বড় কঠিন স্থান, গুরু-শিষ্যে দেখা নেই</t>
  </si>
  <si>
    <t>দুর্লভ</t>
  </si>
  <si>
    <t>That's a hard place, guru and disciple never meet</t>
  </si>
  <si>
    <t>এই প্রবাদের ডুপ্লিকেট আছে (id: 7745, 7746), এটা রাখো (সবচেয়ে ছোট id)।</t>
  </si>
  <si>
    <t>সে বড় কঠিন ঠাঁই গুরু শিষ্যে দেখা নেই২</t>
  </si>
  <si>
    <t>সে বড় কঠিন ঠাঁই, গুরুর সাথে দেখা নেই (দ্বিতীয়)</t>
  </si>
  <si>
    <t>Guru and disciple rare</t>
  </si>
  <si>
    <t>ডুপ্লিকেট - id 7745 রাখা হচ্ছে, এই row বাদ দাও।</t>
  </si>
  <si>
    <t>সে রামও নাই, সে অযোধ্যাও নাই</t>
  </si>
  <si>
    <t>সে রাম নেই, সে অযোধ্যা নেই</t>
  </si>
  <si>
    <t>সব শেষ</t>
  </si>
  <si>
    <t>Neither Ram nor Ayodhya</t>
  </si>
  <si>
    <t>সেবকায়ে পুরাতনে</t>
  </si>
  <si>
    <t>সেবক পুরাতন</t>
  </si>
  <si>
    <t>পুরাতন সেবক</t>
  </si>
  <si>
    <t>Old servant</t>
  </si>
  <si>
    <t>সেবক</t>
  </si>
  <si>
    <t>সেয়ানা ঘুঘুর ছা, ফাঁদে দেয় না পা</t>
  </si>
  <si>
    <t>সেয়ানা ঠকলে বাপকেও বলে না</t>
  </si>
  <si>
    <t>If clever is fooled, tells not even father</t>
  </si>
  <si>
    <t>সেয়ানে সেয়ানে কোলাকুলি/মিতালি</t>
  </si>
  <si>
    <t>চতুরে চতুরে কোলাকুলি</t>
  </si>
  <si>
    <t>দুই চতুর</t>
  </si>
  <si>
    <t>Clever and clever embrace</t>
  </si>
  <si>
    <t>সেরকে পশুরি চুরি</t>
  </si>
  <si>
    <t>সের থেকে পশুরি চুরি</t>
  </si>
  <si>
    <t>ছোট চুরি</t>
  </si>
  <si>
    <t>Steal a pound from a seer</t>
  </si>
  <si>
    <t>চুরি</t>
  </si>
  <si>
    <t>সোঁদর বনে বানর রাজা</t>
  </si>
  <si>
    <t>Monkey king in fragrant forest</t>
  </si>
  <si>
    <t>সোজা পা কখনো বাঁকা জুতাকে ডরায় না</t>
  </si>
  <si>
    <t>সোজা পা বাঁকা জুতাকে ভয় পায় না</t>
  </si>
  <si>
    <t>সৎ নির্ভীক</t>
  </si>
  <si>
    <t>Straight foot fears no crooked shoe</t>
  </si>
  <si>
    <t>সোনা বলে জ্ঞান ছিল কলিতে পিতল হলো</t>
  </si>
  <si>
    <t>সোনা ভেবেছিল, কলিতে পিতল</t>
  </si>
  <si>
    <t>Thought gold, turned brass</t>
  </si>
  <si>
    <t>সোনায় সোহাগা</t>
  </si>
  <si>
    <t>ভালোতে ভালো</t>
  </si>
  <si>
    <t>Borax on gold</t>
  </si>
  <si>
    <t>সোনার অঙ্গ কালি হলো</t>
  </si>
  <si>
    <t>সোনার শরীর কালি</t>
  </si>
  <si>
    <t>Gold body stained</t>
  </si>
  <si>
    <t>সোনার আংটি বাঁকা আর সোজা</t>
  </si>
  <si>
    <t>সোনার আংটি বাঁকা তবু সোনা</t>
  </si>
  <si>
    <t>Gold ring bent but gold</t>
  </si>
  <si>
    <t>সোনার উপর মিনের কাজ</t>
  </si>
  <si>
    <t>সোনার উপর মিনা</t>
  </si>
  <si>
    <t>বাড়তি</t>
  </si>
  <si>
    <t>Enamel on gold</t>
  </si>
  <si>
    <t>সোনার ওজন কুঁচের সহিত১</t>
  </si>
  <si>
    <t>সোনার ওজন কুঁচের সাথে</t>
  </si>
  <si>
    <t>অসম</t>
  </si>
  <si>
    <t>Weighing gold with stone</t>
  </si>
  <si>
    <t>এই প্রবাদের ডুপ্লিকেট আছে (id: 7762, 7763), এটা রাখো (সবচেয়ে ছোট id)।</t>
  </si>
  <si>
    <t>সোনার ওজন কুঁচের সহিত২</t>
  </si>
  <si>
    <t>সোনার ওজন কুঁচের সাথে (দ্বিতীয়)</t>
  </si>
  <si>
    <t>Gold weighed with pebble</t>
  </si>
  <si>
    <t>ডুপ্লিকেট - id 7762 রাখা হচ্ছে, এই row বাদ দাও।</t>
  </si>
  <si>
    <t>সোনার জলে গিলটি করা</t>
  </si>
  <si>
    <t>সোনার জলে গিলটি</t>
  </si>
  <si>
    <t>সোনায় সোনা</t>
  </si>
  <si>
    <t>Gild gold</t>
  </si>
  <si>
    <t>সোনার পাথরবাটি</t>
  </si>
  <si>
    <t>Golden stone bowl</t>
  </si>
  <si>
    <t>সোনার লঙ্কা ছারখার</t>
  </si>
  <si>
    <t>সোনার লঙ্কা ধ্বংস</t>
  </si>
  <si>
    <t>Golden Lanka destroyed</t>
  </si>
  <si>
    <t>সোৎসাহানাং নাস্ত্যসাধ্যং নরাণাং</t>
  </si>
  <si>
    <t>উৎসাহীদের কাছে অসাধ্য নেই</t>
  </si>
  <si>
    <t>উৎসাহ</t>
  </si>
  <si>
    <t>Nothing impossible for enthusiastic</t>
  </si>
  <si>
    <t>সৌ সুনার কী এক লোহার কী</t>
  </si>
  <si>
    <t>শত স্বর্ণকারের কাজ এক লোহারের</t>
  </si>
  <si>
    <t>Hundred goldsmiths, one blacksmith</t>
  </si>
  <si>
    <t>এই প্রবাদের ডুপ্লিকেট আছে (id: 7769, 7777), এটা রাখো (সবচেয়ে ছোট id)।</t>
  </si>
  <si>
    <t>সৌজন্যের কাছে সব দরজা খোলা</t>
  </si>
  <si>
    <t>সৌজন্যে সব দরজা খোলে</t>
  </si>
  <si>
    <t>সৌজন্য</t>
  </si>
  <si>
    <t>Courtesy opens all doors</t>
  </si>
  <si>
    <t>সৌজন্যের খরচ নেই, লাভ আছে অনেক</t>
  </si>
  <si>
    <t>সৌজন্যে খরচ নেই</t>
  </si>
  <si>
    <t>Courtesy costs nothing, gains much</t>
  </si>
  <si>
    <t>সৌন্দর্য চামচ দিয়ে খাওয়ার জিনিস নয়</t>
  </si>
  <si>
    <t>সৌন্দর্য খাওয়ার নয়</t>
  </si>
  <si>
    <t>Beauty is not to be eaten</t>
  </si>
  <si>
    <t>সৌন্দর্য ত্বকের গভীরে বিদ্যমান</t>
  </si>
  <si>
    <t>সৌন্দর্য ত্বকের গভীরে</t>
  </si>
  <si>
    <t>অন্তরের</t>
  </si>
  <si>
    <t>Beauty is skin deep</t>
  </si>
  <si>
    <t>সৌভাগ্য পাওয়া সহজ, ধরে রাখা কঠিন</t>
  </si>
  <si>
    <t>সৌভাগ্য সহজে পাওয়া, রাখা কঠিন</t>
  </si>
  <si>
    <t>Fortune easy to gain, hard to keep</t>
  </si>
  <si>
    <t>সৌভাগ্যদেবী সাহসীকে বরণ করে</t>
  </si>
  <si>
    <t>সৌভাগ্য সাহসীকে</t>
  </si>
  <si>
    <t>Fortune favors brave</t>
  </si>
  <si>
    <t>সৌরভে ভ্রমর মজে</t>
  </si>
  <si>
    <t>সৌরভে ভ্রমর</t>
  </si>
  <si>
    <t>Bee attracted by fragrance</t>
  </si>
  <si>
    <t>শত স্বর্ণকার, এক লৌহকার</t>
  </si>
  <si>
    <t>Hundred goldsmiths vs one blacksmith</t>
  </si>
  <si>
    <t>ডুপ্লিকেট - id 7769 রাখা হচ্ছে, এই row বাদ দাও।</t>
  </si>
  <si>
    <t>স্তব্ধস্য বিদ্যা নিস্ফলা</t>
  </si>
  <si>
    <t>স্তব্ধের বিদ্যা নিষ্ফল</t>
  </si>
  <si>
    <t>বিদ্যা</t>
  </si>
  <si>
    <t>Knowledge of silent is fruitless</t>
  </si>
  <si>
    <t>স্তোত্রং কস্য ন তুষ্টয়ে</t>
  </si>
  <si>
    <t>স্তোত্রে কে না তুষ্ট</t>
  </si>
  <si>
    <t>Who isn't pleased by praise?</t>
  </si>
  <si>
    <t>স্ত্রিয়া নাস্তি স্বতন্ত্রতা</t>
  </si>
  <si>
    <t>স্ত্রীর স্বাধীনতা নেই</t>
  </si>
  <si>
    <t>Woman has no independence</t>
  </si>
  <si>
    <t>স্ত্রিয়াশ্চরিত্রং পুরুষস্য ভাগ্যং দেবা না জানন্তি, কুতো মনুষ্যাঃ</t>
  </si>
  <si>
    <t>স্ত্রীর চরিত্র, পুরুষের ভাগ্য দেবতাও জানে না</t>
  </si>
  <si>
    <t>রহস্য</t>
  </si>
  <si>
    <t>Even gods don't know woman's character, man's fate</t>
  </si>
  <si>
    <t>স্ত্রীবুদ্ধিঃ প্রলয়ংকারী</t>
  </si>
  <si>
    <t>স্ত্রীর বুদ্ধি প্রলয়</t>
  </si>
  <si>
    <t>Woman's wit is destructive</t>
  </si>
  <si>
    <t>স্ত্রীভাগ্যে ধন পুরুষভাগ্যে জন</t>
  </si>
  <si>
    <t>স্ত্রীর ভাগ্যে ধন, পুরুষের ভাগ্যে জন</t>
  </si>
  <si>
    <t>Wealth by wife's luck, progeny by husband's</t>
  </si>
  <si>
    <t>স্ত্রীর রুচিবোধকে খাটো করো না যে তোমাকেই প্রথম পছন্দ করেছে</t>
  </si>
  <si>
    <t>স্ত্রীর রুচিকে খাটো নয়</t>
  </si>
  <si>
    <t>Don't belittle wife's taste; she chose you</t>
  </si>
  <si>
    <t>স্ত্রীরত্নং দুস্কুলাদপি</t>
  </si>
  <si>
    <t>স্ত্রীরত্ন নীচকুলেও</t>
  </si>
  <si>
    <t>A gem of a wife even from low family</t>
  </si>
  <si>
    <t>স্ত্রীলোকের আবরণ চরিত্র</t>
  </si>
  <si>
    <t>Woman's veil is character</t>
  </si>
  <si>
    <t>স্ত্রীলোকের লজ্জাই ভূষণ</t>
  </si>
  <si>
    <t>স্ত্রীর লজ্জাই অলংকার</t>
  </si>
  <si>
    <t>Modesty is woman's ornament</t>
  </si>
  <si>
    <t>স্থানস্থিত কাপুরুষোহপি সিংহঃ</t>
  </si>
  <si>
    <t>নিজ স্থানে কাপুরুষও সিংহ</t>
  </si>
  <si>
    <t>স্থান</t>
  </si>
  <si>
    <t>In own place even coward is lion</t>
  </si>
  <si>
    <t>স্নেহ অতি বিষম বস্তু</t>
  </si>
  <si>
    <t>স্নেহ অতি বিষম</t>
  </si>
  <si>
    <t>Affection is a dangerous thing</t>
  </si>
  <si>
    <t>স্পষ্ট কথায় কষ্ট নাই</t>
  </si>
  <si>
    <t>স্পষ্ট কথায় কষ্ট নেই</t>
  </si>
  <si>
    <t>Plain words give no pain</t>
  </si>
  <si>
    <t>স্পষ্ট কথা স্পষ্টাস্পষ্টি বলাই ভাল</t>
  </si>
  <si>
    <t>স্পষ্ট কথা বলা ভালো</t>
  </si>
  <si>
    <t>Better to speak plainly</t>
  </si>
  <si>
    <t>স্পষ্ট কথায় বুদ্ধিমান তুষ্ট, আহাম্মক রুষ্ট</t>
  </si>
  <si>
    <t>স্পষ্ট কথায় জ্ঞানী খুশি, মূর্খ রাগ</t>
  </si>
  <si>
    <t>Plain words please wise, anger fools</t>
  </si>
  <si>
    <t>স্পেডকে স্পেড বল</t>
  </si>
  <si>
    <t>কোদালকে কোদাল বল</t>
  </si>
  <si>
    <t>স্ফুলিঙ্গ থেকে দাবানল সৃষ্টি হয়</t>
  </si>
  <si>
    <t>স্ফুলিঙ্গ থেকে দাবানল</t>
  </si>
  <si>
    <t>ছোট থেকে বড়</t>
  </si>
  <si>
    <t>Sparks make wildfire</t>
  </si>
  <si>
    <t>স্মৃতি সততঃ সুখের১</t>
  </si>
  <si>
    <t>স্মৃতি সবসময় সুখের</t>
  </si>
  <si>
    <t>স্মৃতি</t>
  </si>
  <si>
    <t>Memory is always sweet</t>
  </si>
  <si>
    <t>এই প্রবাদের ডুপ্লিকেট আছে (id: 7796, 7797), এটা রাখো (সবচেয়ে ছোট id)।</t>
  </si>
  <si>
    <t>স্মৃতি সততঃ সুখের২</t>
  </si>
  <si>
    <t>স্মৃতি সবসময় সুখের (দ্বিতীয়)</t>
  </si>
  <si>
    <t>Memory always happy</t>
  </si>
  <si>
    <t>ডুপ্লিকেট - id 7796 রাখা হচ্ছে, এই row বাদ দাও।</t>
  </si>
  <si>
    <t>স্বকর্ম ভোগং কুরুতে জীবং কপালমূলং খলু সর্বদুঃখম</t>
  </si>
  <si>
    <t>নিজ কর্মফল ভোগ করে জীব, কপালই দুঃখের মূল</t>
  </si>
  <si>
    <t>Soul reaps own deeds, fate root of sorrow</t>
  </si>
  <si>
    <t>স্বদেশে পূজ্যতে রাজা বিদ্বান সর্ব্বত্র পূজ্যতে</t>
  </si>
  <si>
    <t>রাজা স্বদেশে, বিদ্বান সর্বত্র</t>
  </si>
  <si>
    <t>King honored at home, scholar everywhere</t>
  </si>
  <si>
    <t>স্বদেশের ঠাকুর ফেলে, বিদেশের কুকুর ভজে</t>
  </si>
  <si>
    <t>নিজ দেশের ঠাকুর ফেলে বিদেশের কুকুর</t>
  </si>
  <si>
    <t>Leaving own god, worship foreign dog</t>
  </si>
  <si>
    <t>স্বধর্মে নিধনং শ্রেয়ঃ পরধর্মো ভয়াবহঃ</t>
  </si>
  <si>
    <t>স্বধর্মে মৃত্যু শ্রেয়, পরধর্ম ভয়ানক</t>
  </si>
  <si>
    <t>স্বধর্ম</t>
  </si>
  <si>
    <t>Better die in own duty, other's duty dangerous</t>
  </si>
  <si>
    <t>স্বনামা পুরুষো ধন্য</t>
  </si>
  <si>
    <t>নিজ নামে পুরুষ ধন্য</t>
  </si>
  <si>
    <t>Blessed is man known by own name</t>
  </si>
  <si>
    <t>স্বপ্ন সেটা নয় যেটা তুমি ঘুমিয়ে দেখো,স্বপ্ন সেটা যেটা তোমায় ঘুমোতে দেয় না।'</t>
  </si>
  <si>
    <t>স্বপ্ন সেটা যা ঘুমোতে দেয় না</t>
  </si>
  <si>
    <t>স্বপ্ন</t>
  </si>
  <si>
    <t>Dream is what keeps you awake</t>
  </si>
  <si>
    <t>স্বপ্নেরও অগোচর</t>
  </si>
  <si>
    <t>Beyond dreams</t>
  </si>
  <si>
    <t>স্বভাব যায় না মলে</t>
  </si>
  <si>
    <t>Nature never dies</t>
  </si>
  <si>
    <t>স্বভাব যায় না মলে ইল্লৎ যায় না ধুলে;</t>
  </si>
  <si>
    <t>স্বভাব মরে না, ইল্লত ধুলে যায় না</t>
  </si>
  <si>
    <t>Habit doesn't die, stain doesn't wash</t>
  </si>
  <si>
    <t>স্বভাবে করে না অভাবে করে</t>
  </si>
  <si>
    <t>স্বভাবে করে না, অভাবে করে</t>
  </si>
  <si>
    <t>Not by nature, by poverty</t>
  </si>
  <si>
    <t>স্বয়ং অসিদ্ধঃ কথং পরাণ্‌ সাধয়েৎ</t>
  </si>
  <si>
    <t>নিজে অসিদ্ধ, অন্যকে কী শেখাবে</t>
  </si>
  <si>
    <t>আত্মসিদ্ধি</t>
  </si>
  <si>
    <t>How can imperfect perfect others?</t>
  </si>
  <si>
    <t>স্বর্গে বাতি দেওয়া১</t>
  </si>
  <si>
    <t>স্বর্গে বাতি দেওয়া</t>
  </si>
  <si>
    <t>Lighting lamp in heaven</t>
  </si>
  <si>
    <t>এই প্রবাদের ডুপ্লিকেট আছে (id: 7810, 7811), এটা রাখো (সবচেয়ে ছোট id)।</t>
  </si>
  <si>
    <t>স্বর্গে বাতি দেওয়া২</t>
  </si>
  <si>
    <t>স্বর্গে বাতি দেওয়া (দ্বিতীয়)</t>
  </si>
  <si>
    <t>বৃথা</t>
  </si>
  <si>
    <t>Lamp to heaven</t>
  </si>
  <si>
    <t>ডুপ্লিকেট - id 7810 রাখা হচ্ছে, এই row বাদ দাও।</t>
  </si>
  <si>
    <t>স্বর্গের দাসত্ব অপেক্ষা নরকের প্রভুত্ব/রাজত্ব ভাল</t>
  </si>
  <si>
    <t>স্বর্গের দাসত্বের চেয়ে নরকের প্রভুত্ব</t>
  </si>
  <si>
    <t>Better rule in hell than serve in heaven</t>
  </si>
  <si>
    <t>স্বল্পাবিদ্যা ভয়ঙ্করী</t>
  </si>
  <si>
    <t>অল্প বিদ্যা ভয়ংকর</t>
  </si>
  <si>
    <t>অল্প জ্ঞান</t>
  </si>
  <si>
    <t>Little knowledge is dangerous</t>
  </si>
  <si>
    <t>স্বাধীনতা-হীনতায় কে বাঁচিতে চায় হে, কে বাঁচিতে চায়</t>
  </si>
  <si>
    <t>স্বাধীনতা ছাড়া কে বাঁচে</t>
  </si>
  <si>
    <t>Who wants to live without freedom</t>
  </si>
  <si>
    <t>স্বামী ভাল হলে স্ত্রী ভালো হয়</t>
  </si>
  <si>
    <t>স্বামী ভালো হলে স্ত্রী ভালো</t>
  </si>
  <si>
    <t>Good husband makes good wife</t>
  </si>
  <si>
    <t>স্বামীর হাতে ধন থাকলে স্ত্রীর নাম লক্ষ্মী</t>
  </si>
  <si>
    <t>স্বামীর হাতে ধন, স্ত্রীর নাম লক্ষ্মী</t>
  </si>
  <si>
    <t>If husband has wealth, wife called Lakshmi</t>
  </si>
  <si>
    <t>স্বার্থমগ্ন যে জন বিমুখ বৃহৎ জগৎ হতে সে কভু শেখেনি বাঁচিতে</t>
  </si>
  <si>
    <t>স্বার্থমগ্ন বড় জগৎ থেকে বিমুখ</t>
  </si>
  <si>
    <t>Selfish never learned to live</t>
  </si>
  <si>
    <t>স্বার্থের টানে জগৎ চলে</t>
  </si>
  <si>
    <t>স্বার্থে জগৎ চলে</t>
  </si>
  <si>
    <t>World runs on self-interest</t>
  </si>
  <si>
    <t>স্বাস্থ্যই সম্পদ</t>
  </si>
  <si>
    <t>Health is wealth</t>
  </si>
  <si>
    <t>স্রোতে গা ঢালা/ স্রোতে ভাসা</t>
  </si>
  <si>
    <t>স্রোতে গা ঢালা</t>
  </si>
  <si>
    <t>অনুকূল</t>
  </si>
  <si>
    <t>Go with the flow</t>
  </si>
  <si>
    <t>হওয়া ছেলে যায় গড়াগড়ি পেটের ছেলের জন্য বালা গড়ি</t>
  </si>
  <si>
    <t>হওয়া ছেলে গড়াগড়ি, পেটের ছেলের জন্য বালা</t>
  </si>
  <si>
    <t>আসন্ন সন্তান</t>
  </si>
  <si>
    <t>Existing child neglected, ornaments for unborn</t>
  </si>
  <si>
    <t>হওয়া ভাতে কাঠি</t>
  </si>
  <si>
    <t>Stick in cooked rice</t>
  </si>
  <si>
    <t>হংসমধ্যে বকো যথা</t>
  </si>
  <si>
    <t>হাঁসের মধ্যে বক</t>
  </si>
  <si>
    <t>Stork among swans</t>
  </si>
  <si>
    <t>হক কথায় আহাম্মক রুষ্ট</t>
  </si>
  <si>
    <t>ন্যায় কথায় মূর্খ রাগ</t>
  </si>
  <si>
    <t>Fool angry at truth</t>
  </si>
  <si>
    <t>হক কথায় দেবতা তুষ্ট, হক কথায় মানুষ রুষ্ট</t>
  </si>
  <si>
    <t>ন্যায় কথায় দেবতা খুশি, মানুষ রাগ</t>
  </si>
  <si>
    <t>Gods pleased by truth, men angry</t>
  </si>
  <si>
    <t>হক কথায় বন্ধু বেজার</t>
  </si>
  <si>
    <t>ন্যায় কথায় বন্ধু বিরক্ত</t>
  </si>
  <si>
    <t>Friend annoyed at truth</t>
  </si>
  <si>
    <t>হতা রূপবতী বন্ধ্যা</t>
  </si>
  <si>
    <t>রূপবতী বন্ধ্যা নষ্ট</t>
  </si>
  <si>
    <t>Beautiful but barren is useless</t>
  </si>
  <si>
    <t>হবচন্দ্র রাজার গবচন্দ্র মন্ত্রী</t>
  </si>
  <si>
    <t>King Habachandra, minister Gabachandra</t>
  </si>
  <si>
    <t>হবুছেলের অন্নপ্রাশন</t>
  </si>
  <si>
    <t>হবু ছেলের অন্নপ্রাশন</t>
  </si>
  <si>
    <t>অসময়ে আয়োজন</t>
  </si>
  <si>
    <t>Rice ceremony for unborn son</t>
  </si>
  <si>
    <t>হ-য-ব-র-ল</t>
  </si>
  <si>
    <t>এলোমেলো</t>
  </si>
  <si>
    <t>All mixed up</t>
  </si>
  <si>
    <t>হয় না-হয় বিয়ে, ঢাক বাজাও গিয়ে</t>
  </si>
  <si>
    <t>বিয়ে হোক বা না হোক, ঢাক বাজাও</t>
  </si>
  <si>
    <t>Whether wedding happens, beat drums</t>
  </si>
  <si>
    <t>হয় যদি তিলটা, কয় তবে তালটা</t>
  </si>
  <si>
    <t>তিল হলে তাল বলে</t>
  </si>
  <si>
    <t>If a sesame, says palm</t>
  </si>
  <si>
    <t>হর চমকনেওয়ালী চিজ সোনা নহি হোতী</t>
  </si>
  <si>
    <t>সব চকচকে জিনিস সোনা নয়</t>
  </si>
  <si>
    <t>হরি ঘোষের গোয়াল</t>
  </si>
  <si>
    <t>অগোছালো</t>
  </si>
  <si>
    <t>Hari Ghosh's cowshed</t>
  </si>
  <si>
    <t>হরিণের শিঙে মাছি বসে না</t>
  </si>
  <si>
    <t>Flies don't sit on deer's antlers</t>
  </si>
  <si>
    <t>হরিনামে খোঁজ নেই স্ফটিকের রাঙা থোপ (গুচ্ছ)</t>
  </si>
  <si>
    <t>হরিনামে খোঁজ নেই, স্ফটিকের রাঙা থোপ</t>
  </si>
  <si>
    <t>No prayer, just bright crystal beads</t>
  </si>
  <si>
    <t>হরি বড় দয়াময়, কথায় বটে কাজে নয়</t>
  </si>
  <si>
    <t>হরি দয়াময়, কিন্তু কথায়</t>
  </si>
  <si>
    <t>Hari merciful in words, not deeds</t>
  </si>
  <si>
    <t>হরি বাঁচান প্রাণ, বৈদ্যের বাড়ে মান</t>
  </si>
  <si>
    <t>হরি বাঁচান, বৈদ্যের মান বাড়ে</t>
  </si>
  <si>
    <t>Hari saves life, doctor gets credit</t>
  </si>
  <si>
    <t>হরি মটর খেয়ে থাকা</t>
  </si>
  <si>
    <t>Living on simple peas</t>
  </si>
  <si>
    <t>হরির খুড়ো মাধাই দাস</t>
  </si>
  <si>
    <t>Hari's uncle Madhai Das</t>
  </si>
  <si>
    <t>হরিষে বিষাদ১</t>
  </si>
  <si>
    <t>আনন্দে বিষাদ</t>
  </si>
  <si>
    <t>মিশ্র</t>
  </si>
  <si>
    <t>Joy then sorrow</t>
  </si>
  <si>
    <t>এই প্রবাদের ডুপ্লিকেট আছে (id: 7844, 7845), এটা রাখো (সবচেয়ে ছোট id)।</t>
  </si>
  <si>
    <t>হরিষে বিষাদ২</t>
  </si>
  <si>
    <t>আনন্দে বিষাদ (দ্বিতীয়)</t>
  </si>
  <si>
    <t>হর্ষ ও বিষাদ</t>
  </si>
  <si>
    <t>Joy and grief</t>
  </si>
  <si>
    <t>ডুপ্লিকেট - id 7844 রাখা হচ্ছে, এই row বাদ দাও।</t>
  </si>
  <si>
    <t>হরিস্মৃতি সর্ববিপদবিনাশিনী</t>
  </si>
  <si>
    <t>হরির স্মৃতি সব বিপদ নাশ</t>
  </si>
  <si>
    <t>Remembrance of Hari destroys all dangers</t>
  </si>
  <si>
    <t>হরিহর আত্মা</t>
  </si>
  <si>
    <t>হরি-হর আত্মা</t>
  </si>
  <si>
    <t>অভিন্ন</t>
  </si>
  <si>
    <t>Hari and Hara one soul</t>
  </si>
  <si>
    <t>হর্তা-কর্তা-বিধাতা</t>
  </si>
  <si>
    <t>সব</t>
  </si>
  <si>
    <t>Destroyer, doer, ordainer</t>
  </si>
  <si>
    <t>হলদে চোখে (=ন্যাবা) সব মন্দ দেখে</t>
  </si>
  <si>
    <t>হলুদ চোখে সব মন্দ</t>
  </si>
  <si>
    <t>দৃষ্টি</t>
  </si>
  <si>
    <t>Jaundiced eye sees all bad</t>
  </si>
  <si>
    <t>হলুদ খেলে রাঙা ছেলে হয় না</t>
  </si>
  <si>
    <t>হলুদ খেলে ফর্সা ছেলে হয় না</t>
  </si>
  <si>
    <t>Eating turmeric doesn't make fair child</t>
  </si>
  <si>
    <t>হলুদ জব্দ শিলে, বউ/ঝি জব্দ কিলে, পাড়াপড়শি জব্দ হয় চোখে আঙুল দিলে</t>
  </si>
  <si>
    <t>হলুদ বাটা শিলে, বউ কিলে, প্রতিবেশী চোখে আঙুলে</t>
  </si>
  <si>
    <t>Grind turmeric, beat wife, point at neighbor</t>
  </si>
  <si>
    <t>হলুদ গুঁড়ো/হলুদের গুঁড়া</t>
  </si>
  <si>
    <t>হলুদের গুঁড়া</t>
  </si>
  <si>
    <t>বিচ্ছিন্ন</t>
  </si>
  <si>
    <t>Turmeric powder</t>
  </si>
  <si>
    <t>হলেও বাঁশ, মলেও বাঁশ১</t>
  </si>
  <si>
    <t>হলেও বাঁশ, মরলেও বাঁশ</t>
  </si>
  <si>
    <t>Bamboo alive or dead</t>
  </si>
  <si>
    <t>এই প্রবাদের ডুপ্লিকেট আছে (id: 7853, 7854), এটা রাখো (সবচেয়ে ছোট id)।</t>
  </si>
  <si>
    <t>হলেও বাঁশ, মলেও বাঁশ২</t>
  </si>
  <si>
    <t>হলেও বাঁশ, মরলেও বাঁশ (দ্বিতীয়)</t>
  </si>
  <si>
    <t>Bamboo in life and death</t>
  </si>
  <si>
    <t>ডুপ্লিকেট - id 7853 রাখা হচ্ছে, এই row বাদ দাও।</t>
  </si>
  <si>
    <t>হয়ত পুত নয়ত ভূত</t>
  </si>
  <si>
    <t>হয় ছেলে নয় ভূত</t>
  </si>
  <si>
    <t>Either son or ghost</t>
  </si>
  <si>
    <t>হাঁ করলেই বোঝা যায়১</t>
  </si>
  <si>
    <t>হাঁ করলেই বোঝা</t>
  </si>
  <si>
    <t>Opening mouth reveals</t>
  </si>
  <si>
    <t>এই প্রবাদের ডুপ্লিকেট আছে (id: 7856, 7857), এটা রাখো (সবচেয়ে ছোট id)।</t>
  </si>
  <si>
    <t>হাঁ করলেই বোঝা যায়২</t>
  </si>
  <si>
    <t>হাঁ করলেই বোঝা (দ্বিতীয়)</t>
  </si>
  <si>
    <t>Open mouth shows</t>
  </si>
  <si>
    <t>ডুপ্লিকেট - id 7856 রাখা হচ্ছে, এই row বাদ দাও।</t>
  </si>
  <si>
    <t>হাঁচি জেটি পড়ে যবে, অষ্টগুণ তার লভ্য না হবে- খনা</t>
  </si>
  <si>
    <t>হাঁচি পড়লে অষ্টগুণ লাভ</t>
  </si>
  <si>
    <t>Sneeze brings eightfold gain</t>
  </si>
  <si>
    <t>হাঁটু জলে ডুবে মরা</t>
  </si>
  <si>
    <t>হাঁটু জলে ডুবে</t>
  </si>
  <si>
    <t>Drown in knee-deep water</t>
  </si>
  <si>
    <t>হাঁড়ি বলে কড়া তুই বেজায় কালা</t>
  </si>
  <si>
    <t>হাঁড়ি কড়াকে বলে কালা</t>
  </si>
  <si>
    <t>Pot calls pan black</t>
  </si>
  <si>
    <t>হাঁড়ির খবর</t>
  </si>
  <si>
    <t>রান্নার খবর</t>
  </si>
  <si>
    <t>News of pot</t>
  </si>
  <si>
    <t>হাঁড়ির ভাত একটা টিপলেই সবার খবর মেলে</t>
  </si>
  <si>
    <t>একটা ভাত টিপলে সবার খবর</t>
  </si>
  <si>
    <t>Press one rice, know all</t>
  </si>
  <si>
    <t>হাঁড়ির মুখের মতো সরা</t>
  </si>
  <si>
    <t>Lid fits pot's mouth</t>
  </si>
  <si>
    <t>হাঁড়ির হাল</t>
  </si>
  <si>
    <t>Condition of pot</t>
  </si>
  <si>
    <t>হাঁসের দলে বক শোভা পায় না</t>
  </si>
  <si>
    <t>হাঁসের দলে বক</t>
  </si>
  <si>
    <t>হা হতোহস্মি</t>
  </si>
  <si>
    <t>হায় আমি মৃত</t>
  </si>
  <si>
    <t>Alas, I'm dead</t>
  </si>
  <si>
    <t>হাঁ মুখে মাছি ঢোকে১</t>
  </si>
  <si>
    <t>হাঁ মুখে মাছি ঢোকে</t>
  </si>
  <si>
    <t>Fly enters open mouth</t>
  </si>
  <si>
    <t>এই প্রবাদের ডুপ্লিকেট আছে (id: 7867, 7868), এটা রাখো (সবচেয়ে ছোট id)।</t>
  </si>
  <si>
    <t>হাঁ মুখে মাছি ঢোকে২</t>
  </si>
  <si>
    <t>হাঁ মুখে মাছি ঢোকে (দ্বিতীয়)</t>
  </si>
  <si>
    <t>সংযত</t>
  </si>
  <si>
    <t>Open mouth invites flies</t>
  </si>
  <si>
    <t>ডুপ্লিকেট - id 7867 রাখা হচ্ছে, এই row বাদ দাও।</t>
  </si>
  <si>
    <t>হাকিম নড়ে তো হুকুম নড়ে না</t>
  </si>
  <si>
    <t>হাকিম বদলায়, হুকুম নয়</t>
  </si>
  <si>
    <t>Judge changes, order doesn't</t>
  </si>
  <si>
    <t>হাগার নাই বাঘার ভয়১</t>
  </si>
  <si>
    <t>হাগার বাঘার ভয় নেই</t>
  </si>
  <si>
    <t>Defecator fears no tiger</t>
  </si>
  <si>
    <t>এই প্রবাদের ডুপ্লিকেট আছে (id: 7870, 7871), এটা রাখো (সবচেয়ে ছোট id)।</t>
  </si>
  <si>
    <t>হাগার নাই বাঘার ভয়২</t>
  </si>
  <si>
    <t>হাগার বাঘার ভয় নেই (দ্বিতীয়)</t>
  </si>
  <si>
    <t>No fear for the weak?</t>
  </si>
  <si>
    <t>ডুপ্লিকেট - id 7870 রাখা হচ্ছে, এই row বাদ দাও।</t>
  </si>
  <si>
    <t>হাগুন্তির লাজ নেই দেখুন্তির লাজ</t>
  </si>
  <si>
    <t>হাগার লজ্জা নেই, দেখার লজ্জা</t>
  </si>
  <si>
    <t>Doer shameless, watcher ashamed</t>
  </si>
  <si>
    <t>হাজার তেল মালিশ করলেও কুত্তার লেজ সোজা হয় না</t>
  </si>
  <si>
    <t>হাজার তেলেও কুকুরের লেজ সোজা নয়</t>
  </si>
  <si>
    <t>Oil cannot straighten dog's tail</t>
  </si>
  <si>
    <t>হাজার বছর ঝরণার জলে নেয়েও নুড়িপাথর রসজ্ঞ হয় না</t>
  </si>
  <si>
    <t>হাজার বছরেও নুড়ি পাথর ভেজে না</t>
  </si>
  <si>
    <t>Pebble never absorbs even after thousand years</t>
  </si>
  <si>
    <t>হাজার বই পড়া থেকে হাজার মাইল হাঁটা ভাল</t>
  </si>
  <si>
    <t>হাজার বইয়ের চেয়ে হাজার মাইল হাঁটা ভালো</t>
  </si>
  <si>
    <t>Walking a thousand miles better than reading a thousand books</t>
  </si>
  <si>
    <t>হাজার মূর্খের চেয়ে একজন বিদ্বান অনেক বেশি কাম্য</t>
  </si>
  <si>
    <t>হাজার মূর্খের চেয়ে একজন বিদ্বান</t>
  </si>
  <si>
    <t>Better one learned than thousand fools</t>
  </si>
  <si>
    <t>হাজারে বেজার নেই</t>
  </si>
  <si>
    <t>No one unhappy among thousand</t>
  </si>
  <si>
    <t>হাটকানা</t>
  </si>
  <si>
    <t>বাজারের অন্ধ</t>
  </si>
  <si>
    <t>Market-blind</t>
  </si>
  <si>
    <t>হাটে কলা নৈবিদ্যায় নমোঃ</t>
  </si>
  <si>
    <t>হাটে কলা, নৈবিদ্যে নমঃ</t>
  </si>
  <si>
    <t>Banana in market, offering to god</t>
  </si>
  <si>
    <t>হাটে হাঁড়ি ভাঙা</t>
  </si>
  <si>
    <t>প্রকাশ্যে</t>
  </si>
  <si>
    <t>Break pot in market</t>
  </si>
  <si>
    <t>হাটে কি দর চাউল, না মামার ভতে আছি</t>
  </si>
  <si>
    <t>হাটে চালের দর, মামার ভাতে</t>
  </si>
  <si>
    <t>Why ask rice price, I eat at uncle's</t>
  </si>
  <si>
    <t>পরনির্ভর</t>
  </si>
  <si>
    <t>হাটেবাজারে লজ্জা নাই ঘরে লজ্জাবতী/ ফুলেরকুঁড়ি</t>
  </si>
  <si>
    <t>হাটে লজ্জা নেই, ঘরে লজ্জাবতী</t>
  </si>
  <si>
    <t>No shame outside, coy at home</t>
  </si>
  <si>
    <t>হাটের দুয়ারে আগড় নাই</t>
  </si>
  <si>
    <t>হাটের দরজায় আগল নেই</t>
  </si>
  <si>
    <t>সবার জন্য খোলা</t>
  </si>
  <si>
    <t>Market has no bar</t>
  </si>
  <si>
    <t>উন্মুক্ততা</t>
  </si>
  <si>
    <t>হাটের নেড়া হুজুগ চায়১</t>
  </si>
  <si>
    <t>হাটের নেড়া হুজুগ চায়</t>
  </si>
  <si>
    <t>হুজুগ</t>
  </si>
  <si>
    <t>Bald one of market loves commotion</t>
  </si>
  <si>
    <t>এই প্রবাদের ডুপ্লিকেট আছে (id: 7884, 7885), এটা রাখো (সবচেয়ে ছোট id)।</t>
  </si>
  <si>
    <t>হাটের নেড়া হুজুগ চায়২</t>
  </si>
  <si>
    <t>হাটের নেড়া হুজুগ চায় (দ্বিতীয়)</t>
  </si>
  <si>
    <t>ভিড়</t>
  </si>
  <si>
    <t>Market bald seeks crowd</t>
  </si>
  <si>
    <t>ডুপ্লিকেট - id 7884 রাখা হচ্ছে, এই row বাদ দাও।</t>
  </si>
  <si>
    <t>হাড় এক ঠাঁই মাস এক ঠাঁই করা</t>
  </si>
  <si>
    <t>হাড় এক জায়গা, মাংস আরেক</t>
  </si>
  <si>
    <t>প্রহার</t>
  </si>
  <si>
    <t>Separate bones from flesh</t>
  </si>
  <si>
    <t>হাড় খাব মাস খাব, চাম দিয়ে ডুগডুগি বাজাব১</t>
  </si>
  <si>
    <t>হাড়-মাংস খাব, চাম দিয়ে ঢোল</t>
  </si>
  <si>
    <t>প্রতিহিংসা</t>
  </si>
  <si>
    <t>Eat flesh, make drum of skin</t>
  </si>
  <si>
    <t>এই প্রবাদের ডুপ্লিকেট আছে (id: 7887, 7888), এটা রাখো (সবচেয়ে ছোট id)।</t>
  </si>
  <si>
    <t>হাড় খাব মাস খাব, চাম দিয়ে ডুগডুগি বাজাব২</t>
  </si>
  <si>
    <t>হাড়-মাংস খেয়ে চামে ঢোল (দ্বিতীয়)</t>
  </si>
  <si>
    <t>Devour flesh, use skin</t>
  </si>
  <si>
    <t>ডুপ্লিকেট - id 7887 রাখা হচ্ছে, এই row বাদ দাও।</t>
  </si>
  <si>
    <t>হাড়পেকের বোঝা</t>
  </si>
  <si>
    <t>ভারী</t>
  </si>
  <si>
    <t>Load of bones</t>
  </si>
  <si>
    <t>হাড়ভাঙা দ</t>
  </si>
  <si>
    <t>হাড়ভাঙা দা</t>
  </si>
  <si>
    <t>Bone-breaking knife</t>
  </si>
  <si>
    <t>হাড়ির ঘরের লক্ষ্মী শুঁড়ির ঘরে যায়</t>
  </si>
  <si>
    <t>হাড়ির ঘরের লক্ষ্মী শুঁড়ির ঘরে</t>
  </si>
  <si>
    <t>Wealth from potter goes to drunkard</t>
  </si>
  <si>
    <t>হাড়ে দূর্বা গজানো১</t>
  </si>
  <si>
    <t>হাড়ে দূর্বা গজানো</t>
  </si>
  <si>
    <t>মৃত</t>
  </si>
  <si>
    <t>Grass on bones</t>
  </si>
  <si>
    <t>এই প্রবাদের ডুপ্লিকেট আছে (id: 7892, 7893), এটা রাখো (সবচেয়ে ছোট id)।</t>
  </si>
  <si>
    <t>হাড়ে দূর্বা গজানো২</t>
  </si>
  <si>
    <t>হাড়ে দূর্বা গজানো (দ্বিতীয়)</t>
  </si>
  <si>
    <t>Bones overgrown</t>
  </si>
  <si>
    <t>ডুপ্লিকেট - id 7892 রাখা হচ্ছে, এই row বাদ দাও।</t>
  </si>
  <si>
    <t>হাড়ে নাড়ে জ্বালানো</t>
  </si>
  <si>
    <t>প্রচণ্ড শাস্তি</t>
  </si>
  <si>
    <t>Burn bones and marrow</t>
  </si>
  <si>
    <t>হাড়ে ভেলকি দেখায়/লাগে</t>
  </si>
  <si>
    <t>হাড়ে ভেলকি</t>
  </si>
  <si>
    <t>Magic in bones</t>
  </si>
  <si>
    <t>হাত আলস্যে গোঁফ নষ্ট১</t>
  </si>
  <si>
    <t>হাত আলস্যে গোঁফ নষ্ট</t>
  </si>
  <si>
    <t>অলসে ক্ষতি</t>
  </si>
  <si>
    <t>Idle hand spoils mustache</t>
  </si>
  <si>
    <t>এই প্রবাদের ডুপ্লিকেট আছে (id: 7896, 7897), এটা রাখো (সবচেয়ে ছোট id)।</t>
  </si>
  <si>
    <t>হাত আলস্যে গোঁফ নষ্ট (দ্বিতীয়)</t>
  </si>
  <si>
    <t>Lazy hand ruins mustache</t>
  </si>
  <si>
    <t>ডুপ্লিকেট - id 7896 রাখা হচ্ছে, এই row বাদ দাও।</t>
  </si>
  <si>
    <t>হাত ছোট আম বড়</t>
  </si>
  <si>
    <t>Short hand, big mango</t>
  </si>
  <si>
    <t>হাত থাকতে মুখোমুখি কেন</t>
  </si>
  <si>
    <t>নিজে কর</t>
  </si>
  <si>
    <t>Why face to face when you have hands?</t>
  </si>
  <si>
    <t>হাত দিয়ে জল গলে/সরে না</t>
  </si>
  <si>
    <t>হাত দিয়ে জল গলে না</t>
  </si>
  <si>
    <t>Water slips through hand</t>
  </si>
  <si>
    <t>হাত দিয়ে হাতি ঠেলা</t>
  </si>
  <si>
    <t>Push elephant with hand</t>
  </si>
  <si>
    <t>হাতি আড় হলে চামচিকেও লাথি মারে</t>
  </si>
  <si>
    <t>হাতি কাদায় পড়লে চামচিকে লাথি</t>
  </si>
  <si>
    <t>বিপদে দুর্বল</t>
  </si>
  <si>
    <t>When elephant slips, bat kicks</t>
  </si>
  <si>
    <t>হাতি ঘোড়া গেল তল, ভেড়া/মশা বলে কত জল১</t>
  </si>
  <si>
    <t>হাতি-ঘোড়া ডুবল, ভেড়া বলে কত জল</t>
  </si>
  <si>
    <t>Elephant-horse sink, sheep asks depth</t>
  </si>
  <si>
    <t>এই প্রবাদের ডুপ্লিকেট আছে (id: 7904, 7905), এটা রাখো (সবচেয়ে ছোট id)।</t>
  </si>
  <si>
    <t>হাতি ঘোড়া গেল তল, ভেড়া/মশা বলে কত জল২</t>
  </si>
  <si>
    <t>হাতি-ঘোড়া ডুবল, মশা বলে কত জল (দ্বিতীয়)</t>
  </si>
  <si>
    <t>তুচ্ছের প্রশ্ন</t>
  </si>
  <si>
    <t>Elephant sinks, mosquito asks</t>
  </si>
  <si>
    <t>ডুপ্লিকেট - id 7904 রাখা হচ্ছে, এই row বাদ দাও।</t>
  </si>
  <si>
    <t>হাতি পাঁকে পড়লে হাতি উদ্ধার করে</t>
  </si>
  <si>
    <t>হাতি কাদায় পড়লে হাতিই তোলে</t>
  </si>
  <si>
    <t>সবলই সাহায্য</t>
  </si>
  <si>
    <t>Only elephant can rescue elephant</t>
  </si>
  <si>
    <t>হাতি বুড়ো হলেও দাঁত দিয়ে মাটি খোঁড়া ছাড়ে না</t>
  </si>
  <si>
    <t>বুড়ো হাতিও দাঁতে মাটি খোঁড়ে</t>
  </si>
  <si>
    <t>Old elephant still digs with tusks</t>
  </si>
  <si>
    <t>হাতি মরলেও লাখ টাকা</t>
  </si>
  <si>
    <t>হাতি মরেও লাখ টাকা</t>
  </si>
  <si>
    <t>Dead elephant worth lakh</t>
  </si>
  <si>
    <t>হাতি কি দাঁত মরদ কি বাত্</t>
  </si>
  <si>
    <t>হাতির দাঁত, মরদের কথা</t>
  </si>
  <si>
    <t>দাঁত ও কথা</t>
  </si>
  <si>
    <t>Elephant's tusk, man's word</t>
  </si>
  <si>
    <t>হাতির কাঁধে আসে যায়, হাম্বা রবে মুর্ছা যায়</t>
  </si>
  <si>
    <t>হাতির কাঁধে ওঠে, হাম্বা রবে মুর্ছা</t>
  </si>
  <si>
    <t>Rides elephant, faints at its cry</t>
  </si>
  <si>
    <t>অতিসংবেদনশীলতা</t>
  </si>
  <si>
    <t>হাতির খাওয়ার দাঁত এক দেখাবার আরেক</t>
  </si>
  <si>
    <t>হাতির খাওয়ার দাঁত এক, দেখাবার আরেক</t>
  </si>
  <si>
    <t>Elephant's eating tusk one, showing another</t>
  </si>
  <si>
    <t>হাতির খোরাক</t>
  </si>
  <si>
    <t>বিপুল</t>
  </si>
  <si>
    <t>Elephant's food</t>
  </si>
  <si>
    <t>হাতির গলায় ঘণ্টা১</t>
  </si>
  <si>
    <t>হাতির গলায় ঘণ্টা</t>
  </si>
  <si>
    <t>Bell on elephant</t>
  </si>
  <si>
    <t>এই প্রবাদের ডুপ্লিকেট আছে (id: 7914, 7915), এটা রাখো (সবচেয়ে ছোট id)।</t>
  </si>
  <si>
    <t>হাতির গলায় ঘণ্টা২</t>
  </si>
  <si>
    <t>হাতির গলায় ঘণ্টা (দ্বিতীয়)</t>
  </si>
  <si>
    <t>ডুপ্লিকেট - id 7914 রাখা হচ্ছে, এই row বাদ দাও।</t>
  </si>
  <si>
    <t>হাতির দর্প চূর্ণ পাহাড়ের কাছে</t>
  </si>
  <si>
    <t>হাতির দর্প পাহাড়ে চূর্ণ</t>
  </si>
  <si>
    <t>বড় শক্তি</t>
  </si>
  <si>
    <t>Elephant's pride broken by mountain</t>
  </si>
  <si>
    <t>হাতির পাঁচ পা দেখা</t>
  </si>
  <si>
    <t>See five legs of elephant</t>
  </si>
  <si>
    <t>হাতির মিনমিন ঘোড়ার দৌড়</t>
  </si>
  <si>
    <t>হাতির মিনমিন, ঘোড়ার দৌড়</t>
  </si>
  <si>
    <t>Elephant's plod, horse's gallop</t>
  </si>
  <si>
    <t>গতি</t>
  </si>
  <si>
    <t>হাতির মুখে দূর্বাঘাস</t>
  </si>
  <si>
    <t>অপ্রতুল</t>
  </si>
  <si>
    <t>Grass in elephant's mouth</t>
  </si>
  <si>
    <t>অপ্রতুলতা</t>
  </si>
  <si>
    <t>হাতে কড়ি পায়ে বল তবে চল/যাই নীলাচল</t>
  </si>
  <si>
    <t>হাতে টাকা, পায়ে বল, তবে নীলাচল</t>
  </si>
  <si>
    <t>Money in hand, strength in feet, then go Puri</t>
  </si>
  <si>
    <t>হাতে কালি মুখে কালি বাছা আমার লিখে এলি</t>
  </si>
  <si>
    <t>হাতে কালি মুখে কালি, লিখে এলি</t>
  </si>
  <si>
    <t>Ink on hands and face, you wrote</t>
  </si>
  <si>
    <t>হাতে জল গলে না</t>
  </si>
  <si>
    <t>আঁটসাঁট</t>
  </si>
  <si>
    <t>Water doesn't slip from hand</t>
  </si>
  <si>
    <t>হাতে দই পাতে দই তবু বলে কই কই</t>
  </si>
  <si>
    <t>হাতে দই, পাতে দই, তবু কই</t>
  </si>
  <si>
    <t>অতৃপ্তি</t>
  </si>
  <si>
    <t>Curd in hand and plate, still asks where</t>
  </si>
  <si>
    <t>হাতে না মেরে ভাতে মারা১</t>
  </si>
  <si>
    <t>হাতে না মেরে ভাতে</t>
  </si>
  <si>
    <t>পরোক্ষ ক্ষতি</t>
  </si>
  <si>
    <t>Hurt through food, not hand</t>
  </si>
  <si>
    <t>এই প্রবাদের ডুপ্লিকেট আছে (id: 7924, 7925), এটা রাখো (সবচেয়ে ছোট id)।</t>
  </si>
  <si>
    <t>হাতে না মেরে ভাতে মারা২</t>
  </si>
  <si>
    <t>হাতে না মেরে ভাতে (দ্বিতীয়)</t>
  </si>
  <si>
    <t>গোপন আঘাত</t>
  </si>
  <si>
    <t>Strike through food</t>
  </si>
  <si>
    <t>ডুপ্লিকেট - id 7924 রাখা হচ্ছে, এই row বাদ দাও।</t>
  </si>
  <si>
    <t>হাতে পাঁজি মঙ্গলবার১</t>
  </si>
  <si>
    <t>হাতে পাঁজি মঙ্গলবার</t>
  </si>
  <si>
    <t>Almanac in hand, Tuesday</t>
  </si>
  <si>
    <t>ডুপ্লিকেট - id 1454 রাখা হচ্ছে, এই row বাদ দাও।</t>
  </si>
  <si>
    <t>হাতে পাঁজি মঙ্গলবার২</t>
  </si>
  <si>
    <t>হাতে পাঁজি মঙ্গলবার (দ্বিতীয়)</t>
  </si>
  <si>
    <t>Almanac ready</t>
  </si>
  <si>
    <t>হাতে পাঁজি মঙ্গলবার৩</t>
  </si>
  <si>
    <t>হাতে পাঁজি মঙ্গলবার (তৃতীয়)</t>
  </si>
  <si>
    <t>Almanac on Tuesday</t>
  </si>
  <si>
    <t>হাতে যদি ফল পাই তবে কেন আঁকুশি চাই১</t>
  </si>
  <si>
    <t>হাতে ফল পেলে আঁকুশি কেন</t>
  </si>
  <si>
    <t>If fruit in hand, why hook?</t>
  </si>
  <si>
    <t>এই প্রবাদের ডুপ্লিকেট আছে (id: 7929, 7930), এটা রাখো (সবচেয়ে ছোট id)।</t>
  </si>
  <si>
    <t>হাতে যদি ফল পাই তবে কেন আঁকুশি চাই২</t>
  </si>
  <si>
    <t>হাতে ফল পেলে আঁকুশি কেন (দ্বিতীয়)</t>
  </si>
  <si>
    <t>No need hook if fruit at hand</t>
  </si>
  <si>
    <t>ডুপ্লিকেট - id 7929 রাখা হচ্ছে, এই row বাদ দাও।</t>
  </si>
  <si>
    <t>হাতের একটি পাখি বনের দুটি পাখির সমান</t>
  </si>
  <si>
    <t>হাতের এক পাখি বনের দুই পাখির সমান</t>
  </si>
  <si>
    <t>নিশ্চিত</t>
  </si>
  <si>
    <t>A bird in hand worth two in bush</t>
  </si>
  <si>
    <t>হাতের ঢিল, ছুঁড়লে ফেরে না</t>
  </si>
  <si>
    <t>হাতের ঢিল ফেরে না</t>
  </si>
  <si>
    <t>A thrown stone never returns</t>
  </si>
  <si>
    <t>হাতের পাঁচ</t>
  </si>
  <si>
    <t>আঙুল</t>
  </si>
  <si>
    <t>Five fingers</t>
  </si>
  <si>
    <t>হাতের পাঁচটা আঙুল সমান নয়</t>
  </si>
  <si>
    <t>হাতের পাঁচ আঙুল সমান নয়</t>
  </si>
  <si>
    <t>ভিন্নতা</t>
  </si>
  <si>
    <t>Five fingers not equal</t>
  </si>
  <si>
    <t>হাতের লক্ষ্মী পায়ে ঠেলা</t>
  </si>
  <si>
    <t>Kick own wealth</t>
  </si>
  <si>
    <t>হাতের শাঁখা আয়নায় দেখা</t>
  </si>
  <si>
    <t>See own bangle in mirror</t>
  </si>
  <si>
    <t>আত্মদর্শন</t>
  </si>
  <si>
    <t>হাতেরও যাবে পাতেরও যাবে</t>
  </si>
  <si>
    <t>হাতেও যাবে, পাতেও যাবে</t>
  </si>
  <si>
    <t>দুই দিক ক্ষতি</t>
  </si>
  <si>
    <t>Lose both hand and plate</t>
  </si>
  <si>
    <t>হাভাতের দুনো গ্রাস</t>
  </si>
  <si>
    <t>হাভাতের দ্বিগুণ গ্রাস</t>
  </si>
  <si>
    <t>Double morsel for hungry</t>
  </si>
  <si>
    <t>হাম ছোড়া লেকিন কমলি ছোড়তা নেহি</t>
  </si>
  <si>
    <t>আমি ছাড়ি কিন্তু কমলি ছাড়ে না</t>
  </si>
  <si>
    <t>I try to leave, habit clings</t>
  </si>
  <si>
    <t>হায়রে আমড়া কেবল আঁটি আর চামড়া১</t>
  </si>
  <si>
    <t>আমড়া শুধু আঁটি ও চামড়া</t>
  </si>
  <si>
    <t>অসার</t>
  </si>
  <si>
    <t>Alas amra only seed and skin</t>
  </si>
  <si>
    <t>এই প্রবাদের ডুপ্লিকেট আছে (id: 7940, 7941), এটা রাখো (সবচেয়ে ছোট id)।</t>
  </si>
  <si>
    <t>হায়রে আমড়া কেবল আঁটি আর চামড়া২</t>
  </si>
  <si>
    <t>আমড়া শুধু আঁটি ও চামড়া (দ্বিতীয়)</t>
  </si>
  <si>
    <t>মূল্যহীন</t>
  </si>
  <si>
    <t>Amra fruit all seed and peel</t>
  </si>
  <si>
    <t>ডুপ্লিকেট - id 7940 রাখা হচ্ছে, এই row বাদ দাও।</t>
  </si>
  <si>
    <t>হারামের পয়সায় আরাম নেই</t>
  </si>
  <si>
    <t>হারাম টাকায় আরাম নেই</t>
  </si>
  <si>
    <t>অসৎ</t>
  </si>
  <si>
    <t>Ill-gotten money gives no comfort</t>
  </si>
  <si>
    <t>হারায়ে মারায়ে কাশ্যপ গোত্র</t>
  </si>
  <si>
    <t>হারিয়ে মেরে কাশ্যপ গোত্র</t>
  </si>
  <si>
    <t>Losing and beating, still Kashyap</t>
  </si>
  <si>
    <t>হাল ছেড়ে দেওয়া</t>
  </si>
  <si>
    <t>নিরাশ</t>
  </si>
  <si>
    <t>Give up helm</t>
  </si>
  <si>
    <t>হতাশা</t>
  </si>
  <si>
    <t>হাল যদি ধরি ঠেসে, যায় কি তরী তুফানে ভেসে?</t>
  </si>
  <si>
    <t>হাল শক্ত করে ধরলে তুফানে কি যায়</t>
  </si>
  <si>
    <t>Hold helm tight, boat won't sink in storm</t>
  </si>
  <si>
    <t>হালে পানি পাওয়া</t>
  </si>
  <si>
    <t>Get water in helm</t>
  </si>
  <si>
    <t>হালে পানি পায় না</t>
  </si>
  <si>
    <t>অসুবিধা</t>
  </si>
  <si>
    <t>No water in helm</t>
  </si>
  <si>
    <t>হালে বয় না, তেড়ে গুঁতোয়</t>
  </si>
  <si>
    <t>হালে চলে না, গুঁতোয়</t>
  </si>
  <si>
    <t>একরোখা</t>
  </si>
  <si>
    <t>Doesn't row, but butts</t>
  </si>
  <si>
    <t>হাসতে হাসতে কপালে ব্যথা</t>
  </si>
  <si>
    <t>Laugh till forehead aches</t>
  </si>
  <si>
    <t>হাসিও পায় দুঃখও ধরে এমন কথা বলি কারে</t>
  </si>
  <si>
    <t>হাসি-দুঃখ মিশ্রিত</t>
  </si>
  <si>
    <t>Mixed laugh and tears, whom to tell</t>
  </si>
  <si>
    <t>হিতং মনোহারি চ দুর্লভং বচঃ</t>
  </si>
  <si>
    <t>হিত ও মনোহর বাক্য দুর্লভ</t>
  </si>
  <si>
    <t>Words both beneficial and pleasant are rare</t>
  </si>
  <si>
    <t>হিতে বিপরীত</t>
  </si>
  <si>
    <t>ভালোতে খারাপ</t>
  </si>
  <si>
    <t>Opposite of good</t>
  </si>
  <si>
    <t>ডুপ্লিকেট - id 69 রাখা হচ্ছে, এই row বাদ দাও।</t>
  </si>
  <si>
    <t>হিসাবের গরু বাঘে খায় না</t>
  </si>
  <si>
    <t>হিসাবের গরু বাঘে নেয় না</t>
  </si>
  <si>
    <t>হিসাব</t>
  </si>
  <si>
    <t>Counted cow not eaten by tiger</t>
  </si>
  <si>
    <t>হীনসেবা ন কর্ত্তব্যা কর্ত্তব্যো মহোদাশ্রয়</t>
  </si>
  <si>
    <t>নীচের সেবা নয়, মহতের আশ্রয়</t>
  </si>
  <si>
    <t>Don't serve lowly, seek great refuge</t>
  </si>
  <si>
    <t>হীয়তে হি মতিস্তাত হীনৈসহ সমাগমাৎ</t>
  </si>
  <si>
    <t>নীচের সঙ্গেতে মতি হ্রাস</t>
  </si>
  <si>
    <t>Intellect diminishes with low company</t>
  </si>
  <si>
    <t>হুঁ হুঁ দেয়ং, হাঁ হাঁ দেয়ং দেয়ঞ্চ শিরশ্চালনে; হস্ত চালনে দেয়ং, না দেয়ং ব্যাঘ্রঝম্পটে</t>
  </si>
  <si>
    <t>হুঁ হুঁতে দেয়, হাঁ হাঁতে দেয়, মাথা নাড়ে, হাত নাড়ে, বাঘের ঝাপটে নয়</t>
  </si>
  <si>
    <t>Give on request, nod, wave, but not to tiger</t>
  </si>
  <si>
    <t>হুঁচোট/হুচোট/হোঁচট খেয়ে প্রণাম</t>
  </si>
  <si>
    <t>হোঁচট খেয়ে প্রণাম</t>
  </si>
  <si>
    <t>ভুলে সম্মান</t>
  </si>
  <si>
    <t>Stumble and bow</t>
  </si>
  <si>
    <t>ছলনা</t>
  </si>
  <si>
    <t>হুকুমে হাকিম চলে</t>
  </si>
  <si>
    <t>Magistrate runs by order</t>
  </si>
  <si>
    <t>হুজুর মা বাপ, আমরা সব শুয়োর-কা-বাচ্চা</t>
  </si>
  <si>
    <t>হুজুর মা-বাপ, আমরা শুয়োরের বাচ্চা</t>
  </si>
  <si>
    <t>আত্মনিন্দা</t>
  </si>
  <si>
    <t>Master is parent, we are piglets</t>
  </si>
  <si>
    <t>হুজুরের মজুর ভাল</t>
  </si>
  <si>
    <t>দাসত্ব</t>
  </si>
  <si>
    <t>Master's wage is good</t>
  </si>
  <si>
    <t>হুজ্জতে বঙ্গাল, হিকমতে চীন</t>
  </si>
  <si>
    <t>তর্কে বাঙালি, কৌশলে চীন</t>
  </si>
  <si>
    <t>Bengali in argument, Chinese in trick</t>
  </si>
  <si>
    <t>হৃদয় দিয়ে মানুষ যেমন ভাবে তার প্রকৃতিও তেমন হয়</t>
  </si>
  <si>
    <t>হৃদয়ের ভাব প্রকৃতি</t>
  </si>
  <si>
    <t>As heart feels, so character</t>
  </si>
  <si>
    <t>হেলাস্যাৎ কার্যনাশায় বুদ্ধিনাশায় নির্ধনম্</t>
  </si>
  <si>
    <t>অবহেলায় কাজ নষ্ট, দারিদ্র্যে বুদ্ধি</t>
  </si>
  <si>
    <t>Neglect ruins work, poverty ruins sense</t>
  </si>
  <si>
    <t>হেলে ধরতে পারে না কেউটে ধরতে যায়</t>
  </si>
  <si>
    <t>হেলে ধরতে পারে না, কেউটে ধরতে</t>
  </si>
  <si>
    <t>Can't catch non-venomous, goes for cobra</t>
  </si>
  <si>
    <t>হেসে খেলে নাও দুদিন বইতো নয়, কে জানে কখন কার সন্ধ্যা হয়</t>
  </si>
  <si>
    <t>হেসে খেলে নাও, জীবন ছোট</t>
  </si>
  <si>
    <t>Enjoy life, who knows when end</t>
  </si>
  <si>
    <t>হেসে চাকি পাটে বসে সে বছর শস্য নয় মোটে- খনা</t>
  </si>
  <si>
    <t>হেসে চাকি পাটে বসলে শস্য নষ্ট</t>
  </si>
  <si>
    <t>Sit laughing on grinding stone, no crop</t>
  </si>
  <si>
    <t>হেসে হেসে কথা কয় এ হাসি তো ভাল নয়</t>
  </si>
  <si>
    <t>হাসতে হাসতে কথা বলে, হাসি ভালো নয়</t>
  </si>
  <si>
    <t>Smiling talk, not good</t>
  </si>
  <si>
    <t>হোঁচট খেয়ে পদ্মনাভ/ প্রণাম</t>
  </si>
  <si>
    <t>ভুলে ভক্তি</t>
  </si>
  <si>
    <t>হোঁতা (থোতা) মুখ ভোঁতা হলো</t>
  </si>
  <si>
    <t>থোঁতা মুখ ভোঁতা</t>
  </si>
  <si>
    <t>দম্ভ চূর্ণ</t>
  </si>
  <si>
    <t>Protruding mouth blunted</t>
  </si>
  <si>
    <t>হোক-না-কেন কাঠের বিড়াল ইঁদুর ধরতে পারলেই হলো</t>
  </si>
  <si>
    <t>কাঠের বিড়াল হলেও ইঁদুর ধরলে</t>
  </si>
  <si>
    <t>Even wooden cat, if catches mice</t>
  </si>
  <si>
    <t>হোদল বনে শিয়াল রাজা</t>
  </si>
  <si>
    <t>Jackal king in bushes</t>
  </si>
  <si>
    <t>হোমারও সময়সময় মাথা নোয়ান</t>
  </si>
  <si>
    <t>হোমারও মাথা নোয়ান</t>
  </si>
  <si>
    <t>জ্ঞানীও ভুল</t>
  </si>
  <si>
    <t>Even Homer nods</t>
  </si>
  <si>
    <t>হোসেনশাহর আমল</t>
  </si>
  <si>
    <t>হোসেনশাহর সময়</t>
  </si>
  <si>
    <t>Hussain Shah's era</t>
  </si>
  <si>
    <t>হ্যাঁ ও না সবথেকে ছোট দুইকথা বলতে সবচেয়ে বেশি সময় লাগে</t>
  </si>
  <si>
    <t>হ্যাঁ-না বলতে সময় লাগে</t>
  </si>
  <si>
    <t>সিদ্ধান্ত</t>
  </si>
  <si>
    <t>Yes and no take longest</t>
  </si>
  <si>
    <t>হ্যাপায় পড়ে স্রোতে ভাসা১</t>
  </si>
  <si>
    <t>হ্যাপায় পড়ে স্রোতে ভাসা</t>
  </si>
  <si>
    <t>Drift in current when helpless</t>
  </si>
  <si>
    <t>এই প্রবাদের ডুপ্লিকেট আছে (id: 7975, 7976), এটা রাখো (সবচেয়ে ছোট id)।</t>
  </si>
  <si>
    <t>হ্যাপায় পড়ে স্রোতে ভাসা২</t>
  </si>
  <si>
    <t>হ্যাপায় পড়ে স্রোতে ভাসা (দ্বিতীয়)</t>
  </si>
  <si>
    <t>নিয়তি</t>
  </si>
  <si>
    <t>Float with tide in trouble</t>
  </si>
  <si>
    <t>ডুপ্লিকেট - id 7975 রাখা হচ্ছে, এই row বাদ দাও।</t>
  </si>
  <si>
    <t>যদি নাচতে না জানো, তবে উঠোন বাঁকা</t>
  </si>
  <si>
    <t>নিজের অক্ষমতার জন্য অন্যকে বা পরিবেশকে দোষ দেওয়া।</t>
  </si>
  <si>
    <t>A bad workman quarrels with his tools</t>
  </si>
  <si>
    <t>অক্ষম ব্যক্তি</t>
  </si>
  <si>
    <t>ব্যক্তিগত দোষ/অক্ষমতা</t>
  </si>
  <si>
    <t>যত গর্জন করে তত বৃষ্টি হয় না</t>
  </si>
  <si>
    <t>বেশি আওয়াজ বা ভয় দেখালে কাজ হয় না; যে বেশি হুমকি দেয় সে আসলে তেমন কিছু করে না।</t>
  </si>
  <si>
    <t>A barking dog never or seldom bites</t>
  </si>
  <si>
    <t>ধাম্মিক/হুমকিদাতা</t>
  </si>
  <si>
    <t>নেংটার নেই বাটপাড়ের ভয়</t>
  </si>
  <si>
    <t>নেংটার (উলঙ্গ) বাটপাড়ের (পকেটমার) ভয় নেই</t>
  </si>
  <si>
    <t>যার কিছুই নেই, তার হারানোর কিছু নেই; নির্ভীক।</t>
  </si>
  <si>
    <t>A beggar may sing before a pick-pocket</t>
  </si>
  <si>
    <t>দরিদ্র/নির্ধন</t>
  </si>
  <si>
    <t>হাতের জিনিস ফেলে দূরের জিনিস নিতে নেই</t>
  </si>
  <si>
    <t>হাতে যা আছে তা ফেলে দিয়ে দূরের জিনিস নেওয়া উচিত নয়</t>
  </si>
  <si>
    <t>নিশ্চিত ও হাতে পাওয়া জিনিসকে অনিশ্চিত ও দূরের জিনিসের জন্য ত্যাগ করা উচিত নয়।</t>
  </si>
  <si>
    <t>A bird in the hand is worth two in the bush</t>
  </si>
  <si>
    <t>সুযোগবাদী/অধৈর্য ব্যক্তি</t>
  </si>
  <si>
    <t>বিনা মেঘে বজ্রপাত</t>
  </si>
  <si>
    <t>মেঘ ছাড়া বজ্রপাত</t>
  </si>
  <si>
    <t>অপ্রত্যাশিত, আকস্মিক বিপদ বা দুর্ঘটনা।</t>
  </si>
  <si>
    <t>A bolt from the blue</t>
  </si>
  <si>
    <t>ঘটনা/পরিস্থিতি</t>
  </si>
  <si>
    <t>তর্জনকারী বা ষন্ডা সব সময়ই কাপুরুষ</t>
  </si>
  <si>
    <t>যে হুমকি দেয় বা ধমক দেয়, সে সব সময় কাপুরুষ</t>
  </si>
  <si>
    <t>যারা বেশি বড়াই বা হুমকি দেয়, তারা প্রকৃতপক্ষে সাহসী নয়, বরং কাপুরুষ।</t>
  </si>
  <si>
    <t>A bully is always a coward</t>
  </si>
  <si>
    <t>পুরুষ (ষন্ডা)</t>
  </si>
  <si>
    <t>লিঙ্গ (পুরুষ)</t>
  </si>
  <si>
    <t>ঘর-পোড়া গরু সিন্দুরে মেঘ দেখলে ভয় পায়</t>
  </si>
  <si>
    <t>যে গরুর ঘর পুড়েছে, সে সিন্দুর রঙের মেঘ দেখলেও ভয় পায়</t>
  </si>
  <si>
    <t>যে একবার বিপদে পড়েছে, সে সামান্য আভাস পেলেও সতর্ক বা ভীত হয়।</t>
  </si>
  <si>
    <t>A burnt child dreads the fire or Once bitten, twice shy</t>
  </si>
  <si>
    <t>বিপদগ্রস্ত ব্যক্তি</t>
  </si>
  <si>
    <t>কই মাছের প্রাণ বড়ই শক্ত</t>
  </si>
  <si>
    <t>কই মাছের প্রাণ অত্যন্ত শক্ত</t>
  </si>
  <si>
    <t>কারও বাঁচার বা টিকে থাকার শক্তি অত্যন্ত প্রবল; সহজে মরে না।</t>
  </si>
  <si>
    <t>A cat has nine lives</t>
  </si>
  <si>
    <t>কঠিন/অটুট ব্যক্তি</t>
  </si>
  <si>
    <t>ব্যক্তিত্ব/শক্তি</t>
  </si>
  <si>
    <t>নিজের চরকায় তেল দেয়া</t>
  </si>
  <si>
    <t>অন্যের কাজে মাথা না ঘামিয়ে নিজের কাজে মনোযোগ দেয়া</t>
  </si>
  <si>
    <t>Oil your own wheel</t>
  </si>
  <si>
    <t>পড়েছি মোগলের হাতে খানা খেতে হবে সাথে</t>
  </si>
  <si>
    <t>বিপদে পড়ে কাজ করা</t>
  </si>
  <si>
    <t>Needs must when the devil drives</t>
  </si>
  <si>
    <t>চোর না শুনে ধর্মের কাহিনী</t>
  </si>
  <si>
    <t>অসাধুকে উপদেশ দিয়ে সৎ করা যায় না</t>
  </si>
  <si>
    <t>A rogue is deaf to all good</t>
  </si>
  <si>
    <t>অসৎ ব্যক্তি</t>
  </si>
  <si>
    <t xml:space="preserve">উপকারী গাছের ছাল থাকে না </t>
  </si>
  <si>
    <t>মানুষের উপকার করলে বিপদে পরতে হয়</t>
  </si>
  <si>
    <t>To be good is to be abused</t>
  </si>
  <si>
    <t>উপকারী ব্যক্তি</t>
  </si>
  <si>
    <t>সময়ের এক ফোড় অসময়ের দশ ফোড়</t>
  </si>
  <si>
    <t>কাজ জমিয়ে রাখলে পরবর্তীতে পরিশ্রম ও কষ্ট বহু গুণে বেড়ে যায়</t>
  </si>
  <si>
    <t>সময়ানুবর্তিতা</t>
  </si>
  <si>
    <t>একটা সুন্দর শুরু কোন কাজের অর্ধেক সাফল্য এনে দেয়/ যুদ্ধের শুরু ভালো মানে অর্ধেক বিজয়।</t>
  </si>
  <si>
    <t>একটি সুন্দর শুরু একটি কাজের অর্ধেক সাফল্য</t>
  </si>
  <si>
    <t>কাজের শুরু যদি ভালো হয়, তাহলে বাকি অর্ধেক সহজে সম্পন্ন করা যায়।</t>
  </si>
  <si>
    <t>A good beginning is half the battle</t>
  </si>
  <si>
    <t>সুযোগবাদী ব্যক্তি</t>
  </si>
  <si>
    <t>সাফল্য/অধ্যবসায়</t>
  </si>
  <si>
    <t>স্বামী ভালো হলে স্ত্রীও ভালো হয় ।</t>
  </si>
  <si>
    <t>স্বামী ভালো হলে স্ত্রীও ভালো হয়</t>
  </si>
  <si>
    <t>স্ত্রীর গুণ বা দোষ স্বামীর আচরণ ও চরিত্রের প্রতিফলন।</t>
  </si>
  <si>
    <t>A good husband makes a good wife</t>
  </si>
  <si>
    <t>স্বামী/স্ত্রী</t>
  </si>
  <si>
    <t>লিঙ্গ/বৈবাহিক সম্পর্ক</t>
  </si>
  <si>
    <t>স্বামী ভালো হলে স্ত্রীও ভালো হয়।</t>
  </si>
  <si>
    <t>A good jack makes a good jill</t>
  </si>
  <si>
    <t>সেয়ানে সেয়ানে কোলাকুলি।</t>
  </si>
  <si>
    <t>চালাকের সাথে চালাকের কোলাকুলি</t>
  </si>
  <si>
    <t>সমান ক্ষমতা ও বুদ্ধির মানুষেরাই একে অপরের সঙ্গ খোঁজে।</t>
  </si>
  <si>
    <t>A Greek meeting a Greek</t>
  </si>
  <si>
    <t>বুদ্ধিমান ব্যক্তি</t>
  </si>
  <si>
    <t>বুদ্ধি/প্রতিভা</t>
  </si>
  <si>
    <t>বাড়ন্তরা অনেক খায়।</t>
  </si>
  <si>
    <t>বাড়ন্ত বয়সের মানুষেরা অনেক খায়</t>
  </si>
  <si>
    <t>অল্প বয়সে শরীরের বৃদ্ধির জন্য বেশি খাদ্যের প্রয়োজন হয়।</t>
  </si>
  <si>
    <t>A growing youth has a wolf in his belly</t>
  </si>
  <si>
    <t>তরুণ/কিশোর</t>
  </si>
  <si>
    <t>ঠিক আছে, valence/target/meaning সামঞ্জস্যপূর্ণ মনে হচ্ছে।</t>
  </si>
  <si>
    <t>অনুতপ্ত হলে অভিযোগকারীর প্রয়োজন নেই।</t>
  </si>
  <si>
    <t>অনুতপ্ত হলে অন্য অভিযোগকারীর প্রয়োজন নেই</t>
  </si>
  <si>
    <t>অপরাধ স্বীকার করলে অন্যে দোষারোপ না করলেও চলে।</t>
  </si>
  <si>
    <t>A guilty conscience needs no accuser</t>
  </si>
  <si>
    <t>অপরাধী ব্যক্তি</t>
  </si>
  <si>
    <t>ঠাকুর ঘরে কে, আমি তো কলা খাইনি।</t>
  </si>
  <si>
    <t>ঠাকুরের ঘরে কে আছেন, আমি তো কলা খাইনি</t>
  </si>
  <si>
    <t>নির্দোষ থাকলেও অন্যায়ভাবে সন্দেহের শিকার হওয়া।</t>
  </si>
  <si>
    <t>A guilty mind is always suspicious</t>
  </si>
  <si>
    <t>নির্দোষ ব্যক্তি</t>
  </si>
  <si>
    <t>বিচার/সন্দেহ</t>
  </si>
  <si>
    <t>পকেটে টাকা থাকলে মনও ভালো থাকে।</t>
  </si>
  <si>
    <t>পকেটে টাকা থাকলে মন ভালো থাকে</t>
  </si>
  <si>
    <t>অর্থ থাকলে মানসিক শান্তি ও আত্মবিশ্বাস বাড়ে।</t>
  </si>
  <si>
    <t>A heavy purse makes a light heart</t>
  </si>
  <si>
    <t>ধনী ব্যক্তি</t>
  </si>
  <si>
    <t>একাই একশো।</t>
  </si>
  <si>
    <t>একজন লোকই একশো জনের সমান</t>
  </si>
  <si>
    <t>একজন দক্ষ ও ক্ষমতাশালী ব্যক্তি বহু মানুষের সমান।</t>
  </si>
  <si>
    <t>A host in himself</t>
  </si>
  <si>
    <t>ক্ষমতাশালী ব্যক্তি</t>
  </si>
  <si>
    <t>ব্যক্তিত্ব/সক্ষমতা</t>
  </si>
  <si>
    <t>বিদুরের খুদ ।</t>
  </si>
  <si>
    <t>বিদুরের খুদ (খাবার)</t>
  </si>
  <si>
    <t>অল্প কিছু দিয়েও আন্তরিকতা দেখানো যায়।</t>
  </si>
  <si>
    <t>A humble gift made by a poor man with a sincere heart</t>
  </si>
  <si>
    <t>দরিদ্র/আন্তরিক ব্যক্তি</t>
  </si>
  <si>
    <t>target 'দরিদ্র/আন্তরিক ব্যক্তি' দুটো ভিন্ন গুণ এক ঘরে বসানো, আলাদা করার কথা ভাবো।</t>
  </si>
  <si>
    <t>খিদের জ্বালায় মাথা ঠিক থাকে না ।</t>
  </si>
  <si>
    <t>ক্ষুধার জ্বালায় মাথা ঠিক থাকে না</t>
  </si>
  <si>
    <t>ক্ষুধা থাকলে মানুষের চিন্তা-শক্তি ও বিচার-বুদ্ধি ঠিক থাকে না।</t>
  </si>
  <si>
    <t>A hungry fox is an angry fox</t>
  </si>
  <si>
    <t>ক্ষুধার্ত ব্যক্তি</t>
  </si>
  <si>
    <t>ভাগাড়ে গরু মরে, শুকুনির টনক নড়ে।</t>
  </si>
  <si>
    <t>ভাগাড়ে গরু মারা গেলে শকুনেরা টের পায়</t>
  </si>
  <si>
    <t>মৃত বা দুর্বলের সুযোগ নেয় শক্তিশালী বা লোভীরা।</t>
  </si>
  <si>
    <t>A hungry kite sees a dead horse afar</t>
  </si>
  <si>
    <t>লোভী/সুযোগবাদী ব্যক্তি</t>
  </si>
  <si>
    <t>target 'লোভী/সুযোগবাদী ব্যক্তি' দুটো কাছাকাছি হলেও একসাথে বসানো, একটাই যথেষ্ট।</t>
  </si>
  <si>
    <t>নেবু কচলালে তেতো হয়।</t>
  </si>
  <si>
    <t>নেবু কচলে তেতো হয়</t>
  </si>
  <si>
    <t>অপ্রয়োজনীয় চাপ বা টানাটানি করলে পরিস্থিতি খারাপ হয়।</t>
  </si>
  <si>
    <t>A jest driven hard loses its point</t>
  </si>
  <si>
    <t>অধৈর্য ব্যক্তি</t>
  </si>
  <si>
    <t>এই প্রবাদের ডুপ্লিকেট আছে (id: 30, 4979), এটা রাখো (সবচেয়ে ছোট id)।</t>
  </si>
  <si>
    <t>আজ বাদশা কাল ফকির।</t>
  </si>
  <si>
    <t>আজ রাজা কাল ফকির</t>
  </si>
  <si>
    <t>অর্থ-সম্পদ বা ক্ষমতা চিরস্থায়ী নয়; ভাগ্যের পরিবর্তন ঘটে।</t>
  </si>
  <si>
    <t>A king today is a beggar tomorrow</t>
  </si>
  <si>
    <t>ভাগ্য/সময়</t>
  </si>
  <si>
    <t>ট্যাক খালি তো মুখ কালি।</t>
  </si>
  <si>
    <t>পকেট খালি থাকলে মুখ কালি হয়</t>
  </si>
  <si>
    <t>অর্থ না থাকলে সম্মান ও আত্মমর্যাদা হানি হয়।</t>
  </si>
  <si>
    <t>A light purse is a heavy curse</t>
  </si>
  <si>
    <t>দরিদ্র ব্যক্তি</t>
  </si>
  <si>
    <t>এই প্রবাদের ডুপ্লিকেট আছে (id: 32, 4227), এটা রাখো (সবচেয়ে ছোট id)।</t>
  </si>
  <si>
    <t>পকেটে টাকা না থাকলে মনও ভালো থাকে না।</t>
  </si>
  <si>
    <t>পকেটে টাকা না থাকলে মন ভালো থাকে না</t>
  </si>
  <si>
    <t>অর্থের অভাবে মানসিক অস্থিরতা ও দুশ্চিন্তা হয়।</t>
  </si>
  <si>
    <t>A light purse makes a heavy heart</t>
  </si>
  <si>
    <t>অল্পবিদ্যা ভয়ংকরী।</t>
  </si>
  <si>
    <t>অল্প বিদ্যা ভয়ংকরী</t>
  </si>
  <si>
    <t>সামান্য জ্ঞান নিয়ে অহংকার করলে বিপদ হয়।</t>
  </si>
  <si>
    <t>A little learning is a dangerous thing</t>
  </si>
  <si>
    <t>অর্ধশিক্ষিত ব্যক্তি</t>
  </si>
  <si>
    <t>জ্ঞান/শিক্ষা</t>
  </si>
  <si>
    <t>পাগলে কী না বলে, ছাগলে কী না খায়।</t>
  </si>
  <si>
    <t>পাগল যা না বলে, ছাগল যা না খায়</t>
  </si>
  <si>
    <t>পাগল মানুষের মতো ছাগলও অযৌক্তিক কাজ করে।</t>
  </si>
  <si>
    <t>A mad man and a animal have no difference</t>
  </si>
  <si>
    <t>পাগল/ছাগল</t>
  </si>
  <si>
    <t>target 'পাগল/ছাগল' - মানসিক অসুস্থতাকে (পাগল) পশুর সাথে তুলনা করা sensitive, টিমে আলোচনা করে দেখো এটা কীভাবে হ্যান্ডেল করবে।</t>
  </si>
  <si>
    <t>সঙ্গ দেখে লোক চেনা যায় ।</t>
  </si>
  <si>
    <t>সঙ্গ দেখে মানুষ চেনা যায়</t>
  </si>
  <si>
    <t>কারো সঙ্গ দেখে তার চরিত্র বুঝতে পারা যায়।</t>
  </si>
  <si>
    <t>A man is known by the company he keeps</t>
  </si>
  <si>
    <t>সঙ্গী/বন্ধু</t>
  </si>
  <si>
    <t>নিজ বাড়ি নিজ ভুবন ।</t>
  </si>
  <si>
    <t>নিজের বাড়ি নিজের জগৎ</t>
  </si>
  <si>
    <t>নিজের ঘরই হলো সবচেয়ে আরামদায়ক ও নিরাপদ স্থান।</t>
  </si>
  <si>
    <t>A man's home is his castle</t>
  </si>
  <si>
    <t>আবাসিক জীবন</t>
  </si>
  <si>
    <t>প্রায় শেষ করা আর একেবারেই শুরু না করা একই কথা ।</t>
  </si>
  <si>
    <t>প্রায় শেষ করা আর একদম শুরু না করা একই</t>
  </si>
  <si>
    <t>কাজ প্রায় শেষ করে আবার শুরু না করলে সেটি অসমাপ্তই থাকে।</t>
  </si>
  <si>
    <t>A miss is as good as a mile</t>
  </si>
  <si>
    <t>অসমাপ্ত কাজ</t>
  </si>
  <si>
    <t>কর্ম/উদ্যোগ</t>
  </si>
  <si>
    <t>নেংটার নেই বাটপারের ভয় ।</t>
  </si>
  <si>
    <t>নেংটার বাটপারের ভয় নেই</t>
  </si>
  <si>
    <t>যার কিছুই নেই, তার হারানোর কিছু নেই।</t>
  </si>
  <si>
    <t>A pauper has nothing to lose</t>
  </si>
  <si>
    <t>এক পয়সা জমানো মানে এক পয়সা রোজগার করা ।</t>
  </si>
  <si>
    <t>এক পয়সা জমানো মানে এক পয়সা আয় করা</t>
  </si>
  <si>
    <t>সঞ্চয় করা যেমন গুরুত্বপূর্ণ, তেমনই আয় করা।</t>
  </si>
  <si>
    <t>A penny saved is a penny earned</t>
  </si>
  <si>
    <t>কাঁচায় না নোয়ালে বাঁশ, পাকলে করে ট্যাঁশট্যাঁশ।</t>
  </si>
  <si>
    <t>ছোটবেলায় না নোয়ালে বাঁশ, বড় হলে বেঁকে যায়</t>
  </si>
  <si>
    <t>ছোটবেলায় শাসন না করলে বড় হয়ে কঠিন হয়ে ওঠে।</t>
  </si>
  <si>
    <t>A pet lamb makes a cross ram</t>
  </si>
  <si>
    <t>ছোট শিশু</t>
  </si>
  <si>
    <t>শিশু লালন-পালন</t>
  </si>
  <si>
    <t>এই প্রবাদের ডুপ্লিকেট আছে (id: 41, 2885), এটা রাখো (সবচেয়ে ছোট id)।</t>
  </si>
  <si>
    <t>যে রক্ষক সেই ভক্ষক ।</t>
  </si>
  <si>
    <t>যে রক্ষক, সেই-ই ভক্ষক</t>
  </si>
  <si>
    <t>যার দায়িত্ব রক্ষা করা, সেই-ই যখন ক্ষতি করে।</t>
  </si>
  <si>
    <t>A poacher turned gamekeeper</t>
  </si>
  <si>
    <t>রক্ষক/ভক্ষক</t>
  </si>
  <si>
    <t>সামাজিক/নৈতিকতা</t>
  </si>
  <si>
    <t>এই প্রবাদের ডুপ্লিকেট আছে (id: 42, 7002, 7003), এটা রাখো (সবচেয়ে ছোট id)।</t>
  </si>
  <si>
    <t>স্বজন কর্তৃক বা স্বদেশে সম্মান মেলে না/ গেঁয়ো যোগী ভিখ পায় না।</t>
  </si>
  <si>
    <t>স্বজন বা স্বদেশে সম্মান পাওয়া যায় না</t>
  </si>
  <si>
    <t>নিজের দেশ বা নিজের মানুষদের মধ্যে কদর কম পাওয়া যায়।</t>
  </si>
  <si>
    <t>A prophet is not without honor save in his own country</t>
  </si>
  <si>
    <t>সামাজিক স্বীকৃতি</t>
  </si>
  <si>
    <t>চোরে শোনে না ধর্মের কাহিনী ।</t>
  </si>
  <si>
    <t>চোর ধর্মের কথা শোনে না</t>
  </si>
  <si>
    <t>যে ব্যক্তি অন্যায় কাজ করে, সে ধর্মীয় বা নৈতিক শিক্ষায় প্রভাবিত হয় না।</t>
  </si>
  <si>
    <t>চোর/অসৎ ব্যক্তি</t>
  </si>
  <si>
    <t>নৈতিকতা/ধর্ম</t>
  </si>
  <si>
    <t>স্থির না হলে উন্নতি হয় না।</t>
  </si>
  <si>
    <t>অস্থির থাকলে উন্নতি হয় না</t>
  </si>
  <si>
    <t>যে ব্যক্তি স্থির থাকে না, সে কোনো ক্ষেত্রে উন্নতি করতে পারে না।</t>
  </si>
  <si>
    <t>A rolling stone gathers no mass</t>
  </si>
  <si>
    <t>অস্থির ব্যক্তি</t>
  </si>
  <si>
    <t>ব্যক্তিত্ব/কর্মজীবন</t>
  </si>
  <si>
    <t>অসৎ সঙ্গে সর্বনাশ ।</t>
  </si>
  <si>
    <t>অসৎ সঙ্গ হলে সর্বনাশ হয়</t>
  </si>
  <si>
    <t>খারাপ মানুষের সাথে থাকলে নিজেরও খারাপ হয়।</t>
  </si>
  <si>
    <t>A rotten sheep infects the flock</t>
  </si>
  <si>
    <t>মনে বিষ, মুখে মধু</t>
  </si>
  <si>
    <t>বাইরে মিষ্টি কথা বলে, ভিতরে খারাপ ভাবনা রাখে।</t>
  </si>
  <si>
    <t>A serpent under the flower</t>
  </si>
  <si>
    <t>কপট ব্যক্তি</t>
  </si>
  <si>
    <t>ব্যক্তিত্ব/আচরণ</t>
  </si>
  <si>
    <t>লঘু পাপে গুরু দন্ড।</t>
  </si>
  <si>
    <t>ছোট পাপে বড় শাস্তি</t>
  </si>
  <si>
    <t>ছোট অপরাধের জন্যও কঠিন শাস্তি দেওয়া হয়।</t>
  </si>
  <si>
    <t>A severe punishment for a venial offence</t>
  </si>
  <si>
    <t>পাপী/অপরাধী</t>
  </si>
  <si>
    <t>বিচার/শাস্তি</t>
  </si>
  <si>
    <t>কুঁড়ে লোকের দ্বারা কোন কাজ হয় না; কুঁড়ের অন্ন হয় না ।</t>
  </si>
  <si>
    <t>অলস মানুষ কোনো কাজ করতে পারে না; তার খাবারও জোটে না</t>
  </si>
  <si>
    <t>অলস মানুষ জীবনে কিছুই অর্জন করতে পারে না।</t>
  </si>
  <si>
    <t>A sleeping fox catches no poultry</t>
  </si>
  <si>
    <t>কোমল ব্যবহার সংঘর্ষ এড়ায় ।</t>
  </si>
  <si>
    <t>নম্র ব্যবহারে সংঘর্ষ এড়ানো যায়</t>
  </si>
  <si>
    <t>মিষ্টি কথায় ও নম্র ব্যবহারে ঝগড়া বা সমস্যার সমাধান হয়।</t>
  </si>
  <si>
    <t>A soft answer turneth away wrath</t>
  </si>
  <si>
    <t>রাগী/আগ্রাসী ব্যক্তি</t>
  </si>
  <si>
    <t>এই প্রবাদের ডুপ্লিকেট আছে (id: 50, 3259), এটা রাখো (সবচেয়ে ছোট id)।</t>
  </si>
  <si>
    <t>কাঁঠালের আমসত্ত্ব।</t>
  </si>
  <si>
    <t>কাঁঠালের আমসত্ত্ব (কাঁঠাল থেকে আমসত্ত্ব তৈরি করা অসম্ভব)</t>
  </si>
  <si>
    <t>অসম্ভব বা অযৌক্তিক কাজ।</t>
  </si>
  <si>
    <t>A square peg in a round hole (An Impossibility)</t>
  </si>
  <si>
    <t>সম্ভাবনা/অসম্ভব</t>
  </si>
  <si>
    <t>জ্ঞানীরা স্বল্পভাষী হয়।</t>
  </si>
  <si>
    <t>জ্ঞানীরা কম কথা বলে</t>
  </si>
  <si>
    <t>বুদ্ধিমান মানুষ কম কথা বলে বেশি শোনে।</t>
  </si>
  <si>
    <t>A still tongue makes a wise head</t>
  </si>
  <si>
    <t>বার মাসে তের পার্বণ।</t>
  </si>
  <si>
    <t>বার মাসে তেরো উৎসব</t>
  </si>
  <si>
    <t>বছরজুড়ে নানা উৎসব পালিত হয়।</t>
  </si>
  <si>
    <t>A succession of festivities all the year round</t>
  </si>
  <si>
    <t>সাংস্কৃতিক উৎসব</t>
  </si>
  <si>
    <t>চায়ের কাপে তুফান।</t>
  </si>
  <si>
    <t>চায়ের কাপে ঝড়</t>
  </si>
  <si>
    <t>ছোটখাটো বিষয় নিয়ে অহেতুক চাঞ্চল্য সৃষ্টি করা।</t>
  </si>
  <si>
    <t>A tempest in a tea-pot</t>
  </si>
  <si>
    <t>অতিরঞ্জনকারী</t>
  </si>
  <si>
    <t>সুন্দর সবসময়ই আনন্দদায়ক ।</t>
  </si>
  <si>
    <t>সুন্দর জিনিস সবসময় আনন্দ দেয়</t>
  </si>
  <si>
    <t>সৌন্দর্য চিরকালীন ও আনন্দদায়ক।</t>
  </si>
  <si>
    <t>A thing of beauty is a joy forever</t>
  </si>
  <si>
    <t>ফলনে পরিচীয়তে ।</t>
  </si>
  <si>
    <t>ফলেই গাছ চেনা যায়</t>
  </si>
  <si>
    <t>কাজের ফলাফল দেখেই ব্যক্তির গুণ-মান বিচার করা যায়।</t>
  </si>
  <si>
    <t>A tree is known by its fruit</t>
  </si>
  <si>
    <t>কর্ম/ফল</t>
  </si>
  <si>
    <t>বিচার/পরিচয়</t>
  </si>
  <si>
    <t>target 'কর্ম/ফল' একটা বিমূর্ত ধারণা, মানুষ/দল না। 'প্রযোজ্য নয়' করার পরামর্শ।</t>
  </si>
  <si>
    <t>কারো সাথে ভাগাভাগি করলে সমস্যা অর্ধেক হয়ে যায়।</t>
  </si>
  <si>
    <t>অন্যের সাথে ভাগ করলে সমস্যা অর্ধেক হয়</t>
  </si>
  <si>
    <t>দুঃখ-কষ্ট অন্যের সাথে ভাগ করলে তা সহনীয় হয়।</t>
  </si>
  <si>
    <t>A trouble shared is a trouble halved</t>
  </si>
  <si>
    <t>সহমর্মী ব্যক্তি</t>
  </si>
  <si>
    <t>এই প্রবাদের ডুপ্লিকেট আছে (id: 58, 3070), এটা রাখো (সবচেয়ে ছোট id)।</t>
  </si>
  <si>
    <t>লোভে পাপ পাপে মৃত্যু ।</t>
  </si>
  <si>
    <t>অতিরিক্ত লোভ পাপের জন্ম দেয়, আর পাপ মৃত্যুর কারণ হয়।</t>
  </si>
  <si>
    <t>A varice begets sin, sin begets death</t>
  </si>
  <si>
    <t>এই প্রবাদের ডুপ্লিকেট আছে (id: 59, 111, 7226), এটা রাখো (সবচেয়ে ছোট id)।</t>
  </si>
  <si>
    <t>অপেক্ষার সময় শেষ হয় না ।</t>
  </si>
  <si>
    <t>অপেক্ষার সময় শেষ হয় না</t>
  </si>
  <si>
    <t>অপেক্ষা করলে সময় কখনও শেষ হয় না; কাজে হাত দেওয়া উচিত।</t>
  </si>
  <si>
    <t>A watched pot never boils</t>
  </si>
  <si>
    <t>এই প্রবাদের ডুপ্লিকেট আছে (id: 60, 1685), এটা রাখো (সবচেয়ে ছোট id)।</t>
  </si>
  <si>
    <t>দিল্লীর লাড্ডু – খেলেও পস্তাবে, না খেলেও পস্তাবে।</t>
  </si>
  <si>
    <t>দিল্লির লাড্ডু—খেলেও পস্তাতে হবে, না খেলেও পস্তাতে হবে</t>
  </si>
  <si>
    <t>কোনো কাজ করলেও সমস্যা, না করলেও সমস্যা।</t>
  </si>
  <si>
    <t>A wish gained or lost leaves one unsatisfied in either case</t>
  </si>
  <si>
    <t>ছদ্মবেশী শত্রু; বাইরে দেখতে ভালো, ভিতরে খারাপ।</t>
  </si>
  <si>
    <t>ছদ্মবেশী শত্রু—বাইরে ভালো, ভিতরে খারাপ</t>
  </si>
  <si>
    <t>যে ব্যক্তি বাইরে বন্ধুত্বের ভান করে, কিন্তু ভিতরে শত্রুতা পোষণ করে।</t>
  </si>
  <si>
    <t>A wolf in sheep's clothing</t>
  </si>
  <si>
    <t>অবলার মুখই বল।</t>
  </si>
  <si>
    <t>নারীদের মুখই তাদের অস্ত্র</t>
  </si>
  <si>
    <t>নারীদের বাক্য শক্তি অত্যন্ত তীক্ষ্ণ ও কার্যকরী।</t>
  </si>
  <si>
    <t>A woman's weapon is her tongue</t>
  </si>
  <si>
    <t>এই প্রবাদের ডুপ্লিকেট আছে (id: 63, 103), এটা রাখো (সবচেয়ে ছোট id)।</t>
  </si>
  <si>
    <t>মহিলাদের কাজ বাড়ির ভিতরে ।</t>
  </si>
  <si>
    <t>মহিলাদের কাজ ঘরের ভিতরে</t>
  </si>
  <si>
    <t>নারীদের প্রধান কাজ হলো গৃহস্থালি ও পরিবার পরিচালনা করা।</t>
  </si>
  <si>
    <t>A woman's place is in the home</t>
  </si>
  <si>
    <t>লিঙ্গ/পেশা</t>
  </si>
  <si>
    <t>স্পষ্ট gender stereotype (নারীর কাজ ঘরে) - থিসিসের জন্য গুরুত্বপূর্ণ উদাহরণ। valence Neutral দেওয়া আছে, কিন্তু এটা একটা সীমাবদ্ধ ভূমিকা চাপিয়ে দিচ্ছে বলে Negative-ও হতে পারে - টিমে ভেবে দেখো।</t>
  </si>
  <si>
    <t>মহিলাদের কাজ কখনও শেষ হয় না ।</t>
  </si>
  <si>
    <t>মহিলাদের কাজ কখনও শেষ হয় না</t>
  </si>
  <si>
    <t>গৃহস্থালির কাজ কখনও শেষ হয় না, সর্বদা নতুন কিছু করতে হয়।</t>
  </si>
  <si>
    <t>A woman's work is never done</t>
  </si>
  <si>
    <t>৬৪-এর মতোই gender stereotype, একই বিবেচনা প্রযোজ্য।</t>
  </si>
  <si>
    <t>মুখ দিয়ে যে কথা একবার বেরিয়ে যায় তা আর ফিরিয়ে আনা সম্ভব না।</t>
  </si>
  <si>
    <t>মুখ দিয়ে কথা একবার বের হলে আর ফিরিয়ে আনা যায় না</t>
  </si>
  <si>
    <t>কথা বলার আগে ভাবা উচিত, কারণ বলা কথা আর ফেরানো যায় না।</t>
  </si>
  <si>
    <t>A word once spoken is past recalling</t>
  </si>
  <si>
    <t>জ্ঞানীরা অল্প কথাতেই বোঝে ।</t>
  </si>
  <si>
    <t>জ্ঞানীরা অল্প কথায় বুঝতে পারে</t>
  </si>
  <si>
    <t>বুদ্ধিমান মানুষ ইঙ্গিতেই বুঝতে পারে।</t>
  </si>
  <si>
    <t>A word to the wise is sufficient</t>
  </si>
  <si>
    <t>বুদ্ধি/জ্ঞান</t>
  </si>
  <si>
    <t>ভক্তি হলো অজ্ঞতার কন্যা; অজ্ঞতাই ভক্তি করে ।</t>
  </si>
  <si>
    <t>ভক্তি হলো অজ্ঞতার মেয়ে; অজ্ঞতাই ভক্তি করে</t>
  </si>
  <si>
    <t>অজ্ঞতা থেকেই অন্ধ বিশ্বাস ও ভক্তির উদ্ভব হয়।</t>
  </si>
  <si>
    <t>Admiration is the daughter of ignorance</t>
  </si>
  <si>
    <t>জ্ঞান/ভক্তি</t>
  </si>
  <si>
    <t>হিতে বিপরীত ।</t>
  </si>
  <si>
    <t>উপকারের বিপরীত</t>
  </si>
  <si>
    <t>উপকার করতে গিয়ে অপকার হওয়া।</t>
  </si>
  <si>
    <t>Adversity often leads to prosperity</t>
  </si>
  <si>
    <t>এই প্রবাদের ডুপ্লিকেট আছে (id: 69, 7952), এটা রাখো (সবচেয়ে ছোট id)।</t>
  </si>
  <si>
    <t>ঝড় থেমে গেলে সব কিছু শান্ত হয়।</t>
  </si>
  <si>
    <t>ঝড় থেমে গেলে সব শান্ত হয়</t>
  </si>
  <si>
    <t>সঙ্কটের পরেই স্বস্তি আসে।</t>
  </si>
  <si>
    <t>After a storm comes a calm</t>
  </si>
  <si>
    <t>জীবনের নিয়ম</t>
  </si>
  <si>
    <t>এই প্রবাদের ডুপ্লিকেট আছে (id: 70, 4171), এটা রাখো (সবচেয়ে ছোট id)।</t>
  </si>
  <si>
    <t>মেঘ দেখে করিসনে ভয়,আড়ালে তার সূর্য হাসে ।</t>
  </si>
  <si>
    <t>মেঘ দেখে ভয় কোরো না, আড়ালে সূর্য হাসে</t>
  </si>
  <si>
    <t>অন্ধকারের পরেই আলো আসে; আশা রাখো।</t>
  </si>
  <si>
    <t>After clouds comes fair weather</t>
  </si>
  <si>
    <t>নুন আনতে পান্তা ফুরায়।</t>
  </si>
  <si>
    <t>নুন আনতে পান্তা ফুরায়</t>
  </si>
  <si>
    <t>অল্প কাজ করতে গিয়েও শেষ পর্যন্ত ব্যর্থ হওয়া।</t>
  </si>
  <si>
    <t>After meat comes mustard</t>
  </si>
  <si>
    <t>অদক্ষ ব্যক্তি</t>
  </si>
  <si>
    <t>এই প্রবাদের ডুপ্লিকেট আছে (id: 73, 4961, 4962), এটা রাখো (সবচেয়ে ছোট id)।</t>
  </si>
  <si>
    <t>যত হাসি তত কান্না বলে গেছে রাম শর্মা।</t>
  </si>
  <si>
    <t>অতিরিক্ত আনন্দের পরেই দুঃখ আসে।</t>
  </si>
  <si>
    <t>After sweet meat comes sour sauce</t>
  </si>
  <si>
    <t>এই প্রবাদের ডুপ্লিকেট আছে (id: 74, 273), এটা রাখো (সবচেয়ে ছোট id)।</t>
  </si>
  <si>
    <t>যত দোষ নন্দ ঘোষ।</t>
  </si>
  <si>
    <t>সব দোষ নন্দ ঘোষের</t>
  </si>
  <si>
    <t>অন্যকে দোষারোপ করা সহজ, কিন্তু নিজেকে দেখা কঠিন।</t>
  </si>
  <si>
    <t>All are blaming nobody""</t>
  </si>
  <si>
    <t>দোষারোপকারী</t>
  </si>
  <si>
    <t>এই প্রবাদের ডুপ্লিকেট আছে (id: 75, 6647), এটা রাখো (সবচেয়ে ছোট id)।</t>
  </si>
  <si>
    <t>পৈতে থাকলেই বামুন হয় না।</t>
  </si>
  <si>
    <t>পৈতা থাকলেই বামুন হয় না</t>
  </si>
  <si>
    <t>বাহ্যিক চিহ্ন দেখেই প্রকৃত গুণ বিচার করা যায় না।</t>
  </si>
  <si>
    <t>All are not saints that go to church</t>
  </si>
  <si>
    <t>নানা মুনির নানা মত ।</t>
  </si>
  <si>
    <t>বিভিন্ন মানুষের বিভিন্ন মতামত রয়েছে।</t>
  </si>
  <si>
    <t>All feet tread not in one shoe</t>
  </si>
  <si>
    <t>বিচার/মত</t>
  </si>
  <si>
    <t>এই প্রবাদের ডুপ্লিকেট আছে (id: 78, 336, 4841), এটা রাখো (সবচেয়ে ছোট id)।</t>
  </si>
  <si>
    <t>নিজের জিনিস সকলেই ভালো দেখে ।</t>
  </si>
  <si>
    <t>নিজের জিনিস সবাই ভালো দেখে</t>
  </si>
  <si>
    <t>নিজের জিনিসকে সবাই বেশি মূল্য দেয়।</t>
  </si>
  <si>
    <t>All his geese are swans</t>
  </si>
  <si>
    <t>ভালোবাসা এবং যুদ্ধে সবকিছুই বৈধ/ ভালোবাসা এবং যুদ্ধে কোন নিয়মনীতি নেই ।</t>
  </si>
  <si>
    <t>ভালোবাসা ও যুদ্ধে সবকিছুই বৈধ</t>
  </si>
  <si>
    <t>ভালোবাসা ও যুদ্ধে কোনো নিয়ম-নীতি নেই।</t>
  </si>
  <si>
    <t>All is fair in love and war</t>
  </si>
  <si>
    <t>সুখের সময়গুলো দ্রুত চলে যায় ।</t>
  </si>
  <si>
    <t>সুখের সময়গুলো দ্রুত কেটে যায়</t>
  </si>
  <si>
    <t>সুখের সময় কখনও স্থায়ী হয় না।</t>
  </si>
  <si>
    <t>All our sweetest hours fly fastest</t>
  </si>
  <si>
    <t>পক্ষপাতদুষ্ট লোকের নিকট সবাই মন্দ ।</t>
  </si>
  <si>
    <t>পক্ষপাতদুষ্ট লোকের কাছে সবাই মন্দ</t>
  </si>
  <si>
    <t>যে ব্যক্তি পক্ষপাতী, সে কারও ভালো গুণ দেখতে পায় না।</t>
  </si>
  <si>
    <t>All seems yellow to the jaundiced eye</t>
  </si>
  <si>
    <t>পক্ষপাতদুষ্ট ব্যক্তি</t>
  </si>
  <si>
    <t>চকচক করলেই সোনা হয় না।</t>
  </si>
  <si>
    <t>চকচক করলেই সোনা হয় না</t>
  </si>
  <si>
    <t>সব উজ্জ্বল জিনিসই মূল্যবান নয়।</t>
  </si>
  <si>
    <t>এই প্রবাদের ডুপ্লিকেট আছে (id: 83, 183, 3738), এটা রাখো (সবচেয়ে ছোট id)।</t>
  </si>
  <si>
    <t>পুরোনো চাল ভাতে বাড়ে।</t>
  </si>
  <si>
    <t>পুরনো চাল ভাতে বাড়ে</t>
  </si>
  <si>
    <t>পুরনো জিনিসেরও নিজস্ব গুণ আছে।</t>
  </si>
  <si>
    <t>All that is old is not bad</t>
  </si>
  <si>
    <t>যে সহে সে রহে; সবুরে মেওয়া ফলে।</t>
  </si>
  <si>
    <t>সহনশীলতা থাকলে টিকে থাকা যায়; ধৈর্য ধরলে ফল পাওয়া যায়</t>
  </si>
  <si>
    <t>ধৈর্য ও সহনশীলতার মাধ্যমেই সাফল্য আসে।</t>
  </si>
  <si>
    <t>শেষ রক্ষাই রক্ষা; মধুরেণ সমাপয়াত; সব ভালো তার, শেষ ভালো যার।</t>
  </si>
  <si>
    <t>শেষ রক্ষাই আসল রক্ষা; সব ভালো যার শেষ ভালো</t>
  </si>
  <si>
    <t>শেষ পর্যন্ত ভালো থাকাটাই আসল সাফল্য।</t>
  </si>
  <si>
    <t>All well that ends well</t>
  </si>
  <si>
    <t>৮৭,২৪৬,২৫৬-র সাথে একই প্রবাদের ভিন্ন শব্দবিন্যাস। মিলিয়ে দেখো।</t>
  </si>
  <si>
    <t>সব ভাল যার শেষ ভাল তার।</t>
  </si>
  <si>
    <t>সব ভালো যার শেষ ভালো</t>
  </si>
  <si>
    <t>শেষ ভালো হলে সব ভালো।</t>
  </si>
  <si>
    <t>৮৬,২৪৬,২৫৬-র সাথে দেখো - একই প্রবাদের রূপ।</t>
  </si>
  <si>
    <t>দিনে একটা আপেল খেলে কখনও ডাক্তারের কাছে যেতে হয় না।</t>
  </si>
  <si>
    <t>দিনে একটি আপেল খেলে ডাক্তারের দরকার হয় না</t>
  </si>
  <si>
    <t>স্বাস্থ্য রক্ষায় নিয়মিত ফল খাওয়া প্রয়োজন।</t>
  </si>
  <si>
    <t>An apple a day keeps the doctor away</t>
  </si>
  <si>
    <t>পেটে খাবার আর পকেটে টাকা না থাকলে কোন কাজ ঠিকমতো করা যায় না।</t>
  </si>
  <si>
    <t>পেটে খাবার ও পকেটে টাকা না থাকলে কাজ করা যায় না</t>
  </si>
  <si>
    <t>মৌলিক চাহিদা পূরণ না হলে সঠিকভাবে কাজ করা সম্ভব নয়।</t>
  </si>
  <si>
    <t>An empty sack cannot stand upright</t>
  </si>
  <si>
    <t>চোখের বদলে চোখ।</t>
  </si>
  <si>
    <t>চোখের বদলে চোখ</t>
  </si>
  <si>
    <t>প্রতিশোধ নেওয়ার নীতি।</t>
  </si>
  <si>
    <t>An eye for an eye</t>
  </si>
  <si>
    <t>অলস মস্তিষ্ক শয়তানের কারখানা।</t>
  </si>
  <si>
    <t>অলস মস্তিষ্ক শয়তানের কারখানা</t>
  </si>
  <si>
    <t>অলসতা খারাপ চিন্তার জন্ম দেয়।</t>
  </si>
  <si>
    <t>An idle brain is the devil's workshop</t>
  </si>
  <si>
    <t>শুঁড়ির সাক্ষী মাতাল ।</t>
  </si>
  <si>
    <t>মাতালের সাক্ষী অবিশ্বাস্য</t>
  </si>
  <si>
    <t>যে নিজেই দোষী, তার সাক্ষ্য গ্রহণযোগ্য নয়।</t>
  </si>
  <si>
    <t>An interested witness is no witness</t>
  </si>
  <si>
    <t>পক্ষপাতদুষ্ট সাক্ষী</t>
  </si>
  <si>
    <t>এই প্রবাদের ডুপ্লিকেট আছে (id: 93, 1394, 7340, 7341), এটা রাখো (সবচেয়ে ছোট id)।</t>
  </si>
  <si>
    <t>ঝানু লোক বোকা বনে না।</t>
  </si>
  <si>
    <t>চালাক মানুষ বোকা হয় না</t>
  </si>
  <si>
    <t>বুদ্ধিমান মানুষ সহজে প্রতারিত হয় না।</t>
  </si>
  <si>
    <t>An old bird is not caught with chaff</t>
  </si>
  <si>
    <t>বুড়ো পাখি পোষ মানে না।</t>
  </si>
  <si>
    <t>বুড়ো পাখি সহজে পোষ মানে না</t>
  </si>
  <si>
    <t>পুরনো অভ্যাস বা চরিত্র সহজে পরিবর্তন হয় না।</t>
  </si>
  <si>
    <t>An old dog learns no trick</t>
  </si>
  <si>
    <t>বয়স্ক ব্যক্তি</t>
  </si>
  <si>
    <t>বয়স/অভ্যাস</t>
  </si>
  <si>
    <t>যে চুরি করতে জানে সেই চুরি ঠেকাতে জানে।</t>
  </si>
  <si>
    <t>যে চুরি করতে জানে, সেই চুরি ঠেকাতেও জানে</t>
  </si>
  <si>
    <t>যে খারাপ কাজগুলো জানে, সেগুলো আটকাতেও পারদর্শী।</t>
  </si>
  <si>
    <t>An old poacher makes the best gamekeepers</t>
  </si>
  <si>
    <t>পূর্ব-অপরাধী</t>
  </si>
  <si>
    <t>তত্ত্বের চেয়ে প্রায়োগিক জ্ঞান গুরুত্বপূর্ণ।</t>
  </si>
  <si>
    <t>তত্ত্বের চেয়ে প্রায়োগিক জ্ঞান বেশি গুরুত্বপূর্ণ</t>
  </si>
  <si>
    <t>নিয়মের চেয়ে বাস্তব অভিজ্ঞতা বেশি কাজে লাগে।</t>
  </si>
  <si>
    <t>An ounce of common sense is worth a pound of theory</t>
  </si>
  <si>
    <t>তাত্ত্বিক ব্যক্তি</t>
  </si>
  <si>
    <t>জ্ঞান/বুদ্ধি</t>
  </si>
  <si>
    <t>বুদ্ধির চেয়ে বিচক্ষণতা ভালো ।</t>
  </si>
  <si>
    <t>বুদ্ধির চেয়ে বিচক্ষণতা ভালো</t>
  </si>
  <si>
    <t>শুধু বুদ্ধি না, বরং সঠিক বিচার-বুদ্ধি বেশি কার্যকরী।</t>
  </si>
  <si>
    <t>An ounce of discretion is worth a pound of wit</t>
  </si>
  <si>
    <t>বিচক্ষণ ব্যক্তি</t>
  </si>
  <si>
    <t>রতিকারের চেয়ে প্রতিরোধ ভালো ।</t>
  </si>
  <si>
    <t>প্রতিকারের চেয়ে প্রতিরোধ ভালো</t>
  </si>
  <si>
    <t>পরবর্তীতে নিরাময়ের চেয়ে আগে থেকেই সতর্ক থাকা ভালো।</t>
  </si>
  <si>
    <t>An ounce of prevention is worth a pound of cure</t>
  </si>
  <si>
    <t>স্বাস্থ্য/সতর্কতা</t>
  </si>
  <si>
    <t>অকালে কী না খায়।</t>
  </si>
  <si>
    <t>অসময়ে কী না খায়</t>
  </si>
  <si>
    <t>সংকটে মানুষ অপ্রিয় কাজও করে ফেলে।</t>
  </si>
  <si>
    <t>Any food is good enough when there is a famine</t>
  </si>
  <si>
    <t>দিল্লীকা লাড্ডু।</t>
  </si>
  <si>
    <t>দিল্লির লাড্ডু</t>
  </si>
  <si>
    <t>বাহ্যিকভাবে আকর্ষণীয় কিন্তু ভিতরে খারাপ বা অর্থহীন।</t>
  </si>
  <si>
    <t>Apple of sodom or Dead sea apple</t>
  </si>
  <si>
    <t>বিদ্যা অনন্ত, জীবন সংক্ষিপ্ত ।</t>
  </si>
  <si>
    <t>বিদ্যা অসীম, জীবন সীমিত</t>
  </si>
  <si>
    <t>জীবন অনেক ছোট, কিন্তু শেখার শেষ নেই।</t>
  </si>
  <si>
    <t>Art is long, life is short</t>
  </si>
  <si>
    <t>অবলার মুখই বল ।</t>
  </si>
  <si>
    <t>Arthur could not tame a woman's tongue</t>
  </si>
  <si>
    <t>ডুপ্লিকেট - id 63 রাখা হচ্ছে, এই row বাদ দাও।</t>
  </si>
  <si>
    <t>যেমনি বুনো ওল, তেমনি বাঘা তেঁতুল ।</t>
  </si>
  <si>
    <t>যেমন বুনো ওল, তেমন বাঘা তেঁতুল</t>
  </si>
  <si>
    <t>যেমন রোগ, তেমন ওষুধ।</t>
  </si>
  <si>
    <t>As is the evil, so is the remedy</t>
  </si>
  <si>
    <t>কারণ ও প্রতিকার</t>
  </si>
  <si>
    <t>এই প্রবাদের ডুপ্লিকেট আছে (id: 104, 172), এটা রাখো (সবচেয়ে ছোট id)।</t>
  </si>
  <si>
    <t>যেমন গাছ, তার তেমনি ফল।</t>
  </si>
  <si>
    <t>যেমন গাছ, তেমন ফল</t>
  </si>
  <si>
    <t>যেমন কর্ম তেমন ফল।</t>
  </si>
  <si>
    <t>As is the tree, so is the fruit</t>
  </si>
  <si>
    <t>কারণ ও ফলাফল</t>
  </si>
  <si>
    <t>target 'কর্ম/ফল' বিমূর্ত ধারণা, মানুষ/দল না।</t>
  </si>
  <si>
    <t>যতদিন কমলার কৃপা থাকে।</t>
  </si>
  <si>
    <t>যতদিন কমলার কৃপা থাকে</t>
  </si>
  <si>
    <t>ভাগ্য যতদিন সহায় হয়।</t>
  </si>
  <si>
    <t>As long as fortune smiles on one</t>
  </si>
  <si>
    <t>ভাগ্যবান ব্যক্তি</t>
  </si>
  <si>
    <t>ঝোপ বুঝে কোপ মারা ।</t>
  </si>
  <si>
    <t>ঝোপ বুঝে কোপ মারা</t>
  </si>
  <si>
    <t>পরিস্থিতি বুঝে কাজ করা।</t>
  </si>
  <si>
    <t>As the wind blows, you must set your sail</t>
  </si>
  <si>
    <t>পরিস্থিতি-অনুসারী</t>
  </si>
  <si>
    <t>এই প্রবাদের ডুপ্লিকেট আছে (id: 107, 434, 4189), এটা রাখো (সবচেয়ে ছোট id)।</t>
  </si>
  <si>
    <t>রাজায় রাজায় যুদ্ধ হয়, উলুখাগড়ার প্রাণ যায়।</t>
  </si>
  <si>
    <t>রাজার সাথে রাজার যুদ্ধ হয়, উলুখাগড়ার প্রাণ যায়</t>
  </si>
  <si>
    <t>বড়দের লড়াইয়ে ছোটদের ক্ষতি হয়।</t>
  </si>
  <si>
    <t>As you brew, so you drink</t>
  </si>
  <si>
    <t>ক্ষমতাবান/দুর্বল</t>
  </si>
  <si>
    <t>এই প্রবাদের ডুপ্লিকেট আছে (id: 108, 7080), এটা রাখো (সবচেয়ে ছোট id)।</t>
  </si>
  <si>
    <t>যেমন কর্ম তেমন ফল ।</t>
  </si>
  <si>
    <t>যেমন কর্ম, তেমন ফল</t>
  </si>
  <si>
    <t>কাজের ফলাফল কর্মের উপর নির্ভর করে।</t>
  </si>
  <si>
    <t>As you make your bed, so you must lie on it</t>
  </si>
  <si>
    <t>এই প্রবাদের ডুপ্লিকেট আছে (id: 109, 110, 6953), এটা রাখো (সবচেয়ে ছোট id)।</t>
  </si>
  <si>
    <t>As you sow so you reap</t>
  </si>
  <si>
    <t>লোভে পাপ, পাপে মৃত্যু।</t>
  </si>
  <si>
    <t>Avarice begets sin and sin begets death</t>
  </si>
  <si>
    <t>মাথা নেই তার মাথা ব্যথা।</t>
  </si>
  <si>
    <t>মাথা না থাকলে মাথাব্যথা নেই</t>
  </si>
  <si>
    <t>যার কোনো দায়িত্ব নেই, তার কোনো সমস্যা নেই।</t>
  </si>
  <si>
    <t>Bachelors' wives and maids' children are always well taught</t>
  </si>
  <si>
    <t>সোনার চামচ মুখে নিয়ে জন্মান; সচ্ছল পরিবারে জন্মগ্রহন করা।</t>
  </si>
  <si>
    <t>সোনার চামচ মুখে নিয়ে জন্মানো</t>
  </si>
  <si>
    <t>আর্থিকভাবে সচ্ছল পরিবারে জন্মগ্রহণ করা।</t>
  </si>
  <si>
    <t>Be born with a silver spoon in one's mouth</t>
  </si>
  <si>
    <t>সচ্ছল ব্যক্তি</t>
  </si>
  <si>
    <t>জরু, গরু, ধান, তিন রাখে বিদ্যমান।</t>
  </si>
  <si>
    <t>জরু, গরু, ধান—এই তিনই চিরন্তন</t>
  </si>
  <si>
    <t>স্ত্রী, গরু ও ধান—এই তিনই মানুষের জীবনের মূল ভিত্তি।</t>
  </si>
  <si>
    <t>Be mindful of your wife, kine and paddy</t>
  </si>
  <si>
    <t>স্ত্রী, গরু, ধান' - স্ত্রীকে সম্পত্তির সাথে তুলনা, স্পষ্ট gender-সংক্রান্ত বিষয়বস্তু কিন্তু target 'প্রযোজ্য নয়' বসানো আছে। target 'নারী/স্ত্রী' হওয়া উচিত মনে হয়।</t>
  </si>
  <si>
    <t>বিয়ে করতে কড়ি, ঘর বাঁধতে দড়ি।</t>
  </si>
  <si>
    <t>বিয়ের জন্য কড়ি, ঘর বাঁধতে দড়ি</t>
  </si>
  <si>
    <t>বিয়ের আগে ভাবতে হবে, ঘর বাঁধার আগে পরিকল্পনা করতে হবে।</t>
  </si>
  <si>
    <t>Be sure before you marry of a house wherein to tarry</t>
  </si>
  <si>
    <t>যার নুন খাও তার গুণ গাও।</t>
  </si>
  <si>
    <t>যার নুন খাও, তার গুণ গাও</t>
  </si>
  <si>
    <t>যার উপকার পেয়েছ, তার প্রশংসা করো।</t>
  </si>
  <si>
    <t>Be true to your salt</t>
  </si>
  <si>
    <t>কৃতজ্ঞ ব্যক্তি</t>
  </si>
  <si>
    <t>দ্রষ্টার চোখেই সৌন্দর্য থাকে ।</t>
  </si>
  <si>
    <t>দেখার চোখেই সৌন্দর্য থাকে</t>
  </si>
  <si>
    <t>সৌন্দর্য দর্শকের দৃষ্টিভঙ্গির উপর নির্ভর করে।</t>
  </si>
  <si>
    <t>Beauty lies in the eye of the beholder</t>
  </si>
  <si>
    <t>গ্রাম নাই তার সীমানা।</t>
  </si>
  <si>
    <t>গ্রাম না থাকলে সীমানা থাকে না</t>
  </si>
  <si>
    <t>যার কিছুই নেই, তার কোনো সীমাবদ্ধতা নেই।</t>
  </si>
  <si>
    <t>Beggars must not be choosers</t>
  </si>
  <si>
    <t>কাঙালের ঘোড়া রোগ।</t>
  </si>
  <si>
    <t>কাঙালের ঘোড়া রোগী</t>
  </si>
  <si>
    <t>দরিদ্রের ঘোড়া রোগে ভোগে।</t>
  </si>
  <si>
    <t>Beggars on horseback will ride to the devil</t>
  </si>
  <si>
    <t>কুসঙ্গে থাকার চেয়ে একা থাকাও ভালো।</t>
  </si>
  <si>
    <t>খারাপ সঙ্গের চেয়ে একা থাকা ভালো</t>
  </si>
  <si>
    <t>খারাপ মানুষের সাথে থাকার চেয়ে একা থাকা উচিত।</t>
  </si>
  <si>
    <t>অসৎ সঙ্গী</t>
  </si>
  <si>
    <t>target 'অসৎ সঙ্গী' (নেতিবাচক অর্থ) কিন্তু valence Positive - প্রবাদটা 'একা থাকার' পরামর্শের প্রশংসা করছে, খারাপ সঙ্গীর না। ভেবে দেখো।</t>
  </si>
  <si>
    <t>দুষ্ট গরুর চেয়ে শূন্য গোয়াল ভালো ।</t>
  </si>
  <si>
    <t>দুষ্ট গরুর চেয়ে শূন্য গোয়াল ভালো</t>
  </si>
  <si>
    <t>খারাপ কিছুর চেয়ে কিছুই না থাকা ভালো।</t>
  </si>
  <si>
    <t>Better an empty house than an ill tenant</t>
  </si>
  <si>
    <t>নেতৃত্ব যেখানেই থাক তা সম্মানজনক ।</t>
  </si>
  <si>
    <t>নেতৃত্ব যেখানেই থাক, সেটি সম্মানজনক</t>
  </si>
  <si>
    <t>নেতৃত্বের স্থান যাই হোক, সেটি সম্মানের।</t>
  </si>
  <si>
    <t>Better be the head of a dog than the tail of a lion</t>
  </si>
  <si>
    <t>নেতা/অনুসারী</t>
  </si>
  <si>
    <t>জলে কুমির ডাঙ্গায় বাঘ, সর্বত্র বিপদ ।</t>
  </si>
  <si>
    <t>জলে কুমির, ডাঙ্গায় বাঘ—সর্বত্র বিপদ</t>
  </si>
  <si>
    <t>উভয় দিক থেকেই বিপদ।</t>
  </si>
  <si>
    <t>Between the devil and the deep blue sea or between a rock and a hard place</t>
  </si>
  <si>
    <t>১২৬-এর সাথে প্রায় একই প্রবাদ, automatic lookup ধরতে পারেনি। টিমে ঠিক করো দুটো রাখবে নাকি একটা।</t>
  </si>
  <si>
    <t>জলে কুমীর, ডাঙায় বাঘ।</t>
  </si>
  <si>
    <t>জলে কুমির, ডাঙ্গায় বাঘ</t>
  </si>
  <si>
    <t>Between two fires or Between the devil and the deep sea</t>
  </si>
  <si>
    <t>১২৫-এর সাথে দেখো - একই নোট।</t>
  </si>
  <si>
    <t>শত্রুর ছলাকলায় ভুলে যেও না ।</t>
  </si>
  <si>
    <t>শত্রুর ছলনা ভুলো না</t>
  </si>
  <si>
    <t>শত্রুর কাছ থেকে উপহার পেলেও সতর্ক থাকো।</t>
  </si>
  <si>
    <t>Beware of Greeks bearing gifts</t>
  </si>
  <si>
    <t>শত্রু/প্রতিপক্ষ</t>
  </si>
  <si>
    <t>চোরে চোরে মাসতুতো ভাই ।</t>
  </si>
  <si>
    <t>চোরের সাথে চোরের মাসতুতো ভাই</t>
  </si>
  <si>
    <t>একই ধরনের মানুষ একে অপরের সাথে মিল খুঁজে পায়।</t>
  </si>
  <si>
    <t>Birds of a feather flock together</t>
  </si>
  <si>
    <t>১৩০-এর সাথে প্রায় একই প্রবাদ (paraphrase-level duplicate)। একটা রাখার কথা ভাবো।</t>
  </si>
  <si>
    <t>একই গোয়ালের গরু।</t>
  </si>
  <si>
    <t>একই গোয়ালের গরু</t>
  </si>
  <si>
    <t>একই ধরনের মানুষ একসাথে থাকে।</t>
  </si>
  <si>
    <t>Birds of the same feather</t>
  </si>
  <si>
    <t>চোরে চোরে মাসতুত ভাই।</t>
  </si>
  <si>
    <t>চোরের সাথে চোরের মাসতুত ভাই</t>
  </si>
  <si>
    <t>Birds of the same feather flock together</t>
  </si>
  <si>
    <t>১২৮-এর সাথে দেখো - একই নোট।</t>
  </si>
  <si>
    <t>কয়লা ধুলে ময়লা যায় না ।</t>
  </si>
  <si>
    <t>কয়লা ধুলেও ময়লা যায় না</t>
  </si>
  <si>
    <t>অভ্যাস বা স্বভাব বদলানো কঠিন।</t>
  </si>
  <si>
    <t>Black will take no other hue</t>
  </si>
  <si>
    <t>স্বভাবগত সমস্যা</t>
  </si>
  <si>
    <t>স্বভাব/অভ্যাস</t>
  </si>
  <si>
    <t>দাঁত থাকতে দাঁতের মর্যাদা জানে না।</t>
  </si>
  <si>
    <t>দাঁত থাকতে দাঁতের মর্যাদা বোঝা যায় না</t>
  </si>
  <si>
    <t>প্রয়োজন থাকতেই মূল্য বোঝা যায় না।</t>
  </si>
  <si>
    <t>Blessings are not valued till they are gone</t>
  </si>
  <si>
    <t>অকৃতজ্ঞ ব্যক্তি</t>
  </si>
  <si>
    <t>রক্তের টান বড় টান।</t>
  </si>
  <si>
    <t>রক্তের সম্পর্কের টান বড়</t>
  </si>
  <si>
    <t>আত্মীয়তার বন্ধন অত্যন্ত শক্তিশালী।</t>
  </si>
  <si>
    <t>আত্মীয়/পরিবার</t>
  </si>
  <si>
    <t>পারিবারিক সম্পর্ক</t>
  </si>
  <si>
    <t>এই প্রবাদের ডুপ্লিকেট আছে (id: 133, 7035), এটা রাখো (সবচেয়ে ছোট id)।</t>
  </si>
  <si>
    <t>গোবরে পদ্মফুল।</t>
  </si>
  <si>
    <t>গোবরে পদ্মফুল</t>
  </si>
  <si>
    <t>নিকৃষ্ট পরিবেশেও মহৎ জিনিস থাকতে পারে।</t>
  </si>
  <si>
    <t>Blossoms in the dust or Musk in a kennel</t>
  </si>
  <si>
    <t>এই প্রবাদের ডুপ্লিকেট আছে (id: 134, 3614), এটা রাখো (সবচেয়ে ছোট id)।</t>
  </si>
  <si>
    <t>দূরের জিনিস ভালো মনে হয় ।</t>
  </si>
  <si>
    <t>দূরের জিনিস ভালো মনে হয়</t>
  </si>
  <si>
    <t>অন্যের জিনিস বা দূরের জিনিস আমাদের কাছে বেশি আকর্ষণীয় মনে হয়।</t>
  </si>
  <si>
    <t>Blue are the hills that are far from us</t>
  </si>
  <si>
    <t>দুধ কলা দিয়ে সাপ পোষা।</t>
  </si>
  <si>
    <t>দুধ-কলা দিয়ে সাপ পোষা</t>
  </si>
  <si>
    <t>শত্রুকে প্রতিপালন করা।</t>
  </si>
  <si>
    <t>Breed up a crow, and it will pluck your eyes</t>
  </si>
  <si>
    <t>মানিকের খানিক ভালো ।</t>
  </si>
  <si>
    <t>মানিকের সামান্যও ভালো</t>
  </si>
  <si>
    <t>গুণী মানুষের সামান্য কাজও উত্তম।</t>
  </si>
  <si>
    <t>Brevity is the soul of wit</t>
  </si>
  <si>
    <t>গুণী ব্যক্তি</t>
  </si>
  <si>
    <t>গুণ/মান</t>
  </si>
  <si>
    <t>আঁধার ঘরের মানিক।</t>
  </si>
  <si>
    <t>অন্ধকার ঘরের মানিক</t>
  </si>
  <si>
    <t>অন্ধকারেও কিছু মূল্যবান জিনিস থাকতে পারে।</t>
  </si>
  <si>
    <t>Bright gem in a dark cave</t>
  </si>
  <si>
    <t>আলো/অন্ধকার</t>
  </si>
  <si>
    <t>আকাশকুসুম কল্পণা করা।</t>
  </si>
  <si>
    <t>আকাশকুসুম কল্পনা করা</t>
  </si>
  <si>
    <t>অসম্ভব কল্পনা করা।</t>
  </si>
  <si>
    <t>Build castles in the air</t>
  </si>
  <si>
    <t>স্বপ্নবাজ ব্যক্তি</t>
  </si>
  <si>
    <t>কল্পনা/বাস্তবতা</t>
  </si>
  <si>
    <t>নিজের নাক কেটে অপরের যাত্রা ভঙ্গ করো না ।</t>
  </si>
  <si>
    <t>নিজের নাক কেটে অন্যের পথ বন্ধ করো না</t>
  </si>
  <si>
    <t>নিজের ক্ষতি করে অন্যের অনিষ্ট করো না।</t>
  </si>
  <si>
    <t>Burn not your house to fright the mouse away</t>
  </si>
  <si>
    <t>কাজও নাই, কামাইও নাই।</t>
  </si>
  <si>
    <t>কাজও নেই, উপার্জনও নেই</t>
  </si>
  <si>
    <t>কাজ না করলে উপার্জনও থাকে না।</t>
  </si>
  <si>
    <t>Busy about nothing or No work, no leisure or It is all bustle</t>
  </si>
  <si>
    <t>বিপদই প্রকৃত কষ্টিপাথর ।</t>
  </si>
  <si>
    <t>বিপদই প্রকৃত পরীক্ষা</t>
  </si>
  <si>
    <t>বিপদে মানুষের প্রকৃত চরিত্র বোঝা যায়।</t>
  </si>
  <si>
    <t>Calamity is man's true touchstone</t>
  </si>
  <si>
    <t>স্পষ্টাস্পষ্টি কথা বলা ।</t>
  </si>
  <si>
    <t>খোলাখুলি কথা বলা</t>
  </si>
  <si>
    <t>স্পষ্ট করে কথা বলা।</t>
  </si>
  <si>
    <t>স্পষ্টভাষী ব্যক্তি</t>
  </si>
  <si>
    <t>অতি যত্নে মরণফাঁদ।</t>
  </si>
  <si>
    <t>অতিরিক্ত যত্নে বিপদ</t>
  </si>
  <si>
    <t>অতিরিক্ত সতর্কতা বিপদ ডেকে আনে।</t>
  </si>
  <si>
    <t>Care killed the cat</t>
  </si>
  <si>
    <t>অতিসতর্ক ব্যক্তি</t>
  </si>
  <si>
    <t>এই প্রবাদের ডুপ্লিকেট আছে (id: 145, 1557), এটা রাখো (সবচেয়ে ছোট id)।</t>
  </si>
  <si>
    <t>তেলা মাথায় তেল দেওয়া ।</t>
  </si>
  <si>
    <t>তেল মাথায় তেল দেওয়া</t>
  </si>
  <si>
    <t>অপ্রয়োজনীয় কাজ করা।</t>
  </si>
  <si>
    <t>Carry coal to new castle</t>
  </si>
  <si>
    <t>অমিতব্যয়ী ব্যক্তি</t>
  </si>
  <si>
    <t>এই প্রবাদের ডুপ্লিকেট আছে (id: 146, 509, 4398), এটা রাখো (সবচেয়ে ছোট id)।</t>
  </si>
  <si>
    <t>অনিশ্চিতের আশায় নিশ্চিত ত্যাগ করা ।</t>
  </si>
  <si>
    <t>অনিশ্চিতের আশায় নিশ্চিত ত্যাগ করা</t>
  </si>
  <si>
    <t>অনিশ্চিত কিছুর জন্য নিশ্চিত জিনিস ছেড়ে দেওয়া উচিত নয়।</t>
  </si>
  <si>
    <t>Cast at the shadow and lose the substance</t>
  </si>
  <si>
    <t>আগে ঘর তারপর পর/ আগে ঘর, তবে ত পর; আত্মরেখে ধর্ম ।</t>
  </si>
  <si>
    <t>আগে নিজের ঘর, তারপর পরের</t>
  </si>
  <si>
    <t>প্রথমে নিজের যত্ন নাও, তারপর অন্যের।</t>
  </si>
  <si>
    <t>Charity begins at home</t>
  </si>
  <si>
    <t>স্বার্থপর/সহমর্মী</t>
  </si>
  <si>
    <t>target 'স্বার্থপর/সহমর্মী' - পরস্পরবিরোধী দুটো গুণ এক ঘরে, ফরম্যাট ঠিক করা দরকার।</t>
  </si>
  <si>
    <t>সৌন্দর্য ধরা পড়ে চোখে আর জ্ঞান ধরা পড়ে অন্তরে।</t>
  </si>
  <si>
    <t>সৌন্দর্য চোখে ধরা পড়ে, জ্ঞান মনে ধরা পড়ে</t>
  </si>
  <si>
    <t>বাহ্যিক সৌন্দর্য চোখে দেখা যায়, আর জ্ঞান বোঝা যায় অন্তরে।</t>
  </si>
  <si>
    <t>Charm strikes the sight, merit wins the soul</t>
  </si>
  <si>
    <t>সৌন্দর্য/জ্ঞান</t>
  </si>
  <si>
    <t>প্রতারক জীবনে উন্নতি করতে পারে না ।</t>
  </si>
  <si>
    <t>প্রতারক উন্নতি করতে পারে না</t>
  </si>
  <si>
    <t>যারা প্রতারণা করে, তারা জীবনে সফল হয় না।</t>
  </si>
  <si>
    <t>Cheats never prosper</t>
  </si>
  <si>
    <t>প্রতারক</t>
  </si>
  <si>
    <t>ছেলের হাতের মোয়া।</t>
  </si>
  <si>
    <t>ছেলের হাতে মোয়া</t>
  </si>
  <si>
    <t>খেলাধুলার জিনিস।</t>
  </si>
  <si>
    <t>Child's plaything</t>
  </si>
  <si>
    <t>খেলা/আমোদ</t>
  </si>
  <si>
    <t>বুড়ো শালিকের ঘাড়ে রোঁ।</t>
  </si>
  <si>
    <t>বয়সের সাথে আচরণের পরিবর্তন।</t>
  </si>
  <si>
    <t>Childish behavior of an old man</t>
  </si>
  <si>
    <t>বয়স/আচরণ</t>
  </si>
  <si>
    <t>এই প্রবাদের ডুপ্লিকেট আছে (id: 154, 5855), এটা রাখো (সবচেয়ে ছোট id)।</t>
  </si>
  <si>
    <t>শিশু এবং বোকারাই সত্য বলে ।</t>
  </si>
  <si>
    <t>শিশু ও বোকারা সত্য বলে</t>
  </si>
  <si>
    <t>শিশু ও বোকারা সরল মনে সত্য কথা বলে।</t>
  </si>
  <si>
    <t>Children and fools tell the truth</t>
  </si>
  <si>
    <t>শিশু/বোকা</t>
  </si>
  <si>
    <t>target 'শিশু/বোকা' - শিশুকে বোকার সাথে তুলনা, sensitive framing। টিমে আলোচনা করো।</t>
  </si>
  <si>
    <t>ভালো হতে পয়সা লাগে না ।</t>
  </si>
  <si>
    <t>সৌজন্য বা ভদ্রতার কোনো মূল্য নেই।</t>
  </si>
  <si>
    <t>Civility/courtesy costs nothing</t>
  </si>
  <si>
    <t>ভদ্র ব্যক্তি</t>
  </si>
  <si>
    <t>সামাজিক আচরণ</t>
  </si>
  <si>
    <t>ফরসা কাপড়ে মান বাড়ে/ পরিষ্কার পরিচ্ছন্নতা ঈশ্বরভক্তির একটি ধাপ ।</t>
  </si>
  <si>
    <t>পরিষ্কার পরিচ্ছন্নতা ঈশ্বরভক্তির অঙ্গ</t>
  </si>
  <si>
    <t>পরিচ্ছন্নতা ধর্মীয় গুণাবলির অংশ।</t>
  </si>
  <si>
    <t>Cleanliness is next to godliness</t>
  </si>
  <si>
    <t>পরিচ্ছন্ন ব্যক্তি</t>
  </si>
  <si>
    <t>স্বাস্থ্য/পরিচ্ছন্নতা</t>
  </si>
  <si>
    <t>বেশ ভূষা দ্বারা মানুষ চেনা যায়।</t>
  </si>
  <si>
    <t>পোশাক-পরিচ্ছদ দেখে মানুষ চেনা যায়</t>
  </si>
  <si>
    <t>বাহ্যিক সাজ-পোশাক দেখে মানুষের পরিচয় পাওয়া যায়।</t>
  </si>
  <si>
    <t>Clothes make the man</t>
  </si>
  <si>
    <t>সাজ/পরিচয়</t>
  </si>
  <si>
    <t>লেগে থাকলে কাজ হয় ।</t>
  </si>
  <si>
    <t>অধ্যবসায় থাকলে কাজ হয়</t>
  </si>
  <si>
    <t>কাজে লেগে থাকলে সফলতা আসে।</t>
  </si>
  <si>
    <t>Constant dripping wears away a stone</t>
  </si>
  <si>
    <t>অধ্যবসায়ী ব্যক্তি</t>
  </si>
  <si>
    <t>ঘোমটার ভিতর খেমটার নাচ।</t>
  </si>
  <si>
    <t>ঘোমটার ভিতর খেমটার নাচ</t>
  </si>
  <si>
    <t>লুকিয়ে কুটিল আচরণ করা।</t>
  </si>
  <si>
    <t>Coquetry under the guise of modesty</t>
  </si>
  <si>
    <t>গাছে কাঁঠাল গোঁফে তেল; কালনেমির লংকাভাগ; গাছে না উঠতেই এক কাঁদি।</t>
  </si>
  <si>
    <t>গাছে কাঁঠাল, গোঁফে তেল</t>
  </si>
  <si>
    <t>অকালে আনন্দ বা সাফল্য উদযাপন করা।</t>
  </si>
  <si>
    <t>Count (to) chickens till they are hatched</t>
  </si>
  <si>
    <t>১৮২-র সাথে একই মূল idiom নিয়ে, ওভারল্যাপ আছে কিনা দেখো।</t>
  </si>
  <si>
    <t>পরহস্তগত ধন হিসাবের বাইরে রাখ।</t>
  </si>
  <si>
    <t>অন্যের ধন হিসাবের বাইরে</t>
  </si>
  <si>
    <t>অন্যের সম্পত্তি নিজের বলে মনে করা উচিত নয়।</t>
  </si>
  <si>
    <t>Count not money that is still to come</t>
  </si>
  <si>
    <t>target 'অধৈর্য ব্যক্তি' এই প্রবাদের সাথে মানানসই না - পাশের row-এর target ভুলবশত বসে গেছে মনে হচ্ছে - ঠিক করা দরকার।</t>
  </si>
  <si>
    <t>ভীরুরা মরার আগেই দু’বেলা (দুবার) মরে।</t>
  </si>
  <si>
    <t>ভীরুরা মরার আগে দু'বার মরে</t>
  </si>
  <si>
    <t>ভীরুরা বারবার মৃত্যু কল্পনা করে কষ্ট পায়।</t>
  </si>
  <si>
    <t>Cowards die many times before their death</t>
  </si>
  <si>
    <t>ভীরু ব্যক্তি</t>
  </si>
  <si>
    <t>নিজের নাক কেটে অপরের যাত্রা ভঙ্গ করা ।</t>
  </si>
  <si>
    <t>নিজের নাক কেটে অন্যের পথ বন্ধ করা।</t>
  </si>
  <si>
    <t>Cut off one's nose to spite one's face</t>
  </si>
  <si>
    <t>আয় বুঝে ব্যয় করা।</t>
  </si>
  <si>
    <t>আয় বুঝে ব্যয় করা</t>
  </si>
  <si>
    <t>আয়ের পরিমাণ বুঝে খরচ করা উচিত।</t>
  </si>
  <si>
    <t>Cut your coat according to your cloth</t>
  </si>
  <si>
    <t>বিপদ একাকী আসে না ।</t>
  </si>
  <si>
    <t>বিপদ একা আসে না</t>
  </si>
  <si>
    <t>একটি বিপদ আরও বিপদ ডেকে আনে।</t>
  </si>
  <si>
    <t>Danger never comes alone</t>
  </si>
  <si>
    <t>যেখানে বাঘের ভয়, সেখানেই সন্ধ্যা হয়।</t>
  </si>
  <si>
    <t>যেখানে বাঘের ভয়, সেখানেই সন্ধ্যা হয়</t>
  </si>
  <si>
    <t>যে জিনিসকে ভয় করি, সেটিই ঘটে।</t>
  </si>
  <si>
    <t>Danger often comes where danger is feared</t>
  </si>
  <si>
    <t>ভীতু ব্যক্তি</t>
  </si>
  <si>
    <t>অন্ধের কিবা রাত্রি কিবা দিন।</t>
  </si>
  <si>
    <t>অন্ধের কাছে রাত ও দিন সমান</t>
  </si>
  <si>
    <t>যার কিছুই নেই, তার কাছে সব সমান।</t>
  </si>
  <si>
    <t>Day and night are alike to a blind man</t>
  </si>
  <si>
    <t>অন্ধ/অজ্ঞ ব্যক্তি</t>
  </si>
  <si>
    <t>এই প্রবাদের ডুপ্লিকেট আছে (id: 168, 1638, 1639, 1640), এটা রাখো (সবচেয়ে ছোট id)।</t>
  </si>
  <si>
    <t>মরণকালে ঔষুধ নাই।</t>
  </si>
  <si>
    <t>মরণকালে ওষুধ নেই</t>
  </si>
  <si>
    <t>মৃত্যুর সময় কোনো ওষুধ কাজ করে না।</t>
  </si>
  <si>
    <t>Death defies doctors</t>
  </si>
  <si>
    <t>এই প্রবাদের ডুপ্লিকেট আছে (id: 169, 6279), এটা রাখো (সবচেয়ে ছোট id)।</t>
  </si>
  <si>
    <t>মৃত্যু বলে কয়ে আসে না।</t>
  </si>
  <si>
    <t>মৃত্যু বলে এসে আসে না</t>
  </si>
  <si>
    <t>মৃত্যু সময়মতো জানিয়ে আসে না।</t>
  </si>
  <si>
    <t>Death keeps no calendar</t>
  </si>
  <si>
    <t>মরনের সময় অসময় নাই।</t>
  </si>
  <si>
    <t>মরার সময় অসময় নেই</t>
  </si>
  <si>
    <t>মৃত্যুর জন্য কোনো নির্দিষ্ট সময় নেই।</t>
  </si>
  <si>
    <t>Death keeps no time</t>
  </si>
  <si>
    <t>যেমনি বুনো ওল তেমনি বাঘা তেঁতুল ।</t>
  </si>
  <si>
    <t>যেমন রোগ, তেমন ওষুধ</t>
  </si>
  <si>
    <t>প্রতিটি সমস্যার সমাধান আছে।</t>
  </si>
  <si>
    <t>Desperate diseases must have desperate remedies</t>
  </si>
  <si>
    <t>ডুপ্লিকেট - id 104 রাখা হচ্ছে, এই row বাদ দাও।</t>
  </si>
  <si>
    <t>রতনে রতন চেনে ।</t>
  </si>
  <si>
    <t>রত্ন চেনে রত্ন-বিশেষজ্ঞ</t>
  </si>
  <si>
    <t>গুণী মানুষ গুণীকে চেনে।</t>
  </si>
  <si>
    <t>Diamond cuts diamond</t>
  </si>
  <si>
    <t>এই প্রবাদের ডুপ্লিকেট আছে (id: 173, 7042, 7043), এটা রাখো (সবচেয়ে ছোট id)।</t>
  </si>
  <si>
    <t>পরিশ্রমই সৌভাগ্যের মূল।</t>
  </si>
  <si>
    <t>পরিশ্রমই সৌভাগ্যের মূল</t>
  </si>
  <si>
    <t>পরিশ্রম করলে সৌভাগ্য আসে।</t>
  </si>
  <si>
    <t>Diligence is the mother of good luck</t>
  </si>
  <si>
    <t>পরিশ্রমী ব্যক্তি</t>
  </si>
  <si>
    <t>যে মাছটা পালায় সেটাই বড়।</t>
  </si>
  <si>
    <t>যে মাছ পালায়, সেটাই বড়</t>
  </si>
  <si>
    <t>হাতছাড়া হওয়া জিনিসটাই বেশি মূল্যবান মনে হয়।</t>
  </si>
  <si>
    <t>Distance lends enchantment to the view</t>
  </si>
  <si>
    <t>অনিশ্চিতের আশায় নিশ্চিত ত্যাগ করিও না।</t>
  </si>
  <si>
    <t>অনিশ্চিতের জন্য নিশ্চিত ছেড়ো না</t>
  </si>
  <si>
    <t>অনিশ্চিত কিছুর জন্য নিশ্চিত জিনিস হারানো ঠিক নয়।</t>
  </si>
  <si>
    <t>Do not exchange your substance for shadow</t>
  </si>
  <si>
    <t>মায়ের কাছে মামা বাড়ির গল্প করো না।</t>
  </si>
  <si>
    <t>মায়ের কাছে মামার গল্প করো না</t>
  </si>
  <si>
    <t>যার কাজ সেই করুক, অন্যের কাজে হস্তক্ষেপ করো না।</t>
  </si>
  <si>
    <t>Do not teach your grandmother to such egg</t>
  </si>
  <si>
    <t>হস্তক্ষেপকারী</t>
  </si>
  <si>
    <t>মন্ত্রের সাধন কিংবা শরীর পতন; মার অথবা মর ।</t>
  </si>
  <si>
    <t>মন্ত্রের সাধন বা মৃত্যু</t>
  </si>
  <si>
    <t>কাজ শেষ করতে হবে, নয়তো মরতে হবে।</t>
  </si>
  <si>
    <t>Do or die</t>
  </si>
  <si>
    <t>দৃঢ়সংকল্পবদ্ধ ব্যক্তি</t>
  </si>
  <si>
    <t>স্বজাতির ক্ষতি কেউ চায় না ।</t>
  </si>
  <si>
    <t>স্বজাতির ক্ষতি কেউ চায় না</t>
  </si>
  <si>
    <t>নিজের সম্প্রদায়ের ক্ষতি কেউ কামনা করে না।</t>
  </si>
  <si>
    <t>Dog does not eat a dog</t>
  </si>
  <si>
    <t>স্বজাতি</t>
  </si>
  <si>
    <t>এক লাফেই তালগাছে ওঠা যায় না।</t>
  </si>
  <si>
    <t>এক লাফে তালগাছে ওঠা যায় না</t>
  </si>
  <si>
    <t>বড় কাজ সহজে হয় না, ধাপে ধাপে করতে হয়।</t>
  </si>
  <si>
    <t>Don't run before you can walk</t>
  </si>
  <si>
    <t>এই প্রবাদের ডুপ্লিকেট আছে (id: 180, 2590), এটা রাখো (সবচেয়ে ছোট id)।</t>
  </si>
  <si>
    <t>গাছে কাঁঠাল গোঁফে তেল দিওনা ।</t>
  </si>
  <si>
    <t>গাছে কাঁঠাল, গোঁফে তেল দিও না</t>
  </si>
  <si>
    <t>অকালে ফলাফলের কথা ভাবো না।</t>
  </si>
  <si>
    <t>Don't count your chickens before they are hatched</t>
  </si>
  <si>
    <t>১৬১-র সাথে দেখো - ওভারল্যাপ আছে কিনা।</t>
  </si>
  <si>
    <t>চক চক করলেই সোনা হয় না ।</t>
  </si>
  <si>
    <t>Don't judge a book by its cover</t>
  </si>
  <si>
    <t>ডুপ্লিকেট - id 83 রাখা হচ্ছে, এই row বাদ দাও।</t>
  </si>
  <si>
    <t>বিন্দু বিন্দু জলে সিন্ধু হয়</t>
  </si>
  <si>
    <t>ছোট ছোট ফোঁটায় সাগর হয়</t>
  </si>
  <si>
    <t>ছোট জিনিস জমে বড় হয়।</t>
  </si>
  <si>
    <t>Drops of water make ocean</t>
  </si>
  <si>
    <t>বলা সহজ, করা কঠিন ।</t>
  </si>
  <si>
    <t>বলা সহজ, করা কঠিন</t>
  </si>
  <si>
    <t>শুধু বলা সহজ, কাজ করা কঠিন।</t>
  </si>
  <si>
    <t>Easier said than done</t>
  </si>
  <si>
    <t>অলস/অমিতব্যয়ী</t>
  </si>
  <si>
    <t>এই প্রবাদের ডুপ্লিকেট আছে (id: 185, 288), এটা রাখো (সবচেয়ে ছোট id)।</t>
  </si>
  <si>
    <t>অসারের তর্জন গর্জনই সার; অল্প জলে পুঁটিমাছ ফরফর করে; বর্ষন নেই গর্জন সার।</t>
  </si>
  <si>
    <t>অসারের বড়াই বেশি</t>
  </si>
  <si>
    <t>যার প্রকৃত ক্ষমতা নেই, তার বড়াই বেশি।</t>
  </si>
  <si>
    <t>Empty vessels sound much</t>
  </si>
  <si>
    <t>অক্ষম/দাম্ভিক</t>
  </si>
  <si>
    <t>নিজের (আপনার) ভালো পাগলও বোঝে।</t>
  </si>
  <si>
    <t>নিজের ভালো পাগলও বোঝে</t>
  </si>
  <si>
    <t>প্রত্যেকেই নিজের স্বার্থ বোঝে।</t>
  </si>
  <si>
    <t>Even a fool known his business</t>
  </si>
  <si>
    <t>দেওয়ালেরও কান আছে।</t>
  </si>
  <si>
    <t>দেয়ালেরও কান আছে</t>
  </si>
  <si>
    <t>গোপন কথা ফাঁস হয়ে যেতে পারে।</t>
  </si>
  <si>
    <t>Even walls have ears</t>
  </si>
  <si>
    <t>এই প্রবাদের ডুপ্লিকেট আছে (id: 188, 4587), এটা রাখো (সবচেয়ে ছোট id)।</t>
  </si>
  <si>
    <t>দুঃখের পরে আসে সুখ ।</t>
  </si>
  <si>
    <t>দুঃখের পরে সুখ আসে</t>
  </si>
  <si>
    <t>কষ্টের পরেই স্বস্তি আসে।</t>
  </si>
  <si>
    <t>Every cloud has silver shining</t>
  </si>
  <si>
    <t>আপন গাঁয়ে কুকুর রাজা</t>
  </si>
  <si>
    <t>আপন গাঁয়ে কুকুর রাজা</t>
  </si>
  <si>
    <t>নিজের জায়গায় সবাই বড়।</t>
  </si>
  <si>
    <t>Every dog is a lion at home</t>
  </si>
  <si>
    <t>টাকায় সকলে বশ হয় ।</t>
  </si>
  <si>
    <t>টাকায় সবাই বশ হয়</t>
  </si>
  <si>
    <t>অর্থের কাছে সবাই মাথা নোয়ায়।</t>
  </si>
  <si>
    <t>Every man has his price</t>
  </si>
  <si>
    <t>ধনী/লোভী</t>
  </si>
  <si>
    <t>নিজের জিনিস সকলেই ভাল দেখে।</t>
  </si>
  <si>
    <t>Every one thinks his own geese swans</t>
  </si>
  <si>
    <t>অনভ্যাসের ফোঁটায় কপাল চড়চড় করে ।</t>
  </si>
  <si>
    <t>অভ্যাস না থাকলে কপাল ফেটে যায়</t>
  </si>
  <si>
    <t>অভ্যাস না থাকলে কাজ করতে কষ্ট হয়।</t>
  </si>
  <si>
    <t>Every shoe fits not every foot</t>
  </si>
  <si>
    <t>অভ্যাসহীন ব্যক্তি</t>
  </si>
  <si>
    <t>পাপ ছাড়ে না বাপকে ।</t>
  </si>
  <si>
    <t>পাপ বাপকেও ছাড়ে না</t>
  </si>
  <si>
    <t>পাপ কাউকে ছাড়ে না, এমনকি বাবাকেও।</t>
  </si>
  <si>
    <t>Every sin carries its own punishment</t>
  </si>
  <si>
    <t>উপদেশের চেয়ে দৃষ্টান্ত ভালো।</t>
  </si>
  <si>
    <t>উপদেশের চেয়ে উদাহরণ ভালো</t>
  </si>
  <si>
    <t>শিক্ষা দেওয়ার চেয়ে নিজে উদাহরণ হওয়া ভালো।</t>
  </si>
  <si>
    <t>Example is better than precept</t>
  </si>
  <si>
    <t>উপদেষ্টা/উদাহরণ</t>
  </si>
  <si>
    <t>অভিজ্ঞতাই সর্বোত্তম শিক্ষক।</t>
  </si>
  <si>
    <t>অভিজ্ঞতাই সেরা শিক্ষক</t>
  </si>
  <si>
    <t>বাস্তব অভিজ্ঞতা থেকে সবচেয়ে বেশি শেখা যায়।</t>
  </si>
  <si>
    <t>Experience is the best teacher</t>
  </si>
  <si>
    <t>অভিজ্ঞ ব্যক্তি</t>
  </si>
  <si>
    <t>ঠেখে শেখা আর দেখে শেখা।</t>
  </si>
  <si>
    <t>ঠেকে শেখা আর দেখে শেখা</t>
  </si>
  <si>
    <t>ভুল করে শেখা আর দেখে শেখা।</t>
  </si>
  <si>
    <t>Experience teaches better than wisdom</t>
  </si>
  <si>
    <t>ডোল ভরা আশা আর কুলো ভরা ছাই।</t>
  </si>
  <si>
    <t>ডোল ভরা আশা আর কুলো ভরা ছাই</t>
  </si>
  <si>
    <t>অতিরিক্ত আশা হতাশার কারণ হয়।</t>
  </si>
  <si>
    <t>Extravagant hopes lead to complete disappointment</t>
  </si>
  <si>
    <t>ব্যর্থতাই সাফল্যের চাবি স্তম্ভস্বরূপ।</t>
  </si>
  <si>
    <t>ব্যর্থতা সাফল্যের চাবি</t>
  </si>
  <si>
    <t>ব্যর্থতা থেকেই সাফল্যের পথ খোলে।</t>
  </si>
  <si>
    <t>Failure is the pillar of success</t>
  </si>
  <si>
    <t>ব্যর্থ ব্যক্তি</t>
  </si>
  <si>
    <t>মিষ্টি কথায় চিঁড়ে ভেজে না।</t>
  </si>
  <si>
    <t>মিষ্টি কথায় চিড়ে ভেজে না</t>
  </si>
  <si>
    <t>শুধু কথায় কাজ হয় না।</t>
  </si>
  <si>
    <t>Fair words do not fill the pocket</t>
  </si>
  <si>
    <t>কথাবাজ ব্যক্তি</t>
  </si>
  <si>
    <t>বিশ্বাস পাহাড়কেও টলায় ।</t>
  </si>
  <si>
    <t>বিশ্বাস পাহাড়কেও নাড়ায়</t>
  </si>
  <si>
    <t>দৃঢ় বিশ্বাস অসম্ভবকে সম্ভব করে।</t>
  </si>
  <si>
    <t>Faith will move mountains</t>
  </si>
  <si>
    <t>বিশ্বাসী ব্যক্তি</t>
  </si>
  <si>
    <t>অধিক মাখামাখিতে মান নষ্ট।</t>
  </si>
  <si>
    <t>অতিরিক্ত ঘনিষ্ঠতা সম্মান নষ্ট করে</t>
  </si>
  <si>
    <t>অতিরিক্ত পরিচিতি সম্মান কমিয়ে দেয়।</t>
  </si>
  <si>
    <t>Familiarity breeds contempt</t>
  </si>
  <si>
    <t>অতিনিকট আত্মীয়</t>
  </si>
  <si>
    <t>ভাগ্যের (কপালের) লেখা খণ্ডায় কে।</t>
  </si>
  <si>
    <t>ভাগ্যের লেখা কেউ বদলাতে পারে না</t>
  </si>
  <si>
    <t>ভাগ্যের নির্ধারণ অমোঘ।</t>
  </si>
  <si>
    <t>Fate cannot be resisted</t>
  </si>
  <si>
    <t>ভাগ্যং ফলিত সর্বত্র ।</t>
  </si>
  <si>
    <t>ভাগ্য সব জায়গায় কাজ করে</t>
  </si>
  <si>
    <t>ভাগ্যের প্রভাব সর্বত্র।</t>
  </si>
  <si>
    <t>Fate rules everywhere</t>
  </si>
  <si>
    <t>যারে দেখতে নারি, তার চলন বাঁকা ।</t>
  </si>
  <si>
    <t>যাকে দেখতে চাই না, তার চলন বাঁকা</t>
  </si>
  <si>
    <t>যাকে অপছন্দ করি, তার সবই খারাপ লাগে।</t>
  </si>
  <si>
    <t>Faults are thick where love is thin</t>
  </si>
  <si>
    <t>বিদ্বেষপূর্ণ ব্যক্তি</t>
  </si>
  <si>
    <t>এই প্রবাদের ডুপ্লিকেট আছে (id: 206, 207, 6823), এটা রাখো (সবচেয়ে ছোট id)।</t>
  </si>
  <si>
    <t>যারে দেখতে নারি তার চলন বাঁকা।</t>
  </si>
  <si>
    <t>Faults come thick where love is thin</t>
  </si>
  <si>
    <t>ভয়ে গায়ের রক্ত শুকিয়ে যায়।</t>
  </si>
  <si>
    <t>ভয়ে গায়ের রক্ত শুকিয়ে যায়</t>
  </si>
  <si>
    <t>অতিরিক্ত ভয়ে মানুষ দুর্বল হয়ে পড়ে।</t>
  </si>
  <si>
    <t>Fear makes the blood curdle</t>
  </si>
  <si>
    <t>ঘরের শত্রু বিভীষণ।</t>
  </si>
  <si>
    <t>ঘরের শত্রু বিভীষণ</t>
  </si>
  <si>
    <t>ঘরের ভেতরের শত্রু সবচেয়ে বিপজ্জনক।</t>
  </si>
  <si>
    <t>Fifth columnist</t>
  </si>
  <si>
    <t>target 'ঘরের শত্রু' প্রবাদটারই প্রায় প্রতিশব্দ। ছোট সমস্যা, জরুরি না।</t>
  </si>
  <si>
    <t>মিষ্টি কথায় চিড়ে ভিজে না।</t>
  </si>
  <si>
    <t>মিষ্টি কথায় চিড়ে ভিজে না</t>
  </si>
  <si>
    <t>শুধু কথা দিয়ে কাজ হয় না।</t>
  </si>
  <si>
    <t>Fine words butter no parsnips</t>
  </si>
  <si>
    <t>২১১-র সাথে প্রায় একই প্রবাদ। automatic lookup ধরেনি, নিজে দেখো।</t>
  </si>
  <si>
    <t>শুধু মিষ্টি কথায় চিরে ভেজে না।</t>
  </si>
  <si>
    <t>শুধু মিষ্টি কথায় চিড়ে ভেজে না</t>
  </si>
  <si>
    <t>Fire or fine words butter no parsnips</t>
  </si>
  <si>
    <t>২১০-র সাথে দেখো - একই নোট।</t>
  </si>
  <si>
    <t>আগে আসলে আগে পাবে ।</t>
  </si>
  <si>
    <t>আগে আসলে আগে পাবে</t>
  </si>
  <si>
    <t>যে আগে আসে, সে আগে পায়।</t>
  </si>
  <si>
    <t>First come, first served</t>
  </si>
  <si>
    <t>গাঁয়ে মানে না আপনি মোড়ল।</t>
  </si>
  <si>
    <t>গ্রামে মানে না, নিজেকে মোড়ল মনে করে</t>
  </si>
  <si>
    <t>অহংকারী মানুষ নিজেকে বড় মনে করে।</t>
  </si>
  <si>
    <t>Fool to others to himself a sage</t>
  </si>
  <si>
    <t>এই প্রবাদের ডুপ্লিকেট আছে (id: 214, 3496), এটা রাখো (সবচেয়ে ছোট id)।</t>
  </si>
  <si>
    <t>বোকারা অনেক দেরিতে বোঝে।</t>
  </si>
  <si>
    <t>বোকারা অনেক দেরিতে বোঝে</t>
  </si>
  <si>
    <t>বোকা মানুষ সময়মতো কিছু বোঝে না।</t>
  </si>
  <si>
    <t>Fools of yesterday are the wise men of today</t>
  </si>
  <si>
    <t>বোকা ব্যক্তি</t>
  </si>
  <si>
    <t>মূর্খই মূর্খের কদর করে ।</t>
  </si>
  <si>
    <t>মূর্খই মূর্খের কদর করে</t>
  </si>
  <si>
    <t>মূর্খ মানুষ মূর্খকেই পছন্দ করে।</t>
  </si>
  <si>
    <t>Fools praise fools</t>
  </si>
  <si>
    <t>মূর্খ ব্যক্তি</t>
  </si>
  <si>
    <t>হাতি ঘোড়া গেল তল, পিপড়া বলে কত জল।</t>
  </si>
  <si>
    <t>হাতি-ঘোড়া ডুবে গেল, পিঁপড়া বলে কত জল</t>
  </si>
  <si>
    <t>ছোটরা বড়দের নিয়ে মন্তব্য করে।</t>
  </si>
  <si>
    <t>Fools rush in where angels fear to tread</t>
  </si>
  <si>
    <t>২৫৯-র সাথে একই প্রবাদ, শুধু বানান আলাদা। একটা রাখার কথা ভাবো।</t>
  </si>
  <si>
    <t>ক্ষমা পরম ধর্ম ক্ষমা কর ও ভুলে যাও ।</t>
  </si>
  <si>
    <t>ক্ষমা পরম ধর্ম</t>
  </si>
  <si>
    <t>ক্ষমা করো এবং ভুলে যাও।</t>
  </si>
  <si>
    <t>Forgive and forget</t>
  </si>
  <si>
    <t>ক্ষমাশীল ব্যক্তি</t>
  </si>
  <si>
    <t>ভাগ্যবানের বোঝা ভগমানে বয়।</t>
  </si>
  <si>
    <t>ভাগ্যবানের বোঝা ভগবান বহন করেন</t>
  </si>
  <si>
    <t>ভাগ্যবান মানুষ সহজেই কাজ সম্পন্ন করে।</t>
  </si>
  <si>
    <t>Fortune favors the brave</t>
  </si>
  <si>
    <t>পরিশ্রমীদের প্রতি ভাগ্য সুপ্রসন্ন ।</t>
  </si>
  <si>
    <t>পরিশ্রমীদের প্রতি ভাগ্য সুপ্রসন্ন</t>
  </si>
  <si>
    <t>পরিশ্রমীদের ভাগ্য সহায় হয়।</t>
  </si>
  <si>
    <t>Fortune favors the industrious</t>
  </si>
  <si>
    <t>অধিকতর খারাপ অবস্থায় পড়া।</t>
  </si>
  <si>
    <t>আরও খারাপ অবস্থায় পড়া</t>
  </si>
  <si>
    <t>একটি বিপদ থেকে আরও বড় বিপদে পড়া।</t>
  </si>
  <si>
    <t>From the frying pan to the fire</t>
  </si>
  <si>
    <t>বানরকে নাই দিলে মাথায় ওঠে।</t>
  </si>
  <si>
    <t>বানরকে একটু সুযোগ দিলে মাথায় ওঠে</t>
  </si>
  <si>
    <t>সুযোগ পেলে মানুষ ক্ষমতা দখল করতে চায়।</t>
  </si>
  <si>
    <t>Give him an inch and he will take an ell</t>
  </si>
  <si>
    <t>যার যা প্রাপ্য তাকে তা দাও ; শয়তানকেও তার ন্যায্য পাওনা দেবে।</t>
  </si>
  <si>
    <t>যার যা প্রাপ্য, তাকে তা দাও</t>
  </si>
  <si>
    <t>প্রত্যেককে তার ন্যায্য পাওনা দাও।</t>
  </si>
  <si>
    <t>Give the devil his due</t>
  </si>
  <si>
    <t>ন্যায়পরায়ণ ব্যক্তি</t>
  </si>
  <si>
    <t>কান টানলে মাথা আসে ।</t>
  </si>
  <si>
    <t>কান টানলে মাথা আসে</t>
  </si>
  <si>
    <t>একটি কাজ করলে পরের কাজও হয়ে যায়।</t>
  </si>
  <si>
    <t>Give the one, the other will follow</t>
  </si>
  <si>
    <t>এই প্রবাদের ডুপ্লিকেট আছে (id: 226, 2992), এটা রাখো (সবচেয়ে ছোট id)।</t>
  </si>
  <si>
    <t>পরিশ্রমীদের আল্লাহ সাহায্য করেন।</t>
  </si>
  <si>
    <t>পরিশ্রমীদের আল্লাহ সাহায্য করেন</t>
  </si>
  <si>
    <t>যারা পরিশ্রম করে, তারা সফল হয়।</t>
  </si>
  <si>
    <t>God helps them who help themselves</t>
  </si>
  <si>
    <t>জ্বীব দিয়েছেন যিনি, আহার দিবেন তিনি।</t>
  </si>
  <si>
    <t>যিনি জীবন দিয়েছেন, তিনি খাবার দেবেন</t>
  </si>
  <si>
    <t>সৃষ্টিকর্তা জীবন দিয়ে খাবারও দেবেন।</t>
  </si>
  <si>
    <t>God never sends mouths, but He sends meat</t>
  </si>
  <si>
    <t>আস্তিক্য</t>
  </si>
  <si>
    <t>খুশ খবরের মিথ্যাও ভাল।</t>
  </si>
  <si>
    <t>আনন্দের খবর মিথ্যা হলেও ভালো</t>
  </si>
  <si>
    <t>খারাপ সত্যের চেয়ে মিথ্যা সুখবর ভালো।</t>
  </si>
  <si>
    <t>Good news is good, if it is proves false</t>
  </si>
  <si>
    <t>চেনা বামুনের পৈতা লাগে না।</t>
  </si>
  <si>
    <t>চেনা ব্রাহ্মণের পৈতা লাগে না</t>
  </si>
  <si>
    <t>চেনা মানুষকে পরিচয় দিতে হয় না।</t>
  </si>
  <si>
    <t>Good wine needs no bush</t>
  </si>
  <si>
    <t>পরিচিত ব্যক্তি</t>
  </si>
  <si>
    <t>দুরের জিনিস ভালো দেখায় ।</t>
  </si>
  <si>
    <t>দূরের জিনিস ভালো দেখায়</t>
  </si>
  <si>
    <t>Grass in always greener on the other side of the fence</t>
  </si>
  <si>
    <t>আপনার চরকায় তেল দাও ।</t>
  </si>
  <si>
    <t>নিজের চরকায় তেল দাও</t>
  </si>
  <si>
    <t>নিজের কাজে মন দাও।</t>
  </si>
  <si>
    <t>Grease your own wheel</t>
  </si>
  <si>
    <t>মহৎ লোকেরা এ রকম চিন্তা করেন ।</t>
  </si>
  <si>
    <t>মহৎ লোকেরা এরকম চিন্তা করেন</t>
  </si>
  <si>
    <t>মহৎ মানুষের চিন্তা বড় হয়।</t>
  </si>
  <si>
    <t>Great minds think alike</t>
  </si>
  <si>
    <t>মহৎ ব্যক্তি</t>
  </si>
  <si>
    <t>চিন্তা/বুদ্ধি</t>
  </si>
  <si>
    <t>মুখে বুলি লম্বা, কাজে অষ্টরম্ভা।</t>
  </si>
  <si>
    <t>মুখে বড় কথা, কাজে অসমর্থ</t>
  </si>
  <si>
    <t>যারা বেশি কথা বলে, তারা কাজে কম দক্ষ।</t>
  </si>
  <si>
    <t>Great talkers are little doers</t>
  </si>
  <si>
    <t>কুকুরের পেটে ঘি সয় না/ ঢেঁকি স্বর্গে গেলেও ধান ভানে।</t>
  </si>
  <si>
    <t>অভ্যাস পরিবর্তন করা কঠিন</t>
  </si>
  <si>
    <t>অভ্যাসই দ্বিতীয় প্রকৃতি।</t>
  </si>
  <si>
    <t>Habit is the second nature</t>
  </si>
  <si>
    <t>অভ্যাসগত সমস্যা</t>
  </si>
  <si>
    <t>নাই মামার চেয়ে কানা মামা ভাল।</t>
  </si>
  <si>
    <t>না থাকার চেয়ে কম থাকা ভালো</t>
  </si>
  <si>
    <t>কিছু না থাকার চেয়ে সামান্য থাকা ভালো।</t>
  </si>
  <si>
    <t>Half a loaf is better than no loaf</t>
  </si>
  <si>
    <t>অল্পসন্তুষ্ট ব্যক্তি</t>
  </si>
  <si>
    <t>সন্তুষ্টি</t>
  </si>
  <si>
    <t>যে হাতে দোলনা দোলায় সে হাত পৃথিবী চালায় ।</t>
  </si>
  <si>
    <t>যে হাতে দোলনা দোলায়, সেই হাত পৃথিবী চালায়</t>
  </si>
  <si>
    <t>মায়ের হাতের গুরুত্ব অপরিসীম।</t>
  </si>
  <si>
    <t>Hand that rocks the cradle rules the world</t>
  </si>
  <si>
    <t>মা/নারী</t>
  </si>
  <si>
    <t>লিঙ্গ/মাতৃত্ব</t>
  </si>
  <si>
    <t>মাতৃত্বের গুরুত্ব নিয়ে ইতিবাচক gender-related প্রবাদ, target 'মা/নারী' যুক্তিসঙ্গত। ভালো উদাহরণ।</t>
  </si>
  <si>
    <t>রূপে কালো গুণে আলো।</t>
  </si>
  <si>
    <t>রূপে কালো, গুণে আলো</t>
  </si>
  <si>
    <t>চেহারা খারাপ হলেও গুণ থাকতে পারে।</t>
  </si>
  <si>
    <t>Handsome is that handsome does</t>
  </si>
  <si>
    <t>গুণ/রূপ</t>
  </si>
  <si>
    <t>জাতের মেয়ে কালো ভালো নদীর পানি ঘোলা ভালো ।</t>
  </si>
  <si>
    <t>জাতের মেয়ে কালো ভালো, নদীর পানি ঘোলা ভালো</t>
  </si>
  <si>
    <t>সব জিনিসের নিজস্ব গুণ আছে।</t>
  </si>
  <si>
    <t>Handsome is what handsome does</t>
  </si>
  <si>
    <t>পরের মন্দ করতে গেলে আপনার মন্দ আগে হয়/ ভয় করলে ভয় আপনি এসে পড়ে ।</t>
  </si>
  <si>
    <t>অন্যের মন্দ করতে গেলে নিজের মন্দ আগে হয়</t>
  </si>
  <si>
    <t>অন্যের ক্ষতি করতে গেলে নিজের ক্ষতি হয়।</t>
  </si>
  <si>
    <t>Harm watch, harm catch</t>
  </si>
  <si>
    <t>তাড়াতাড়ি কোন কাজ ভালো হয় না।</t>
  </si>
  <si>
    <t>তাড়াতাড়ি কাজ ভালো হয় না</t>
  </si>
  <si>
    <t>দ্রুত করলে কাজ ভালো হয় না।</t>
  </si>
  <si>
    <t>Haste makes waste</t>
  </si>
  <si>
    <t>দিন আনতে পান্তা ফুরায়।</t>
  </si>
  <si>
    <t>দিন আনতে পান্তা ফুরায়</t>
  </si>
  <si>
    <t>অর্থাভাবে দিন কাটানো কঠিন।</t>
  </si>
  <si>
    <t>He can hardly keep the wolf from the door</t>
  </si>
  <si>
    <t>তার একটু মাথায় ছিট আছে।</t>
  </si>
  <si>
    <t>তার একটু মাথায় ছিট আছে</t>
  </si>
  <si>
    <t>তার একটু পাগলামি আছে।</t>
  </si>
  <si>
    <t>He is a bit crazy or eccentric</t>
  </si>
  <si>
    <t>পাগলাটে ব্যক্তি</t>
  </si>
  <si>
    <t>সে কচি খোকা নয়।</t>
  </si>
  <si>
    <t>সে ছোট শিশু নয়</t>
  </si>
  <si>
    <t>তিনি অভিজ্ঞ বা বুড়ো।</t>
  </si>
  <si>
    <t>He is no chicken</t>
  </si>
  <si>
    <t>সব ভালো তার শেষ ভালো যার।</t>
  </si>
  <si>
    <t>He laughs best who loveth best</t>
  </si>
  <si>
    <t>৮৬,৮৭,২৫৬-র সাথে একই প্রবাদের ভিন্ন রূপ। এই কটা মিলিয়ে একটা রাখার কথা ভাবো।</t>
  </si>
  <si>
    <t>ভাজা মাছটি উলটে খেতে জানে না।</t>
  </si>
  <si>
    <t>ভাজা মাছ উল্টে খেতে জানে না</t>
  </si>
  <si>
    <t>সাধারণ কাজও করতে পারে না।</t>
  </si>
  <si>
    <t>He poses to be quite simple and innocent</t>
  </si>
  <si>
    <t>জীবে প্রেম করে যেইজন, সেইজন সেবিছে ঈশ্বর ।</t>
  </si>
  <si>
    <t>যে জীবকে ভালোবাসে, সেই ঈশ্বরকে সেবা করে</t>
  </si>
  <si>
    <t>প্রাণীপ্রেম ঈশ্বরের সেবা।</t>
  </si>
  <si>
    <t>He prayeth best who loveth best</t>
  </si>
  <si>
    <t>প্রাণীপ্রেমী</t>
  </si>
  <si>
    <t>সাপ হয়ে কাটে, আর ওঝা হয়ে ঝাড়ে ; বরের ঘরের পিসী, কনের ঘরের মাসী।</t>
  </si>
  <si>
    <t>সাপ হয়ে কাটে, ওঝা হয়ে ঝাড়ে</t>
  </si>
  <si>
    <t>উভয় পক্ষে সুবিধা নেওয়া।</t>
  </si>
  <si>
    <t>He runs with the hare and hunts with the hounds</t>
  </si>
  <si>
    <t>দ্বিমুখী ব্যক্তি</t>
  </si>
  <si>
    <t>কুটো চুরি করতে করতেই কুলো চোর হয়।</t>
  </si>
  <si>
    <t>ছোট চুরি করতে করতে বড় চোর হয়</t>
  </si>
  <si>
    <t>ছোট অপরাধ ধীরে ধীরে বড় অপরাধে পরিণত হয়।</t>
  </si>
  <si>
    <t>He that will steal an egg will steal an ox</t>
  </si>
  <si>
    <t>মেয়েকে জয় করতে হলে আগে তার মাকে খুশী কর।</t>
  </si>
  <si>
    <t>মেয়েকে জয় করতে হলে আগে মাকে খুশি কর</t>
  </si>
  <si>
    <t>মেয়ের মন জয় করতে তার মাকে খুশি করা প্রয়োজন।</t>
  </si>
  <si>
    <t>He that would the daughter win, must win the mother first begin</t>
  </si>
  <si>
    <t>target 'প্রযোজ্য নয়' বসানো আছে, courtship বিষয়বস্তু, আরেকটু নির্দিষ্ট target ভাবতে পারো। জরুরি না।</t>
  </si>
  <si>
    <t>অনেক কাজ একসাথে শুরু করলে কোনটাই ভালো হয় না।</t>
  </si>
  <si>
    <t>অনেক কাজ একসাথে শুরু করলে কোনোটাই ভালো হয় না</t>
  </si>
  <si>
    <t>একসাথে অনেক কাজ শুরু করলে সব শেষ হয় না।</t>
  </si>
  <si>
    <t>He who begins many things, finishes but few</t>
  </si>
  <si>
    <t>দুই নৌকায় পা দিলে কোনটাতেই ওঠা যায় না।</t>
  </si>
  <si>
    <t>দুই নৌকায় পা দিলে কোনোটি ধরা যায় না</t>
  </si>
  <si>
    <t>দুটি কাজ একসাথে করলে কোনোটিই সফল হয় না।</t>
  </si>
  <si>
    <t>He who follows two hares catches neither</t>
  </si>
  <si>
    <t>আপনি শুতে ঠাঁই পায় না, শষঙ্করাকে ডাকে।</t>
  </si>
  <si>
    <t>নিজের শোবার জায়গা নেই, অন্যদের ডাকে</t>
  </si>
  <si>
    <t>যার নিজের কিছুই নেই, সে অন্যের কাছে আশা করে।</t>
  </si>
  <si>
    <t>He who has nothing to spare must not keep a dog</t>
  </si>
  <si>
    <t>নির্ধন ব্যক্তি</t>
  </si>
  <si>
    <t>অদৃষ্টে করলা ভাতে, বিচি কচকচ করে তাতে।</t>
  </si>
  <si>
    <t>ভাগ্যে করলা ভাতে, বিচি কচকচ করে</t>
  </si>
  <si>
    <t>ভাগ্যে যা আছে, তাই হয়।</t>
  </si>
  <si>
    <t>He who is born in misfortune stumbles as he goes</t>
  </si>
  <si>
    <t>অভাগা ব্যক্তি</t>
  </si>
  <si>
    <t>শেষ ভালো যার সব ভালো তার ।</t>
  </si>
  <si>
    <t>শেষ ভালো যার, সব ভালো তার</t>
  </si>
  <si>
    <t>He who laughs last laughs longest</t>
  </si>
  <si>
    <t>৮৬,৮৭,২৪৬-র সাথে দেখো - একই প্রবাদের রূপ।</t>
  </si>
  <si>
    <t>যে টাকা দেয় তার ইচ্ছাতেই কর্ম হয়।</t>
  </si>
  <si>
    <t>যে টাকা দেয়, তার ইচ্ছাতেই কাজ হয়</t>
  </si>
  <si>
    <t>অর্থদাতার ইচ্ছাই প্রধান।</t>
  </si>
  <si>
    <t>He who pays the piper calls the tune</t>
  </si>
  <si>
    <t>অর্থদাতা</t>
  </si>
  <si>
    <t>আকাশের দিকে থুথু ফেললে আপন গায়েই লাগে ।</t>
  </si>
  <si>
    <t>আকাশে থুথু ফেললে নিজের গায়েই পড়ে</t>
  </si>
  <si>
    <t>He who spits against the wind spits against his own face</t>
  </si>
  <si>
    <t>হাতি ঘোড়া গেল তল, পিঁপড়ে বলে কত জল ।</t>
  </si>
  <si>
    <t>He would bend the bow of Ulysses</t>
  </si>
  <si>
    <t>২১৭-র সাথে দেখো - একই নোট।</t>
  </si>
  <si>
    <t>বড় যদি হতে চাও ছোট হও তবে ।</t>
  </si>
  <si>
    <t>নম্রতা থেকেই মহত্ত্ব আসে।</t>
  </si>
  <si>
    <t>He would climb the ladder must begin at the bottom</t>
  </si>
  <si>
    <t>নম্র ব্যক্তি</t>
  </si>
  <si>
    <t>এই প্রবাদের ডুপ্লিকেট আছে (id: 260, 5465), এটা রাখো (সবচেয়ে ছোট id)।</t>
  </si>
  <si>
    <t>মায়ের পায়ের তলে বেহেস্ত ।</t>
  </si>
  <si>
    <t>মায়ের পায়ের তলে বেহেশত</t>
  </si>
  <si>
    <t>মায়ের সেবা করলে জান্নাত পাওয়া যায়।</t>
  </si>
  <si>
    <t>Heaven lies at the foot of mother</t>
  </si>
  <si>
    <t>ধর্মীয়+মাতৃত্ব সংক্রান্ত ইতিবাচক প্রবাদ, target 'মা/নারী' ঠিক আছে।</t>
  </si>
  <si>
    <t>উঁচু গাছেই বেশি ঝড় লাগে।</t>
  </si>
  <si>
    <t>উঁচু গাছে বেশি ঝড় লাগে</t>
  </si>
  <si>
    <t>বড় বা সফল মানুষদের বেশি সমালোচনার মুখোমুখি হতে হয়।</t>
  </si>
  <si>
    <t>High winds blow on high hills</t>
  </si>
  <si>
    <t>সফল ব্যক্তি</t>
  </si>
  <si>
    <t>সাফল্য/সমালোচনা</t>
  </si>
  <si>
    <t>এখন তার একাদশে বৃহস্পতি।</t>
  </si>
  <si>
    <t>এখন তার একাদশে বৃহস্পতি</t>
  </si>
  <si>
    <t>তার ভাগ্য এখন ভালো।</t>
  </si>
  <si>
    <t>His stars are now in the ascendant</t>
  </si>
  <si>
    <t>সময় সুযোগ বুঝে কাজ কর ।</t>
  </si>
  <si>
    <t>সময় ও সুযোগ বুঝে কাজ কর</t>
  </si>
  <si>
    <t>সুযোগ বুঝে কাজ করা উচিত।</t>
  </si>
  <si>
    <t>Hoist your sail when the wind is fair</t>
  </si>
  <si>
    <t>বাড়ি হলো তাই যেখানে হৃদয় থাকে।</t>
  </si>
  <si>
    <t>বাড়ি হলো যেখানে হৃদয় থাকে</t>
  </si>
  <si>
    <t>প্রিয়জনদের সাথে থাকা স্থানই ঘর।</t>
  </si>
  <si>
    <t>Home is where the heart is</t>
  </si>
  <si>
    <t>সততাই সর্বোত্তম পন্থা ।</t>
  </si>
  <si>
    <t>সততা সর্বোত্তম পন্থা</t>
  </si>
  <si>
    <t>সৎ থাকা সবচেয়ে ভালো।</t>
  </si>
  <si>
    <t>Honesty is the best policy</t>
  </si>
  <si>
    <t>সৎ ব্যক্তি</t>
  </si>
  <si>
    <t>শাঁখের করাত, যেতেও কাটে আসতেও কাটে।</t>
  </si>
  <si>
    <t>শাঁখের করাত—যেতেও কাটে, আসতেও কাটে</t>
  </si>
  <si>
    <t>দুই দিক থেকেই বিপদ।</t>
  </si>
  <si>
    <t>Horns of dilemma</t>
  </si>
  <si>
    <t>ক্ষুধা পেলে বাঘে ধান খায়।</t>
  </si>
  <si>
    <t>ক্ষুধা পেলে বাঘে ধান খায়</t>
  </si>
  <si>
    <t>প্রয়োজনে মানুষ অপ্রত্যাশিত কাজ করতে পারে।</t>
  </si>
  <si>
    <t>Hunger is the best sauce</t>
  </si>
  <si>
    <t>তুমি বেড়াও ডালে-ডালে, তো আমি বেড়াই পাতায়-পাতায়।</t>
  </si>
  <si>
    <t>তুমি ডালে ডালে, আমি পাতায় পাতায়</t>
  </si>
  <si>
    <t>আমি তোমার চেয়ে বেশি জানি।</t>
  </si>
  <si>
    <t>I know the ins and outs more than you do</t>
  </si>
  <si>
    <t>জ্ঞান/অভিজ্ঞতা</t>
  </si>
  <si>
    <t>পড়ল কথা সভার মাঝে, যার কথা তার গায়ে বাজে।</t>
  </si>
  <si>
    <t>সভায় কথা পড়লে, যার কথা তার গায়ে লাগে</t>
  </si>
  <si>
    <t>প্রাসঙ্গিক কথা সংশ্লিষ্ট ব্যক্তিকে প্রভাবিত করে।</t>
  </si>
  <si>
    <t>If the cap fits, wear it</t>
  </si>
  <si>
    <t>প্রাসঙ্গিক ব্যক্তি</t>
  </si>
  <si>
    <t>শীত সমাগত, তবুও বসন্ত কি বহু দূরে?; মেঘ দেখে কেউ করিসনে ভয় আড়ালে তার সূর্য হাসে।</t>
  </si>
  <si>
    <t>শীত এলেও বসন্ত দূরে নয়</t>
  </si>
  <si>
    <t>অন্ধকারের পরেই আলো আসে।</t>
  </si>
  <si>
    <t>If winter comes can spring be far behind?</t>
  </si>
  <si>
    <t>যত হাসি তত কান্না, বলে গেছে রাম শর্মা।</t>
  </si>
  <si>
    <t>If you laugh to-day you may cry to-morrow</t>
  </si>
  <si>
    <t>পাপের ধন প্রায়শ্চিত্তে যায়।</t>
  </si>
  <si>
    <t>পাপের ধন প্রায়শ্চিত্তে যায়</t>
  </si>
  <si>
    <t>অসৎ উপায়ে অর্জিত অর্থ ব্যয় হয়।</t>
  </si>
  <si>
    <t>Ill got, ill spent</t>
  </si>
  <si>
    <t>মন্দ খবর বাতাসের আগে চলে।</t>
  </si>
  <si>
    <t>মন্দ খবর বাতাসের আগে চলে</t>
  </si>
  <si>
    <t>খারাপ খবর দ্রুত ছড়িয়ে পড়ে।</t>
  </si>
  <si>
    <t>Ill news runs apace</t>
  </si>
  <si>
    <t>মন্দ খবর বাতাসের আগে যায় ।</t>
  </si>
  <si>
    <t>মন্দ খবর বাতাসের আগে যায়</t>
  </si>
  <si>
    <t>Ill news spreads faster than wind</t>
  </si>
  <si>
    <t>আগাছার বাড় বেশি।</t>
  </si>
  <si>
    <t>আগাছা দ্রুত বাড়ে</t>
  </si>
  <si>
    <t>অসৎ বা খারাপ জিনিস দ্রুত বাড়ে।</t>
  </si>
  <si>
    <t>Ill weed's grow apace</t>
  </si>
  <si>
    <t>অজাতের বৃদ্ধি বেশি।</t>
  </si>
  <si>
    <t>অজাতের বৃদ্ধি বেশি</t>
  </si>
  <si>
    <t>Ill weeds grow apace</t>
  </si>
  <si>
    <t>বেঙের সর্দি হওয়া।</t>
  </si>
  <si>
    <t>ব্যাঙের সর্দি হওয়া</t>
  </si>
  <si>
    <t>অসম্ভব ব্যাপার।</t>
  </si>
  <si>
    <t>Impossibility ; absurdity</t>
  </si>
  <si>
    <t>এক কান দিয়ে ঢোকে, আর এক কান দিয়ে বেরোয়।</t>
  </si>
  <si>
    <t>এক কান দিয়ে ঢোকে, আরেক কান দিয়ে বেরোয়</t>
  </si>
  <si>
    <t>মনোযোগ না দিয়ে শোনা।</t>
  </si>
  <si>
    <t>In at one ear and out at the another</t>
  </si>
  <si>
    <t>অমনোযোগী ব্যক্তি</t>
  </si>
  <si>
    <t>কুঁড়ের অন্ন হয় না ।</t>
  </si>
  <si>
    <t>অলসের খাবার জোটে না</t>
  </si>
  <si>
    <t>অলস মানুষ খাবার পায় না।</t>
  </si>
  <si>
    <t>Indolence is the mother of poverty</t>
  </si>
  <si>
    <t>পরিশ্রমই সৌভাগ্যের চাবিকাঠি।</t>
  </si>
  <si>
    <t>পরিশ্রম করলে সফলতা আসে।</t>
  </si>
  <si>
    <t>Industry is the key to success</t>
  </si>
  <si>
    <t>বিধাতার লিখন না যায় খন্ডন।</t>
  </si>
  <si>
    <t>বিধাতার লেখা কেউ বদলাতে পারে না</t>
  </si>
  <si>
    <t>Inevitable are the decrees of God</t>
  </si>
  <si>
    <t>আসলের চেয়ে সুদ মিষ্টি।</t>
  </si>
  <si>
    <t>আসলের চেয়ে সুদ মিষ্টি</t>
  </si>
  <si>
    <t>সুদ বা বাড়তি জিনিস বেশি আকর্ষণীয়।</t>
  </si>
  <si>
    <t>Interest is sweeter than the principal</t>
  </si>
  <si>
    <t>বড় লোকের বড় কথা।</t>
  </si>
  <si>
    <t>বড় লোকের বড় কথা</t>
  </si>
  <si>
    <t>ধনী বা ক্ষমতাবানদের কথা বড় হয়।</t>
  </si>
  <si>
    <t>It is a different matter with the rich</t>
  </si>
  <si>
    <t>ধনী/ক্ষমতাবান</t>
  </si>
  <si>
    <t>সামাজিক অবস্থা</t>
  </si>
  <si>
    <t>যার কোন গুণ নাই তার কপালে আগুন।</t>
  </si>
  <si>
    <t>যার কোনো গুণ নেই, তার কপালে আগুন</t>
  </si>
  <si>
    <t>গুণহীনের জন্য দুর্যোগ।</t>
  </si>
  <si>
    <t>It is a pity he is good for nothing (Ne'er-do well)</t>
  </si>
  <si>
    <t>রক্তমাংসের শরীরে এটা সহ্য করতে পারা যায় না।</t>
  </si>
  <si>
    <t>রক্ত-মাংসের শরীরে সহ্য করা যায় না</t>
  </si>
  <si>
    <t>অতি কঠিন কাজ সহ্য করা যায় না।</t>
  </si>
  <si>
    <t>It is beyond human endurance</t>
  </si>
  <si>
    <t>বলা সহজ, করা কঠিন।</t>
  </si>
  <si>
    <t>It is easy to say but difficult to do</t>
  </si>
  <si>
    <t>জলে বাস করে কুমীরের সাথে বিবাদ ।</t>
  </si>
  <si>
    <t>জলে বাস করে কুমিরের সাথে বিবাদ</t>
  </si>
  <si>
    <t>শত্রুর সাথে বাস করে ঝগড়া করা।</t>
  </si>
  <si>
    <t>It is folly to live in Rome and strive with the Pope</t>
  </si>
  <si>
    <t>কুমীরের সঙ্গে বিবাদ করে জলে বাস।</t>
  </si>
  <si>
    <t>কুমিরের সাথে বিবাদ করে জলে বাস</t>
  </si>
  <si>
    <t>It is hard to sit at Rome and strive with the Pope</t>
  </si>
  <si>
    <t>এই তো কলির সন্ধ্যা ।</t>
  </si>
  <si>
    <t>এই তো কলির সন্ধ্যা</t>
  </si>
  <si>
    <t>এখনই ঝামেলা শুরু।</t>
  </si>
  <si>
    <t>It is just the beginning the trouble</t>
  </si>
  <si>
    <t>দেরি হলেও সংশোধনের সময় থাকে ।</t>
  </si>
  <si>
    <t>দেরি হলেও সংশোধনের সময় আছে</t>
  </si>
  <si>
    <t>কখনও দেরি হয়ে গেলেও সংশোধন করা যায়।</t>
  </si>
  <si>
    <t>It is never too late to mend</t>
  </si>
  <si>
    <t>সংশোধনপ্রত্যাশী</t>
  </si>
  <si>
    <t>গতস্য শোচনা নাস্তি; অতীত নিয়ে দুঃখ করে লাভ নেই ।</t>
  </si>
  <si>
    <t>অতীত নিয়ে দুঃখ করে লাভ নেই</t>
  </si>
  <si>
    <t>অতীতের জন্য কান্নাকাটি করা বৃথা।</t>
  </si>
  <si>
    <t>It is no use crying over spilt milk</t>
  </si>
  <si>
    <t>অতীতকেন্দ্রিক ব্যক্তি</t>
  </si>
  <si>
    <t>অপরের দোষ ধরা সহজ।</t>
  </si>
  <si>
    <t>অন্যের দোষ ধরা সহজ</t>
  </si>
  <si>
    <t>অন্যের ভুল খুঁজে বের করা সহজ।</t>
  </si>
  <si>
    <t>It is very easy to find fault with others</t>
  </si>
  <si>
    <t>মন্দরা সব একসাথে আসে ।</t>
  </si>
  <si>
    <t>খারাপ জিনিস সব একসাথে আসে</t>
  </si>
  <si>
    <t>একটি খারাপ ঘটনার পর আরও খারাপ ঘটনা ঘটে।</t>
  </si>
  <si>
    <t>It never rains but it pours</t>
  </si>
  <si>
    <t>সবজান্তা কিন্তু কোনটিতেই ওস্তাদ নয় ।</t>
  </si>
  <si>
    <t>সব জানা কিন্তু কোনো বিষয়ে ওস্তাদ নয়</t>
  </si>
  <si>
    <t>সব বিষয়ে সামান্য জ্ঞান আছে কিন্তু কোনো বিষয়ে বিশেষজ্ঞ নয়।</t>
  </si>
  <si>
    <t>Jack of all trades, master of none</t>
  </si>
  <si>
    <t>সাধারণ জ্ঞানী ব্যক্তি</t>
  </si>
  <si>
    <t>জ্ঞান/দক্ষতা</t>
  </si>
  <si>
    <t>বিলম্বে বিচার মানে বিচারের নামে প্রহসন ।</t>
  </si>
  <si>
    <t>বিলম্বে বিচার মানে বিচারের উপহাস</t>
  </si>
  <si>
    <t>বিচারে বিলম্ব মানে বিচারহীনতা।</t>
  </si>
  <si>
    <t>Justice delayed is justice denied</t>
  </si>
  <si>
    <t>বিবেকহীন জ্ঞান হলো আত্মার মৃত্যু ।</t>
  </si>
  <si>
    <t>বিবেকহীন জ্ঞান আত্মার মৃত্যু</t>
  </si>
  <si>
    <t>নৈতিকতা ছাড়া জ্ঞান অর্থহীন।</t>
  </si>
  <si>
    <t>Knowledge without conscience is but the ruin of soul</t>
  </si>
  <si>
    <t>বিবেকহীন ব্যক্তি</t>
  </si>
  <si>
    <t>ঘরের ভাত খেয়ে বনের মোষ তাড়ানো।</t>
  </si>
  <si>
    <t>ঘরের ভাত খেয়ে বনের মোষ তাড়ানো</t>
  </si>
  <si>
    <t>পরের উপকারে নিজের কাজ করা।</t>
  </si>
  <si>
    <t>Labour of Love or To work for others without remuneration</t>
  </si>
  <si>
    <t>পরহিতৈষী ব্যক্তি</t>
  </si>
  <si>
    <t>যে রক্ষক সে-ই ভক্ষক।</t>
  </si>
  <si>
    <t>Law makers are law breakers</t>
  </si>
  <si>
    <t>ভগ্ন যষ্টির উপর ভর দেওয়া।</t>
  </si>
  <si>
    <t>ভাঙা লাঠির উপর ভর দেওয়া</t>
  </si>
  <si>
    <t>অবিশ্বস্ত বন্ধুর উপর ভর করা।</t>
  </si>
  <si>
    <t>Lean on a broken reed</t>
  </si>
  <si>
    <t>অবিশ্বস্ত ব্যক্তি</t>
  </si>
  <si>
    <t>বিদ্যা অমূল্য ধন।</t>
  </si>
  <si>
    <t>বিদ্যা অমূল্য ধন</t>
  </si>
  <si>
    <t>জ্ঞানই সবচেয়ে বড় সম্পদ।</t>
  </si>
  <si>
    <t>Learning is a priceless treasure</t>
  </si>
  <si>
    <t>টাকায় বন্ধুত্ব নষ্ট হয় ।</t>
  </si>
  <si>
    <t>টাকায় বন্ধুত্ব নষ্ট হয়</t>
  </si>
  <si>
    <t>অর্থের কারণে বন্ধুত্ব নষ্ট হয়।</t>
  </si>
  <si>
    <t>Lend your money and loss your friend</t>
  </si>
  <si>
    <t>লোভী/স্বার্থপর</t>
  </si>
  <si>
    <t>কুকুরকে লাই দিও না ।</t>
  </si>
  <si>
    <t>কুকুরকে লাই দিও না</t>
  </si>
  <si>
    <t>অপাত্রকে সুযোগ দিও না।</t>
  </si>
  <si>
    <t>Let not the shoemaker go beyond his last</t>
  </si>
  <si>
    <t>কাদা ঘেঁট না।</t>
  </si>
  <si>
    <t>কাদা নাড়িও না</t>
  </si>
  <si>
    <t>উত্তেজিত করো না।</t>
  </si>
  <si>
    <t>Let sleeping dogs lie</t>
  </si>
  <si>
    <t>কোথাকার জল কোথায় দাঁড়ায়।</t>
  </si>
  <si>
    <t>কোথাকার জল কোথায় দাঁড়ায়</t>
  </si>
  <si>
    <t>পরিণতি দেখার জন্য অপেক্ষা করো।</t>
  </si>
  <si>
    <t>Let us wait to see the conclusion</t>
  </si>
  <si>
    <t>চিন্তার মাঝে নয়, কাজের মাঝেই জীবন ।</t>
  </si>
  <si>
    <t>চিন্তা নয়, কাজেই জীবন</t>
  </si>
  <si>
    <t>কাজেই জীবনের অর্থ।</t>
  </si>
  <si>
    <t>Life in action not contemplation</t>
  </si>
  <si>
    <t>কাঁটা দিয়ে কাঁটা তোলা; বিষস্য বুষমৌষাধম ।</t>
  </si>
  <si>
    <t>কাঁটা দিয়ে কাঁটা তোলা</t>
  </si>
  <si>
    <t>শত্রু দিয়ে শত্রুকে ঠেকানো।</t>
  </si>
  <si>
    <t>Like cures like</t>
  </si>
  <si>
    <t>যেমন কুকুর, তেমনি মুগুর।</t>
  </si>
  <si>
    <t>যেমন কুকুর, তেমনি মুগুর</t>
  </si>
  <si>
    <t>যেমন কাজ, তেমন ফল।</t>
  </si>
  <si>
    <t>Like dog, like hammer</t>
  </si>
  <si>
    <t>বাপকা বেটা, সিপাইকা ঘোড়া (যেমন বাপ তেমনি বেটা)।</t>
  </si>
  <si>
    <t>বাবার মতো ছেলে</t>
  </si>
  <si>
    <t>পিতা ও পুত্রের সাদৃশ্য।</t>
  </si>
  <si>
    <t>পিতা/পুত্র</t>
  </si>
  <si>
    <t>লিঙ্গ/পারিবারিক সম্পর্ক</t>
  </si>
  <si>
    <t>যেমন মা, তেমনি মেয়ে ।</t>
  </si>
  <si>
    <t>মায়ের মতো মেয়ে</t>
  </si>
  <si>
    <t>মাতা ও কন্যার সাদৃশ্য।</t>
  </si>
  <si>
    <t>Like mother, like daughter</t>
  </si>
  <si>
    <t>যেমন দেবতা তেমনি নৈবেদ্য ।</t>
  </si>
  <si>
    <t>যেমন দেবতা, তেমন নৈবেদ্য</t>
  </si>
  <si>
    <t>যেমন উপাসক, তেমন উপাসনা।</t>
  </si>
  <si>
    <t>Like saint, like offering</t>
  </si>
  <si>
    <t>ভক্ত/উপাসক</t>
  </si>
  <si>
    <t>বেকাদায় পড়লে হাতি চামচিকায় মারে লাথি।</t>
  </si>
  <si>
    <t>বিপদে পড়লে ছোটরাও বড়কে আঘাত করে</t>
  </si>
  <si>
    <t>সুযোগ পেলে দুর্বলরাও শক্তিশালীকে আঘাত করে।</t>
  </si>
  <si>
    <t>Little birds may peck a dead lion</t>
  </si>
  <si>
    <t>দুর্বল/সুযোগবাদী</t>
  </si>
  <si>
    <t>দিন আনে, দিন খায়।</t>
  </si>
  <si>
    <t>দিন আনে, দিন খায়</t>
  </si>
  <si>
    <t>দিনে যা রোজগার, দিনে তা খরচ।</t>
  </si>
  <si>
    <t>Living from hand to mouth</t>
  </si>
  <si>
    <t>তালপুকুর নাম কিন্তু ঘটি ডোবে না।</t>
  </si>
  <si>
    <t>তালপুকুর নাম কিন্তু ঘটি ডোবে না</t>
  </si>
  <si>
    <t>বড় নাম কিন্তু সামর্থ্য কম।</t>
  </si>
  <si>
    <t>Long title but little purse</t>
  </si>
  <si>
    <t>ভাবিয়া করিও কাজ, করিয়া ভাবিও না।</t>
  </si>
  <si>
    <t>ভাবিয়া কাজ করো, কাজ করে ভাবো না</t>
  </si>
  <si>
    <t>কাজ করার আগে ভাবো, কাজ করার পর নয়।</t>
  </si>
  <si>
    <t>সম্মান একবার গেলে আর ফিরে আসে না; ভাঙ্গা কপাল জোড়া লাগে না।</t>
  </si>
  <si>
    <t>সম্মান গেলে আর ফেরে না</t>
  </si>
  <si>
    <t>সম্মান হারালে আর ফিরে পাওয়া যায় না।</t>
  </si>
  <si>
    <t>Lost credit is like a broken glass</t>
  </si>
  <si>
    <t>সম্মানহানি</t>
  </si>
  <si>
    <t>সামাজিক মর্যাদা</t>
  </si>
  <si>
    <t>প্রেম সব জয় করে ।</t>
  </si>
  <si>
    <t>প্রেম সব জয় করে</t>
  </si>
  <si>
    <t>প্রেমের কাছে সব কিছু পরাজিত।</t>
  </si>
  <si>
    <t>Love conquers all</t>
  </si>
  <si>
    <t>প্রেমিক/প্রেমিকা</t>
  </si>
  <si>
    <t>আবেগ/প্রেম</t>
  </si>
  <si>
    <t>প্রেম অন্ধ; যার সঙ্গে যার মজে মন, কিবা হাড়ি কিবা ডোম ।</t>
  </si>
  <si>
    <t>প্রেম অন্ধ</t>
  </si>
  <si>
    <t>প্রেমে কেউ গুণ-অগুণ দেখে না।</t>
  </si>
  <si>
    <t>Love is blind</t>
  </si>
  <si>
    <t>ঝোপ বুঝে কোপ মার।</t>
  </si>
  <si>
    <t>ঝোপ বুঝে কোপ মার</t>
  </si>
  <si>
    <t>সুযোগ বুঝে কাজ করো।</t>
  </si>
  <si>
    <t>Make hay while the sun shines</t>
  </si>
  <si>
    <t>নতুন বন্ধুত্ব কর কিন্তু পুরনোকে রেখো, কারন নতুনরা হলো রৌপ্য আর পুরনোরা হল সোনা।</t>
  </si>
  <si>
    <t>নতুন বন্ধুত্ব করো, পুরনোকে রেখো</t>
  </si>
  <si>
    <t>পুরনো বন্ধুদের মূল্য বেশি।</t>
  </si>
  <si>
    <t>Make new friends but keep the old. These are silver those are gold</t>
  </si>
  <si>
    <t>মানুষ জন্মগতভাবে স্বাধীন, কিন্তু সর্বত্রই সে শৃঙ্খলিত।</t>
  </si>
  <si>
    <t>মানুষ স্বাধীন কিন্তু সর্বত্র শৃঙ্খলিত</t>
  </si>
  <si>
    <t>মানুষ স্বাধীন জন্মায় কিন্তু সমাজের বন্ধনে আবদ্ধ।</t>
  </si>
  <si>
    <t>Man is born free but everywhere he is in chain</t>
  </si>
  <si>
    <t>মানুষ নিজেই তার ভাগ্যের নিয়ন্তা।</t>
  </si>
  <si>
    <t>মানুষ নিজেই ভাগ্যের নিয়ন্তা</t>
  </si>
  <si>
    <t>মানুষ নিজের ভাগ্য নিজেই তৈরি করে।</t>
  </si>
  <si>
    <t>Man is the architect of his own fate</t>
  </si>
  <si>
    <t>আত্মনির্ভর ব্যক্তি</t>
  </si>
  <si>
    <t>মানুষ বাঁচে তার কর্মে বয়সে নয় ।</t>
  </si>
  <si>
    <t>মানুষের মূল্য তার কর্মে, বয়সে নয়।</t>
  </si>
  <si>
    <t>Man live in deeds not in years</t>
  </si>
  <si>
    <t>মানুষ ভাবে এক আর হয় আরেক।</t>
  </si>
  <si>
    <t>মানুষের পরিকল্পনা ও বাস্তবতা ভিন্ন।</t>
  </si>
  <si>
    <t>Man proposes, but God disposes</t>
  </si>
  <si>
    <t>দশের লাঠি একের বোঝা।</t>
  </si>
  <si>
    <t>দশের লাঠি একের বোঝা</t>
  </si>
  <si>
    <t>সামান্য কাজ জমে বড় হয়।</t>
  </si>
  <si>
    <t>Many a little makes a mickle</t>
  </si>
  <si>
    <t>দশে মিলে করি কাজ, হারি যিতি নাহি লাজ; দশের লাঠি একের বোঝা।</t>
  </si>
  <si>
    <t>দশে মিলে কাজ করলে জয়-পরাজয় নেই</t>
  </si>
  <si>
    <t>একসাথে কাজ করলে সাফল্য আসে।</t>
  </si>
  <si>
    <t>Many drops make light work</t>
  </si>
  <si>
    <t>সহযোগীতা</t>
  </si>
  <si>
    <t>নানা মানুষ নানা মত।</t>
  </si>
  <si>
    <t>নানা মানুষ নানা মত</t>
  </si>
  <si>
    <t>Many men, many minds</t>
  </si>
  <si>
    <t>নানা মুনির নানা মত।</t>
  </si>
  <si>
    <t>Many men, many opinions</t>
  </si>
  <si>
    <t>হুটহাট করে বিয়ে করলে পস্তাতে হয় ।</t>
  </si>
  <si>
    <t>তাড়াতাড়ি বিয়ে করলে পস্তাতে হয়</t>
  </si>
  <si>
    <t>তাড়াতাড়ি সিদ্ধান্ত নিলে পরে অনুতাপ করতে হয়।</t>
  </si>
  <si>
    <t>Marry is haste, repent at leisure</t>
  </si>
  <si>
    <t>মানুষ বাঁচে তার কর্মে বয়সে নয়।</t>
  </si>
  <si>
    <t>Men live deeds not in years</t>
  </si>
  <si>
    <t>বিপদ কখনও একা আসে না।</t>
  </si>
  <si>
    <t>বিপদ কখনও একা আসে না</t>
  </si>
  <si>
    <t>Misfortune never comes alone</t>
  </si>
  <si>
    <t>টাকায় টাকা আনে ।</t>
  </si>
  <si>
    <t>টাকায় টাকা আনে</t>
  </si>
  <si>
    <t>অর্থ থাকলে আরও অর্থ আসে।</t>
  </si>
  <si>
    <t>Money brings (makes) money</t>
  </si>
  <si>
    <t>অর্থই অনর্থের মূল।</t>
  </si>
  <si>
    <t>অর্থই অনর্থের মূল</t>
  </si>
  <si>
    <t>অর্থই সব সমস্যার মূল।</t>
  </si>
  <si>
    <t>Money is the root of all evils</t>
  </si>
  <si>
    <t>টাকা্য় কী না হয়।</t>
  </si>
  <si>
    <t>টাকায় কী না হয়</t>
  </si>
  <si>
    <t>অর্থ দিয়ে সব কিছু সম্ভব।</t>
  </si>
  <si>
    <t>Money makes everything</t>
  </si>
  <si>
    <t>টাকা থাকলেই মানুষ।</t>
  </si>
  <si>
    <t>টাকা থাকলেই মানুষ</t>
  </si>
  <si>
    <t>অর্থ থাকলেই মানুষ সম্মান পায়।</t>
  </si>
  <si>
    <t>Money makes the man</t>
  </si>
  <si>
    <t>টাকায় সব হয় ।</t>
  </si>
  <si>
    <t>টাকায় সব হয়</t>
  </si>
  <si>
    <t>অর্থ দিয়ে সব কাজ হয়।</t>
  </si>
  <si>
    <t>Money makes the mare go</t>
  </si>
  <si>
    <t>টাকায় কথা বলে ।</t>
  </si>
  <si>
    <t>টাকায় কথা বলে</t>
  </si>
  <si>
    <t>অর্থের প্রভাবে সব হয়।</t>
  </si>
  <si>
    <t>Money talks</t>
  </si>
  <si>
    <t>উঠন্তি মূলা পত্তনেই চেনা যায় ।</t>
  </si>
  <si>
    <t>উঠন্তি মূলা পত্তনেই চেনা যায়</t>
  </si>
  <si>
    <t>শুরু থেকেই ভালো-মন্দ বোঝা যায়।</t>
  </si>
  <si>
    <t>বহুবারম্ভে লঘু ক্রিয়া; বেশি আড়ম্বরে কাজ হয় না।</t>
  </si>
  <si>
    <t>বেশি আড়ম্বরে কাজ হয় না</t>
  </si>
  <si>
    <t>অতিরিক্ত আড়ম্বর কাজে বাধা দেয়।</t>
  </si>
  <si>
    <t>Much ado about nothing</t>
  </si>
  <si>
    <t>প্রয়োজনই আবিষ্কারের প্রসূতি।</t>
  </si>
  <si>
    <t>প্রয়োজন আবিষ্কারের জননী</t>
  </si>
  <si>
    <t>প্রয়োজনের ফলেই আবিষ্কার হয়।</t>
  </si>
  <si>
    <t>Necessity is the mother of invention</t>
  </si>
  <si>
    <t>প্রয়োজনীয়তা</t>
  </si>
  <si>
    <t>আবিষ্কার</t>
  </si>
  <si>
    <t>অভাবে স্বভাব নষ্ট।</t>
  </si>
  <si>
    <t>অভাবে স্বভাব নষ্ট</t>
  </si>
  <si>
    <t>প্রয়োজনে মানুষ খারাপ কাজ করে।</t>
  </si>
  <si>
    <t>Necessity knows no law</t>
  </si>
  <si>
    <t>প্রয়োজনে ব্যক্তি</t>
  </si>
  <si>
    <t>কিনতে ছাগল বেচতে পাগল।</t>
  </si>
  <si>
    <t>কিনতে ছাগল, বেচতে পাগল</t>
  </si>
  <si>
    <t>বেচা-কেনায় প্রতারণা।</t>
  </si>
  <si>
    <t>Necessity never makes a bargain</t>
  </si>
  <si>
    <t>কারও পৌষ মাস, কারও সর্বনাশ।</t>
  </si>
  <si>
    <t>কারও পৌষ মাস, কারও সর্বনাশ</t>
  </si>
  <si>
    <t>একজনের ভালো, অন্যজনের খারাপ।</t>
  </si>
  <si>
    <t>Nero fiddles while Rome burns</t>
  </si>
  <si>
    <t>যার নুন খাও তার গুন গাও ।</t>
  </si>
  <si>
    <t>Never fall out with your bread and butter</t>
  </si>
  <si>
    <t>নূতন পীরিতের বড় আঠা।</t>
  </si>
  <si>
    <t>নতুন বন্ধুত্বের আঠা বেশি</t>
  </si>
  <si>
    <t>নতুন সম্পর্ক বেশি টানে।</t>
  </si>
  <si>
    <t>New brooms sweep well</t>
  </si>
  <si>
    <t>নতুন ব্যক্তি</t>
  </si>
  <si>
    <t>নতুন নেতা, নতুন নীতি।</t>
  </si>
  <si>
    <t>নতুন নেতা, নতুন নীতি</t>
  </si>
  <si>
    <t>নতুন শাসকের নতুন নিয়ম।</t>
  </si>
  <si>
    <t>New lords, new laws</t>
  </si>
  <si>
    <t>নতুন নেতা</t>
  </si>
  <si>
    <t>রাজনীতি</t>
  </si>
  <si>
    <t>চাঁদেও কলঙ্ক আছে ।</t>
  </si>
  <si>
    <t>চাঁদেও কলঙ্ক আছে</t>
  </si>
  <si>
    <t>নিখুঁত কিছুই নেই।</t>
  </si>
  <si>
    <t>No rose without thorns</t>
  </si>
  <si>
    <t>কারণ বিনা কার্য হয় না।</t>
  </si>
  <si>
    <t>কারণ ছাড়া কার্য হয় না</t>
  </si>
  <si>
    <t>প্রতিটি ঘটনার কারণ আছে।</t>
  </si>
  <si>
    <t>No smoke without fire</t>
  </si>
  <si>
    <t>গরিবের কথা বাসি হলে মিষ্টি হয়।</t>
  </si>
  <si>
    <t>গরিবের কথা বাসি হলে মিষ্টি হয়</t>
  </si>
  <si>
    <t>গরিবের কথা অনেক দেরিতে সত্য হয়।</t>
  </si>
  <si>
    <t>Nobody listens to the advice of an ordinary man, however good it may prove in the long run</t>
  </si>
  <si>
    <t>মানুষ মাত্রই ভুল হয়।</t>
  </si>
  <si>
    <t>সব মানুষের ভুল হয়।</t>
  </si>
  <si>
    <t>None but a fool is always right</t>
  </si>
  <si>
    <t>বীর ভোগ্য বসন্ধরা।</t>
  </si>
  <si>
    <t>বীরের জন্য পৃথিবী</t>
  </si>
  <si>
    <t>সাহসীরাই পৃথিবী ভোগ করে।</t>
  </si>
  <si>
    <t>None but the brave deserve the fair</t>
  </si>
  <si>
    <t>সাহসী ব্যক্তি</t>
  </si>
  <si>
    <t>যে জেগে ঘুমায়, তারে জাগানো দায়।</t>
  </si>
  <si>
    <t>যে ঘুমিয়ে জেগে থাকে, তাকে জাগানো কঠিন</t>
  </si>
  <si>
    <t>যে শোনতে চায় না, তাকে বোঝানো কঠিন।</t>
  </si>
  <si>
    <t>None so deaf as those that will not hear</t>
  </si>
  <si>
    <t>অমানে ব্যক্তি</t>
  </si>
  <si>
    <t>কারন বিনা কার্য হয় না ।</t>
  </si>
  <si>
    <t>Nothing comes out of nothing</t>
  </si>
  <si>
    <t>ঠেলার নাম বাবাজি।</t>
  </si>
  <si>
    <t>ঠেলার নাম বাবাজি</t>
  </si>
  <si>
    <t>জোর করলেই সব হয়।</t>
  </si>
  <si>
    <t>Nothing like force</t>
  </si>
  <si>
    <t>চুরি-বিদ্যা বড় বিদ্যা যদি না পড়ে ধরা।</t>
  </si>
  <si>
    <t>চুরি বিদ্যা বড় বিদ্যা, যদি ধরা না পড়ে</t>
  </si>
  <si>
    <t>অপরাধ না ধরলে চুরি দক্ষতার মতো মনে হয়।</t>
  </si>
  <si>
    <t>Nothing like stealing if it goes undetected</t>
  </si>
  <si>
    <t>জয়কালে ক্ষয় নাই/ ঝুঁকি না নিলে লাভ হয় না ।</t>
  </si>
  <si>
    <t>ঝুঁকি না নিলে লাভ হয় না</t>
  </si>
  <si>
    <t>সাফল্য পেতে ঝুঁকি নিতে হয়।</t>
  </si>
  <si>
    <t>Nothing succeeds like success</t>
  </si>
  <si>
    <t>ঝুঁকিপ্রিয় ব্যক্তি</t>
  </si>
  <si>
    <t>লাগে টাকা দেবে গৌরী সেন।</t>
  </si>
  <si>
    <t>অর্থ নিয়ে ঠাট্টা।</t>
  </si>
  <si>
    <t>Nunky pays</t>
  </si>
  <si>
    <t>নিজের চরকায় তেল দাও।</t>
  </si>
  <si>
    <t>Oil your own machine</t>
  </si>
  <si>
    <t>পুরনো অভ্যাস যেতে চায় না ।</t>
  </si>
  <si>
    <t>পুরনো অভ্যাস যেতে চায় না</t>
  </si>
  <si>
    <t>অভ্যাস পরিবর্তন করা কঠিন।</t>
  </si>
  <si>
    <t>Old habits due hard</t>
  </si>
  <si>
    <t>আভাগা যেদিকে চায়, সাগর শুকিয়ে যায়।</t>
  </si>
  <si>
    <t>অভাগার দিকে তাকালে সাগর শুকিয়ে যায়</t>
  </si>
  <si>
    <t>অভাগার জন্য সব বিপর্যয়।</t>
  </si>
  <si>
    <t>Once unlucky, always unlucky</t>
  </si>
  <si>
    <t>এক পুরুষে করে ধন আরেক পুরুষে খায় ।</t>
  </si>
  <si>
    <t>একজন আয় করে, আরেকজন খায়</t>
  </si>
  <si>
    <t>একজন পরিশ্রম করে, আরেকজন ভোগ করে।</t>
  </si>
  <si>
    <t>One beats the bush, another catches the bird</t>
  </si>
  <si>
    <t>অলস/পরিশ্রমী</t>
  </si>
  <si>
    <t>দুষ্ট গরুর চেয়ে শূন্য ঘোয়াল ভালো।</t>
  </si>
  <si>
    <t>One black sheep spoils the whole flock</t>
  </si>
  <si>
    <t>পরে কখনও পরের মর্ম বোঝে না।</t>
  </si>
  <si>
    <t>অন্য কখনও অন্যের মর্ম বোঝে না</t>
  </si>
  <si>
    <t>অন্যের কষ্ট কেউ বুঝতে পারে না।</t>
  </si>
  <si>
    <t>One cannot really, feel for another</t>
  </si>
  <si>
    <t>অসহানুভূতিশীল</t>
  </si>
  <si>
    <t>হাসিও পায় কান্নাও পায়।</t>
  </si>
  <si>
    <t>হাসিও পায়, কান্নাও পায়</t>
  </si>
  <si>
    <t>উভয় অবস্থাই আসে।</t>
  </si>
  <si>
    <t>One does not know whether to laugh or weep</t>
  </si>
  <si>
    <t>উদোর পিণ্ডি বুধোর ঘাড়ে।</t>
  </si>
  <si>
    <t>উদোর পিণ্ডি বুধোর ঘাড়ে</t>
  </si>
  <si>
    <t>অপরের দায়িত্ব নেওয়া।</t>
  </si>
  <si>
    <t>One doth the scath and another hath the scorn</t>
  </si>
  <si>
    <t>অন্যদায়ী</t>
  </si>
  <si>
    <t>গড়তে যত সময় লাগে ভাঙতে তত সময় লাগে না ।</t>
  </si>
  <si>
    <t>গড়তে সময় লাগে, ভাঙতে সময় লাগে না</t>
  </si>
  <si>
    <t>নির্মাণের চেয়ে ধ্বংস সহজ।</t>
  </si>
  <si>
    <t>One is not so soon healed as hurt</t>
  </si>
  <si>
    <t>একটা মিথ্যা ঢাকতে দশটা মিথ্যা বলতে হয়।</t>
  </si>
  <si>
    <t>এক মিথ্যা ঢাকতে দশ মিথ্যা</t>
  </si>
  <si>
    <t>মিথ্যা বলতে গেলে অনেক মিথ্যা বলতে হয়।</t>
  </si>
  <si>
    <t>One lie makes many</t>
  </si>
  <si>
    <t>মিথ্যাবাদী</t>
  </si>
  <si>
    <t>কারও পৌষ মাষ কারও সর্বনাশ ।</t>
  </si>
  <si>
    <t>One man's meat is another man's poison</t>
  </si>
  <si>
    <t>কাঁটা দিয়ে কাঁটা তুলতে হয় ।</t>
  </si>
  <si>
    <t>কাঁটা দিয়ে কাঁটা তুলতে হয়</t>
  </si>
  <si>
    <t>One nail drives out another</t>
  </si>
  <si>
    <t>কাকের মাংস কাকে খায় না।</t>
  </si>
  <si>
    <t>কাকের মাংস কাক খায় না</t>
  </si>
  <si>
    <t>একই গোত্রের ক্ষতি কেউ চায় না।</t>
  </si>
  <si>
    <t>One raven will no pluck another's eyes</t>
  </si>
  <si>
    <t>একই গোত্র</t>
  </si>
  <si>
    <t>যার ধন তার নয়, নেপোয় মারে দই ; এক পুরুষে করে ধন আরেক পুরুষে খায়।</t>
  </si>
  <si>
    <t>একজন উপার্জন করে, অন্যজন খরচ করে</t>
  </si>
  <si>
    <t>উপার্জন ও খরচের পার্থক্য।</t>
  </si>
  <si>
    <t>One sows, another reaps</t>
  </si>
  <si>
    <t>উপার্জনকারী/খরচকারী</t>
  </si>
  <si>
    <t>এক পা এগোই তো সাত পা পিছোই।</t>
  </si>
  <si>
    <t>এক পা এগোলে সাত পা পিছোতে হয়</t>
  </si>
  <si>
    <t>অগ্রগতি খুব ধীর।</t>
  </si>
  <si>
    <t>One step forward, two-steps backward</t>
  </si>
  <si>
    <t>ধীরগতির ব্যক্তি</t>
  </si>
  <si>
    <t>এক মাঘে শীত যায় না।</t>
  </si>
  <si>
    <t>এক মাঘে শীত যায় না</t>
  </si>
  <si>
    <t>অল্পতেই সব হয় না।</t>
  </si>
  <si>
    <t>One swallow does not makes a summer</t>
  </si>
  <si>
    <t>অসীর চেয়ে মসি বড়/ নিজের জিনিস সকলেই ভালো দেখে ।</t>
  </si>
  <si>
    <t>one's own things are the best</t>
  </si>
  <si>
    <t>সুযোগ একবারই আসে।</t>
  </si>
  <si>
    <t>সুযোগ একবারই আসে</t>
  </si>
  <si>
    <t>সুযোগ হাতছাড়া করলে আর ফিরে আসে না।</t>
  </si>
  <si>
    <t>Opportunity knocks but once</t>
  </si>
  <si>
    <t>ফাঁক পেলে সবাই চোর হয়।</t>
  </si>
  <si>
    <t>ফাঁক পেলে সবাই চোর হয়</t>
  </si>
  <si>
    <t>সুযোগ পেলে যে কেউ অন্যায় করতে পারে।</t>
  </si>
  <si>
    <t>Opportunity makes the thief</t>
  </si>
  <si>
    <t>চোখের আড়াল, মনের আড়াল; কাছে থাকলে পোড়ে মন, দূরে গেলে ঠনঠন।</t>
  </si>
  <si>
    <t>চোখের আড়াল মানে মনের আড়াল</t>
  </si>
  <si>
    <t>না দেখলে মনেও থাকে না।</t>
  </si>
  <si>
    <t>Our of sight, out of mind</t>
  </si>
  <si>
    <t>আমাদের হৃদয়তন্ত্রীতে যে সুর মধুর হয়ে বাজে তা হলো বিষাদের গান।</t>
  </si>
  <si>
    <t>আমাদের হৃদয়ের মিষ্টি সুর বিষাদের গান</t>
  </si>
  <si>
    <t>বিষাদই আমাদের সবচেয়ে মিষ্টি গান।</t>
  </si>
  <si>
    <t>Our sweetest songs are those that tell of saddest thought</t>
  </si>
  <si>
    <t>কর্জ নাই, কষ্টও নাই।</t>
  </si>
  <si>
    <t>ঋণ নেই, কষ্টও নেই</t>
  </si>
  <si>
    <t>ঋণমুক্ত থাকলে কষ্ট কম।</t>
  </si>
  <si>
    <t>Out of debt, out of danger</t>
  </si>
  <si>
    <t>ঋণমুক্ত ব্যক্তি</t>
  </si>
  <si>
    <t>কাছে থাকলে পোড়ে মন, দূরে গেলে ঠনঠন।</t>
  </si>
  <si>
    <t>কাছে থাকলে কষ্ট, দূরে গেলে আরও কষ্ট</t>
  </si>
  <si>
    <t>দূরত্বেই কষ্ট বেশি।</t>
  </si>
  <si>
    <t>Out of sight, out of mind</t>
  </si>
  <si>
    <t>পেটে খেলে পিঠে সয়।</t>
  </si>
  <si>
    <t>পেটে খেলে পিঠে সয়</t>
  </si>
  <si>
    <t>খেলে কষ্ট সহ্য হয়।</t>
  </si>
  <si>
    <t>Pain is forgotten where gain follows</t>
  </si>
  <si>
    <t>সবুরে মেওয়া ফলে ।</t>
  </si>
  <si>
    <t>ধৈর্য কষ্টের কিন্তু ফল মিষ্টি।</t>
  </si>
  <si>
    <t>Patience is bitter, but its fruit is sweet</t>
  </si>
  <si>
    <t>সুখের চেয়ে স্বস্তি ভাল।</t>
  </si>
  <si>
    <t>শান্তি সুখের চেয়ে বড়।</t>
  </si>
  <si>
    <t>Peace is more cove-table than physical comforts</t>
  </si>
  <si>
    <t>শান্তিপ্রিয় ব্যক্তি</t>
  </si>
  <si>
    <t>বজ্র আঁটুনি ফস্কা গেরো ।</t>
  </si>
  <si>
    <t>বজ্র আঁটুনি ফস্কা গেরো</t>
  </si>
  <si>
    <t>কিছু ভালো, কিছু খারাপ।</t>
  </si>
  <si>
    <t>Penny wise, pound foolish</t>
  </si>
  <si>
    <t>কমলা, আপনি সামলা ।</t>
  </si>
  <si>
    <t>কমলা, আপনি সামলা</t>
  </si>
  <si>
    <t>অন্যদের আগে নিজের যত্ন নাও।</t>
  </si>
  <si>
    <t>Physian, heal thyself</t>
  </si>
  <si>
    <t>খুচরা কাজের মজুরি নাই।</t>
  </si>
  <si>
    <t>খুচরা কাজের মজুরি নেই</t>
  </si>
  <si>
    <t>অল্প কাজে ভালো পারিশ্রমিক নেই।</t>
  </si>
  <si>
    <t>Piece-work is ill-paid</t>
  </si>
  <si>
    <t>খুচরা কর্মী</t>
  </si>
  <si>
    <t>পেশা</t>
  </si>
  <si>
    <t>মারিত গন্ডার, লুটিত ভান্ডার ।</t>
  </si>
  <si>
    <t>গন্ডার মারলে ভান্ডার লুট হয়</t>
  </si>
  <si>
    <t>বড় লক্ষ্য নিয়ে কাজ করো।</t>
  </si>
  <si>
    <t>Pitch your aims high</t>
  </si>
  <si>
    <t>উচ্চাকাঙ্ক্ষী ব্যক্তি</t>
  </si>
  <si>
    <t>দখলেই বৈধতার নয় দশমাংশ।</t>
  </si>
  <si>
    <t>দখল করলেই অধিকার</t>
  </si>
  <si>
    <t>দখল করলে তা বৈধ হয়।</t>
  </si>
  <si>
    <t>Possession is nine tenths of the law</t>
  </si>
  <si>
    <t>দখলকারী</t>
  </si>
  <si>
    <t>গাইতে গাইতে গায়েন, বাজাতে বাজাতে বায়েন।</t>
  </si>
  <si>
    <t>গাইতে গাইতে গায়েন, বাজাতে বাজাতে বায়েন</t>
  </si>
  <si>
    <t>অভ্যাসে দক্ষতা আসে।</t>
  </si>
  <si>
    <t>Practice makes perfact</t>
  </si>
  <si>
    <t>অভ্যাসী ব্যক্তি</t>
  </si>
  <si>
    <t>যা বলবে তা করবে ।</t>
  </si>
  <si>
    <t>যা বলবে, তাই করবে</t>
  </si>
  <si>
    <t>কথা ও কাজের মিল রাখো।</t>
  </si>
  <si>
    <t>Practice what you preach</t>
  </si>
  <si>
    <t>না আঁচালে বিশ্বাস নেই ।</t>
  </si>
  <si>
    <t>না দেখলে বিশ্বাস নেই</t>
  </si>
  <si>
    <t>প্রত্যক্ষ না করলে বিশ্বাস হয় না।</t>
  </si>
  <si>
    <t>Praise a fair day at night</t>
  </si>
  <si>
    <t>সন্দেহপ্রবণ ব্যক্তি</t>
  </si>
  <si>
    <t>এঁচড়ে পাকা ছেলে বা মেয়ে।</t>
  </si>
  <si>
    <t>এঁচড়ে পাকা ছেলে বা মেয়ে</t>
  </si>
  <si>
    <t>অল্প বয়সে বেশি বুঝে এমন শিশু।</t>
  </si>
  <si>
    <t>Precocious child or Enfant terrible</t>
  </si>
  <si>
    <t>বয়স/বুদ্ধি</t>
  </si>
  <si>
    <t>প্রতিকারের চেয়ে প্রতিরোধ ভালো।</t>
  </si>
  <si>
    <t>আগে থেকে সতর্ক থাকা ভালো।</t>
  </si>
  <si>
    <t>Prevention is better than cure</t>
  </si>
  <si>
    <t>সতর্ক ব্যক্তি</t>
  </si>
  <si>
    <t>অতি দর্পে হতা লঙ্কা।</t>
  </si>
  <si>
    <t>অতি দর্পে লঙ্কা নষ্ট হয়</t>
  </si>
  <si>
    <t>অহংকার করলে বিপদ হয়।</t>
  </si>
  <si>
    <t>Pride goth before destruction..</t>
  </si>
  <si>
    <t>সুসময়ের বন্ধু অনেকেই হয়, অসময়ে হাহ হায় কেউ কারো নয়।</t>
  </si>
  <si>
    <t>সুসময়ে অনেক বন্ধু, অসময়ে কেউ নেই</t>
  </si>
  <si>
    <t>সম্পদ থাকলে অনেক বন্ধু, অভাব থাকলে কেউ নেই।</t>
  </si>
  <si>
    <t>Prosperity brings friends, adversity tries them</t>
  </si>
  <si>
    <t>স্বার্থপর বন্ধু</t>
  </si>
  <si>
    <t>অনিশ্চিতের আশায় নিশ্চিত পরিত্যাগ করিও না।</t>
  </si>
  <si>
    <t>Quit not certainty for hope</t>
  </si>
  <si>
    <t>অধ্যয়নই মানুষকে পরিপূর্ণ করে তোলে ।</t>
  </si>
  <si>
    <t>অধ্যয়ন মানুষকে পরিপূর্ণ করে</t>
  </si>
  <si>
    <t>পড়াশোনাই মানুষকে সম্পূর্ণ করে।</t>
  </si>
  <si>
    <t>Reading makes a full man</t>
  </si>
  <si>
    <t>পাঠক</t>
  </si>
  <si>
    <t>আগে না বুঝিলে বাছা যৌবনের ভারে, পশ্চাতে কাঁদিতে হবে নয়নের ঝোরে।</t>
  </si>
  <si>
    <t>যৌবনে না বুঝলে পরে কাঁদতে হয়</t>
  </si>
  <si>
    <t>যৌবনে অমার্জিত হলে পরে অনুতাপ করতে হয়।</t>
  </si>
  <si>
    <t>Reckless youth makes rueful eyes</t>
  </si>
  <si>
    <t>যুবক</t>
  </si>
  <si>
    <t>আপনার মান আপনার কাছে।</t>
  </si>
  <si>
    <t>নিজের মান নিজের কাছে</t>
  </si>
  <si>
    <t>আত্মসম্মান নিজের হাতে।</t>
  </si>
  <si>
    <t>Respect yourself that you may be respected by others</t>
  </si>
  <si>
    <t>আত্মসম্মানী ব্যক্তি</t>
  </si>
  <si>
    <t>চোরের মার বড় গলা।</t>
  </si>
  <si>
    <t>চোরের মার বড় গলা</t>
  </si>
  <si>
    <t>অপরাধীদের হুমকি বেশি।</t>
  </si>
  <si>
    <t>Rogues supplant justice</t>
  </si>
  <si>
    <t>কোন বৃহৎ কাজ রাতারাতি সম্পন্ন হয় না।</t>
  </si>
  <si>
    <t>বড় কাজ রাতারাতি হয় না</t>
  </si>
  <si>
    <t>বড় কাজ করতে সময় লাগে।</t>
  </si>
  <si>
    <t>Rome was not built in a day</t>
  </si>
  <si>
    <t>যা রটে তা কিছু তো বটে।</t>
  </si>
  <si>
    <t>যা রটে, তা কিছু তো বটে</t>
  </si>
  <si>
    <t>গুজবের মধ্যেও কিছু সত্য থাকে।</t>
  </si>
  <si>
    <t>Rumour has some element of truth in it</t>
  </si>
  <si>
    <t>হেলে ধরতে পারে না, কেউটে ধরতে চায়।</t>
  </si>
  <si>
    <t>হেলে ধরতে পারে না, কেউটে ধরতে চায়</t>
  </si>
  <si>
    <t>সাধারণ কাজ না পারলে বড় কাজ চায়।</t>
  </si>
  <si>
    <t>Run before one can walk</t>
  </si>
  <si>
    <t>সাবধানের মার নেই।</t>
  </si>
  <si>
    <t>সাবধান থাকলে বিপদ নেই।</t>
  </si>
  <si>
    <t>Safe bind, safe find</t>
  </si>
  <si>
    <t>সাবধান ব্যক্তি</t>
  </si>
  <si>
    <t>এক হাতে ছড়াও, দুই হাতে কুড়াও।</t>
  </si>
  <si>
    <t>এক হাতে ছড়াও, দুই হাতে কুড়াও</t>
  </si>
  <si>
    <t>ব্যয় ও সঞ্চয় উভয়ই করতে হবে।</t>
  </si>
  <si>
    <t>Scatter with one hand, gather with two</t>
  </si>
  <si>
    <t>দেখতে পাইলেই বিশ্বাস হয় ; আগে দর্শনদারি, পরে গুণবিচারি/ আগে দর্শনদারি, পরে গুনবিচারি; দর্শনেই বিশ্বাস।</t>
  </si>
  <si>
    <t>দেখলেই বিশ্বাস হয়</t>
  </si>
  <si>
    <t>প্রত্যক্ষ দর্শনই বিশ্বাসের কারণ।</t>
  </si>
  <si>
    <t>Seeing is believing</t>
  </si>
  <si>
    <t>স্বাবলম্বনই সর্বশ্রেষ্ট অবলম্বন ।</t>
  </si>
  <si>
    <t>আত্মনির্ভরতাই সেরা আশ্রয়</t>
  </si>
  <si>
    <t>নিজের পায়ে দাঁড়ানোই শ্রেষ্ঠ।</t>
  </si>
  <si>
    <t>Self help is the best help</t>
  </si>
  <si>
    <t>আপনি (নিজে) বাঁচলে বাপের নাম।</t>
  </si>
  <si>
    <t>নিজে বাঁচলে বাপের নাম</t>
  </si>
  <si>
    <t>নিজের বেঁচে থাকাটাই গুরুত্বপূর্ণ।</t>
  </si>
  <si>
    <t>Self-preservation is the first law of nature</t>
  </si>
  <si>
    <t>মৌনতাই সম্মতির লক্ষণ।</t>
  </si>
  <si>
    <t>মৌনতা সম্মতির লক্ষণ</t>
  </si>
  <si>
    <t>চুপ থাকা মানে সম্মতি।</t>
  </si>
  <si>
    <t>Silence gives consent</t>
  </si>
  <si>
    <t>নীরব ব্যক্তি</t>
  </si>
  <si>
    <t>যার নাম ভাজা চাল, তার নাম মুড়ি।</t>
  </si>
  <si>
    <t>যার নাম ভাজা চাল, তার নাম মুড়ি</t>
  </si>
  <si>
    <t>দুইটি জিনিস একই।</t>
  </si>
  <si>
    <t>Six of the one and half-a-dozen of the other</t>
  </si>
  <si>
    <t>অধ্যবসায়ের ফলেই সাফল্যের লাভ ঘটে ।</t>
  </si>
  <si>
    <t>অধ্যবসায়ে সাফল্য আসে</t>
  </si>
  <si>
    <t>ধৈর্য ও অধ্যবসায় সাফল্য এনে দেয়।</t>
  </si>
  <si>
    <t>Slow and steady wins the race</t>
  </si>
  <si>
    <t>কর্মে কুড়ে ভোজনে দেড়ে।</t>
  </si>
  <si>
    <t>কর্মে কুঁড়ে, ভোজনে দেড়ে</t>
  </si>
  <si>
    <t>কাজে অলস, খেতে সাবধান।</t>
  </si>
  <si>
    <t>Slow to work but quick to eat</t>
  </si>
  <si>
    <t>অলস/পেটুক</t>
  </si>
  <si>
    <t>উনো বীজ, দুনো ফসল।</t>
  </si>
  <si>
    <t>উনো বীজ, দুনো ফসল</t>
  </si>
  <si>
    <t>অল্প বিনিয়োগে বেশি লাভ।</t>
  </si>
  <si>
    <t>Small seeds, great harvests</t>
  </si>
  <si>
    <t>নাই-মামার চাইতে কানা-মামা ভালো।</t>
  </si>
  <si>
    <t>না থাকার চেয়ে সামান্য থাকা ভালো</t>
  </si>
  <si>
    <t>কিছু না থাকার চেয়ে কম থাকা ভালো।</t>
  </si>
  <si>
    <t>Something is better than nothing</t>
  </si>
  <si>
    <t>ইঁচড়ে পাকলে গোল্লায় যায় ।</t>
  </si>
  <si>
    <t>এঁচড়ে পাকলে গোল্লায় যায়</t>
  </si>
  <si>
    <t>অকালে পাকলে নষ্ট হয়।</t>
  </si>
  <si>
    <t>Soon ripe, soon rotten</t>
  </si>
  <si>
    <t>শাস্তি না দিলে ছেলে শাসন হয় না।</t>
  </si>
  <si>
    <t>শাস্তি না দিলে ছেলে শাসন হয় না</t>
  </si>
  <si>
    <t>শাস্তি ছাড়া শিশু শাসন করা যায় না।</t>
  </si>
  <si>
    <t>Spare the rod and spoil the child</t>
  </si>
  <si>
    <t>ঝোপ বুঝে কোপ মারা।</t>
  </si>
  <si>
    <t>সুযোগ বুঝে কাজ করা।</t>
  </si>
  <si>
    <t>Strike the iron while it is hot</t>
  </si>
  <si>
    <t>বিপর্যয় অভিশাপ নয়, আশীর্বাদ।</t>
  </si>
  <si>
    <t>বিপর্যয় অভিশাপ নয়, আশীর্বাদ</t>
  </si>
  <si>
    <t>বিপদও আশীর্বাদ হতে পারে।</t>
  </si>
  <si>
    <t>Sweet are the uses of adversity</t>
  </si>
  <si>
    <t>নিতে জানি দিতে জানি না।</t>
  </si>
  <si>
    <t>নিতে জানি, দিতে জানি না</t>
  </si>
  <si>
    <t>নেওয়া জানি, দেওয়া জানি না।</t>
  </si>
  <si>
    <t>Sweet's the wine, but sour's the payment</t>
  </si>
  <si>
    <t>কাঁচায় না নোয়ালে বাঁশ, পাকলে করে ঠাস ঠাস।</t>
  </si>
  <si>
    <t>Tame the animal while it is young</t>
  </si>
  <si>
    <t>ওস্তাদের মার শেষ রাতে।</t>
  </si>
  <si>
    <t>ওস্তাদের আঘাত শেষ রাতে</t>
  </si>
  <si>
    <t>প্রকৃত প্রতিভা শেষ পর্যন্ত প্রকাশ পায়।</t>
  </si>
  <si>
    <t>The best prove itself in the long</t>
  </si>
  <si>
    <t>প্রতিভাবান ব্যক্তি</t>
  </si>
  <si>
    <t>প্রতিভা</t>
  </si>
  <si>
    <t>রহস্য ফাঁস হয়ে গেছে হাটে হাঁড়ি ভেঙে দিল।</t>
  </si>
  <si>
    <t>রহস্য ফাঁস হয়ে গেছে</t>
  </si>
  <si>
    <t>গোপন কথা প্রকাশ হয়ে গেছে।</t>
  </si>
  <si>
    <t>The cat is out of the bag</t>
  </si>
  <si>
    <t>গোপনীয়তা</t>
  </si>
  <si>
    <t>উঠণ্ডি মুলো পত্তনেই চেনা যায়।</t>
  </si>
  <si>
    <t>The child is the father to the man</t>
  </si>
  <si>
    <t>বাশেঁর চেয়ে কঞ্চি শক্ত।</t>
  </si>
  <si>
    <t>বাঁশের চেয়ে কঞ্চি শক্ত</t>
  </si>
  <si>
    <t>ছোটরা বড়দের চেয়েও শক্তিশালী হতে পারে।</t>
  </si>
  <si>
    <t>The chip tougher than the old block</t>
  </si>
  <si>
    <t>যুবক/ছোট</t>
  </si>
  <si>
    <t>বয়স/শক্তি</t>
  </si>
  <si>
    <t>আদার ব্যাপারীর জাহাজের খবর কেন?।</t>
  </si>
  <si>
    <t>আদা ব্যবসায়ীর জাহাজের খবর কেন?</t>
  </si>
  <si>
    <t>অপ্রাসঙ্গিক প্রশ্ন।</t>
  </si>
  <si>
    <t>The cobbler must stick to his last</t>
  </si>
  <si>
    <t>অপ্রাসঙ্গিক ব্যক্তি</t>
  </si>
  <si>
    <t>চরিত্রই মানব জীবনের সর্বশ্রেষ্ঠ সম্পদ।</t>
  </si>
  <si>
    <t>চরিত্রই শ্রেষ্ঠ সম্পদ</t>
  </si>
  <si>
    <t>চরিত্র সবচেয়ে বড় সম্পদ।</t>
  </si>
  <si>
    <t>The crown and glory of life is character</t>
  </si>
  <si>
    <t>সচ্চরিত্র ব্যক্তি</t>
  </si>
  <si>
    <t>ভূতের মুখে রাম রাম।</t>
  </si>
  <si>
    <t>ভূতের মুখে রাম রাম</t>
  </si>
  <si>
    <t>পাপীর মুখে ধর্মচর্চা।</t>
  </si>
  <si>
    <t>The devil listening to the Scriptures</t>
  </si>
  <si>
    <t>পাপী/অসৎ</t>
  </si>
  <si>
    <t>চোরে না শোনে ধর্মের কাহিনী।</t>
  </si>
  <si>
    <t>অসৎ ব্যক্তি ধর্মীয় শিক্ষায় প্রভাবিত হয় না।</t>
  </si>
  <si>
    <t>The devil would not listen to the Scriptures</t>
  </si>
  <si>
    <t>চোর/অসৎ</t>
  </si>
  <si>
    <t>উদ্দেশ্য দিয়েই উপায়ের বিচার করা উচিত।</t>
  </si>
  <si>
    <t>উদ্দেশ্য দিয়েই উপায়ের বিচার হয়</t>
  </si>
  <si>
    <t>উদ্দেশ্য পূরণের উপায়ই প্রধান।</t>
  </si>
  <si>
    <t>The end justifies the means</t>
  </si>
  <si>
    <t>উদ্দেশ্যপ্রণোদিত ব্যক্তি</t>
  </si>
  <si>
    <t>চোখ হল মনের জানালা।</t>
  </si>
  <si>
    <t>চোখ মনের জানালা</t>
  </si>
  <si>
    <t>চোখের মাধ্যমে মনের ভাব বোঝা যায়।</t>
  </si>
  <si>
    <t>The eyes are the window of the soul</t>
  </si>
  <si>
    <t>শরীর/মন</t>
  </si>
  <si>
    <t>পায় না, তাই খায় না।</t>
  </si>
  <si>
    <t>পায় না, তাই খায় না</t>
  </si>
  <si>
    <t>না পেলে খাওয়া হয় না।</t>
  </si>
  <si>
    <t>The grapes are sour</t>
  </si>
  <si>
    <t>স্বভাব যায় না মরলে, আর ইল্লৎ যায় না ধুলে।</t>
  </si>
  <si>
    <t>স্বভাব যায় না মরলেও</t>
  </si>
  <si>
    <t>অভ্যাস পরিবর্তন হয় না।</t>
  </si>
  <si>
    <t>The leopard cannot change its spots</t>
  </si>
  <si>
    <t>কর্তার ইচ্ছাই কর্ম।</t>
  </si>
  <si>
    <t>কর্তার ইচ্ছাই কর্ম</t>
  </si>
  <si>
    <t>মালিকের ইচ্ছাই আইন।</t>
  </si>
  <si>
    <t>The master's will is law</t>
  </si>
  <si>
    <t>কর্তা/মালিক</t>
  </si>
  <si>
    <t>আইন/শক্তি</t>
  </si>
  <si>
    <t>বজ্র আঁটুনি ফসকা গেরো।</t>
  </si>
  <si>
    <t>বজ্র আঁটুনি ফসকা গেরো</t>
  </si>
  <si>
    <t>The more laws, the more flaws</t>
  </si>
  <si>
    <t>আইনপ্রণেতা</t>
  </si>
  <si>
    <t>যত পায়, তত চায়।</t>
  </si>
  <si>
    <t>যত পায়, তত চায়</t>
  </si>
  <si>
    <t>পেতে থাকলে চাওয়া বাড়ে।</t>
  </si>
  <si>
    <t>The more you get/have, the more you want</t>
  </si>
  <si>
    <t>যতই পড়িবে, ততই শিখিবে।</t>
  </si>
  <si>
    <t>যত পড়বে, তত শিখবে</t>
  </si>
  <si>
    <t>পড়লে শেখা বাড়ে।</t>
  </si>
  <si>
    <t>The more you read, the more you learn</t>
  </si>
  <si>
    <t>অধিকন্তু ন দোষায়।</t>
  </si>
  <si>
    <t>অধিক কিছু দোষের নয়</t>
  </si>
  <si>
    <t>অতিরিক্ত কিছু খারাপ নয়।</t>
  </si>
  <si>
    <t>The more, the merrier</t>
  </si>
  <si>
    <t>আলোর নিচেই অন্ধকার।</t>
  </si>
  <si>
    <t>আলোর নিচেই অন্ধকার</t>
  </si>
  <si>
    <t>আলোর পাশেই অন্ধকার।</t>
  </si>
  <si>
    <t>The nearer the church, the farther from god</t>
  </si>
  <si>
    <t>আপন ধান বিশ পসুরি পরের ধান এক পসুরি।</t>
  </si>
  <si>
    <t>আপন ধান বিশ পসুরি, পরের ধান এক পসুরি</t>
  </si>
  <si>
    <t>নিজের জিনিসের মূল্য বেশি।</t>
  </si>
  <si>
    <t>The owl thinks all her young one's beauties</t>
  </si>
  <si>
    <t>বাপ-মার দেখেই ছেলেপিলে শেখে।</t>
  </si>
  <si>
    <t>বাবা-মায়ের দেখেই সন্তান শেখে</t>
  </si>
  <si>
    <t>সন্তানরা বাবা-মাকে দেখে শেখে।</t>
  </si>
  <si>
    <t>The parent's life is the child's copybook</t>
  </si>
  <si>
    <t>পিতা-মাতা</t>
  </si>
  <si>
    <t>অসির চেয়ে মসীর শক্তি বেশি।</t>
  </si>
  <si>
    <t>অসির চেয়ে মসীর শক্তি বেশি</t>
  </si>
  <si>
    <t>কলমের শক্তি তরবারির চেয়ে বেশি।</t>
  </si>
  <si>
    <t>The pen is mightier than the sword</t>
  </si>
  <si>
    <t>লেখক/বুদ্ধিজীবী</t>
  </si>
  <si>
    <t>চালনী বলে ছুঁচ তুমি কেন ছেদা।</t>
  </si>
  <si>
    <t>চালনী বলে ছুঁচ, তুমি কেন ছেদা?</t>
  </si>
  <si>
    <t>অন্যকে দোষ দেওয়া।</t>
  </si>
  <si>
    <t>The pot calls the kettle black</t>
  </si>
  <si>
    <t>মানুষের প্রকৃত মর্যাদা নির্ভর করে তিনি যা তার উপর, তার কি আছে তার উপর নয়।</t>
  </si>
  <si>
    <t>মানুষের প্রকৃত মর্যাদা তিনি যা, তাতে</t>
  </si>
  <si>
    <t>মানুষের মূল্য তার ব্যবহারে, সম্পদে নয়।</t>
  </si>
  <si>
    <t>The real dignity of a man lies not in what he has but in what he is</t>
  </si>
  <si>
    <t>চালুনি বলে ছুঁচ তোর পিছে কেন ছ্যাঁদা।</t>
  </si>
  <si>
    <t>চালনী বলে ছুঁচ, তোর পিছে কেন ছিদ্র?</t>
  </si>
  <si>
    <t>The saucepan should not call the kettle black</t>
  </si>
  <si>
    <t>হাতের ঢিল ছুড়লে আর ফেরে না।</t>
  </si>
  <si>
    <t>হাতের ঢিল ছুড়লে আর ফেরে না</t>
  </si>
  <si>
    <t>কথা বলা হয়ে গেলে ফেরানো যায় না।</t>
  </si>
  <si>
    <t>The shaft once shot does not return</t>
  </si>
  <si>
    <t>ঝাঁকের কই ঝাঁকে যায়।</t>
  </si>
  <si>
    <t>ঝাঁকের কই ঝাঁকে যায়</t>
  </si>
  <si>
    <t>একই গোত্রের মানুষ একসাথে যায়।</t>
  </si>
  <si>
    <t>The sheep return to the flock</t>
  </si>
  <si>
    <t>আলালের ঘরের দুলাল।</t>
  </si>
  <si>
    <t>আলালের ঘরের দুলাল</t>
  </si>
  <si>
    <t>অত্যন্ত আদরের সন্তান।</t>
  </si>
  <si>
    <t>The spoilt child of a rich parent</t>
  </si>
  <si>
    <t>অতিপ্রিয় সন্তান</t>
  </si>
  <si>
    <t>মরা হাতি লাখ টাকা।</t>
  </si>
  <si>
    <t>মৃত বড় জিনিসও মূল্যবান।</t>
  </si>
  <si>
    <t>The very ruins of greatness are great</t>
  </si>
  <si>
    <t>পাপে মৃত্যু আনে।</t>
  </si>
  <si>
    <t>পাপ মৃত্যু আনে</t>
  </si>
  <si>
    <t>পাপের ফল মৃত্যু।</t>
  </si>
  <si>
    <t>The wages of the sin is death</t>
  </si>
  <si>
    <t>যার জ্বালা সেই জানে।</t>
  </si>
  <si>
    <t>যার জ্বালা, সেই জানে</t>
  </si>
  <si>
    <t>যন্ত্রণা ভোগকারীই জানে তা কতটা।</t>
  </si>
  <si>
    <t>The wearer best knows where the shoe pinches</t>
  </si>
  <si>
    <t>যন্ত্রণাপ্রাপ্ত ব্যক্তি</t>
  </si>
  <si>
    <t>চাঁদেও কলঙ্ক আছে।</t>
  </si>
  <si>
    <t>There are less to every wine</t>
  </si>
  <si>
    <t>মারের মতন ঔষধ নাই।</t>
  </si>
  <si>
    <t>মারের মতো ওষুধ নেই</t>
  </si>
  <si>
    <t>শাস্তির মতো শিক্ষা নেই।</t>
  </si>
  <si>
    <t>There is no argument like that of the stick</t>
  </si>
  <si>
    <t>শিক্ষক/শাসক</t>
  </si>
  <si>
    <t>কষ্ট ছাড়া কেষ্ট মেলে না।</t>
  </si>
  <si>
    <t>কষ্ট ছাড়া কেষ্ট মেলে না</t>
  </si>
  <si>
    <t>কষ্ট না করলে সাফল্য আসে না।</t>
  </si>
  <si>
    <t>There is no rose without a throne</t>
  </si>
  <si>
    <t>কারণ বিনা কার্য হয় না; যা রটে তার কিছু ঘটে।</t>
  </si>
  <si>
    <t>There is no smoke without fire</t>
  </si>
  <si>
    <t>চাঁদেরও কলঙ্ক আছে।</t>
  </si>
  <si>
    <t>চাঁদেরও কলঙ্ক আছে</t>
  </si>
  <si>
    <t>There is no unmixed good</t>
  </si>
  <si>
    <t>ভাবিয়া করিও কাজ।</t>
  </si>
  <si>
    <t>ভাবিয়া কাজ করো</t>
  </si>
  <si>
    <t>কাজ করার আগে ভাবো।</t>
  </si>
  <si>
    <t>Think twice before you take a risk</t>
  </si>
  <si>
    <t>জন্মিলে মরিতে হবে অমরকে কোথা যাবে।</t>
  </si>
  <si>
    <t>জন্মিলে মরতে হবে</t>
  </si>
  <si>
    <t>জন্ম নিলে মৃত্যু অনিবার্য।</t>
  </si>
  <si>
    <t>Those who are born must die</t>
  </si>
  <si>
    <t>যার বিয়ে তার মনে নেই, পাড়াপড়শীর ঘুম নেই।</t>
  </si>
  <si>
    <t>যার বিয়ে, তার মনে নেই; পাড়াপড়শীর ঘুম নেই</t>
  </si>
  <si>
    <t>অন্যের কাজে অন্যের বেশি দুশ্চিন্তা।</t>
  </si>
  <si>
    <t>Thou he is careless to make his mark, others are moving mountains for him</t>
  </si>
  <si>
    <t>সময় এবং স্রোত কাহারও জন্য অপেক্ষা করে না।</t>
  </si>
  <si>
    <t>সময় ও স্রোত কারও জন্য অপেক্ষা করে না</t>
  </si>
  <si>
    <t>সময় কাউকে অপেক্ষা করে না।</t>
  </si>
  <si>
    <t>সময়েই ক্ষত শুকোয়।</t>
  </si>
  <si>
    <t>সময়েই ক্ষত শুকোয়</t>
  </si>
  <si>
    <t>সময় সব ক্ষত সারায়।</t>
  </si>
  <si>
    <t>Time cures more than the doctor</t>
  </si>
  <si>
    <t>সময়ই সবচেয়ে ভাল উপাশক।</t>
  </si>
  <si>
    <t>সময়ই সেরা ওষুধ</t>
  </si>
  <si>
    <t>সময় সব ব্যাথা সারায়।</t>
  </si>
  <si>
    <t>Time is the best healer</t>
  </si>
  <si>
    <t>ইটটি মারলে পাটকেলটি খেতে হয়।</t>
  </si>
  <si>
    <t>ইট মারলে পাটকেল খেতে হয়</t>
  </si>
  <si>
    <t>Tit for tat</t>
  </si>
  <si>
    <t>পক্ষপাত দুষ্ট লোকের নিকট সবই দুষ্ট।</t>
  </si>
  <si>
    <t>পক্ষপাতী দুষ্টের কাছে সব দুষ্ট</t>
  </si>
  <si>
    <t>পক্ষপাতী মানুষ সব খারাপ দেখে।</t>
  </si>
  <si>
    <t>To a biased mind everything is in fault</t>
  </si>
  <si>
    <t>কাটা গায়ে নুনের ছিটা দেওয়া।</t>
  </si>
  <si>
    <t>কাটা গায়ে নুনের ছিটা দেওয়া</t>
  </si>
  <si>
    <t>অপমানের উপর অপমান করা।</t>
  </si>
  <si>
    <t>To add insult to injury or To rub in</t>
  </si>
  <si>
    <t>অপমানকারী</t>
  </si>
  <si>
    <t>চোখে আঙুল দিয়ে দেখানো।</t>
  </si>
  <si>
    <t>চোখে আঙুল দিয়ে দেখানো</t>
  </si>
  <si>
    <t>স্পষ্ট করে দেখানো।</t>
  </si>
  <si>
    <t>To attract pointed attention towards</t>
  </si>
  <si>
    <t>নির্দেশক</t>
  </si>
  <si>
    <t>যার জন্যে (তরে) চুরি করি সেই বলে চোর।</t>
  </si>
  <si>
    <t>যার জন্য চুরি করি, সেই বলে চোর</t>
  </si>
  <si>
    <t>যার উপকার করি, সেই-ই অপকার করে।</t>
  </si>
  <si>
    <t>To be abused by them we do good</t>
  </si>
  <si>
    <t>ওঠ ছুঁড়ি তোর বিয়ে।</t>
  </si>
  <si>
    <t>ওঠ, ছুঁড়ি, তোর বিয়ে</t>
  </si>
  <si>
    <t>অপ্রস্তুত অবস্থায় ধরা পড়া।</t>
  </si>
  <si>
    <t>To be caught unprepared</t>
  </si>
  <si>
    <t>অপ্রস্তুত ব্যক্তি</t>
  </si>
  <si>
    <t>উড়ে এসে জুড়ে বসা।</t>
  </si>
  <si>
    <t>উড়ে এসে জুড়ে বসা</t>
  </si>
  <si>
    <t>অপ্রত্যাশিতভাবে জায়গা দখল করা।</t>
  </si>
  <si>
    <t>To be quick to occupy</t>
  </si>
  <si>
    <t>আকস্মিক ব্যক্তি</t>
  </si>
  <si>
    <t>দুধের স্বাদ ঘোলে মেটানো।</t>
  </si>
  <si>
    <t>দুধের স্বাদ ঘোলে মেটানো</t>
  </si>
  <si>
    <t>নিকৃষ্ট বিকল্পে সন্তুষ্ট থাকা।</t>
  </si>
  <si>
    <t>To be satisfied with an inferior substitute</t>
  </si>
  <si>
    <t>সন্তুষ্ট ব্যক্তি</t>
  </si>
  <si>
    <t>কাঁচা বাঁশে ঘুণ ধরা।</t>
  </si>
  <si>
    <t>কাঁচা বাঁশে ঘুণ ধরা</t>
  </si>
  <si>
    <t>ছোটবেলায় নষ্ট হওয়া।</t>
  </si>
  <si>
    <t>To be spoiled in early youth</t>
  </si>
  <si>
    <t>শিশু/যুবক</t>
  </si>
  <si>
    <t>অন্ধকারে ঢিল মারা।</t>
  </si>
  <si>
    <t>অন্ধকারে ঢিল মারা</t>
  </si>
  <si>
    <t>অনিশ্চয়তায় কাজ করা।</t>
  </si>
  <si>
    <t>To beat about the bush</t>
  </si>
  <si>
    <t>অনিশ্চিত ব্যক্তি</t>
  </si>
  <si>
    <t>মারের নাম মহাশয়।</t>
  </si>
  <si>
    <t>মারের নাম মহাশয়</t>
  </si>
  <si>
    <t>প্রহার করে শিক্ষা দেওয়া।</t>
  </si>
  <si>
    <t>To beat black and blue</t>
  </si>
  <si>
    <t>ছোট মুখে বড় কথা।</t>
  </si>
  <si>
    <t>ছোট মুখে বড় কথা</t>
  </si>
  <si>
    <t>অল্পবয়সে বড় কথা।</t>
  </si>
  <si>
    <t>To big a talk for a child</t>
  </si>
  <si>
    <t>উপকারীর অপকার করা।</t>
  </si>
  <si>
    <t>উপকারীর অপকার করা</t>
  </si>
  <si>
    <t>যে উপকার করে, তার ক্ষতি করা।</t>
  </si>
  <si>
    <t>To bite the hand that feeds you</t>
  </si>
  <si>
    <t>এক মুখে দুই কথা বা দুরকম কথা।</t>
  </si>
  <si>
    <t>এক মুখে দুই কথা</t>
  </si>
  <si>
    <t>দ্বিমুখী কথা বলা।</t>
  </si>
  <si>
    <t>To blow hot and cold in the same breath</t>
  </si>
  <si>
    <t>মশা মারতে কামান দাগা।</t>
  </si>
  <si>
    <t>মশা মারতে কামান দাগা</t>
  </si>
  <si>
    <t>অতিরিক্ত আড়ম্বর।</t>
  </si>
  <si>
    <t>To break a butterfly upon a wheel</t>
  </si>
  <si>
    <t>খাল কেটে কুমির আনা।</t>
  </si>
  <si>
    <t>খাল কেটে কুমির আনা</t>
  </si>
  <si>
    <t>নিজের কারণে বিপদ ডাকা।</t>
  </si>
  <si>
    <t>To bring a calamity by one's own imprudence</t>
  </si>
  <si>
    <t>ভিটায় ঘুঘু চরানো।</t>
  </si>
  <si>
    <t>শত্রুকে নিজের জায়গায় আনতে দেওয়া।</t>
  </si>
  <si>
    <t>To bring utter ruin</t>
  </si>
  <si>
    <t>আকাশ-কুসুম রচনা করা।</t>
  </si>
  <si>
    <t>আকাশ-কুসুম রচনা করা</t>
  </si>
  <si>
    <t>To build castle in the air</t>
  </si>
  <si>
    <t>ভীষণ পরিশ্রম করা।</t>
  </si>
  <si>
    <t>ভীষণ পরিশ্রম করা</t>
  </si>
  <si>
    <t>অতিরিক্ত পরিশ্রম করা।</t>
  </si>
  <si>
    <t>To burn the candle at both ends</t>
  </si>
  <si>
    <t>তেলা মাথায় তেল দেওয়া।</t>
  </si>
  <si>
    <t>To carry coal to Newcastle</t>
  </si>
  <si>
    <t>উলুবনে মুক্তা ছড়ানো।</t>
  </si>
  <si>
    <t>উলুবনে মুক্তা ছড়ানো</t>
  </si>
  <si>
    <t>অযোগ্যকে মূল্যবান জিনিস দেওয়া।</t>
  </si>
  <si>
    <t>To cast pearls before swine</t>
  </si>
  <si>
    <t>দুধ কলা দিয়ে কালসাপ পোষা।</t>
  </si>
  <si>
    <t>দুধ-কলা দিয়ে কালসাপ পোষা</t>
  </si>
  <si>
    <t>To cherish a serpent in one's bosom</t>
  </si>
  <si>
    <t>গাছে কাঁঠাল গোঁফে তেল।</t>
  </si>
  <si>
    <t>অকালে আনন্দ করা।</t>
  </si>
  <si>
    <t>To count one's chickens before they are hatched</t>
  </si>
  <si>
    <t>অরণ্যে রোদন।</t>
  </si>
  <si>
    <t>অরণ্যে রোদন</t>
  </si>
  <si>
    <t>নির্জনে কান্না।</t>
  </si>
  <si>
    <t>To cry in the wilderness</t>
  </si>
  <si>
    <t>একাকী ব্যক্তি</t>
  </si>
  <si>
    <t>চোরের উপর রাগ করে মাটিতে ভাত খওয়া।</t>
  </si>
  <si>
    <t>চোরের উপর রাগ করে মাটিতে ভাত খাওয়া</t>
  </si>
  <si>
    <t>অন্যের উপর রাগ করে নিজের ক্ষতি করা।</t>
  </si>
  <si>
    <t>To cut off one's nose to spite one's face</t>
  </si>
  <si>
    <t>নিজের পায়ে নিজে কুড়াল মারা।</t>
  </si>
  <si>
    <t>নিজের পায়ে নিজে কুড়াল মারা</t>
  </si>
  <si>
    <t>নিজের ক্ষতি করা।</t>
  </si>
  <si>
    <t>To dig one's own grave</t>
  </si>
  <si>
    <t>আত্মঘাতী ব্যক্তি</t>
  </si>
  <si>
    <t>পাকা ধানে মই দেওয়া।</t>
  </si>
  <si>
    <t>পাকা ধানে মই দেওয়া</t>
  </si>
  <si>
    <t>সুসময়ে হস্তক্ষেপ করা।</t>
  </si>
  <si>
    <t>To do a great injury</t>
  </si>
  <si>
    <t>পরের ধনে পোদ্দারি করা।</t>
  </si>
  <si>
    <t>অন্যের ধনে পোদ্দারি করা</t>
  </si>
  <si>
    <t>অন্যের অর্থ ব্যবহার করে খ্যাতি অর্জন করা।</t>
  </si>
  <si>
    <t>To earn fame by spending another's money</t>
  </si>
  <si>
    <t>মাথার ঘাম পায়ে পড়া।</t>
  </si>
  <si>
    <t>মাথার ঘাম পায়ে পড়া</t>
  </si>
  <si>
    <t>কঠোর পরিশ্রম করা।</t>
  </si>
  <si>
    <t>To earn one's bread by the sweat of one's brow</t>
  </si>
  <si>
    <t>দু্ঃখের ভাত সুখ করে খাওয়া।</t>
  </si>
  <si>
    <t>দুঃখের ভাত সুখ করে খাওয়া</t>
  </si>
  <si>
    <t>কষ্টার্জিত খাবার সুখে খাওয়া।</t>
  </si>
  <si>
    <t>To eat happily one's bread of labour</t>
  </si>
  <si>
    <t>খাই দাই ডুগডugi বাজাই।</t>
  </si>
  <si>
    <t>খাই-দাই, ডুগডugi বাজাই</t>
  </si>
  <si>
    <t>আমোদ-প্রমোদে সময় কাটানো।</t>
  </si>
  <si>
    <t>To enjoy a life of ease</t>
  </si>
  <si>
    <t>আমোদপ্রিয় ব্যক্তি</t>
  </si>
  <si>
    <t>মুনীনাঞ্চ মতিভ্রমঃ।</t>
  </si>
  <si>
    <t>মুনীনেরাও ভুল করেন</t>
  </si>
  <si>
    <t>বড়দেরও ভুল হয়।</t>
  </si>
  <si>
    <t>To err is human</t>
  </si>
  <si>
    <t>একুল-ওকুল দুকুল গেল।</t>
  </si>
  <si>
    <t>একুল-ওকুল দুকুল গেল</t>
  </si>
  <si>
    <t>উভয় সংকটে পড়া।</t>
  </si>
  <si>
    <t>To fall between two stools</t>
  </si>
  <si>
    <t>আপন কোলে ঝোল টানা।</t>
  </si>
  <si>
    <t>আপন কোলে ঝোল টানা</t>
  </si>
  <si>
    <t>নিজের স্বার্থে কাজ করা।</t>
  </si>
  <si>
    <t>To feather one's nest</t>
  </si>
  <si>
    <t>সুখে থাকতে ভূতে কিলায়।</t>
  </si>
  <si>
    <t>অকারণে অস্বস্তি বোধ করা।</t>
  </si>
  <si>
    <t>To feel ill at ease</t>
  </si>
  <si>
    <t>অস্বস্তিকর ব্যক্তি</t>
  </si>
  <si>
    <t>গোলে হরিবোল দেয়া।</t>
  </si>
  <si>
    <t>গোলে হরিবোল দেওয়া</t>
  </si>
  <si>
    <t>বিপদে ফায়দা লাভ করা।</t>
  </si>
  <si>
    <t>To fish in troubled water</t>
  </si>
  <si>
    <t>মহাজন যে-পথে করেছে গমন।</t>
  </si>
  <si>
    <t>মহাজন যে পথে গেছেন</t>
  </si>
  <si>
    <t>বড়দের অনুসরণ করা।</t>
  </si>
  <si>
    <t>To follow in the footsteps of the wise</t>
  </si>
  <si>
    <t>অনুসারী ব্যক্তি</t>
  </si>
  <si>
    <t>মাছের (কৈয়ের) তেলে মাছ (কৈ) ভাজা।</t>
  </si>
  <si>
    <t>মাছের তেলে মাছ ভাজা</t>
  </si>
  <si>
    <t>নিজের সম্পদ দিয়ে নিজের কাজ করা।</t>
  </si>
  <si>
    <t>To gain without spending</t>
  </si>
  <si>
    <t>নিজের ফাঁদে নিজেই জড়িয়ে পড়া।</t>
  </si>
  <si>
    <t>নিজের ফাঁদে নিজে জড়িয়ে পড়া</t>
  </si>
  <si>
    <t>নিজের চক্রান্তে নিজে আটকা পড়া।</t>
  </si>
  <si>
    <t>To hoist with one's own petard</t>
  </si>
  <si>
    <t>এক ঢিলে দুই পাখি মারা।</t>
  </si>
  <si>
    <t>এক ঢিলে দুই পাখি মারা</t>
  </si>
  <si>
    <t>এক কাজে দুই লাভ।</t>
  </si>
  <si>
    <t>To kill two birds with one stone</t>
  </si>
  <si>
    <t>দক্ষ ব্যক্তি</t>
  </si>
  <si>
    <t>কর্মদক্ষতা</t>
  </si>
  <si>
    <t>হীন অবস্থাতে দিন কাটানো।</t>
  </si>
  <si>
    <t>হীন অবস্থায় দিন কাটানো</t>
  </si>
  <si>
    <t>দারিদ্র্যে দিন কাটানো।</t>
  </si>
  <si>
    <t>To lead the life of a dog</t>
  </si>
  <si>
    <t>গাছে তুলে মই কেড়ে নেয়া।</t>
  </si>
  <si>
    <t>গাছে তুলে মই কেড়ে নেওয়া</t>
  </si>
  <si>
    <t>সাহায্য করে বিপদে ফেলা।</t>
  </si>
  <si>
    <t>To leave one in the lurch</t>
  </si>
  <si>
    <t>পরের মাথায় কাঁটাল ভাঙা।</t>
  </si>
  <si>
    <t>অন্যের মাথায় কাঁঠাল ভাঙা</t>
  </si>
  <si>
    <t>অন্যের সাহায্যে নিজের কাজ করা।</t>
  </si>
  <si>
    <t>To make a cat's paw of a person</t>
  </si>
  <si>
    <t>তিলকে তাল করা।</t>
  </si>
  <si>
    <t>তিলকে তাল করা</t>
  </si>
  <si>
    <t>ছোট বিষয়কে বড় করা।</t>
  </si>
  <si>
    <t>To make a mountain of a molehill</t>
  </si>
  <si>
    <t>পরের মাথায় কাঁঠাল ভাঙা, উদোর পিন্ডি বুদোর ঘাড়ে।</t>
  </si>
  <si>
    <t>অন্যের মাথায় কাঁঠাল ভাঙা, উদোর পিণ্ডি বুধোর ঘাড়ে</t>
  </si>
  <si>
    <t>To make cat's paw of person</t>
  </si>
  <si>
    <t>পরের ধরে পোদ্দারি করা।</t>
  </si>
  <si>
    <t>To make free with another's money</t>
  </si>
  <si>
    <t>কোম্পানিকা মাল দরিয়ামে ঢাল।</t>
  </si>
  <si>
    <t>কোম্পানির মাল দরিয়ায় ঢালা</t>
  </si>
  <si>
    <t>জনসম্পদ নষ্ট করা।</t>
  </si>
  <si>
    <t>To make free with public property</t>
  </si>
  <si>
    <t>অপব্যবহারকারী</t>
  </si>
  <si>
    <t>গঙ্গাজলে গঙ্গাপূজা করা।</t>
  </si>
  <si>
    <t>গঙ্গাজলে গঙ্গাপূজা করা</t>
  </si>
  <si>
    <t>অন্যের অর্থে দান করা।</t>
  </si>
  <si>
    <t>To make gift at the cost of the owner</t>
  </si>
  <si>
    <t>ধরি মাছ না-ছুঁই পানি।</t>
  </si>
  <si>
    <t>ধরি মাছ না-ছুঁই পানি</t>
  </si>
  <si>
    <t>ঝুঁকি না নিয়ে কাজ করা।</t>
  </si>
  <si>
    <t>To make sure of something without risking anything</t>
  </si>
  <si>
    <t>খোদার উপর খোদকারি করা।</t>
  </si>
  <si>
    <t>খোদার উপর খোদকারি করা</t>
  </si>
  <si>
    <t>ঈশ্বরকে ঠিক করার চেষ্টা।</t>
  </si>
  <si>
    <t>To mend nature or Fools rush in where angels fear to tread</t>
  </si>
  <si>
    <t>কিল খেয়ে কিল চুরি করা।</t>
  </si>
  <si>
    <t>কিল খেয়ে কিল চুরি করা</t>
  </si>
  <si>
    <t>অপমান সহ্য করা।</t>
  </si>
  <si>
    <t>To pocket an insult</t>
  </si>
  <si>
    <t>সহনশীল ব্যক্তি</t>
  </si>
  <si>
    <t>আড়ালে থেকে কল টেপা।</t>
  </si>
  <si>
    <t>আড়ালে থেকে কল টেপা</t>
  </si>
  <si>
    <t>গোপনে প্রভাব খাটানো।</t>
  </si>
  <si>
    <t>To pull the wires</t>
  </si>
  <si>
    <t>ঘোড়ার আগে গাড়ি যোতা।</t>
  </si>
  <si>
    <t>ঘোড়ার আগে গাড়ি যোতা</t>
  </si>
  <si>
    <t>বিপরীতক্রমে কাজ করা।</t>
  </si>
  <si>
    <t>To put the cart before the horse</t>
  </si>
  <si>
    <t>গাছের পাড়া, তলারও কুড়ানো।</t>
  </si>
  <si>
    <t>গাছের পাড়া, তলারও কুড়ানো</t>
  </si>
  <si>
    <t>উভয় সুবিধা নেওয়া।</t>
  </si>
  <si>
    <t>To reap the double advantage</t>
  </si>
  <si>
    <t>চৌদ্দ পুরুষ উদ্ধার করা।</t>
  </si>
  <si>
    <t>চৌদ্দ পুরুষ উদ্ধার করা</t>
  </si>
  <si>
    <t>চরম গালাগালি করা।</t>
  </si>
  <si>
    <t>To revile or abuse to one's heart's content</t>
  </si>
  <si>
    <t>গরু মেরে জুতা দান।</t>
  </si>
  <si>
    <t>গরু মেরে জুতা দান</t>
  </si>
  <si>
    <t>এককে ক্ষতি করে অন্যকে সাহায্য করা।</t>
  </si>
  <si>
    <t>To rob Peter to pay Paul</t>
  </si>
  <si>
    <t>চোরের উপর বাটপাড়ি।</t>
  </si>
  <si>
    <t>চোরের উপর বাটপাড়ি</t>
  </si>
  <si>
    <t>চোরকে চুরি করা।</t>
  </si>
  <si>
    <t>To rob the robber</t>
  </si>
  <si>
    <t>শেয়ালের কাছে মুরগী বর্গা দেয়া।</t>
  </si>
  <si>
    <t>শেয়ালের কাছে মুরগি বর্গা দেওয়া</t>
  </si>
  <si>
    <t>অপাত্রে দায়িত্ব দেওয়া।</t>
  </si>
  <si>
    <t>To set a fox to keep one's geese</t>
  </si>
  <si>
    <t>কাঁটা দিয়ে কাঁটা তোলা।</t>
  </si>
  <si>
    <t>To set a thief to catch a thief or Like cures like</t>
  </si>
  <si>
    <t>কাকে কান নিয়েছে শুনে কাকের পিছনে ছোটা।</t>
  </si>
  <si>
    <t>কাকে কান নিয়েছে শুনে কাকের পিছনে ছোটা</t>
  </si>
  <si>
    <t>গুজবে বিশ্বাস করা।</t>
  </si>
  <si>
    <t>To swallow the bait</t>
  </si>
  <si>
    <t>সরল ব্যক্তি</t>
  </si>
  <si>
    <t>মশা মারতে কামান লাগে।</t>
  </si>
  <si>
    <t>মশা মারতে কামান লাগে</t>
  </si>
  <si>
    <t>To take a hammer to spread a plaster</t>
  </si>
  <si>
    <t>ঝিকে মেরে বৌকে শেখানো।</t>
  </si>
  <si>
    <t>ঝিকে মেরে বৌকে শেখানো</t>
  </si>
  <si>
    <t>নির্দোষকে শাস্তি দিয়ে অপরাধীকে শিক্ষা দেওয়া।</t>
  </si>
  <si>
    <t>To teach the guilty a lesson by railing at the innocent</t>
  </si>
  <si>
    <t>অন্যায়কারী</t>
  </si>
  <si>
    <t>আপনি (নিজে) ভাল তো জগৎ ভাল।</t>
  </si>
  <si>
    <t>নিজে ভালো থাকলে জগৎ ভালো</t>
  </si>
  <si>
    <t>নিজের ভালো থাকা সব।</t>
  </si>
  <si>
    <t>To the pure all things are pure</t>
  </si>
  <si>
    <t>দিনকে রাত করা।</t>
  </si>
  <si>
    <t>দিনকে রাত করা</t>
  </si>
  <si>
    <t>সরাসরি মিথ্যা বলা।</t>
  </si>
  <si>
    <t>To utter a downright false-hood</t>
  </si>
  <si>
    <t>গোড়া কেটে আগায় জল দেওয়া।</t>
  </si>
  <si>
    <t>গোড়া কেটে আগায় জল দেওয়া</t>
  </si>
  <si>
    <t>মূল নষ্ট করে শাখা বাঁচানোর চেষ্টা।</t>
  </si>
  <si>
    <t>To water the top of a plant after laying the axe to its root</t>
  </si>
  <si>
    <t>অধিক সন্ন্যাসীতে গাঁজন নষ্ট।</t>
  </si>
  <si>
    <t>অধিক সন্ন্যাসীতে গাঁজন নষ্ট</t>
  </si>
  <si>
    <t>অতিরিক্ত লোক কাজ নষ্ট করে।</t>
  </si>
  <si>
    <t>Too much cooks spoil the broth</t>
  </si>
  <si>
    <t>অতিরিক্ত ব্যক্তি</t>
  </si>
  <si>
    <t>অতি চালাকের গলায় দড়ি।</t>
  </si>
  <si>
    <t>অতি চালাকের গলায় দড়ি</t>
  </si>
  <si>
    <t>অতিরিক্ত চালাকি নিজের ক্ষতি ডাকে।</t>
  </si>
  <si>
    <t>Too much cunning overreaches itself</t>
  </si>
  <si>
    <t>চালাক ব্যক্তি</t>
  </si>
  <si>
    <t>কল্পকথার চেয়ে বাস্তব অধিকতর বিস্ময়কর।</t>
  </si>
  <si>
    <t>কল্পকথার চেয়ে বাস্তব বিস্ময়কর</t>
  </si>
  <si>
    <t>বাস্তব ঘটনা কল্পনার চেয়ে বেশি আশ্চর্যজনক।</t>
  </si>
  <si>
    <t>Truth is stranger than fiction</t>
  </si>
  <si>
    <t>সত্য/কল্পনা</t>
  </si>
  <si>
    <t>মৃত্যুপথযাত্রীর কথা সত্য হয়।</t>
  </si>
  <si>
    <t>মৃত্যুপথযাত্রীর কথা সত্য হয়</t>
  </si>
  <si>
    <t>মৃত্যুর সময় মানুষ সত্য কথা বলে।</t>
  </si>
  <si>
    <t>Truth sits upon the lips of dying men</t>
  </si>
  <si>
    <t>মৃতপ্রায় ব্যক্তি</t>
  </si>
  <si>
    <t>সত্য কখনো চাপা থাকে না।</t>
  </si>
  <si>
    <t>সত্য কখনও চাপা থাকে না</t>
  </si>
  <si>
    <t>সত্য সবসময় প্রকাশ পায়।</t>
  </si>
  <si>
    <t>Truth will out</t>
  </si>
  <si>
    <t>দশে মিলে করি কাজ, হারি জিতি নাহি লাজ।</t>
  </si>
  <si>
    <t>Two heads are better than one</t>
  </si>
  <si>
    <t>দুইজনে বন্ধুত্ব হয়, তিনজনে হয় কলহ।</t>
  </si>
  <si>
    <t>দুইজনে বন্ধুত্ব, তিনজনে কলহ</t>
  </si>
  <si>
    <t>অতিরিক্ত মানুষ ঝগড়া ডেকে আনে।</t>
  </si>
  <si>
    <t>Two is company, three is none</t>
  </si>
  <si>
    <t>যে শিরে মুকুট থাকে সে শির স্বস্তিতে থাকে না।</t>
  </si>
  <si>
    <t>যার মাথায় মুকুট, তার শান্তি নেই</t>
  </si>
  <si>
    <t>শাসকের জীবন সুখকর নয়।</t>
  </si>
  <si>
    <t>Uneasy lies the head that wears a crown</t>
  </si>
  <si>
    <t>শাসক</t>
  </si>
  <si>
    <t>একতায় উত্থান, বিভেদে পতন।</t>
  </si>
  <si>
    <t>একতায় উত্থান, বিভেদে পতন</t>
  </si>
  <si>
    <t>একতা শক্তি, বিভেদ দুর্বলতা।</t>
  </si>
  <si>
    <t>United we stand, divided we fail</t>
  </si>
  <si>
    <t>জীবনের স্বাদ বৈচিত্র্যে।</t>
  </si>
  <si>
    <t>জীবনের স্বাদ বৈচিত্র্যে</t>
  </si>
  <si>
    <t>বৈচিত্র্যই জীবনের স্বাদ।</t>
  </si>
  <si>
    <t>Variety is the spice of the life</t>
  </si>
  <si>
    <t>ধর্মের কল বাতাসে নড়ে।</t>
  </si>
  <si>
    <t>ধর্মের কল বাতাসে নড়ে</t>
  </si>
  <si>
    <t>ধর্ম সব জায়গায় প্রচারিত হয়।</t>
  </si>
  <si>
    <t>Virtue proclaims itself</t>
  </si>
  <si>
    <t>ধার্মিক ব্যক্তি</t>
  </si>
  <si>
    <t>বিপদের মধ্যে গুনের পরীক্ষা হয়।</t>
  </si>
  <si>
    <t>বিপদে গুণের পরীক্ষা হয়</t>
  </si>
  <si>
    <t>বিপদে চরিত্র বোঝা যায়।</t>
  </si>
  <si>
    <t>Virtue thrives best in adversity</t>
  </si>
  <si>
    <t>ঘরের কেচ্ছা বাইরে গাওয়া।</t>
  </si>
  <si>
    <t>ঘরের কেচ্ছা বাইরে গাওয়া</t>
  </si>
  <si>
    <t>ব্যক্তিগত বিষয় প্রকাশ করা।</t>
  </si>
  <si>
    <t>Wash one's dirty linen in public</t>
  </si>
  <si>
    <t>অসংযত ব্যক্তি</t>
  </si>
  <si>
    <t>শরীরের নাম মহাশয় যা সওয়াবে তাই সয়।</t>
  </si>
  <si>
    <t>শরীরের নাম মহাশয়, যা সয় তাই সয়</t>
  </si>
  <si>
    <t>শরীরের ধৈর্য্যের সীমা।</t>
  </si>
  <si>
    <t>We first make our habits, and than our habits make us</t>
  </si>
  <si>
    <t>মানুষ বাঁচে তাহার কর্মে, বয়সের মধ্যে নহে।</t>
  </si>
  <si>
    <t>We live in deed, not in years</t>
  </si>
  <si>
    <t>দৌড়ানো শেখার পূর্বে হাটা শিখতে হয়।</t>
  </si>
  <si>
    <t>দৌড়ানোর আগে হাঁটা শিখতে হয়</t>
  </si>
  <si>
    <t>ধাপে ধাপে এগোতে হয়।</t>
  </si>
  <si>
    <t>We must learn to walk before we can run</t>
  </si>
  <si>
    <t>দাঁত থাকতে দাঁতের মর্যাদা বোঝা যায় না।</t>
  </si>
  <si>
    <t>We never know the worth of water till the well is dry</t>
  </si>
  <si>
    <t>দশে মিলি করি কাজ, হারি জিতি নাহি লাজ।</t>
  </si>
  <si>
    <t>We stand or fall together</t>
  </si>
  <si>
    <t>হাসির পরে আসে কান্না।</t>
  </si>
  <si>
    <t>হাসির পরে আসে কান্না</t>
  </si>
  <si>
    <t>সুখের পর দুঃখ আসে।</t>
  </si>
  <si>
    <t>Weal and weo come by turns</t>
  </si>
  <si>
    <t>সুন্দর শুরুই অর্ধেক সাফল্য।</t>
  </si>
  <si>
    <t>সুন্দর শুরু অর্ধেক সাফল্য</t>
  </si>
  <si>
    <t>শুরু ভালো হলে অর্ধেক কাজ শেষ।</t>
  </si>
  <si>
    <t>Well begun is half done</t>
  </si>
  <si>
    <t>প্রতিকারের উপায় না থাকলে সহ্য করতে হয়।</t>
  </si>
  <si>
    <t>প্রতিকারের উপায় না থাকলে সহ্য করতে হয়</t>
  </si>
  <si>
    <t>অসহায় অবস্থায় সহ্য করা।</t>
  </si>
  <si>
    <t>What can't be cured must be endured</t>
  </si>
  <si>
    <t>সৃষ্টিকর্তা যা করেন মঙ্গলের জন্যেই করেন।</t>
  </si>
  <si>
    <t>সৃষ্টিকর্তা যা করেন, মঙ্গলের জন্য</t>
  </si>
  <si>
    <t>ঈশ্বর যা করেন, ভালোর জন্য।</t>
  </si>
  <si>
    <t>What god wills is for good</t>
  </si>
  <si>
    <t>আস্তিক ব্যক্তি</t>
  </si>
  <si>
    <t>রাখে আল্লাহ মারে কে।</t>
  </si>
  <si>
    <t>রাখে আল্লাহ, মারে কে</t>
  </si>
  <si>
    <t>ঈশ্বর বাঁচালে কেউ মারতে পারে না।</t>
  </si>
  <si>
    <t>What god wills no frost can kill</t>
  </si>
  <si>
    <t>সব জিনিসেরই এক সময় পতন ঘটে।</t>
  </si>
  <si>
    <t>সব জিনিসের এক সময় পতন ঘটে</t>
  </si>
  <si>
    <t>সব কিছুরই শেষ আছে।</t>
  </si>
  <si>
    <t>What goes up must come down</t>
  </si>
  <si>
    <t>যা হবার হয়ে গেছে; ঘটে যাওয়া জিনিসের পরিবর্তন সম্ভব নয়।</t>
  </si>
  <si>
    <t>যা হয়ে গেছে, তা বদলানো যায় না</t>
  </si>
  <si>
    <t>অতীত পরিবর্তন করা যায় না।</t>
  </si>
  <si>
    <t>What is done cannot be undone</t>
  </si>
  <si>
    <t>অধিক সন্ন্যাসীতে গাজন নষ্ট।</t>
  </si>
  <si>
    <t>অধিক সন্ন্যাসীতে গাজন নষ্ট</t>
  </si>
  <si>
    <t>What is everybody's business is nobody's business</t>
  </si>
  <si>
    <t>কপালের লিখন না যায় খন্ডন।</t>
  </si>
  <si>
    <t>কপালের লেখা বদলানো যায় না</t>
  </si>
  <si>
    <t>What is lotted cannot be blotted</t>
  </si>
  <si>
    <t>সকল রোগীর এক পথ্য নহে।</t>
  </si>
  <si>
    <t>সব রোগীর এক ওষুধ নয়</t>
  </si>
  <si>
    <t>ভিন্ন সমস্যার ভিন্ন সমাধান।</t>
  </si>
  <si>
    <t>What is sauce for the gander is not for the goose</t>
  </si>
  <si>
    <t>কারও সর্বনাশ, কারও পৌষমাস।</t>
  </si>
  <si>
    <t>কারও সর্বনাশ, কারও পৌষ মাস</t>
  </si>
  <si>
    <t>What is sport to the cat is death to the rat</t>
  </si>
  <si>
    <t>ভাগ্যকে পরিবর্তন করা যায় না।</t>
  </si>
  <si>
    <t>ভাগ্য পরিবর্তন করা যায় না</t>
  </si>
  <si>
    <t>ভাগ্যের লেখা অমোঘ।</t>
  </si>
  <si>
    <t>What must be, must be and what will be, will be</t>
  </si>
  <si>
    <t>নামে কিবা আসে যায়?।</t>
  </si>
  <si>
    <t>নামে কী আসে যায়?</t>
  </si>
  <si>
    <t>নাম বড় কোনো বিষয় নয়।</t>
  </si>
  <si>
    <t>What's in a name</t>
  </si>
  <si>
    <t>যেখানে যেমন, সেখানে তেমন।</t>
  </si>
  <si>
    <t>যেখানে যেমন, সেখানে তেমন</t>
  </si>
  <si>
    <t>পরিস্থিতি অনুযায়ী আচরণ করো।</t>
  </si>
  <si>
    <t>When in Rome, do as Romans do</t>
  </si>
  <si>
    <t>যস্মিন দেশে যাদাচার; যখন যেমন, তখন তেমন।</t>
  </si>
  <si>
    <t>যখন যেমন, তখন তেমন</t>
  </si>
  <si>
    <t>When in Rome, do as the Romans do</t>
  </si>
  <si>
    <t>এক দুয়ার বন্ধ তো হাজার দুয়ার খোলা।</t>
  </si>
  <si>
    <t>এক দরজা বন্ধ হলে হাজার দরজা খোলে</t>
  </si>
  <si>
    <t>এক পথ বন্ধ হলে অন্য পথ খোলে।</t>
  </si>
  <si>
    <t>When one door shuts, another opens</t>
  </si>
  <si>
    <t>অভাব দেখা দিলে ভালবাসা জানালা দিয়ে পালায়।</t>
  </si>
  <si>
    <t>অভাব দেখা দিলে ভালোবাসা পালায়</t>
  </si>
  <si>
    <t>অভাব আসলে ভালোবাসা থাকে না।</t>
  </si>
  <si>
    <t>When poverty comes in at the door, love flies out of the window</t>
  </si>
  <si>
    <t>অর্থনৈতিক সমস্যা</t>
  </si>
  <si>
    <t>বামন গেল ঘর তো লাঙ্গল তুলে ধর।</t>
  </si>
  <si>
    <t>বামন গেল ঘর, তো লাঙ্গল তুলে ধর</t>
  </si>
  <si>
    <t>মালিক না থাকলে কর্মচারীরা অশান্তি করে।</t>
  </si>
  <si>
    <t>When the cat's away, the mice will play</t>
  </si>
  <si>
    <t>কর্মচারী</t>
  </si>
  <si>
    <t>কাজ বা পরিস্থিতি যতটা প্রতিকূল হবে ততটাই দৃঢ়প্রতিজ্ঞ হতে হবে।</t>
  </si>
  <si>
    <t>পরিস্থিতি যত কঠিন, তত দৃঢ় হতে হবে</t>
  </si>
  <si>
    <t>কঠিন পরিস্থিতিতে দৃঢ় হও।</t>
  </si>
  <si>
    <t>When the going gets tough, the tough gets going</t>
  </si>
  <si>
    <t>দৃঢ় ব্যক্তি</t>
  </si>
  <si>
    <t>কখনও কখনও জানার চেয়ে না জানাই ভালো।</t>
  </si>
  <si>
    <t>কখনও না জানা ভালো</t>
  </si>
  <si>
    <t>অজ্ঞতা মাঝে মাঝে সুখকর।</t>
  </si>
  <si>
    <t>Where ignorance is bliss, tis folly to be wise</t>
  </si>
  <si>
    <t>ইচ্ছা থাকিলেই উপায় হয়।</t>
  </si>
  <si>
    <t>ইচ্ছা থাকলে উপায় হয়</t>
  </si>
  <si>
    <t>ইচ্ছা থাকলে উপায় বের হয়।</t>
  </si>
  <si>
    <t>Where there is a will, there is a way</t>
  </si>
  <si>
    <t>ইচ্ছুক ব্যক্তি</t>
  </si>
  <si>
    <t>যথা ধর্ম তথা জয়।</t>
  </si>
  <si>
    <t>যথা ধর্ম তথা জয়</t>
  </si>
  <si>
    <t>যেখানে ধর্ম, সেখানে জয়।</t>
  </si>
  <si>
    <t>Where there is justice, there is victory</t>
  </si>
  <si>
    <t>ধর্ম/ন্যায়</t>
  </si>
  <si>
    <t>যতক্ষণ শ্বাস ততক্ষণ আঁশ।</t>
  </si>
  <si>
    <t>যতক্ষণ শ্বাস, ততক্ষণ আঁশ</t>
  </si>
  <si>
    <t>জীবন থাকলে আশা থাকে।</t>
  </si>
  <si>
    <t>While there is life, there is hope</t>
  </si>
  <si>
    <t>নির্বোধের নাই প্রমাদের ভয়।</t>
  </si>
  <si>
    <t>নির্বোধের প্রমাদের ভয় নেই</t>
  </si>
  <si>
    <t>অজ্ঞ মানুষ বিপদ বুঝতে পারে না।</t>
  </si>
  <si>
    <t>Who knows nothings, doubts nothing</t>
  </si>
  <si>
    <t>নির্বোধ ব্যক্তি</t>
  </si>
  <si>
    <t>গুরুনিন্দায় অধোগতি।</t>
  </si>
  <si>
    <t>গুরুর নিন্দা করলে পতন হয়</t>
  </si>
  <si>
    <t>গুরুর অবমাননা করলে পাপ হয়।</t>
  </si>
  <si>
    <t>Whoever calumniates his preceptor is damned</t>
  </si>
  <si>
    <t>অবমাননাকারী</t>
  </si>
  <si>
    <t>সুযোগ হারাবে কেন?।</t>
  </si>
  <si>
    <t>সুযোগ হারাবে কেন?</t>
  </si>
  <si>
    <t>সুযোগ হাতছাড়া করো না।</t>
  </si>
  <si>
    <t>Why buy a cow when you can get milk for free</t>
  </si>
  <si>
    <t>শুধু কথায় পেট ভরে না।</t>
  </si>
  <si>
    <t>শুধু কথায় পেট ভরে না</t>
  </si>
  <si>
    <t>শুধু কথা বললে কাজ হয় না।</t>
  </si>
  <si>
    <t>Wishes never fill the bag</t>
  </si>
  <si>
    <t>পাকা লোক ফাঁকা কথায় ভোলে না।</t>
  </si>
  <si>
    <t>পাকা লোক ফাঁকা কথায় ভোলে না</t>
  </si>
  <si>
    <t>অভিজ্ঞ মানুষ ফাঁকা কথায় বিশ্বাস করে না।</t>
  </si>
  <si>
    <t>You cannot catch an old bird with chaff</t>
  </si>
  <si>
    <t>গাধা পিটে ঘোড়া হয় না।</t>
  </si>
  <si>
    <t>গাধা পিটিয়ে ঘোড়া হয় না</t>
  </si>
  <si>
    <t>অযোগ্যকে কোনো প্রশিক্ষণে যোগ্য করা যায় না।</t>
  </si>
  <si>
    <t>You cannot make a man of an ass</t>
  </si>
  <si>
    <t>আমড়া গাছে আম হয় না।</t>
  </si>
  <si>
    <t>আমড়া গাছে আম হয় না</t>
  </si>
  <si>
    <t>খারাপ জায়গায় ভালো কিছু হয় না।</t>
  </si>
  <si>
    <t>You cannot make a silk purse out of a sow's ear</t>
  </si>
  <si>
    <t>অযোগ্য জিনিস</t>
  </si>
  <si>
    <t>কত ধানে কত চাল বুঝবে।</t>
  </si>
  <si>
    <t>কত ধানে কত চাল বুঝবে</t>
  </si>
  <si>
    <t>বাস্তবতা বুঝবে।</t>
  </si>
  <si>
    <t>You will know now what's what</t>
  </si>
  <si>
    <t>শাশুড়ির নয়, ননদের নয়</t>
  </si>
  <si>
    <t xml:space="preserve">সবাইকে খুশি করা যায় না </t>
  </si>
  <si>
    <t>You can't satisfy everyone.</t>
  </si>
  <si>
    <t>শাশুড়ি, ননদ</t>
  </si>
  <si>
    <t>naznin</t>
  </si>
  <si>
    <t>অধর্ম্মের তোড়া আর ধর্ম্মের কড়া।</t>
  </si>
  <si>
    <t>অধর্মের তোড়া (আড়ম্বর) আর ধর্মের কড়া (কঠোরতা)</t>
  </si>
  <si>
    <t>অধর্মের পথে চলা সহজ ও আকর্ষণীয়, কিন্তু ধর্মের পথ কঠোর ও সংযমী।</t>
  </si>
  <si>
    <t>The path of unrighteousness is showy, while righteousness is strict.</t>
  </si>
  <si>
    <t>ধর্ম/নীতি</t>
  </si>
  <si>
    <t>অবোধ বুঝান আর পাষাণ গলান সমান।</t>
  </si>
  <si>
    <t>অবোধকে বোঝানো আর পাথর গলানো একই রকম কঠিন।</t>
  </si>
  <si>
    <t>মূর্খ মানুষকে বোঝানো অসম্ভব।</t>
  </si>
  <si>
    <t>Explaining to a fool is as hard as melting a stone.</t>
  </si>
  <si>
    <t>অজ্ঞানে নাচ জ্ঞানে পাঠ সিদ্ধ</t>
  </si>
  <si>
    <t>অজ্ঞানে নাচ, জ্ঞানে পাঠ সিদ্ধ</t>
  </si>
  <si>
    <t>অজ্ঞতার ফলে নাচের মতো অস্থিরতা, আর জ্ঞানের ফলে শান্তি ও সিদ্ধি লাভ।</t>
  </si>
  <si>
    <t>Ignorance leads to restlessness, knowledge leads to perfection.</t>
  </si>
  <si>
    <t>জ্ঞান/অজ্ঞান</t>
  </si>
  <si>
    <t>অসৎ কর্ম্মের বিপরীত ফল।</t>
  </si>
  <si>
    <t>অসৎ কর্মের বিপরীত ফল</t>
  </si>
  <si>
    <t>অসৎ কাজের ফল কখনও ভালো হয় না; তার উল্টো ফল হয়।</t>
  </si>
  <si>
    <t>Unrighteous actions bear opposite (bad) fruits.</t>
  </si>
  <si>
    <t>নীতি/আচরণ</t>
  </si>
  <si>
    <t>অন্ধ কুক্কুর বায়ুতে ঘেউ ঘেউ করে।</t>
  </si>
  <si>
    <t>অন্ধ কুকুর বাতাসে ঘেউ ঘেউ করে</t>
  </si>
  <si>
    <t>অর্থহীন কাজ বা বক্তব্য।</t>
  </si>
  <si>
    <t>A blind dog barks at the wind.</t>
  </si>
  <si>
    <t>অকালে এলে মিতা, সুকালে গেলে; যাবার বেলায় গেলে মিতে, কুলে দাগ দিলে।</t>
  </si>
  <si>
    <t>অসময়ে এলে মিতা (বন্ধু), সুসময়ে গেলে; যাবার সময় গেলে মিতা, কুলে দাগ দিলে।</t>
  </si>
  <si>
    <t>বন্ধুত্বের গুরুত্ব সময় ও পরিস্থিতির উপর নির্ভর করে; অসময়ে বন্ধু এলে বা চলে গেলে কষ্ট হয়।</t>
  </si>
  <si>
    <t>A friend who comes at the wrong time or leaves at the wrong time causes pain.</t>
  </si>
  <si>
    <t>বন্ধু/সঙ্গী</t>
  </si>
  <si>
    <t>অনেক সন্ন্যাসীতে গাজন নষ্ট।</t>
  </si>
  <si>
    <t>অনেক সন্ন্যাসী হলে গাজন (উৎসব) নষ্ট হয়</t>
  </si>
  <si>
    <t>অতিরিক্ত লোকজন থাকলে কাজ বা অনুষ্ঠান ভালোভাবে সম্পন্ন হয় না।</t>
  </si>
  <si>
    <t>Too many cooks spoil the broth.</t>
  </si>
  <si>
    <t>অতিরিক্ত লোক</t>
  </si>
  <si>
    <t>অন্নচিন্তা চমৎকারা, কালিদাশের বুদ্ধিহারা।</t>
  </si>
  <si>
    <t>অন্নের চিন্তায় চমৎকারা (স্ত্রী) এবং কালিদাস বুদ্ধিহারা</t>
  </si>
  <si>
    <t>অন্নের চিন্তায় সবাই বুদ্ধিহারা হয়ে যায়।</t>
  </si>
  <si>
    <t>Worrying about food makes even the wise foolish.</t>
  </si>
  <si>
    <t>অভদ্র বর্ষার কাল, হরিণ চাটে বাঘের গাল; অরে হিরণ তোরে কই, সময় বুঝে সকল সই।</t>
  </si>
  <si>
    <t>অভদ্র বর্ষাকালে হরিণ বাঘের গাল চাটে; হে হরিণ, সময় বুঝে সব কাজ করো।</t>
  </si>
  <si>
    <t>অসময়ে সাহস বা বুদ্ধি প্রদর্শন করলে বিপদ ঘটে।</t>
  </si>
  <si>
    <t>In the wrong season, a deer licks a tiger's cheek; O deer, understand the time and act wisely.</t>
  </si>
  <si>
    <t>সময়/সুযোগ</t>
  </si>
  <si>
    <t>অবস্থাগুণে ব্যবস্থা ভাল।</t>
  </si>
  <si>
    <t>পরিস্থিতি অনুযায়ী ব্যবস্থা ভালো</t>
  </si>
  <si>
    <t>পরিস্থিতি বুঝে ব্যবস্থা নেওয়া উচিত।</t>
  </si>
  <si>
    <t>According to the situation, the arrangement is good.</t>
  </si>
  <si>
    <t>অকালের ভাত জন্মের খোঁটা।</t>
  </si>
  <si>
    <t>অসময়ে ভাত খেলে জন্মের দোষ (খোঁটা) লাগে</t>
  </si>
  <si>
    <t>অসময়ে সুখ বা সুযোগ পেলে তা দোষের কারণ হয়।</t>
  </si>
  <si>
    <t>Eating at the wrong time brings the blame of birth.</t>
  </si>
  <si>
    <t>অসময়কারী ব্যক্তি</t>
  </si>
  <si>
    <t>অত্যন্ত গর্হিতং।</t>
  </si>
  <si>
    <t>অত্যন্ত নিন্দনীয়।</t>
  </si>
  <si>
    <t>অতিরিক্ত কিছু নিন্দনীয়।</t>
  </si>
  <si>
    <t>Extremely condemnable.</t>
  </si>
  <si>
    <t>অনেক কাল করে পাপ সময় হলে ফলে।</t>
  </si>
  <si>
    <t>অনেক দিন পাপ করলে সময় হলে তার ফল হয়।</t>
  </si>
  <si>
    <t>পাপের ফল সময়মতো আসে।</t>
  </si>
  <si>
    <t>Sin bears fruit when the time comes.</t>
  </si>
  <si>
    <t>অন্নের সুখে অরণ্যে বাস।</t>
  </si>
  <si>
    <t>অন্নের সুখে অরণ্যে বাস করা</t>
  </si>
  <si>
    <t>অন্নের জন্য মানুষ অরণ্যে বাস করতে পারে।</t>
  </si>
  <si>
    <t>For the sake of food, one can live in the forest.</t>
  </si>
  <si>
    <t>অযোধ্যার রঘু আর কাঁটাবনের ঘুঘু?</t>
  </si>
  <si>
    <t>অযোধ্যার রঘু আর কাঁটাবনের ঘুঘু</t>
  </si>
  <si>
    <t>কোনো গুরুত্বপূর্ণ ব্যক্তি ও তুচ্ছ ব্যক্তির তুলনা।</t>
  </si>
  <si>
    <t>Raghu of Ayodhya and the pigeon of the thorny forest? (an analogy of great vs. insignificant)</t>
  </si>
  <si>
    <t>অঙ্গার খেলেই কয়লা বাহ্যে হয়।</t>
  </si>
  <si>
    <t>অঙ্গার (জ্বলন্ত কয়লা) খেলেই কয়লা বাহ্যে (ছাই) হয়।</t>
  </si>
  <si>
    <t>অগ্নি বা তাপের সংস্পর্শে এসে কিছু ধ্বংস হয়ে যায়।</t>
  </si>
  <si>
    <t>By playing with fire, coal turns to ash.</t>
  </si>
  <si>
    <t>অপার জীবনে নাজ্জামাই ভাতার।</t>
  </si>
  <si>
    <t>অপার জীবনে নাজ্জামাই (অযোগ্য) ভাতার</t>
  </si>
  <si>
    <t>জীবনে অসহায় অবস্থায় অযোগ্য লোকও ভরসার জায়গা হয়।</t>
  </si>
  <si>
    <t>In a helpless life, even an incapable person becomes a support.</t>
  </si>
  <si>
    <t>অন্ধকার গৃহের চরণামৃৎ।</t>
  </si>
  <si>
    <t>অন্ধকার ঘরের চরণামৃত (পায়ের ধুলো)</t>
  </si>
  <si>
    <t>অন্ধকার ঘরে পায়ের ধুলোও মূল্যবান মনে হয়।</t>
  </si>
  <si>
    <t>In a dark room, even the dust of the feet seems precious.</t>
  </si>
  <si>
    <t>অল্প আয়ু স্বপ্নের তুল্য।</t>
  </si>
  <si>
    <t>অল্প আয়ু স্বপ্নের মতো</t>
  </si>
  <si>
    <t>জীবন ক্ষণস্থায়ী, স্বপ্নের মতো।</t>
  </si>
  <si>
    <t>Short life is like a dream.</t>
  </si>
  <si>
    <t>জীবন/মৃত্যু</t>
  </si>
  <si>
    <t>আক্কেলে ভগবান্‌কে চিনে।</t>
  </si>
  <si>
    <t>বুদ্ধি দিয়ে ভগবানকে চেনা যায়</t>
  </si>
  <si>
    <t>বুদ্ধিমান মানুষ ঈশ্বরকে চিনতে পারে।</t>
  </si>
  <si>
    <t>By wisdom, one recognizes God.</t>
  </si>
  <si>
    <t>আঠে পিঠে দঢ়, তো ঘোঁড়ার পিঠে চড়।</t>
  </si>
  <si>
    <t>আঠে পিঠে (আঠার পিঠা) খেয়ে দঢ় (শক্ত) হও, তারপর ঘোড়ার পিঠে চড়ো।</t>
  </si>
  <si>
    <t>শক্তি অর্জন করেই কাজে নামো।</t>
  </si>
  <si>
    <t>Eat well to become strong, then ride a horse.</t>
  </si>
  <si>
    <t>শারীরিক শক্তি</t>
  </si>
  <si>
    <t>আপন বুদ্ধে তরি পর বুদ্ধে মরি।</t>
  </si>
  <si>
    <t>আপন বুদ্ধিতে তরি (পার হওয়া), পর বুদ্ধিতে মরি</t>
  </si>
  <si>
    <t>নিজের বুদ্ধিতে কাজ করলে সফল হওয়া যায়, অন্যের বুদ্ধিতে বিপদ হয়।</t>
  </si>
  <si>
    <t>One succeeds by one's own wisdom, but perishes by following others' wisdom.</t>
  </si>
  <si>
    <t>বুদ্ধি/সিদ্ধান্ত</t>
  </si>
  <si>
    <t>আহারে বলে আন্‌লেম চিলবেটাকে, একে একে খেলেক্ সব ছানাকে এ লাজের কথা আর বলি কাকে।</t>
  </si>
  <si>
    <t>আহারে বলে আনলেম চিলবেটাকে, একে একে খেলেক সব ছানাকে, এ লাজের কথা আর বলি কাকে?</t>
  </si>
  <si>
    <t>খাওয়ার বিষয়ে লজ্জার কথা বলা যায় না।</t>
  </si>
  <si>
    <t>Alas, I invited the kite, ate all the ducklings one by one; who can I tell this shameful story to?</t>
  </si>
  <si>
    <t>আধাগীত প্রাণের হিত্ যদি না গায় নিত্ নিত্।</t>
  </si>
  <si>
    <t>আধাগীত (অর্ধেক গাওয়া) প্রাণের হিত, যদি না গায় নিত্য নিত্য</t>
  </si>
  <si>
    <t>অর্ধেক কাজ করা ভালো নয়; নিয়মিত করতে হবে।</t>
  </si>
  <si>
    <t>Half-sung song is not good for life; one must sing regularly.</t>
  </si>
  <si>
    <t>আগুণ কি কাদা, আর রাজা কি দাদা?</t>
  </si>
  <si>
    <t>আগুন কি কাদা, আর রাজা কি দাদা?</t>
  </si>
  <si>
    <t>আগুন ও কাদা যেমন আলাদা, তেমনি রাজা ও সাধারণ মানুষ আলাদা।</t>
  </si>
  <si>
    <t>Fire and mud are different, just as a king and a commoner are different.</t>
  </si>
  <si>
    <t>রাজা/সাধারণ</t>
  </si>
  <si>
    <t>সামাজিক শ্রেণী</t>
  </si>
  <si>
    <t>আখা আছে পাখা নাই বুদ্ধি আছে ভরসা নাই।</t>
  </si>
  <si>
    <t>আখা (আঁখি/চোখ) আছে, পাখা (ডানা) নেই; বুদ্ধি আছে, ভরসা নেই।</t>
  </si>
  <si>
    <t>যোগ্যতা থাকলেও উপায় না থাকলে কিছু হয় না।</t>
  </si>
  <si>
    <t>Eyes are there but no wings; wisdom is there but no support.</t>
  </si>
  <si>
    <t>অসহায় ব্যক্তি</t>
  </si>
  <si>
    <t>আছে ঋণ ত ছাগী কিন্।</t>
  </si>
  <si>
    <t>ঋণ থাকলে ছাগী কেনা উচিত নয়</t>
  </si>
  <si>
    <t>ঋণ থাকলে নতুন কোনো ব্যয় করা উচিত নয়।</t>
  </si>
  <si>
    <t>If there is debt, don't buy a goat.</t>
  </si>
  <si>
    <t>ঋণগ্রস্ত ব্যক্তি</t>
  </si>
  <si>
    <t>আমে বান, তেঁতুলে টান্।</t>
  </si>
  <si>
    <t>আমে বান (বন্যা), তেঁতুলে টান (টানাটানি)</t>
  </si>
  <si>
    <t>আম ও তেঁতুলের মতো বিপরীত স্বভাবের জিনিস।</t>
  </si>
  <si>
    <t>Mango brings flood, tamarind brings pulling (contrary natures).</t>
  </si>
  <si>
    <t>আসনে ঠাকুর নাই, সাঁকের বড় চড়চড়ি; ঘরেতে অন্ন নাই বৈরাগীদের হড়বড়ি।</t>
  </si>
  <si>
    <t>আসনে ঠাকুর নেই, সাঁকের বড় চড়চড়ি; ঘরে অন্ন নেই, বৈরাগীদের হড়বড়ি।</t>
  </si>
  <si>
    <t>বাহ্যিক ভক্তির আড়ম্বর থাকলেও প্রকৃত ভক্তি নেই; অন্ন নেই তবুও আড়ম্বর।</t>
  </si>
  <si>
    <t>No deity on the seat, yet the priest is busy; no food in the house, yet the ascetics are bustling.</t>
  </si>
  <si>
    <t>আগুণ লাগলেই জল বর্ষে নাই।</t>
  </si>
  <si>
    <t>আগুন লাগলেই জল পড়ে না</t>
  </si>
  <si>
    <t>প্রয়োজনের সময় সাহায্য পাওয়া যায় না।</t>
  </si>
  <si>
    <t>When fire breaks out, it does not rain.</t>
  </si>
  <si>
    <t>আলনা কাঠের চালনা, শিমূল কাঠের ফরি, ছোঁড়ার ফর ফরানিতে মরি।</t>
  </si>
  <si>
    <t>আলনা কাঠের চালনা, শিমুল কাঠের ফরি; ছোঁড়ার ফরফরানিতে মরি</t>
  </si>
  <si>
    <t>কিছু জিনিসের গুণাগুণ তার ব্যবহারে বোঝা যায়।</t>
  </si>
  <si>
    <t>The sieve of Alna wood, the plank of Simul wood; I die at the boy's fluttering.</t>
  </si>
  <si>
    <t>আত্ম রেখে পিতার শ্রাদ্ধ।</t>
  </si>
  <si>
    <t>নিজেকে রেখে পিতার শ্রাদ্ধ করা</t>
  </si>
  <si>
    <t>প্রথমে নিজের যত্ন নেওয়া উচিত, তারপর অন্যের।</t>
  </si>
  <si>
    <t>Take care of yourself first, then perform your father's shraddha.</t>
  </si>
  <si>
    <t>আদা বেপারির জাহাজের খবর।</t>
  </si>
  <si>
    <t>আদা ব্যবসায়ীর জাহাজের খবর</t>
  </si>
  <si>
    <t>অপ্রাসঙ্গিক প্রশ্ন বা কাজ।</t>
  </si>
  <si>
    <t>Asking a ginger merchant about ships (irrelevant question).</t>
  </si>
  <si>
    <t>আইস কুটুম্ বশ খাটে, পা ধুয়াব পুকুর ঘাটে, পিঠ ভাংব চেলা কাঠে!</t>
  </si>
  <si>
    <t>আইস কুটুম, বশ খাটে, পা ধুয়াব পুকুর ঘাটে, পিঠ ভাংব চেলা কাঠে!</t>
  </si>
  <si>
    <t>অতিথি এলে তাকে সম্মান দিতে হবে, কিন্তু কষ্টও দিতে হবে না।</t>
  </si>
  <si>
    <t>Come, relative, sit on the bed, I will wash your feet at the pond ghat, I will break the back with a branch! (ironic hospitality)</t>
  </si>
  <si>
    <t>আপ রুচি খানা, পর রুচি পিন্না।</t>
  </si>
  <si>
    <t>আপ রুচি খানা (নিজের রুচির খাবার), পর রুচি পিন্না (অন্যের রুচির পিঠা)</t>
  </si>
  <si>
    <t>নিজের পছন্দের জিনিসই ভালো, অন্যের পছন্দের জিনিস খারাপ।</t>
  </si>
  <si>
    <t>One's own taste is food, another's taste is pitha.</t>
  </si>
  <si>
    <t>আপনাকে উচ্চে দেখে অন্যে বুঝে হীন, নিশ্চয় জানিবে তাহা নরকের চিন্।</t>
  </si>
  <si>
    <t>আপনাকে উচ্চে দেখে অন্যেরা হীন বুঝে, নিশ্চয় জানিবে তাহা নরকের চিহ্ন</t>
  </si>
  <si>
    <t>অহংকার নরকের পথ দেখায়।</t>
  </si>
  <si>
    <t>Thinking oneself high and others low is a sign of hell.</t>
  </si>
  <si>
    <t>আপনার জ্ঞাতি আড়ে, বাড়ে, মাগের কুটুম্ মাজের ঘরে।</t>
  </si>
  <si>
    <t>আপনার জ্ঞাতি আড়ে বাড়ে, মায়ের কুটুম মাঝের ঘরে।</t>
  </si>
  <si>
    <t>আত্মীয়রা যখন ইচ্ছা আসে যায়, কিন্তু মায়ের আত্মীয়রা কেন্দ্রীয়।</t>
  </si>
  <si>
    <t>One's own relatives come and go, but mother's relatives stay in the middle room.</t>
  </si>
  <si>
    <t>আয় বাঘ, না এসেই ঘাড়ে লাগ্‌?</t>
  </si>
  <si>
    <t>আয় বাঘ, না এসেই ঘাড়ে লাগ?</t>
  </si>
  <si>
    <t>ভয় দেখানোর জন্য হুমকি দেওয়া।</t>
  </si>
  <si>
    <t>Come, tiger, or will you attack my neck without coming?</t>
  </si>
  <si>
    <t>আপনার গ্রামে কুক্কুরও রাজা।</t>
  </si>
  <si>
    <t>নিজের গ্রামে কুকুরও রাজা</t>
  </si>
  <si>
    <t>In one's own village, even a dog is a king.</t>
  </si>
  <si>
    <t>আসল ঘরে মুশল নাই টেকিশালে চাঁদয়া।</t>
  </si>
  <si>
    <t>আসল ঘরে মুশল নেই, টেকিশালে চাঁদয়া</t>
  </si>
  <si>
    <t>প্রয়োজনীয় জিনিস না থাকলে বিকল্প খুঁজতে হয়।</t>
  </si>
  <si>
    <t>No pestle in the main house, yet the granary has a moon.</t>
  </si>
  <si>
    <t>এয়োতী নাচে রঙ্গে, রাঁড় নাচে তার সঙ্গে।</t>
  </si>
  <si>
    <t>এয়োতী (বিধবা) নাচে রঙ্গে, রাঁড় (পুরুষ) নাচে তার সঙ্গে</t>
  </si>
  <si>
    <t>সবার সাথে সবাই মিশে যায়।</t>
  </si>
  <si>
    <t>The widow dances in joy, and the man dances with her.</t>
  </si>
  <si>
    <t>বিধবা/পুরুষ</t>
  </si>
  <si>
    <t>লিঙ্গ/সামাজিক</t>
  </si>
  <si>
    <t>আদা আন্‌তে মুঢ়িই ফাঁক।</t>
  </si>
  <si>
    <t>আদা আনতে মুড়িই ফাঁক (খালি)</t>
  </si>
  <si>
    <t>এক কাজ করতে গিয়ে আরেক কাজে ব্যর্থ হওয়া।</t>
  </si>
  <si>
    <t>In trying to bring ginger, the puffed rice is empty.</t>
  </si>
  <si>
    <t>আহারে প্রহর ঘটে।</t>
  </si>
  <si>
    <t>আহারে প্রহর ঘটে (সময় কেটে যায়)</t>
  </si>
  <si>
    <t>খাওয়ার সময় কেটে যায়।</t>
  </si>
  <si>
    <t>The hour of eating passes.</t>
  </si>
  <si>
    <t>আমের কালে, ডোম রাজা?</t>
  </si>
  <si>
    <t>আমের কালে ডোম রাজা?</t>
  </si>
  <si>
    <t>অসময়ে অযোগ্য ব্যক্তির গুরুত্ব পাওয়া।</t>
  </si>
  <si>
    <t>In the season of mangoes, is the Dom a king?</t>
  </si>
  <si>
    <t>আমার নিমন্ত্রণে না ডাকলে যেওনা, এবং ঘরেও খেও না।</t>
  </si>
  <si>
    <t>আমার নিমন্ত্রণে না ডাকলে যেও না, এবং ঘরেও খেও না।</t>
  </si>
  <si>
    <t>যেখানে ডাক নেই, সেখানে যাওয়া বা খাওয়া উচিত নয়।</t>
  </si>
  <si>
    <t>Don't go if not invited to my feast, and don't eat at home either.</t>
  </si>
  <si>
    <t>অমর্যাদাকারী</t>
  </si>
  <si>
    <t>আঁটে নাই যার, টেনে বাঁদে ধার।</t>
  </si>
  <si>
    <t>আঁটে (বাঁধা) নেই যার, টেনে বেঁধে ধার</t>
  </si>
  <si>
    <t>যার বাঁধন নেই, তাকে জোর করে বেঁধে রাখা।</t>
  </si>
  <si>
    <t>Whoever is not tied, tie them tightly.</t>
  </si>
  <si>
    <t>অশিক্ষিত/অসভ্য</t>
  </si>
  <si>
    <t>আপনার যাত্রা পরকে দিয়া দৈবক আগে ভিক্ষা।</t>
  </si>
  <si>
    <t>আপনার যাত্রা (পথ) পরকে দিয়ে দৈবকে আগে ভিক্ষা</t>
  </si>
  <si>
    <t>অন্যের পথ আগে দেখে নিজের পথ দেখা।</t>
  </si>
  <si>
    <t>Give your path to others and beg from God first.</t>
  </si>
  <si>
    <t>আমি বুড়র ঘর কর্‌ছি, না কেবল তার মন যোগাচ্ছি?</t>
  </si>
  <si>
    <t>আমি বুড়োর ঘর করছি, না কেবল তার মন যোগাচ্ছি?</t>
  </si>
  <si>
    <t>কাজ করার সময় প্রকৃত উদ্দেশ্য কী?</t>
  </si>
  <si>
    <t>Am I building the old man's house, or just pleasing his mind?</t>
  </si>
  <si>
    <t>তার্জ্জন না গর্জ্জন তার বেটার নাম দুর্য্যোধন।</t>
  </si>
  <si>
    <t>তার্জন না গর্জন, তার বেটার নাম দুর্যোধন</t>
  </si>
  <si>
    <t>যে তর্জন-গর্জন করে, তার নাম দুর্যোধন (মহাভারতের খলনায়ক)।</t>
  </si>
  <si>
    <t>He who threatens, his name is Duryodhana.</t>
  </si>
  <si>
    <t>পুরুষ (দুর্যোধন)</t>
  </si>
  <si>
    <t>লিঙ্গ/পুরাণ</t>
  </si>
  <si>
    <t>আপনার ঘোঁড়ার ঘাস কাটায় লজ্জা নাই।</t>
  </si>
  <si>
    <t>নিজের ঘোড়ার জন্য ঘাস কাটাতে লজ্জা নেই।</t>
  </si>
  <si>
    <t>নিজের প্রয়োজনে কাজ করতে লজ্জা নেই।</t>
  </si>
  <si>
    <t>There is no shame in cutting grass for one's own horse.</t>
  </si>
  <si>
    <t>আত্মনির্ভরতা</t>
  </si>
  <si>
    <t>আত্মবৎ মন্যতে জগৎ।</t>
  </si>
  <si>
    <t>আত্মবৎ (নিজের মতো) মন্যতে জগৎ (জগৎকে মনে করে)</t>
  </si>
  <si>
    <t>নিজের মতো করেই জগৎকে বিচার করা।</t>
  </si>
  <si>
    <t>One judges the world as oneself.</t>
  </si>
  <si>
    <t>আত্মকেন্দ্রিক ব্যক্তি</t>
  </si>
  <si>
    <t>ই তো নয় মরণ, শৃগাল মারিবার ছলন।</t>
  </si>
  <si>
    <t>এটি মৃত্যু নয়, শিয়াল মারার ছলনা।</t>
  </si>
  <si>
    <t>This is not death, but a trick to kill the jackal.</t>
  </si>
  <si>
    <t>ইংরেজের ঘড়ি বাঙ্গালীর মুড়ি।</t>
  </si>
  <si>
    <t>ইংরেজের ঘড়ি, বাঙ্গালীর মুড়ি</t>
  </si>
  <si>
    <t>বিদেশি জিনিসের প্রতি আকর্ষণ, নিজের জিনিসের অবহেলা।</t>
  </si>
  <si>
    <t>English watch, Bengali puffed rice (foreign fascination).</t>
  </si>
  <si>
    <t>সাংস্কৃতিক তুলনা</t>
  </si>
  <si>
    <t>ঈশ্বর যার সখা বল, দুষ্মন তার পায়ের তল।</t>
  </si>
  <si>
    <t>ঈশ্বর যার সখা (বন্ধু), শত্রু তার পায়ের তলায়</t>
  </si>
  <si>
    <t>ঈশ্বরের বন্ধু থাকলে শত্রু পরাজিত হয়।</t>
  </si>
  <si>
    <t>If God is one's friend, the enemy is under one's feet.</t>
  </si>
  <si>
    <t>উড়ে যায় পাখীমনী, আমি তার পাখা গণি।</t>
  </si>
  <si>
    <t>পাখি উড়ে যায়, আমি তার পাখা গণি</t>
  </si>
  <si>
    <t>কারো কাজ দেখে তার দক্ষতা বিচার করা।</t>
  </si>
  <si>
    <t>The bird flies away, I count its feathers.</t>
  </si>
  <si>
    <t>বিচারক ব্যক্তি</t>
  </si>
  <si>
    <t>উপরে ঝুঁটি দাঁত নিকটী তার জানবে জ্বর, দরকারি কাজে ধীরে চলে, তারে জেনো পর, দরিদ্রের বড় মোট জেনো তাহা কাপাশ, সন্ধ্যাবেলা দোয়ার বাঁধা তবে জেনো উপাশ।</t>
  </si>
  <si>
    <t>উপরে ঝুঁটি, দাঁত নিকটী তার জানবে জ্বর; দরকারি কাজে ধীরে চলে, তারে জেনো পর; দরিদ্রের বড় মোট জেনো তাহা কাপাশ; সন্ধ্যাবেলা দোয়ার বাঁধা তবে জেনো উপাশ।</t>
  </si>
  <si>
    <t>বিভিন্ন লক্ষণ দেখে ব্যক্তি বা পরিস্থিতি চেনা যায়।</t>
  </si>
  <si>
    <t>If the crest is on top and teeth are close, know it's fever; if one moves slowly in urgent work, know him as a stranger; know the poor's bundle as cotton; if the door is closed at evening, know it as a prayer.</t>
  </si>
  <si>
    <t>জ্ঞান/পরিচয়</t>
  </si>
  <si>
    <t>উড়ােয় খোই, কৃষ্ণায় নমঃ।</t>
  </si>
  <si>
    <t>উড়োয়ে খোই (উড়ন্ত খই), কৃষ্ণায় নমঃ</t>
  </si>
  <si>
    <t>অস্থির বা অস্থায়ী জিনিসের প্রতি ভক্তি।</t>
  </si>
  <si>
    <t>Flying puffed rice, salutations to Krishna.</t>
  </si>
  <si>
    <t>উই, ইন্দুর, কুজন, সুঁই, সুত, সুজন।</t>
  </si>
  <si>
    <t>উই (পোকা), ইন্দুর (ইঁদুর), কুজন (দুর্জন), সুঁই (সুই), সুত (সূত্র), সুজন (সজ্জন)</t>
  </si>
  <si>
    <t>ভালো-মন্দ সব কিছুই আছে।</t>
  </si>
  <si>
    <t>Ant, rat, wicked, needle, thread, good person.</t>
  </si>
  <si>
    <t>উল্‌ট চোর কটাল দণ্ড।</t>
  </si>
  <si>
    <t>উল্টো চোর কটাল দণ্ড (চোরকে উল্টো করে দণ্ড দেওয়া)</t>
  </si>
  <si>
    <t>অপরাধীকে কঠিন শাস্তি দেওয়া।</t>
  </si>
  <si>
    <t>The upside-down thief gets a stick.</t>
  </si>
  <si>
    <t>উপকারীকে পথে মারে, চুগল খােরকে সঙ্গে করে।</t>
  </si>
  <si>
    <t>উপকারীকে পথে মারে, চুগল খোরকে সঙ্গে করে</t>
  </si>
  <si>
    <t>উপকারীকে ত্যাগ করে, মিথ্যাবাদীকে রাখে।</t>
  </si>
  <si>
    <t>One harms the benefactor and keeps the sycophant.</t>
  </si>
  <si>
    <t>উপর দিক্ থু ফেলিলে, আপনার গায়ে পড়ে।</t>
  </si>
  <si>
    <t>উপর দিকে থুথু ফেললে, নিজের গায়ে পড়ে</t>
  </si>
  <si>
    <t>If you spit upwards, it falls on you.</t>
  </si>
  <si>
    <t>উলির সঙ্গে দুলি, যায় ভুলভুলী।</t>
  </si>
  <si>
    <t>উলির সঙ্গে দুলি, যায় ভুলভুলী</t>
  </si>
  <si>
    <t>খারাপ সঙ্গ পেলে বিভ্রান্তি হয়।</t>
  </si>
  <si>
    <t>With a weaver, one goes astray.</t>
  </si>
  <si>
    <t>খারাপ সঙ্গী</t>
  </si>
  <si>
    <t>উচ্চে বায়ূ প্রধানে দোষ।</t>
  </si>
  <si>
    <t>উঁচুতে বায়ু বেশি, প্রধানেই দোষ</t>
  </si>
  <si>
    <t>উঁচু পদে থাকলে বেশি দোষারোপ হয়।</t>
  </si>
  <si>
    <t>High wind is in the sky, the chief is at fault.</t>
  </si>
  <si>
    <t>উঁচু পদস্থ ব্যক্তি</t>
  </si>
  <si>
    <t>উল্লুককে সৎ লোক, আর সদ্‌জনকে ভল্লুক।</t>
  </si>
  <si>
    <t>উল্লুককে সৎ লোক, আর সজ্জনকে ভালুক</t>
  </si>
  <si>
    <t>বিপরীত স্বভাবের মানুষ।</t>
  </si>
  <si>
    <t>The owl is a good person, and the good person is a bear.</t>
  </si>
  <si>
    <t>উড়্‌তে না পেরে, ফুর ফুর করে।</t>
  </si>
  <si>
    <t>উড়তে না পেরে, ফুরফুর করে</t>
  </si>
  <si>
    <t>ক্ষমতা না থাকলেও বড়াই করা।</t>
  </si>
  <si>
    <t>Unable to fly, it flutters.</t>
  </si>
  <si>
    <t>অক্ষম দাম্ভিক</t>
  </si>
  <si>
    <t>উনন্‌কে পুছে কাট্‌ আর কুটুম্‌কে পুছে ভাত?</t>
  </si>
  <si>
    <t>উননকে পুছে কাট, আর কুটুমকে পুছে ভাত?</t>
  </si>
  <si>
    <t>Ask the uncle about the knife, and the relative about the rice?</t>
  </si>
  <si>
    <t>উদোর বোঝা বুধর ঘাড়ে।</t>
  </si>
  <si>
    <t>উদোর বোঝা বুধরের ঘাড়ে</t>
  </si>
  <si>
    <t>অন্যের কাজ অন্যকে করতে দেওয়া।</t>
  </si>
  <si>
    <t>Udoy's burden on Budh's shoulder.</t>
  </si>
  <si>
    <t>অন্যদায়ী ব্যক্তি</t>
  </si>
  <si>
    <t>উৎযােগি পুরুষো সিংহঃ।</t>
  </si>
  <si>
    <t>উদ্যোগী পুরুষই সিংহ</t>
  </si>
  <si>
    <t>উদ্যোগী ব্যক্তিই প্রকৃত সিংহ (শক্তিশালী)।</t>
  </si>
  <si>
    <t>An enterprising man is a lion.</t>
  </si>
  <si>
    <t>লিঙ্গ/উদ্যোগ</t>
  </si>
  <si>
    <t>উট্‌কীর হাতে খাওয়া অপেক্ষা বরং হাগনীর হাতে খাওয়া ভাল।</t>
  </si>
  <si>
    <t>উটকীর হাতে খাওয়ার চেয়ে হাগনীর হাতে খাওয়া ভাল</t>
  </si>
  <si>
    <t>অযোগ্য ও নির্ভরযোগ্য ব্যক্তির মধ্যে তুলনা।</t>
  </si>
  <si>
    <t>Better to eat from the hand of a sweeper than from the hand of an opportunist.</t>
  </si>
  <si>
    <t>অযোগ্য/নির্ভরযোগ্য ব্যক্তি</t>
  </si>
  <si>
    <t>উড়্‌তে না পারায় পােষ মানা।</t>
  </si>
  <si>
    <t>উড়তে না পারায় পোষ মানা</t>
  </si>
  <si>
    <t>ক্ষমতা না থাকলে বশ্যতা স্বীকার করতে হয়।</t>
  </si>
  <si>
    <t>Unable to fly, one must obey.</t>
  </si>
  <si>
    <t>উদোড় বনে শিয়াল রাজা।</t>
  </si>
  <si>
    <t>উদোড় বনে শিয়াল রাজা</t>
  </si>
  <si>
    <t>সুযোগ পেলে সাধারণ মানুষও বড় হয়ে ওঠে।</t>
  </si>
  <si>
    <t>In the Udod forest, the jackal is king.</t>
  </si>
  <si>
    <t>ঊর্দ্ধ পবিত্র স্থান ঈশ্বরের নিবাস।</t>
  </si>
  <si>
    <t>ঊর্ধ্ব পবিত্র স্থান ঈশ্বরের নিবাস</t>
  </si>
  <si>
    <t>ঈশ্বর উচ্চ ও পবিত্র স্থানে বাস করেন।</t>
  </si>
  <si>
    <t>The sacred high place is the abode of God.</t>
  </si>
  <si>
    <t>ঊর্দ্ধে নিক্ষিপ্ত প্রস্তর স্থায়ী নয়।</t>
  </si>
  <si>
    <t>ঊর্ধ্বে নিক্ষিপ্ত প্রস্তর স্থায়ী নয়</t>
  </si>
  <si>
    <t>উঁচুতে নিক্ষিপ্ত পাথর স্থির থাকে না।</t>
  </si>
  <si>
    <t>A stone thrown upward does not stay.</t>
  </si>
  <si>
    <t>ভাগ্য/স্থিতি</t>
  </si>
  <si>
    <t>ঋণ ও চোরকে পর্ব্ব আড়।</t>
  </si>
  <si>
    <t>ঋণ ও চোরকে পর্ব আড় (লুকিয়ে রাখা)</t>
  </si>
  <si>
    <t>ঋণ ও চোরকে গোপন রাখা উচিত।</t>
  </si>
  <si>
    <t>Debt and thief should be hidden.</t>
  </si>
  <si>
    <t>ঋণগ্রস্ত/চোর</t>
  </si>
  <si>
    <t>অর্থনৈতিক/আচরণগত</t>
  </si>
  <si>
    <t>ঋণ করে কাণে সােনা।</t>
  </si>
  <si>
    <t>ঋণ করে কানে সোনা</t>
  </si>
  <si>
    <t>ঋণ করে বিলাসিতা করা।</t>
  </si>
  <si>
    <t>Borrowing money to wear gold earrings.</t>
  </si>
  <si>
    <t>ঋণ চোরকে ঋণ মিলে, মাগ্ চোরকে মাগ্ মিলে।</t>
  </si>
  <si>
    <t>ঋণ চোরকে ঋণ মেলে, মাগ চোরকে মাগ মেলে</t>
  </si>
  <si>
    <t>একই ধরনের মানুষ একসাথে মেলে।</t>
  </si>
  <si>
    <t>Debt finds a debtor, and a rogue finds a rogue.</t>
  </si>
  <si>
    <t>ঋণ করে খাব, মাদলপারা হব, জন পাঁচ ছয় লােক সঙ্গে আগে আগে যাব।</t>
  </si>
  <si>
    <t>ঋণ করে খাব, মাদলপারা হব, জন পাঁচ ছয় লোক সঙ্গে আগে আগে যাব।</t>
  </si>
  <si>
    <t>ঋণ করে আড়ম্বরপূর্ণ জীবনযাপন করা।</t>
  </si>
  <si>
    <t>I will eat by borrowing, become a drummer, and go ahead with five or six people.</t>
  </si>
  <si>
    <t>একে ভালুক তায় খন্তা।</t>
  </si>
  <si>
    <t>একে ভালুক, তায় খন্তা (কোদাল)</t>
  </si>
  <si>
    <t>একটি সমস্যা, তার সাথে আরেকটি সমস্যা।</t>
  </si>
  <si>
    <t>On one side a bear, on the other a hoe.</t>
  </si>
  <si>
    <t>এক্লা বেনােয় হাট লাগে না।</t>
  </si>
  <si>
    <t>একলা বেনায় হাট লাগে না</t>
  </si>
  <si>
    <t>একা কাজ করলে সফলতা আসে না।</t>
  </si>
  <si>
    <t>Alone, the trader's market does not thrive.</t>
  </si>
  <si>
    <t>একে মা মনসা তায় ধুনর গন্ধ।</t>
  </si>
  <si>
    <t>একে মা মনসা, তায় ধুনর গন্ধ</t>
  </si>
  <si>
    <t>একটি ভালো জিনিসের সাথে খারাপ গন্ধ।</t>
  </si>
  <si>
    <t>On one side is Mother Manasa, on the other is the smell of dung.</t>
  </si>
  <si>
    <t>মা/দেবী</t>
  </si>
  <si>
    <t>একে বৌ নাচুনী তায় খেমটার বাজনী।</t>
  </si>
  <si>
    <t>একে বৌ নাচুনী, তায় খেমটার বাজনী</t>
  </si>
  <si>
    <t>একটি কাজের সাথে আরেকটি সঙ্গতি।</t>
  </si>
  <si>
    <t>One is a dancing bride, the other is the music of the khamta.</t>
  </si>
  <si>
    <t>বৌ/নর্তকী</t>
  </si>
  <si>
    <t>সাংস্কৃতিক</t>
  </si>
  <si>
    <t>একা বীর্জ্জবান একুশের কাজ করে।</t>
  </si>
  <si>
    <t>একা বীর্যবান একুশের কাজ করে</t>
  </si>
  <si>
    <t>একজন শক্তিশালী ব্যক্তি অনেক কাজ করতে পারে।</t>
  </si>
  <si>
    <t>One brave person can do the work of twenty-one.</t>
  </si>
  <si>
    <t>শক্তি/সাহস</t>
  </si>
  <si>
    <t>এক মাঘেই শীত ফুরায় না।</t>
  </si>
  <si>
    <t>এক মাঘেই শীত ফুরায় না</t>
  </si>
  <si>
    <t>একবারের চেষ্টায় সব হয় না।</t>
  </si>
  <si>
    <t>One Magh does not end the winter.</t>
  </si>
  <si>
    <t>এক্লা বৃহস্পতি ও বােকা।</t>
  </si>
  <si>
    <t>একলা বৃহস্পতি ও বোকা</t>
  </si>
  <si>
    <t>একা থাকলে জ্ঞানীও বোকা হয়ে যায়।</t>
  </si>
  <si>
    <t>Alone, even Brihaspati is a fool.</t>
  </si>
  <si>
    <t>এক কড়া নাই ঝুলিতে লাফ পাড়ছে কুলিতে।</t>
  </si>
  <si>
    <t>এক কড়া নেই ঝুলিতে, লাফ পাড়ছে কুলিতে</t>
  </si>
  <si>
    <t>অর্থ নেই, তবুও বড়াই।</t>
  </si>
  <si>
    <t>No money in the pocket, yet jumping in the pond.</t>
  </si>
  <si>
    <t>দরিদ্র দাম্ভিক</t>
  </si>
  <si>
    <t>এক ঢোঁড়া শাপে সাত পুকুর গাবায়।</t>
  </si>
  <si>
    <t>এক ঢোঁড়া শাপে সাত পুকুর গাবায় (পচে)</t>
  </si>
  <si>
    <t>একটু বিষে অনেক কিছু নষ্ট হয়।</t>
  </si>
  <si>
    <t>One curse spoils seven ponds.</t>
  </si>
  <si>
    <t>অভিশাপদাতা</t>
  </si>
  <si>
    <t>একটুর জন্য হাঁ কল্লেম্ সমস্ত রাত্র ক্ষুধায় মল্লেম্।</t>
  </si>
  <si>
    <t>একটুর জন্য হাঁ বললাম, সমস্ত রাত্রি ক্ষুধায় মললাম</t>
  </si>
  <si>
    <t>অল্পের জন্য বড় ক্ষতি।</t>
  </si>
  <si>
    <t>For a little, I said yes, and starved all night.</t>
  </si>
  <si>
    <t>এক হাতে দুট বেল কুড়ান যা না।</t>
  </si>
  <si>
    <t>এক হাতে দুট বেল কুড়ান যা না</t>
  </si>
  <si>
    <t>একসাথে দুটি কাজ করা যায় না।</t>
  </si>
  <si>
    <t>You cannot pick up two bels with one hand.</t>
  </si>
  <si>
    <t>এক হরিতকি আর সমস্ত গ্রামের কাশি।</t>
  </si>
  <si>
    <t>এক হরিতকি আর সমস্ত গ্রামের কাশি</t>
  </si>
  <si>
    <t>একটি ভালো জিনিস অনেক রোগ সারায়।</t>
  </si>
  <si>
    <t>One haritaki cures the whole village's cough.</t>
  </si>
  <si>
    <t>এক পুতা, উনন্ মুতা।</t>
  </si>
  <si>
    <t>এক পুতা, উনন মুতা</t>
  </si>
  <si>
    <t>একটি কাজ, তার সাথে আরেকটি।</t>
  </si>
  <si>
    <t>One handful, and the uncle's fist.</t>
  </si>
  <si>
    <t>এক বাঁনরের মুখ পুড়লে শত বানরের মুখ পােড়া।</t>
  </si>
  <si>
    <t>এক বাঁদরের মুখ পুড়লে শত বাঁদরের মুখ পোড়া</t>
  </si>
  <si>
    <t>একজনের ভুলে সবার ক্ষতি।</t>
  </si>
  <si>
    <t>If one monkey's face is burnt, a hundred monkeys' faces are burnt.</t>
  </si>
  <si>
    <t>এদিক সেদিক্‌ খাও আমার হয়ে থাক।</t>
  </si>
  <si>
    <t>এদিক সেদিক খাও, আমার হয়ে থাক</t>
  </si>
  <si>
    <t>অন্যের খরচে নিজের সুবিধা নেওয়া।</t>
  </si>
  <si>
    <t>Eat from here and there, and stay on my side.</t>
  </si>
  <si>
    <t>এক সন্তানের মা ঠাকুরাণী, বহু সন্তানের মা বিড়ালিনী।</t>
  </si>
  <si>
    <t>এক সন্তানের মা ঠাকুরাণী, বহু সন্তানের মা বিড়ালিনী</t>
  </si>
  <si>
    <t>এক সন্তানের মা সম্মানিত, অনেক সন্তানের মা অবহেলিত।</t>
  </si>
  <si>
    <t>The mother of one child is a goddess, the mother of many children is a cat.</t>
  </si>
  <si>
    <t>একটা কাষ্ঠ জ্বলে না।</t>
  </si>
  <si>
    <t>একটা কাঠ জ্বলে না</t>
  </si>
  <si>
    <t>একা কিছু করা যায় না।</t>
  </si>
  <si>
    <t>One piece of wood does not burn.</t>
  </si>
  <si>
    <t>এই আহমক্‌কে পরিহরি, বরং বনে গিয়ে ক্ষুধায় মরি।</t>
  </si>
  <si>
    <t>এই আহমককে পরিহরি, বরং বনে গিয়ে ক্ষুধায় মরি</t>
  </si>
  <si>
    <t>মূর্খের সঙ্গের চেয়ে একা থাকা ভালো।</t>
  </si>
  <si>
    <t>Avoid this fool, rather go to the forest and starve.</t>
  </si>
  <si>
    <t>এক দ্বার মোদা শতেক দ্বার খোলা।</t>
  </si>
  <si>
    <t>এক দরজা বন্ধ হলে শতেক দরজা খোলা</t>
  </si>
  <si>
    <t>When one door closes, a hundred doors open.</t>
  </si>
  <si>
    <t>ঐ কৃতান্তের ভয়ে প্রাণ শুকিয়া যায়।</t>
  </si>
  <si>
    <t>ঐ মৃত্যুর ভয়ে প্রাণ শুকিয়ে যায়</t>
  </si>
  <si>
    <t>মৃত্যু বা বিপদের ভয়ে মানুষ অত্যন্ত ভীত ও দুর্বল হয়ে পড়ে।</t>
  </si>
  <si>
    <t>The fear of death makes one's life wither away.</t>
  </si>
  <si>
    <t>ঐরাবত হাতির পদ ও পিচ্ছিল স্থানে থামে না।</t>
  </si>
  <si>
    <t>ঐরাবত হাতির পা পিচ্ছিল জায়গায় থামে না</t>
  </si>
  <si>
    <t>মহৎ বা শক্তিশালী ব্যক্তি বাধা উপেক্ষা করে এগিয়ে যান।</t>
  </si>
  <si>
    <t>The elephant's foot does not stop on slippery ground.</t>
  </si>
  <si>
    <t>শক্তিশালী ব্যক্তি</t>
  </si>
  <si>
    <t>ওর মুণ্ডু এর্ পা, চুগুল খােরের ব্যবসায় তা।</t>
  </si>
  <si>
    <t>ওর মাথা ও পা, চোগলখোরের ব্যবসায় তা</t>
  </si>
  <si>
    <t>চোগলখোর বা গুপ্তচরের কাজ হলো উস্কানি দেওয়া ও বিভ্রান্ত করা।</t>
  </si>
  <si>
    <t>His head and feet are in the business of tale-bearing.</t>
  </si>
  <si>
    <t>চোগলখোর</t>
  </si>
  <si>
    <t>ঔদার্য্যতা ধার্ম্মিকের অলঙ্কার।</t>
  </si>
  <si>
    <t>উদারতা ধার্মিকের অলঙ্কার</t>
  </si>
  <si>
    <t>ধার্মিক বা সৎ ব্যক্তির প্রধান গুণ হলো উদারতা।</t>
  </si>
  <si>
    <t>Generosity is the ornament of the righteous.</t>
  </si>
  <si>
    <t>ঔষধ জিহ্বার গলগ্রহ।</t>
  </si>
  <si>
    <t>ঔষধ জিহ্বার জন্য গলগ্রহ</t>
  </si>
  <si>
    <t>তিক্ত ওষুধ খেতে কষ্ট হয়, তেমনি ভালো উপদেশও প্রায়শই অপ্রিয়।</t>
  </si>
  <si>
    <t>Medicine is a torment to the tongue.</t>
  </si>
  <si>
    <t>অপ্রিয় সত্য</t>
  </si>
  <si>
    <t>কন্যার মা কাঁদে আর টাকার পুটলী বাঁধে।</t>
  </si>
  <si>
    <t>কন্যার মা কাঁদে আর টাকার পুটলি বাঁধে</t>
  </si>
  <si>
    <t>অর্থলোভে এক চোখে কান্না আরেক চোখে হাসি।</t>
  </si>
  <si>
    <t>The daughter's mother cries and ties a bundle of money.</t>
  </si>
  <si>
    <t>স্ত্রী/মা</t>
  </si>
  <si>
    <t>অর্থলোভ</t>
  </si>
  <si>
    <t>কলুর বলদের অমাবশ্যা নাই।</t>
  </si>
  <si>
    <t>কলুর বলদের অমাবশ্যা নেই</t>
  </si>
  <si>
    <t>যে সারাক্ষণ কাজ করে, তার বিশ্রামের সময় নেই।</t>
  </si>
  <si>
    <t>The oilman's bullock has no new moon (day of rest).</t>
  </si>
  <si>
    <t>শ্রমিক</t>
  </si>
  <si>
    <t>কর্ম্ম কর অঙ্গ দিয়ে পথ চল সঙ্গি লয়ে।</t>
  </si>
  <si>
    <t>কর্ম করো নিজ হাতে, পথ চলো সঙ্গী নিয়ে</t>
  </si>
  <si>
    <t>নিজের কাজ নিজে করো এবং সঙ্গী নিয়ে পথ চলো।</t>
  </si>
  <si>
    <t>Work with your own hands, walk with a companion.</t>
  </si>
  <si>
    <t>কদরের ঔষধ কি?</t>
  </si>
  <si>
    <t>কদরের ঔষধ কী?</t>
  </si>
  <si>
    <t>অযোগ্য বা নিকৃষ্ট ব্যক্তির উন্নতির কোনো উপায় নেই।</t>
  </si>
  <si>
    <t>What medicine is there for a worthless person?</t>
  </si>
  <si>
    <t>কথায় কথায় কথা বাড়ে জলের বেগে ছিদ্র বাড়ে।</t>
  </si>
  <si>
    <t>কথায় কথায় কথা বাড়ে, জলের বেগে ছিদ্র বাড়ে</t>
  </si>
  <si>
    <t>অতিরিক্ত কথা বললে ঝগড়া বাড়ে, যেমন জলের স্রোতে ছিদ্র বড় হয়।</t>
  </si>
  <si>
    <t>Talking leads to more talking, as water flow enlarges a hole.</t>
  </si>
  <si>
    <t>বাচাল ব্যক্তি</t>
  </si>
  <si>
    <t>কলি যুগে কলের কাজ, শিখলে হয় দমবাজ।</t>
  </si>
  <si>
    <t>কলিযুগে কলের কাজ, শিখলে হয় দমবাজ</t>
  </si>
  <si>
    <t>প্রযুক্তির যুগে দক্ষতা অর্জন করলে সফল হওয়া যায়।</t>
  </si>
  <si>
    <t>In the Kali Yuga, machine work makes one an expert.</t>
  </si>
  <si>
    <t>প্রযুক্তি</t>
  </si>
  <si>
    <t>কথার দৈ বচনের চিড়ে, পেটভরে খাও আমার কিরে।</t>
  </si>
  <si>
    <t>কথার দৈ বচনের চিড়ে, পেট ভরে খাও</t>
  </si>
  <si>
    <t>খালি কথায় পেট ভরে না, কাজের মাধ্যমে খাবার জোগাড় করতে হয়।</t>
  </si>
  <si>
    <t>Words don't fill the stomach; eat to your heart's content.</t>
  </si>
  <si>
    <t>কবিতা, জড়তা, লতা, স্বেচ্ছামতে লয়ে যাবে যথা।</t>
  </si>
  <si>
    <t>কবিতা, জড়তা, লতা—ইচ্ছামতো নিয়ে যাও</t>
  </si>
  <si>
    <t>যা ভালো লাগে তাই গ্রহণ করো, বাধ্য হওয়ার কিছু নেই।</t>
  </si>
  <si>
    <t>Poetry, inertia, vine—take as you wish.</t>
  </si>
  <si>
    <t>স্বাধীনচেতা ব্যক্তি</t>
  </si>
  <si>
    <t>কষ্টি পাথরে সােণা চিনে।</t>
  </si>
  <si>
    <t>কষ্টি পাথরে সোনা চেনা যায়</t>
  </si>
  <si>
    <t>গুণী ব্যক্তি পরীক্ষার মাধ্যমে ভালো-মন্দ চিনতে পারেন।</t>
  </si>
  <si>
    <t>The touchstone reveals gold.</t>
  </si>
  <si>
    <t>কাঁচায় নমঃ তোষামদির গৎ।</t>
  </si>
  <si>
    <t>কাঁচায় নমঃ—তোষামদির গৎ</t>
  </si>
  <si>
    <t>অসময়ে তোষামোদি করলে লাভ হয় না, বরং ক্ষতি হয়।</t>
  </si>
  <si>
    <t>Bowing prematurely is the art of flattery.</t>
  </si>
  <si>
    <t>তোষামোদকারী</t>
  </si>
  <si>
    <t>কমবক্তার হাড় পাকে সুবক্তার চুল পাকে।</t>
  </si>
  <si>
    <t>কমবক্তার হাড় পাকে, সুবক্তার চুল পাকে</t>
  </si>
  <si>
    <t>ভাগ্যহীনের হাড় পচে, ভাগ্যবানের চুল পাকে—অর্থাৎ কপালের জোরে সব হয়।</t>
  </si>
  <si>
    <t>The unlucky one's bones rot; the lucky one's hair grows.</t>
  </si>
  <si>
    <t>কাল বামোন্ কটা শুদ্র দেখে ডরায় রবি রূদ্র।</t>
  </si>
  <si>
    <t>কাল বামন কটা শূদ্র দেখে রবি-রুদ্রও ডরায়</t>
  </si>
  <si>
    <t>পাপী বা দুষ্ট মানুষকে দেখে শক্তিশালীও ভয় পায়।</t>
  </si>
  <si>
    <t>Even gods fear a wicked man.</t>
  </si>
  <si>
    <t>কালীর পাঁঠার বদ্‌লিলেও উদ্ধার নাই।</t>
  </si>
  <si>
    <t>কালীর পাঁঠা বদলালেও উদ্ধার নেই</t>
  </si>
  <si>
    <t>অসৎ মানুষ যতই রূপ বদলাক, তার স্বভাব যায় না।</t>
  </si>
  <si>
    <t>Even if Kali's goat changes, there is no salvation.</t>
  </si>
  <si>
    <t>কাঠের পােকা কাঠেই চরে।</t>
  </si>
  <si>
    <t>কাঠের পোকা কাঠেই চরে</t>
  </si>
  <si>
    <t>খারাপ মানুষ নিজের গোষ্ঠীর মধ্যেই অনিষ্ট করে।</t>
  </si>
  <si>
    <t>The woodworm feeds on the wood itself.</t>
  </si>
  <si>
    <t>কালি, কলম, মন, লিখে তিন জন।</t>
  </si>
  <si>
    <t>কালি, কলম, মন—এই তিন মিলে লেখে</t>
  </si>
  <si>
    <t>সুন্দর লেখার জন্য কালি, কলম ও মনোযোগ—তিনটি প্রয়োজন।</t>
  </si>
  <si>
    <t>Ink, pen, mind—these three write.</t>
  </si>
  <si>
    <t>লেখক</t>
  </si>
  <si>
    <t>কানার পা, খালেই পড়ে।</t>
  </si>
  <si>
    <t>কানার পা খালেই পড়ে</t>
  </si>
  <si>
    <t>অলস বা অযোগ্য ব্যক্তি কাজের সময় ব্যর্থ হয়।</t>
  </si>
  <si>
    <t>The one-eyed man's foot slips in the ditch.</t>
  </si>
  <si>
    <t>কাঁধের কুকুর শিকার করে না।</t>
  </si>
  <si>
    <t>কাঁধের কুকুর শিকার করে না</t>
  </si>
  <si>
    <t>যে নিজে চেষ্টা করে না, সে সফল হয় না।</t>
  </si>
  <si>
    <t>The dog on the shoulder does not hunt.</t>
  </si>
  <si>
    <t>কাহাল কুকুর ভারি, এই তিন চলে না ধিরি।</t>
  </si>
  <si>
    <t>কাহাল কুকুর ভারি, এই তিন চলে না ধিরি</t>
  </si>
  <si>
    <t>অলস বা আড়ম্বরপূর্ণ ব্যক্তি কাজে অক্ষম।</t>
  </si>
  <si>
    <t>A lazy dog is heavy; these three cannot move steadily.</t>
  </si>
  <si>
    <t>কানা গােরু বামোনকে দান বামােন্ কয় নিয়ে আন্।</t>
  </si>
  <si>
    <t>কানা গরু বামনকে দান, বামন বলে নিয়ে আন</t>
  </si>
  <si>
    <t>অপাত্রে দান করলে কৃতজ্ঞতা পাওয়া যায় না।</t>
  </si>
  <si>
    <t>Give a blind cow to a Brahmin, he says bring it.</t>
  </si>
  <si>
    <t>বামন/ব্রাহ্মণ</t>
  </si>
  <si>
    <t>কাজ ছাড়া মানুষ ডাল ছাড়া বানর।</t>
  </si>
  <si>
    <t>কাজ ছাড়া মানুষ ডাল ছাড়া বানর</t>
  </si>
  <si>
    <t>কাজ মানুষকে মানুষ করে, যেমন ডাল বানরকে।</t>
  </si>
  <si>
    <t>A man without work is like a monkey without a branch.</t>
  </si>
  <si>
    <t>কাজ/জীবন</t>
  </si>
  <si>
    <t>কম্বল ভিজালে নিজের ভার।</t>
  </si>
  <si>
    <t>কম্বল ভিজালে নিজের ভার</t>
  </si>
  <si>
    <t>অন্যের উপকার করতে গিয়ে নিজের ক্ষতি হওয়া।</t>
  </si>
  <si>
    <t>Wetting the blanket is one's own burden.</t>
  </si>
  <si>
    <t>উপকার</t>
  </si>
  <si>
    <t>কাএত চুষা গ্রাম বামন চুষা কলিকা।</t>
  </si>
  <si>
    <t>কায়েত চুষা গ্রাম, বামন চুষা কলিকা</t>
  </si>
  <si>
    <t>প্রত্যেকে নিজের স্বার্থে লাভবান হয়।</t>
  </si>
  <si>
    <t>The Kayastha sucks the village, the Brahmin sucks the bud.</t>
  </si>
  <si>
    <t>প্রত্যেক ব্যক্তি</t>
  </si>
  <si>
    <t>কাড়া মাত্‌লে মনিব মানে না।</t>
  </si>
  <si>
    <t>কাড়া মাতলে মনিব মানে না</t>
  </si>
  <si>
    <t>ক্ষমতা পেলে মানুষ বশ্যতা স্বীকার করে না।</t>
  </si>
  <si>
    <t>When the servant is drunk, he doesn't obey the master.</t>
  </si>
  <si>
    <t>কাজের সাক্ষী কারণ পুণ্যের সাক্ষী মরণ।</t>
  </si>
  <si>
    <t>কাজের সাক্ষী কারণ, পুণ্যের সাক্ষী মরণ</t>
  </si>
  <si>
    <t>কাজের ফল কর্মে, আর পুণ্যের ফল মৃত্যুর পরে।</t>
  </si>
  <si>
    <t>Work bears witness to the cause; death bears witness to virtue.</t>
  </si>
  <si>
    <t>কার ধন কে করে ভােগ, ধাতা করেন সংযােগ।</t>
  </si>
  <si>
    <t>কার ধন কে ভোগ করে, বিধাতা করেন সংযোগ</t>
  </si>
  <si>
    <t>সব কিছুই ভাগ্যের হাতে, কে কী পায় তা নির্ধারিত।</t>
  </si>
  <si>
    <t>Who enjoys whose wealth? The Creator makes the connection.</t>
  </si>
  <si>
    <t>কাগের গলায় গজমতি।</t>
  </si>
  <si>
    <t>কাকের গলায় গজমতি</t>
  </si>
  <si>
    <t>অযোগ্যের কাছে মূল্যবান জিনিস বৃথা যায়।</t>
  </si>
  <si>
    <t>A pearl around a crow's neck.</t>
  </si>
  <si>
    <t>কাঁধে কুঠার আর সমুদয় বনে কুঠারের অনুসন্ধান।</t>
  </si>
  <si>
    <t>কাঁধে কুঠার রেখে বনে কুঠার খোঁজা</t>
  </si>
  <si>
    <t>হাতের কাছে যা আছে, তা না দেখে দূরে খোঁজা।</t>
  </si>
  <si>
    <t>Searching for the axe while carrying it on the shoulder.</t>
  </si>
  <si>
    <t>কানা পো মাতার সুপুত্র।</t>
  </si>
  <si>
    <t>কানা পো মাতার সুপুত্র</t>
  </si>
  <si>
    <t>মায়ের কাছে তার সন্তান যাই হোক, ভালোই।</t>
  </si>
  <si>
    <t>The blind son is a good son to his mother.</t>
  </si>
  <si>
    <t>কাস্ত্যার বন্ধকেই কি আর বেচায় কি?</t>
  </si>
  <si>
    <t>কাস্তেয়ার বন্ধকেই কি আর বেচায়?</t>
  </si>
  <si>
    <t>যা কিছু দিয়ে বন্ধক রাখা হয়, তা ফেরত পাওয়া যায় না।</t>
  </si>
  <si>
    <t>Can one sell a mortgage?</t>
  </si>
  <si>
    <t>অর্থনৈতিক লেনদেন</t>
  </si>
  <si>
    <t>কাজের সময় কাজি, কাজ ফুরালে পাজি।</t>
  </si>
  <si>
    <t>কাজের সময় কাজী, কাজ শেষে পাজি</t>
  </si>
  <si>
    <t>A Qazi during work, a wretch after work.</t>
  </si>
  <si>
    <t>কম্বল ক ছিতে গেলে কেবল লোম।</t>
  </si>
  <si>
    <t>কম্বল কাটতে গেলে শুধু লোম থাকে</t>
  </si>
  <si>
    <t>মূল জিনিস নষ্ট হলে অবশিষ্টাংশ মূল্যহীন হয়।</t>
  </si>
  <si>
    <t>If you cut the blanket, only the fleece remains.</t>
  </si>
  <si>
    <t>কাগের মুখে কোকিলের ধ্বনি।</t>
  </si>
  <si>
    <t>কাকের মুখে কোকিলের ডাক</t>
  </si>
  <si>
    <t>অযোগ্যের মুখে ভালো কথা শোভা পায় না।</t>
  </si>
  <si>
    <t>A cuckoo's call from a crow's mouth.</t>
  </si>
  <si>
    <t>কাঠের খড়্গে রাজ্য ভোগ।</t>
  </si>
  <si>
    <t>কাঠের তলোয়ারে রাজ্য ভোগ</t>
  </si>
  <si>
    <t>নকল বা অস্থায়ী উপায়ে ক্ষমতা দখল।</t>
  </si>
  <si>
    <t>Ruling a kingdom with a wooden sword.</t>
  </si>
  <si>
    <t>কান কাটা, কানকেই সতর্ক।</t>
  </si>
  <si>
    <t>কান কাটা, কানকেই সতর্ক</t>
  </si>
  <si>
    <t>যে অন্যকে সতর্ক করে, সে নিজেও সাবধান থাকে।</t>
  </si>
  <si>
    <t>The cut ear warns the ear itself.</t>
  </si>
  <si>
    <t>কানা শুনে হাটে চোক্ বিক্রয় হয়।</t>
  </si>
  <si>
    <t>কানা শুনে হাটে চোখ বিক্রি হয়</t>
  </si>
  <si>
    <t>অসম্ভব বা অযৌক্তিক কাজের উদাহরণ।</t>
  </si>
  <si>
    <t>The blind hear that eyes are sold in the market.</t>
  </si>
  <si>
    <t>কালে রাজা ভবস্বতী রাজার মরণে হবস্বতী।</t>
  </si>
  <si>
    <t>কালে রাজা ভবস্বতী, রাজার মরণে হবস্বতী</t>
  </si>
  <si>
    <t>সময়ের পরিবর্তনে রাজার অবস্থা বদলায়।</t>
  </si>
  <si>
    <t>In time, the king becomes prosperous; in death, he becomes nothing.</t>
  </si>
  <si>
    <t>রাজা/শাসক</t>
  </si>
  <si>
    <t>কাশি ঘাঁশে বামোন হত্যা।</t>
  </si>
  <si>
    <t>কাশি ঘাঁসে বামন হত্যা</t>
  </si>
  <si>
    <t>ছোট কারণে বড় ক্ষতি হয়।</t>
  </si>
  <si>
    <t>Killing a Brahmin with a cough.</t>
  </si>
  <si>
    <t>কামারের কাজ কুমর করে ধরতে না জেনে পুড়ে মরে।</t>
  </si>
  <si>
    <t>কামারের কাজ কুমার করে, ধরতে না জেনে পুড়ে মরে</t>
  </si>
  <si>
    <t>অযোগ্য কাজ করলে বিপদ হয়।</t>
  </si>
  <si>
    <t>The blacksmith's work, if not handled properly, burns one to death.</t>
  </si>
  <si>
    <t>কাজ/দক্ষতা</t>
  </si>
  <si>
    <t>কাটরাতে মাথা পেতে খড়্গাঘাতের ভয়!</t>
  </si>
  <si>
    <t>কাটরাতে মাথা পেতে খড়্গাঘাতের ভয়</t>
  </si>
  <si>
    <t>অপেক্ষা করতে করতে বিপদের আশঙ্কা।</t>
  </si>
  <si>
    <t>Fearing the sword blow while sleeping on the cot.</t>
  </si>
  <si>
    <t>কাঁধে ঝোলা জবরবাৎ, তবে জানবে পশ্চিমা ভাট্।</t>
  </si>
  <si>
    <t>কাঁধে ঝোলা জবরবাৎ, তবে জানবে পশ্চিমা ভাট</t>
  </si>
  <si>
    <t>পশ্চিমা বাতাসের আগমন বুঝতে পারবে যখন ঝোলা জোরালো হবে।</t>
  </si>
  <si>
    <t>When the bag swings heavily, you'll know the western wind.</t>
  </si>
  <si>
    <t>কিশের মধ্যে কি, না শজিনা শাকে ঘি।</t>
  </si>
  <si>
    <t>কিশের মধ্যে কী, না শজিনা শাকে ঘি</t>
  </si>
  <si>
    <t>সামান্য জিনিসে বড় আড়ম্বর।</t>
  </si>
  <si>
    <t>What's in a small container? Ghee in a drumstick leaf.</t>
  </si>
  <si>
    <t>আড়ম্বরপ্রিয় ব্যক্তি</t>
  </si>
  <si>
    <t>কি কল্ল্যেম বাজারে গীত গেয়ে, সাত সিকা উপায় কল্ল্যেম চৌদ্দ সিকা খেয়ে।</t>
  </si>
  <si>
    <t>কি করলাম বাজারে গান গেয়ে, সাত টাকা আয় করলাম চৌদ্দ টাকা খেয়ে</t>
  </si>
  <si>
    <t>অমিতব্যয়ে আয়ের চেয়ে খরচ বেশি।</t>
  </si>
  <si>
    <t>What did I do? Sang in the market; earned seven, spent fourteen.</t>
  </si>
  <si>
    <t>কুমিরকে কলা পাকা দেখাইয়া গঙ্গা পার।</t>
  </si>
  <si>
    <t>কুমিরকে পাকা কলা দেখিয়ে গঙ্গা পার</t>
  </si>
  <si>
    <t>শত্রুকে ফাঁকি দিয়ে কাজ সম্পন্ন করা।</t>
  </si>
  <si>
    <t>Crossing the Ganges by showing a ripe banana to the crocodile.</t>
  </si>
  <si>
    <t>প্রতারক ব্যক্তি</t>
  </si>
  <si>
    <t>চাতুরী</t>
  </si>
  <si>
    <t>কুল ডুবা বেটী, মূল ডুবা খাতক।</t>
  </si>
  <si>
    <t>কুল ডুবা বেটী, মূল ডুবা খাতক</t>
  </si>
  <si>
    <t>যে নিজের মূল ধ্বংস করে, তার পতন অনিবার্য।</t>
  </si>
  <si>
    <t>The daughter who drowns the family, the debtor who drowns the capital.</t>
  </si>
  <si>
    <t>কুলাতে জলপান করিলে তৃষ্ণা নিবৃত্ত হয় না।</t>
  </si>
  <si>
    <t>কুলাতে জলপান করলে তৃষ্ণা মেটে না</t>
  </si>
  <si>
    <t>সামান্য প্রচেষ্টায় বড় সমস্যার সমাধান হয় না।</t>
  </si>
  <si>
    <t>Drinking water from a ladle does not quench thirst.</t>
  </si>
  <si>
    <t>কুক্কুরে পেটে কি ঘি হজম হয়?</t>
  </si>
  <si>
    <t>কুকুরের পেটে ঘি হজম হয়?</t>
  </si>
  <si>
    <t>অযোগ্যের কাছে মূল্যবান জিনিসের মূল্য নেই।</t>
  </si>
  <si>
    <t>Can a dog digest ghee?</t>
  </si>
  <si>
    <t>কুমীর কে শন্নিপাত?</t>
  </si>
  <si>
    <t>কুমিরের কী শন্নিপাত?</t>
  </si>
  <si>
    <t>শক্তিশালী শত্রুর কোনো ক্ষতি করা যায় না।</t>
  </si>
  <si>
    <t>What harm can be done to a crocodile?</t>
  </si>
  <si>
    <t>শক্তিশালী শত্রু</t>
  </si>
  <si>
    <t>কুয়োর বেঙ সমুদ্রে বিশ্বাস করে না।</t>
  </si>
  <si>
    <t>কুয়োর ব্যাঙ সমুদ্রে বিশ্বাস করে না</t>
  </si>
  <si>
    <t>সীমিত অভিজ্ঞতার মানুষ বড় কিছু কল্পনা করতে পারে না।</t>
  </si>
  <si>
    <t>The frog in the well does not believe in the ocean.</t>
  </si>
  <si>
    <t>সীমিতজ্ঞানী ব্যক্তি</t>
  </si>
  <si>
    <t>কুটুমের তরে মারলেম্ হাঁস, ছেলেপিলে খেলেক মাস।</t>
  </si>
  <si>
    <t>কুটুমের জন্য হাঁস মারলাম, ছেলেপিলে খেল কয়েক মাস</t>
  </si>
  <si>
    <t>আত্মীয়ের জন্য করলেও নিজেরাই ভোগ করে।</t>
  </si>
  <si>
    <t>Killed a duck for the relative; the children ate for months.</t>
  </si>
  <si>
    <t>আত্মীয়</t>
  </si>
  <si>
    <t>কুঁড়ায় তো এত গর্ব্ব খুদ্ থাকলে নিত্যই পর্ব্ব।</t>
  </si>
  <si>
    <t>কুঁড়ায় এত গর্ব, খুদ থাকলে নিত্যই পর্ব</t>
  </si>
  <si>
    <t>যার সামান্য আছে, তার অহংকার বেশি।</t>
  </si>
  <si>
    <t>So much pride in a small hut; if there were rice, it would be a festival every day.</t>
  </si>
  <si>
    <t>কুঁদের কাছে কি বাঁক?</t>
  </si>
  <si>
    <t>কুঁদের কাছে কী বাঁক?</t>
  </si>
  <si>
    <t>অযোগ্য বা অক্ষম ব্যক্তির কাছে কোনো চ্যালেঞ্জই গুরুত্বপূর্ণ নয়।</t>
  </si>
  <si>
    <t>What is a bend to a small person?</t>
  </si>
  <si>
    <t>কৃক্‌লাশের বেড়া পর্য্যন্ত দৌড়।</t>
  </si>
  <si>
    <t>কৃকলাশের বেড়া পর্যন্ত দৌড়</t>
  </si>
  <si>
    <t>সুযোগ পেলেই কুপোকাত হওয়া।</t>
  </si>
  <si>
    <t>Running up to the fence of the crane.</t>
  </si>
  <si>
    <t>কুঠারীর খাপ নাই, অবোধের পাপ নাই।</t>
  </si>
  <si>
    <t>কুঠারীর খাপ নেই, অবোধের পাপ নেই</t>
  </si>
  <si>
    <t>যার কিছুই নেই, তার কোনো দায়িত্বও নেই।</t>
  </si>
  <si>
    <t>No sheath for the axe, no sin for the fool.</t>
  </si>
  <si>
    <t>গরিব/অজ্ঞ ব্যক্তি</t>
  </si>
  <si>
    <t>কেঁদে মান যেচে সোহাগ!</t>
  </si>
  <si>
    <t>কেঁদে মান যেচে সোহাগ</t>
  </si>
  <si>
    <t>কান্নাকাটি করে আদর আদায় করা।</t>
  </si>
  <si>
    <t>Crying to gain affection.</t>
  </si>
  <si>
    <t>মনোযোগপ্রার্থী</t>
  </si>
  <si>
    <t>কেউটানীর ঔষ্ঠাধরে ঘা।</t>
  </si>
  <si>
    <t>কেউটানীর ওষ্ঠাধরে ঘা</t>
  </si>
  <si>
    <t>খারাপ মানুষের মুখেও ভালো কথা নেই।</t>
  </si>
  <si>
    <t>A sore on the lips of a snake.</t>
  </si>
  <si>
    <t>খারাপ ব্যক্তি</t>
  </si>
  <si>
    <t>কেন কল্লে ছি, ছি শুনে উঠেছি কাপড় কাচ্‌বা কড়ি নাই তোমায় দিব কি?</t>
  </si>
  <si>
    <t>কেন করলে ছি, ছি শুনে উঠেছি; কাপড় কাচবা, কড়ি নেই তোমায় দিব কি?</t>
  </si>
  <si>
    <t>খালি কথা বলে কাজ হয় না, টাকা না থাকলে কিছুই করা যায় না।</t>
  </si>
  <si>
    <t>Why did you say 'shame'? I got up; will you wash clothes? I have no money to give you.</t>
  </si>
  <si>
    <t>কেউট্‌ হলেই ঝোল হয় না।</t>
  </si>
  <si>
    <t>কেউটে হলেই ঝোল হয় না</t>
  </si>
  <si>
    <t>শুধু নাম বা বাহ্যিকতা দিয়ে কাজ হয় না, প্রকৃত গুণ প্রয়োজন।</t>
  </si>
  <si>
    <t>Just being a snake doesn't make a curry.</t>
  </si>
  <si>
    <t>কোথাও কিছু নাই নাগরের বাজনা বাজে।</t>
  </si>
  <si>
    <t>কোথাও কিছু নেই, নাগরের বাজনা বাজে</t>
  </si>
  <si>
    <t>শূন্যতায় আড়ম্বর বেশি।</t>
  </si>
  <si>
    <t>There is nothing, yet the city's music plays.</t>
  </si>
  <si>
    <t>কোথায় রাজরাণী আর কোথায় ছেঁড়া কানী।</t>
  </si>
  <si>
    <t>কোথায় রাজরানী আর কোথায় ছেঁড়া কানী</t>
  </si>
  <si>
    <t>বড় ও ছোটের মধ্যে পার্থক্য অপরিসীম।</t>
  </si>
  <si>
    <t>Where is the queen and where is the torn cloth?</t>
  </si>
  <si>
    <t>কোন্ বা বিয়ে তা দুই পায়ে আলতা।</t>
  </si>
  <si>
    <t>কোন বা বিয়ে, তা দুই পায়ে আলতা</t>
  </si>
  <si>
    <t>অল্প সুখেও বেশি আড়ম্বর।</t>
  </si>
  <si>
    <t>What a wedding! Alta on both feet.</t>
  </si>
  <si>
    <t>কোথাও যাও কাটনা কেটে ভাত খাও।</t>
  </si>
  <si>
    <t>কোথাও যাও, কাটনা কেটে ভাত খাও</t>
  </si>
  <si>
    <t>কাজ করলে খাবার পাবে।</t>
  </si>
  <si>
    <t>Go somewhere, cut and eat rice.</t>
  </si>
  <si>
    <t>কোথাও কিছু নাই ঠাকুর দেখ এসে।</t>
  </si>
  <si>
    <t>কোথাও কিছু নেই, ঠাকুর দেখ এসে</t>
  </si>
  <si>
    <t>মিথ্যা আশায় বসে থাকা।</t>
  </si>
  <si>
    <t>There is nothing; the deity came to see.</t>
  </si>
  <si>
    <t>কোথাও কিছু নাই ক্ষুদে ভক্তার দলে গিয়াছে।</t>
  </si>
  <si>
    <t>কোথাও কিছু নেই, ক্ষুদে ভক্তার দলে গিয়াছে</t>
  </si>
  <si>
    <t>ভক্তদের দলে গিয়েও কিছু পায়নি।</t>
  </si>
  <si>
    <t>There is nothing; the hungry devotees have gone in groups.</t>
  </si>
  <si>
    <t>কোন্ কথা না কাঁকাল ব্যথা, তেল নাই তার রূক্ষ্মা মাথা।</t>
  </si>
  <si>
    <t>কোন কথা না কাঁকাল ব্যথা, তেল নাই তার রূক্ষ্মা মাথা</t>
  </si>
  <si>
    <t>অভাবের কথা বলতে লজ্জা, কিন্তু মাথায় তেল নেই।</t>
  </si>
  <si>
    <t>What to say? Back pain; no oil for the dry head.</t>
  </si>
  <si>
    <t>খয়রাৎ করা কি ভুতের ব্যবসায়?</t>
  </si>
  <si>
    <t>খয়রাত করা কি ভূতের ব্যবসায়?</t>
  </si>
  <si>
    <t>দান করা সহজ কাজ নয়, যেমন ভূতের ব্যবসা।</t>
  </si>
  <si>
    <t>Is charity the business of ghosts?</t>
  </si>
  <si>
    <t>দানশীল ব্যক্তি</t>
  </si>
  <si>
    <t>খাওয়াইলে বনের বাঘও বশ হয়।</t>
  </si>
  <si>
    <t>খাওয়ালে বনের বাঘও বশ হয়</t>
  </si>
  <si>
    <t>প্রিয় বা উপহার দিয়ে যে কোনো মানুষকে বশ করা যায়।</t>
  </si>
  <si>
    <t>Even the tiger of the forest can be tamed by feeding.</t>
  </si>
  <si>
    <t>প্রভাব</t>
  </si>
  <si>
    <t>খাট ধল্ল্যে জম ছাড়ে না।</t>
  </si>
  <si>
    <t>খাট ধরলে জম ছাড়ে না</t>
  </si>
  <si>
    <t>অভ্যাসে আসক্ত ব্যক্তি সহজে ছাড়তে পারে না।</t>
  </si>
  <si>
    <t>Once you take the bed, you don't leave the land.</t>
  </si>
  <si>
    <t>আসক্ত ব্যক্তি</t>
  </si>
  <si>
    <t>খুঁয়্যার তাঁতি মখ্‌মলে হাত?</t>
  </si>
  <si>
    <t>খুঁয়্যার তাঁতি মখমলে হাত?</t>
  </si>
  <si>
    <t>অযোগ্য ব্যক্তির কাছে মূল্যবান জিনিস বৃথা।</t>
  </si>
  <si>
    <t>A weaver's hand on velvet?</t>
  </si>
  <si>
    <t>খেলে জ্বর উপবাসে হয় পর।</t>
  </si>
  <si>
    <t>খেলে জ্বর, উপবাসে হয় পর</t>
  </si>
  <si>
    <t>অতিরিক্ত খেলে অসুস্থতা, না খেলে রোগ।</t>
  </si>
  <si>
    <t>Eating causes fever; fasting brings the other.</t>
  </si>
  <si>
    <t>স্বাস্থ্যসচেতন ব্যক্তি</t>
  </si>
  <si>
    <t>খেলে পর না পাড়ে পাশ্‌ তার জানবে অল্প আশ।</t>
  </si>
  <si>
    <t>খেলে পর না, পাড়ে পাশ—তার জানবে অল্প আশ</t>
  </si>
  <si>
    <t>অল্প আশা থাকলে কিছু পাওয়া যায়।</t>
  </si>
  <si>
    <t>If you eat and don't fill, you'll know little hope.</t>
  </si>
  <si>
    <t>কান পুত্রের নাম পদ্মলোচন।</t>
  </si>
  <si>
    <t>কান পুত্রের নাম পদ্মলোচন</t>
  </si>
  <si>
    <t>অপদার্থের নাম বড় বা গুণী।</t>
  </si>
  <si>
    <t>The one-eyed son's name is Lotus-eyed.</t>
  </si>
  <si>
    <t>পুত্র/সন্তান</t>
  </si>
  <si>
    <t>খেতে জম কাজে কম্ কথা কয়তে মকর্দ্দম।</t>
  </si>
  <si>
    <t>খেতে জম, কাজে কম, কথা কয়তে মকর্দম</t>
  </si>
  <si>
    <t>খেতে বেশি, কাজে কম, কিন্তু কথা বলতে ওস্তাদ।</t>
  </si>
  <si>
    <t>Eats a lot, works little, but talks like a master.</t>
  </si>
  <si>
    <t>খেতে দেড়্যা কাজে গড়্যা।</t>
  </si>
  <si>
    <t>খেতে দেড়্যা, কাজে গড়্যা</t>
  </si>
  <si>
    <t>খেতে দ্বিগুণ, কাজে অর্ধেক।</t>
  </si>
  <si>
    <t>Eats double, works half.</t>
  </si>
  <si>
    <t>খেলিতে জানিলে কানাকাড়িতেও খেলা করে।</t>
  </si>
  <si>
    <t>খেলতে জানলে কানাকাড়িতেও খেলা করে</t>
  </si>
  <si>
    <t>দক্ষ ব্যক্তি প্রতিকূল পরিবেশেও সফল হয়।</t>
  </si>
  <si>
    <t>If you know how to play, you can play even with a torn cloth.</t>
  </si>
  <si>
    <t>খেয়ে দেয়ে নেড়া নাচে কালকে গোবিন্দ আছে।</t>
  </si>
  <si>
    <t>খেয়ে দেয়ে নেড়া নাচে, কালকে গোবিন্দ আছে</t>
  </si>
  <si>
    <t>আজ সুখে থাকো, কালকের কথা পরে ভাবো।</t>
  </si>
  <si>
    <t>Eat, drink, and dance; tomorrow there is Govinda.</t>
  </si>
  <si>
    <t>খেতেপেলে মাশী পিষী না পেলে নির্বংশী।</t>
  </si>
  <si>
    <t>খেতে পেলে মাসী পিষী, না পেলে নির্বংশী</t>
  </si>
  <si>
    <t>স্বার্থপর ব্যক্তি সুযোগ পেলে বন্ধু, না পেলে শত্রু।</t>
  </si>
  <si>
    <t>If you get to eat, the aunt grinds; if not, she is childless.</t>
  </si>
  <si>
    <t>স্ত্রী/বান্ধবী</t>
  </si>
  <si>
    <t>স্বার্থপরতা</t>
  </si>
  <si>
    <t>খেতে লাজ শুয়ে কাজ, মৃদুভাবে হাঁসে, বন্ধ্যা বোয়ের আদর, যেমন বনকেতকী ভাদ্রমাসে।</t>
  </si>
  <si>
    <t>খেতে লাজ, শুয়ে কাজ, মৃদুভাবে হাঁসে, বন্ধ্যা বোয়ের আদর—যেমন বনকেতকী ভাদ্রমাসে।</t>
  </si>
  <si>
    <t>অল্প সময়ের জন্য ভালো, যেমন ভাদ্রমাসে বনকেতকী ফোটে।</t>
  </si>
  <si>
    <t>Shy to eat, lazy to work, gently swims; the affection for a barren wife is like the forest flower in Bhadra.</t>
  </si>
  <si>
    <t>স্ত্রী/বর</t>
  </si>
  <si>
    <t>গত কাজে আফ্‌শোস্।</t>
  </si>
  <si>
    <t>গত কাজে আফসোস</t>
  </si>
  <si>
    <t>অতীতের জন্য দুঃখ করা।</t>
  </si>
  <si>
    <t>Regret for past work.</t>
  </si>
  <si>
    <t>গড়্যা গরুর ভিন্ন গোট।</t>
  </si>
  <si>
    <t>গড়্যা গরুর ভিন্ন গোট</t>
  </si>
  <si>
    <t>দেখতে এক কিন্তু কাজে ভিন্ন।</t>
  </si>
  <si>
    <t>The bullock's gait is different.</t>
  </si>
  <si>
    <t>গঙ্গায় যাত্রা, মাশীর বার্ত্তা।</t>
  </si>
  <si>
    <t>গঙ্গায় যাত্রা, মাসীর বার্তা</t>
  </si>
  <si>
    <t>প্রয়োজন ছাড়া অন্য কাজে মন দেওয়া।</t>
  </si>
  <si>
    <t>Journey to the Ganges, the aunt's message.</t>
  </si>
  <si>
    <t>মাসী/স্ত্রী</t>
  </si>
  <si>
    <t>গরিবের রাগ পেটে পচে।</t>
  </si>
  <si>
    <t>গরিবের রাগ পেটে পচে</t>
  </si>
  <si>
    <t>গরিব মানুষ রাগ প্রকাশ করতে পারে না, তা ভেতরেই চাপা পড়ে।</t>
  </si>
  <si>
    <t>The poor man's anger rots in the stomach.</t>
  </si>
  <si>
    <t>গড়ন না শড়ন, তায় তিন যায়গায় যোড়ন।</t>
  </si>
  <si>
    <t>গড়ন না শড়ন, তায় তিন জায়গায় যোড়ন</t>
  </si>
  <si>
    <t>কাজ ভালো না হলে বারবার মেরামত করতে হয়।</t>
  </si>
  <si>
    <t>If the shape is not good, it needs three patches.</t>
  </si>
  <si>
    <t>গণকের ঘরেই বিধবার মেলা।</t>
  </si>
  <si>
    <t>গণকের ঘরেই বিধবার মেলা</t>
  </si>
  <si>
    <t>যোগ্য ব্যক্তির কাছেই মানুষের ভিড়।</t>
  </si>
  <si>
    <t>The astrologer's house is where widows gather.</t>
  </si>
  <si>
    <t>গণক/বিধবা</t>
  </si>
  <si>
    <t>গরজের আগে চাতুরী।</t>
  </si>
  <si>
    <t>গরজের আগে চাতুরী</t>
  </si>
  <si>
    <t>প্রয়োজনের আগে চতুরতা।</t>
  </si>
  <si>
    <t>Cunning before necessity.</t>
  </si>
  <si>
    <t>চতুর ব্যক্তি</t>
  </si>
  <si>
    <t>গরজ বড় বালাই।</t>
  </si>
  <si>
    <t>গরজ বড় বালাই</t>
  </si>
  <si>
    <t>প্রয়োজন বড় ব্যাপার, এড়ানো যায় না।</t>
  </si>
  <si>
    <t>Necessity is a great bother.</t>
  </si>
  <si>
    <t>গঙ্গা বল না দৈব্যই হৈল।</t>
  </si>
  <si>
    <t>গঙ্গা বল না, দৈব্যই হলো</t>
  </si>
  <si>
    <t>মানুষের প্রচেষ্টার চেয়ে ভাগ্য বেশি কাজ করে।</t>
  </si>
  <si>
    <t>Don't say Ganges; fate happened.</t>
  </si>
  <si>
    <t>গয়লার ক্ষমতায় গাভী বেচা।</t>
  </si>
  <si>
    <t>গয়লার ক্ষমতায় গাভী বেচা</t>
  </si>
  <si>
    <t>ক্ষমতার অপব্যবহার করে নিজের স্বার্থে কাজ করা।</t>
  </si>
  <si>
    <t>Selling the cow by the milkman's power.</t>
  </si>
  <si>
    <t>গয়লা/পুরুষ</t>
  </si>
  <si>
    <t>ক্ষমতার অপব্যবহার</t>
  </si>
  <si>
    <t>গয়নার মধ্যে মালা কুটুমের মধ্যে শালা।</t>
  </si>
  <si>
    <t>গয়নার মধ্যে মালা, কুটুমের মধ্যে শালা</t>
  </si>
  <si>
    <t>সবচেয়ে গুরুত্বপূর্ণ জিনিসটি হলো মালা ও শালা।</t>
  </si>
  <si>
    <t>Among ornaments, the garland; among relatives, the brother-in-law.</t>
  </si>
  <si>
    <t>গাধা পিটলে ঘোঁড়া হয় না।</t>
  </si>
  <si>
    <t>অযোগ্যকে যতই চেষ্টা করো, যোগ্য করা যায় না।</t>
  </si>
  <si>
    <t>Beating a donkey doesn't make it a horse.</t>
  </si>
  <si>
    <t>গাধা ছুঁচ ছাড়া সকলই বহে।</t>
  </si>
  <si>
    <t>গাধা ছুঁচ ছাড়া সব বহে</t>
  </si>
  <si>
    <t>অযোগ্য ব্যক্তি ছোট কাজ ছাড়া বড় কাজ করতে পারে না।</t>
  </si>
  <si>
    <t>The donkey carries everything except a needle.</t>
  </si>
  <si>
    <t>গাধা চলিলেই জল খায়।</t>
  </si>
  <si>
    <t>গাধা চললেই জল খায়</t>
  </si>
  <si>
    <t>যে কাজ করে, তার খাবারও পায়।</t>
  </si>
  <si>
    <t>When the donkey walks, it drinks water.</t>
  </si>
  <si>
    <t>গান থাকলে হুঁক, ডোম থাকলে মুক।</t>
  </si>
  <si>
    <t>গান থাকলে হুঁক, ডোম থাকলে মুক</t>
  </si>
  <si>
    <t>সঙ্গী বা পরিবেশ অনুযায়ী আচরণ বদলায়।</t>
  </si>
  <si>
    <t>If there is a song, there is a hook; if there is a Dom, there is a cap.</t>
  </si>
  <si>
    <t>গাভী লও দুয়ে, বলদ লও ব্যায়ে।</t>
  </si>
  <si>
    <t>গাভী লও দুয়ে, বলদ লও ব্যায়ে</t>
  </si>
  <si>
    <t>দামে কেনা জিনিস ভালো।</t>
  </si>
  <si>
    <t>Take the cow for two, take the bullock for a bargain.</t>
  </si>
  <si>
    <t>ক্রেতা</t>
  </si>
  <si>
    <t>গ্যাছো ইন্দু ল্যাজে চেনায়।</t>
  </si>
  <si>
    <t>গ্যাছো ইন্দু ল্যাজে চেনায়</t>
  </si>
  <si>
    <t>বাহ্যিক চিহ্ন দেখে পরিচয় পাওয়া যায়।</t>
  </si>
  <si>
    <t>The mongoose is known by its tail.</t>
  </si>
  <si>
    <t>গাছে কাঠাল গোঁপে তেল।</t>
  </si>
  <si>
    <t>Jackfruit on the tree, oil on the mustache.</t>
  </si>
  <si>
    <t>অকাল উল্লাস</t>
  </si>
  <si>
    <t>গাছের ফল গাছের নীচেই পড়ে।</t>
  </si>
  <si>
    <t>গাছের ফল গাছের নিচেই পড়ে</t>
  </si>
  <si>
    <t>সন্তান বা উত্তরাধিকারী পিতার কাছেই থাকে বা তাঁর গুণেই বেড়ে ওঠে।</t>
  </si>
  <si>
    <t>The fruit of the tree falls beneath the tree itself.</t>
  </si>
  <si>
    <t>সন্তান/উত্তরাধিকারী</t>
  </si>
  <si>
    <t>গাভীর বাঁটে দুধ নাই, দুগ্ধ ভাঁড় গয়লা চায়।</t>
  </si>
  <si>
    <t>গাভীর বাঁটে দুধ নেই, দুধের ভাঁড় গয়লা চায়</t>
  </si>
  <si>
    <t>যে জিনিস উৎপন্ন হয় না, তা সংগ্রহ করাও অসম্ভব।</t>
  </si>
  <si>
    <t>There's no milk in the cow's udder; the milkman wants the milk pot.</t>
  </si>
  <si>
    <t>গয়লা/দুগ্ধবিক্রেতা</t>
  </si>
  <si>
    <t>গাই গয়লায় পিরিত থাকলে কাদার উপর দুধ দোহে।</t>
  </si>
  <si>
    <t>গাই যদি গয়লাকে ভালোবাসে, তবে কাদার উপরেও দুধ দেয়</t>
  </si>
  <si>
    <t>ভালোবাসা থাকলে বিরূপ পরিস্থিতিতেও ভালো কাজ হয়।</t>
  </si>
  <si>
    <t>If the cow loves the milkman, it gives milk even on mud.</t>
  </si>
  <si>
    <t>গয়লা/গাই</t>
  </si>
  <si>
    <t>গা খস্ খস্ পরে টেনা, সেকি শোধে মহাজনের দেনা।</t>
  </si>
  <si>
    <t>গা খসখসে পরে টেনা, সেটি কি মহাজনের ঋণ শোধ করবে?</t>
  </si>
  <si>
    <t>অভাবী অবস্থায় ঋণ শোধ করা অসম্ভব।</t>
  </si>
  <si>
    <t>With a dry body and a torn cloth, can one repay the moneylender's debt?</t>
  </si>
  <si>
    <t>গরিব/ঋণগ্রস্ত ব্যক্তি</t>
  </si>
  <si>
    <t>গিঠের কড়িতে মদ খায়, লোকে বলে মাতাল।</t>
  </si>
  <si>
    <t>গিঠের কড়ি দিয়ে মদ খায়, লোকে বলে মাতাল</t>
  </si>
  <si>
    <t>অর্থ দিয়ে কিছু করলে মানুষ তা লক্ষ্য করে।</t>
  </si>
  <si>
    <t>With borrowed money, he drinks wine; people call him drunk.</t>
  </si>
  <si>
    <t>গুরুর কথা যে না মানে, প্রাণ যায় তার হেঁচ্‌কা টানে।</t>
  </si>
  <si>
    <t>যে গুরুজনের কথা মানে না, তার প্রাণ যায় হেঁচকি টেনে</t>
  </si>
  <si>
    <t>যে প্রবীণ বা জ্ঞানীর কথা মানে না, তার বিপদ হয়।</t>
  </si>
  <si>
    <t>One who doesn't obey the guru dies with hiccups.</t>
  </si>
  <si>
    <t>অবাধ্য ব্যক্তি</t>
  </si>
  <si>
    <t>গুয়ের কোনই পিঠ শুদ্ধ নয়।</t>
  </si>
  <si>
    <t>গুয়ের কোনো পিঠ শুদ্ধ নয়</t>
  </si>
  <si>
    <t>অসৎ ব্যক্তির কোনো অংশই ভালো নয়।</t>
  </si>
  <si>
    <t>No side of a leper is pure.</t>
  </si>
  <si>
    <t>গুরু মারা বিদ্যা।</t>
  </si>
  <si>
    <t>গুরু মারা বিদ্যা</t>
  </si>
  <si>
    <t>গুরুকে অতিক্রম করাই বিদ্যা, অর্থাৎ শিক্ষায় উন্নতি করতে হলে ঐতিহ্যকে অতিক্রম করতে হয়।</t>
  </si>
  <si>
    <t>Killing the guru is knowledge (progress requires surpassing tradition).</t>
  </si>
  <si>
    <t>শিক্ষার্থী/গুরু</t>
  </si>
  <si>
    <t>গুঁড়ি কুট্‌তেই হল রাত, থাকুক পিঠা রাঁধ ভাত।</t>
  </si>
  <si>
    <t>গুঁড়ি কুটতেই রাত হলো, পিঠা রাঁধো, ভাত রাঁধো</t>
  </si>
  <si>
    <t>কাজ করতে করতে সময় শেষ, কিন্তু কাজ শেষ হয়নি।</t>
  </si>
  <si>
    <t>It became night just crushing the rice; let the cakes and rice cook.</t>
  </si>
  <si>
    <t>গুণ থাকলে কাঁদে, কেশ থাকলে বাঁধে।</t>
  </si>
  <si>
    <t>গুণ থাকলে কাঁদে, চুল থাকলে বাঁধে</t>
  </si>
  <si>
    <t>প্রত্যেকের নিজস্ব বৈশিষ্ট্য থাকে যা দিয়ে সে নিজেকে প্রকাশ করে।</t>
  </si>
  <si>
    <t>If there is virtue, it shines; if there is hair, it is tied.</t>
  </si>
  <si>
    <t>গুরু নিন্দা অধঃগতি।</t>
  </si>
  <si>
    <t>যে গুরুর নিন্দা করে, তার অধঃপতন হয়।</t>
  </si>
  <si>
    <t>Cursing the guru leads to downfall.</t>
  </si>
  <si>
    <t>গুণা গোরু কি বাঘে খায়?</t>
  </si>
  <si>
    <t>গুণা গরু কি বাঘে খায়?</t>
  </si>
  <si>
    <t>যে হিসাব রাখে, তার ক্ষতি হয় না।</t>
  </si>
  <si>
    <t>Does a tiger eat a cow with a bell?</t>
  </si>
  <si>
    <t>গুঁঙ্গা কুকুরের বাঁচায় কি?</t>
  </si>
  <si>
    <t>গুঙ্গা কুকুরের বাঁচায় কী?</t>
  </si>
  <si>
    <t>মূক বা নিরীহ ব্যক্তির বাঁচার উপায় কী?</t>
  </si>
  <si>
    <t>What is the survival of a dumb dog?</t>
  </si>
  <si>
    <t>গুটি পোকা নিজের সুতেই বন্দী।</t>
  </si>
  <si>
    <t>গুটি পোকা নিজের সুতেই বন্দী</t>
  </si>
  <si>
    <t>অসৎ বা খারাপ মানুষ নিজের কাজেই ধরা পড়ে।</t>
  </si>
  <si>
    <t>The silkworm is trapped in its own thread.</t>
  </si>
  <si>
    <t>গো ব্রাহ্মণ বিরলে শুচি।</t>
  </si>
  <si>
    <t>গো ব্রাহ্মণ বিরলে শুচি</t>
  </si>
  <si>
    <t>ব্রাহ্মণ বা সৎ মানুষ কঠিন পরিস্থিতিতেও পবিত্র থাকে।</t>
  </si>
  <si>
    <t>A Brahmin is pure even in a forest.</t>
  </si>
  <si>
    <t>ধর্মীয় পরিচয়</t>
  </si>
  <si>
    <t>গোবরিয়া পোকায় প্রদীপ নিবায়?</t>
  </si>
  <si>
    <t>অযোগ্য ব্যক্তি মহৎ কাজ করতে পারে না।</t>
  </si>
  <si>
    <t>Can a dung beetle extinguish a lamp?</t>
  </si>
  <si>
    <t>গোরু, জোরু, ধান তিন রাখি বিদ্যমান্।</t>
  </si>
  <si>
    <t>গরু, স্ত্রী, ধান—এই তিন চিরন্তন</t>
  </si>
  <si>
    <t>এই তিন জিনিস মানুষের জীবনের মূল ভিত্তি।</t>
  </si>
  <si>
    <t>Cow, wife, and paddy—these three are eternal.</t>
  </si>
  <si>
    <t>জীবনের ভিত্তি</t>
  </si>
  <si>
    <t>গোউর পুত্র কি বামোন্‌কেই সাজে।</t>
  </si>
  <si>
    <t>গোরুর পুত্র কি ব্রাহ্মণকেই সাজে?</t>
  </si>
  <si>
    <t>অযোগ্য ব্যক্তি উচ্চ পদে ভালো মানায় না।</t>
  </si>
  <si>
    <t>Does a cow's son suit a Brahmin?</t>
  </si>
  <si>
    <t>ব্রাহ্মণ/গোরু</t>
  </si>
  <si>
    <t>গেঁঠে সোণা মুখে ঝলক।</t>
  </si>
  <si>
    <t>গেঁঠে সোনা, মুখে ঝলক</t>
  </si>
  <si>
    <t>অল্প সম্পদেও বড়াই বেশি।</t>
  </si>
  <si>
    <t>Gold on the wrist, shine on the face.</t>
  </si>
  <si>
    <t>গ্রামের শত্রু আর বাহিরের মিত্র সমান।</t>
  </si>
  <si>
    <t>গ্রামের শত্রু আর বাইরের মিত্র সমান</t>
  </si>
  <si>
    <t>বাইরের বন্ধু গ্রামের শত্রুর মতোই (অর্থাৎ কাউকে বিশ্বাস করা উচিত নয়)।</t>
  </si>
  <si>
    <t>A village enemy and an outside friend are the same.</t>
  </si>
  <si>
    <t>শত্রু/মিত্র</t>
  </si>
  <si>
    <t>গ্রামে মানে নাই তার মণ্ডল নাম।</t>
  </si>
  <si>
    <t>গ্রামে মানে নেই, তার মণ্ডল নাম</t>
  </si>
  <si>
    <t>অযোগ্য ব্যক্তির নাম বড় কিন্তু মান নেই।</t>
  </si>
  <si>
    <t>No respect in the village, yet a grand name.</t>
  </si>
  <si>
    <t>গ্রাম বড় তার বাগতী বাজার।</t>
  </si>
  <si>
    <t>গ্রাম বড়, তার বাগতী বাজার</t>
  </si>
  <si>
    <t>বড় গ্রামে বড় বাজার থাকে।</t>
  </si>
  <si>
    <t>A large village has a big market.</t>
  </si>
  <si>
    <t>গ্রামের মুড়য় বটতলা সাতাইশ ভূতের মেলা।</t>
  </si>
  <si>
    <t>গ্রামের মোড়ে বটতলায় সাতাশ ভূতের মেলা</t>
  </si>
  <si>
    <t>গ্রামের কেন্দ্রস্থলে নানা অশান্তি বা জটিলতা দেখা দেয়।</t>
  </si>
  <si>
    <t>At the village crossroads under the banyan tree, a fair of twenty-seven ghosts.</t>
  </si>
  <si>
    <t>ঘরভেদে রাবণ নষ্ট।</t>
  </si>
  <si>
    <t>ঘর ভেদে রাবণ নষ্ট</t>
  </si>
  <si>
    <t>গৃহবিরোধে বড় শক্তিও নষ্ট হয়।</t>
  </si>
  <si>
    <t>Ravana was destroyed by internal discord.</t>
  </si>
  <si>
    <t>গৃহবিরোধ</t>
  </si>
  <si>
    <t>ঘর নাই তার দ্বোয়ার বাঁদে, মাগ্ নাই তার ছেলে কাঁদে।</t>
  </si>
  <si>
    <t>ঘর নেই তার দ্বার বাঁধে, মা নেই তার ছেলে কাঁদে</t>
  </si>
  <si>
    <t>যার কিছুই নেই, সে অযথা আড়ম্বর করে।</t>
  </si>
  <si>
    <t>The one without a house builds a door; the one without a mother, the child cries.</t>
  </si>
  <si>
    <t>ঘরে বসে রাজমহিষীকেও ডাইন বলে।</t>
  </si>
  <si>
    <t>ঘরে বসে রাজমহিষীকেও ডাইন বলে</t>
  </si>
  <si>
    <t>যে নিজে কিছুই করে না, সে সবাইকে খারাপ বলে।</t>
  </si>
  <si>
    <t>Sitting at home, even the queen is called a witch.</t>
  </si>
  <si>
    <t>অলস/নিন্দুক</t>
  </si>
  <si>
    <t>ঘরে নাই সতের কড়া, মিন্‌সে গিয়েছে শেকরা পাড়া।</t>
  </si>
  <si>
    <t>ঘরে নেই সতের কড়া, মিন্সে গিয়েছে শেকড়া পাড়া</t>
  </si>
  <si>
    <t>অভাবে বিলাসিতা।</t>
  </si>
  <si>
    <t>No seventeen coins in the house; yet the cat has gone to the ginger patch.</t>
  </si>
  <si>
    <t>ঘর দ্বারটী তোর, চাবি কাটিটী মোর।</t>
  </si>
  <si>
    <t>ঘর দ্বারটা তোর, চাবি কাটাটা মোর</t>
  </si>
  <si>
    <t>আমি তোমার ঘর দখল করেছি; এখন চাবি আমার।</t>
  </si>
  <si>
    <t>The house and door are yours, but the key is mine.</t>
  </si>
  <si>
    <t>ঘর না ঢুকতেই চাল বাজে।</t>
  </si>
  <si>
    <t>ঘর না ঢুকতেই চাল বাজে</t>
  </si>
  <si>
    <t>কাজ শুরু করার আগেই অযথা শোরগোল।</t>
  </si>
  <si>
    <t>Before entering the house, the rice rattles.</t>
  </si>
  <si>
    <t>ঘরের ভাত দিয়ে শক্‌নী পোষে, গুয়ালের গোরু তেক্যে বসে।</t>
  </si>
  <si>
    <t>ঘরের ভাত দিয়ে শকুনি পোষে, গোয়ালের গরু তেকে বসে</t>
  </si>
  <si>
    <t>নিজের সর্বনাশ করে অন্যকে পালা।</t>
  </si>
  <si>
    <t>Feeds the vulture with household rice; the cow in the stable sits idle.</t>
  </si>
  <si>
    <t>ঘরে ছেলে নাই, দরবারে ছেল্যের কিরে খায়।</t>
  </si>
  <si>
    <t>ঘরে ছেলে নেই, দরবারে ছেলের কিরে খায়?</t>
  </si>
  <si>
    <t>যার নিজের কিছু নেই, সে অন্যের বাড়িতে পেট ভরে।</t>
  </si>
  <si>
    <t>No son at home; yet he eats son's share at the court.</t>
  </si>
  <si>
    <t>ঘরে থাকে না বাঘ যখন, শিয়ালের জয়ধ্বনি তখন।</t>
  </si>
  <si>
    <t>ঘরে বাঘ না থাকলে শিয়ালের জয়ধ্বনি</t>
  </si>
  <si>
    <t>নেতার অনুপস্থিতিতে ছোটরা বড়াই করে।</t>
  </si>
  <si>
    <t>When the tiger is not home, the jackal shouts victory.</t>
  </si>
  <si>
    <t>ছোট/অপদার্থ</t>
  </si>
  <si>
    <t>ঘরের বালাই বুড়ী, পেটের বালাই মুঢ়ি।</t>
  </si>
  <si>
    <t>ঘরের বালাই বুড়ী, পেটের বালাই মুড়ি</t>
  </si>
  <si>
    <t>স্ত্রী ও খাবার—এই দুই বিপদ।</t>
  </si>
  <si>
    <t>The wife is a trouble at home; hunger is a trouble in the belly.</t>
  </si>
  <si>
    <t>ঘর ভাংলে আঁধার ঘরে ভাত।</t>
  </si>
  <si>
    <t>ঘর ভাঙলে আধার ঘরে ভাত</t>
  </si>
  <si>
    <t>সংসার ভাঙার পরও খাবার চলে।</t>
  </si>
  <si>
    <t>After the house is broken, rice in the dark room.</t>
  </si>
  <si>
    <t>ঘর, বিভাগ, বর, এ তিন মাঘ মাসে কর।</t>
  </si>
  <si>
    <t>ঘর, বিভাগ, বর—এই তিন মাঘ মাসে কর</t>
  </si>
  <si>
    <t>ঘর সংস্কার, সম্পত্তি ভাগ ও বিবাহ—মাঘ মাসে করা ভালো।</t>
  </si>
  <si>
    <t>House, partition, and groom—do these three in the month of Magh.</t>
  </si>
  <si>
    <t>ঋতু ও কাজ</t>
  </si>
  <si>
    <t>ঘরে ভাত থাক্‌লে কাকের কি অভাব?</t>
  </si>
  <si>
    <t>ঘরে ভাত থাকলে কাকের কী অভাব?</t>
  </si>
  <si>
    <t>যথেষ্ট থাকলে অভাব থাকে না।</t>
  </si>
  <si>
    <t>If there is rice at home, what does the crow lack?</t>
  </si>
  <si>
    <t>ঘর কচ্‌কচিতে ঘর গৃহস্থের ধ্বংস।</t>
  </si>
  <si>
    <t>ঘর কচকচিতে ঘর গৃহস্থের ধ্বংস</t>
  </si>
  <si>
    <t>অশান্তি বা কলহে সংসার ধ্বংস হয়।</t>
  </si>
  <si>
    <t>A creaking house destroys the householder.</t>
  </si>
  <si>
    <t>কলহপ্রিয় ব্যক্তি</t>
  </si>
  <si>
    <t>ঘরে ছুঁচোর কীর্ত্তন, বাহিরে কোঁচার পত্তন।</t>
  </si>
  <si>
    <t>ঘরে ইঁদুরের কীর্তন, বাইরে কোঁচার পত্তন</t>
  </si>
  <si>
    <t>নিজের ঘরে অশান্তি, বাইরে নানা ফন্দি।</t>
  </si>
  <si>
    <t>Rat's worship inside; outside, a clever plan.</t>
  </si>
  <si>
    <t>ঘাশির সুখে রাজার মোকাম্।</t>
  </si>
  <si>
    <t>ঘাশির সুখে রাজার মোকাম</t>
  </si>
  <si>
    <t>ঘাসের প্রাচুর্যে রাজার বাস।</t>
  </si>
  <si>
    <t>The king's abode is comfortable with grass.</t>
  </si>
  <si>
    <t>ঘাটের পাথরে সবাই পা ঘসে।</t>
  </si>
  <si>
    <t>ঘাটের পাথরে সবাই পা ঘষে</t>
  </si>
  <si>
    <t>সবার সমান সুযোগ।</t>
  </si>
  <si>
    <t>Everyone rubs their feet on the ghat stone.</t>
  </si>
  <si>
    <t>সমান সুযোগ</t>
  </si>
  <si>
    <t>ঘ্রাণেই অর্দ্ধেক ভোজন।</t>
  </si>
  <si>
    <t>গন্ধেই অর্ধেক ভোজন</t>
  </si>
  <si>
    <t>গন্ধ পেলেই অর্ধেক খাওয়া হয়ে যায়।</t>
  </si>
  <si>
    <t>Half the meal is in the smell.</t>
  </si>
  <si>
    <t>ঘায়ের সন্ধান মাছি জানে।</t>
  </si>
  <si>
    <t>ঘায়ের সন্ধান মাছি জানে</t>
  </si>
  <si>
    <t>যেখানে সমস্যা, সেখানে মানুষ জড়ো হয়।</t>
  </si>
  <si>
    <t>The fly knows where the sore is.</t>
  </si>
  <si>
    <t>ঘি, রুটি, খায় কুকুর পাল্কী চড়ে যায়, স্বভাব ভুলিতে নারে জুতর পানে চায়</t>
  </si>
  <si>
    <t>ঘি, রুটি খায় কুকুর পাল্কী চড়ে যায়, স্বভাব ভুলে জুতোর পানে চায়</t>
  </si>
  <si>
    <t>অভ্যাস বা স্বভাব কখনও পরিবর্তন হয় না।</t>
  </si>
  <si>
    <t>A dog eats ghee and bread, rides a palanquin, yet looks at shoes—habit doesn't change.</t>
  </si>
  <si>
    <t>ঘুরিল পাখী কয় দিনে কি সাত তাল নয়?</t>
  </si>
  <si>
    <t>ঘুরিল পাখি কয় দিনে কি সাত তাল নয়?</t>
  </si>
  <si>
    <t>A wandering bird, in a few days, knows seven palm trees.</t>
  </si>
  <si>
    <t>ঘোড়া, ঘোড়া, পান এ তিন না ফিরলেই যান।</t>
  </si>
  <si>
    <t>ঘোড়া, ঘোড়া, পান—এই তিন না ফিরলেই যায়</t>
  </si>
  <si>
    <t>সুযোগ হাতছাড়া করলে ফিরে আসে না।</t>
  </si>
  <si>
    <t>Horse, horse, betel—if these three don't return, they go away.</t>
  </si>
  <si>
    <t>ঘোড়ায় জিন দিয়ে এলেন কি?</t>
  </si>
  <si>
    <t>অপ্রয়োজনীয় আড়ম্বর।</t>
  </si>
  <si>
    <t>Did you come with a saddle on the horse?</t>
  </si>
  <si>
    <t>ঘোলা জলে কি বড়শী বায়?</t>
  </si>
  <si>
    <t>বিপরীত পরিবেশে কাজ করা কঠিন।</t>
  </si>
  <si>
    <t>Can you fish with a hook in muddy water?</t>
  </si>
  <si>
    <t>ঘোড়ায় চিনে শোওয়ার।</t>
  </si>
  <si>
    <t>ঘোড়ায় চিনে শোওয়ার</t>
  </si>
  <si>
    <t>অভাব থাকলেও বিলাসিতা।</t>
  </si>
  <si>
    <t>Sleeping with a horse?</t>
  </si>
  <si>
    <t>ঘোল মাগতে পেঁছনে ভাড়।</t>
  </si>
  <si>
    <t>ঘোল মাগতে পেঁছনে ভাড়</t>
  </si>
  <si>
    <t>সামান্য জিনিস পেতেও ব্যয় করতে হয়।</t>
  </si>
  <si>
    <t>To get buttermilk, one needs the rent of a cloth.</t>
  </si>
  <si>
    <t>ঘোড়ার ল্যাজে চামর হলে নিজের পাখা ঢাকায়।</t>
  </si>
  <si>
    <t>ঘোড়ার লেজে চামর হলে নিজের পাখা ঢাকায়</t>
  </si>
  <si>
    <t>নিজের কাজ নিজে করো, অন্যকে দিয়ে নয়।</t>
  </si>
  <si>
    <t>If the horse's tail is a fly-whisk, it covers its own wing.</t>
  </si>
  <si>
    <t>স্বনির্ভর ব্যক্তি</t>
  </si>
  <si>
    <t>ঘোড়া হলে চাবুক আটকায় না।</t>
  </si>
  <si>
    <t>ঘোড়া হলে চাবুক আটকায় না</t>
  </si>
  <si>
    <t>ক্ষমতা পেলে কিছুই আটকানো যায় না।</t>
  </si>
  <si>
    <t>If it's a horse, the whip doesn't stop it.</t>
  </si>
  <si>
    <t>ঘোড়ার লাথি ঘোড়ায় সয়।</t>
  </si>
  <si>
    <t>ঘোড়ার লাথি ঘোড়ায় সয়</t>
  </si>
  <si>
    <t>শক্তিশালীর আঘাত শক্তিশালীই সহ্য করতে পারে।</t>
  </si>
  <si>
    <t>The horse's kick is borne by the horse.</t>
  </si>
  <si>
    <t>চণ্ডিপাঠও জানি জুত শেলাইও জানি।</t>
  </si>
  <si>
    <t>চণ্ডিপাঠও জানি, জুত শেলাইও জানি</t>
  </si>
  <si>
    <t>সব কাজের জ্ঞান আছে, কিন্তু দক্ষতা নেই।</t>
  </si>
  <si>
    <t>I know reciting Chandi, I know stitching shoes.</t>
  </si>
  <si>
    <t>সাধারণজ্ঞানী ব্যক্তি</t>
  </si>
  <si>
    <t>চলিলেই চল্লিশ বুদ্ধি না চলিলে হতবুদ্ধি।</t>
  </si>
  <si>
    <t>চললেই চল্লিশ বুদ্ধি, না চললে হতবুদ্ধি</t>
  </si>
  <si>
    <t>কাজ করলে বুদ্ধি আসে, না করলে বুদ্ধি থাকে না।</t>
  </si>
  <si>
    <t>When moving, forty ideas; when not moving, clueless.</t>
  </si>
  <si>
    <t>কর্মঠ/অলস</t>
  </si>
  <si>
    <t>বুদ্ধি/কাজ</t>
  </si>
  <si>
    <t>চল্ বল্‌তেই কাঁদে ঝোল।</t>
  </si>
  <si>
    <t>চল বলতেই কাঁদে ঝোল</t>
  </si>
  <si>
    <t>কিছু করতে বললেই অজুহাত।</t>
  </si>
  <si>
    <t>Just say 'move,' and the curry cries.</t>
  </si>
  <si>
    <t>চড়কের বেলায় রাম রাম।</t>
  </si>
  <si>
    <t>চড়কের বেলায় রাম রাম</t>
  </si>
  <si>
    <t>বিপদে পড়ে স্মরণ।</t>
  </si>
  <si>
    <t>At the time of the Chadak festival, Ram Ram.</t>
  </si>
  <si>
    <t>চড় মেরে দণ্ডবৎ!</t>
  </si>
  <si>
    <t>চড় মেরে দণ্ডবৎ</t>
  </si>
  <si>
    <t>অপমান করেও নমস্কার।</t>
  </si>
  <si>
    <t>Slap and then bow!</t>
  </si>
  <si>
    <t>চতুর সাগরে চরে পাখা ভিজে না।</t>
  </si>
  <si>
    <t>চতুর সাগরে চরে পাখা ভিজে না</t>
  </si>
  <si>
    <t>বুদ্ধিমান ব্যক্তি বিপদেও রক্ষা পায়।</t>
  </si>
  <si>
    <t>In the clever sea, the wing does not get wet.</t>
  </si>
  <si>
    <t>চড়ুই পাখীর জীবনটী ধন।</t>
  </si>
  <si>
    <t>চড়ুই পাখির জীবনটী ধন</t>
  </si>
  <si>
    <t>সামান্য জীবনও মূল্যবান।</t>
  </si>
  <si>
    <t>The life of a sparrow is wealth.</t>
  </si>
  <si>
    <t>চলতে পেরে না গদা বড় বীর।</t>
  </si>
  <si>
    <t>চলতে পারে না, গদা বড় বীর</t>
  </si>
  <si>
    <t>অক্ষম ব্যক্তি বড়াই করে।</t>
  </si>
  <si>
    <t>Can't walk, yet a great hero with a mace.</t>
  </si>
  <si>
    <t>অক্ষম/অহংকারী</t>
  </si>
  <si>
    <t>চরখা আমার পুত পৈতা, চরখা আমার নাতী চরখার দৌলতে আমার দোয়ার বাঁধা হাতি।</t>
  </si>
  <si>
    <t>চরখা আমার পুত পৈতা, চরখা আমার নাতি; চরখার দৌলতে আমার দোয়ার বাঁধা হাতি</t>
  </si>
  <si>
    <t>চরখা (কাজ) থেকেই সব কিছু সম্ভব।</t>
  </si>
  <si>
    <t>My spinning wheel is my son's sacred thread, my grandson; by the spinning wheel, my door has a tied elephant.</t>
  </si>
  <si>
    <t>চলতে চায় পদে পদে, চলতে নারে ফুট্‌কী মদে।</t>
  </si>
  <si>
    <t>চলতে চায় পদে পদে, চলতে নারে ফুটকি মদে</t>
  </si>
  <si>
    <t>অক্ষম ব্যক্তি বড়াই করে, কিন্তু চলতে পারে না।</t>
  </si>
  <si>
    <t>Wants to walk step by step, but can't move even a little.</t>
  </si>
  <si>
    <t>চর্ম্ম প্রিয় নয় কিন্তু কর্ম্মই প্রিয় হয়।</t>
  </si>
  <si>
    <t>চর্ম প্রিয় নয় কিন্তু কর্মই প্রিয় হয়</t>
  </si>
  <si>
    <t>কাজই প্রধান, বাহ্যিকতা নয়।</t>
  </si>
  <si>
    <t>The skin is not dear, but work is dear.</t>
  </si>
  <si>
    <t>চাটণীর ঘরেও কি বাশি পিঠা।</t>
  </si>
  <si>
    <t>চাটনির ঘরেও কি বাশি পিঠা?</t>
  </si>
  <si>
    <t>অপ্রত্যাশিত স্থানেও ভালো জিনিস পাওয়া যায়।</t>
  </si>
  <si>
    <t>In the house of chutney, is there bamboo cake?</t>
  </si>
  <si>
    <t>চাইল নাই, দাইল নাই, রঘু গোলদার। দুয়াৎ নাই, কলম নাই কৃপারাম সরকার!</t>
  </si>
  <si>
    <t>চাইল না, দাইল না, রঘু গোলদার; দুয়াত না, কলম না, কৃপারাম সরকার</t>
  </si>
  <si>
    <t>বড় নাম কিন্তু কোনো ক্ষমতা নেই।</t>
  </si>
  <si>
    <t>No asking, no giving, Raghunath the moneylender; no ink, no pen, Kriparam Sarkar.</t>
  </si>
  <si>
    <t>চারিদিকে ফাঁক, দ্বোয়ারে থাকে আঁক্‌।</t>
  </si>
  <si>
    <t>চারিদিকে ফাঁক, দোয়ারে থাকে আঁক</t>
  </si>
  <si>
    <t>সব জায়গায় ফাঁক, শুধু দরজায় বাধা।</t>
  </si>
  <si>
    <t>Emptiness all around; only the door is locked.</t>
  </si>
  <si>
    <t>চাঁই, ভুড়ুর ভাঁই, খেঁদা নাকে খোই ঢুকেছে, রাখুন গোঁসাই।</t>
  </si>
  <si>
    <t>চাঁই, ভুড়ুর ভাই, খেঁদা নাকে খোই ঢুকেছে, রাখুন গোঁসাই</t>
  </si>
  <si>
    <t>বিপদে পড়ে দেবতার কাছে প্রার্থনা।</t>
  </si>
  <si>
    <t>Oh, Chai, brother of Bhuru, the mouse has entered the nose; please protect, Lord.</t>
  </si>
  <si>
    <t>চাস বড় রস কিন্তু চায় জন দশ।</t>
  </si>
  <si>
    <t>চাষ বড় রস কিন্তু চায় জন দশ</t>
  </si>
  <si>
    <t>কৃষিকাজ ভালো, কিন্তু অনেক লোক লাগে।</t>
  </si>
  <si>
    <t>Farming is great but requires ten people.</t>
  </si>
  <si>
    <t>চারা দেখান হয়, ফাঁদ লুকান যায়।</t>
  </si>
  <si>
    <t>চারা দেখানো হয়, ফাঁদ লুকানো যায়</t>
  </si>
  <si>
    <t>ভালো দেখিয়ে খারাপ লুকানো।</t>
  </si>
  <si>
    <t>Seedlings are shown; the trap is hidden.</t>
  </si>
  <si>
    <t>চাস কল্লেন ফোতার বাপ, বীহন বড় পুয়াল লাভ।</t>
  </si>
  <si>
    <t>চাস করলে ফোতার বাপ, বীহন বড় পুয়াল লাভ</t>
  </si>
  <si>
    <t>কৃষিকাজ করলে খাবার পাওয়া যায়।</t>
  </si>
  <si>
    <t>Farming makes one the father of the pot; seed gives great gain.</t>
  </si>
  <si>
    <t>চাহিলে কি পাবে, মিষ্ট গাছের আমড়া নয় চামড়া শুদ্ধ খাবে।</t>
  </si>
  <si>
    <t>চাহিলে কী পাবে, মিষ্ট গাছের আমড়া নয় চামড়া শুদ্ধ খাবে</t>
  </si>
  <si>
    <t>সব কিছু চাইলেই পাওয়া যায় না।</t>
  </si>
  <si>
    <t>What will you get by asking? Not a sweet tree's fruit, but you'll eat the peel.</t>
  </si>
  <si>
    <t>চাকুরে কুকুরে বিদ্যা ফিরে নেচে নেচে, ব্যাপারে অপার দুঃখ চাসে রূপ নাশে।</t>
  </si>
  <si>
    <t>চাকুরে কুকুরে বিদ্যা ফিরে নেচে নেচে, ব্যাপারে অপার দুঃখ চাসে রূপ নাশে</t>
  </si>
  <si>
    <t>ভৃত্যের কাজে অস্থিরতা।</t>
  </si>
  <si>
    <t>The servant dog dances to show off; in business, great sorrow destroys the form.</t>
  </si>
  <si>
    <t>ভৃত্য/চাকর</t>
  </si>
  <si>
    <t>চাল ছেড়ে ভূঁইতে বাতা। চাকরের ওজর কি?</t>
  </si>
  <si>
    <t>চাল ছেড়ে ভুঁইতে বাতা, চাকরের ওজর কি?</t>
  </si>
  <si>
    <t>কাজ ফেলে অন্য কাজে মন দেওয়া—চাকরের অজুহাত।</t>
  </si>
  <si>
    <t>Leaving the rice, he fills the ground; what is the servant's excuse?</t>
  </si>
  <si>
    <t>চাকর/ভৃত্য</t>
  </si>
  <si>
    <t>চাইল্ দাইল্ নাই, তার আগেই খাব; কাপড় চোপড় নাই, কিন্তু মধ্যে শোব।</t>
  </si>
  <si>
    <t>চাইল না, দাইল না, তার আগেই খাব; কাপড় চোপড় নেই, কিন্তু মধ্যে শোব</t>
  </si>
  <si>
    <t>Neither asked nor given, yet I'll eat before that; no clothes, but I'll sleep in between.</t>
  </si>
  <si>
    <t>চিল নামলেই কুটা ওঠায়।</t>
  </si>
  <si>
    <t>চিল নামলেই কুটা ওঠায়</t>
  </si>
  <si>
    <t>খারাপ ব্যক্তি এলেই অশান্তি শুরু হয়।</t>
  </si>
  <si>
    <t>When the kite lands, the dust rises.</t>
  </si>
  <si>
    <t>চিৎ মাতলেই গীত গাই।</t>
  </si>
  <si>
    <t>চিৎ মাতলেই গীত গাই</t>
  </si>
  <si>
    <t>উত্তেজনা পেলে কাজ শুরু।</t>
  </si>
  <si>
    <t>When the mind is excited, sing a song.</t>
  </si>
  <si>
    <t>উত্তেজনাপূর্ণ ব্যক্তি</t>
  </si>
  <si>
    <t>চিন্ বা না চিন্ নূতন দেখে কিন্।</t>
  </si>
  <si>
    <t>চিনি বা না চিনি, নতুন দেখে কেনো</t>
  </si>
  <si>
    <t>নতুন জিনিস দেখেই কিনে ফেলা।</t>
  </si>
  <si>
    <t>Whether known or not, buy when you see something new.</t>
  </si>
  <si>
    <t>চিটা, পিটা, কামার—মনিব কয় এরা নয় আমার।</t>
  </si>
  <si>
    <t>চিটা, পিটা, কামার—মনিব বলে এরা নয় আমার</t>
  </si>
  <si>
    <t>অযোগ্য চাকরদের মনিব ত্যাগ করে।</t>
  </si>
  <si>
    <t>The torn, the crushed, the blacksmith—the master says they are not mine.</t>
  </si>
  <si>
    <t>চেনা বামনের পৈতায় দরকার কি?</t>
  </si>
  <si>
    <t>চেনা বামনের পৈতায় দরকার কী?</t>
  </si>
  <si>
    <t>পরিচিত ব্যক্তির পরিচয়ের প্রয়োজন নেই।</t>
  </si>
  <si>
    <t>Does a known Brahmin need a sacred thread?</t>
  </si>
  <si>
    <t>চেটে খেতে কুলয় নাই, সর্ব্বৎ গুলতে চায়।</t>
  </si>
  <si>
    <t>চেটে খেতে কুলয় নেই, সব গুলতে চায়</t>
  </si>
  <si>
    <t>যে নিজে কিছু করতে পারে না, সে বড়াই করে।</t>
  </si>
  <si>
    <t>Can't even lick to eat, yet wants to gulp everything.</t>
  </si>
  <si>
    <t>চোরের রাগে ভুঁইয়ে ভাত।</t>
  </si>
  <si>
    <t>চোরের রাগে ভুঁইয়ে ভাত</t>
  </si>
  <si>
    <t>অন্যের ওপর রাগ করে নিজের ক্ষতি করা।</t>
  </si>
  <si>
    <t>Eating rice on the ground out of anger at the thief.</t>
  </si>
  <si>
    <t>রাগী ব্যক্তি</t>
  </si>
  <si>
    <t>চোরে শুনে কি ধর্ম্মের কাহিনী?</t>
  </si>
  <si>
    <t>চোরে শুনে কি ধর্মের কাহিনী?</t>
  </si>
  <si>
    <t>অসৎ ব্যক্তি ধর্মের কথা শোনে না।</t>
  </si>
  <si>
    <t>Does a thief listen to religious stories?</t>
  </si>
  <si>
    <t>চোর গােরুকে বাউরী রাখাল।</t>
  </si>
  <si>
    <t>চোর গোরুকে বাউরী রাখাল</t>
  </si>
  <si>
    <t>চোরের হাতে গরু রাখলে বিপদ।</t>
  </si>
  <si>
    <t>A cow with a thief is a cowherd.</t>
  </si>
  <si>
    <t>চোরের স্বাদ কি কাশি?</t>
  </si>
  <si>
    <t>চোরের খাওয়া-দাওয়ার স্বাদ বোঝা যায় না।</t>
  </si>
  <si>
    <t>Does a thief know the taste of cough?</t>
  </si>
  <si>
    <t>চোর মরে সাত ঘর লয়ে মরে।</t>
  </si>
  <si>
    <t>চোর মরে সাত ঘর লয়ে মরে</t>
  </si>
  <si>
    <t>চোরের মৃত্যুতে অনেকের ক্ষতি হয়।</t>
  </si>
  <si>
    <t>When a thief dies, seven households die with him.</t>
  </si>
  <si>
    <t>চোর পলালেই বুদ্ধি বাড়ে।</t>
  </si>
  <si>
    <t>চোর পালালেই বুদ্ধি বাড়ে</t>
  </si>
  <si>
    <t>After the thief runs away, wisdom increases.</t>
  </si>
  <si>
    <t>চোর গোরু অপেক্ষা শূন্য গুয়াল ভাল।</t>
  </si>
  <si>
    <t>চোর গরু অপেক্ষা শূন্য গোয়াল ভালো</t>
  </si>
  <si>
    <t>Empty stable is better than a thief cow.</t>
  </si>
  <si>
    <t>চোর যায়, পাঁজা লাভ।</t>
  </si>
  <si>
    <t>চোর যায়, পাঁজা লাভ</t>
  </si>
  <si>
    <t>চোর চলে গেলে ক্ষতি হয়।</t>
  </si>
  <si>
    <t>The thief goes away, losing the bundle.</t>
  </si>
  <si>
    <t>ছাড়া তীর ফিরে না, মরা মানুষ আসে না।</t>
  </si>
  <si>
    <t>ছাড়া তীর ফিরে না, মরা মানুষ আসে না</t>
  </si>
  <si>
    <t>একবার যা হয়ে গেছে, তা আর ফেরানো যায় না।</t>
  </si>
  <si>
    <t>The arrow shot does not return; a dead man does not come back.</t>
  </si>
  <si>
    <t>ছাতু খেয়ে মৈলাবাপ্ তার ছেল্যের বির্দ্দাপ।</t>
  </si>
  <si>
    <t>ছাতু খেয়ে মৈলাবাপ তার ছেল্যের বিরদাপ</t>
  </si>
  <si>
    <t>সামান্য খাবারেও বড়াই।</t>
  </si>
  <si>
    <t>Eating chhatu, the father boasts about his son.</t>
  </si>
  <si>
    <t>ছাতের ডিংগলা ছাতকেই ভাল।</t>
  </si>
  <si>
    <t>ছাতের ডিংগলা ছাতকেই ভাল</t>
  </si>
  <si>
    <t>যা নিজের, তা-ই ভালো।</t>
  </si>
  <si>
    <t>The umbrella's handle is good for the umbrella.</t>
  </si>
  <si>
    <t>ছিঁড়লেই বাঁশি বাজে।</t>
  </si>
  <si>
    <t>ছিঁড়লেই বাঁশি বাজে</t>
  </si>
  <si>
    <t>সামান্য কারণেই কাজ হয়ে যায়।</t>
  </si>
  <si>
    <t>When torn, the flute plays.</t>
  </si>
  <si>
    <t>ছিল মেছেনী হইল মহাজন, চিংগড়ি কে বলে কোন মাছ?</t>
  </si>
  <si>
    <t>ছিল মেছেনী হলো মহাজন, চিংড়ি কে বলে কোন মাছ?</t>
  </si>
  <si>
    <t>সামান্য থেকে বড় হওয়া, কিন্তু পরিচয় হারানো।</t>
  </si>
  <si>
    <t>The poor woman became a moneylender; who calls the shrimp a fish?</t>
  </si>
  <si>
    <t>উন্নত/অহংকারী</t>
  </si>
  <si>
    <t>ছিল ঢেঁকি হইল তুল, কাটিতে কাটিতে নির্ম্মূল।</t>
  </si>
  <si>
    <t>ছিল ঢেঁকি হয়ে তুল, কাটতে কাটতে নির্মূল</t>
  </si>
  <si>
    <t>অতিরিক্ত ব্যবহারে বস্তু নষ্ট হয়।</t>
  </si>
  <si>
    <t>Once a mortar, now a lump; cutting it made it rootless.</t>
  </si>
  <si>
    <t>ছুটলে হাতের শর, না চিনে আপন পর।</t>
  </si>
  <si>
    <t>ছুটলে হাতের শর, না চিনে আপন পর</t>
  </si>
  <si>
    <t>তাড়াতাড়ি কাজ করলে আত্মীয়-পরিচয় বোঝা যায় না।</t>
  </si>
  <si>
    <t>When the hand's arrow flies, one doesn't recognize friend from foe.</t>
  </si>
  <si>
    <t>তাড়াহুড়োকারী ব্যক্তি</t>
  </si>
  <si>
    <t>ছুঁয়ে যায় নাই তোকে, তায় দণ্ডবৎ কচ্ছে মোকে।</t>
  </si>
  <si>
    <t>ছুঁয়ে যায়নি তোকে, তায় দণ্ডবৎ কচ্ছে মোকে</t>
  </si>
  <si>
    <t>অন্যায়ভাবে দোষ দেওয়া।</t>
  </si>
  <si>
    <t>You didn't touch me, yet you are bowing to me.</t>
  </si>
  <si>
    <t>ছুঁচা মেরে হাত গন্ধ।</t>
  </si>
  <si>
    <t>ছুঁচা মেরে হাত গন্ধ</t>
  </si>
  <si>
    <t>ছোট কাজেও দোষ ধরা যায়।</t>
  </si>
  <si>
    <t>Stabbing with a needle makes the hand smell.</t>
  </si>
  <si>
    <t>ছুচার চাকর চাম্‌চিকা তার মূল্য পাঁচসিকা।</t>
  </si>
  <si>
    <t>ছুচার চাকর চামচিকা তার মূল্য পাঁচ সিকা</t>
  </si>
  <si>
    <t>অল্প মূল্যের চাকর।</t>
  </si>
  <si>
    <t>The servant of the needle, the bat, is worth five coins.</t>
  </si>
  <si>
    <t>অল্পমূল্যের চাকর</t>
  </si>
  <si>
    <t>যে বনে যাই সে ফল খাই</t>
  </si>
  <si>
    <t>বুদ্ধিমান ব্যক্তি পরিবেশের সাথে খাপ খাইয়ে চলে</t>
  </si>
  <si>
    <t>When in Rome do as the Romans do</t>
  </si>
  <si>
    <t>রীতি-নীতি</t>
  </si>
  <si>
    <t>শিক্ষক বাতায়ন</t>
  </si>
  <si>
    <t>https://www.teachers.gov.bd/blog/details/693061</t>
  </si>
  <si>
    <t>ছেঁড়া তালায় শুয়ে হাজার টাকার স্বপ্ন।</t>
  </si>
  <si>
    <t>ছেঁড়া তালায় শুয়ে হাজার টাকার স্বপ্ন দেখা</t>
  </si>
  <si>
    <t>অভাব থাকলেও বড় স্বপ্ন দেখা।</t>
  </si>
  <si>
    <t>Dreaming of thousands while sleeping on a torn mat.</t>
  </si>
  <si>
    <t>ছেল্যে খেলাতে দিন গেল লোকে বলে ডাহিন।</t>
  </si>
  <si>
    <t>ছেলেকে খেলাতে দিন গেল, লোকে বলে ডাহিন</t>
  </si>
  <si>
    <t>অর্থহীন কাজে সময় নষ্ট করা।</t>
  </si>
  <si>
    <t>The day passed playing with the son, people say it's fine.</t>
  </si>
  <si>
    <t>ছেলে/পুত্র</t>
  </si>
  <si>
    <t>ছেল্যে চেয়ে ছেল্যের বিষ্ঠা ভারি!</t>
  </si>
  <si>
    <t>ছেলের চেয়ে ছেলের বিষ্ঠা ভারি</t>
  </si>
  <si>
    <t>সন্তানের ছোট জিনিসও বড় মনে হয়।</t>
  </si>
  <si>
    <t>The son's excrement is heavier than the son himself!</t>
  </si>
  <si>
    <t>ছেলে/সন্তান</t>
  </si>
  <si>
    <t>ছেলে হাগে বাঁচতে, বুড় হাগে মর্ত্তে</t>
  </si>
  <si>
    <t>ছেলে হাগে বাঁচতে, বুড়ো হাগে মরতে</t>
  </si>
  <si>
    <t>ছোটরা নির্ভয়ে কাজ করে, বুড়োরা ভয়ে।</t>
  </si>
  <si>
    <t>The child shits to live; the old man shits to die.</t>
  </si>
  <si>
    <t>শিশু/বৃদ্ধ</t>
  </si>
  <si>
    <t>ছেল্যে নাহতেই কে</t>
  </si>
  <si>
    <t>ছেলের না থাকলে কে?</t>
  </si>
  <si>
    <t>সন্তান না থাকলে কেউ নেই।</t>
  </si>
  <si>
    <t>If there is no son, who is there?</t>
  </si>
  <si>
    <t>ছেঁড়া।</t>
  </si>
  <si>
    <t>ছেঁড়া</t>
  </si>
  <si>
    <t>ছেঁড়া বা নষ্ট জিনিসের কোনো মূল্য নেই।</t>
  </si>
  <si>
    <t>Torn.</t>
  </si>
  <si>
    <t>নষ্ট জিনিস</t>
  </si>
  <si>
    <t>ছোট লোকের মোটা কথা, সইতে নারি যাই কোথা।</t>
  </si>
  <si>
    <t>ছোট লোকের মোটা কথা, সহ্য করতে পারি না, কোথায় যাই</t>
  </si>
  <si>
    <t>অল্পবিদ্যা বা নিচু মানুষের অভদ্র কথা সহ্য করা কঠিন।</t>
  </si>
  <si>
    <t>A small person's harsh words; I can't bear them, where shall I go?</t>
  </si>
  <si>
    <t>অভদ্র ব্যক্তি</t>
  </si>
  <si>
    <t>ছোট লোক বিষয় পায়, ক্ষণে ক্ষণে দরবারে যায়।</t>
  </si>
  <si>
    <t>ছোট লোক বিষয় পায়, ক্ষণে ক্ষণে দরবারে যায়</t>
  </si>
  <si>
    <t>অল্প ক্ষমতা পেলেও বেশি আড়ম্বর।</t>
  </si>
  <si>
    <t>A small person gets a position and goes to court every moment.</t>
  </si>
  <si>
    <t>জলবহনকারী পিপাসায় মরে না।</t>
  </si>
  <si>
    <t>জল বহনকারী পিপাসায় মরে না</t>
  </si>
  <si>
    <t>যে কাজ করে, সে অভাব পায় না।</t>
  </si>
  <si>
    <t>The water carrier never dies of thirst.</t>
  </si>
  <si>
    <t>জল পিট্‌লে দূরে যায় না।</t>
  </si>
  <si>
    <t>জল পিটলে দূরে যায় না</t>
  </si>
  <si>
    <t>অপ্রয়োজনীয় কাজ করলে কিছু হয় না।</t>
  </si>
  <si>
    <t>Beating water doesn't make it go far.</t>
  </si>
  <si>
    <t>অপ্রয়োজনীয় কাজ</t>
  </si>
  <si>
    <t>জলকে ছাতা ছাত্‌কে বাতা।</t>
  </si>
  <si>
    <t>জলকে ছাতা ছাতকে বাতা</t>
  </si>
  <si>
    <t>সামান্য জিনিস দিয়ে বড় কাজ করা।</t>
  </si>
  <si>
    <t>A small umbrella for a drop of water.</t>
  </si>
  <si>
    <t>সামান্য কাজ</t>
  </si>
  <si>
    <t>জমের মুখেও পেঁড়রা ভাজা।</t>
  </si>
  <si>
    <t>জমের মুখেও পেঁড়রা ভাজা</t>
  </si>
  <si>
    <t>অভাবীদের মুখেও ভালো কথা শোনা যায় না।</t>
  </si>
  <si>
    <t>Even the poor man's mouth has fried cakes.</t>
  </si>
  <si>
    <t>জলে বাস করে কুমির সঙ্গে বাদ।</t>
  </si>
  <si>
    <t>জলে বাস করে কুমিরের সাথে বাদ</t>
  </si>
  <si>
    <t>Living in water, quarreling with the crocodile.</t>
  </si>
  <si>
    <t>জমাতে লড়বড় খরচ দঢ়।</t>
  </si>
  <si>
    <t>জমাতে লড়বড়, খরচ দঢ়</t>
  </si>
  <si>
    <t>আয় কম, খরচ বেশি।</t>
  </si>
  <si>
    <t>Earning is unstable, spending is firm.</t>
  </si>
  <si>
    <t>জলের তিলক কতক্ষণ?</t>
  </si>
  <si>
    <t>অস্থায়ী জিনিসের মূল্য নেই।</t>
  </si>
  <si>
    <t>How long does a tilak on water last?</t>
  </si>
  <si>
    <t>অস্থায়ী জিনিস</t>
  </si>
  <si>
    <t>জন্ জামাই ভাগ্‌না, এ তিন নয় আপনা।</t>
  </si>
  <si>
    <t>জন, জামাই, ভাগ্নে—এই তিন নিজের নয়</t>
  </si>
  <si>
    <t>শ্যালক, জামাই ও ভাগ্নে—এই তিনজন আত্মীয় নয়।</t>
  </si>
  <si>
    <t>Brother-in-law, son-in-law, and nephew—these three are not one's own.</t>
  </si>
  <si>
    <t>জল (নদির) না দেখে নেংটা হওয়া।</t>
  </si>
  <si>
    <t>জল না দেখে নেংটা হওয়া</t>
  </si>
  <si>
    <t>অপ্রস্তুত অবস্থায় কাজ করা।</t>
  </si>
  <si>
    <t>Becoming naked without seeing the water.</t>
  </si>
  <si>
    <t>জন্ম হউক যথাতথা, কর্ম্ম হোক ভাল।</t>
  </si>
  <si>
    <t>জন্ম যাই হোক, কর্ম ভালো হোক</t>
  </si>
  <si>
    <t>জন্ম বড় কথা নয়, কর্মই প্রধান।</t>
  </si>
  <si>
    <t>Birth may be anything, but work should be good.</t>
  </si>
  <si>
    <t>জাতি গেলে প্রকৃতি যায় না।</t>
  </si>
  <si>
    <t>জাতি গেলে প্রকৃতি যায় না</t>
  </si>
  <si>
    <t>জাত চলে গেলেও স্বভাব যায় না।</t>
  </si>
  <si>
    <t>Even if the caste goes, nature does not.</t>
  </si>
  <si>
    <t>জামিন হয় দিতে গাছ চড়ে মর্ত্ত্যে।</t>
  </si>
  <si>
    <t>জামিন হতে গিয়ে গাছে চড়ে মরতে হয়</t>
  </si>
  <si>
    <t>জামিন দিতে গেলে বিপদ হতে পারে।</t>
  </si>
  <si>
    <t>To give bail, one may climb a tree and die.</t>
  </si>
  <si>
    <t>জামিনদাতা</t>
  </si>
  <si>
    <t>জারজ ছেলে যমের অরুচি।</t>
  </si>
  <si>
    <t>জারজ ছেলে যমের অরুচি</t>
  </si>
  <si>
    <t>অবৈধ সন্তান সমাজে অবজ্ঞাপ্রাপ্ত।</t>
  </si>
  <si>
    <t>An illegitimate son is disliked by Yama.</t>
  </si>
  <si>
    <t>অবৈধ সন্তান</t>
  </si>
  <si>
    <t>জামাতার ভাইয়ের আদর গজা রোলা</t>
  </si>
  <si>
    <t>অপ্রয়োজনীয় আত্মীয়ের আদর।</t>
  </si>
  <si>
    <t>Affection for the son-in-law's brother is like a swollen roll.</t>
  </si>
  <si>
    <t>জাতি জাতি কাটে, লৌহে লোহা কাটে।</t>
  </si>
  <si>
    <t>জাতি জাতি কাটে, লৌহে লোহা কাটে</t>
  </si>
  <si>
    <t>একই শ্রেণীর মানুষ একে অপরকে কষ্ট দেয়।</t>
  </si>
  <si>
    <t>Caste cuts caste; iron cuts iron.</t>
  </si>
  <si>
    <t>একই শ্রেণী</t>
  </si>
  <si>
    <t>https://bn.wikisource.org/wiki/প্রবাদ_মালা_(১৮৯۴)</t>
  </si>
  <si>
    <t>জাগ্রৎ পুত্রের বিনাশ নাই।</t>
  </si>
  <si>
    <t>জাগ্রৎ পুত্রের বিনাশ নাই</t>
  </si>
  <si>
    <t>সতর্ক সন্তানের কোনো ক্ষতি হয় না।</t>
  </si>
  <si>
    <t>A vigilant son does not perish.</t>
  </si>
  <si>
    <t>সতর্ক সন্তান</t>
  </si>
  <si>
    <t>জাড় গেলে জাড়ারি, বয়েশ গতে খোঁপা।</t>
  </si>
  <si>
    <t>জাড় গেলে জাড়ারি, বয়েস গতে খোঁপা</t>
  </si>
  <si>
    <t>বয়স বাড়লে খোঁপা পড়ে, জ্বর গেলে জ্বরারি হয়।</t>
  </si>
  <si>
    <t>When fever goes, the shawl; when age comes, the bun.</t>
  </si>
  <si>
    <t>জাড় বড়ই রাড়, বুড়র ভাঙ্গে খাড়।</t>
  </si>
  <si>
    <t>জাড় বড়ই রাড়, বুড়ো ভাঙে খাড়</t>
  </si>
  <si>
    <t>জ্বর বড় ব্যাধি, বুড়ো মানুষের খাড়া ভাঙে।</t>
  </si>
  <si>
    <t>Fever is a great trouble; it breaks the old man's patience.</t>
  </si>
  <si>
    <t>বৃদ্ধ/অসুস্থ</t>
  </si>
  <si>
    <t>জেগে থাক্‌লে তরি, ঘুমাইলেই মরি।</t>
  </si>
  <si>
    <t>জেগে থাকলে তরি, ঘুমালেই মরি</t>
  </si>
  <si>
    <t>সজাগ থাকলে বাঁচা যায়, ঘুমালে মৃত্যু।</t>
  </si>
  <si>
    <t>Stay awake and float; sleep and die.</t>
  </si>
  <si>
    <t>জীবন যায় নাই ছটপটের স্বাদ!</t>
  </si>
  <si>
    <t>জীবন যায় না ছটপটের স্বাদ</t>
  </si>
  <si>
    <t>জীবনের স্বাদ কাজে, অলসতায় নয়।</t>
  </si>
  <si>
    <t>Life does not go away without the taste of hustle.</t>
  </si>
  <si>
    <t>ঝকড়া পায় নাই কাযেই ঘুগি লিয়ে দৌড়ে।</t>
  </si>
  <si>
    <t>ঝকড়া পায়নি, কাজেই ঘুগি নিয়ে দৌড়ে</t>
  </si>
  <si>
    <t>অকারণে তাড়াহুড়ো করা।</t>
  </si>
  <si>
    <t>Didn't get the quarrel, so ran with the owl.</t>
  </si>
  <si>
    <t>ঝলসা মাছি সুর্য্য উদয়ে ভয় পায়।</t>
  </si>
  <si>
    <t>ঝলসা মাছি সূর্য্য উদয়ে ভয় পায়</t>
  </si>
  <si>
    <t>যে একবার পুড়েছে, সে আলো দেখে ভয় পায়।</t>
  </si>
  <si>
    <t>A burnt fly fears the rising sun.</t>
  </si>
  <si>
    <t>ঝি মারলে বৌয়ের ত্রাস।</t>
  </si>
  <si>
    <t>ঝি মারলে বৌয়ের ত্রাস</t>
  </si>
  <si>
    <t>নির্দোষকে দিয়ে অপরাধীকে শেখানো।</t>
  </si>
  <si>
    <t>Beating the daughter frightens the daughter-in-law.</t>
  </si>
  <si>
    <t>নারী/পুত্রবধূ</t>
  </si>
  <si>
    <t>টকের ভয়ে পলাই না তেঁতুল তলে বাস।</t>
  </si>
  <si>
    <t>টকের ভয়ে পলায় না তেঁতুল তলে বাস</t>
  </si>
  <si>
    <t>ভয়ে পালায় না, বরং লুকিয়ে থাকে।</t>
  </si>
  <si>
    <t>Not fleeing in fear, but living under the tamarind tree.</t>
  </si>
  <si>
    <t>টক পড়সী চোরা গাই, ভাঙ্গা ঘটি দুষ্ট ভাই।</t>
  </si>
  <si>
    <t>টক পড়সী চোরা গাই, ভাঙ্গা ঘটি দুষ্ট ভাই</t>
  </si>
  <si>
    <t>খারাপ প্রতিবেশী ও দুষ্ট ভাই বিপজ্জনক।</t>
  </si>
  <si>
    <t>A sour neighbor, a stolen cow, a broken pot, and a wicked brother.</t>
  </si>
  <si>
    <t>প্রতিবেশী/ভাই</t>
  </si>
  <si>
    <t>বাপ থাকতে ছেলে মুর্খ, তার জানবে চির দুঃখ।</t>
  </si>
  <si>
    <t>বাবা থাকতে ছেলে মূর্খ, তার জানবে চির দুঃখ</t>
  </si>
  <si>
    <t>পিতা থাকলেও মূর্খ পুত্রের দুঃখ চিরস্থায়ী।</t>
  </si>
  <si>
    <t>A fool son while the father lives will have eternal sorrow.</t>
  </si>
  <si>
    <t>টাকার শোকে ইন্দুর মরে।</t>
  </si>
  <si>
    <t>টাকার শোকে ইন্দুর মরে</t>
  </si>
  <si>
    <t>অর্থের লোভে মানুষ মরে।</t>
  </si>
  <si>
    <t>The rat dies in sorrow over money.</t>
  </si>
  <si>
    <t>টাকা শানে ফেলে চিনে।</t>
  </si>
  <si>
    <t>টাকা শানে ফেলে চিনে</t>
  </si>
  <si>
    <t>অর্থের স্পর্শে চিনা যায়।</t>
  </si>
  <si>
    <t>Money is recognized by its touch.</t>
  </si>
  <si>
    <t>টুঅরে করিলে দয়া, টুঅর দেখায় আঠারো মায়া।</t>
  </si>
  <si>
    <t>টুঅরে করলে দয়া, টুঅর দেখায় আঠারো মায়া</t>
  </si>
  <si>
    <t>অন্যের প্রতি দয়া করলে উল্টো মায়া দেখা যায়।</t>
  </si>
  <si>
    <t>If you show mercy to a fool, the fool shows eighteen illusions.</t>
  </si>
  <si>
    <t>টিটিভ পাখী আকাশের দিকে পা রেখে শোওশে।</t>
  </si>
  <si>
    <t>টিটিভ পাখী আকাশের দিকে পা রেখে শোওশে</t>
  </si>
  <si>
    <t>অস্বাভাবিক বা অযৌক্তিক কাজ।</t>
  </si>
  <si>
    <t>The lapwing sleeps with its feet towards the sky.</t>
  </si>
  <si>
    <t>অস্বাভাবিক আচরণ</t>
  </si>
  <si>
    <t>ঠক্‌লেম যথা না শিখলেম তথা।</t>
  </si>
  <si>
    <t>ঠকলেম যথা না শিখলেম তথা</t>
  </si>
  <si>
    <t>প্রতারিত হয়েও শেখা হয়নি।</t>
  </si>
  <si>
    <t>Cheated here, but didn't learn there.</t>
  </si>
  <si>
    <t>প্রতারিত ব্যক্তি</t>
  </si>
  <si>
    <t>ঠগ মার্ত্তে মথুরা উজোড়্।</t>
  </si>
  <si>
    <t>ঠগ মার্তে মথুরা উজোড়</t>
  </si>
  <si>
    <t>প্রতারককে মারতে গেলে মথুরাও ধ্বংস হয়।</t>
  </si>
  <si>
    <t>To kill the swindler, Mathura is ruined.</t>
  </si>
  <si>
    <t>ঠাকুর ঝী ভারি, তার দণ্ডবতের জারি।</t>
  </si>
  <si>
    <t>ঠাকুর ঝী ভারি, তার দণ্ডবতের জারি</t>
  </si>
  <si>
    <t>ঠাকুরঝি ভারী, তার প্রণামের জারি</t>
  </si>
  <si>
    <t>The goddess is heavy, her prostration is a burden.</t>
  </si>
  <si>
    <t>দেবী/ধর্ম</t>
  </si>
  <si>
    <t>ডাইনের হাতেই পো সঁপা।</t>
  </si>
  <si>
    <t>ডাইনের হাতেই পো সঁপা</t>
  </si>
  <si>
    <t>বিশ্বাসঘাতকের হাতে সব চলে যায়।</t>
  </si>
  <si>
    <t>Everything is entrusted to the witch's hand.</t>
  </si>
  <si>
    <t>ডাঙ্গেতে চড়িয়ে রং দেখে পার্ব্বতী তোমারই ভরসা।</t>
  </si>
  <si>
    <t>ডাঙ্গেতে চড়িয়ে রং দেখে পার্ব্বতী তোমারই ভরসা</t>
  </si>
  <si>
    <t>বিপদে পড়ে দেবতার ভরসা।</t>
  </si>
  <si>
    <t>Mounting the shore, seeing the color, Parvati, you are my refuge.</t>
  </si>
  <si>
    <t>দেবী/ভক্ত</t>
  </si>
  <si>
    <t>ডালে কেন জল ফলবেনা ফল মূলে দাও জল, নয়ন ভরে দেখ্‌রে ফল।</t>
  </si>
  <si>
    <t>ডালে জল দিলে ফল হয় না; মূলে জল দাও, নয়ন ভরে ফল দেখো</t>
  </si>
  <si>
    <t>যথাস্থানে কাজ করলে ফল পাওয়া যায়।</t>
  </si>
  <si>
    <t>Water the roots, not the branches, to see the fruits.</t>
  </si>
  <si>
    <t>ডিংগে খুঁজিতে গুড়গুড়ির রাস্তা।</t>
  </si>
  <si>
    <t>ডিংগে খুঁজিতে গুড়গুড়ির রাস্তা</t>
  </si>
  <si>
    <t>ছোট জিনিস খুঁজতে গিয়ে বড় কিছু পাওয়া।</t>
  </si>
  <si>
    <t>Searching in the boat for the road of the charcoal.</t>
  </si>
  <si>
    <t>অপ্রাসঙ্গিক কাজ</t>
  </si>
  <si>
    <t>ঢাকের আগে কাঁশির ধ্বনি।</t>
  </si>
  <si>
    <t>ঢাকের আগে কাঁশির ধ্বনি</t>
  </si>
  <si>
    <t>মূল কাজের আগে অপ্রাসঙ্গিক শব্দ।</t>
  </si>
  <si>
    <t>The sound of the brass before the drum.</t>
  </si>
  <si>
    <t>ঢেঁকিতে মাথা দিয়ে ধমশের ভয়।</t>
  </si>
  <si>
    <t>ঢেঁকিতে মাথা দিয়ে ধমশের ভয়</t>
  </si>
  <si>
    <t>মুখ্য বিপদ এড়িয়ে গৌণ বিপদের ভয়।</t>
  </si>
  <si>
    <t>Fear of the drum while putting the head in the mortar.</t>
  </si>
  <si>
    <t>ঢেঁকী স্বর্গে গেলেও ধান ভানে।</t>
  </si>
  <si>
    <t>অভ্যাস কখনও ছাড়ে না।</t>
  </si>
  <si>
    <t>The mortar still husks rice even in heaven.</t>
  </si>
  <si>
    <t>তপস্যা ভুঞ্জয়ে মহী।</t>
  </si>
  <si>
    <t>তপস্যা ভুঞ্জয়ে মহী</t>
  </si>
  <si>
    <t>তপস্যা করে মানুষ পৃথিবী ভোগ করে।</t>
  </si>
  <si>
    <t>The earth is enjoyed through penance.</t>
  </si>
  <si>
    <t>তপস্বী</t>
  </si>
  <si>
    <t>তপ্তজলে কি ছাত পুড়ে।</t>
  </si>
  <si>
    <t>তপ্ত জলে কি ছাত পুড়ে?</t>
  </si>
  <si>
    <t>অল্প কষ্টে বড় ক্ষতি হয় না।</t>
  </si>
  <si>
    <t>Does a shade burn in hot water?</t>
  </si>
  <si>
    <t>তাঁবুতে আর কপনীতে।</t>
  </si>
  <si>
    <t>তাঁবুতে আর কপনীতে</t>
  </si>
  <si>
    <t>বিলাসিতা ও দারিদ্র্যের মধ্যে পার্থক্য।</t>
  </si>
  <si>
    <t>In a tent and in a cottage.</t>
  </si>
  <si>
    <t>তাই বলি কেন এত ভারি, আধ পয়সার আদা কিনে বয়ে বয়ে মরি।</t>
  </si>
  <si>
    <t>তাই বলি কেন এত ভারি, আধ পয়সার আদা কিনে বয়ে বয়ে মরি</t>
  </si>
  <si>
    <t>সামান্য জিনিসের জন্য অতিরিক্ত কষ্ট।</t>
  </si>
  <si>
    <t>That's why I say why so heavy; buying a half-penny ginger and dying carrying it.</t>
  </si>
  <si>
    <t>তুই ডাঁড়কা মুই ডাঁড়কা একই খালের মাছ, তোকে ও খাবে মোকেও খাবে কাঁকাল ধরে নাচ।</t>
  </si>
  <si>
    <t>তুই ডাঁড়কা মুই ডাঁড়কা একই খালের মাছ, তোকে ও খাবে মোকেও খাবে কাঁকাল ধরে নাচ</t>
  </si>
  <si>
    <t>একই অবস্থার মানুষ, একই ভাগ্য।</t>
  </si>
  <si>
    <t>You are a hunchback, I am a hunchback, fish of the same canal; they will eat you and me, dancing with bent backs.</t>
  </si>
  <si>
    <t>একই অবস্থার মানুষ</t>
  </si>
  <si>
    <t>তুরূক, তোতা, খরগোস এই তিন মানে নাই পােষ।</t>
  </si>
  <si>
    <t>তুরূক, তোতা, খরগোস—এই তিন মানে নাই পোষ</t>
  </si>
  <si>
    <t>এসব বিষয় বুঝতে কষ্ট হয়।</t>
  </si>
  <si>
    <t>Turk, parrot, rabbit—these three cannot be tamed.</t>
  </si>
  <si>
    <t>অবুঝ প্রাণী</t>
  </si>
  <si>
    <t>তুমি দাদা দৌড় আমি বশে হাপছি।</t>
  </si>
  <si>
    <t>তুমি দাদা দৌড়, আমি বসে হাপছি</t>
  </si>
  <si>
    <t>একজন কাজ করছে, অন্যজন বসে আছে।</t>
  </si>
  <si>
    <t>You run, brother; I'm sitting and panting.</t>
  </si>
  <si>
    <t>তুম্‌ব্বার ধনে যোগির অহঙ্কার।</t>
  </si>
  <si>
    <t>তুম্বার ধনে যোগির অহঙ্কার</t>
  </si>
  <si>
    <t>অন্যের সম্পদে অহংকার।</t>
  </si>
  <si>
    <t>The yogi's pride in the gourd's wealth.</t>
  </si>
  <si>
    <t>তুলাতে কি গুণ ফাটে</t>
  </si>
  <si>
    <t>তুলাতে কি গুণ ফাটে?</t>
  </si>
  <si>
    <t>সামান্য জিনিসের গুণ বের করা যায় না।</t>
  </si>
  <si>
    <t>Does the quality of cotton show on the scale?</t>
  </si>
  <si>
    <t>সামান্য জিনিস</t>
  </si>
  <si>
    <t>তাড়াতাড়ি বিয়ে কর, চির কাল জ্বলে মর।</t>
  </si>
  <si>
    <t>তাড়াতাড়ি বিয়ে কর, চিরকাল জ্বলে মর</t>
  </si>
  <si>
    <t>তাড়াতাড়ি সিদ্ধান্ত নিলে দীর্ঘদিন কষ্ট পেতে হয়।</t>
  </si>
  <si>
    <t>Marry in haste, repent at leisure.</t>
  </si>
  <si>
    <t>তেল তামাকে পিত্ত নাশ, যদি থাকে বারো মাস।</t>
  </si>
  <si>
    <t>তেল তামাকে পিত্ত নাশ, যদি থাকে বারো মাস</t>
  </si>
  <si>
    <t>তেল ও তামাক পিত্তনাশক, যদি সারাবছর থাকে।</t>
  </si>
  <si>
    <t>Oil and tobacco destroy bile, if available for twelve months.</t>
  </si>
  <si>
    <t>তাের জায়গায় মাের ঘর, যা করবার তাই কর।</t>
  </si>
  <si>
    <t>তোর জায়গায় মোর ঘর, যা করবার তাই কর</t>
  </si>
  <si>
    <t>স্বাধীনতা থাকলে যা ইচ্ছা তাই করা যায়।</t>
  </si>
  <si>
    <t>My house in your place; do whatever you want.</t>
  </si>
  <si>
    <t>স্বাধীন ব্যক্তি</t>
  </si>
  <si>
    <t>তৃষ্ণা তৃষ্ণা বলিলে তৃষ্ণা মিটে না।</t>
  </si>
  <si>
    <t>তৃষ্ণা তৃষ্ণা বললে তৃষ্ণা মিটে না</t>
  </si>
  <si>
    <t>শুধু বললেই কাজ হয় না, বাস্তব প্রয়োজন।</t>
  </si>
  <si>
    <t>Saying 'thirst, thirst' doesn't quench thirst.</t>
  </si>
  <si>
    <t>তৃপ্ত বকের পুঁঠী তিতো।</t>
  </si>
  <si>
    <t>তৃপ্ত বকের পুঁঠী তিতো</t>
  </si>
  <si>
    <t>যে পেয়েছে, তার কাছে তা তেতো মনে হয়।</t>
  </si>
  <si>
    <t>A satisfied crane's fish is bitter.</t>
  </si>
  <si>
    <t>তৃপ্ত ব্যক্তি</t>
  </si>
  <si>
    <t>তৃষ্ণায় থাক্‌লে জলের আদর।</t>
  </si>
  <si>
    <t>তৃষ্ণায় থাকলে জলের আদর</t>
  </si>
  <si>
    <t>প্রয়োজন থাকলেই মূল্য বোঝা যায়।</t>
  </si>
  <si>
    <t>When thirsty, water is appreciated.</t>
  </si>
  <si>
    <t>থর থরানি দায়ে, ফর ফরানী পেয়ে।</t>
  </si>
  <si>
    <t>থর থরানি দায়ে, ফর ফরানী পেয়ে</t>
  </si>
  <si>
    <t>কম্পমান অবস্থায় কিছু পাওয়া।</t>
  </si>
  <si>
    <t>Trembling in debt, getting the fluttering one.</t>
  </si>
  <si>
    <t>থাক বা না থাক বাপু কাপড় না পাইবে।</t>
  </si>
  <si>
    <t>থাক বা না থাক বাপু, কাপড় না পাইবে</t>
  </si>
  <si>
    <t>অভাব থাকলে প্রয়োজনীয় জিনিসও পাওয়া যায় না।</t>
  </si>
  <si>
    <t>Whether you have or not, you won't get clothes.</t>
  </si>
  <si>
    <t>থােড়া দেনা বহু বিনয়।</t>
  </si>
  <si>
    <t>থোড়া দেনা বহু বিনয়</t>
  </si>
  <si>
    <t>অল্প দেনা হলেও অনেক বিনয়।</t>
  </si>
  <si>
    <t>Small debt, much humility.</t>
  </si>
  <si>
    <t>থুথু দিয়া ছাতু মলা।</t>
  </si>
  <si>
    <t>থুথু দিয়ে ছাতু মলা</t>
  </si>
  <si>
    <t>অপমান করে কাজ করা।</t>
  </si>
  <si>
    <t>Mixing chhatu with saliva.</t>
  </si>
  <si>
    <t>দক্ষিণ দ্বারি ঘরের রাজা, উত্তর দ্বারি ইহার প্রজা, পূর্ব্ব দ্বারি তাহার ভাই, পশ্চিম দ্বারির মুখে ছাই।</t>
  </si>
  <si>
    <t>দক্ষিণ দ্বারি ঘরের রাজা, উত্তর দ্বারি ইহার প্রজা, পূর্ব্ব দ্বারি তাহার ভাই, পশ্চিম দ্বারির মুখে ছাই</t>
  </si>
  <si>
    <t>চার দিকের মানুষের বিভিন্ন ভাগ্য।</t>
  </si>
  <si>
    <t>South door: king of the house; North door: his subject; East door: his brother; West door: ashes in the mouth.</t>
  </si>
  <si>
    <t>দশে অর্জ্জে দশে খায়, লাভের কেতায় গেরস্ত বলায়।</t>
  </si>
  <si>
    <t>দশে অর্জন করে দশে খায়, লাভের কেতায় গেরস্ত বলায়</t>
  </si>
  <si>
    <t>অনেকের উপার্জনে অনেকেই খায়।</t>
  </si>
  <si>
    <t>Ten earn, ten eat; in the profit banner, the householder is called.</t>
  </si>
  <si>
    <t>দশের সঙ্গে করি কায, হারি জিতি নাহি লাজ।</t>
  </si>
  <si>
    <t>দশের সাথে করি কাজ, হারি-জিতি নাহি লাজ</t>
  </si>
  <si>
    <t>অনেকের সাথে কাজ করলে জয়-পরাজয় নেই।</t>
  </si>
  <si>
    <t>Working with ten, no shame in winning or losing.</t>
  </si>
  <si>
    <t>দশের লাঠী একের বােঝা।</t>
  </si>
  <si>
    <t>Ten sticks are a burden for one.</t>
  </si>
  <si>
    <t>দশের সঙ্গে যদি না মরি তবে চক্ষু মুদি।</t>
  </si>
  <si>
    <t>দশের সাথে যদি না মরি, তবে চক্ষু মুদি</t>
  </si>
  <si>
    <t>অন্যের সাথে কাজ না করলে চোখ বন্ধ।</t>
  </si>
  <si>
    <t>If I don't die with ten, then I close my eyes.</t>
  </si>
  <si>
    <t>অসামাজিক ব্যক্তি</t>
  </si>
  <si>
    <t>দরিদ্র দোষে শত গুণ নাশে।</t>
  </si>
  <si>
    <t>দরিদ্র দোষে শত গুণ নাশে</t>
  </si>
  <si>
    <t>গরিবের দোষে সব গুণ নষ্ট হয়।</t>
  </si>
  <si>
    <t>A hundred virtues are destroyed by the fault of poverty.</t>
  </si>
  <si>
    <t>দশ বাচা গুরূ রূপী।</t>
  </si>
  <si>
    <t>দশ বাচা গুরূ রূপী</t>
  </si>
  <si>
    <t>দশজন বাচা গুরুর মতো।</t>
  </si>
  <si>
    <t>Ten alive are like a guru.</t>
  </si>
  <si>
    <t>দয়ার পর ধর্ম্ম নাই, হিংসার পর পাপ নাই।</t>
  </si>
  <si>
    <t>দয়ার পর ধর্ম নেই, হিংসার পর পাপ নেই</t>
  </si>
  <si>
    <t>দয়াই পরম ধর্ম, হিংসাই পরম পাপ।</t>
  </si>
  <si>
    <t>There is no virtue after mercy, no sin after violence.</t>
  </si>
  <si>
    <t>ধার্মিক/পাপী</t>
  </si>
  <si>
    <t>দরবারে গিয়ে যায় নাই ভিতর, বার থেকে করে পুকার বিস্তর।</t>
  </si>
  <si>
    <t>দরবারে গিয়ে যায় না ভিতর, বার থেকে করে পুকার বিস্তর</t>
  </si>
  <si>
    <t>বাইরে থেকে হুঙ্কার ছাড়ে, কিন্তু ভিতরে প্রবেশ করে না।</t>
  </si>
  <si>
    <t>Not going inside the court, yet shouting loudly from the door.</t>
  </si>
  <si>
    <t>ভীতু/অহংকারী</t>
  </si>
  <si>
    <t>দাম দিয়া মদ খায় শুড়ির তোষামোদ।</t>
  </si>
  <si>
    <t>দাম দিয়ে মদ খায় শুঁড়ির তোষামোদ</t>
  </si>
  <si>
    <t>Buying wine with money, flattering the seller.</t>
  </si>
  <si>
    <t>দাতার ইচ্ছা কর্ম্ম, নাড়া বনে কীর্ত্তন।</t>
  </si>
  <si>
    <t>দাতার ইচ্ছা কর্ম, নাড়া বনে কীর্তন</t>
  </si>
  <si>
    <t>দাতার ইচ্ছাই প্রধান।</t>
  </si>
  <si>
    <t>The donor's will is the work; the forest is the Kirtan.</t>
  </si>
  <si>
    <t>দাতা</t>
  </si>
  <si>
    <t>দায়দেকে খৈসে মিলতা।</t>
  </si>
  <si>
    <t>দায়দেকে খৈসে মিলতা</t>
  </si>
  <si>
    <t>ঋণ ও খরচ মিলিয়ে শেষ।</t>
  </si>
  <si>
    <t>Debt and expense meet together.</t>
  </si>
  <si>
    <t>দিতে ও মর্ত্ত্যে কেউ চায় না।</t>
  </si>
  <si>
    <t>দিতে ও মর্ততে কেউ চায় না</t>
  </si>
  <si>
    <t>দেওয়া ও নেওয়ায় কেউ রাজি নয়।</t>
  </si>
  <si>
    <t>No one wants to give or die.</t>
  </si>
  <si>
    <t>দিন চক্ চক্ রাত ঘোর, তবে জেন বর্ষার জোর; রাত চক্ চক্ দিন ঘোর, তবে জেন দুর্ভিক্ষের জোর।</t>
  </si>
  <si>
    <t>দিন চকচক, রাত ঘোর—তবে জানো বর্ষার জোর; রাত চকচক, দিন ঘোর—তবে জানো দুর্ভিক্ষের জোর</t>
  </si>
  <si>
    <t>প্রকৃতির ইঙ্গিত বুঝে চলা উচিত।</t>
  </si>
  <si>
    <t>Day bright, night dark—know the power of rain; night bright, day dark—know the power of famine.</t>
  </si>
  <si>
    <t>দিব্য কল্ল্যে আশ থাকে, মার্‌ব বল্ল্যে ভয় থাকে।</t>
  </si>
  <si>
    <t>দিব্য কল্ল্যে আশ থাকে, মারব বল্ল্যে ভয় থাকে</t>
  </si>
  <si>
    <t>অভয় থাকলে আশা, ভয় থাকলে সতর্কতা।</t>
  </si>
  <si>
    <t>There is hope in divine call, and fear in the word 'kill'.</t>
  </si>
  <si>
    <t>দিন যায় কথা থাকে।</t>
  </si>
  <si>
    <t>দিন যায়, কথা থাকে</t>
  </si>
  <si>
    <t>সময় চলে যায়, কিন্তু কথা থাকে।</t>
  </si>
  <si>
    <t>Days pass, but words remain.</t>
  </si>
  <si>
    <t>দিন যাক্ ঋণ না হোক্।</t>
  </si>
  <si>
    <t>দিন যাক, ঋণ না হোক</t>
  </si>
  <si>
    <t>দিন কাটুক, কিন্তু ঋণ না থাকুক।</t>
  </si>
  <si>
    <t>Let the day pass, but not the debt.</t>
  </si>
  <si>
    <t>দিন মাইনা বৎসর কড়া, প্রাতঃকালে ঝাঁটার মুড়া।</t>
  </si>
  <si>
    <t>দিন মাইনা বৎসর কড়া, প্রাতঃকালে ঝাঁটার মুড়া</t>
  </si>
  <si>
    <t>সকালে ঝাঁট দিলে দিন ভালো যায়।</t>
  </si>
  <si>
    <t>Day, wages, year, coins; morning sweeping is the head.</t>
  </si>
  <si>
    <t>গৃহস্থ</t>
  </si>
  <si>
    <t>দুর্ভিক্ষমপি শরণং চিরায়ু।</t>
  </si>
  <si>
    <t>দুর্ভিক্ষমপি শরণং চিরায়ু</t>
  </si>
  <si>
    <t>দুর্ভিক্ষেও দীর্ঘায়ু পাওয়া যায়।</t>
  </si>
  <si>
    <t>Even famine is a refuge for long life.</t>
  </si>
  <si>
    <t>দুষমন্‌কে উচ্চ আসন।</t>
  </si>
  <si>
    <t>দুষমনকে উচ্চ আসন</t>
  </si>
  <si>
    <t>শত্রুকেও সম্মান দিতে হয়।</t>
  </si>
  <si>
    <t>Give a high seat to the enemy.</t>
  </si>
  <si>
    <t>দূরে থেকে পর্ব্বত শোভা।</t>
  </si>
  <si>
    <t>দূরে থেকে পর্বত শোভা</t>
  </si>
  <si>
    <t>দূর থেকে জিনিস সুন্দর দেখায়।</t>
  </si>
  <si>
    <t>The mountain looks beautiful from afar.</t>
  </si>
  <si>
    <t>দুধলী গাভীর নাথিও মিটে।</t>
  </si>
  <si>
    <t>দুধলী গাভীর নাথিও মিটে</t>
  </si>
  <si>
    <t>দুধ দেওয়া গাভীর সব প্রয়োজন মেটে।</t>
  </si>
  <si>
    <t>The milch cow's needs are also fulfilled.</t>
  </si>
  <si>
    <t>গাভী/গৃহস্থ</t>
  </si>
  <si>
    <t>দূর রাস্তাকে শলাও ভারি।</t>
  </si>
  <si>
    <t>দূর রাস্তাকে শলাও ভারি</t>
  </si>
  <si>
    <t>দূরের পথকে শলাও (ছল) ভারি মনে হয়।</t>
  </si>
  <si>
    <t>The distant road seems heavy with tricks.</t>
  </si>
  <si>
    <t>পথ/ভ্রমণ</t>
  </si>
  <si>
    <t>দুধে বাড়ে বল, শাকে বাড়ে মল।</t>
  </si>
  <si>
    <t>দুধে বাড়ে বল, শাকে বাড়ে মল</t>
  </si>
  <si>
    <t>দুধ শক্তি দেয়, শাক মল বৃদ্ধি করে।</t>
  </si>
  <si>
    <t>Milk increases strength, greens increase stool.</t>
  </si>
  <si>
    <t>দুষ্টের দমন শিষ্টের পালন, রাজধর্ম্ম।</t>
  </si>
  <si>
    <t>দুষ্টের দমন শিষ্টের পালন, রাজধর্ম</t>
  </si>
  <si>
    <t>রাজার কাজ হলো দুষ্টকে দমন ও শিষ্টকে পালন করা।</t>
  </si>
  <si>
    <t>Punishing the wicked and protecting the good is the king's duty.</t>
  </si>
  <si>
    <t>দুঃখীকেই রাজরোগ।</t>
  </si>
  <si>
    <t>দুঃখীকেই রাজরোগ</t>
  </si>
  <si>
    <t>গরিবেরও বড় রোগ হয়।</t>
  </si>
  <si>
    <t>Even the poor get royal diseases.</t>
  </si>
  <si>
    <t>দূরে থেকে শুন্‌লেম বাজনার পরিপাটী কাছে গিয়ে দেখলেম চাম আর দুইটী কাঠি।</t>
  </si>
  <si>
    <t>দূরে থেকে শুনলাম বাজনার পরিপাটি, কাছে গিয়ে দেখলাম চাম আর দুইটি কাঠি</t>
  </si>
  <si>
    <t>দূর থেকে ভালো মনে হলেও কাছে গেলে খারাপ।</t>
  </si>
  <si>
    <t>Heard the music from afar; saw leather and two sticks up close.</t>
  </si>
  <si>
    <t>দুসীমাতে করে ঘর রাজাকে না দেয় কর।</t>
  </si>
  <si>
    <t>দুসীমাতে করে ঘর রাজাকে না দেয় কর</t>
  </si>
  <si>
    <t>সীমানায় ঘর করলে কর দিতে হয় না।</t>
  </si>
  <si>
    <t>Building a house on the border doesn't require paying tax.</t>
  </si>
  <si>
    <t>করের দায়িত্ব</t>
  </si>
  <si>
    <t>দুঃখ গায়তে গেলাম পত্যার মার কাছে, পত্যার মা কয় আমার সদাই দুঃখ আছে।</t>
  </si>
  <si>
    <t>দুঃখ জানাতে গেলাম পত্যার মায়ের কাছে, পত্যার মা বলে আমার সবসময় দুঃখ আছে</t>
  </si>
  <si>
    <t>অন্যের কাছে নিজের দুঃখ জানাতে গেলে উল্টো তারাও নিজের দুঃখ বলে।</t>
  </si>
  <si>
    <t>I went to tell my sorrow to Petya's mother; she says she always has sorrow.</t>
  </si>
  <si>
    <t>পত্যার মা/স্ত্রী</t>
  </si>
  <si>
    <t>দূরে যশ, নিকটেই অপযশ।</t>
  </si>
  <si>
    <t>দূরে যশ, কাছে অপযশ</t>
  </si>
  <si>
    <t>দূর থেকে খ্যাতি ভালো, কাছে গেলে প্রকৃত অবস্থা জানা যায়।</t>
  </si>
  <si>
    <t>Fame is far away, infamy is near.</t>
  </si>
  <si>
    <t>দেখা বামুনের নয় গাছা পৈতা।</t>
  </si>
  <si>
    <t>দেখা বামুনের নয় গাছা পৈতা</t>
  </si>
  <si>
    <t>চেনা মানুষের পরিচয়ের প্রয়োজন নেই।</t>
  </si>
  <si>
    <t>A known Brahmin doesn't need a sacred thread.</t>
  </si>
  <si>
    <t>দেবতা গড়তে গড়তে ভুত গড়া।</t>
  </si>
  <si>
    <t>দেবতা গড়তে গড়তে ভূত গড়া</t>
  </si>
  <si>
    <t>ভালো করতে গিয়ে খারাপ হয়ে যাওয়া।</t>
  </si>
  <si>
    <t>While making gods, made ghosts.</t>
  </si>
  <si>
    <t>দোজ বারের মাগ্ তুমি রেঁধনা, চা'ল্ ভিজিয়ে খাব, তবু কেঁদ না।</t>
  </si>
  <si>
    <t>দুই বারের মা তুমি রাঁধোনা, চাল ভিজিয়ে খাব, তবু কেঁদো না</t>
  </si>
  <si>
    <t>অভাবেও জীবন চলে, কান্নার প্রয়োজন নেই।</t>
  </si>
  <si>
    <t>Don't cook twice, mother; I'll eat soaked rice, don't cry.</t>
  </si>
  <si>
    <t>মা/স্ত্রী</t>
  </si>
  <si>
    <t>ধনেশ্বর ভূমীশ্বর গর্ব্বে মগ্ন বরাবর।</t>
  </si>
  <si>
    <t>ধনেশ্বর ও ভূমীশ্বর সবসময় গর্বে মগ্ন</t>
  </si>
  <si>
    <t>ধনী ও জমিদার সবসময় অহংকারে থাকে।</t>
  </si>
  <si>
    <t>The wealthy and landlords are always immersed in pride.</t>
  </si>
  <si>
    <t>ধনী/জমিদার</t>
  </si>
  <si>
    <t>ধনীর কি কন্যার অভাব?</t>
  </si>
  <si>
    <t>ধনীর কন্যার অভাব নেই।</t>
  </si>
  <si>
    <t>Does a rich man lack a daughter?</t>
  </si>
  <si>
    <t>ধন্য রাজা ধন্য দেশ যদি বর্ষে মাঘের শেষ।</t>
  </si>
  <si>
    <t>ধন্য রাজা ধন্য দেশ যদি মাঘের শেষে বর্ষা হয়</t>
  </si>
  <si>
    <t>মাঘের শেষে বৃষ্টি হলে দেশের মঙ্গল।</t>
  </si>
  <si>
    <t>Blessed is the king, blessed is the land if it rains at the end of Magh.</t>
  </si>
  <si>
    <t>কৃষি/প্রকৃতি</t>
  </si>
  <si>
    <t>ধন যৌবন জন থাকে আড়াই দিন।</t>
  </si>
  <si>
    <t>ধন যৌবন জন থাকে আড়াই দিন</t>
  </si>
  <si>
    <t>সম্পদ, যৌবন ও মানুষ অস্থায়ী।</t>
  </si>
  <si>
    <t>Wealth, youth and people last for two and a half days.</t>
  </si>
  <si>
    <t>ধল্ল্যে চোর নয়লে চেঁচিয়ে মর।</t>
  </si>
  <si>
    <t>ধল্ল্যে চোর না হলে চেঁচিয়ে মর</t>
  </si>
  <si>
    <t>ধরা না পড়লে চোর বড়াই করে।</t>
  </si>
  <si>
    <t>If not caught, the thief dies screaming.</t>
  </si>
  <si>
    <t>ধরিস্ বেটী ছুস্‌না।</t>
  </si>
  <si>
    <t>ধরিস বেটি ছুসনা</t>
  </si>
  <si>
    <t>ঠিক সময়ে কাজ না করলে পরে অনুতাপ।</t>
  </si>
  <si>
    <t>Hold on, daughter, don't suck.</t>
  </si>
  <si>
    <t>বেটি/কন্যা</t>
  </si>
  <si>
    <t>ধন হতে ধর্ম্ম বড়।</t>
  </si>
  <si>
    <t>ধন হতে ধর্ম বড়</t>
  </si>
  <si>
    <t>অর্থের চেয়ে ধর্ম বা নৈতিকতা বড়।</t>
  </si>
  <si>
    <t>Religion is greater than wealth.</t>
  </si>
  <si>
    <t>ধর জঁটে না সেই বটে।</t>
  </si>
  <si>
    <t>ধর জঁটে না সেই বটে</t>
  </si>
  <si>
    <t>যে ধরতে পারে না, সে বটে।</t>
  </si>
  <si>
    <t>He who cannot catch is the one.</t>
  </si>
  <si>
    <t>ধর কুকুর ভিক্ষাও কায নাই।</t>
  </si>
  <si>
    <t>ধর কুকুর ভিক্ষাও কাজ নাই</t>
  </si>
  <si>
    <t>চেষ্টা করেও কিছু পাওয়া যায় না।</t>
  </si>
  <si>
    <t>Catch the dog, even begging doesn't work.</t>
  </si>
  <si>
    <t>গরিব/অসহায়</t>
  </si>
  <si>
    <t>ধরে বেঁদে পীরিত হয় না, ঘসলে মাজ্‌লে রূপ হয় না।</t>
  </si>
  <si>
    <t>ধরে বেঁধে প্রীতি হয় না, ঘসে মাজলে রূপ হয় না</t>
  </si>
  <si>
    <t>জোর করে ভালোবাসা হয় না, আর ঘষে সৌন্দর্য তৈরি হয় না।</t>
  </si>
  <si>
    <t>Love doesn't happen by force, beauty doesn't come by rubbing.</t>
  </si>
  <si>
    <t>ধাইলে ধন মিলে না।</t>
  </si>
  <si>
    <t>ধাইলে ধন মিলে না</t>
  </si>
  <si>
    <t>ছুটে বা তাড়াহুড়ো করলে সম্পদ পাওয়া যায় না।</t>
  </si>
  <si>
    <t>Running doesn't bring wealth.</t>
  </si>
  <si>
    <t>ধার্ম্মিক লোক পৃথিবীর ভূষণ।</t>
  </si>
  <si>
    <t>ধার্মিক লোক পৃথিবীর ভূষণ</t>
  </si>
  <si>
    <t>ধার্মিক মানুষ পৃথিবীর অলংকার।</t>
  </si>
  <si>
    <t>The righteous are the ornament of the earth.</t>
  </si>
  <si>
    <t>ধাদাঁরে ভাই ধাদাঁ, মানিক ঘোড়া উড়ে গেল, লেজটী থাক্‌ল বাঁধা।</t>
  </si>
  <si>
    <t>ধাদাঁরে ভাই ধাদাঁ, মানিক ঘোড়া উড়ে গেল, লেজটি থাকল বাঁধা</t>
  </si>
  <si>
    <t>মূল্যবান জিনিস হারিয়ে গেলেও কিছু থেকে যায়।</t>
  </si>
  <si>
    <t>Oh brother, the jewel horse flew away, only the tail remained tied.</t>
  </si>
  <si>
    <t>ধান, পান, পানি এ তিন আশ্বিনে চিনি।</t>
  </si>
  <si>
    <t>ধান, পান, পানি—এই তিন আশ্বিনে চিনি</t>
  </si>
  <si>
    <t>আশ্বিন মাসে ধান, পান ও পানি—এই তিনটি চেনা যায়।</t>
  </si>
  <si>
    <t>Rice, betel leaf, water—these three are known in Ashwin.</t>
  </si>
  <si>
    <t>কৃষি/ঋতু</t>
  </si>
  <si>
    <t>ধেনু ফিরাইলেই ধনঞ্জয়।</t>
  </si>
  <si>
    <t>ধেনু ফিরাইলেই ধনঞ্জয়</t>
  </si>
  <si>
    <t>গরু ফিরে এলে সম্পদ ফিরে আসে।</t>
  </si>
  <si>
    <t>When the cow returns, Dhannanjay comes.</t>
  </si>
  <si>
    <t>গরু/সম্পদ</t>
  </si>
  <si>
    <t>ধোপার কুকুর না ঘরেই না ঘাটেই।</t>
  </si>
  <si>
    <t>ধোপার কুকুর না ঘরেই না ঘাটেই</t>
  </si>
  <si>
    <t>যার কোনো ঠিকানা নেই।</t>
  </si>
  <si>
    <t>The washerman's dog is neither at home nor at the ghat.</t>
  </si>
  <si>
    <t>নদী হেন সীমা, রাজা হেন সাক্ষী!</t>
  </si>
  <si>
    <t>নদীর মতো সীমা, রাজার মতো সাক্ষী</t>
  </si>
  <si>
    <t>নদী সীমার মতো, রাজা সাক্ষীর মতো।</t>
  </si>
  <si>
    <t>The river is like the boundary, the king is like the witness.</t>
  </si>
  <si>
    <t>সীমা/সাক্ষী</t>
  </si>
  <si>
    <t>নয় মোন তেলেও হবে না, রাধাও নাচিবে না।</t>
  </si>
  <si>
    <t>নয় মোন তেলেও হবে না, রাধাও নাচবে না</t>
  </si>
  <si>
    <t>যথেষ্ট তেলও দিলে না, রাধাও নাচবে না—অর্থাৎ অসম্ভব।</t>
  </si>
  <si>
    <t>Even with nine maunds of oil, Radha won't dance.</t>
  </si>
  <si>
    <t>নরুনীর তীক্ষ্ণ ধারে গাছ কাটায় না।</t>
  </si>
  <si>
    <t>নরুনীর তীক্ষ্ণ ধারে গাছ কাটায় না</t>
  </si>
  <si>
    <t>শুধু তীক্ষ্ণতা দিয়ে কাজ হয় না, সঠিক প্রয়োগ প্রয়োজন।</t>
  </si>
  <si>
    <t>A sharp blade of water does not cut a tree.</t>
  </si>
  <si>
    <t>নদী পেরুতে পাল্ল্যে কেউট্ রাজা।</t>
  </si>
  <si>
    <t>নদী পেরুতে পাল্ল্যে কেউট রাজা</t>
  </si>
  <si>
    <t>সংকটে বাধা পেলেও পেরিয়ে যেতে হয়।</t>
  </si>
  <si>
    <t>To cross the river, even the snake king must struggle.</t>
  </si>
  <si>
    <t>নরমের ধার অতি তীক্ষ্ণ।</t>
  </si>
  <si>
    <t>নরমের ধার অতি তীক্ষ্ণ</t>
  </si>
  <si>
    <t>নরম বস্তুরও ধার তীক্ষ্ণ হতে পারে।</t>
  </si>
  <si>
    <t>The edge of a soft thing is very sharp.</t>
  </si>
  <si>
    <t>নদী, নখি, সৃঙ্গীনারী বিশ্বাস করিলে হয় ভিখেরী।</t>
  </si>
  <si>
    <t>নদী, নখি, সৃঙ্গী নারী—বিশ্বাস করলে হয় ভিখেরী</t>
  </si>
  <si>
    <t>নদী, শিংওয়ালা প্রাণী ও নারী—এদের বিশ্বাস করলে ফকির হতে হয়।</t>
  </si>
  <si>
    <t>River, horned animal, woman—trusting them makes you a beggar.</t>
  </si>
  <si>
    <t>না ধেড়ি না কশী ধোপা চেয়ে তাঁতি বেশী।</t>
  </si>
  <si>
    <t>না ধেড়ি না কশী ধোপা চেয়ে তাঁতি বেশী</t>
  </si>
  <si>
    <t>ধোপার চেয়ে তাঁতির অবস্থা ভালো।</t>
  </si>
  <si>
    <t>Neither the wife nor the Kashi, the weaver is better than the washerman.</t>
  </si>
  <si>
    <t>তাঁতি/ধোপা</t>
  </si>
  <si>
    <t>না জানি সিতে, না জানি পিতে, আহার অন্বেষণে থাকি এক চিতে।</t>
  </si>
  <si>
    <t>না জানি সিতে, না জানি পিতে, আহার অন্বেষণে থাকি এক চিতে</t>
  </si>
  <si>
    <t>খাবার খোঁজায় সব সময় কাটে।</t>
  </si>
  <si>
    <t>Don't know sleeping, don't know drinking, always seeking food.</t>
  </si>
  <si>
    <t>নাপিত দেখ্‌লেই নখ বাড়ে।</t>
  </si>
  <si>
    <t>নাপিত দেখলেই নখ বাড়ে</t>
  </si>
  <si>
    <t>ভয় বা উপস্থিতিতে কিছু বেড়ে যায়।</t>
  </si>
  <si>
    <t>Just seeing the barber makes the nails grow.</t>
  </si>
  <si>
    <t>নাপিত/ভয়</t>
  </si>
  <si>
    <t>নাচরে বাবা হনূমান্ খেতে পাবি মর্ত্তমান্।</t>
  </si>
  <si>
    <t>নাচরে বাবা হনুমান, খেতে পাবি মর্তমান</t>
  </si>
  <si>
    <t>আনন্দ করলে খাবার পাবে।</t>
  </si>
  <si>
    <t>Dance, Father Hanuman, you'll get food while alive.</t>
  </si>
  <si>
    <t>নাকে কাজ না বায়ুতে কাজ।</t>
  </si>
  <si>
    <t>নাকে কাজ না বায়ুতে কাজ</t>
  </si>
  <si>
    <t>যথাযথ কাজ না করে অযথা ব্যস্ত থাকা।</t>
  </si>
  <si>
    <t>Not working on the nose, working on the wind.</t>
  </si>
  <si>
    <t>না খেয়ে খোদার বন্দি।</t>
  </si>
  <si>
    <t>না খেয়ে খোদার বন্দি</t>
  </si>
  <si>
    <t>অভাবের কারণে খোদার কাছে বন্দী।</t>
  </si>
  <si>
    <t>Without eating, prisoner of God.</t>
  </si>
  <si>
    <t>নাথির দেবতা কি ফুলে তুষ্ট।</t>
  </si>
  <si>
    <t>নাথির দেবতা কি ফুলে তুষ্ট</t>
  </si>
  <si>
    <t>দেবতা ফুলে তুষ্ট হন না, ভক্তির প্রয়োজন।</t>
  </si>
  <si>
    <t>Does the deity of a rich man get pleased with flowers?</t>
  </si>
  <si>
    <t>ধনী/দেবতা</t>
  </si>
  <si>
    <t>নারী, বারি, তরি, যত্নে রক্ষা করি।</t>
  </si>
  <si>
    <t>নারী, বারি, তরি—যত্নে রক্ষা করি</t>
  </si>
  <si>
    <t>নারী, পানি ও নৌকা—যত্নে রাখতে হবে।</t>
  </si>
  <si>
    <t>Woman, water, boat—protect with care.</t>
  </si>
  <si>
    <t>না মল্ল্যে স্বর্গ দেখে না।</t>
  </si>
  <si>
    <t>না মল্ল্যে স্বর্গ দেখে না</t>
  </si>
  <si>
    <t>সংগ্রাম না করলে স্বর্গও দেখা যায় না।</t>
  </si>
  <si>
    <t>Without fighting, one doesn't see heaven.</t>
  </si>
  <si>
    <t>সংগ্রামী ব্যক্তি</t>
  </si>
  <si>
    <t>নামি বড় পেঁচারাজা।</t>
  </si>
  <si>
    <t>নামি বড় পেঁচারাজা</t>
  </si>
  <si>
    <t>নাম বড় কিন্তু কাজে অযোগ্য।</t>
  </si>
  <si>
    <t>Name is big, the owl king.</t>
  </si>
  <si>
    <t>নালিতে জল যায়, ছিদ্রে ছিদ্রে তালি দেয়।</t>
  </si>
  <si>
    <t>নালিতে জল যায়, ছিদ্রে ছিদ্রে তালি দেয়</t>
  </si>
  <si>
    <t>অপচয় রোধের চেষ্টা।</t>
  </si>
  <si>
    <t>Water goes through the drain, gives a slap in every hole.</t>
  </si>
  <si>
    <t>নাচেরে সাগর‍্যা কুমার, বিনা কড়িতে পুকুর আমার।</t>
  </si>
  <si>
    <t>নাচেরে সাগর্যা কুমার, বিনা কড়িতে পুকুর আমার</t>
  </si>
  <si>
    <t>অর্থ ছাড়াও কিছু পাওয়া যায়।</t>
  </si>
  <si>
    <t>Dance, Sagar Kumar; without money, the pond is mine.</t>
  </si>
  <si>
    <t>নাচে ভাল কিন্তু পাক দেয় মন্দ।</t>
  </si>
  <si>
    <t>নাচে ভাল কিন্তু পাক দেয় মন্দ</t>
  </si>
  <si>
    <t>বাহ্যিকভাবে ভালো, কিন্তু ভিতরে খারাপ।</t>
  </si>
  <si>
    <t>Dances well but twirls badly.</t>
  </si>
  <si>
    <t>নাচ বৌ, না পা তুলাই আছে।</t>
  </si>
  <si>
    <t>নাচ বৌ, না পা তুলাই আছে</t>
  </si>
  <si>
    <t>নাচতে জানলে পা তুলতে হয়।</t>
  </si>
  <si>
    <t>Dance, bride, if you don't lift your foot.</t>
  </si>
  <si>
    <t>বৌ/স্ত্রী</t>
  </si>
  <si>
    <t>নিত স্বপ্নে বাঘে খায়, বল কদিন তার ভাল যায়।</t>
  </si>
  <si>
    <t>নিত স্বপ্নে বাঘে খায়, বল কদিন তার ভাল যায়</t>
  </si>
  <si>
    <t>ভয়ের স্বপ্ন দেখলে ভালো যায় না।</t>
  </si>
  <si>
    <t>Every night the tiger eats in dreams; tell me how many days it goes well.</t>
  </si>
  <si>
    <t>নির্ধন্যের ঝী আটকুড়কে, দি, তার আর গমন পড়ন কি?</t>
  </si>
  <si>
    <t>গরিবের কন্যা পড়াশোনা করলেও তার ভাগ্য বদলায় না।</t>
  </si>
  <si>
    <t>The poor man's daughter studies but cannot go anywhere.</t>
  </si>
  <si>
    <t>নির্ধন্যের ঝী/কন্যা</t>
  </si>
  <si>
    <t>নিত্য রোগিকে কতই ঔষধ।</t>
  </si>
  <si>
    <t>নিত্য রোগিকে কতই ঔষধ</t>
  </si>
  <si>
    <t>সবসময় রোগীর জন্য অনেক ওষুধ।</t>
  </si>
  <si>
    <t>The chronically ill need so much medicine.</t>
  </si>
  <si>
    <t>নির্ধন্যের ধন হলে দিনে দেখে তারা। নি-ভাতারী ভাতার পেলে বাসে বাপের পারা।</t>
  </si>
  <si>
    <t>নির্ধন্যের ধন হলে দিনে দেখে তারা।নি-ভাতারী ভাতার পেলে বাসে বাপের পারা</t>
  </si>
  <si>
    <t>গরিবের সম্পদ হলে মানুষ দিনে দেখে; যার স্বামী নেই সে স্বামী পেলে বাবার সাথে থাকে।</t>
  </si>
  <si>
    <t>When the poor get wealth, others see it in daylight; when a woman without a husband gets one, she lives with her father.</t>
  </si>
  <si>
    <t>নির্ধন্য/স্ত্রী</t>
  </si>
  <si>
    <t>নির্লজ্জকে কতও বল নেই অপমান, সজ্জ্বনের এক কথায় মরণ সমান্।</t>
  </si>
  <si>
    <t>নির্লজ্জকে কতও বল নেই অপমান, সজ্জনের এক কথায় মরণ সমান</t>
  </si>
  <si>
    <t>নির্লজ্জকে অপমান করেও কোনো লাভ নেই, কিন্তু সজ্জনের এক কথায় মৃত্যু সমান।</t>
  </si>
  <si>
    <t>The shameless cannot be insulted; for a good man, one word is like death.</t>
  </si>
  <si>
    <t>নির্লজ্জ/সজ্জন</t>
  </si>
  <si>
    <t>নীচের পুত্রে যদি পায় রাজ্যভার, তিলসম জ্ঞান করে জগত সংসার।</t>
  </si>
  <si>
    <t>নীচের পুত্রে যদি পায় রাজ্যভার, তিলসম জ্ঞান করে জগত সংসার</t>
  </si>
  <si>
    <t>অপাত্র রাজা হলে দেশের সর্বনাশ।</t>
  </si>
  <si>
    <t>If a low-born son gets the kingdom, he destroys the world.</t>
  </si>
  <si>
    <t>পুত্র/রাজা</t>
  </si>
  <si>
    <t>নির্গুন সর্পের কুলর মত ফেনা।</t>
  </si>
  <si>
    <t>নির্গুন সর্পের কুলর মত ফেনা</t>
  </si>
  <si>
    <t>গুণহীন মানুষ সাপের বিষের মতো।</t>
  </si>
  <si>
    <t>The snake without venom has foam like the kulra.</t>
  </si>
  <si>
    <t>গুণহীন ব্যক্তি</t>
  </si>
  <si>
    <t>নির্লজ্জ নাচে ঠেটাঁ গায়, অপর তিনকুল খেয়ে সেই দেখ্‌তে যায়।</t>
  </si>
  <si>
    <t>নির্লজ্জ নাচে ঠেটাঁ গায়, অপর তিনকুল খেয়ে সেই দেখতে যায়</t>
  </si>
  <si>
    <t>নির্লজ্জ মানুষ বেহায়ার মতো নাচে, অন্য তিন কুল খেয়ে সে দেখতে যায়।</t>
  </si>
  <si>
    <t>The shameless dances on the embankment, goes to see after eating three generations.</t>
  </si>
  <si>
    <t>নির্লজ্জ ব্যক্তি</t>
  </si>
  <si>
    <t>নিজের পরমায়ু ও পরের ধন অল্প দেখে না।</t>
  </si>
  <si>
    <t>নিজের পরমায়ু ও পরের ধন অল্প দেখে না</t>
  </si>
  <si>
    <t>নিজের আয়ু ও অন্যের ধনকে কম দেখে না।</t>
  </si>
  <si>
    <t>One does not underestimate his own longevity or another's wealth.</t>
  </si>
  <si>
    <t>নিজের ঘোড়ার ঘাস কাটায় লজ্জা নাই।</t>
  </si>
  <si>
    <t>নিজের ঘোড়ার ঘাস কাটায় লজ্জা নাই</t>
  </si>
  <si>
    <t>নিজের কাজ করাতে লজ্জা নেই।</t>
  </si>
  <si>
    <t>There is no shame in cutting grass for your own horse.</t>
  </si>
  <si>
    <t>নীর নারী সর্ব্বদা নীচে ধায়।</t>
  </si>
  <si>
    <t>নীর নারী সর্ব্বদা নীচে ধায়</t>
  </si>
  <si>
    <t>পানি ও নারী সবসময় নিচের দিকে যায়।</t>
  </si>
  <si>
    <t>Water and woman always flow downwards.</t>
  </si>
  <si>
    <t>নীচে যদি উচ্চ ভাসে, সুবুদ্ধি উড়ায় হেসে।</t>
  </si>
  <si>
    <t>নীচে যদি উচ্চ ভাসে, সুবুদ্ধি উড়ায় হেসে</t>
  </si>
  <si>
    <t>অপাত্র উচ্চ পদ পেলে বিদ্বানরা হাসে।</t>
  </si>
  <si>
    <t>If the low rises high, the wise laugh and fly.</t>
  </si>
  <si>
    <t>নুতন যোগীর ভিক্ষায় মন্।</t>
  </si>
  <si>
    <t>নতুন যোগীর ভিক্ষায় মন</t>
  </si>
  <si>
    <t>নতুন যোগীর মন ভিক্ষায় থাকে।</t>
  </si>
  <si>
    <t>The new yogi's mind is on begging.</t>
  </si>
  <si>
    <t>নতুন যোগী</t>
  </si>
  <si>
    <t>নেংটার মুলুকে কাপুড়্যে ভাঁড়।</t>
  </si>
  <si>
    <t>নেংটার মুলুকে কাপুড়্যে ভাঁড়</t>
  </si>
  <si>
    <t>উলঙ্গের রাজ্যে কাপড় পরা ভাঁড়।</t>
  </si>
  <si>
    <t>In the naked kingdom, the clothed one is a fool.</t>
  </si>
  <si>
    <t>উপমা</t>
  </si>
  <si>
    <t>লেবু চটকালে তিতো।</t>
  </si>
  <si>
    <t>লেবু চটকালে তিতো</t>
  </si>
  <si>
    <t>অপ্রয়োজনীয় চাপ দিলে খারাপ হয়।</t>
  </si>
  <si>
    <t>If you squeeze the lemon, it becomes bitter.</t>
  </si>
  <si>
    <t>নেড়া মাথায় খোঁচার ভয়?</t>
  </si>
  <si>
    <t>যার কিছুই নেই, তার হারানোর ভয় নেই।</t>
  </si>
  <si>
    <t>Does a bald head fear a blow?</t>
  </si>
  <si>
    <t>নির্ভীক ব্যক্তি</t>
  </si>
  <si>
    <t>পর মন্দ পুরী ক্ষয়।</t>
  </si>
  <si>
    <t>পর মন্দ পুরী ক্ষয়</t>
  </si>
  <si>
    <t>অন্যের মন্দ থেকে নিজের ক্ষতি।</t>
  </si>
  <si>
    <t>The enemy destroys the city.</t>
  </si>
  <si>
    <t>পথের বিষ্ঠায়, জমে ভয় পায় না।</t>
  </si>
  <si>
    <t>পথের বিষ্ঠায় জমে ভয় পায় না</t>
  </si>
  <si>
    <t>অপমান করতে পারে না, তাতে ভয় নেই।</t>
  </si>
  <si>
    <t>The village does not fear the filth on the road.</t>
  </si>
  <si>
    <t>পরকে আগোড় দিয়ে নিজে জেগে শোওয়া।</t>
  </si>
  <si>
    <t>পরকে আগোড় দিয়ে নিজে জেগে শোওয়া</t>
  </si>
  <si>
    <t>অন্যের সুখের জন্য নিজের ঘুম ত্যাগ করা।</t>
  </si>
  <si>
    <t>Giving the other a front seat and staying awake oneself.</t>
  </si>
  <si>
    <t>পত্র পাত্র ফোঁটা এই তিন না করিও ছোটা।</t>
  </si>
  <si>
    <t>পত্র পাত্র ফোঁটা—এই তিন না করিও ছোটা</t>
  </si>
  <si>
    <t>এই তিন জিনিসকে ছোটো করো না।</t>
  </si>
  <si>
    <t>Don't neglect leaf, vessel, and drop.</t>
  </si>
  <si>
    <t>পর ধনে বিক্রমাদিত্য।</t>
  </si>
  <si>
    <t>পর ধনে বিক্রমাদিত্য</t>
  </si>
  <si>
    <t>অন্যের অর্থে বা সম্পদে বড়াই।</t>
  </si>
  <si>
    <t>Vikramaditya with another's wealth.</t>
  </si>
  <si>
    <t>পরের জন্য গর্ত্ত্য খুঁড়ে অবশেষে নিজে পড়ে।</t>
  </si>
  <si>
    <t>পরের জন্য গর্ত খুঁড়ে অবশেষে নিজে পড়ে</t>
  </si>
  <si>
    <t>অন্যের ক্ষতি করতে গিয়ে নিজের ক্ষতি হয়।</t>
  </si>
  <si>
    <t>Digging a hole for others, one eventually falls into it himself.</t>
  </si>
  <si>
    <t>পর্ত্ত্যে হবে সাঁখা, মুখ করোনা বাঁকা।</t>
  </si>
  <si>
    <t>পর্ত্ত্যে হবে সাঁখা, মুখ করোনা বাঁকা</t>
  </si>
  <si>
    <t>বিপদে পড়লে শক্ত হও, মুখ বাঁকা করো না।</t>
  </si>
  <si>
    <t>Be tough when in trouble, don't twist your face.</t>
  </si>
  <si>
    <t>পথে পেলেম কামার, ফাল পেজে দে আমার।</t>
  </si>
  <si>
    <t>পথে পেলাম কামার, ফাল পেজে দে আমার</t>
  </si>
  <si>
    <t>সুবিধা পেলে সাহায্য নেওয়া।</t>
  </si>
  <si>
    <t>Found a blacksmith on the way, give me the file.</t>
  </si>
  <si>
    <t>পরে তসর খায় ঘি, তার কড়ির ব্যয় কি?</t>
  </si>
  <si>
    <t>অন্যের খরচে সুখ-স্বাচ্ছন্দ্য।</t>
  </si>
  <si>
    <t>If others eat ghee, what does it cost them?</t>
  </si>
  <si>
    <t>পরের মুড় নাপীতের ক্ষুর, প্রাণ করে দূর দূর।</t>
  </si>
  <si>
    <t>পরের মুড় নাপীতের ক্ষুর, প্রাণ করে দূর দূর</t>
  </si>
  <si>
    <t>অন্যের মাথা নাপিতের ক্ষুরের মতো (অর্থাৎ অন্যের ওপর নির্ভরশীলতা)।</t>
  </si>
  <si>
    <t>Another's head, the barber's razor, makes life far away.</t>
  </si>
  <si>
    <t>পরনির্ভরশীল ব্যক্তি</t>
  </si>
  <si>
    <t>পরের কাপড় ধোপার লাষ, ধোপা কয় মোর বারোমাস।</t>
  </si>
  <si>
    <t>পরের কাপড় ধোপার লাষ, ধোপা কয় মোর বারোমাস</t>
  </si>
  <si>
    <t>অন্যের কাজে লাভ হয় না।</t>
  </si>
  <si>
    <t>The washerman's loss is another's cloth; the washerman says it's my all year round.</t>
  </si>
  <si>
    <t>ধোপা/পরনির্ভরশীল</t>
  </si>
  <si>
    <t>পরের দেখে করি হায়, যা থাকে তাও যায়।</t>
  </si>
  <si>
    <t>পরের দেখে করি হায়, যা থাকে তাও যায়</t>
  </si>
  <si>
    <t>অন্যের দিকে তাকিয়ে যা আছে তাও হারিয়ে যায়।</t>
  </si>
  <si>
    <t>Looking at others, I sigh; whatever remains also goes away.</t>
  </si>
  <si>
    <t>পর হালদা পর বলদা পর সিংহা তিন বৎসর বায়লে নরসিংহা।</t>
  </si>
  <si>
    <t>পর হালদা পর বলদা পর সিংহা তিন বৎসর বায়লে নরসিংহা</t>
  </si>
  <si>
    <t>তিন বছর পর অবস্থার পরিবর্তন হয়।</t>
  </si>
  <si>
    <t>If you take someone else's plow, bullock, and lion, after three years you become Narsingha.</t>
  </si>
  <si>
    <t>পরিশ্রমের অসাধ্য কিছুই নাই।</t>
  </si>
  <si>
    <t>পরিশ্রমের অসাধ্য কিছুই নাই</t>
  </si>
  <si>
    <t>পরিশ্রম করে সব কিছু সম্ভব।</t>
  </si>
  <si>
    <t>Nothing is impossible with hard work.</t>
  </si>
  <si>
    <t>পরের দান আধখানী, তায় কি যায় স্বাদখানী।</t>
  </si>
  <si>
    <t>পরের দান আধখানী, তায় কি যায় স্বাদখানী</t>
  </si>
  <si>
    <t>অন্যের দানে অর্ধেকই মেলে, কিন্তু তাতে স্বাদও যায়।</t>
  </si>
  <si>
    <t>Half of another's donation, does that lose the taste?</t>
  </si>
  <si>
    <t>প্রতি ডুবেই কি শঙ্খ মিলে?</t>
  </si>
  <si>
    <t>প্রতি চেষ্টায় সফলতা পাওয়া যায় না।</t>
  </si>
  <si>
    <t>Does every dive find a conch?</t>
  </si>
  <si>
    <t>পরের মাথায় দিয়ে হাত, দিব্য করে নির্ঘাৎ।</t>
  </si>
  <si>
    <t>পরের মাথায় দিয়ে হাত, দিব্য করে নির্ঘাৎ</t>
  </si>
  <si>
    <t>অন্যের দোষ দিয়ে নিজেকে বাঁচানোর চেষ্টা।</t>
  </si>
  <si>
    <t>Putting hand on another's head, swears assuredly.</t>
  </si>
  <si>
    <t>প্রত্যয় করেছে কাণা হাটে চোক বিকয়।</t>
  </si>
  <si>
    <t>প্রত্যয় করেছে কাণা হাটে চোক বিকয়</t>
  </si>
  <si>
    <t>অসম্ভব কাজের উদাহরণ।</t>
  </si>
  <si>
    <t>The blind believes that eyes are sold in the market.</t>
  </si>
  <si>
    <t>পাঁচড়ার কুটকুটী, চুলকতে চুলকতে গেল নোক কটি।</t>
  </si>
  <si>
    <t>পাঁচড়ার কুটকুটী, চুলকতে চুলকতে গেল নোক কটি</t>
  </si>
  <si>
    <t>অস্বস্তি থেকেই মুক্তি।</t>
  </si>
  <si>
    <t>Scratching the itch, the navel went away.</t>
  </si>
  <si>
    <t>পান্ত ভাতে বেগুণ পোড়া খিঁচড়িতে ঘি।</t>
  </si>
  <si>
    <t>পান্ত ভাতে বেগুন পোড়া খিচুড়িতে ঘি</t>
  </si>
  <si>
    <t>সামান্য খাবারেও ভালো কিছু পাওয়া যায়।</t>
  </si>
  <si>
    <t>Fermented rice, burnt eggplant, ghee in khichuri.</t>
  </si>
  <si>
    <t>পাঁতা গেলে ও নাতা যায় না।</t>
  </si>
  <si>
    <t>পাঁতা গেলে ও নাতা যায় না</t>
  </si>
  <si>
    <t>মূল জিনিস গেলেও কিছু থেকে যায়।</t>
  </si>
  <si>
    <t>Even if the sheet goes, the grandson doesn't go.</t>
  </si>
  <si>
    <t>পাপ এবং রোগ গুপ্ত রাখিলে নিজের ক্ষয়।</t>
  </si>
  <si>
    <t>পাপ এবং রোগ গুপ্ত রাখিলে নিজের ক্ষয়</t>
  </si>
  <si>
    <t>পাপ ও রোগ লুকালে নিজের ক্ষতি হয়।</t>
  </si>
  <si>
    <t>If sin and disease are hidden, it harms oneself.</t>
  </si>
  <si>
    <t>পাপী/অসুস্থ ব্যক্তি</t>
  </si>
  <si>
    <t>স্বাস্থ্য/নৈতিকতা</t>
  </si>
  <si>
    <t>পাশ লটপটে, দু কান্ কাটা, ত্রিভুবন দেখালে চিল বেটা; কেন কর টুভ টুভীর ঘা, অন্য স্থানে টুভ টুভাবি যা।</t>
  </si>
  <si>
    <t>পাশ লটপটে, দু কান কাটা, ত্রিভুবন দেখালে চিল বেটা; কেন কর টুভ টুভীর ঘা, অন্য স্থানে টুভ টুভাবি যা।</t>
  </si>
  <si>
    <t>অপ্রাসঙ্গিক কাজে মন দেওয়া।</t>
  </si>
  <si>
    <t>The side is shaky, two ears cut; if you show the three worlds, you son of a kite; why do you make the sound of a barking deer?</t>
  </si>
  <si>
    <t>পাপ হৃদয়ে সাঁতার দেয়।</t>
  </si>
  <si>
    <t>পাপ হৃদয়ে সাঁতার দেয়</t>
  </si>
  <si>
    <t>পাপ মনকে দূষিত করে।</t>
  </si>
  <si>
    <t>Sin swims in the heart.</t>
  </si>
  <si>
    <t>পাথর না ভিজে মুর্খ না বোঝে।</t>
  </si>
  <si>
    <t>পাথর না ভিজে মুর্খ না বোঝে</t>
  </si>
  <si>
    <t>পাথর যেমন ভেজে না, মূর্খ তেমন বোঝে না।</t>
  </si>
  <si>
    <t>The stone does not get wet, the fool does not understand.</t>
  </si>
  <si>
    <t>প্রাতকালে প্রাতক্রিয়া, পুত্র থাকতে বাপের বিয়ে, হল তো হল নয় তো গেল।</t>
  </si>
  <si>
    <t>প্রাতকালে প্রাতক্রিয়া, পুত্র থাকতে বাপের বিয়ে—হল তো হল নয় তো গেল</t>
  </si>
  <si>
    <t>সময়মতো কাজ করো, নয়তো সব শেষ।</t>
  </si>
  <si>
    <t>Morning rituals, father's marriage while son is alive—if done, done; if not, gone.</t>
  </si>
  <si>
    <t>পাপে থাকলেই জমের ভয়।</t>
  </si>
  <si>
    <t>পাপে থাকলেই জমের ভয়</t>
  </si>
  <si>
    <t>পাপ করলে যমের ভয় থাকে।</t>
  </si>
  <si>
    <t>If there is sin, there is fear of Yama.</t>
  </si>
  <si>
    <t>পিঠার ভিতর গুড় করে হুড় হুড়।</t>
  </si>
  <si>
    <t>পিঠার ভিতর গুড় করে হুড় হুড়</t>
  </si>
  <si>
    <t>ভিতরে লুকানো আনন্দ বা চমক।</t>
  </si>
  <si>
    <t>Inside the cake, molasses makes a sound.</t>
  </si>
  <si>
    <t>পির সাহেব বলেন আমি সিন্নি নাই খাব উমি চাঁদ বলে গিন্নি টেনায় গুঁজে দিব।</t>
  </si>
  <si>
    <t>পির সাহেব বলেন আমি সিন্নি নাই খাব, উমি চাঁদ বলে গিন্নি টেনায় গুঁজে দিব</t>
  </si>
  <si>
    <t>পীরের আদেশ ও গৃহিণীর প্রতারণা।</t>
  </si>
  <si>
    <t>The Pir says I will eat without offering; Umi Chand says the wife will put it in the ten.</t>
  </si>
  <si>
    <t>পিপঁড়ার পাঁখা বেরোয় মর্ত্ত্যে।</t>
  </si>
  <si>
    <t>পিপঁড়ার পাঁখা বেরোয় মর্ত্ত্যে</t>
  </si>
  <si>
    <t>সামান্য জিনিসেরও আবির্ভাব ঘটে।</t>
  </si>
  <si>
    <t>The ant's wing comes out while dying.</t>
  </si>
  <si>
    <t>পিপঁড়ের পক্ষে প্রস্রাবেই বান।</t>
  </si>
  <si>
    <t>পিপড়ের পক্ষে প্রস্রাবেই বান</t>
  </si>
  <si>
    <t>ছোটদের কাছে ছোট জিনিসও বড়।</t>
  </si>
  <si>
    <t>For the ant, urine is a flood.</t>
  </si>
  <si>
    <t>ছোট/অসহায়</t>
  </si>
  <si>
    <t>পুরুষের নাম সবাই জানে ওগো বলে ডাকে।</t>
  </si>
  <si>
    <t>পুরুষের নাম সবাই জানে ওগো বলে ডাকে</t>
  </si>
  <si>
    <t>পুরুষের পরিচয় সর্বজনবিদিত।</t>
  </si>
  <si>
    <t>Everyone knows the man's name, calls him by it.</t>
  </si>
  <si>
    <t>পূর্ব্বে কড়ি পশ্চিমে দড়ি।</t>
  </si>
  <si>
    <t>পূর্ব্বে কড়ি পশ্চিমে দড়ি</t>
  </si>
  <si>
    <t>প্রথমে টাকা, পরে দড়ি (বিপদের জন্য প্রস্তুত)।</t>
  </si>
  <si>
    <t>First money, then rope.</t>
  </si>
  <si>
    <t>পূর্ণীমার চাঁদে আর ভল্লুকের কাঁধে।</t>
  </si>
  <si>
    <t>পূর্ণিমার চাঁদে আর ভল্লুকের কাঁধে</t>
  </si>
  <si>
    <t>বিরল বা অদ্ভুত জিনিস।</t>
  </si>
  <si>
    <t>On the full moon and on the bear's shoulder.</t>
  </si>
  <si>
    <t>পুত্র শোকের স্বান্ত্বনা আর কুষ্ঠ রোগের ঔযধ।</t>
  </si>
  <si>
    <t>পুত্র শোকের স্বান্ত্বনা আর কুষ্ঠ রোগের ঔষধ</t>
  </si>
  <si>
    <t>পুত্রশোকের সান্ত্বনা ও কুষ্ঠরোগের ঔষধ একই—অসাধ্য।</t>
  </si>
  <si>
    <t>The consolation for a son's grief and the cure for leprosy.</t>
  </si>
  <si>
    <t>পূআলের আগুণ গোআর পোহার।</t>
  </si>
  <si>
    <t>পূআলের আগুণ গোআর পোহার</t>
  </si>
  <si>
    <t>খড়ের আগুন গোবর নিয়ে।</t>
  </si>
  <si>
    <t>The fire of straw, the smoke of cow dung.</t>
  </si>
  <si>
    <t>পুত্রকে পুত্রও গেল তার সঙ্গে শওয়া হাতের কপিণ ও গেল।</t>
  </si>
  <si>
    <t>পুত্রকে পুত্রও গেল তার সঙ্গে শওয়া হাতের কপিণ ও গেল</t>
  </si>
  <si>
    <t>সব কিছু হারিয়ে গেল।</t>
  </si>
  <si>
    <t>The son went with the son, and the sleeping hand's palm also went.</t>
  </si>
  <si>
    <t>পুত্রের মা, বাহিরে কাজের মা ভিতরে।</t>
  </si>
  <si>
    <t>পুত্রের মা, বাহিরে কাজের মা ভিতরে</t>
  </si>
  <si>
    <t>মা সন্তানের জন্য ভিতরে-বাইরে কাজ করে।</t>
  </si>
  <si>
    <t>The mother of the son, outside and inside the house.</t>
  </si>
  <si>
    <t>পুরুষের দশ দশা।</t>
  </si>
  <si>
    <t>পুরুষের দশ দশা</t>
  </si>
  <si>
    <t>পুরুষের দশ অবস্থা (ভালো-মন্দ সব হয়)।</t>
  </si>
  <si>
    <t>A man has ten conditions.</t>
  </si>
  <si>
    <t>পুরান চাউল ভাতে বাড়ে।</t>
  </si>
  <si>
    <t>পুরনো জিনিসেরও নিজস্ব গুণ আছে; সময়ের সাথে সাথে কিছু জিনিসের মান বাড়ে।</t>
  </si>
  <si>
    <t>Old rice increases when cooked.</t>
  </si>
  <si>
    <t>পেট ভরে খেতে হয়, খাট ভরে মর্ত্ত্যে হয়।</t>
  </si>
  <si>
    <t>পেট ভরে খেতে হয়, খাট ভরে মরতে হয়</t>
  </si>
  <si>
    <t>পেট ভরে খেতে হয়, কিন্তু খাট ভরে মরতে হয়—অর্থাৎ পরিশ্রম করে খেতে হয়।</t>
  </si>
  <si>
    <t>Eat to fill the belly, die to fill the bed.</t>
  </si>
  <si>
    <t>পেট ভরিলেই গোবিন্দ রাজা।</t>
  </si>
  <si>
    <t>পেট ভরলেই গোবিন্দ রাজা</t>
  </si>
  <si>
    <t>পেট ভরলে সব সুখ; ক্ষুধা থাকলে কিছুই ভালো লাগে না।</t>
  </si>
  <si>
    <t>When the belly is full, Govinda is king.</t>
  </si>
  <si>
    <t>পেয়াদার শ্বশুর বাড়ী, বেঙের সর্দ্দী।</t>
  </si>
  <si>
    <t>পেয়াদার শ্বশুর বাড়ি, ব্যাঙের সর্দি</t>
  </si>
  <si>
    <t>অসম্ভব বা অদ্ভুত ঘটনা।</t>
  </si>
  <si>
    <t>The peon's father-in-law's house, the frog's cold.</t>
  </si>
  <si>
    <t>পোষা কুক্কুরও কামড় মারে।</t>
  </si>
  <si>
    <t>পোষা কুকুরও কামড়ায়</t>
  </si>
  <si>
    <t>যাকে বিশ্বাস করি, সেও বিপদ ডেকে আনতে পারে।</t>
  </si>
  <si>
    <t>Even a pet dog can bite.</t>
  </si>
  <si>
    <t>পোড়া ঘাএ নুনের ছিটে।</t>
  </si>
  <si>
    <t>পোড়া ঘায়ে নুনের ছিটে</t>
  </si>
  <si>
    <t>অপমানের উপর অপমান বা বিপদে আরও বিপদ।</t>
  </si>
  <si>
    <t>Sprinkling salt on a burnt wound.</t>
  </si>
  <si>
    <t>পো নামে পোয়াতি বাঁচে।</t>
  </si>
  <si>
    <t>পো নামে পোয়াতি বাঁচে</t>
  </si>
  <si>
    <t>নামেই সব কিছু হয়।</t>
  </si>
  <si>
    <t>The boat lives in the name.</t>
  </si>
  <si>
    <t>ফল পাকলে মিঠা, মানুষ পাকলে তিতা।</t>
  </si>
  <si>
    <t>ফল পাকলে মিষ্টি, মানুষ পাকলে তিতা</t>
  </si>
  <si>
    <t>ফল পাকলে মিষ্টি হয়, কিন্তু মানুষ বয়সে বাড়লে তিতা বা স্বার্থপর হয়।</t>
  </si>
  <si>
    <t>When fruit ripens, it becomes sweet; when a person ripens, he becomes bitter.</t>
  </si>
  <si>
    <t>ফলেন পরিচিয়তে।</t>
  </si>
  <si>
    <t>ফলেই পরিচয় পাওয়া যায়</t>
  </si>
  <si>
    <t>কাজের ফল দেখেই পরিচয় বোঝা যায়।</t>
  </si>
  <si>
    <t>The fruit reveals the identity.</t>
  </si>
  <si>
    <t>ফাঁকি রাজা, ফাঁকি প্রজা, ফাঁকি দেবতার নাম দেবীর নাম ফাঁকীশ্বরী, ফাঁকে ফুঁকে পূজা সারি।</t>
  </si>
  <si>
    <t>ফাঁকি রাজা, ফাঁকি প্রজা, ফাঁকি দেবতার নাম; দেবীর নাম ফাঁকীশ্বরী, ফাঁকে ফুঁকে পূজা সারি</t>
  </si>
  <si>
    <t>সব কিছুই ফাঁকি বা প্রতারণার মাধ্যমে হয়।</t>
  </si>
  <si>
    <t>Fake king, fake subjects, fake names of gods; the goddess's name is Fakishwari, worship is done with fake reverence.</t>
  </si>
  <si>
    <t>ফোঁড়া ফুটলে কষ্ট ভুলে।</t>
  </si>
  <si>
    <t>ফোঁড়া ফুটলে কষ্ট ভুলে</t>
  </si>
  <si>
    <t>কষ্টের শেষে স্বস্তি আসে।</t>
  </si>
  <si>
    <t>When the boil bursts, the pain is forgotten.</t>
  </si>
  <si>
    <t>বৈষ্ণবের পদধুলী পড়ে যাঁর ঘরে; সর্ব্বাংশে নির্ব্বংশ হয়, ভিঠায় ঘুঘু চরে।</t>
  </si>
  <si>
    <t>বৈষ্ণবের পদধুলি পড়ে যাঁর ঘরে; সর্বাংশে নির্বংশ হয়, ভিঠায় ঘুঘু চরে</t>
  </si>
  <si>
    <t>বৈষ্ণবের আশীর্বাদ পেলে সংসার ধ্বংস হয়।</t>
  </si>
  <si>
    <t>Whose house receives the dust of a Vaishnava's feet; he becomes childless, and doves roam in his courtyard.</t>
  </si>
  <si>
    <t>বনের গ্রামে শিয়ালই রাজা।</t>
  </si>
  <si>
    <t>বনের গ্রামে শিয়ালই রাজা</t>
  </si>
  <si>
    <t>ছোট জায়গায় ছোট মানুষই বড়।</t>
  </si>
  <si>
    <t>In the forest village, the jackal is king.</t>
  </si>
  <si>
    <t>বড় মাছের কাঁটাও সুস্বাদ।</t>
  </si>
  <si>
    <t>বড় মাছের কাঁটাও সুস্বাদ</t>
  </si>
  <si>
    <t>বড় বা গুরুত্বপূর্ণ ব্যক্তির ছোট জিনিসও মূল্যবান।</t>
  </si>
  <si>
    <t>Even the bone of a big fish is tasty.</t>
  </si>
  <si>
    <t>বড়/গুরুত্বপূর্ণ ব্যক্তি</t>
  </si>
  <si>
    <t>বড় গঙ্গা পেরিয়ে এলেম্ খড়ে কিসের কি?</t>
  </si>
  <si>
    <t>বড় গঙ্গা পেরিয়ে এলেম, খড়ে কিসের কি?</t>
  </si>
  <si>
    <t>বড় বাধা পেরিয়ে এসেছি, ছোট বাধা কি?</t>
  </si>
  <si>
    <t>I've crossed the great Ganges, what is a straw?</t>
  </si>
  <si>
    <t>বহু বুদ্ধে দিগেরী, হতবুদ্ধে ভাগ্যারি।</t>
  </si>
  <si>
    <t>বহু বুদ্ধে দিগেরী, হতবুদ্ধে ভাগ্যারি</t>
  </si>
  <si>
    <t>অতিরিক্ত বুদ্ধি এবং না-বুদ্ধির ফলে সমান বিপদ।</t>
  </si>
  <si>
    <t>Too much wisdom brings trouble, too little brings luck.</t>
  </si>
  <si>
    <t>বহু ভক্তি চোরের লক্ষণ।</t>
  </si>
  <si>
    <t>বহু ভক্তি চোরের লক্ষণ</t>
  </si>
  <si>
    <t>ভণ্ড/প্রতারক</t>
  </si>
  <si>
    <t>বশি তো নগর, চষিত সাগর।</t>
  </si>
  <si>
    <t>বশি তো নগর, চষিত সাগর</t>
  </si>
  <si>
    <t>Sowing the city, plowing the sea.</t>
  </si>
  <si>
    <t>বড় লোকের ঝী, লেখা পূজীয়ে দি।</t>
  </si>
  <si>
    <t>বড় লোকের ঝী, লেখা পূজীয়ে দি</t>
  </si>
  <si>
    <t>বড় মানুষের কন্যা ভালো লেখা-পড়া জানে।</t>
  </si>
  <si>
    <t>The daughter of a great man is well-educated.</t>
  </si>
  <si>
    <t>বড় লোকের ঝী/কন্যা</t>
  </si>
  <si>
    <t>বর কন্যা রাজি তো কি করিবে কাজি।</t>
  </si>
  <si>
    <t>বর কন্যা রাজি তো কি করিবে কাজি</t>
  </si>
  <si>
    <t>বর-কন্যা রাজি থাকলে কাজির দরকার নেই।</t>
  </si>
  <si>
    <t>If the groom and bride agree, what will the Qazi do?</t>
  </si>
  <si>
    <t>বর/কন্যা</t>
  </si>
  <si>
    <t>বর্ষাতেও গাভীর স্তন ভিজে না।</t>
  </si>
  <si>
    <t>বর্ষাতেও গাভীর স্তন ভিজে না</t>
  </si>
  <si>
    <t>নিজের কাজে ব্যস্ত থাকলে বাইরের কিছু প্রভাব ফেলে না।</t>
  </si>
  <si>
    <t>Even in rain, the cow's udder does not get wet.</t>
  </si>
  <si>
    <t>বর মরুক বা কন্যা মরুক ডোমের মজুরী যাবার নয়।</t>
  </si>
  <si>
    <t>বর মরুক বা কন্যা মরুক ডোমের মজুরী যাবার নয়</t>
  </si>
  <si>
    <t>যাই হোক, এক শ্রেণির লাভ হয়।</t>
  </si>
  <si>
    <t>Whether the groom dies or the bride dies, the Dom's wages do not go.</t>
  </si>
  <si>
    <t>ডোম/পেশাজীবী</t>
  </si>
  <si>
    <t>বর্ব্বর লোকেই সূর্য্য দেখ্‌তে প্রদীপ জ্বালায়।</t>
  </si>
  <si>
    <t>বর্ব্বর লোকেই সূর্য দেখতে প্রদীপ জ্বালায়</t>
  </si>
  <si>
    <t>অজ্ঞ বা বর্বর মানুষ অপ্রয়োজনীয় কাজ করে।</t>
  </si>
  <si>
    <t>A barbarian lights a lamp to see the sun.</t>
  </si>
  <si>
    <t>বসে বসে খেলে সমুদ্রের বালিও কুলায় না।</t>
  </si>
  <si>
    <t>বসে বসে খেলে সমুদ্রের বালিও কুলায় না</t>
  </si>
  <si>
    <t>অলস বসে থাকলে সব শেষ হয়ে যায়।</t>
  </si>
  <si>
    <t>Even the sea's sand runs out if you sit and eat.</t>
  </si>
  <si>
    <t>বনের ওল্ আর বাঘা তেঁতুল।</t>
  </si>
  <si>
    <t>বনের ওল আর বাঘা তেঁতুল</t>
  </si>
  <si>
    <t>বিপদের সম্মুখীন হয়ে সাহসী হওয়া।</t>
  </si>
  <si>
    <t>The forest's yam and the tiger's tamarind.</t>
  </si>
  <si>
    <t>বরং মর্‌ব ভুখে তবু ঝড় জলে থাকি সুখে।</t>
  </si>
  <si>
    <t>বরং মরব ভুখে তবু ঝড় জলে থাকি সুখে</t>
  </si>
  <si>
    <t>ক্ষুধায় মরবো, কিন্তু ঝড়-জলে সুখে থাকবো।</t>
  </si>
  <si>
    <t>I'd rather die hungry than be happy in stormy water.</t>
  </si>
  <si>
    <t>বসে থাক্‌রে বক আমার আশে, আমি আসিব কার্ত্তিক মাসে।</t>
  </si>
  <si>
    <t>বসে থাকোরে বক আমার আশে, আমি আসিব কার্ত্তিক মাসে</t>
  </si>
  <si>
    <t>অপেক্ষা করো, আমি কার্তিক মাসে আসবো।</t>
  </si>
  <si>
    <t>Wait, O crane, for me; I will come in the month of Kartik.</t>
  </si>
  <si>
    <t>বসলে ক্রোশ্ আহারে প্রহর ঘটে।</t>
  </si>
  <si>
    <t>বসলে ক্রোশ আহারে প্রহর ঘটে</t>
  </si>
  <si>
    <t>বসে থাকলে সময় নষ্ট হয়।</t>
  </si>
  <si>
    <t>Sitting leads to crores of delay in eating.</t>
  </si>
  <si>
    <t>বাঘ চিন্‌লেন গোপাল দাস মহিষের মতন সিং।</t>
  </si>
  <si>
    <t>বাঘ চিনলেন গোপাল দাস মহিষের মতন সিং</t>
  </si>
  <si>
    <t>বড়কে চেনার ভুল।</t>
  </si>
  <si>
    <t>Gopal Das recognized the tiger as a buffalo.</t>
  </si>
  <si>
    <t>বাড়ীর গাছা পেটের বাছা।</t>
  </si>
  <si>
    <t>বাড়ির গাছা পেটের বাছা</t>
  </si>
  <si>
    <t>ঘরের জিনিস ও পেটের সন্তান—উভয়ই মূল্যবান।</t>
  </si>
  <si>
    <t>The tree of the house and the child of the belly.</t>
  </si>
  <si>
    <t>বাদলে বাদলে বেলা যার, সিয়ানা বৌ তিন বার খায়।</t>
  </si>
  <si>
    <t>বাদলে বাদলে বেলা যার, সিয়ানা বৌ তিন বার খায়</t>
  </si>
  <si>
    <t>মেঘ থাকলে বেলা কাটে, আর সিয়ানা বৌ তিনবার খায়।</t>
  </si>
  <si>
    <t>If it's cloudy, the day passes; the clever wife eats three times.</t>
  </si>
  <si>
    <t>বাড়ীতে একটা নটে শাগ, যারে না দি তারই রাগ।</t>
  </si>
  <si>
    <t>বাড়িতে একটা নটে শাগ, যারে না দি তারই রাগ</t>
  </si>
  <si>
    <t>অল্প জিনিস নিয়ে অনেক ঝগড়া।</t>
  </si>
  <si>
    <t>There's one wild spinach at home; whoever doesn't get it, gets angry.</t>
  </si>
  <si>
    <t>বাটলে মরে না কিন্তু কাট্‌লেই মরে।</t>
  </si>
  <si>
    <t>বাটলে মরে না কিন্তু কাটলেই মরে</t>
  </si>
  <si>
    <t>আঘাত সহ্য হয়, কিন্তু কাটলে মৃত্যু।</t>
  </si>
  <si>
    <t>It doesn't die from pounding, but dies from cutting.</t>
  </si>
  <si>
    <t>বাঘ লাজালে মাটী কামড়ায়।</t>
  </si>
  <si>
    <t>বাঘ লাজালে মাটি কামড়ায়</t>
  </si>
  <si>
    <t>শক্তিশালী ব্যক্তি অপমানে ক্রুদ্ধ হয়।</t>
  </si>
  <si>
    <t>When the tiger is ashamed, it bites the ground.</t>
  </si>
  <si>
    <t>বগালের স্বাদ কি দরবার?</t>
  </si>
  <si>
    <t>অপদার্থের প্রশংসা বা গুরুত্ব নেই।</t>
  </si>
  <si>
    <t>What taste does the crane have in the court?</t>
  </si>
  <si>
    <t>বাঘে ছুঁলে আঠারো ঘা।</t>
  </si>
  <si>
    <t>বাঘে ছুঁলে আঠারো ঘা</t>
  </si>
  <si>
    <t>বিপদ এলে অনেক ক্ষতি হয়।</t>
  </si>
  <si>
    <t>If a tiger touches, eighteen wounds.</t>
  </si>
  <si>
    <t>বাশি পড়লে কুত্তায় খায়।</t>
  </si>
  <si>
    <t>বাশি পড়লে কুত্তায় খায়</t>
  </si>
  <si>
    <t>সুযোগ পেলে অন্যে লাভ নেয়।</t>
  </si>
  <si>
    <t>When the bamboo falls, the dog eats it.</t>
  </si>
  <si>
    <t>বাঁশের বনে ডোম কানা।</t>
  </si>
  <si>
    <t>বাঁশের বনে ডোম কানা</t>
  </si>
  <si>
    <t>In the bamboo forest, the Dom is one-eyed.</t>
  </si>
  <si>
    <t>আত্মমর্যাদা</t>
  </si>
  <si>
    <t>বাপের কালে চাষ নাই, ভালুকের সঙ্গে মিতা।</t>
  </si>
  <si>
    <t>বাপের কালে চাষ নাই, ভালুকের সঙ্গে মিতা</t>
  </si>
  <si>
    <t>পুরনো দিনের কথা নতুন করে বলা।</t>
  </si>
  <si>
    <t>No farming in the father's time, friendship with a bear.</t>
  </si>
  <si>
    <t>বাপের বিছানা নেকড়া কেঁথা, বেটার মাথার ভোজপুরের ছাতা।</t>
  </si>
  <si>
    <t>বাপের বিছানা নেকড়া কেঁথা, বেটার মাথার ভোজপুরের ছাতা</t>
  </si>
  <si>
    <t>পিতার সংসার কষ্টকর, কিন্তু পুত্রের জীবন আরামদায়ক।</t>
  </si>
  <si>
    <t>Father's bed is a torn quilt, son's head is a Vajrapur umbrella.</t>
  </si>
  <si>
    <t>বাপ মারে নাই মণ্ডুক, পুত্র পুরন্দর।</t>
  </si>
  <si>
    <t>বাপ মারে নাই মণ্ডুক, পুত্র পুরন্দর</t>
  </si>
  <si>
    <t>পিতা কিছুই পারেনি, কিন্তু পুত্র বড় হয়েছে।</t>
  </si>
  <si>
    <t>The father didn't kill the frog, the son is Purandar.</t>
  </si>
  <si>
    <t>বাঁশ মরে ফুলে, মানুষ মরে বুলে।</t>
  </si>
  <si>
    <t>বাঁশ মরে ফুলে, মানুষ মরে বুলে</t>
  </si>
  <si>
    <t>বাঁশ ফুলে মরে, মানুষ গুজবে মরে।</t>
  </si>
  <si>
    <t>Bamboo dies by flowering, man dies by gossip.</t>
  </si>
  <si>
    <t>গুজবপ্রিয় ব্যক্তি</t>
  </si>
  <si>
    <t>বাঁদরের চুল হলে বাঁধিতে জানে না।</t>
  </si>
  <si>
    <t>বাঁদরের চুল হলে বাঁধিতে জানে না</t>
  </si>
  <si>
    <t>সুযোগ পেলেও কাজ করতে না পারা।</t>
  </si>
  <si>
    <t>If a monkey had hair, it doesn't know how to tie it.</t>
  </si>
  <si>
    <t>বাঁদরের সম্পত্তি গালেই থাকে।</t>
  </si>
  <si>
    <t>বাঁদরের সম্পত্তি গালেই থাকে</t>
  </si>
  <si>
    <t>যার কিছুই নেই, তার সম্পত্তি তার গালেই থাকে।</t>
  </si>
  <si>
    <t>The monkey's property stays in its cheeks.</t>
  </si>
  <si>
    <t>বারো উনন্ তেরো খামার, যথা যাই তথায় আমার।</t>
  </si>
  <si>
    <t>বারো উনন তেরো খামার, যথা যাই তথায় আমার</t>
  </si>
  <si>
    <t>সব জায়গায় আমার অধিকার।</t>
  </si>
  <si>
    <t>Twelve ovens, thirteen granaries, wherever I go, it's mine.</t>
  </si>
  <si>
    <t>বাবলাতে চন্দন দিলেও বাবলার গন্ধ মিটে না, যার যে প্রকৃতি তা মরিলে ও ছেটে না।</t>
  </si>
  <si>
    <t>বাবলাতে চন্দন দিলেও বাবলার গন্ধ মিটে না, যার যে প্রকৃতি তা মরিলে ও ছেটে না</t>
  </si>
  <si>
    <t>স্বভাব কখনও বদলায় না।</t>
  </si>
  <si>
    <t>Even if you apply sandalwood to the babla tree, its smell doesn't go away; one's nature doesn't change even in death.</t>
  </si>
  <si>
    <t>বানিজ্যে বশতে লক্ষ্মী।</t>
  </si>
  <si>
    <t>বানিজ্যে বশতে লক্ষ্মী</t>
  </si>
  <si>
    <t>বাণিজ্যে বশ্যতা বা নম্রতা সম্পদ আনে।</t>
  </si>
  <si>
    <t>In business, humility brings Lakshmi.</t>
  </si>
  <si>
    <t>ব্যবসায়ী</t>
  </si>
  <si>
    <t>বাড়ীর ভিতর তেঁতুল তাল, দুঃখ থাকে সর্ব্ব কাল।</t>
  </si>
  <si>
    <t>বাড়ির ভিতর তেঁতুল তাল, দুঃখ থাকে সর্ব্ব কাল</t>
  </si>
  <si>
    <t>ঘরের মধ্যে তেঁতুল ও তাল গাছ থাকলে সর্বদা দুঃখ থাকে।</t>
  </si>
  <si>
    <t>If there are tamarind and palm trees inside the house, sorrow remains forever.</t>
  </si>
  <si>
    <t>গৃহস্থালী</t>
  </si>
  <si>
    <t>বাপ পণ্ডিত বেটা মুর্খ ডাক বলে তার সদাই দুঃখ।</t>
  </si>
  <si>
    <t>বাপ পণ্ডিত বেটা মুর্খ ডাক বলে তার সদাই দুঃখ</t>
  </si>
  <si>
    <t>পণ্ডিত বাবার মুর্খ ছেলে সবার কাছে দুঃখের কারণ।</t>
  </si>
  <si>
    <t>The father is wise, the son is a fool; everyone calls his sorrow eternal.</t>
  </si>
  <si>
    <t>বামন হয়ে চাঁদে হাত।</t>
  </si>
  <si>
    <t>বামন হয়ে চাঁদে হাত</t>
  </si>
  <si>
    <t>ছোট হয়ে বড় কাজ করা।</t>
  </si>
  <si>
    <t>Being a dwarf, reaching for the moon.</t>
  </si>
  <si>
    <t>অক্ষম/উচ্চাকাঙ্ক্ষী</t>
  </si>
  <si>
    <t>বাঁদ লক্ষ্যে চাস, কুটুম লক্ষ্যে বাস।</t>
  </si>
  <si>
    <t>বাঁদ লক্ষ্যে চাস, কুটুম লক্ষ্যে বাস</t>
  </si>
  <si>
    <t>কাজের লক্ষ্য ও বাসস্থানের গুরুত্ব।</t>
  </si>
  <si>
    <t>Farming with the left aim, living with relatives in mind.</t>
  </si>
  <si>
    <t>বাঁদরের হাতে শালগ্রাম, ঘুঁসতে ঘুঁসতে যায় প্রাণ।</t>
  </si>
  <si>
    <t>বাঁদরের হাতে শালগ্রাম, ঘুঁসতে ঘুঁসতে যায় প্রাণ</t>
  </si>
  <si>
    <t>মূল্যবান জিনিস অপাত্রের হাতে পড়লে নষ্ট হয়।</t>
  </si>
  <si>
    <t>A Shalagrama in a monkey's hand, rubbing it rubs the life away.</t>
  </si>
  <si>
    <t>বাপ মারে নাই ফড়িঙ্গ, পুত্র বরকন্‌দাজ।</t>
  </si>
  <si>
    <t>বাপ মারে নাই ফড়িঙ্গ, পুত্র বরকন্দাজ</t>
  </si>
  <si>
    <t>পিতা কিছুই পারে না, কিন্তু পুত্র বড় যোদ্ধা।</t>
  </si>
  <si>
    <t>The father didn't kill a grasshopper, the son is a brave warrior.</t>
  </si>
  <si>
    <t>বাপ বড় বাপের নাম ডুবিয়ে হরে শুঁড়ির নাতি।</t>
  </si>
  <si>
    <t>বাপ বড় বাপের নাম ডুবিয়ে হরে শুঁড়ির নাতি</t>
  </si>
  <si>
    <t>পিতার নাম নষ্ট করে পুত্রের অপমান।</t>
  </si>
  <si>
    <t>The father drowns the father's name, the grandson of the drunkard.</t>
  </si>
  <si>
    <t>বারো বৎসরে গোবিন্দ দ্বাদশী।</t>
  </si>
  <si>
    <t>বারো বৎসরে গোবিন্দ দ্বাদশী</t>
  </si>
  <si>
    <t>অত্যন্ত বিরল ঘটনা।</t>
  </si>
  <si>
    <t>Govinda Dwadashi after twelve years.</t>
  </si>
  <si>
    <t>ধর্মীয়</t>
  </si>
  <si>
    <t>বাঁদা খেকঁড়া বালকের বশ।</t>
  </si>
  <si>
    <t>বাঁদা খেকঁড়া বালকের বশ</t>
  </si>
  <si>
    <t>ছেলেদের ভীতি বা ভয়।</t>
  </si>
  <si>
    <t>The crooked one is under the control of the boy.</t>
  </si>
  <si>
    <t>শিশু/বালক</t>
  </si>
  <si>
    <t>বাঘের দক্ষীনা প্রাণ দান।</t>
  </si>
  <si>
    <t>বাঘের দক্ষীনা প্রাণ দান</t>
  </si>
  <si>
    <t>বাঘের দান মানে প্রাণ দেওয়া।</t>
  </si>
  <si>
    <t>Giving a tiger a gift means giving one's life.</t>
  </si>
  <si>
    <t>বামুন ঠাকুর বামুন ঠাকুর চা'ল চিবাইতে পার, আপন নারি পরের পারি যত দিতে পার।</t>
  </si>
  <si>
    <t>বামুন ঠাকুর বামুন ঠাকুর চাল চিবাতে পার, আপন নারি পরের পারি যত দিতে পার</t>
  </si>
  <si>
    <t>বামুনের ক্ষমতা চাল চিবানো ও দান করা।</t>
  </si>
  <si>
    <t>O Brahmin, you can chew rice, you can give to your own and others as much as you can.</t>
  </si>
  <si>
    <t>বালানাং রোদনম্ বলং।</t>
  </si>
  <si>
    <t>বালানাং রোদনম্ বলং</t>
  </si>
  <si>
    <t>শিশুদের কান্নাই তাদের বল।</t>
  </si>
  <si>
    <t>For children, crying is their strength.</t>
  </si>
  <si>
    <t>বামুনকে বস্ত্র দান ভিন্ন তার শানা, বামুনকে গোরুদান এক চক্ষু কানা, বামুনকে ভূমিদান চাস কর্‌তে মানা।</t>
  </si>
  <si>
    <t>বামুনকে বস্ত্র দান ভিন্ন তার শানা, বামুনকে গোরুদান এক চক্ষু কানা, বামুনকে ভূমিদান চাস করতে মানা</t>
  </si>
  <si>
    <t>বামুনকে বিভিন্ন দানের ফল ভিন্ন।</t>
  </si>
  <si>
    <t>Giving cloth to a Brahmin is different from giving a cow; giving land is forbidden.</t>
  </si>
  <si>
    <t>ধর্মীয় দান</t>
  </si>
  <si>
    <t>বামুন, বাদল, বান, দক্ষিনা পেলেই যান।</t>
  </si>
  <si>
    <t>বামুন, বাদল, বান, দক্ষিণা পেলেই যান</t>
  </si>
  <si>
    <t>ব্রাহ্মণ, বৃষ্টি ও বন্যা—দক্ষিণা পেলেই চলে যায়।</t>
  </si>
  <si>
    <t>Brahmin, rain and flood—go away after getting the gift.</t>
  </si>
  <si>
    <t>বামন/প্রকৃতি</t>
  </si>
  <si>
    <t>বিশকর্ম্মার বেটা বাইশকর্ম্মা।</t>
  </si>
  <si>
    <t>বিশকর্ম্মার বেটা বাইশকর্ম্মা</t>
  </si>
  <si>
    <t>কারিগরের ছেলে আরও বেশি দক্ষ।</t>
  </si>
  <si>
    <t>The son of Vishwakarma is twenty-two times more skilled.</t>
  </si>
  <si>
    <t>কারিগর/দক্ষ</t>
  </si>
  <si>
    <t>বিয়ে না হতেই উঠনে নাচ্।</t>
  </si>
  <si>
    <t>বিয়ে না হতেই উঠনে নাচ</t>
  </si>
  <si>
    <t>Dancing in the yard before the wedding.</t>
  </si>
  <si>
    <t>বিদ্যারত্ন মহাধন।</t>
  </si>
  <si>
    <t>বিদ্যারত্ন মহাধন</t>
  </si>
  <si>
    <t>বিদ্যা বা জ্ঞান মহাধন।</t>
  </si>
  <si>
    <t>Learning is a great treasure.</t>
  </si>
  <si>
    <t>বিনা লক্ষে বাজি হয় না।</t>
  </si>
  <si>
    <t>বিনা লক্ষে বাজি হয় না</t>
  </si>
  <si>
    <t>টার্গেট ছাড়া কাজ সফল হয় না।</t>
  </si>
  <si>
    <t>Without aim, the bet doesn't work.</t>
  </si>
  <si>
    <t>অস্থির/অলস</t>
  </si>
  <si>
    <t>কাজ</t>
  </si>
  <si>
    <t>বিশাল শেওড়া অপেক্ষা চন্দনের এক চটাও ভাল।</t>
  </si>
  <si>
    <t>বিশাল শেওড়া অপেক্ষা চন্দনের এক চটাও ভাল</t>
  </si>
  <si>
    <t>গুণহীন বড় জিনিসের চেয়ে গুণী ছোট জিনিস ভালো।</t>
  </si>
  <si>
    <t>A small piece of sandalwood is better than a large Shora tree.</t>
  </si>
  <si>
    <t>গুণী/অগুণী</t>
  </si>
  <si>
    <t>বিমাতার শ্রদ্ধা গড়গড়্যে পিঠের ঝোল শান বান শান তলে যায় বান্।</t>
  </si>
  <si>
    <t>বিমাতার শ্রদ্ধা গড়গড়্যে পিঠের ঝোল শান বান শান তলে যায় বান</t>
  </si>
  <si>
    <t>সৎ মায়ের আচরণ নিয়ে ব্যঙ্গ।</t>
  </si>
  <si>
    <t>The stepmother's devotion with a begging bowl.</t>
  </si>
  <si>
    <t>সৎ মা</t>
  </si>
  <si>
    <t>বিদ্যাশূন্য ভট্টাচার্য্য।</t>
  </si>
  <si>
    <t>বিদ্যাশূন্য ভট্টাচার্য্য</t>
  </si>
  <si>
    <t>বিদ্যা নেই এমন ব্রাহ্মণ।</t>
  </si>
  <si>
    <t>A Brahmin without learning.</t>
  </si>
  <si>
    <t>বিপদের বেলায় ভগবান্।</t>
  </si>
  <si>
    <t>বিপদের বেলায় ভগবান</t>
  </si>
  <si>
    <t>বিপদে ঈশ্বরকে স্মরণ করা।</t>
  </si>
  <si>
    <t>In times of danger, God comes to mind.</t>
  </si>
  <si>
    <t>বিশ্বাসে মিলে বস্তু তর্কে বহুদূর।</t>
  </si>
  <si>
    <t>বিশ্বাসে মিলে বস্তু তর্কে বহুদূর</t>
  </si>
  <si>
    <t>বিশ্বাস থাকলে সব পাওয়া যায়, তর্ক করলে দূর হয়।</t>
  </si>
  <si>
    <t>Faith brings things, argument takes them far away.</t>
  </si>
  <si>
    <t>বিশ্বাসী/তর্কপ্রিয়</t>
  </si>
  <si>
    <t>বীর্য্যবানের হাঁক সহজে কি যায় ফাঁক?</t>
  </si>
  <si>
    <t>সাহসী মানুষের ডাক সহজে ব্যর্থ হয় না।</t>
  </si>
  <si>
    <t>A brave man's call does not go in vain easily.</t>
  </si>
  <si>
    <t>বিড়ালের ভাগ্যে শিকাঁ ছিঁড়েছে।</t>
  </si>
  <si>
    <t>বিড়ালের ভাগ্যে শিকাঁ ছিঁড়েছে</t>
  </si>
  <si>
    <t>সৌভাগ্য হঠাৎ এসে যায়।</t>
  </si>
  <si>
    <t>The cat's fortune has torn the string.</t>
  </si>
  <si>
    <t>বিনা সোহাগায় সোনা গলে না।</t>
  </si>
  <si>
    <t>বিনা সোহাগায় সোনা গলে না</t>
  </si>
  <si>
    <t>ভালোবাসা বা যত্ন ছাড়া কিছুই মূল্যবান হয় না।</t>
  </si>
  <si>
    <t>Without affection, gold does not melt.</t>
  </si>
  <si>
    <t>বেচা গোরুর দাঁত দেখায় লাভ কি?</t>
  </si>
  <si>
    <t>বিক্রি হয়ে যাওয়া জিনিসের গুণ দেখে লাভ নেই।</t>
  </si>
  <si>
    <t>What's the use of seeing the teeth of a sold cow?</t>
  </si>
  <si>
    <t>বিষম জনের ফেউ বুঝতে নারে কেও।</t>
  </si>
  <si>
    <t>বিষম জনের ফেউ বুঝতে নারে কেও</t>
  </si>
  <si>
    <t>খারাপ মানুষের কথা কেউ বুঝতে পারে না।</t>
  </si>
  <si>
    <t>No one understands the speech of a wicked person.</t>
  </si>
  <si>
    <t>বুড় ঘোড়া টাট পুরানা যে বেচে সেই শিয়ানা।</t>
  </si>
  <si>
    <t>বুড় ঘোড়া টাট পুরানা যে বেচে সেই শিয়ানা</t>
  </si>
  <si>
    <t>পুরনো জিনিস বিক্রি করাই বুদ্ধিমানের কাজ।</t>
  </si>
  <si>
    <t>Whoever sells an old horse is wise.</t>
  </si>
  <si>
    <t>বেটার মুরদের কি সীকা পচা মাছে দেয় গিমা।</t>
  </si>
  <si>
    <t>বেটার মুরদের কি সীকা পচা মাছে দেয় গিমা</t>
  </si>
  <si>
    <t>খারাপ কাজের ফল খারাপ।</t>
  </si>
  <si>
    <t>The son's dead body gives a bad smell to rotten fish.</t>
  </si>
  <si>
    <t>ব্যাপারে অপার দুঃখ চাষে রূপ নাশে, চাকূরে কুকুরে বিদ্যা ফিরে নেচে নেচে।</t>
  </si>
  <si>
    <t>ব্যাপারে অপার দুঃখ চাষে রূপ নাশে, চাকূরে কুকুরে বিদ্যা ফিরে নেচে নেচে</t>
  </si>
  <si>
    <t>ব্যবসায় কষ্ট, চাষে রূপ নষ্ট, চাকরের কাজে অহংকার।</t>
  </si>
  <si>
    <t>In business, great sorrow; in farming, beauty is lost; in service, the dog dances.</t>
  </si>
  <si>
    <t>ব্যাপার করিতে গেলাম ভবনদীর কুল, কেউ কল্ল্যেক ডবল ব্যাপার কেও হারালেক মূল।</t>
  </si>
  <si>
    <t>ব্যাপার করিতে গেলাম ভবনদীর কুল, কেউ কল্ল্যেক ডবল ব্যাপার কেও হারালেক মূল</t>
  </si>
  <si>
    <t>ব্যবসায় কেউ লাভ করে, কেউ মূল হারায়।</t>
  </si>
  <si>
    <t>I went to do business on the banks of Bhabanadi; some doubled, some lost their capital.</t>
  </si>
  <si>
    <t>বেল্ পাক্‌লে কাকের কি?</t>
  </si>
  <si>
    <t>বেল পাকলে কাকের কি?</t>
  </si>
  <si>
    <t>অন্যের সুখে কারও লাভ হয় না।</t>
  </si>
  <si>
    <t>When the wood apple ripens, what does the crow get?</t>
  </si>
  <si>
    <t>বেঁঠে মানুষ চল্‌তে, লম্বা মানুষ নলতে, ভাল।</t>
  </si>
  <si>
    <t>বেঁঠে মানুষ চলতে, লম্বা মানুষ নলতে, ভাল</t>
  </si>
  <si>
    <t>বেঁটে মানুষ চলতে পারে, লম্বা মানুষ নলতে পারে—উভয়ের নিজস্ব দক্ষতা।</t>
  </si>
  <si>
    <t>Short people walk well, tall people bend well.</t>
  </si>
  <si>
    <t>শারীরিক গঠন</t>
  </si>
  <si>
    <t>বৈরাগীর জাত্‌ নাই, গঙ্গার ঘাট নাই।</t>
  </si>
  <si>
    <t>বৈরাগীর জাত্ নাই, গঙ্গার ঘাট নাই</t>
  </si>
  <si>
    <t>যার কিছুই নেই, তার কোনো পরিচয় নেই।</t>
  </si>
  <si>
    <t>The ascetic has no caste, the Ganges has no ghat.</t>
  </si>
  <si>
    <t>বৈরাগী/সন্ন্যাসী</t>
  </si>
  <si>
    <t>বোঝার উপর শাকের আঁটী।</t>
  </si>
  <si>
    <t>বোঝার উপর শাকের আঁটী</t>
  </si>
  <si>
    <t>বোঝার উপর সামান্য জিনিসও বেশি মনে হয়।</t>
  </si>
  <si>
    <t>A bundle of greens on top of a load.</t>
  </si>
  <si>
    <t>বৌ, বিড়ালী, মাছি এই তিন নাই বাছি॥</t>
  </si>
  <si>
    <t>বৌ, বিড়ালী, মাছি—এই তিন নাই বাছি</t>
  </si>
  <si>
    <t>এই তিন জিনিসের কোনো নির্বাচন নেই।</t>
  </si>
  <si>
    <t>Wife, cat, fly—these three have no choice.</t>
  </si>
  <si>
    <t>বৃদ্ধ বেশ্যা তপস্বিনী।</t>
  </si>
  <si>
    <t>বৃদ্ধ বেশ্যা তপস্বিনী</t>
  </si>
  <si>
    <t>বৃদ্ধ পতিতা সন্ন্যাসিনীর মতো।</t>
  </si>
  <si>
    <t>An old prostitute is like an ascetic.</t>
  </si>
  <si>
    <t>বেশ্যা/বৃদ্ধ</t>
  </si>
  <si>
    <t>ভল্লুকের অল্প ঘা নখে বৃদ্ধি করে।</t>
  </si>
  <si>
    <t>ভল্লুকের অল্প ঘা নখে বৃদ্ধি করে</t>
  </si>
  <si>
    <t>সামান্য আঘাতেও বড় হয়।</t>
  </si>
  <si>
    <t>A small blow from a bear increases the nail.</t>
  </si>
  <si>
    <t>ভক্তির বশ ভগবান্‌।</t>
  </si>
  <si>
    <t>ভক্তির বশ ভগবান</t>
  </si>
  <si>
    <t>ভক্তির কাছে ঈশ্বর বশীভূত হন।</t>
  </si>
  <si>
    <t>God is under the control of devotion.</t>
  </si>
  <si>
    <t>ভক্ত/আস্তিক</t>
  </si>
  <si>
    <t>ভক্ত জন ঈশ্বর প্রিয়।</t>
  </si>
  <si>
    <t>ভক্ত জন ঈশ্বর প্রিয়</t>
  </si>
  <si>
    <t>ভক্তরা ঈশ্বরের প্রিয়।</t>
  </si>
  <si>
    <t>Devotees are dear to God.</t>
  </si>
  <si>
    <t>ভাজা খাবে তো তেলের ব্যয়।</t>
  </si>
  <si>
    <t>ভাজা খাবে তো তেলের ব্যয়</t>
  </si>
  <si>
    <t>ভাজা খেতে হলে তেলের খরচও করতে হয়।</t>
  </si>
  <si>
    <t>If you want to eat fried food, you have to spend on oil.</t>
  </si>
  <si>
    <t>ভাতের আদর তেলে চিনায়।</t>
  </si>
  <si>
    <t>ভাতের আদর তেলে চিনায়</t>
  </si>
  <si>
    <t>ভাতের গুরুত্ব তেল দিয়েই বোঝা যায়।</t>
  </si>
  <si>
    <t>The respect for rice is known by oil.</t>
  </si>
  <si>
    <t>ভাত খেতে ভুতে কিলায়।</t>
  </si>
  <si>
    <t>ভাত খেতে ভুতে কিলায়</t>
  </si>
  <si>
    <t>ভাত খেতে গেলে ভূতের কিল (অর্থাৎ ভাত খেতে বাধা)।</t>
  </si>
  <si>
    <t>While eating rice, ghosts hit.</t>
  </si>
  <si>
    <t>ভাত থাকিলে কাকের অভাব নাই।</t>
  </si>
  <si>
    <t>ভাত থাকিলে কাকের অভাব নাই</t>
  </si>
  <si>
    <t>যথেষ্ট থাকলে অন্যের অভাব হয় না।</t>
  </si>
  <si>
    <t>If there is rice, there is no shortage of crows.</t>
  </si>
  <si>
    <t>ভাত খাইয়া পথ চলে আপনি মরে দৈবের দোষ।</t>
  </si>
  <si>
    <t>ভাত খাইয়া পথ চলে আপনি মরে দৈবের দোষ</t>
  </si>
  <si>
    <t>ভাত খেয়ে পথ চলে, মরে গেলে দৈবের দোষ।</t>
  </si>
  <si>
    <t>Eating rice, walking the path; if you die, you blame fate.</t>
  </si>
  <si>
    <t>ভাই বিনা ধন নাই যদি না করে হিংসা, ধান বিনা ধন নাই যদি না পড়ে ভূষা।</t>
  </si>
  <si>
    <t>ভাই বিনা ধন নাই যদি না করে হিংসা, ধান বিনা ধন নাই যদি না পড়ে ভূষা</t>
  </si>
  <si>
    <t>ভাই না থাকলে সম্পদ থাকে না, তবে ঈর্ষাও থাকে; ধান না থাকলে সম্পদ থাকে না, তবে ঝড়ও থাকে।</t>
  </si>
  <si>
    <t>Without a brother, no wealth; without rice, no wealth.</t>
  </si>
  <si>
    <t>ভাই/আত্মীয়</t>
  </si>
  <si>
    <t>ভাবনাতে মরিল ভবানী তপ্ত ভাতে আমানী।</t>
  </si>
  <si>
    <t>ভাবনাতে মরিল ভবানী তপ্ত ভাতে আমানী</t>
  </si>
  <si>
    <t>চিন্তায় মানুষ মরে।</t>
  </si>
  <si>
    <t>Bhabani died in thought; the lady died in hot rice.</t>
  </si>
  <si>
    <t>ভাঙ্গা হাড়ি ঠাঁয়ে দঢ়।</t>
  </si>
  <si>
    <t>ভাঙ্গা হাড়ি ঠাঁয়ে দঢ়</t>
  </si>
  <si>
    <t>ভাঙা জিনিসও জায়গায় থাকলে ভালো।</t>
  </si>
  <si>
    <t>A broken pot is firm in its place.</t>
  </si>
  <si>
    <t>ভাই হয়ত বদল সয়।</t>
  </si>
  <si>
    <t>ভাই হয়ত বদল সয়</t>
  </si>
  <si>
    <t>ভাইয়ের সম্পর্কে পরিবর্তন হয়।</t>
  </si>
  <si>
    <t>A brother may change.</t>
  </si>
  <si>
    <t>ভাই ভাই, ঠাঁই ঠাঁই।</t>
  </si>
  <si>
    <t>ভাই ভাই, ঠাঁই ঠাঁই</t>
  </si>
  <si>
    <t>ভাইয়ের মধ্যে দূরত্ব থাকলে ভালো।</t>
  </si>
  <si>
    <t>Brothers and sisters, each in their own place.</t>
  </si>
  <si>
    <t>ভাঙ্গা ঘর চাঁদের আলো যদিন যায় তদিন ভাল।</t>
  </si>
  <si>
    <t>ভাঙ্গা ঘর চাঁদের আলো যদিন যায় তদিন ভাল</t>
  </si>
  <si>
    <t>ভাঙা ঘরে চাঁদের আলো পড়লে ভালো লাগে।</t>
  </si>
  <si>
    <t>Broken house with moonlight is good until the day is gone.</t>
  </si>
  <si>
    <t>ভাটের চুপ চুপ ব্যবসার হীন বেন্যার দান ঠাকুর হীন।</t>
  </si>
  <si>
    <t>ভাটার চুপচাপ ব্যবসা নষ্ট করে; বেন্যার দান ঠাকুরের মতো নষ্ট</t>
  </si>
  <si>
    <t>চুপচাপ থাকলে ব্যবসা নষ্ট হয়, আর বেন্যের দান ঠাকুরের কাছে বৃথা যায়।</t>
  </si>
  <si>
    <t>The oilman's silence ruins business; a wicked person's gift is like a gift to a god.</t>
  </si>
  <si>
    <t>ব্যবসায়ী/বেন্যে</t>
  </si>
  <si>
    <t>পেশা/আচরণগত</t>
  </si>
  <si>
    <t>ভাবিতে উচিৎ ছিল প্রতিজ্ঞা যখন।</t>
  </si>
  <si>
    <t>ভাবিতে উচিৎ ছিল প্রতিজ্ঞা যখন</t>
  </si>
  <si>
    <t>প্রতিজ্ঞা করার সময় ভালো করে ভাবা উচিত ছিল।</t>
  </si>
  <si>
    <t>It was better to think when making the promise.</t>
  </si>
  <si>
    <t>ভাংগা জিনিসই ভাংগে।</t>
  </si>
  <si>
    <t>ভাঙা জিনিসই ভাঙে</t>
  </si>
  <si>
    <t>ভাঙা জিনিস আরও সহজে ভাঙে।</t>
  </si>
  <si>
    <t>Broken things break (again).</t>
  </si>
  <si>
    <t>ভাগ হইতে ভাগ্য বড়।</t>
  </si>
  <si>
    <t>ভাগ হইতে ভাগ্য বড়</t>
  </si>
  <si>
    <t>ভাগ্য ভাগের চেয়েও বড় বা গুরুত্বপূর্ণ।</t>
  </si>
  <si>
    <t>Fate is greater than luck.</t>
  </si>
  <si>
    <t>ভাল ভরসা কল্লেম তোমার, প্রতিপালন করবে আমার, কিন্তু এই কল্ল্যে শেযে, যে নাই রাখ্‌লে দেশে।</t>
  </si>
  <si>
    <t>ভাল ভরসা করলাম তোমার, প্রতিপালন করবে আমার, কিন্তু এই করলে শেষ, যে না রাখলে দেশে</t>
  </si>
  <si>
    <t>অন্যের ওপর নির্ভর করা উচিত নয়; তারা সময়মতো সাহায্য নাও করতে পারে।</t>
  </si>
  <si>
    <t>I trusted you well, you would sustain me; but this ends if you don't stay in the country.</t>
  </si>
  <si>
    <t>ভাগ্যের ভাগী সবাই, দুর্ভাগ্যের ভাগী কেও নাই।</t>
  </si>
  <si>
    <t>ভাগ্যের ভাগী সবাই, দুর্ভাগ্যের ভাগী কেও নাই</t>
  </si>
  <si>
    <t>সুসময়ে সবাই অংশীদার, কিন্তু দুঃসময়ে কেউ থাকে না।</t>
  </si>
  <si>
    <t>Everyone shares good fortune, no one shares misfortune.</t>
  </si>
  <si>
    <t>ভিক্ষায় নাই নাই!</t>
  </si>
  <si>
    <t>ভিক্ষায় নাই নাই</t>
  </si>
  <si>
    <t>ভিক্ষা পেতে অনেক বাধা ও কষ্ট।</t>
  </si>
  <si>
    <t>There is no 'no' in begging!</t>
  </si>
  <si>
    <t>ভিক্ষুক</t>
  </si>
  <si>
    <t>ভুত শাস্ত্রের গুঁত দক্ষীনা।</t>
  </si>
  <si>
    <t>ভূত শাস্ত্রের গুঁত দক্ষিণা</t>
  </si>
  <si>
    <t>ভূতের শাস্ত্রে দক্ষিণা দিয়ে লাভ নেই (অর্থাৎ অর্থহীন কাজ)।</t>
  </si>
  <si>
    <t>Giving a gift to the ghost's scripture.</t>
  </si>
  <si>
    <t>ভুতের কোথায় জন্ম দিন?</t>
  </si>
  <si>
    <t>ভূতের কোথায় জন্মদিন?</t>
  </si>
  <si>
    <t>অসম্ভব বা অযৌক্তিক প্রশ্ন।</t>
  </si>
  <si>
    <t>Where is the ghost's birthday?</t>
  </si>
  <si>
    <t>ভুতকে স্বর্গদ্বার দেখান।</t>
  </si>
  <si>
    <t>ভূতকে স্বর্গদ্বার দেখান</t>
  </si>
  <si>
    <t>অযোগ্যকে ভালো সুযোগ দেওয়া।</t>
  </si>
  <si>
    <t>Showing the gates of heaven to a ghost.</t>
  </si>
  <si>
    <t>ভূত পিশাচ্ যে করে শাধন, মরণান্তে হয় তার নরকে গমন।</t>
  </si>
  <si>
    <t>ভূত-পিশাচ যারা সাধন করে, মৃত্যুর পর তাদের নরকে গমন</t>
  </si>
  <si>
    <t>অশুভ শক্তির সাধনা করলে পাপ হয়।</t>
  </si>
  <si>
    <t>Those who practice with ghosts go to hell after death.</t>
  </si>
  <si>
    <t>তান্ত্রিক/অশুভ</t>
  </si>
  <si>
    <t>ভেখেই ভিক্ষা মিল্‌তা।</t>
  </si>
  <si>
    <t>ভেখেই ভিক্ষা মিলতা</t>
  </si>
  <si>
    <t>ভিক্ষা করতে গেলে নানা রকম বাধা পেতে হয়।</t>
  </si>
  <si>
    <t>Begging gives only by showing.</t>
  </si>
  <si>
    <t>ভোখা যায় মাগ্‌ বেচিতে, ধ্বনি চায় বন্ধক রাখিতে।</t>
  </si>
  <si>
    <t>ভোখা যায় মাগ্ বেচিতে, ধ্বনি চায় বন্ধক রাখিতে</t>
  </si>
  <si>
    <t>ক্ষুধার্ত মানুষ যা কিছু বিক্রি করে; এমনকি তার স্ত্রীও।</t>
  </si>
  <si>
    <t>The hungry one goes to sell his wife; he wants to pawn the sound.</t>
  </si>
  <si>
    <t>স্ত্রী/দরিদ্র</t>
  </si>
  <si>
    <t>ভোজ ভোজ ভোজ আপনার পাতে পড়লেই ভোজ।</t>
  </si>
  <si>
    <t>ভোজ ভোজ ভোজ আপনার পাতে পড়লেই ভোজ</t>
  </si>
  <si>
    <t>পরের আয়োজনে নিজের সুবিধা নেওয়া।</t>
  </si>
  <si>
    <t>Feast, feast, feast—when it falls on your plate, it's a feast.</t>
  </si>
  <si>
    <t>মন খুঁজে ধন জিহ্বা‌ খুঁজে নুন।</t>
  </si>
  <si>
    <t>মন খুঁজে ধন, জিহ্বা খুঁজে নুন</t>
  </si>
  <si>
    <t>মন চায় সম্পদ, জিহ্বা চায় খাবারের স্বাদ (লবণ)।</t>
  </si>
  <si>
    <t>The mind seeks wealth, the tongue seeks salt.</t>
  </si>
  <si>
    <t>মরিল না সরিল।</t>
  </si>
  <si>
    <t>মরিল না সরিল</t>
  </si>
  <si>
    <t>নড়ে না বা বদলায় না।</t>
  </si>
  <si>
    <t>Died, didn't move.</t>
  </si>
  <si>
    <t>জেদি ব্যক্তি</t>
  </si>
  <si>
    <t>মরণ, ধরণ, পানি বরাহ কয় এতিন নাই জানি।</t>
  </si>
  <si>
    <t>মরণ, ধরণ, পানি বরাহ কয় এই তিন নাই জানি</t>
  </si>
  <si>
    <t>মৃত্যু, পৃথিবী ও পানি—এই তিনের গতি বুঝা যায় না।</t>
  </si>
  <si>
    <t>Death, earth, and water—I don't know these three.</t>
  </si>
  <si>
    <t>মলয়া গিরিতেই চন্দন আছে।</t>
  </si>
  <si>
    <t>মলয়া গিরিতেই চন্দন আছে</t>
  </si>
  <si>
    <t>সুগন্ধি জিনিস নিজের জায়গায় থাকে।</t>
  </si>
  <si>
    <t>Sandalwood is found only in the Malaya mountains.</t>
  </si>
  <si>
    <t>মরতে গেছে না, খাড়াদম দাঁড়িয়ে আছে।</t>
  </si>
  <si>
    <t>মরতে গেছে না, খাড়াদম দাঁড়িয়ে আছে</t>
  </si>
  <si>
    <t>ভয়ে বা অলসতায় কিছু না করে দাঁড়িয়ে থাকা।</t>
  </si>
  <si>
    <t>Didn't go to die, standing with a firm stance.</t>
  </si>
  <si>
    <t>অলস/ভীতু ব্যক্তি</t>
  </si>
  <si>
    <t>মর্দ্দ বড় রিংগে, মাগ্ বয় ধনুক তীর, ভাতার বাজায় সিংগে।</t>
  </si>
  <si>
    <t>মর্দ বড় রিংগে, মাগ্ বয় ধনুক তীর, ভাতার বাজায় সিংগে</t>
  </si>
  <si>
    <t>নানা ধরনের মানুষের নানা কাজ।</t>
  </si>
  <si>
    <t>The man wears rings, the woman carries bow and arrow, the husband plays the horn.</t>
  </si>
  <si>
    <t>মনের ধন জাহাজেও চলে না।</t>
  </si>
  <si>
    <t>মনের ধন জাহাজেও চলে না</t>
  </si>
  <si>
    <t>মনের সম্পদ বা গোপন কথা কারো কাছে প্রকাশ করা যায় না।</t>
  </si>
  <si>
    <t>The mind's wealth does not go even in a ship.</t>
  </si>
  <si>
    <t>মরা তামলী জলে ভাসে কাগ্ বলে কোন্ ছলে আছে।</t>
  </si>
  <si>
    <t>মরা তামলী জলে ভাসে কাক বলে কোন ছলে আছে</t>
  </si>
  <si>
    <t>অসম্ভবকে সম্ভব দেখানো।</t>
  </si>
  <si>
    <t>A dead tamale floats in water; the crow says what's the trick?</t>
  </si>
  <si>
    <t>মরা হাতি লাক্ টাকা।</t>
  </si>
  <si>
    <t>A dead elephant is worth a lakh of rupees.</t>
  </si>
  <si>
    <t>মরি কি মারি হারি কি পারি।</t>
  </si>
  <si>
    <t>মরি কি মারি হারি কি পারি</t>
  </si>
  <si>
    <t>জীবনে জয়-পরাজয় লেগেই থাকে।</t>
  </si>
  <si>
    <t>Whether I die or kill, whether I lose or win.</t>
  </si>
  <si>
    <t>মাসী বলতে মায়ের দেখা।</t>
  </si>
  <si>
    <t>মাসী বলতে মায়ের দেখা</t>
  </si>
  <si>
    <t>খালার কথা বললেই মায়ের কথা মনে পড়ে।</t>
  </si>
  <si>
    <t>Saying aunt brings the mother to mind.</t>
  </si>
  <si>
    <t>মা/মাসী</t>
  </si>
  <si>
    <t>মাছ ধরতে গেলেই কাদা লাগে গায়ে।</t>
  </si>
  <si>
    <t>মাছ ধরতে গেলেই কাদা লাগে গায়ে</t>
  </si>
  <si>
    <t>কাজ করতে গেলে ময়লা বা কষ্ট লেগেই থাকে।</t>
  </si>
  <si>
    <t>If you go fishing, mud gets on your body.</t>
  </si>
  <si>
    <t>মাসী কান্দছেন কেন? না বাছা মুখটাই এইরূপ।</t>
  </si>
  <si>
    <t>মাসী কাঁদছেন কেন? না বাছা মুখটাই এইরূপ</t>
  </si>
  <si>
    <t>অকারণে কান্নাকাটি।</t>
  </si>
  <si>
    <t>Why is the aunt crying? No, this is just how the face is.</t>
  </si>
  <si>
    <t>মাতাল নিজের প্রস্রাবে চাঁদ দেখে।</t>
  </si>
  <si>
    <t>মাতাল নিজের প্রস্রাবে চাঁদ দেখে</t>
  </si>
  <si>
    <t>মাতাল বা বিভ্রান্ত ব্যক্তি বাস্তবতাকে বিকৃত দেখে।</t>
  </si>
  <si>
    <t>A drunkard sees the moon in his own urine.</t>
  </si>
  <si>
    <t>মাতাল ব্যক্তি</t>
  </si>
  <si>
    <t>মাগো মা যে ডালে বশি সেই ডালই ভাঙ্গে।</t>
  </si>
  <si>
    <t>মাগো মা যে ডালে বসি সেই ডালই ভাঙ্গে</t>
  </si>
  <si>
    <t>যাকে আশ্রয় করি, সেই-ই বিপদ ডেকে আনে।</t>
  </si>
  <si>
    <t>Mother, the branch I sit on breaks.</t>
  </si>
  <si>
    <t>মা/আশ্রয়</t>
  </si>
  <si>
    <t>মানিলে দেবতা নইলে পাথর।</t>
  </si>
  <si>
    <t>মানিলে দেবতা নইলে পাথর</t>
  </si>
  <si>
    <t>বিশ্বাস থাকলে ঈশ্বর আছেন, নাহলে পাথর।</t>
  </si>
  <si>
    <t>If you believe, it's God; otherwise, a stone.</t>
  </si>
  <si>
    <t>আস্তিক/নাস্তিক</t>
  </si>
  <si>
    <t>মার হতে ধাক্কাই বেশি।</t>
  </si>
  <si>
    <t>মার হতে ধাক্কাই বেশি</t>
  </si>
  <si>
    <t>আঘাতের চেয়ে অপমান বেশি কষ্ট দেয়।</t>
  </si>
  <si>
    <t>The push is more than the hit.</t>
  </si>
  <si>
    <t>মারিলে অমর মরে।</t>
  </si>
  <si>
    <t>মারিলে অমর মরে</t>
  </si>
  <si>
    <t>শক্তিশালী বা অমরকেও দমন করা যায়।</t>
  </si>
  <si>
    <t>If you hit, even the immortal dies.</t>
  </si>
  <si>
    <t>মাছের মায়ের আবার পুতের শোক!</t>
  </si>
  <si>
    <t>যার নিজের অনুভূতি নেই, তার আবার শোক কী!</t>
  </si>
  <si>
    <t>What grief does the fish's mother have for her son!</t>
  </si>
  <si>
    <t>মা থাকিলে কি মাসীর জন্য কাঁদে।</t>
  </si>
  <si>
    <t>মা থাকিলে কি মাসীর জন্য কাঁদে</t>
  </si>
  <si>
    <t>মা থাকলে খালার জন্য কান্না করে না।</t>
  </si>
  <si>
    <t>If the mother is there, why cry for the aunt?</t>
  </si>
  <si>
    <t>মান বড় না পান বড়।</t>
  </si>
  <si>
    <t>মান বড় না পান বড়</t>
  </si>
  <si>
    <t>সম্মান বড়, নাকি পানি বড়?</t>
  </si>
  <si>
    <t>Is honor bigger or water?</t>
  </si>
  <si>
    <t>মামার বেলায় আমার, ভাগ্‌নার বেলায় হুঁ।</t>
  </si>
  <si>
    <t>মামার বেলায় আমার, ভাগ্নার বেলায় হুঁ</t>
  </si>
  <si>
    <t>মামার কাজে সক্রিয়, ভাগ্নার কাজে অলস।</t>
  </si>
  <si>
    <t>Active for the maternal uncle, lazy for the nephew.</t>
  </si>
  <si>
    <t>মামা/ভাগনা</t>
  </si>
  <si>
    <t>মাগ তো মুখ খাবে।</t>
  </si>
  <si>
    <t>মাগ তো মুখ খাবে</t>
  </si>
  <si>
    <t>স্ত্রী তো খাবেই (অর্থাৎ সংসারের খরচ চবেই)।</t>
  </si>
  <si>
    <t>The wife will eat the face.</t>
  </si>
  <si>
    <t>মা জানে বাগ, মন জানে পাপ।</t>
  </si>
  <si>
    <t>মা জানে বাগ, মন জানে পাপ</t>
  </si>
  <si>
    <t>মা জানে বাগানের কথা, মন জানে পাপের কথা।</t>
  </si>
  <si>
    <t>Mother knows the garden, the mind knows sin.</t>
  </si>
  <si>
    <t>মা/মন</t>
  </si>
  <si>
    <t>মাছের মধ্যে রুই, শাকের মধ্যে পুই।</t>
  </si>
  <si>
    <t>মাছের মধ্যে রুই, শাকের মধ্যে পুই</t>
  </si>
  <si>
    <t>প্রত্যেক শ্রেণিতে সেরা জিনিস আছে।</t>
  </si>
  <si>
    <t>Among fish, the ruhi; among greens, the pui.</t>
  </si>
  <si>
    <t>মা খায় ধান ভেনে, ছেলে খায় এলাইচ্‌ কিনে।</t>
  </si>
  <si>
    <t>মা খায় ধান ভেনে, ছেলে খায় এলাইচ্ কিনে</t>
  </si>
  <si>
    <t>মা কষ্ট করে, ছেলে বিলাসিতা করে।</t>
  </si>
  <si>
    <t>Mother eats rice by pounding, son eats cardamom.</t>
  </si>
  <si>
    <t>মাংসে ছুরী, হাড়ে কুঠারি।</t>
  </si>
  <si>
    <t>মাংসে ছুরি, হাড়ে কুঠারি</t>
  </si>
  <si>
    <t>শত্রুর ওপর কঠোর আঘাত।</t>
  </si>
  <si>
    <t>Knife on the flesh, axe on the bone.</t>
  </si>
  <si>
    <t>মানুষ ও হেতার, চেনা যায় না।</t>
  </si>
  <si>
    <t>মানুষ ও হেতার, চেনা যায় না</t>
  </si>
  <si>
    <t>ভালো-মন্দ বোঝা কঠিন।</t>
  </si>
  <si>
    <t>People and their hearts cannot be recognized.</t>
  </si>
  <si>
    <t>মাথা নাই তার মাথা ব্যথা।</t>
  </si>
  <si>
    <t>The one without a head has no headache.</t>
  </si>
  <si>
    <t>দায়িত্ব</t>
  </si>
  <si>
    <t>মা মরেছে ঘরেও ভাত নাই।</t>
  </si>
  <si>
    <t>মা মরেছে ঘরেও ভাত নাই</t>
  </si>
  <si>
    <t>মা মারা গেছেন, কিন্তু ঘরে খাবারও নেই।</t>
  </si>
  <si>
    <t>Mother has died, and there is no rice in the house.</t>
  </si>
  <si>
    <t>মাকড় মারলে ধকড়।</t>
  </si>
  <si>
    <t>মাকড় মারলে ধকড়</t>
  </si>
  <si>
    <t>মাকড় মারলে শব্দ হয় (অর্থাৎ সামান্য কাজেও প্রতিক্রিয়া)।</t>
  </si>
  <si>
    <t>If you kill the spider, it makes a sound.</t>
  </si>
  <si>
    <t>মামার ঘর, আর ডুমুর তল সমান।</t>
  </si>
  <si>
    <t>মামার ঘর, আর ডুমুর তল সমান</t>
  </si>
  <si>
    <t>মামার বাড়ি আর ডুমুর গাছের তলায় একই অবস্থা (অর্থাৎ সেখানে কিছু পাওয়া যায় না)।</t>
  </si>
  <si>
    <t>The maternal uncle's house is like the base of a fig tree.</t>
  </si>
  <si>
    <t>মাসী, পিষী বন কাপাসী, বনের মাঝে ঘর, কখন না বল্ল্যে মাসী খই লাড়ুটী ধর।</t>
  </si>
  <si>
    <t>মাসী, পিষী বন কাপাসী, বনের মাঝে ঘর, কখন না বললে মাসী খই লাড়ুটি ধর</t>
  </si>
  <si>
    <t>খালার কথা না বললে খাবারও পাওয়া যায় না।</t>
  </si>
  <si>
    <t>Aunt, female friend, cotton forest; house in the middle; if you don't call aunt, you don't get the puffed rice.</t>
  </si>
  <si>
    <t>মাস, নাস, উপবাস এতিন করে সর্দ্দীনাশ।</t>
  </si>
  <si>
    <t>মাস, নাস, উপবাস—এই তিন করে সর্দিনাশ</t>
  </si>
  <si>
    <t>মাস, নাক ও উপবাস—এই তিন সর্দি বা রোগ নষ্ট করে।</t>
  </si>
  <si>
    <t>Month, nose, fasting—these three destroy colds.</t>
  </si>
  <si>
    <t>মিছা কথা ছেঁচা জল বেশী দিন রয় না।</t>
  </si>
  <si>
    <t>মিছা কথা ছেঁচা জল বেশী দিন রয় না</t>
  </si>
  <si>
    <t>মিথ্যা কথা ও ছেঁচা জল বেশি দিন টেকে না।</t>
  </si>
  <si>
    <t>False words and thin water don't last long.</t>
  </si>
  <si>
    <t>মিনিসুরে গীত গায়, স্ত্রী মল্ল্যে শ্বশুর ঘর যায়, সাঁখা হাতি ঘুঁটে কুড়য় এ কয়জনকে মর্ত্তে জুয়ই।</t>
  </si>
  <si>
    <t>মিনিসুরে গীত গায়, স্ত্রী মল্ল্যে শ্বশুর ঘর যায়, সাঁখা হাতি ঘুঁটে কুড়য় এ কয়জনকে মর্ত্তে জুয়ই</t>
  </si>
  <si>
    <t>The singer sings, the wife goes to her in-laws' house, the elephant picks up dust.</t>
  </si>
  <si>
    <t>স্ত্রী/শ্বশুর</t>
  </si>
  <si>
    <t>মিনসে যে হেঁসে কথা কয় এতো গতিক ভাল নয়।</t>
  </si>
  <si>
    <t>মিনসে যে হেঁসে কথা কয় এতো গতিক ভাল নয়</t>
  </si>
  <si>
    <t>যে হেসে কথা বলে, তার দাবি ভালো নয়।</t>
  </si>
  <si>
    <t>The one who laughs while speaking is not good.</t>
  </si>
  <si>
    <t>মুর্খ পুত্র যমের সমান।</t>
  </si>
  <si>
    <t>মুর্খ পুত্র যমের সমান</t>
  </si>
  <si>
    <t>বোকা পুত্র যমের মতো বিপজ্জনক।</t>
  </si>
  <si>
    <t>A foolish son is like Yama.</t>
  </si>
  <si>
    <t>মুর্খের বল চুপ থাকা।</t>
  </si>
  <si>
    <t>মুর্খের বল চুপ থাকা</t>
  </si>
  <si>
    <t>মূর্খের জন্য নীরবতাই শক্তি।</t>
  </si>
  <si>
    <t>Silence is the strength of a fool.</t>
  </si>
  <si>
    <t>মুর্খও বুঝেনা পাথরও ভিজে না।</t>
  </si>
  <si>
    <t>মূর্খও বুঝে না পাথরও ভিজে না</t>
  </si>
  <si>
    <t>মূর্খ ও পাথর উভয়ই পরিবর্তন হয় না।</t>
  </si>
  <si>
    <t>The fool doesn't understand, the stone doesn't get wet.</t>
  </si>
  <si>
    <t>মুচির শাঁপে কি গােরু মরে?</t>
  </si>
  <si>
    <t>মুচির শাঁপে কি গরু মরে?</t>
  </si>
  <si>
    <t>নীচু বা দুর্বলের অভিশাপে কিছুর ক্ষতি হয় না।</t>
  </si>
  <si>
    <t>Does a cow die from a cobbler's curse?</t>
  </si>
  <si>
    <t>মুচি/নীচু</t>
  </si>
  <si>
    <t>মুর্গীর পায়ে তেল দেওয়া আহম্মকের কর্ম্ম।</t>
  </si>
  <si>
    <t>মুর্গীর পায়ে তেল দেওয়া আহম্মকের কর্ম</t>
  </si>
  <si>
    <t>মুরগির পায়ে তেল দেওয়া অর্থহীন কাজ।</t>
  </si>
  <si>
    <t>Putting oil on a hen's foot is the work of a fool.</t>
  </si>
  <si>
    <t>মুড়ি বল, চিড়েঁ বল, ভাতের মত নয়, মাসী বল, পিষী বল, মায়ের সমান নয়।</t>
  </si>
  <si>
    <t>মুড়ি বল, চিড়ে বল, ভাতের মত নয়; মাসী বল, পিষী বল, মায়ের সমান নয়</t>
  </si>
  <si>
    <t>মুড়ি ও চিড়ে ভাতের মতো নয়; মাসী ও পিষী মায়ের মতো নয়।</t>
  </si>
  <si>
    <t>Muri and chira are not like rice; aunt and friend are not like mother.</t>
  </si>
  <si>
    <t>মুরদারের চুল কাট্‌লে কি হালকী হয়?</t>
  </si>
  <si>
    <t>মুরদারের চুল কাটলে কি হালকি হয়?</t>
  </si>
  <si>
    <t>মৃতের চুল কাটলে তার কোনো লাভ হয় না।</t>
  </si>
  <si>
    <t>Does cutting a corpse's hair make it lighter?</t>
  </si>
  <si>
    <t>মেঘ হলেই বৃষ্টি হয় না।</t>
  </si>
  <si>
    <t>মেঘ হলেই বৃষ্টি হয় না</t>
  </si>
  <si>
    <t>শুধু আড়ম্বর থাকলেই কাজ হয় না।</t>
  </si>
  <si>
    <t>It doesn't rain just because there are clouds.</t>
  </si>
  <si>
    <t>প্রকৃতি/আচরণগত</t>
  </si>
  <si>
    <t>মরে রে ফড়িঙ্গা কালগু হেগে।</t>
  </si>
  <si>
    <t>মরে রে ফড়িঙ্গা কালগু হেগে</t>
  </si>
  <si>
    <t>ছোট জিনিসের মৃত্যুতে কেঁদে লাভ নেই।</t>
  </si>
  <si>
    <t>The grasshopper dies having black spots.</t>
  </si>
  <si>
    <t>মােটকে করতে ছােট্ ভারি।</t>
  </si>
  <si>
    <t>মোটকে করতে ছোট ভারি</t>
  </si>
  <si>
    <t>বড় কাজ করতে গেলে ছোট কিছু বাধা দেয়।</t>
  </si>
  <si>
    <t>Small burdens make big ones heavy.</t>
  </si>
  <si>
    <t>যত কু ও আমের ক্ষয় তাল তেঁতুলের কিবা হয়।</t>
  </si>
  <si>
    <t>যত কু ও আমের ক্ষয় তাল তেঁতুলের কিবা হয়</t>
  </si>
  <si>
    <t>আমের নষ্টের তোয়াক্কা নেই, তাল-তেঁতুলের কী!</t>
  </si>
  <si>
    <t>What does it matter if the mango is ruined, and the palm and tamarind are there!</t>
  </si>
  <si>
    <t>যত্র বায়ু তত্র শীত মাঘে মেঘে একই রীতি।</t>
  </si>
  <si>
    <t>যত্র বায়ু তত্র শীত মাঘে মেঘে একই রীতি</t>
  </si>
  <si>
    <t>যেখানে বাতাস, সেখানে শীত; মাঘে মেঘের নিয়ম।</t>
  </si>
  <si>
    <t>Where there is wind, there is cold; clouds in Magh follow the same rule.</t>
  </si>
  <si>
    <t>যতদিন থাকে ধান, ততদিন শুপারী পান।</t>
  </si>
  <si>
    <t>যতদিন থাকে ধান, ততদিন সুপারি পান</t>
  </si>
  <si>
    <t>যতদিন ধান থাকে, ততদিন সুপারি খাওয়া যায়।</t>
  </si>
  <si>
    <t>As long as there is rice, there is betel nut.</t>
  </si>
  <si>
    <t>যখন ঘাড়ে বসে চাপ্ তখন ডাকে বাপ।</t>
  </si>
  <si>
    <t>যখন ঘাড়ে বসে চাপ তখন ডাকে বাপ</t>
  </si>
  <si>
    <t>বিপদে পড়ে বাবাকে স্মরণ করা।</t>
  </si>
  <si>
    <t>When the pressure is on the neck, then one calls father.</t>
  </si>
  <si>
    <t>যত হাসি তত কান্না, বলে গেছে রাম সর্ম্মা।</t>
  </si>
  <si>
    <t>যত হাসি তত কান্না, বলে গেছে রাম শর্মা</t>
  </si>
  <si>
    <t>As much laughter, so much crying, says Ram Sharma.</t>
  </si>
  <si>
    <t>যত্র আয় তত্র ব্যয়।</t>
  </si>
  <si>
    <t>যত্র আয় তত্র ব্যয়</t>
  </si>
  <si>
    <t>যেখানে আয়, সেখানে ব্যয়ও।</t>
  </si>
  <si>
    <t>Where there is income, there is expenditure.</t>
  </si>
  <si>
    <t>আয়-ব্যয়</t>
  </si>
  <si>
    <t>যথা শপ তথায় লাঙ্গুল।</t>
  </si>
  <si>
    <t>যথা শপ তথায় লাঙ্গুল</t>
  </si>
  <si>
    <t>যেমন অভিশাপ, তেমন ফল।</t>
  </si>
  <si>
    <t>As is the curse, so is the tail (result).</t>
  </si>
  <si>
    <t>যখন যার দশা ভাঙ্গে কোঠাঘরেও তায় বাঘে খায়।</t>
  </si>
  <si>
    <t>যখন যার দশা ভাঙ্গে কোঠাঘরেও তায় বাঘে খায়</t>
  </si>
  <si>
    <t>ভাগ্য খারাপ হলে ভালো জায়গায়ও বিপদ আসে।</t>
  </si>
  <si>
    <t>When fate is bad, a tiger eats even in the room.</t>
  </si>
  <si>
    <t>যত দ্বারী অঙ্গ নাড়ে তত কড়ি ঝরে পড়ে।</t>
  </si>
  <si>
    <t>যত দ্বারী অঙ্গ নাড়ে তত কড়ি ঝরে পড়ে</t>
  </si>
  <si>
    <t>দারোয়ানের অঙ্গভঙ্গি অনুযায়ী টাকা পড়ে (অর্থাৎ কাজের উপর ফল নির্ভর করে)।</t>
  </si>
  <si>
    <t>As the gatekeeper moves, so the coins fall.</t>
  </si>
  <si>
    <t>দারোয়ান/চাকর</t>
  </si>
  <si>
    <t>যদি গুরু দাঁড়িয়ে প্রস্রাব ফিরে তবে শিষ্য পাক্‌দিয়ে প্রস্রাব ফিরে।</t>
  </si>
  <si>
    <t>যদি গুরু দাঁড়িয়ে প্রস্রাব ফিরে তবে শিষ্য পাকদিয়ে প্রস্রাব ফিরে</t>
  </si>
  <si>
    <t>গুরু যা করেন, শিষ্যও তাই করে (ভালো-মন্দ উভয়)।</t>
  </si>
  <si>
    <t>If the guru turns his urine while standing, the disciple turns it by twisting.</t>
  </si>
  <si>
    <t>গুরু/শিষ্য</t>
  </si>
  <si>
    <t>শিক্ষা/আচরণ</t>
  </si>
  <si>
    <t>যদি কনে থাকে দুষ্য, তবে বিয়ে অপেক্ষা অমনি থাকা ভাল।</t>
  </si>
  <si>
    <t>যদি কনে থাকে দুষ্য, তবে বিয়ে অপেক্ষা অমনি থাকা ভাল</t>
  </si>
  <si>
    <t>খারাপ কনের চেয়ে অবিবাহিত থাকা ভালো।</t>
  </si>
  <si>
    <t>If the bride is bad, it's better not to marry.</t>
  </si>
  <si>
    <t>কনে</t>
  </si>
  <si>
    <t>যার পিতাকে শাপে খায় সে রসি দেখে ডর পায়।</t>
  </si>
  <si>
    <t>যার পিতাকে শাপে খায় সে রসি দেখে ডর পায়</t>
  </si>
  <si>
    <t>যার পিতাকে অভিশাপ দেয়, সে দড়ি দেখলেই ভয় পায়।</t>
  </si>
  <si>
    <t>He who curses his father fears the rope.</t>
  </si>
  <si>
    <t>যার ধারি নাই সে মূলে মূলে চায়।</t>
  </si>
  <si>
    <t>যার ধারি নাই সে মূলে মূলে চায়</t>
  </si>
  <si>
    <t>যার কিছু নেই, সে সব জায়গায় খোঁজে।</t>
  </si>
  <si>
    <t>He who has nothing seeks in every corner.</t>
  </si>
  <si>
    <t>যার খায় নুন, তার গায় গুণ।</t>
  </si>
  <si>
    <t>যার খায় নুন, তার গায় গুণ</t>
  </si>
  <si>
    <t>যার উপকার পেয়েছি, তার প্রশংসা করা উচিত।</t>
  </si>
  <si>
    <t>One who eats salt praises the giver.</t>
  </si>
  <si>
    <t>যার ধন সে নিলে লুটে মর বেটা তুই শুরকী কুটে।</t>
  </si>
  <si>
    <t>যার ধন সে নিলে লুটে মর বেটা তুই শুরকী কুটে</t>
  </si>
  <si>
    <t>অন্যের সম্পদ নিয়ে বড়াই করা।</t>
  </si>
  <si>
    <t>If you take another's wealth, you will die, son, you are a stupid pig.</t>
  </si>
  <si>
    <t>চোর/প্রতারক</t>
  </si>
  <si>
    <t>যার মাড়ায় মাড়া নয় পেঁচা হয় রাজা।</t>
  </si>
  <si>
    <t>যার মাড়ায় মাড়া নয় পেঁচা হয় রাজা</t>
  </si>
  <si>
    <t>অযোগ্য বা অপদার্থ রাজা হলে দেশের সর্বনাশ।</t>
  </si>
  <si>
    <t>Where there is no oil, the owl becomes king.</t>
  </si>
  <si>
    <t>অপদার্থ রাজা</t>
  </si>
  <si>
    <t>যার কাজ তাকেই সাজে অন্যকে লাঠি বাজে।</t>
  </si>
  <si>
    <t>যার কাজ তাকেই সাজে অন্যকে লাঠি বাজে</t>
  </si>
  <si>
    <t>যে কাজের যোগ্য, তাকেই সেই কাজ করতে হয়, অন্যথায় বিপদ।</t>
  </si>
  <si>
    <t>The work suits him; for others, it's a beating.</t>
  </si>
  <si>
    <t>যার ছেলের বিয়ে সে পাই নাই গুয়া।</t>
  </si>
  <si>
    <t>যার ছেলের বিয়ে সে পাই নাই গুয়া</t>
  </si>
  <si>
    <t>যার কাজ, সে-ই সব পায় না।</t>
  </si>
  <si>
    <t>He whose son's marriage is happening didn't get the betel nut.</t>
  </si>
  <si>
    <t>ঘারে দেখি নাই সে বড় সুন্দরী, যার হাতে খাই নাই সে বড় রাঁধুনী।</t>
  </si>
  <si>
    <t>ঘারে দেখি নাই সে বড় সুন্দরী, যার হাতে খাই নাই সে বড় রাঁধুনী</t>
  </si>
  <si>
    <t>যাকে দেখিনি, সে সুন্দরী; যার হাতে খাইনি, সে ভালো রাঁধুনী।</t>
  </si>
  <si>
    <t>One who I haven't seen is beautiful; one whose hands I haven't eaten from is a good cook.</t>
  </si>
  <si>
    <t>স্ত্রী/সুন্দরী</t>
  </si>
  <si>
    <t>যার সঙ্গে মোর চলন বাঁকা তার সঙ্গেই নিত্য দেখা।</t>
  </si>
  <si>
    <t>যার সঙ্গে মোর চলন বাঁকা তার সঙ্গেই নিত্য দেখা</t>
  </si>
  <si>
    <t>যার সাথে সম্পর্ক খারাপ, তার সাথেই বেশি দেখা হয়।</t>
  </si>
  <si>
    <t>Those with whom I have a crooked walk, I see them daily.</t>
  </si>
  <si>
    <t>শত্রু/প্রতিবেশী</t>
  </si>
  <si>
    <t>যা থাকে শিশে তা যাবে কিসে?</t>
  </si>
  <si>
    <t>যা দখলে আছে, তা নষ্ট হবে কীভাবে?</t>
  </si>
  <si>
    <t>What is in the possession, how will it go?</t>
  </si>
  <si>
    <t>যার যায় তার যায়, ধোপার খালি একমুঠ ক্ষার যায়।</t>
  </si>
  <si>
    <t>যার যায় তার যায়, ধোপার খালি একমুঠ ক্ষার যায়</t>
  </si>
  <si>
    <t>সবাই কিছু হারায়, ধোপা শুধু একমুঠো সোডা হারায়।</t>
  </si>
  <si>
    <t>One loses what he loses; the washerman only loses a handful of soda.</t>
  </si>
  <si>
    <t>ধোপা</t>
  </si>
  <si>
    <t>যার বিয়ে তার মনে নাই পাড়া পড়সীর ঘুম নাই।</t>
  </si>
  <si>
    <t>যার বিয়ে তার মনে নাই পাড়া পড়সীর ঘুম নাই</t>
  </si>
  <si>
    <t>যার বিয়ে, তার কোনো চিন্তা নেই; কিন্তু প্রতিবেশীদের ঘুম নষ্ট।</t>
  </si>
  <si>
    <t>He whose marriage it is has no tension; the neighbors cannot sleep.</t>
  </si>
  <si>
    <t>যার খুন তার গর্দ্দান।</t>
  </si>
  <si>
    <t>যার খুন তার গর্দ্দান</t>
  </si>
  <si>
    <t>যার কাজ, তার দায়িত্ব।</t>
  </si>
  <si>
    <t>He who commits murder has the neck.</t>
  </si>
  <si>
    <t>হত্যাকারী</t>
  </si>
  <si>
    <t>যার ঝি তার জামাই, পাড়াপড়সীর কাটনা কামাই।</t>
  </si>
  <si>
    <t>যার ঝি তার জামাই, পাড়াপড়সীর কাটনা কামাই</t>
  </si>
  <si>
    <t>যার মেয়ে, তার জামাই; প্রতিবেশীদের কাটনা-কামাই।</t>
  </si>
  <si>
    <t>He who has a daughter has a son-in-law; the neighbors do the spinning.</t>
  </si>
  <si>
    <t>যার যত যহৎ তার তত মহৎ।</t>
  </si>
  <si>
    <t>যার যত যহৎ তার তত মহৎ</t>
  </si>
  <si>
    <t>যার যত গুণ বা প্রভাব, তার তত মহত্ত্ব।</t>
  </si>
  <si>
    <t>As is the worth, so is the greatness.</t>
  </si>
  <si>
    <t>গুণ/মহত্ত্ব</t>
  </si>
  <si>
    <t>যার মুখ দেখলে ঘৃণা পায়, তাকে কি বাঘে খায়?</t>
  </si>
  <si>
    <t>যাকে সবাই ঘৃণা করে, তার কি কোনো বিপদ হয়?</t>
  </si>
  <si>
    <t>If his face disgusts you, does a tiger eat him?</t>
  </si>
  <si>
    <t>ঘৃণিত ব্যক্তি</t>
  </si>
  <si>
    <t>যা না করে হাজারে তা করে হুজুরে।</t>
  </si>
  <si>
    <t>যা না করে হাজারে তা করে হুজুরে</t>
  </si>
  <si>
    <t>যা আগে করেনি, তা পরে করবে।</t>
  </si>
  <si>
    <t>What one doesn't do in the morning, he does in the evening.</t>
  </si>
  <si>
    <t>অলস/বিলম্বিত</t>
  </si>
  <si>
    <t>যাচ্‌লে হিরে বিকায় না।</t>
  </si>
  <si>
    <t>যাচলে হিরে বিকায় না</t>
  </si>
  <si>
    <t>চাইলে বা তাড়াহুড়ো করলে ভালো জিনিস পাওয়া যায় না।</t>
  </si>
  <si>
    <t>If you ask, the diamond doesn't sell.</t>
  </si>
  <si>
    <t>যাচ্‌লে জামাই খায় না ভাত। পেটের জ্বালায় চাটে পাত্।</t>
  </si>
  <si>
    <t>যাচলে জামাই খায় না ভাত, পেটের জ্বালায় চাটে পাত</t>
  </si>
  <si>
    <t>জামাইকে ডাকলে সে ভাত খায় না, কিন্তু পেটের জ্বালায় পাত চাটে।</t>
  </si>
  <si>
    <t>If asked, the son-in-law doesn't eat rice; with hunger, he licks the leaf.</t>
  </si>
  <si>
    <t>যার শীল তার নোঢ়া, তারই ভাঙ্গি দাঁতের গোড়া।</t>
  </si>
  <si>
    <t>যার শীল তার নোঢ়া, তারই ভাঙ্গি দাঁতের গোড়া</t>
  </si>
  <si>
    <t>যার যা আছে, তাই তার; তারই দাঁতের গোড়া।</t>
  </si>
  <si>
    <t>One who has the mortar has the pestle; the tooth root belongs to him.</t>
  </si>
  <si>
    <t>যার যেমন মন, তার তেমন ধন।</t>
  </si>
  <si>
    <t>যার যেমন মন, তার তেমন ধন</t>
  </si>
  <si>
    <t>যেমন চিন্তা, তেমন ফল।</t>
  </si>
  <si>
    <t>As is the mind, so is the wealth.</t>
  </si>
  <si>
    <t>মানসিকতা/অর্থ</t>
  </si>
  <si>
    <t>যার লাঠি তারই মাটী।</t>
  </si>
  <si>
    <t>যার লাঠি তারই মাটী</t>
  </si>
  <si>
    <t>যার ক্ষমতা, তারই অধিকার।</t>
  </si>
  <si>
    <t>He who has the stick owns the land.</t>
  </si>
  <si>
    <t>যার লেগে করি চুরি সেই বলে চোর।</t>
  </si>
  <si>
    <t>যার লেগে করি চুরি সেই বলে চোর</t>
  </si>
  <si>
    <t>যার জন্য চুরি করি, সেই-ই বলে চোর।</t>
  </si>
  <si>
    <t>He for whom I steal calls me a thief.</t>
  </si>
  <si>
    <t>যার নাম ভাজা চাইল তারই নাম মুড়ি, যার মাথায় পাকা চুল তাকেই বলে বুড়ী।</t>
  </si>
  <si>
    <t>যার নাম ভাজা চাল তারই নাম মুড়ি, যার মাথায় পাকা চুল তাকেই বলে বুড়ী</t>
  </si>
  <si>
    <t>নাম ও চেহারার সম্পর্ক।</t>
  </si>
  <si>
    <t>He whose name is fried rice is called muri; she who has gray hair is called an old woman.</t>
  </si>
  <si>
    <t>বুড়ী/স্ত্রী</t>
  </si>
  <si>
    <t>যার ঘন সে পায় না এলোয় খায় দই।</t>
  </si>
  <si>
    <t>যার ঘন সে পায় না এলোয় খায় দই</t>
  </si>
  <si>
    <t>যার কাছেই বেশি, সে পায় না; অন্য কেউ সুযোগ নেয়।</t>
  </si>
  <si>
    <t>He who is near doesn't get it; someone else eats the yogurt.</t>
  </si>
  <si>
    <t>যার বলদ না বইল হালে, তার দুঃখ সর্ব্ব কালে।</t>
  </si>
  <si>
    <t>যার বলদ না বইল হালে, তার দুঃখ সর্ব্ব কালে</t>
  </si>
  <si>
    <t>যার কাজের সরঞ্জাম নেই, তার সবসময় কষ্ট।</t>
  </si>
  <si>
    <t>One whose bullock does not pull the plough has sorrow all the time.</t>
  </si>
  <si>
    <t>কৃষক/গরিব</t>
  </si>
  <si>
    <t>যার ঘরে রামধনী তার কিসের কমি।</t>
  </si>
  <si>
    <t>যার ঘরে রামধনী তার কিসের কমি</t>
  </si>
  <si>
    <t>যার কাছে রামধনী (অমূল্য ধন) আছে, তার কিছুই কম নেই।</t>
  </si>
  <si>
    <t>One whose house has the Ramdhani (a precious thing) lacks nothing.</t>
  </si>
  <si>
    <t>যা রে মর্দ্দ দূর মাঠে ভুয়া দাখ্‌লে লয়ে হাতে, যখন খাবি আদানুন তখন জানবি আমার গুণ।</t>
  </si>
  <si>
    <t>যা রে মর্দ দূর মাঠে ভুয়া দাখলে লয়ে হাতে, যখন খাবি আদানুন তখন জানবি আমার গুণ</t>
  </si>
  <si>
    <t>শক্তিকে কাজে লাগাতে জানলে তার গুণ বোঝা যায়।</t>
  </si>
  <si>
    <t>Go, O brave man, to the distant field, taking the false in hand; when you eat the exchange, then you will know my virtue.</t>
  </si>
  <si>
    <t>পুরুষ/যোদ্ধা</t>
  </si>
  <si>
    <t>যা না দেখ চক্ষ্যে তা মানিও না গুরুর বাক্যে।</t>
  </si>
  <si>
    <t>যা না দেখ চক্ষ্যে তা মানিও না গুরুর বাক্যে</t>
  </si>
  <si>
    <t>চোখে না দেখলে গুরুর কথাও বিশ্বাস করো না।</t>
  </si>
  <si>
    <t>Don't believe even the guru's words without seeing with your own eyes.</t>
  </si>
  <si>
    <t>যেমনই বা হৌক জ্বর তিন উপবাস ধর্যে কর।</t>
  </si>
  <si>
    <t>যেমনই হোক জ্বর, তিন উপবাস করে কর</t>
  </si>
  <si>
    <t>জ্বরের সময় উপবাস করাই ভালো।</t>
  </si>
  <si>
    <t>However the fever may be, observe three fasts.</t>
  </si>
  <si>
    <t>রোগী</t>
  </si>
  <si>
    <t>যেমন রাধা তেমনি শ্যাম রূপে গুণে অনুঠাম্।</t>
  </si>
  <si>
    <t>যেমন রাধা তেমনি শ্যাম রূপে গুণে অনুঠাম</t>
  </si>
  <si>
    <t>রাধা ও শ্যাম উভয়ই সমান।</t>
  </si>
  <si>
    <t>As is Radha, so is Shyam—equal in beauty and virtue.</t>
  </si>
  <si>
    <t>যেমন আখন তেমনি ঢাকন বুচহাঁড়ি তায় ভাঙ্গা ঢাকন।</t>
  </si>
  <si>
    <t>যেমন আখন তেমনি ঢাকন বুচহাঁড়ি তায় ভাঙ্গা ঢাকন</t>
  </si>
  <si>
    <t>যেমন পাত্র, তেমন ঢাকনা; সেই পাত্রে ভাঙা ঢাকনা।</t>
  </si>
  <si>
    <t>As is the vessel, so is the lid; in that pot, a broken lid.</t>
  </si>
  <si>
    <t>যেমন গর্জ্জে তেমন বর্ষে না।</t>
  </si>
  <si>
    <t>যেমন গর্জ্জে তেমন বর্ষে না</t>
  </si>
  <si>
    <t>যত গর্জন, তত বৃষ্টি হয় না।</t>
  </si>
  <si>
    <t>As it thunders, so it does not rain.</t>
  </si>
  <si>
    <t>যেমন বঁধু পান খাইকা তেমনি চামের বুট।</t>
  </si>
  <si>
    <t>যেমন বঁধু পান খাইকা তেমনি চামের বুট</t>
  </si>
  <si>
    <t>খাওয়ার পর যেমন তৃপ্তি, তেমনি চামড়ার বুট।</t>
  </si>
  <si>
    <t>As one enjoys the betel leaf, so does the leather boot.</t>
  </si>
  <si>
    <t>যে জল বয় তার কি তৃষ্ণা পায়।</t>
  </si>
  <si>
    <t>যে জল বয় তার কি তৃষ্ণা পায়</t>
  </si>
  <si>
    <t>যে জল বহন করে, তার তৃষ্ণা পায় না।</t>
  </si>
  <si>
    <t>He who carries water does not feel thirsty.</t>
  </si>
  <si>
    <t>যে যত পায় সে তত চায় যে যত খায় সে তত লালায়।</t>
  </si>
  <si>
    <t>যে যত পায় সে তত চায়, যে যত খায় সে তত লালায়</t>
  </si>
  <si>
    <t>পেতে থাকলে চাওয়া বাড়ে, খেতে থাকলে লোভ বাড়ে।</t>
  </si>
  <si>
    <t>The more one gets, the more he wants; the more he eats, the more he craves.</t>
  </si>
  <si>
    <t>য যাতে রটে তার তাতেই ঘটে।</t>
  </si>
  <si>
    <t>যাতে রটে তার তাতেই ঘটে</t>
  </si>
  <si>
    <t>যে বিষয়ে আলোচনা, তা-ই ঘটে।</t>
  </si>
  <si>
    <t>What is talked about happens.</t>
  </si>
  <si>
    <t>যে জন চড়ে সেই জন পড়ে।</t>
  </si>
  <si>
    <t>যে জন চড়ে সেই জন পড়ে</t>
  </si>
  <si>
    <t>যে উন্নত হয়, সে-ই পতিত হয়।</t>
  </si>
  <si>
    <t>He who climbs, falls.</t>
  </si>
  <si>
    <t>যেমনি কুকুর তেমনি মুগুর।</t>
  </si>
  <si>
    <t>যেমন কাজ, তেমন প্রতিফল।</t>
  </si>
  <si>
    <t>As the dog, so the club.</t>
  </si>
  <si>
    <t>যে এলো ধেয়ে সে থাক্‌ল চেয়ে, যে ছিল বসে সে খেলে কোশে।</t>
  </si>
  <si>
    <t>যে এলো ধেয়ে সে থাকল চেয়ে, যে ছিল বসে সে খেলে কোশে</t>
  </si>
  <si>
    <t>যে তাড়াতাড়ি করে, সে পায় না; যে ধীরে কাজ করে, সে লাভ করে।</t>
  </si>
  <si>
    <t>He who rushed waited; he who sat had his meal.</t>
  </si>
  <si>
    <t>অধৈর্য/ধৈর্যশীল</t>
  </si>
  <si>
    <t>যেমন গুরু তেমনি চেলা, মাগে হরিতকী দেয় ভাল।</t>
  </si>
  <si>
    <t>যেমন গুরু তেমনি চেলা, মাগে হরিতকী দেয় ভাল</t>
  </si>
  <si>
    <t>গুরু ও চেলা একই রকম; মাকে হরিতকী দেয় ভালো।</t>
  </si>
  <si>
    <t>As the guru, so the disciple; gives myrobalan to the mother well.</t>
  </si>
  <si>
    <t>যে থাকে ভাণ্ডে তা নাই ব্রহ্মাণ্ডে।</t>
  </si>
  <si>
    <t>যে থাকে ভাণ্ডে তা নাই ব্রহ্মাণ্ডে</t>
  </si>
  <si>
    <t>ভাণ্ডারে যা আছে, তা ব্রহ্মাণ্ডে নেই (অর্থাৎ যা নিজের কাছে আছে, তা অন্যের কাছে নেই)।</t>
  </si>
  <si>
    <t>What is in the pot is not in the universe.</t>
  </si>
  <si>
    <t>যে দেয় অঙ্গে তায় যায় সঙ্গে।</t>
  </si>
  <si>
    <t>যে দেয় অঙ্গে তায় যায় সঙ্গে</t>
  </si>
  <si>
    <t>যে নিজের অঙ্গ দান করে, তা তার সঙ্গে যায়।</t>
  </si>
  <si>
    <t>What one gives in the body goes with him.</t>
  </si>
  <si>
    <t>যে যায় লংঙ্কা সেই হয় রাক্ষস।</t>
  </si>
  <si>
    <t>যে যায় লংঙ্কা সেই হয় রাক্ষস</t>
  </si>
  <si>
    <t>যে খারাপ জায়গায় যায়, সে খারাপ হয়।</t>
  </si>
  <si>
    <t>He who goes to Lanka becomes a demon.</t>
  </si>
  <si>
    <t>যেমন গুরু তেমনি চেলা, টক ঘোল তায় ছেঁড়া মালা।</t>
  </si>
  <si>
    <t>যেমন গুরু তেমনি চেলা, টক ঘোল তায় ছেঁড়া মালা</t>
  </si>
  <si>
    <t>গুরু ও চেলা একই রকম; টক ঘোলে ছেঁড়া মালা।</t>
  </si>
  <si>
    <t>As the guru, so the disciple; torn garland in sour curd.</t>
  </si>
  <si>
    <t>যে মাটীতে পড়ে লোক উঠে তায় ধরে, বারেক নিরাশ হলে কি করিতে পারে।</t>
  </si>
  <si>
    <t>যে মাটীতে পড়ে লোক উঠে তায় ধরে, বারেক নিরাশ হলে কি করিতে পারে</t>
  </si>
  <si>
    <t>যে একবার পড়ে যায়, তাকে আবার উঠতে সাহায্য করতে হবে।</t>
  </si>
  <si>
    <t>He who falls on the ground, people lift him; if once disappointed, what can he do?</t>
  </si>
  <si>
    <t>যোগীর বলদ বালাই।</t>
  </si>
  <si>
    <t>যোগীর বলদ বালাই</t>
  </si>
  <si>
    <t>যোগীর বলদ বিপদজনক।</t>
  </si>
  <si>
    <t>The yogi's bullock is a nuisance.</t>
  </si>
  <si>
    <t>যোগী</t>
  </si>
  <si>
    <t>যোগীর গীতে ভনিতা নাই।</t>
  </si>
  <si>
    <t>যোগীর গীতে ভনিতা নাই</t>
  </si>
  <si>
    <t>যোগীর গানে কোনো ব্যঙ্গ নেই।</t>
  </si>
  <si>
    <t>The yogi's song has no satire.</t>
  </si>
  <si>
    <t>যোগেই যোগী সিদ্ধ।</t>
  </si>
  <si>
    <t>যোগেই যোগী সিদ্ধ</t>
  </si>
  <si>
    <t>যোগের মাধ্যমেই যোগী সিদ্ধ হন।</t>
  </si>
  <si>
    <t>Through yoga, the yogi becomes accomplished.</t>
  </si>
  <si>
    <t>রস্ বিটী সয়ে সব যাবে বয়ে।</t>
  </si>
  <si>
    <t>রস বিটী সয়ে সব যাবে বয়ে</t>
  </si>
  <si>
    <t>রসের আস্বাদ নিলে সব সহ্য হয়।</t>
  </si>
  <si>
    <t>If you taste the juice, everything will pass.</t>
  </si>
  <si>
    <t>রাগি, দাগি, ডাংগি এ তিন ধর্ম্মত্যাগী।</t>
  </si>
  <si>
    <t>রাগি, দাগি, ডাংগি এ তিন ধর্ম্মত্যাগী</t>
  </si>
  <si>
    <t>এই তিনজন ধর্মত্যাগী।</t>
  </si>
  <si>
    <t>The angry, the spotted, and the club-bearer—these three are apostates.</t>
  </si>
  <si>
    <t>রাড় ঝুকলেই লাথি সার।</t>
  </si>
  <si>
    <t>রাড় ঝুকলেই লাথি সার</t>
  </si>
  <si>
    <t>যখন বাড়ি ঝোঁকে, তখন লাথি কাজে আসে।</t>
  </si>
  <si>
    <t>When the house leans, a kick is enough.</t>
  </si>
  <si>
    <t>রাজার কাছে কি কোটালের দোহাই।</t>
  </si>
  <si>
    <t>রাজার কাছে কি কোটালের দোহাই</t>
  </si>
  <si>
    <t>রাজার সামনে কোটালের আবেদন বৃথা।</t>
  </si>
  <si>
    <t>What is the plea of the Kotal before the king?</t>
  </si>
  <si>
    <t>রাজা/কোটাল</t>
  </si>
  <si>
    <t>রাম ডিঙ্গুয়া ফতে খাঁ যথা ইচ্ছা তথায় যা।</t>
  </si>
  <si>
    <t>রাম ডিঙ্গুয়া ফতে খাঁ যথা ইচ্ছা তথায় যা</t>
  </si>
  <si>
    <t>যেমন ইচ্ছা, তেমন চলো।</t>
  </si>
  <si>
    <t>Ram Dinguya Fateh Khan, go wherever you wish.</t>
  </si>
  <si>
    <t>রাজা হবে তো খাবে কি?</t>
  </si>
  <si>
    <t>রাজা হলে কী খাবে?</t>
  </si>
  <si>
    <t>If you become king, what will you eat?</t>
  </si>
  <si>
    <t>রাজার তীর সোজাই ছোটে।</t>
  </si>
  <si>
    <t>রাজার তীর সোজাই ছোটে</t>
  </si>
  <si>
    <t>রাজার আদেশ বা কাজ সরল হয়।</t>
  </si>
  <si>
    <t>The king's arrow flies straight.</t>
  </si>
  <si>
    <t>রাজভক্তি প্রজার উচিৎ কার্য্য।</t>
  </si>
  <si>
    <t>রাজভক্তি প্রজার উচিৎ কার্য্য</t>
  </si>
  <si>
    <t>প্রজার কর্তব্য রাজার প্রতি ভক্তি।</t>
  </si>
  <si>
    <t>Loyalty to the king is the proper duty of subjects.</t>
  </si>
  <si>
    <t>প্রজা</t>
  </si>
  <si>
    <t>রাজার দলবদ্ধ আর রোগীর মলবদ্ধ।</t>
  </si>
  <si>
    <t>রাজার দলবদ্ধ আর রোগীর মলবদ্ধ</t>
  </si>
  <si>
    <t>রাজার অনুচররা দলবদ্ধ, রোগীরা অসুস্থতায় আবদ্ধ।</t>
  </si>
  <si>
    <t>The king's followers are in groups; the patient is bound by sickness.</t>
  </si>
  <si>
    <t>রাজা/রোগী</t>
  </si>
  <si>
    <t>শাসন/স্বাস্থ্য</t>
  </si>
  <si>
    <t>রাজার ঘরের ঘি আঁচল পেতে নি।</t>
  </si>
  <si>
    <t>রাজার ঘরের ঘি আঁচল পেতে নি</t>
  </si>
  <si>
    <t>রাজার ঘরের ঘি (অমূল্য জিনিস) পাওয়া যায় না সহজে।</t>
  </si>
  <si>
    <t>Didn't get the ghee from the king's house with a cloth.</t>
  </si>
  <si>
    <t>রাজ আজ্ঞা বনবাস।</t>
  </si>
  <si>
    <t>রাজ আজ্ঞা বনবাস</t>
  </si>
  <si>
    <t>রাজার আদেশে বনবাস (নির্বাসন) হয়।</t>
  </si>
  <si>
    <t>The king's command is exile.</t>
  </si>
  <si>
    <t>রাঁড়ের ধন যোয়ারের পানি সিকে বাংগীতে টানাটানী।</t>
  </si>
  <si>
    <t>রাঁড়ের ধন যোয়ারের পানি সিকে বাংগীতে টানাটানী</t>
  </si>
  <si>
    <t>বিধবার সম্পদ যোয়ারের পানির মতো (অস্থায়ী)</t>
  </si>
  <si>
    <t>The widow's wealth is like the flood water—pulled in the river.</t>
  </si>
  <si>
    <t>বিধবা</t>
  </si>
  <si>
    <t>রাঁড়ের বুদ্ধি তিন কিলেই ছাড়ে।</t>
  </si>
  <si>
    <t>রাঁড়ের বুদ্ধি তিন কিলেই ছাড়ে</t>
  </si>
  <si>
    <t>বিধবার বুদ্ধি শেষ হয় তিনটি কিল বা চাপে।</t>
  </si>
  <si>
    <t>The widow's sense leaves after three blows.</t>
  </si>
  <si>
    <t>বুদ্ধি/আচরণ</t>
  </si>
  <si>
    <t>রাঁড়ের স্বপ্ন তল সুতা।</t>
  </si>
  <si>
    <t>রাঁড়ের স্বপ্ন তল সুতা</t>
  </si>
  <si>
    <t>বিধবার স্বপ্নে তল সুতা (অর্থাৎ অস্থায়ী স্বপ্ন)।</t>
  </si>
  <si>
    <t>The widow's dream is of bottom thread.</t>
  </si>
  <si>
    <t>রূপ নাচে সুর গায় তবে দেখ্‌তে মন যায়।</t>
  </si>
  <si>
    <t>রূপ নাচে সুর গায় তবে দেখতে মন যায়</t>
  </si>
  <si>
    <t>সুন্দর নাচ ও গান দেখতে মন চায়।</t>
  </si>
  <si>
    <t>If beauty dances and music sings, then the mind goes to see.</t>
  </si>
  <si>
    <t>শিল্প</t>
  </si>
  <si>
    <t>রূপে লক্ষ্মী গুণে সরস্বতী।</t>
  </si>
  <si>
    <t>রূপে লক্ষ্মী, গুণে সরস্বতী।</t>
  </si>
  <si>
    <t>In beauty, Lakshmi; in virtue, Saraswati.</t>
  </si>
  <si>
    <t>রেড়ীর বনে বিরলই বাঘ।</t>
  </si>
  <si>
    <t>রেড়ীর বনে বিরলই বাঘ</t>
  </si>
  <si>
    <t>খারাপ জায়গায় ভালো জিনিস বিরল।</t>
  </si>
  <si>
    <t>In the castor forest, the tiger is rare.</t>
  </si>
  <si>
    <t>রোগের মধ্যে কাস ঘাসের মধ্যে কাশ।</t>
  </si>
  <si>
    <t>রোগের মধ্যে কাস ঘাসের মধ্যে কাশ</t>
  </si>
  <si>
    <t>রোগের মধ্যে কাশি সবচেয়ে খারাপ, ঘাসের মধ্যে কাশঘাস।</t>
  </si>
  <si>
    <t>Among diseases, cough; among grasses, Kash.</t>
  </si>
  <si>
    <t>রোগের লেশ্ শত্রুর শেষ না থাকাই উচিৎ।</t>
  </si>
  <si>
    <t>রোগের লেশ শত্রুর শেষ না থাকাই উচিৎ</t>
  </si>
  <si>
    <t>রোগ ও শত্রুর কোনো অবশিষ্ট না থাকাই ভালো।</t>
  </si>
  <si>
    <t>It is better to have no trace of disease and no end of enemy.</t>
  </si>
  <si>
    <t>রোগী/শত্রু</t>
  </si>
  <si>
    <t>স্বাস্থ্য/আচরণগত</t>
  </si>
  <si>
    <t>রােক্‌ মজুরী, চোখাদেনা।</t>
  </si>
  <si>
    <t>রোক মজুরী, চোখাদেনা</t>
  </si>
  <si>
    <t>কাজের মজুরি, চোখ ধরা।</t>
  </si>
  <si>
    <t>Daily wage, no eyewitness.</t>
  </si>
  <si>
    <t>মজুর</t>
  </si>
  <si>
    <t>রৌদ্র কি কুরণ্ডের ঔষধ?</t>
  </si>
  <si>
    <t>রোদ কি কুরণ্ড গাছের ওষুধ?</t>
  </si>
  <si>
    <t>Is sunlight the medicine for the Kurunda tree?</t>
  </si>
  <si>
    <t>রৌদ্রে ছাতা জলে খর যে না করে সে বর্ব্বর।</t>
  </si>
  <si>
    <t>রৌদ্রে ছাতা জলে খর যে না করে সে বর্ব্বর</t>
  </si>
  <si>
    <t>যে রোদে ছাতা ও জলে খরচ করে না, সে বর্বর।</t>
  </si>
  <si>
    <t>He who does not use an umbrella in the sun and spend in water is a barbarian.</t>
  </si>
  <si>
    <t>লক্ষ্মীর মা ভিক্ষা মাগে।</t>
  </si>
  <si>
    <t>লক্ষ্মীর মা ভিক্ষা মাগে</t>
  </si>
  <si>
    <t>লক্ষ্মীর মাও ভিক্ষা করে (অর্থাৎ সম্পদশালীও কখনো কখনো অভাবী হয়)।</t>
  </si>
  <si>
    <t>The mother of Lakshmi begs.</t>
  </si>
  <si>
    <t>লক্ষ্মী/স্ত্রী</t>
  </si>
  <si>
    <t>লণ্ড গুরু ভণ্ড চেলা হরিতকী চাইলে দেয় ভেলা।</t>
  </si>
  <si>
    <t>লণ্ড গুরু ভণ্ড চেলা হরিতকী চাইলে দেয় ভেলা</t>
  </si>
  <si>
    <t>মূর্খ গুরু ও ভণ্ড চেলা; হরিতকী চাইলে ভেলা দেয়।</t>
  </si>
  <si>
    <t>The foolish guru and the fake disciple; if asked for myrobalan, gives a raft.</t>
  </si>
  <si>
    <t>লাগা চোরে কি জাগা মানে।</t>
  </si>
  <si>
    <t>লাগা চোরে কি জাগা মানে</t>
  </si>
  <si>
    <t>যে চোর ধরা পড়ে, সে কি জেগে থাকে?</t>
  </si>
  <si>
    <t>Does a caught thief care about staying awake?</t>
  </si>
  <si>
    <t>লা লােহা লবণ তিন বেচে যবন।</t>
  </si>
  <si>
    <t>লা লোহা লবণ তিন বেচে যবন</t>
  </si>
  <si>
    <t>লোহা, লবণ—এই তিনটি যবন বেচে।</t>
  </si>
  <si>
    <t>Iron, salt—these three are sold by the Yavana.</t>
  </si>
  <si>
    <t>যবন</t>
  </si>
  <si>
    <t>লা লোহা তসর তিন বহেন ঈশ্বর।</t>
  </si>
  <si>
    <t>লা লোহা তসর তিন বহেন ঈশ্বর</t>
  </si>
  <si>
    <t>লোহা, তসর—এই তিন ঈশ্বর বহন করেন।</t>
  </si>
  <si>
    <t>Iron, Tasar—these three are borne by God.</t>
  </si>
  <si>
    <t>লাভের গুড় পিঁপড়ে খায়।</t>
  </si>
  <si>
    <t>লাভের গুড় পিঁপড়ে খায়</t>
  </si>
  <si>
    <t>লাভের জিনিস পিঁপড়ে খায় (অর্থাৎ ছোট মানুষও লাভ করে)।</t>
  </si>
  <si>
    <t>The ants eat the profit's molasses.</t>
  </si>
  <si>
    <t>সাধারণ মানুষ</t>
  </si>
  <si>
    <t>লিখিব পড়িব মরিব দুঃখে, মাছ ধরিব খাইব সুখে।</t>
  </si>
  <si>
    <t>লিখিব পড়িব মরিব দুঃখে, মাছ ধরিব খাইব সুখে</t>
  </si>
  <si>
    <t>পড়াশোনা করে দুঃখে মরতে হবে, মাছ ধরে খেলে সুখে থাকা যায়।</t>
  </si>
  <si>
    <t>Study and die in sorrow; fish and eat happily.</t>
  </si>
  <si>
    <t>ছাত্র/মাছধরা</t>
  </si>
  <si>
    <t>পেশা/জীবনদর্শন</t>
  </si>
  <si>
    <t>লুটে এনে কুটে খায়, বল তার কদিন যায়।</t>
  </si>
  <si>
    <t>লুটে এনে কুটে খায়, বল তার কদিন যায়</t>
  </si>
  <si>
    <t>চুরি করা জিনিস বেশি দিন থাকে না।</t>
  </si>
  <si>
    <t>Stealing and eating—how long does it last?</t>
  </si>
  <si>
    <t>শতকে সুপারি হাজারে পান, লক্ষ ঠাকায় পালকীতে যান।</t>
  </si>
  <si>
    <t>শতকে সুপারি হাজারে পান, লক্ষ ঠাকায় পালকীতে যান</t>
  </si>
  <si>
    <t>শত টাকায় সুপারি, হাজার টাকায় পান; লক্ষ টাকায় পালকিতে যান।</t>
  </si>
  <si>
    <t>At a hundred, betel nut; at a thousand, betel leaf; at a lakh, go in a palanquin.</t>
  </si>
  <si>
    <t>শতেক ধেনু হাজার গোলা, কি করে তার আকাল শালা।</t>
  </si>
  <si>
    <t>শতেক ধেনু হাজার গোলা, কি করে তার আকাল শালা</t>
  </si>
  <si>
    <t>শত গরু ও হাজার গোলা থাকলে দুর্ভিক্ষ হয় না।</t>
  </si>
  <si>
    <t>With hundreds of cows and thousands of sheds, how can there be famine?</t>
  </si>
  <si>
    <t>শরণে মরণ নাই।</t>
  </si>
  <si>
    <t>শরণে মরণ নাই</t>
  </si>
  <si>
    <t>আশ্রয় নিলে মৃত্যু নেই।</t>
  </si>
  <si>
    <t>In refuge, there is no death.</t>
  </si>
  <si>
    <t>আশ্রিত ব্যক্তি</t>
  </si>
  <si>
    <t>শরীর খানী মহাশয় যা সহাবে তাই সয়।</t>
  </si>
  <si>
    <t>শরীর খানী মহাশয় যা সহাবে তাই সয়</t>
  </si>
  <si>
    <t>শরীর যা সহ্য করতে পারে, তাই সহ্য হয়।</t>
  </si>
  <si>
    <t>The body can bear what it can bear.</t>
  </si>
  <si>
    <t>শতেক কাককে এক তীর।</t>
  </si>
  <si>
    <t>শতেক কাককে এক তীর</t>
  </si>
  <si>
    <t>এক তীরে অনেক কাকের কাজ শেষ করা।</t>
  </si>
  <si>
    <t>One arrow for a hundred crows.</t>
  </si>
  <si>
    <t>শরীরং ব্যাধি মন্দিরং।</t>
  </si>
  <si>
    <t>শরীরং ব্যাধি মন্দিরং</t>
  </si>
  <si>
    <t>শরীরই রোগের ঘর।</t>
  </si>
  <si>
    <t>The body is the abode of disease.</t>
  </si>
  <si>
    <t>শত মারি ভবেৎ বৈদ্য সহস্র মারি চিকিৎসকঃ।</t>
  </si>
  <si>
    <t>শত মারি ভবেৎ বৈদ্য সহস্র মারি চিকিৎসকঃ</t>
  </si>
  <si>
    <t>শত রোগী দেখলে বৈদ্য, সহস্র রোগী দেখলে চিকিৎসক।</t>
  </si>
  <si>
    <t>Seeing a hundred makes a doctor; seeing a thousand makes a physician.</t>
  </si>
  <si>
    <t>ডাক্তার</t>
  </si>
  <si>
    <t>শাস যতক্ষণ আশ ততক্ষণ।</t>
  </si>
  <si>
    <t>শাস যতক্ষণ আশ ততক্ষণ</t>
  </si>
  <si>
    <t>যতক্ষণ আশা থাকে, ততক্ষণ শাসন চলে।</t>
  </si>
  <si>
    <t>As long as there is hope, there is control.</t>
  </si>
  <si>
    <t>শাকের উপর নুন নাই তায় মরিচ গুঁড়।</t>
  </si>
  <si>
    <t>শাকের উপর নুন নাই তায় মরিচ গুঁড়</t>
  </si>
  <si>
    <t>যেখানে নুন নেই, সেখানে মরিচ গুঁড়ো দিয়ে মেটানো।</t>
  </si>
  <si>
    <t>No salt on the greens, so add ground chili.</t>
  </si>
  <si>
    <t>অভাবী ব্যক্তি</t>
  </si>
  <si>
    <t>শিশিরের ভয় কি পড়েছি সমুদ্র নীরে, ডুব্‌তে ডুব্‌তে গিয়ে দেখি পাতাল কত দূরে।</t>
  </si>
  <si>
    <t>শিশিরের ভয় কি পড়েছি সমুদ্র নীরে, ডুবতে ডুবতে গিয়ে দেখি পাতাল কত দূরে</t>
  </si>
  <si>
    <t>ছোট বিপদের ভয় নেই, বড় বিপদে পড়ে দেখি কত দূর।</t>
  </si>
  <si>
    <t>Why fear the dew? I've fallen into the ocean; diving, I see how far the underworld is.</t>
  </si>
  <si>
    <t>শির নাই তার শিরঃপীড়া।</t>
  </si>
  <si>
    <t>শির নাই তার শিরঃপীড়া</t>
  </si>
  <si>
    <t>মাথা নেই তার মাথাব্যথা।</t>
  </si>
  <si>
    <t>He who has no head has a headache.</t>
  </si>
  <si>
    <t>শৃগালের বিষ্ঠায় ঔষধি হয় শৃগাল শুন্য পাহাড়ে বাহ্যা যায়।</t>
  </si>
  <si>
    <t>শৃগালের বিষ্ঠায় ঔষধি হয় শৃগাল শুন্য পাহাড়ে বাহ্যা যায়</t>
  </si>
  <si>
    <t>শেয়ালের বিষ্ঠায় ওষুধি গুণ থাকে, কিন্তু শেয়াল পাহাড়ে যায়।</t>
  </si>
  <si>
    <t>The fox's excrement has medicinal properties; the fox goes to the empty mountain.</t>
  </si>
  <si>
    <t>শিখ্‌লি কোথা না ঠেকলাম যথা।</t>
  </si>
  <si>
    <t>শিখলি কোথা না ঠেকলাম যথা</t>
  </si>
  <si>
    <t>শেখা যেখানেই হোক, আমি সেখানেই ঠেকলাম।</t>
  </si>
  <si>
    <t>I learned it, not stopping where I should.</t>
  </si>
  <si>
    <t>ছাত্র</t>
  </si>
  <si>
    <t>শ্বেত চামরে আর ঘোড়ার লেজে।</t>
  </si>
  <si>
    <t>শ্বেত চামরে আর ঘোড়ার লেজে</t>
  </si>
  <si>
    <t>সাদা চামড়া আর ঘোড়ার লেজ (অস্বাভাবিক জিনিস)।</t>
  </si>
  <si>
    <t>White leather and a horse's tail.</t>
  </si>
  <si>
    <t>শুঁড়ির সাক্ষী মাতাল।</t>
  </si>
  <si>
    <t>মদ বিক্রেতার সাক্ষী মাতাল (অর্থাৎ নির্ভরযোগ্য নয়)।</t>
  </si>
  <si>
    <t>The witness of the wine-seller is drunk.</t>
  </si>
  <si>
    <t>শুঁড়ি/মাতাল</t>
  </si>
  <si>
    <t>শুঁড়ির মণ্ডল আঘুরীর রায় বলতে বলতেই স্বর্গে যায়।</t>
  </si>
  <si>
    <t>শুঁড়ির মণ্ডল আঘুরীর রায় বলতে বলতেই স্বর্গে যায়</t>
  </si>
  <si>
    <t>মদ বিক্রেতার দল কথা বলতে বলতেই স্বর্গে যায়।</t>
  </si>
  <si>
    <t>The wine-seller's group goes to heaven while talking.</t>
  </si>
  <si>
    <t>শুঁড়ি</t>
  </si>
  <si>
    <t>শুন শুন শ্বশুর ঘরের গুণ, বেগুণ পােড়া আলোনা থাকে কচু পােড়ায় নুন।</t>
  </si>
  <si>
    <t>শুন শুন শ্বশুর ঘরের গুণ, বেগুণ পােড়া আলোনা থাকে কচু পােড়ায় নুন</t>
  </si>
  <si>
    <t>শ্বশুরবাড়ির গুণ শুনো; বেগুন পোড়া আলোনা থেকে কচু পোড়ায় নুন।</t>
  </si>
  <si>
    <t>Listen to the virtues of the in-laws' house; the burnt eggplant has no salt, but the burnt taro has salt.</t>
  </si>
  <si>
    <t>শ্বশুর/বৌ</t>
  </si>
  <si>
    <t>শুয়ে জাগে খেলেই হাগে, এমন ছেলে যমের লেগে।</t>
  </si>
  <si>
    <t>শুয়ে জাগে খেলেই হাগে, এমন ছেলে যমের লেগে</t>
  </si>
  <si>
    <t>যে ছেলে শুয়ে জেগে খেলেই হগু করে, সে যমের মতো।</t>
  </si>
  <si>
    <t>A child who sleeps, wakes, plays, and defecates—such a child is like Yama.</t>
  </si>
  <si>
    <t>শুকর মারবার সােনার তীর।</t>
  </si>
  <si>
    <t>শুকর মারবার সোনার তীর</t>
  </si>
  <si>
    <t>শুকর মারতে সোনার তীর (অর্থাৎ অমূল্য জিনিস দিয়ে অকাজ)।</t>
  </si>
  <si>
    <t>Golden arrow to kill a pig.</t>
  </si>
  <si>
    <t>শােনা, কানা, ভনা, সত্য কয় না এ তিন জনা।</t>
  </si>
  <si>
    <t>শোেনা, কানা, ভনা—সত্য কয় না এ তিন জনা</t>
  </si>
  <si>
    <t>যে শোনে, যে দেখে, যে বলে—এই তিনজন সত্য বলে না।</t>
  </si>
  <si>
    <t>The one who hears, the one who sees, the one who speaks—these three do not tell the truth.</t>
  </si>
  <si>
    <t>যাঁড়ের গোবর কোন কার্য্যের নয়।</t>
  </si>
  <si>
    <t>যাঁড়ের গোবর কোন কার্য্যের নয়</t>
  </si>
  <si>
    <t>ষাঁড়ের গোবর কোনো কাজে লাগে না।</t>
  </si>
  <si>
    <t>Bull's dung is of no use.</t>
  </si>
  <si>
    <t>সবে ধেনু, রামকানু, লয়ে এলেন সিংগাবেনু।</t>
  </si>
  <si>
    <t>সবে ধেনু, রামকানু, লয়ে এলেন সিংগাবেনু</t>
  </si>
  <si>
    <t>সব গরু, রামকানু, নিয়ে এলেন সিংগাবেনু।</t>
  </si>
  <si>
    <t>All cows, Ramakanu, brought Singhabenu.</t>
  </si>
  <si>
    <t>সরস্বতীর কাছে পাঠের বিচার।</t>
  </si>
  <si>
    <t>সরস্বতীর কাছে পাঠের বিচার</t>
  </si>
  <si>
    <t>সরস্বতী (জ্ঞানদেবী) কাছে পড়ার বিচার হয়।</t>
  </si>
  <si>
    <t>In Saraswati's court, the judgment of reading.</t>
  </si>
  <si>
    <t>ছাত্র/পণ্ডিত</t>
  </si>
  <si>
    <t>সঙ্গ দোষে লোহা ভাসে।</t>
  </si>
  <si>
    <t>সঙ্গ দোষে লোহা ভাসে</t>
  </si>
  <si>
    <t>খারাপ সঙ্গের কারণে লোহাও ভাসে (অর্থাৎ সঙ্গের প্রভাব)।</t>
  </si>
  <si>
    <t>Through bad company, even iron floats.</t>
  </si>
  <si>
    <t>সমস্তু রাত পড়ালেম’ “ক” প্রাতে পড়ে দন্ত্য “স”।</t>
  </si>
  <si>
    <t>সমস্তু রাত পড়ালেম’ “ক” প্রাতে পড়ে দন্ত্য “স”</t>
  </si>
  <si>
    <t>সারারাত 'ক' পড়ালাম, সকালে পড়ে 'স'।</t>
  </si>
  <si>
    <t>Studied 'K' all night; in the morning, read 'S'.</t>
  </si>
  <si>
    <t>সব হারায়ে লাউয়ে চাপড় হায় রে আমার কুম্‌ড়া।</t>
  </si>
  <si>
    <t>সব হারায়ে লাউয়ে চাপড় হায় রে আমার কুমড়া</t>
  </si>
  <si>
    <t>সব হারিয়ে লাউয়ের ওপর চাপড়, হায় আমার কুমড়া!</t>
  </si>
  <si>
    <t>Losing everything, slaps on the gourd; oh my pumpkin!</t>
  </si>
  <si>
    <t>সব কুকুরই গঙ্গা নাইলে পাত চাট্‌বে কে?</t>
  </si>
  <si>
    <t>সব কুকুরই গঙ্গা নাইলে পাত চাটবে কে?</t>
  </si>
  <si>
    <t>সব কুকুর যদি গঙ্গায় না যায়, তবে পাত চাটবে কে?</t>
  </si>
  <si>
    <t>If all dogs don't go to the Ganges, who will lick the leaf?</t>
  </si>
  <si>
    <t>কুকুর/সাধারণ</t>
  </si>
  <si>
    <t>সকল বাঁশে চামর বাঁধে না।</t>
  </si>
  <si>
    <t>সকল বাঁশে চামর বাঁধে না</t>
  </si>
  <si>
    <t>সব বাঁশে চামর (ছাল) বাঁধা যায় না।</t>
  </si>
  <si>
    <t>Not all bamboos can tie the chamer.</t>
  </si>
  <si>
    <t>সখীরে সখী আপনার মান আপনি রাখি।</t>
  </si>
  <si>
    <t>সখীরে সখী আপনার মান আপনি রাখি</t>
  </si>
  <si>
    <t>বন্ধুদের মধ্যে নিজের মান নিজেই রাখতে হয়।</t>
  </si>
  <si>
    <t>Friend to friend, one must maintain one's own dignity.</t>
  </si>
  <si>
    <t>সকল জাতি পোষ মানে যার থাকে ল্যাজ দুজাতি কেবল পোষমানে না মানুষ বেঙ।</t>
  </si>
  <si>
    <t>সকল জাতি পোষ মানে যার থাকে ল্যাজ দুজাতি কেবল পোষমানে না মানুষ বেঙ</t>
  </si>
  <si>
    <t>যার লেজ থাকে সে-ই পোষ মানে; মানুষ ও ব্যাঙ পোষ মানে না।</t>
  </si>
  <si>
    <t>All species obey that have a tail; only two do not—man and frog.</t>
  </si>
  <si>
    <t>মানুষ/ব্যাঙ</t>
  </si>
  <si>
    <t>সহরের কুকুর বাহিরের ঠাকুর সমান দর।</t>
  </si>
  <si>
    <t>সহরের কুকুর বাহিরের ঠাকুর সমান দর</t>
  </si>
  <si>
    <t>শহরের কুকুর ও বাইরের ঠাকুরের দাম সমান।</t>
  </si>
  <si>
    <t>The dog of the city and the outside god have the same price.</t>
  </si>
  <si>
    <t>সব শিয়েলের একই “রা”।</t>
  </si>
  <si>
    <t>সব শিয়েলের একই “রা”</t>
  </si>
  <si>
    <t>সব শেয়ালের একই ডাক।</t>
  </si>
  <si>
    <t>All jackals have the same cry.</t>
  </si>
  <si>
    <t>শেয়াল</t>
  </si>
  <si>
    <t>সকল ভুতের উদ্ধার গয়াতে, কিন্তু গয়ার ভুতের উদ্ধার কোথায়?</t>
  </si>
  <si>
    <t>সব ভূতের মুক্তি গয়াতে, কিন্তু গয়ার ভূতের মুক্তি কোথায়?</t>
  </si>
  <si>
    <t>All ghosts get liberation in Gaya, but where is the liberation for the ghost of Gaya?</t>
  </si>
  <si>
    <t>ভূত</t>
  </si>
  <si>
    <t>স্বর্গেই যাব, না লাড়ুই খাব?</t>
  </si>
  <si>
    <t>স্বর্গে যাবো, নাকি লাড্ডু খাবো?</t>
  </si>
  <si>
    <t>Will I go to heaven or eat the laddu?</t>
  </si>
  <si>
    <t>স্বতীন ভাল কিন্তু কাঁটা ভাল নয়।</t>
  </si>
  <si>
    <t>স্বতীন ভাল কিন্তু কাঁটা ভাল নয়</t>
  </si>
  <si>
    <t>সতীন ভালো, কিন্তু কাঁটা ভালো নয়।</t>
  </si>
  <si>
    <t>The co-wife is good, but the thorn is not.</t>
  </si>
  <si>
    <t>সতীন/স্ত্রী</t>
  </si>
  <si>
    <t>স্বনয়নে সুবর্ণ বর্ষে।</t>
  </si>
  <si>
    <t>স্বনয়নে সুবর্ণ বর্ষে</t>
  </si>
  <si>
    <t>নিজের চোখে সোনা বর্ষে (অর্থাৎ নিজের দৃষ্টিতে সব সুন্দর)।</t>
  </si>
  <si>
    <t>By his own eyes, gold rains.</t>
  </si>
  <si>
    <t>স্বাদ হয় সাধু হতে, ভয় পায় ছাব নিতে।</t>
  </si>
  <si>
    <t>স্বাদ হয় সাধু হতে, ভয় পায় ছাব নিতে</t>
  </si>
  <si>
    <t>সাধু হতে স্বাদ লাগে, কিন্তু ছাব নিতে ভয় পায়।</t>
  </si>
  <si>
    <t>Taste comes from being a saint; fear comes from taking the chal.</t>
  </si>
  <si>
    <t>সাধু</t>
  </si>
  <si>
    <t>সাধু, চোরের বাণী লক্ষণ দেখে চিনি।</t>
  </si>
  <si>
    <t>সাধু, চোরের বাণী লক্ষণ দেখে চিনি</t>
  </si>
  <si>
    <t>সাধু ও চোরের কথা লক্ষণ দেখে চেনা যায়।</t>
  </si>
  <si>
    <t>The saint and the thief are recognized by their speech and signs.</t>
  </si>
  <si>
    <t>সাধু/চোর</t>
  </si>
  <si>
    <t>সাঁতার না জান্‌লে বাপের পুকুরে ডুবে মরে।</t>
  </si>
  <si>
    <t>সাঁতার না জানলে বাপের পুকুরে ডুবে মরে</t>
  </si>
  <si>
    <t>সাঁতার না জানলে নিজের পুকুরেও ডুবে মরতে হয়।</t>
  </si>
  <si>
    <t>If you don't know how to swim, you drown in your father's pond.</t>
  </si>
  <si>
    <t>অজ্ঞ/অযোগ্য</t>
  </si>
  <si>
    <t>সারাদিন খাটালে সন্ধ্যেবেলা খালি হাতে পাঠালে।</t>
  </si>
  <si>
    <t>সারাদিন খাটালে সন্ধ্যেবেলা খালি হাতে পাঠালে</t>
  </si>
  <si>
    <t>সারাদিন কাজ করেও সন্ধ্যায় খালি হাতে ফেরত পাঠানো।</t>
  </si>
  <si>
    <t>After working all day, sent back empty-handed in the evening.</t>
  </si>
  <si>
    <t>মজুর/শ্রমিক</t>
  </si>
  <si>
    <t>সাঁখাহাতি সাঁখানাড়ে পাগল বলে মোর জন্য ভাত বাড়ে।</t>
  </si>
  <si>
    <t>সাঁখাহাতি সাঁখানাড়ে পাগল বলে মোর জন্য ভাত বাড়ে</t>
  </si>
  <si>
    <t>শঙ্খ-হাতি শঙ্খ-নাড়ে পাগল বলে—আমার জন্য ভাত বাড়ে।</t>
  </si>
  <si>
    <t>The conch-elephant, the conch-holder—the madman says, rice increases for me.</t>
  </si>
  <si>
    <t>পাগল/প্রযোজ্য নয়</t>
  </si>
  <si>
    <t>সাপে খায় কিন্তু সাপের মুখ খালি থাকে।</t>
  </si>
  <si>
    <t>সাপে খায় কিন্তু সাপের মুখ খালি থাকে</t>
  </si>
  <si>
    <t>সাপ খায়, কিন্তু তার মুখ ফাঁকা থাকে (অর্থাৎ খেয়েও তৃপ্তি নেই)।</t>
  </si>
  <si>
    <t>The snake eats but its mouth remains empty.</t>
  </si>
  <si>
    <t>সাপ/লোভী</t>
  </si>
  <si>
    <t>সাতকাণ্ড রামায়ণ পড়ে সিতা কার ভার্য্যা?</t>
  </si>
  <si>
    <t>সাতকাণ্ড রামায়ণ পড়েও বোঝা যায় না সিতা কার স্ত্রী।</t>
  </si>
  <si>
    <t>After reading the seven chapters of the Ramayana, whose wife is Sita?</t>
  </si>
  <si>
    <t>সীতা/রাম</t>
  </si>
  <si>
    <t>সাঁখের করাৎ যেতে আসতেই কাটে।</t>
  </si>
  <si>
    <t>সাঁখের করাৎ যেতে আসতেই কাটে</t>
  </si>
  <si>
    <t>শাঁখের করাত—যেতেও কাটে, আসতেও কাটে।</t>
  </si>
  <si>
    <t>The conch's saw cuts both ways.</t>
  </si>
  <si>
    <t>সাজ করতেই করতেই সব ফুরাল।</t>
  </si>
  <si>
    <t>সাজ করতেই করতেই সব ফুরাল</t>
  </si>
  <si>
    <t>সাজতে সাজতে সব শেষ হয়ে গেল।</t>
  </si>
  <si>
    <t>While decorating, everything finished.</t>
  </si>
  <si>
    <t>সাপের সামনে বেঙ নাচে।</t>
  </si>
  <si>
    <t>সাপের সামনে ব্যাঙ নাচে</t>
  </si>
  <si>
    <t>অত্যন্ত বিপদের মুখেও আনন্দ বা নির্ভয়তা দেখানো।</t>
  </si>
  <si>
    <t>The frog dances in front of the snake.</t>
  </si>
  <si>
    <t>সাধে কি বিরাল উঠে গাছে।</t>
  </si>
  <si>
    <t>সাধে কি বিড়াল উঠে গাছে</t>
  </si>
  <si>
    <t>অস্বাভাবিক ঘটনা ঘটে না।</t>
  </si>
  <si>
    <t>Does a cat climb a tree casually?</t>
  </si>
  <si>
    <t>সাহসের অসাধ্য কিছুই নাই।</t>
  </si>
  <si>
    <t>সাহসের অসাধ্য কিছুই নাই</t>
  </si>
  <si>
    <t>সাহস থাকলে সব সম্ভব।</t>
  </si>
  <si>
    <t>Nothing is impossible for courage.</t>
  </si>
  <si>
    <t>সেজে গুজে পেঁচা রাজা।</t>
  </si>
  <si>
    <t>সেজে গুজে পেঁচা রাজা</t>
  </si>
  <si>
    <t>সাজ-পোশাকে মানুষ বড় হয়।</t>
  </si>
  <si>
    <t>Dressed up, the owl becomes king.</t>
  </si>
  <si>
    <t>সাধে কল্লেম ভাতার না সেও হলেন ছাতার।</t>
  </si>
  <si>
    <t>সাধে করলাম ভাতার না, সেও হলেন ছাতার</t>
  </si>
  <si>
    <t>ইচ্ছা করে স্বামী হলাম না, তিনি ছাতার হয়ে গেলেন।</t>
  </si>
  <si>
    <t>I didn't become a husband willingly; he became an umbrella.</t>
  </si>
  <si>
    <t>সাধুজন ঘাটের পাথর, ছোট বড় পা ঘসে তবু করে না উত্তর।</t>
  </si>
  <si>
    <t>সাধুজন ঘাটের পাথর, ছোট বড় পা ঘসে তবু করে না উত্তর</t>
  </si>
  <si>
    <t>সাধু লোক ঘাটের পাথরের মতো—সবাই পা ঘষে, কিন্তু কোনো উত্তর দেয় না।</t>
  </si>
  <si>
    <t>The good man is like the ghat stone; everyone rubs their feet on it, yet it gives no answer.</t>
  </si>
  <si>
    <t>সাধু ব্যক্তি</t>
  </si>
  <si>
    <t>সিতা রামের বাণী আবাতেল আধাপানী।</t>
  </si>
  <si>
    <t>সিতা রামের বাণী আবাতেল আধাপানী</t>
  </si>
  <si>
    <t>সীতা ও রামের কথা অর্ধেক পানি (অর্থাৎ পবিত্র)।</t>
  </si>
  <si>
    <t>Sita and Ram's words are like half-water (pure).</t>
  </si>
  <si>
    <t>সিদ্ধি খেলে বুদ্ধি বাড়ে গাঁজা খেলে লক্ষী ছাড়ে।</t>
  </si>
  <si>
    <t>সিদ্ধি খেলে বুদ্ধি বাড়ে গাঁজা খেলে লক্ষী ছাড়ে</t>
  </si>
  <si>
    <t>সিদ্ধি খেলে বুদ্ধি বাড়ে, গাঁজা খেলে লক্ষ্মী ছাড়ে।</t>
  </si>
  <si>
    <t>Eating Siddhi increases intelligence; eating ganja makes Lakshmi leave.</t>
  </si>
  <si>
    <t>মাদকাসক্ত</t>
  </si>
  <si>
    <t>সিঁদ কাটতে ভুঞা তসীল করতে মিঞা।</t>
  </si>
  <si>
    <t>সিঁদ কাটতে ভুঞা তসীল করতে মিঞা</t>
  </si>
  <si>
    <t>সিঁদ কাটতে ভুঁইয়া, তসিল করতে মিঞা।</t>
  </si>
  <si>
    <t>The Bhuiya cuts the lime; the Miya does the accounting.</t>
  </si>
  <si>
    <t>পেশাদার</t>
  </si>
  <si>
    <t>স্ত্রী বুদ্ধি প্রলয়ং কুরু।</t>
  </si>
  <si>
    <t>স্ত্রী বুদ্ধি প্রলয়ং কুরু</t>
  </si>
  <si>
    <t>স্ত্রীর বুদ্ধি বিপদ ডেকে আনে।</t>
  </si>
  <si>
    <t>Woman's wisdom brings destruction.</t>
  </si>
  <si>
    <t>স্থিরজলে পাথর কাটে।</t>
  </si>
  <si>
    <t>স্থিরজলে পাথর কাটে</t>
  </si>
  <si>
    <t>স্থির পানি পাথর কাটতে পারে (অর্থাৎ ধৈর্য কঠিন কাজও করতে পারে)।</t>
  </si>
  <si>
    <t>Still water cuts stone.</t>
  </si>
  <si>
    <t>সুদুই লসফস পুঁটলীতে গুড় নাই তার পাতা গোটা দশ।</t>
  </si>
  <si>
    <t>সুদুই লসফস পুঁটলীতে গুড় নাই তার পাতা গোটা দশ</t>
  </si>
  <si>
    <t>বাহ্যিক আড়ম্বর বেশি, ভেতরে কিছুই নেই।</t>
  </si>
  <si>
    <t>The bundle has no molasses, yet it has ten leaves.</t>
  </si>
  <si>
    <t>সুঁচ হয়ে প্রবেশ করে ফাল হয়ে দাঁড়ায়।</t>
  </si>
  <si>
    <t>সুঁচ হয়ে প্রবেশ করে ফাল হয়ে দাঁড়ায়</t>
  </si>
  <si>
    <t>ছোট থেকে শুরু করে বড় হওয়া।</t>
  </si>
  <si>
    <t>Enters as a needle, stands as a blade.</t>
  </si>
  <si>
    <t>উন্নতিশীল ব্যক্তি</t>
  </si>
  <si>
    <t>উন্নয়ন</t>
  </si>
  <si>
    <t>সূর্য্য কি হাতের আড়ে লুকায়?</t>
  </si>
  <si>
    <t>সূর্য কি হাতের আড়ে লুকায়?</t>
  </si>
  <si>
    <t>সত্যকে লুকানো যায় না।</t>
  </si>
  <si>
    <t>Can the sun be hidden behind the hand?</t>
  </si>
  <si>
    <t>সুখে থাক মোর চুড় বাঁশি কত শত মিলবে দাসী।</t>
  </si>
  <si>
    <t>সুখে থাক মোর চুড় বাঁশি কত শত মিলবে দাসী</t>
  </si>
  <si>
    <t>সুখে থাকো, আমার চুড়-বাঁশি; কত শত দাসী মিলবে।</t>
  </si>
  <si>
    <t>Stay happy, my flute; hundreds of servants will be found.</t>
  </si>
  <si>
    <t>সুভস্য শীঘ্রং অসুভস্য কাল হরণং।</t>
  </si>
  <si>
    <t>সুভস্য শীঘ্রং অসুভস্য কাল হরণং</t>
  </si>
  <si>
    <t>ভালো কাজ দ্রুত হয়, খারাপ কাজ সময় নেয়।</t>
  </si>
  <si>
    <t>Good things happen quickly; bad things take time.</t>
  </si>
  <si>
    <t>সোনার চুড় বাঁকাও ভাল।</t>
  </si>
  <si>
    <t>সোনার চুড় বাঁকাও ভাল</t>
  </si>
  <si>
    <t>সোনার চুড় বাঁকা হলেও তার মূল্য আছে।</t>
  </si>
  <si>
    <t>Even a bent gold bangle is good.</t>
  </si>
  <si>
    <t>মূল্যবান জিনিস</t>
  </si>
  <si>
    <t>সোজা আঙ্গুলে ঘি উঠে না।</t>
  </si>
  <si>
    <t>সোজা আঙ্গুলে ঘি উঠে না</t>
  </si>
  <si>
    <t>সরাসরি বা সহজভাবে সব কাজ হয় না, কৌশল প্রয়োজন।</t>
  </si>
  <si>
    <t>Ghee does not come up with a straight finger.</t>
  </si>
  <si>
    <t>হরি নামের মালা বলেই কি বোঝা?</t>
  </si>
  <si>
    <t>শুধু নাম বললেই হয় না, প্রকৃত ভক্তি প্রয়োজন।</t>
  </si>
  <si>
    <t>Does just saying the garland of Hari's name mean anything?</t>
  </si>
  <si>
    <t>হরিণ সিংহে মাছি বসতে দেয় না।</t>
  </si>
  <si>
    <t>হরিণ সিংহে মাছি বসতে দেয় না</t>
  </si>
  <si>
    <t>শক্তিশালী ব্যক্তি ছোটখাটো বিরক্তিও সহ্য করে না।</t>
  </si>
  <si>
    <t>The deer does not let a fly sit on the lion.</t>
  </si>
  <si>
    <t>হাটে মাঝি বাটে মাঝি ঘরে এল ছেলের বাপ্ ছাতু খাবে তো ঢেঁকিতে চাপ।</t>
  </si>
  <si>
    <t>হাটে মাঝি বাটে মাঝি ঘরে এল ছেলের বাপ, ছাতু খাবে তো ঢেঁকিতে চাপ</t>
  </si>
  <si>
    <t>সর্বত্র উপস্থিতি, কিন্তু কাজে অক্ষম।</t>
  </si>
  <si>
    <t>Fisherman in the market, fisherman in the lane; the son's father came home; if you want to eat chhatu, press it in the mortar.</t>
  </si>
  <si>
    <t>ছেলের বাপ/পুরুষ</t>
  </si>
  <si>
    <t>হা করতে করতেই ফোঁপসা গুণি।</t>
  </si>
  <si>
    <t>হা করতে করতেই ফোঁপসা গুণি</t>
  </si>
  <si>
    <t>কিছু বলতে না বলতেই ফোঁপসা হয়ে যাওয়া।</t>
  </si>
  <si>
    <t>While saying 'ha', it became puffed.</t>
  </si>
  <si>
    <t>অলস/অক্ষম</t>
  </si>
  <si>
    <t>হাতির পিছনে কুকুর ডাকে।</t>
  </si>
  <si>
    <t>হাতির পিছনে কুকুর ডাকে</t>
  </si>
  <si>
    <t>ছোটরা বড়দের নিয়ে বকবক করে।</t>
  </si>
  <si>
    <t>The dog barks behind the elephant.</t>
  </si>
  <si>
    <t>হাতি কি হাতে ঠেলা যায়?</t>
  </si>
  <si>
    <t>বড় কাজ সহজে হয় না।</t>
  </si>
  <si>
    <t>Can an elephant be pushed by hand?</t>
  </si>
  <si>
    <t>হাতের আলস্যে গোঁপ নষ্ট।</t>
  </si>
  <si>
    <t>হাতের আলস্যে গোঁপ নষ্ট</t>
  </si>
  <si>
    <t>একটু অলসতার কারণে বড় ক্ষতি।</t>
  </si>
  <si>
    <t>Due to hand sores, the mustache is ruined.</t>
  </si>
  <si>
    <t>হাঁসে যায় বরযাত্রি যাঁকে লাগে কড়ি পাতি।</t>
  </si>
  <si>
    <t>হাঁসে যায় বরযাত্রি যাঁকে লাগে কড়ি পাতি</t>
  </si>
  <si>
    <t>যেখানে টাকার প্রয়োজন, সেখানে বরযাত্রীরা হাঁসে চড়ে যায়।</t>
  </si>
  <si>
    <t>The groom's party goes by duck, wherever the coins and leaves are needed.</t>
  </si>
  <si>
    <t>বরযাত্রী</t>
  </si>
  <si>
    <t>হাগু হাগু মরণং, লেখ লেখ লেখনং।</t>
  </si>
  <si>
    <t>হাগু হাগু মরণং, লেখ লেখ লেখনং</t>
  </si>
  <si>
    <t>মলত্যাগ ও লেখা—উভয়ই অনিবার্য।</t>
  </si>
  <si>
    <t>Defecation and writing—both are inevitable.</t>
  </si>
  <si>
    <t>হাতে মুখে দই, তবু বলে কই কই।</t>
  </si>
  <si>
    <t>হাতে মুখে দই, তবু বলে কই কই</t>
  </si>
  <si>
    <t>হাতে ও মুখে দই (খাবার) থাকলেও অভিযোগ।</t>
  </si>
  <si>
    <t>Curd in hands and mouth, yet says 'where, where'.</t>
  </si>
  <si>
    <t>হাতে পাঁজি মঙ্গল বার।</t>
  </si>
  <si>
    <t>হাতে পাঁজি মঙ্গল বার</t>
  </si>
  <si>
    <t>হাতে পঞ্জিকা থাকলে শুভ দিন জানা যায়।</t>
  </si>
  <si>
    <t>With a calendar in hand, the auspicious day is known.</t>
  </si>
  <si>
    <t>জ্যোতিষ/পণ্ডিত</t>
  </si>
  <si>
    <t>হাতের সাঁখা দর্পণে চেনায়।</t>
  </si>
  <si>
    <t>হাতের সাঁখা দর্পণে চেনায়</t>
  </si>
  <si>
    <t>হাতের শঙ্খ আয়নায় চেনা যায়।</t>
  </si>
  <si>
    <t>The conch in the hand is recognized in the mirror.</t>
  </si>
  <si>
    <t>হাতে খায় মুখে লালায়।</t>
  </si>
  <si>
    <t>হাতে খায় মুখে লালায়</t>
  </si>
  <si>
    <t>হাতে খায়, মুখে লালা পড়ে (অর্থাৎ লোভে আরও চায়)।</t>
  </si>
  <si>
    <t>Eats with hands, drools from mouth.</t>
  </si>
  <si>
    <t>হাবা তাঁতির উলুবনে সাঁতার।</t>
  </si>
  <si>
    <t>হাবা তাঁতির উলুবনে সাঁতার</t>
  </si>
  <si>
    <t>অযোগ্য ব্যক্তি অপ্রাসঙ্গিক কাজে লিপ্ত।</t>
  </si>
  <si>
    <t>The foolish weaver swims in the jute field.</t>
  </si>
  <si>
    <t>হিং গেলে কি হিংগের গন্ধ যায়।</t>
  </si>
  <si>
    <t>হিং গেলে কি হিংগের গন্ধ যায়</t>
  </si>
  <si>
    <t>হিং (একটি মশলা) গেলেও তার গন্ধ যায় না।</t>
  </si>
  <si>
    <t>Does the smell of asafoetida go away?</t>
  </si>
  <si>
    <t>গন্ধ/অভ্যাস</t>
  </si>
  <si>
    <t>হুড়মুড় যাত্রা যা করেন বিধাতা।</t>
  </si>
  <si>
    <t>হুড়মুড় যাত্রা যা করেন বিধাতা</t>
  </si>
  <si>
    <t>বিধাতা যা করেন, সবই ঠিক।</t>
  </si>
  <si>
    <t>Whatever the Creator does, it's a grand journey.</t>
  </si>
  <si>
    <t>বিধাতা/ঈশ্বর</t>
  </si>
  <si>
    <t>হেংলামনের ঠিক নাই সকল দেব পূজে, যখন যার প্রভা দেখে তখন তাকে ভজে।</t>
  </si>
  <si>
    <t>হেংলামনের ঠিক নাই সকল দেব পূজে, যখন যার প্রভা দেখে তখন তাকে ভজে</t>
  </si>
  <si>
    <t>সুবিধাবাদী ব্যক্তি সব দেবতার পূজা করে, যার গুরুত্ব দেখে তাকে ভজে।</t>
  </si>
  <si>
    <t>The opportunist worships all gods; when he sees someone's power, he worships them.</t>
  </si>
  <si>
    <t>সুবিধাবাদী ব্যক্তি</t>
  </si>
  <si>
    <t>হেল্যা যায় হাল নিয়ে বিধাতা যান তুল নিয়ে।</t>
  </si>
  <si>
    <t>হেল্যা যায় হাল নিয়ে বিধাতা যান তুল নিয়ে</t>
  </si>
  <si>
    <t>কেউ লাঙল নিয়ে যায়, কেউ তুলো নিয়ে যায় (সবাই নিজের কাজে)।</t>
  </si>
  <si>
    <t>One goes with a plough, another with cotton—everyone with their own work.</t>
  </si>
  <si>
    <t>হেলায় কার্য্য নাশ।</t>
  </si>
  <si>
    <t>হেলায় কার্য্য নাশ</t>
  </si>
  <si>
    <t>অবহেলা করলে কাজ নষ্ট হয়।</t>
  </si>
  <si>
    <t>Carelessness ruins work.</t>
  </si>
  <si>
    <t>হেঠ হতে পারলেই হয় শ্রেষ্ঠ।</t>
  </si>
  <si>
    <t>হেঠ হতে পারলেই হয় শ্রেষ্ঠ</t>
  </si>
  <si>
    <t>নিচু বা খারাপ অবস্থা থেকে উঠতে পারলেই শ্রেষ্ঠ হওয়া যায়।</t>
  </si>
  <si>
    <t>If one can rise from the low, one becomes the best.</t>
  </si>
  <si>
    <t>হেরে গেলেই মানের খর্ব্ব।</t>
  </si>
  <si>
    <t>হেরে গেলেই মানের খর্ব্ব</t>
  </si>
  <si>
    <t>হারলে সম্মান কমে যায়।</t>
  </si>
  <si>
    <t>Losing reduces one's dignity.</t>
  </si>
  <si>
    <t>পরাজিত ব্যক্তি</t>
  </si>
  <si>
    <t>অকণ্টকবিদ্ধ কি জানে কাঁটাফুটা কী?</t>
  </si>
  <si>
    <t>যে কাঁটাবিদ্ধ হয়নি সে কাঁটার ব্যথা কী জানে</t>
  </si>
  <si>
    <t>সুখী মানুষ জীবনযন্ত্রণা কাকে বলে জানে না</t>
  </si>
  <si>
    <t>The happy person does not know the pain of life.</t>
  </si>
  <si>
    <t>সুখী ব্যক্তি</t>
  </si>
  <si>
    <t>অকর্মা নাপিতের ধামাভরা ক্ষুর</t>
  </si>
  <si>
    <t>অকর্মা নাপিতের ঝুড়িভর্তি ক্ষুর</t>
  </si>
  <si>
    <t>অক্ষম ব্যক্তি নিজের দুর্বলতা ঢাকতে বেশি সরঞ্জাম দেখায়</t>
  </si>
  <si>
    <t>An incompetent barber has a basket full of razors.</t>
  </si>
  <si>
    <t>অকর্মা/অলস ব্যক্তি</t>
  </si>
  <si>
    <t>অকর্মারা সর্বদাই ক্ষুধার্ত</t>
  </si>
  <si>
    <t>অকর্মারা সবসময় ক্ষুধার্ত থাকে</t>
  </si>
  <si>
    <t>অলস মানুষেরা শুধু খেয়ে জীবন কাটায়</t>
  </si>
  <si>
    <t>Idle people are always hungry.</t>
  </si>
  <si>
    <t>অকস্মাৎ/বিনামেঘে বজ্রাঘাত</t>
  </si>
  <si>
    <t>হঠাৎ বিনা মেঘে বজ্রপাত</t>
  </si>
  <si>
    <t>অপ্রত্যাশিতভাবে বিপদ আসে</t>
  </si>
  <si>
    <t>A bolt from the blue.</t>
  </si>
  <si>
    <t>ঘটনা</t>
  </si>
  <si>
    <t>অকারণে কিছু হয় না</t>
  </si>
  <si>
    <t>অকারণে কিছু হয় না</t>
  </si>
  <si>
    <t>বিনা কারণে গাছের পাতাও নড়ে না; সব কিছুর পেছনে কারণ থাকে</t>
  </si>
  <si>
    <t>Nothing happens without a reason.</t>
  </si>
  <si>
    <t>অকারণে হৈ চৈ</t>
  </si>
  <si>
    <t>অকারণে হৈ চৈ (অহেতুক শোরগোল)</t>
  </si>
  <si>
    <t>অহেতুক চিন্তা বা হইচই</t>
  </si>
  <si>
    <t>Much ado about nothing.</t>
  </si>
  <si>
    <t>অহেতুক চিন্তাকারী</t>
  </si>
  <si>
    <t>অকালকুষ্মাণ্ড১</t>
  </si>
  <si>
    <t>অকালের কুষ্মাণ্ড (চালকুমড়া)</t>
  </si>
  <si>
    <t>অকেজো, অকর্মণ্য ব্যক্তি</t>
  </si>
  <si>
    <t>A worthless fellow (like an unseasonal pumpkin unfit for sacrifice).</t>
  </si>
  <si>
    <t>অকর্মণ্য ব্যক্তি</t>
  </si>
  <si>
    <t>অকালকুষ্মাণ্ড২</t>
  </si>
  <si>
    <t>অকালের কুষ্মাণ্ড (দ্বিতীয় অর্থ)</t>
  </si>
  <si>
    <t>পরিবারের অনিষ্টকারী সদস্য</t>
  </si>
  <si>
    <t>A family member who brings ruin.</t>
  </si>
  <si>
    <t>অনিষ্টকারী ব্যক্তি</t>
  </si>
  <si>
    <t>অকাল গেল সুকাল এল পাকল কাঁটাল কোষ, আজ বন্ধু ছেড়ে যাও, দিয়ে আমার দোষ</t>
  </si>
  <si>
    <t>অকাল গেল, সুকাল এল, কাঁঠালের বিচি পাকল; আজ বন্ধু ছেড়ে যাও, আমার দোষ দিয়ে</t>
  </si>
  <si>
    <t>অসময়ে উপকার নিয়ে সুসময়ে উপকারীকে ত্যাগ করে এবং দোষ চাপায়</t>
  </si>
  <si>
    <t>In adversity you took help, in prosperity you discard the helper and blame them.</t>
  </si>
  <si>
    <t>কৃতঘ্ন বন্ধু</t>
  </si>
  <si>
    <t>অকালমেঘ</t>
  </si>
  <si>
    <t>অকালের মেঘ</t>
  </si>
  <si>
    <t>হঠাৎ আসা সম্পদ যা দ্রুত চলে যায়</t>
  </si>
  <si>
    <t>Easy come, easy go.</t>
  </si>
  <si>
    <t>অকালে/আকালে কী না খায়</t>
  </si>
  <si>
    <t>অকালে কী না খায়</t>
  </si>
  <si>
    <t>দুর্ভিক্ষে বা অভাবের সময় খাবারের বাছবিচার চলে না</t>
  </si>
  <si>
    <t>In famine one eats whatever is available.</t>
  </si>
  <si>
    <t>দুর্ভিক্ষপীড়িত মানুষ</t>
  </si>
  <si>
    <t>অকালে খেয়েছ কচু, মনে রেখ কিছুকিছু</t>
  </si>
  <si>
    <t>অকালে কচু খেয়েছ, কিছু মনে রেখ</t>
  </si>
  <si>
    <t>সুখের দিনে দুঃখের দিন ভুলে যেও না</t>
  </si>
  <si>
    <t>When good times come, don't forget the hard times.</t>
  </si>
  <si>
    <t>ভুলো মন মানুষ</t>
  </si>
  <si>
    <t>অকালে না নোয় বাঁশ পাকলে করে ট্যাঁশট্যাঁশ</t>
  </si>
  <si>
    <t>অকালে না নোয়ালে বাঁশ পাকলে কটকট শব্দ করে</t>
  </si>
  <si>
    <t>শৈশবে শিক্ষা না দিলে পরে উপদেশ দিলেও তা ব্যর্থ</t>
  </si>
  <si>
    <t>Bamboo not bent while green creaks when dry; train a child early.</t>
  </si>
  <si>
    <t>অকালে বাড়ে সকালে মরতে</t>
  </si>
  <si>
    <t>অকালে বড় হয়, তাড়াতাড়ি মারা যায়</t>
  </si>
  <si>
    <t>দ্রুত বৃদ্ধি দ্রুত মৃত্যু ডেকে আনে</t>
  </si>
  <si>
    <t>Early ripe, early rotten.</t>
  </si>
  <si>
    <t>অতিবৃদ্ধিকারক</t>
  </si>
  <si>
    <t>অকালের তাল বড়ই মিষ্টি</t>
  </si>
  <si>
    <t>অকালের তাল খুব মিষ্টি</t>
  </si>
  <si>
    <t>অসময়ের জিনিসের প্রতি আকর্ষণ বেশি</t>
  </si>
  <si>
    <t>Forbidden fruit is sweetest.</t>
  </si>
  <si>
    <t>অকালের বাদল/বাদলা</t>
  </si>
  <si>
    <t>অকালের বর্ষা</t>
  </si>
  <si>
    <t>অপ্রত্যাশিত বাধা</t>
  </si>
  <si>
    <t>An unexpected obstacle.</t>
  </si>
  <si>
    <t>অকুলীনোহপি শাস্ত্রজ্ঞো দৈবতৈরপি পূজ্যতে</t>
  </si>
  <si>
    <t>নীচকুলে জন্ম হলেও শাস্ত্রজ্ঞকে দেবতারাও পূজা করেন</t>
  </si>
  <si>
    <t>জ্ঞানই শ্রেষ্ঠ, কুলীনতা নয়</t>
  </si>
  <si>
    <t>Even one of low birth, if learned, is worshipped by gods.</t>
  </si>
  <si>
    <t>নিচু বংশের মানুষ</t>
  </si>
  <si>
    <t>বর্ণ/শ্রেণী</t>
  </si>
  <si>
    <t>অকৃতজ্ঞ মানুষ অপেক্ষা কৃতজ্ঞ কুকুর শ্রেয়</t>
  </si>
  <si>
    <t>অকৃতজ্ঞ মানুষ থেকে কৃতজ্ঞ কুকুর অনেক ভাল</t>
  </si>
  <si>
    <t>অকৃতজ্ঞ মানুষের চেয়ে পশুও বিশ্বস্ত</t>
  </si>
  <si>
    <t>Better a grateful dog than an ungrateful man.</t>
  </si>
  <si>
    <t>অকৃতজ্ঞের নরকবাস</t>
  </si>
  <si>
    <t>অকৃতজ্ঞ নরকবাস করে</t>
  </si>
  <si>
    <t>অকৃতজ্ঞতার কঠোর পরিণতি হয়</t>
  </si>
  <si>
    <t>The ungrateful suffer in hell.</t>
  </si>
  <si>
    <t>অকেজো নাপিতের থলিভরা ক্ষুর</t>
  </si>
  <si>
    <t>অকেজো নাপিতের ব্যাগভরা ক্ষুর</t>
  </si>
  <si>
    <t>অকর্মণ্যের সরঞ্জামের অভাব নেই, কাজ নেই</t>
  </si>
  <si>
    <t>A useless barber has a bag full of razors.</t>
  </si>
  <si>
    <t>অকর্মা ব্যক্তি</t>
  </si>
  <si>
    <t>অকেজো বউ লাউ কুটতে দড়</t>
  </si>
  <si>
    <t>অকেজো বউ লাউ কাটায় পটু</t>
  </si>
  <si>
    <t>অযোগ্য নারী সহজ কাজ বেছে নেয়</t>
  </si>
  <si>
    <t>An incompetent wife is expert at cutting gourd (easy task).</t>
  </si>
  <si>
    <t>নারী (অকেজো বউ)</t>
  </si>
  <si>
    <t>অকেজো মিস্ত্রি যন্ত্রের দোষ ধরে</t>
  </si>
  <si>
    <t>অক্ষম ব্যক্তি সবসময় অজুহাত খোঁজে</t>
  </si>
  <si>
    <t>A bad workman blames his tools.</t>
  </si>
  <si>
    <t>অকর্মা কর্মী</t>
  </si>
  <si>
    <t>অকেজো মানুষের কথা বেশি কাজ কম</t>
  </si>
  <si>
    <t>অকেজো মানুষের কথা বেশি, কাজ কম</t>
  </si>
  <si>
    <t>অক্ষম ব্যক্তি কথা দিয়েই ভড়ং দেখায়</t>
  </si>
  <si>
    <t>Empty vessels make the most noise.</t>
  </si>
  <si>
    <t>অকেজোর তিন কাজ বড়, ভোজন ক্রোধ নিদ্রা দড়</t>
  </si>
  <si>
    <t>অকেজোর তিন কাজ বড়- খাওয়া, রাগ, ঘুম</t>
  </si>
  <si>
    <t>অলস ব্যক্তি কেবল খায়, রাগ দেখায় ও ঘুমায়</t>
  </si>
  <si>
    <t>An idler excels at eating, anger, and sleeping.</t>
  </si>
  <si>
    <t>অক্ষমের অজুহাত খাড়া</t>
  </si>
  <si>
    <t>অক্ষমের অজুহাত দাঁড় করানো</t>
  </si>
  <si>
    <t>অক্ষমের অজুহাতের শেষ নেই</t>
  </si>
  <si>
    <t>The incompetent always has excuses.</t>
  </si>
  <si>
    <t>অখণ্ডিত রত্ন মেলে না</t>
  </si>
  <si>
    <t>অখণ্ডিত রত্ন পাওয়া যায় না</t>
  </si>
  <si>
    <t>পরিপূর্ণতা বলে কিছু নেই; কিছু ত্রুটি থাকেই</t>
  </si>
  <si>
    <t>Nothing perfect exists.</t>
  </si>
  <si>
    <t>অগভীর জলে সফরি ফরফরায়</t>
  </si>
  <si>
    <t>অগভীর জলে পুঁটিমাছ ফরফর করে</t>
  </si>
  <si>
    <t>অল্পজ্ঞানীরা জাহির করে</t>
  </si>
  <si>
    <t>Shallow waters make splashes; the less wise boast.</t>
  </si>
  <si>
    <t>অগরমগর করনা</t>
  </si>
  <si>
    <t>অগরমগর করো না (ইতস্তত করো না)</t>
  </si>
  <si>
    <t>দ্বিধা না করে সিদ্ধান্ত নাও</t>
  </si>
  <si>
    <t>Stop beating around the bush.</t>
  </si>
  <si>
    <t>দ্বিধাগ্রস্ত ব্যক্তি</t>
  </si>
  <si>
    <t>অগস্ত্যযাত্রা</t>
  </si>
  <si>
    <t>অগস্ত্যমুনির যাত্রা (দক্ষিণে)</t>
  </si>
  <si>
    <t>চিরদিনের জন্য চলে যাওয়া; যে যাত্রায় আর ফেরা হয় না</t>
  </si>
  <si>
    <t>A journey of no return.</t>
  </si>
  <si>
    <t>প্রস্থানকারী</t>
  </si>
  <si>
    <t>অগা লোকের কাজ ঝকমারি</t>
  </si>
  <si>
    <t>বোকা লোকের কাজে বিপত্তি ঘটে</t>
  </si>
  <si>
    <t>A fool's work is fraught with trouble.</t>
  </si>
  <si>
    <t>অকাজের লোক</t>
  </si>
  <si>
    <t>অগাধজলসঞ্চারী বিকারী ন চ রোহিত, গণ্ডূষজলমাত্রেণ সফরী ফর্ফরায়তে১</t>
  </si>
  <si>
    <t>অগাধ জলে বিচরণকারী রুইমাছের অহঙ্কার নেই, কিন্তু এক চুমুক জলে পুঁটিমাছ ফরফর করে</t>
  </si>
  <si>
    <t>মহাজ্ঞানীরা বিনয়ী, অল্পজ্ঞানীরা অহঙ্কারী</t>
  </si>
  <si>
    <t>The rohu in deep water is free from pride, while the small fish flutters in a mouthful.</t>
  </si>
  <si>
    <t>জ্ঞানী ও অল্পজ্ঞানী</t>
  </si>
  <si>
    <t>অগাধজলসঞ্চারী বিকারী ন চ রোহিতঃ, গণ্ডূষজলমাত্রেণ সফরী ফর্ফরায়তে২</t>
  </si>
  <si>
    <t>অগাধ জলে রুইমাছের বিকার নেই; এক চুমুক জলে পুঁটিমাছ ফরফরায়</t>
  </si>
  <si>
    <t>জ্ঞানীরা জানে তারা অল্প জানে, তাই বিনয়ী; অল্পজ্ঞানীরা অহঙ্কারী</t>
  </si>
  <si>
    <t>The wise are humble, the shallow boast.</t>
  </si>
  <si>
    <t>অগুণ মানুষ গুণ না চিনে, মূষা না চিনে বিড়ালী; অপ্রেমী যে প্রেম না চিনে, কাঠ না চিনে কুড়ালী।</t>
  </si>
  <si>
    <t>গুণহীন মানুষ গুণ চেনে না, বিড়ালী ইঁদুর চেনে না; প্রেমহীন প্রেম বোঝে না, কুঠার কাঠ চেনে না</t>
  </si>
  <si>
    <t>মূর্খরা গুণ বা মূল্যবান জিনিস চিনতে পারে না</t>
  </si>
  <si>
    <t>Fools cannot appreciate worth, just as an axe doesn't know wood.</t>
  </si>
  <si>
    <t>অগুণস্য হতং রূপম</t>
  </si>
  <si>
    <t>গুণহীনের রূপ নষ্ট/বিফল</t>
  </si>
  <si>
    <t>গুণ না থাকলে রূপের কোন দাম নেই</t>
  </si>
  <si>
    <t>Beauty without virtue is worthless.</t>
  </si>
  <si>
    <t>রূপবান নির্গুণ ব্যক্তি</t>
  </si>
  <si>
    <t>রূপ/গুণ</t>
  </si>
  <si>
    <t>অগুরু চন্দন ফেলে চায় শেওড়া কাঠ, কোকিলের ধ্বনি ফেলে বানরের নাট</t>
  </si>
  <si>
    <t>আগর-চন্দন ছেড়ে শেওড়া কাঠ চায়, কোকিলের গান ছেড়ে বানরের নাচ দেখে</t>
  </si>
  <si>
    <t>ভালো জিনিস ত্যাগ করে মন্দ জিনিসের প্রতি মানুষের আকর্ষণ</t>
  </si>
  <si>
    <t>Man neglects the good and is attracted to the bad.</t>
  </si>
  <si>
    <t>মন্দপ্রিয় ব্যক্তি</t>
  </si>
  <si>
    <t>অগ্নি, ব্যাধি ও ঋণ, রেখোনা তিনের চিন (চিহ্ন)</t>
  </si>
  <si>
    <t>আগুন, রোগ ও ঋণ – তিনের চিহ্ন রেখো না</t>
  </si>
  <si>
    <t>এই তিনটি জিনিস শেষ না করা পর্যন্ত বিপদ থেকে মুক্তি নেই</t>
  </si>
  <si>
    <t>Never leave fire, disease, or debt unattended.</t>
  </si>
  <si>
    <t>উপদেশ</t>
  </si>
  <si>
    <t>অঘটন ঘটায় বিধি</t>
  </si>
  <si>
    <t>অঘটন ঘটায় বিধি (বিধাতা)</t>
  </si>
  <si>
    <t>ভাগ্য যা নির্ধারণ করে তাই ঘটে; অসম্ভবকেও সম্ভব করে</t>
  </si>
  <si>
    <t>Fate brings about the unexpected.</t>
  </si>
  <si>
    <t>ভাগ্য/বিধি</t>
  </si>
  <si>
    <t>অঘটনে স্বজন চেনা যায়</t>
  </si>
  <si>
    <t>অঘটনে (বিপদে) স্বজন চেনা যায়</t>
  </si>
  <si>
    <t>বিপদে পড়লে প্রকৃত বন্ধু বা আত্মীয় বোঝা যায়</t>
  </si>
  <si>
    <t>A friend in need is a friend indeed.</t>
  </si>
  <si>
    <t>স্বজন/বন্ধু</t>
  </si>
  <si>
    <t>অঘটির (আদেখলা) ঘটি হল, জল খেতে খেতে প্রাণটা গেল</t>
  </si>
  <si>
    <t>যার কখনো ঘটি ছিল না, সে ঘটি পেয়ে জল খেতে খেতে মরল</t>
  </si>
  <si>
    <t>কোনো জিনিস প্রথমবার পেয়ে অতিরিক্ত ব্যবহার করে</t>
  </si>
  <si>
    <t>The one who never had a water pot drinks until he dies.</t>
  </si>
  <si>
    <t>আদেখলা/অভাবগ্রস্ত ব্যক্তি</t>
  </si>
  <si>
    <t>অঙ্গারঃ শতধৌতেন মলিনত্বং ন মুঞ্চতি</t>
  </si>
  <si>
    <t>কয়লা হাজারবার ধুলেও তার কালোত্ব ছাড়ে না</t>
  </si>
  <si>
    <t>কুপ্রকৃতি চিরকাল কুপ্রকৃতিই থাকে</t>
  </si>
  <si>
    <t>Coal never loses its blackness however much you wash it.</t>
  </si>
  <si>
    <t>কুপ্রবৃত্তির ব্যক্তি</t>
  </si>
  <si>
    <t>অচিন্ত্যং হি ফলং সূতে সদ্যঃ সুকৃতপাদপঃ</t>
  </si>
  <si>
    <t>সৎকর্মরূপ গাছ অচিন্তনীয় ফল দেয়</t>
  </si>
  <si>
    <t>ভালো কাজের ফল আশাতীত ও তাৎক্ষণিক হয়</t>
  </si>
  <si>
    <t>Good deeds bear unimaginable fruit immediately.</t>
  </si>
  <si>
    <t>পুণ্যবান ব্যক্তি</t>
  </si>
  <si>
    <t>অচেনা/অজানা বন্ধু থেকে চেনা/জানা শত্রু ভাল</t>
  </si>
  <si>
    <t>অচেনা বন্ধুর চেয়ে চেনা শত্রু ভাল</t>
  </si>
  <si>
    <t>অপরিচিতের চেয়ে পরিচিত থেকে ক্ষতির সম্ভাবনা কম</t>
  </si>
  <si>
    <t>Better a known enemy than an unknown friend.</t>
  </si>
  <si>
    <t>অচেনা লোক</t>
  </si>
  <si>
    <t>অচেনা পথ আর জঙ্গল সমান অজানা জল আর জানা শ্মশান</t>
  </si>
  <si>
    <t>অচেনা পথ জঙ্গলের সমান, অজানা জল জানা শ্মশানের সমান</t>
  </si>
  <si>
    <t>অচেনা পথ ও অজানা জল বিপজ্জনক</t>
  </si>
  <si>
    <t>Unknown paths are like forests, unknown water like known cremation grounds—dangerous.</t>
  </si>
  <si>
    <t>অজগরকা দাতা রাম</t>
  </si>
  <si>
    <t>অজগরের দাতা রাম</t>
  </si>
  <si>
    <t>অলসও ভগবানের দয়ায় খায়; ভগবানই অন্নদাতা</t>
  </si>
  <si>
    <t>Ram is the provider for the python (the lazy one).</t>
  </si>
  <si>
    <t>অলস/ভাগ্যনির্ভর ব্যক্তি</t>
  </si>
  <si>
    <t>অজানা পথ আর জঙ্গল সমান, অজানা জল আর জানা শ্মশান</t>
  </si>
  <si>
    <t>অজানা পথ জঙ্গলের সমান, অজানা জল জানা শ্মশানের সমান</t>
  </si>
  <si>
    <t>অচেনা পথ ও জল ভয়ের কারণ</t>
  </si>
  <si>
    <t>Unknown paths and waters are dangerous.</t>
  </si>
  <si>
    <t>অজাযুদ্ধে ঋষিশ্রাদ্ধে প্রভাতে মেঘডম্বরে দাম্পত্যকলহে চৈব বহ্বারম্ভে লঘুক্রিয়া</t>
  </si>
  <si>
    <t>ছাগলের লড়াই, ঋষির শ্রাদ্ধ, সকালের মেঘগর্জন ও দাম্পত্য কলহে শুরুতে অনেক আড়ম্বর কিন্তু শেষে ফল অল্প</t>
  </si>
  <si>
    <t>এসব ক্ষেত্রে শুরুতে হৈচৈ হলেও পরিণতি তেমন থাকে না</t>
  </si>
  <si>
    <t>Much ado about nothing—goat fights, sage's funeral, morning thunder, marital quarrel.</t>
  </si>
  <si>
    <t>দম্পতি (দাম্পত্য কলহ)</t>
  </si>
  <si>
    <t>দাম্পত্য</t>
  </si>
  <si>
    <t>অজার যুদ্ধে আঁটুনি সার</t>
  </si>
  <si>
    <t>ছাগলের লড়াইয়ে শুধু আঁটুনি (ভড়ং) থাকে</t>
  </si>
  <si>
    <t>আড়ম্বর অনেক কিন্তু ফল কিছুই না</t>
  </si>
  <si>
    <t>Much show, little substance—like a goat fight.</t>
  </si>
  <si>
    <t>আড়ম্বরপ্রিয়</t>
  </si>
  <si>
    <t>অজুহাত মিথ্যার চেয়ে খারাপ</t>
  </si>
  <si>
    <t>অজুহাত মিথ্যার চেয়েও খারাপ</t>
  </si>
  <si>
    <t>মিথ্যা ঢাকতে অজুহাত ব্যবহার আরও খারাপ</t>
  </si>
  <si>
    <t>An excuse is worse than a lie.</t>
  </si>
  <si>
    <t>অজুহাতকারী</t>
  </si>
  <si>
    <t>সত্যবাদিতা</t>
  </si>
  <si>
    <t>অজীর্ণে ভোজনং বিষমং</t>
  </si>
  <si>
    <t>হজম না হলে ভোজন বিষতুল্য</t>
  </si>
  <si>
    <t>অপরিপাক অবস্থায় আবার খেলে তা বিষের মতো</t>
  </si>
  <si>
    <t>Eating again before digestion is poison.</t>
  </si>
  <si>
    <t>ভোজনপ্রিয়</t>
  </si>
  <si>
    <t>অজীর্ণে ভেষজং বারি; জীর্ণে বারি বলপ্রদম্</t>
  </si>
  <si>
    <t>অজীর্ণে জল ওষুধ; জীর্ণে জল বলদায়ী</t>
  </si>
  <si>
    <t>বদহজমে জলই ওষুধ, আর সুস্থ অবস্থায় জল শক্তি যোগায়</t>
  </si>
  <si>
    <t>In indigestion, water is medicine; when digested, water gives strength.</t>
  </si>
  <si>
    <t>অজ্ঞতাই ভক্তি করে, ভক্তি হলো অজ্ঞতার কন্যা</t>
  </si>
  <si>
    <t>অজ্ঞতাই ভক্তি করে, ভক্তি অজ্ঞতার কন্যা</t>
  </si>
  <si>
    <t>অজ্ঞানতা থেকে ভক্তির জন্ম; অন্ধভক্তি জ্ঞানের অভাবেই হয়</t>
  </si>
  <si>
    <t>Ignorance breeds devotion; devotion is the daughter of ignorance.</t>
  </si>
  <si>
    <t>অজ্ঞ/অন্ধভক্ত ব্যক্তি</t>
  </si>
  <si>
    <t>জ্ঞান/আচরণ</t>
  </si>
  <si>
    <t>অজ্ঞাতকুলশীলস্য বাসো দেয়ো ন কস্যচিৎ</t>
  </si>
  <si>
    <t>অপরিচিত বংশ ও চরিত্রের কাউকে গৃহে স্থান দেওয়া উচিত নয়</t>
  </si>
  <si>
    <t>অচেনা লোককে কখনো নিজের ঘরে আশ্রয় দিতে নেই</t>
  </si>
  <si>
    <t>Never give shelter to one of unknown lineage and character.</t>
  </si>
  <si>
    <t>অপরিচিত/অচেনা ব্যক্তি</t>
  </si>
  <si>
    <t>অজ্ঞানতা শ্রেষ্ঠ দারিদ্র্য</t>
  </si>
  <si>
    <t>অজ্ঞানতাই সবচেয়ে বড় দারিদ্র্য</t>
  </si>
  <si>
    <t>জ্ঞানের অভাবে মানুষ প্রকৃত গরিব</t>
  </si>
  <si>
    <t>Ignorance is the greatest poverty.</t>
  </si>
  <si>
    <t>অজ্ঞান বন্ধু থেকে জ্ঞানী শত্রু অনেক ভালো</t>
  </si>
  <si>
    <t>অজ্ঞ বন্ধুর চেয়ে জ্ঞানী শত্রু অনেক ভালো</t>
  </si>
  <si>
    <t>মূর্খ বন্ধু বিপদ ডেকে আনে; জ্ঞানী শত্রুও উপকারে আসতে পারে</t>
  </si>
  <si>
    <t>Better a wise enemy than a foolish friend.</t>
  </si>
  <si>
    <t>মূর্খ বন্ধু</t>
  </si>
  <si>
    <t>জ্ঞান/বন্ধুত্ব</t>
  </si>
  <si>
    <t>অজ্ঞানে আকস্মিক ও দৈব ঘটনার যুক্তি খাড়া করে</t>
  </si>
  <si>
    <t>অজ্ঞ ব্যক্তি সবকিছুকে আকস্মিক বা দৈব বলে এড়িয়ে যায়</t>
  </si>
  <si>
    <t>বোকারা কারণ না বুঝে সব কিছুর পেছনে ভাগ্যকে দায়ী করে</t>
  </si>
  <si>
    <t>Fools attribute everything to chance and fate.</t>
  </si>
  <si>
    <t>অজ্ঞ/দৈবনির্ভর ব্যক্তি</t>
  </si>
  <si>
    <t>আচরণ/ভাগ্য</t>
  </si>
  <si>
    <t>অজ্ঞানে করে পাপ জ্ঞান হলে মনস্তাপ</t>
  </si>
  <si>
    <t>অজ্ঞানে পাপ করলে জ্ঞান হলে মনস্তাপ হয়</t>
  </si>
  <si>
    <t>শিশুকালে না বুঝে দোষ করলে পরে জ্ঞান হলে অনুতাপ হয়, কিন্তু জেনেশুনে পাপ করলে তা কখনো যায় না</t>
  </si>
  <si>
    <t>Sins committed in ignorance cause remorse when wisdom dawns; willful sin is unforgivable.</t>
  </si>
  <si>
    <t>অজ্ঞ/শিশু</t>
  </si>
  <si>
    <t>জ্ঞান/নৈতিকতা</t>
  </si>
  <si>
    <t>অজ্ঞানে আগামীকালের জন্য অপেক্ষা করে, জ্ঞানী আজরাত্রের মধ্যেই কাজ শেষ করে।</t>
  </si>
  <si>
    <t>অজ্ঞ ব্যক্তি কালকের অপেক্ষা করে; জ্ঞানী আজ রাতেই কাজ শেষ করে</t>
  </si>
  <si>
    <t>জ্ঞানীরা কাজ ফেলে রাখে না; অবজ্ঞায় অলসতা</t>
  </si>
  <si>
    <t>Fools wait for tomorrow; the wise finish the task tonight.</t>
  </si>
  <si>
    <t>অলস/অজ্ঞ ব্যক্তি</t>
  </si>
  <si>
    <t>জ্ঞান/কার্যসম্পাদন</t>
  </si>
  <si>
    <t>অজ্ঞানে বাপান্ত করে জ্ঞানবানে তাই কি ধরে?</t>
  </si>
  <si>
    <t>অজ্ঞানে কেউ বাপান্ত (গালাগালি) করলে জ্ঞানী তা ধরে না</t>
  </si>
  <si>
    <t>বোকারা ভুল করে ফেললে জ্ঞানীরা তা উপেক্ষা করে</t>
  </si>
  <si>
    <t>A fool may swear at your father; the wise do not take it to heart.</t>
  </si>
  <si>
    <t>ক্ষমা/জ্ঞান</t>
  </si>
  <si>
    <t>অজ্ঞানের কানদুটো ছোট ও জিভটা বড় হয়</t>
  </si>
  <si>
    <t>অজ্ঞানের কান ছোট আর জিভ বড় হয়</t>
  </si>
  <si>
    <t>বোকারা শোনে কম, কিন্তু কথা বলে বেশি</t>
  </si>
  <si>
    <t>Fools have small ears and a big tongue.</t>
  </si>
  <si>
    <t>অজ্ঞানের কালে জানে না, অমানুষের কালে মানে না</t>
  </si>
  <si>
    <t>অজ্ঞানের সময় জানে না, অসুরের সময় মানে না</t>
  </si>
  <si>
    <t>ছোটবেলায় বোঝে না, আর অসৎ মানুষ কোনো নিয়ম মানে না</t>
  </si>
  <si>
    <t>In youth one doesn't understand, and the wicked never respect rules.</t>
  </si>
  <si>
    <t>অসৎ/পশুবৎ ব্যক্তি</t>
  </si>
  <si>
    <t>অতি অস্পষ্ট কালির লেখাও উৎকৃষ্ট স্মরণশক্তি থেকে বেশি উজ্জ্বল</t>
  </si>
  <si>
    <t>খুব অস্পষ্ট কালির লেখাও উৎকৃষ্ট স্মৃতির চেয়ে উজ্জ্বল</t>
  </si>
  <si>
    <t>লেখা চিরস্থায়ী; স্মৃতি ভঙ্গুর</t>
  </si>
  <si>
    <t>Even the faintest ink is more lasting than the strongest memory.</t>
  </si>
  <si>
    <t>স্মৃতিনির্ভর ব্যক্তি</t>
  </si>
  <si>
    <t>জ্ঞান/লেখা</t>
  </si>
  <si>
    <t>অতি আশ সর্বনাশ</t>
  </si>
  <si>
    <t>অতিরিক্ত আশা সর্বনাশ ডেকে আনে</t>
  </si>
  <si>
    <t>বেশি লোভ করলে সব হারাতে হয়</t>
  </si>
  <si>
    <t>Excessive hope leads to ruin.</t>
  </si>
  <si>
    <t>লোভ/সতর্কতা</t>
  </si>
  <si>
    <t>অতিকথায় বার্তা নষ্ট</t>
  </si>
  <si>
    <t>অতি কথায় মূলকথা নষ্ট</t>
  </si>
  <si>
    <t>বেশি বলায় আসল কথাটাই হারিয়ে যায়</t>
  </si>
  <si>
    <t>Too many words spoil the message.</t>
  </si>
  <si>
    <t>আচরণ/কথা</t>
  </si>
  <si>
    <t>অতি ক্ষুধা যার হাড় কাটা তার</t>
  </si>
  <si>
    <t>অতিরিক্ত ক্ষুধা যার, তার হাড় কাটা</t>
  </si>
  <si>
    <t>প্রচণ্ড খিদে পেলে মানুষের অসহায় অবস্থা বোঝায়; বেশি খাওয়াও ক্ষতিকর</t>
  </si>
  <si>
    <t>Excessive hunger makes one weak; overeating harms.</t>
  </si>
  <si>
    <t>ক্ষুধার্ত/ভোজনপ্রিয় ব্যক্তি</t>
  </si>
  <si>
    <t>অতিগর্জনে/মেঘে ফোঁটাবৃষ্টি</t>
  </si>
  <si>
    <t>অতি গর্জনে/মেঘে ফোঁটা বৃষ্টি হয়</t>
  </si>
  <si>
    <t>যে বেশি কথা বলে, তার কাজ তেমন হয় না</t>
  </si>
  <si>
    <t>Loud thunder brings little rain; much talk, little action.</t>
  </si>
  <si>
    <t>বাচাল/অকর্মণ্য ব্যক্তি</t>
  </si>
  <si>
    <t>অতি ঘরন্তী না পায় ঘর অতি বরন্তী না পায় বর</t>
  </si>
  <si>
    <t>অতি গৃহকর্মে দক্ষা নারী বর পায় না, আর অতি বিবাহ-শিক্ষিতা বরপাত্রীও বর পায় না</t>
  </si>
  <si>
    <t>অতিশয় যোগ্যতাও কখনো সুফল আনে না</t>
  </si>
  <si>
    <t>An overly domestic girl finds no home; an overly marriage-ready girl finds no groom.</t>
  </si>
  <si>
    <t>নারী (অতি গুণবতী)</t>
  </si>
  <si>
    <t>অতি চতুরের ভাত নেই, অতি সুন্দরীর ভাতার নেই</t>
  </si>
  <si>
    <t>অতি চালাকের অন্ন জোটে না, অতি সুন্দরী নারীর স্বামী জোটে না</t>
  </si>
  <si>
    <t>বেশি চাতুরী বা সৌন্দর্য শেষে দোষের কারণ হয়</t>
  </si>
  <si>
    <t>Too clever gets no rice; too beautiful gets no husband.</t>
  </si>
  <si>
    <t>সুন্দরী নারী/চালাক পুরুষ</t>
  </si>
  <si>
    <t>লিঙ্গ/আচরণ</t>
  </si>
  <si>
    <t>অতি চালাকের গলায় দড়ি</t>
  </si>
  <si>
    <t>বেশি চালাকি করলে বিপদে পড়তে হয়</t>
  </si>
  <si>
    <t>Too much cunning brings a rope around the neck.</t>
  </si>
  <si>
    <t>অতি চালাক ব্যক্তি</t>
  </si>
  <si>
    <t>অতি চালাকের গলায় দড়ি, অতি বোকার পায়ে বেড়ি</t>
  </si>
  <si>
    <t>অতি চালাকের গলায় দড়ি, অতি বোকার পায়ে বেড়ি</t>
  </si>
  <si>
    <t>চালাক ও বোকা—দুজনেই বিপদে পড়ে</t>
  </si>
  <si>
    <t>Cunning brings a noose; stupidity brings chains.</t>
  </si>
  <si>
    <t>অতি চালাক/বোকা</t>
  </si>
  <si>
    <t>অতি চেনার কদর নেই</t>
  </si>
  <si>
    <t>অতি পরিচিতের মূল্য কম</t>
  </si>
  <si>
    <t>সহজলভ্য বা অতিপরিচিত জিনিসের কদর নেই</t>
  </si>
  <si>
    <t>Familiarity breeds contempt.</t>
  </si>
  <si>
    <t>অতি পরিচিত ব্যক্তি/বস্তু</t>
  </si>
  <si>
    <t>অতি জ্বালে ব্যঞ্জন নষ্ট</t>
  </si>
  <si>
    <t>অতি জ্বালে ব্যঞ্জন নষ্ট হয়</t>
  </si>
  <si>
    <t>কোনো কিছুতেই বাড়াবাড়ি ভালো নয়</t>
  </si>
  <si>
    <t>Overcooking spoils the curry; excess ruins everything.</t>
  </si>
  <si>
    <t>অতিশয় কারী</t>
  </si>
  <si>
    <t>অতিথির্বালকশ্চৈব রাজা ভার্যা তথৈবচ, অস্তি নাস্তি নয়া জানন্তি দেহি দেহি পুনঃপুনঃ</t>
  </si>
  <si>
    <t>অতিথি, বালক, রাজা ও পত্নী—এরা আছে কি নেই ভাবে না, শুধু বারবার দেয় দাও বলে</t>
  </si>
  <si>
    <t>এই চারজন চাহিদাপূর্ণ এবং উপস্থিতি না বুঝে চান</t>
  </si>
  <si>
    <t>Guest, child, king, and wife only know to ask, 'Give, give!'</t>
  </si>
  <si>
    <t>স্ত্রী (ভার্যা)</t>
  </si>
  <si>
    <t>অতিথি সর্বময় গুরুঃ/পূজ্যঃ</t>
  </si>
  <si>
    <t>অতিথি সর্বময় গুরু বা পূজনীয়</t>
  </si>
  <si>
    <t>অতিথি গুরুর মতো সম্মানের পাত্র</t>
  </si>
  <si>
    <t>A guest is like a guru and should be worshipped.</t>
  </si>
  <si>
    <t>অতিদর্পে হতা লঙ্কা</t>
  </si>
  <si>
    <t>অতি দর্পে (অহংকারে) লঙ্কা ধ্বংস হয়েছিল</t>
  </si>
  <si>
    <t>অহংকার করলে পতন নিশ্চিত</t>
  </si>
  <si>
    <t>Excessive pride destroyed Lanka.</t>
  </si>
  <si>
    <t>অতি দর্পে হতা লঙ্কা, অতিমানে চ কৌরবাঃ, অতিদানে বলির্বদ্ধঃ সর্বমত্যন্তম গর্হিতম্</t>
  </si>
  <si>
    <t>অতি দর্পে লঙ্কা, অতি মানে কৌরব, অতি দানে বলি বিনষ্ট—সব অতিশয় নিন্দিত</t>
  </si>
  <si>
    <t>বাড়াবাড়ি কোনো কিছুতেই ভালো নয়</t>
  </si>
  <si>
    <t>Pride ruined Lanka, ego the Kauravas, excess charity bound Bali—all excess is condemned.</t>
  </si>
  <si>
    <t>অতিশয়ী ব্যক্তি</t>
  </si>
  <si>
    <t>অহংকার/আচরণ</t>
  </si>
  <si>
    <t>অতি দানে বলির পাতালে হল ঠাঁই</t>
  </si>
  <si>
    <t>অতি দানের কারণে বলি পাতালে গেল</t>
  </si>
  <si>
    <t>অতি দানও বিপদ ডেকে আনে</t>
  </si>
  <si>
    <t>Excessive charity sent Bali to the netherworld.</t>
  </si>
  <si>
    <t>অতি দানশীল ব্যক্তি</t>
  </si>
  <si>
    <t>দান/সতর্কতা</t>
  </si>
  <si>
    <t>অতি পীরিত যেখানে অতি বিচ্ছেদ সেখান</t>
  </si>
  <si>
    <t>অতি প্রেম যেখানে, অতি বিচ্ছেদ সেখানে</t>
  </si>
  <si>
    <t>যেখানে ভালোবাসা বেশি, সেখানে বিচ্ছেদ বেদনাও প্রবল</t>
  </si>
  <si>
    <t>Where love is excessive, separation is unbearable.</t>
  </si>
  <si>
    <t>প্রেমিকযুগল</t>
  </si>
  <si>
    <t>অতি পীরিত যেখানে, নিত্য যাবে না সেখানে; যদি যাবে নিত্যি, ঘটবে একটা কীর্তি</t>
  </si>
  <si>
    <t>অতি প্রেম থাকলে প্রতিদিন সেখানে যেও না; যদি যাও, তবে কলঙ্ক হবে</t>
  </si>
  <si>
    <t>গাঢ় প্রেমেও দূরত্ব বজায় রাখা ভালো; বেশি কাছে গেলে বিরোধ সৃষ্টি হয়</t>
  </si>
  <si>
    <t>Where love is deep, don't visit daily; if you do, a scandal will occur.</t>
  </si>
  <si>
    <t>প্রেম/সতর্কতা</t>
  </si>
  <si>
    <t>অতিপ্রেমে অমিত বিচ্ছেদ</t>
  </si>
  <si>
    <t>অতি প্রেমে অমিত বিচ্ছেদ হয়</t>
  </si>
  <si>
    <t>যত বেশি ভালোবাসা, তত বিচ্ছেদের বেদনা</t>
  </si>
  <si>
    <t>Excessive love brings endless separation.</t>
  </si>
  <si>
    <t>অতিবড় ঘরণী না পায় ঘর, অতিবড় সুন্দরী না পায় বর</t>
  </si>
  <si>
    <t>অতি বড় ঘরকন্নায় পটু নারী স্বামীর ঘর পায় না; অতি বড় সুন্দরী নারী বর পায় না</t>
  </si>
  <si>
    <t>অতিশয় গুণ বা রূপ বিপরীত ফল আনে</t>
  </si>
  <si>
    <t>An overly homely woman finds no home; an overly beautiful woman finds no husband.</t>
  </si>
  <si>
    <t>নারী (গুণবতী/সুন্দরী)</t>
  </si>
  <si>
    <t>অতিবড় সোদর (সহোদর ও সহোদরা) তিনদিন করবে আদর</t>
  </si>
  <si>
    <t>অতি বড় সহোদর/সহোদরা মাত্র তিনদিন আদর করে</t>
  </si>
  <si>
    <t>অতিরিক্ত ঘনিষ্ঠতাও বেশিদিন টেকে না</t>
  </si>
  <si>
    <t>Even the closest siblings show affection only for three days.</t>
  </si>
  <si>
    <t>ভাইবোন</t>
  </si>
  <si>
    <t>অতিবাড় বেড়ো না ঝড়েতে উড়াবে, অতি ছোট হয়ো না ছাগলে মুড়োবে</t>
  </si>
  <si>
    <t>অতি বড় হয়ো না, ঝড়ে উড়িয়ে নেবে; অতি ছোট হয়ো না, ছাগলে মুখ দিয়ে তুলে ফেলবে</t>
  </si>
  <si>
    <t>চরমপন্থা নয়; মধ্যপন্থাই শ্রেষ্ঠ</t>
  </si>
  <si>
    <t>Don't grow too tall or the storm will blow you away; don't be too short or the goat will eat you.</t>
  </si>
  <si>
    <t>অতিপরিচয়ে দোষ ব্যক্ত</t>
  </si>
  <si>
    <t>অতি পরিচয়ে দোষ প্রকাশ পায়</t>
  </si>
  <si>
    <t>অন্তরঙ্গতায় লুকানো ত্রুটি ধরা পড়ে</t>
  </si>
  <si>
    <t>Familiarity exposes faults.</t>
  </si>
  <si>
    <t>অতি পরিচিত ব্যক্তি</t>
  </si>
  <si>
    <t>অতিপরিচিতি উপেক্ষার জন্ম দেয়</t>
  </si>
  <si>
    <t>অতি পরিচিতি উপেক্ষা আনে</t>
  </si>
  <si>
    <t>বেশি কাছে এলে অবহেলা বাড়ে</t>
  </si>
  <si>
    <t>Overfamiliarity breeds disregard.</t>
  </si>
  <si>
    <t>অতি পরিচিত</t>
  </si>
  <si>
    <t>অতিবুদ্ধির কোমরে/গলায়/হাতে দড়ি, অতি বোকার পায়ে বেড়ি</t>
  </si>
  <si>
    <t>অতি বুদ্ধির ঘাড়ে দড়ি, অতি বোকার পায়ে বেড়ি</t>
  </si>
  <si>
    <t>চালাক ও বোকা দুজনই বিপদে পড়ে</t>
  </si>
  <si>
    <t>Too much cleverness brings a noose; too much stupidity brings chains.</t>
  </si>
  <si>
    <t>অতিবুদ্ধির হা-ভাত</t>
  </si>
  <si>
    <t>অতি বুদ্ধির পরিণতি হা-ভাত (অন্নের অভাব)</t>
  </si>
  <si>
    <t>বেশি বুদ্ধি খাটাতে গিয়ে শেষে ভাত জোটে না</t>
  </si>
  <si>
    <t>Too much cleverness ends in starvation.</t>
  </si>
  <si>
    <t>অতিভক্তি চোরের লক্ষণ১</t>
  </si>
  <si>
    <t>খুব বেশি ভক্তি দেখানো প্রায়ই খারাপ উদ্দেশ্য লুকায়</t>
  </si>
  <si>
    <t>Excessive devotion is a sign of a thief.</t>
  </si>
  <si>
    <t>ভক্ত (অন্তরে খল)</t>
  </si>
  <si>
    <t>ভক্তি/প্রবঞ্চনা</t>
  </si>
  <si>
    <t>অতিভক্তি চোরের লক্ষণ২</t>
  </si>
  <si>
    <t>অতি ভক্তি চোরের লক্ষণ (দ্বিতীয় অর্থ)</t>
  </si>
  <si>
    <t>অতিভক্তি স্বার্থ গোপন করে; সাধু সাজার প্রচেষ্টা</t>
  </si>
  <si>
    <t>Over-devotion masks evil intent.</t>
  </si>
  <si>
    <t>স্বার্থান্বেষী</t>
  </si>
  <si>
    <t>প্রবঞ্চনা</t>
  </si>
  <si>
    <t>অতি ভালো, ভালো নয়</t>
  </si>
  <si>
    <t>অতি ভালো ভালো নয়</t>
  </si>
  <si>
    <t>অতিরিক্ত কিছুই ভালো নয়</t>
  </si>
  <si>
    <t>Too much of a good thing is bad.</t>
  </si>
  <si>
    <t>অতিশয়ী</t>
  </si>
  <si>
    <t>অতিভুক্তিরতীবোক্তিঃ সদ্য প্রাণাপহারিণী</t>
  </si>
  <si>
    <t>অতি ভোজন ও অতি বাক্য সদ্য প্রাণনাশ করে</t>
  </si>
  <si>
    <t>বেশি খাওয়া ও বেশি কথা বলা দ্রুত মৃত্যু ডেকে আনে</t>
  </si>
  <si>
    <t>Overeating and excessive talk instantly kill.</t>
  </si>
  <si>
    <t>পেটুক/বাচাল</t>
  </si>
  <si>
    <t>অতিমন্থনে বাসুকীর বিষ</t>
  </si>
  <si>
    <t>অতি মন্থনে বাসুকী নাগের বিষ ওঠে</t>
  </si>
  <si>
    <t>কোনো ভালো কিছু বেশি ঘাঁটলে বিষফল হয়</t>
  </si>
  <si>
    <t>Excessive churning brings out the serpent's poison.</t>
  </si>
  <si>
    <t>অতিশয়ী</t>
  </si>
  <si>
    <t>অতিমেঘে অনাবৃষ্টি/ফোঁটাবৃষ্টি</t>
  </si>
  <si>
    <t>অতি মেঘে অনাবৃষ্টি বা ফোঁটা বৃষ্টি হয়</t>
  </si>
  <si>
    <t>আড়ম্বর বেশি হলে কাজ হয় না</t>
  </si>
  <si>
    <t>Heavy clouds bring little rain; great show, little substance.</t>
  </si>
  <si>
    <t>আড়ম্বরপ্রিয়</t>
  </si>
  <si>
    <t>অতিযত্নে মরণফাঁদ</t>
  </si>
  <si>
    <t>অতি যত্ন মরণের ফাঁদ</t>
  </si>
  <si>
    <t>বেশি যত্ন নিলে শরীর দুর্বল হয়; রোগ প্রতিরোধ ক্ষমতা কমে</t>
  </si>
  <si>
    <t>Excessive care is a death trap.</t>
  </si>
  <si>
    <t>অতি সতর্ক/আত্মরত ব্যক্তি</t>
  </si>
  <si>
    <t>অতির কিছুই ভাল নয়</t>
  </si>
  <si>
    <t>অতির কিছুই ভাল নয়</t>
  </si>
  <si>
    <t>সব বাড়াবাড়িই শেষে ক্ষতি করে</t>
  </si>
  <si>
    <t>Nothing in excess is good.</t>
  </si>
  <si>
    <t>অতিলোভে তাঁতি নষ্ট</t>
  </si>
  <si>
    <t>অতি লোভে তাঁতি নষ্ট হয়</t>
  </si>
  <si>
    <t>বেশি লোভ করলে নিজের সর্বস্ব হারাতে হয়</t>
  </si>
  <si>
    <t>Excessive greed ruins the weaver.</t>
  </si>
  <si>
    <t>অতি লোভো ন কর্তব্যঃ, লব্ধং নৈব পরিত্যজেৎ</t>
  </si>
  <si>
    <t>অতি লোভ করো না, আর পাওয়া জিনিসও ত্যাগ করো না</t>
  </si>
  <si>
    <t>বেশি লোভ করতে নেই; অন্যদিকে যা পেয়েছ তাও ছেড়ো না</t>
  </si>
  <si>
    <t>Do not be too greedy, nor abandon what you have gained.</t>
  </si>
  <si>
    <t>লোভী/অস্থির ব্যক্তি</t>
  </si>
  <si>
    <t>অতিশয় ভালো নয় বুদ্ধি হলেই পড়তে হয়</t>
  </si>
  <si>
    <t>অতিশয় ভালো নয়; বুদ্ধি হলেই পড়তে হয়</t>
  </si>
  <si>
    <t>বেশি বুদ্ধি হলে পতন নিশ্চিত</t>
  </si>
  <si>
    <t>Too much cleverness leads to downfall.</t>
  </si>
  <si>
    <t>অতি বুদ্ধিমান</t>
  </si>
  <si>
    <t>অতি সাধ অতি বিষাদ</t>
  </si>
  <si>
    <t>অতি সাধ (আশা) অতি বিষাদ আনে</t>
  </si>
  <si>
    <t>অতিরিক্ত আশা পূর্ণ না হলে বড় দুঃখ হয়</t>
  </si>
  <si>
    <t>Great expectations bring great sorrow.</t>
  </si>
  <si>
    <t>অতি আশাবাদী</t>
  </si>
  <si>
    <t>অতি সোদর হয় গালে তুলে দেয়, টিকলেতো/গিললেতো হয়</t>
  </si>
  <si>
    <t>অতি সোদর (ভাই) হলে গালে তুলে দেয়; যদি গিলতে পারে তাহলেই লাভ</t>
  </si>
  <si>
    <t>অতি আদর বা উপহার পেলে তা গ্রহণ করার ক্ষমতা না থাকলে কোনো লাভ নেই</t>
  </si>
  <si>
    <t>If a sibling stuffs your mouth with sweets, it's only good if you can swallow.</t>
  </si>
  <si>
    <t>উপহার গ্রহীতা</t>
  </si>
  <si>
    <t>পারিবারিক/প্রয়োজনীয়তা</t>
  </si>
  <si>
    <t>অতীত থেকে শিক্ষা নাও, ভবিষ্যতে ভুল হবে না</t>
  </si>
  <si>
    <t>অতীত অভিজ্ঞতা থেকে শিক্ষা নিলে ভবিষ্যতে আর ভুল হবে না</t>
  </si>
  <si>
    <t>Learn from the past, and you won't make mistakes in the future.</t>
  </si>
  <si>
    <t>অতীতকে শুধরানো যায় না</t>
  </si>
  <si>
    <t>অতীতকে শুধরানো যায় না</t>
  </si>
  <si>
    <t>যা হয়ে গেছে তা বদলানো যায় না; অতীতের জন্য আফসোস করা বৃথা</t>
  </si>
  <si>
    <t>You can't change the past.</t>
  </si>
  <si>
    <t>অতুভুক্তিরতীবোক্তি সদ্যঃ তীব্র প্রাণাপহারিণী</t>
  </si>
  <si>
    <t>অতি ভোজন ও অতি বক্তৃতা সদ্য তীব্রভাবে প্রাণ নাশ করে</t>
  </si>
  <si>
    <t>প্রচুর খাওয়া ও বেশি কথা বলা দ্রুত মৃত্যু ডেকে আনে</t>
  </si>
  <si>
    <t>Excessive eating and speaking instantly kill.</t>
  </si>
  <si>
    <t>পেটুক/বাচাল ব্যক্তি</t>
  </si>
  <si>
    <t>অতৃণে পতিত বহ্নিঃ স্বয়ামেবোপশাম্যতি</t>
  </si>
  <si>
    <t>ঘাসহীন স্থানে আগুন পড়লে তা নিজেই নিভে যায়</t>
  </si>
  <si>
    <t>জ্বালানি না থাকলে ঝগড়া বা বিপদ আপনা থেকেই থেমে যায়</t>
  </si>
  <si>
    <t>A fire on barren ground goes out by itself.</t>
  </si>
  <si>
    <t>অত্তাস কুত্তা বত্তাস ভূঁকৈ</t>
  </si>
  <si>
    <t>ভীতু কুকুর বাতাসের শব্দেই ঘেউ ঘেউ করে</t>
  </si>
  <si>
    <t>ভীতু লোকে অহেতুক শোরগোল করে</t>
  </si>
  <si>
    <t>A frightened dog barks at the wind.</t>
  </si>
  <si>
    <t>অত্যুচ্ছায়ঃ পতনায়ন্তে/পতনহেতুঃ</t>
  </si>
  <si>
    <t>অতি উঁচু বাড়লে পতন হবেই</t>
  </si>
  <si>
    <t>অতি অহংকার বা উচ্চাকাঙ্ক্ষা পতনের কারণ হয়</t>
  </si>
  <si>
    <t>Excessive height leads to a fall.</t>
  </si>
  <si>
    <t>অদন্তের দাঁত হলো, কামড় খেতে খেতে প্রাণটা গেল</t>
  </si>
  <si>
    <t>দাঁতবিহীনের দাঁত হলো, কামড়াতে কামড়াতে প্রাণ গেল</t>
  </si>
  <si>
    <t>নতুন জিনিস পেয়ে অতিরিক্ত ব্যবহারে নিজেই কষ্ট পাওয়া</t>
  </si>
  <si>
    <t>The toothless got teeth and bit himself to death.</t>
  </si>
  <si>
    <t>অতি উৎসাহী ব্যক্তি</t>
  </si>
  <si>
    <t>অদন্তের হাসি দেখতে ভালোবাসি</t>
  </si>
  <si>
    <t>দাঁতহীন লোকের হাসি দেখতে ভালো লাগে</t>
  </si>
  <si>
    <t>দন্তহীন বৃদ্ধ-বৃদ্ধাদের হাসি কৌতুককর</t>
  </si>
  <si>
    <t>I love to see the toothless smile.</t>
  </si>
  <si>
    <t>বৃদ্ধ/বৃদ্ধা</t>
  </si>
  <si>
    <t>অদাতা বংশদোষেণ কর্মদোষাদ্ দরিদ্রতা, উন্মাদো মাতৃদোষেণ পিতৃদোষেণ মূর্খতা</t>
  </si>
  <si>
    <t>কৃপণ হয় বংশদোষে, দরিদ্র হয় কর্মদোষে, পাগল হয় মাতৃদোষে, মূর্খ হয় পিতৃদোষে</t>
  </si>
  <si>
    <t>মানুষের চারিত্রিক দোষগুলো পারিবারিক বা কর্মগত কারণে হয়</t>
  </si>
  <si>
    <t>A miser by lineage, a pauper by deeds, a madman by mother's fault, a fool by father's fault.</t>
  </si>
  <si>
    <t>মা, বাবা, দরিদ্র, কৃপণ</t>
  </si>
  <si>
    <t>পারিবারিক/লিঙ্গ</t>
  </si>
  <si>
    <t>অদৃষ্টে করলা ভাতে, বীচি কচকচ করে তাতে; পড়ল বীচি বুড়োর পাতে</t>
  </si>
  <si>
    <t>ভাগ্যে করলা ভাত, তাতে বীচি কচকচ করছে; সেই বীচি বুড়োর পাতেই পড়ল</t>
  </si>
  <si>
    <t>দুর্ভাগা যেখানেই যায়, বিপদ সেখানেই</t>
  </si>
  <si>
    <t>The unlucky old man got the bitter gourd rice with crunchy seeds.</t>
  </si>
  <si>
    <t>বুড়ো (দুর্ভাগা)</t>
  </si>
  <si>
    <t>অদৃষ্টের কিল ভূতেও কিলোয়</t>
  </si>
  <si>
    <t>অদৃষ্টের কিল ভূতেও মারে</t>
  </si>
  <si>
    <t>ভাগ্য খারাপ হলে সবাই কষ্ট দেয়</t>
  </si>
  <si>
    <t>When luck is bad, even a ghost kicks you.</t>
  </si>
  <si>
    <t>দুর্ভাগা ব্যক্তি</t>
  </si>
  <si>
    <t>অদৃষ্টের ফল কে খণ্ডাবে বল</t>
  </si>
  <si>
    <t>অদৃষ্টের ফল কে খণ্ডাবে বলো</t>
  </si>
  <si>
    <t>ভাগ্যের বিধান কেউ বদলাতে পারে না</t>
  </si>
  <si>
    <t>Who can alter the fruits of fate?</t>
  </si>
  <si>
    <t>অদ্য ভক্ষ্য ধনুর্গুণ১</t>
  </si>
  <si>
    <t>আজ খাবার ধনুকের গুণ</t>
  </si>
  <si>
    <t>না বুঝে দূরদর্শিতা ছাড়াই কাজ করা; যেমন শিয়াল ধনুকের গুণ খেতে গিয়ে বিপদ ডেকে আনে</t>
  </si>
  <si>
    <t>Today's meal is a bowstring—acting without foresight.</t>
  </si>
  <si>
    <t>অদূরদর্শী ব্যক্তি</t>
  </si>
  <si>
    <t>অদ্য ভক্ষ্যো ধনুর্গুণ২</t>
  </si>
  <si>
    <t>আজই খেতে হবে ধনুকের গুণ</t>
  </si>
  <si>
    <t>অন্নাভাবের চরম অবস্থা; যা পায় তাই খেতে হয়</t>
  </si>
  <si>
    <t>In famine, even a bowstring is eaten.</t>
  </si>
  <si>
    <t>দুর্ভিক্ষপীড়িত ব্যক্তি</t>
  </si>
  <si>
    <t>অধনশ্চ/অধনেন ধনং প্রাপ্য তৃণবন্মন্যতে জগৎ</t>
  </si>
  <si>
    <t>গরিব যখন ধন পায়, তখন জগৎকে তৃণের মত জ্ঞান করে</t>
  </si>
  <si>
    <t>হঠাৎ বড়লোক হলে অহংকারে সবাইকে তুচ্ছ মনে করে</t>
  </si>
  <si>
    <t>A poor man who gains wealth sees the world as straw.</t>
  </si>
  <si>
    <t>নব ধনী ব্যক্তি</t>
  </si>
  <si>
    <t>অধমা ধনমিচ্ছতি ধনং, মানং চ মধ্যমা, উত্তমা মানোমিচ্ছন্তি মানং মানো হি মহতাং ধনম</t>
  </si>
  <si>
    <t>অধম ধন চায়, মধ্যম ধন ও মান চায়, উত্তম কেবল মান চায়; মানই মহৎ ব্যক্তির ধন</t>
  </si>
  <si>
    <t>প্রকৃত জ্ঞানী ও মহৎ ব্যক্তি অর্থ নয়, সম্মান কামনা করেন</t>
  </si>
  <si>
    <t>The low seek wealth, the middle seek wealth and honor, the high seek only honor; honor is the wealth of the great.</t>
  </si>
  <si>
    <t>অধম/মধ্যম/উত্তম ব্যক্তি</t>
  </si>
  <si>
    <t>অধরেস্বমৃতং হি যোষিতাং হৃদি হলাহলমেব কেবলম</t>
  </si>
  <si>
    <t>নারীর অধরে অমৃত, কিন্তু হৃদয়ে কেবল বিষ</t>
  </si>
  <si>
    <t>নারীর কথায় মধু থাকলেও মনে বিষ থাকে; নারীর কপটতার প্রতি ইঙ্গিত</t>
  </si>
  <si>
    <t>On women's lips is nectar, but in their hearts, only poison.</t>
  </si>
  <si>
    <t>অধর্মবিষবৃক্ষস্য পচ্যতে স্বাদু কিং ফলম?</t>
  </si>
  <si>
    <t>অধর্মরূপ বিষবৃক্ষে কী স্বাদু ফল ফলে?</t>
  </si>
  <si>
    <t>অধর্মের পথে কখনো সুফল পাওয়া যায় না</t>
  </si>
  <si>
    <t>Can a poison tree of unrighteousness bear sweet fruit?</t>
  </si>
  <si>
    <t>অধার্মিক ব্যক্তি</t>
  </si>
  <si>
    <t>অধর্মের পথ বড়ই পিচ্ছিল</t>
  </si>
  <si>
    <t>অধর্মের পথ বড়ই পিচ্ছিল</t>
  </si>
  <si>
    <t>অসৎ পথে একবার নামলে সহজে ফেরা যায় না</t>
  </si>
  <si>
    <t>The path of unrighteousness is very slippery.</t>
  </si>
  <si>
    <t>অধর্মের পথ বড়ই সরল</t>
  </si>
  <si>
    <t>অধর্মের পথ বড়ই সরল</t>
  </si>
  <si>
    <t>অসৎ পথে চলতে কোনো বাধা নেই; তাই মানুষ সহজেই মন্দপথে ধাবিত হয়</t>
  </si>
  <si>
    <t>The path of evil is very smooth.</t>
  </si>
  <si>
    <t>অধিক খেতে করে আশা, তার নাম বুদ্ধিনাশা</t>
  </si>
  <si>
    <t>অধিক খাওয়ার আশা করাই বুদ্ধিনাশা</t>
  </si>
  <si>
    <t>খাদ্যের অতিরিক্ত লোভ বুদ্ধি নাশ করে</t>
  </si>
  <si>
    <t>Excessive desire for food destroys intelligence.</t>
  </si>
  <si>
    <t>পেটুক ব্যক্তি</t>
  </si>
  <si>
    <t>অধিক দিন থাকলে গাজন কে করত শিবের ভজন?</t>
  </si>
  <si>
    <t>অনেক দিন থাকলে গাজন কে করত? শিবের ভজন কে করত?</t>
  </si>
  <si>
    <t>প্রচুর সময় থাকলে দুষ্প্রাপ্য জিনিসের মূল্য কমে; সোনার মূল্যও হারায়</t>
  </si>
  <si>
    <t>If there were many days, who would perform the Gajan?</t>
  </si>
  <si>
    <t>সময়</t>
  </si>
  <si>
    <t>অধিকগর্জনে অল্পবর্ষণ</t>
  </si>
  <si>
    <t>অধিক গর্জনে অল্প বর্ষণ হয়</t>
  </si>
  <si>
    <t>আড়ম্বর বেশি হলে কাজ কম হয়; বাচালরা অকর্মণ্য</t>
  </si>
  <si>
    <t>Much thunder, little rain.</t>
  </si>
  <si>
    <t>অধিক/অনেক সন্ন্যাসীতে গাজন নষ্ট</t>
  </si>
  <si>
    <t>অনেক সন্ন্যাসী হলে গাজন উৎসব নষ্ট হয়</t>
  </si>
  <si>
    <t>এক কাজে অনেক লোক থাকলে মতভেদে কাজ পণ্ড হয়</t>
  </si>
  <si>
    <t>Too many monks spoil the Gajan.</t>
  </si>
  <si>
    <t>সন্ন্যাসী/অনেকজন</t>
  </si>
  <si>
    <t>সামাজিক</t>
  </si>
  <si>
    <t>অধিকন্তু ন দোষায়</t>
  </si>
  <si>
    <t>অধিক হলে দোষ নেই, যদি তা সৎ কাজে হয়</t>
  </si>
  <si>
    <t>প্রয়োজনের চেয়ে বেশি থাকলে ক্ষতি নেই যদি তা ভালো কাজে লাগে; বরং কম হওয়াই দোষের</t>
  </si>
  <si>
    <t>Excess is not a fault if it's for a good cause.</t>
  </si>
  <si>
    <t>অধিকার দায়িত্ব আরোপ করে</t>
  </si>
  <si>
    <t>অধিকার দায়িত্ব আরোপ করে</t>
  </si>
  <si>
    <t>উচ্চ পদমর্যাদা পেলে সামাজিক দায়িত্বও আসে</t>
  </si>
  <si>
    <t>Authority imposes responsibility.</t>
  </si>
  <si>
    <t>উচ্চ পদস্থ ব্যক্তি</t>
  </si>
  <si>
    <t>দায়িত্ব</t>
  </si>
  <si>
    <t>অধিগুণে মোঘা যাচ্ঞা (অপি) বরম অধমে লম্বকামা</t>
  </si>
  <si>
    <t>গুণবানের কাছে বিফল প্রার্থনা সেও ভালো, অধমের কাছে সফল প্রার্থনা নয়</t>
  </si>
  <si>
    <t>অধমের কাছ থেকে সুবিধা নেওয়ার চেয়ে গুণবানের কাছে বিফল হওয়া ভালো</t>
  </si>
  <si>
    <t>Better a failed prayer to the worthy than a successful one to the lowly.</t>
  </si>
  <si>
    <t>অধম ব্যক্তি</t>
  </si>
  <si>
    <t>অধ্যয়নং তপঃ</t>
  </si>
  <si>
    <t>অধ্যয়নই তপস্যা</t>
  </si>
  <si>
    <t>বিদ্যা অর্জন তপস্যার সামিল</t>
  </si>
  <si>
    <t>Studying is penance.</t>
  </si>
  <si>
    <t>ছাত্র/জ্ঞানপিপাসু</t>
  </si>
  <si>
    <t>অনটনের তিনগুণ ব্যয়</t>
  </si>
  <si>
    <t>অনটনের সময় তিনগুণ খরচ</t>
  </si>
  <si>
    <t>টাকার টানাটানি থাকলে ভাঙতি ক্রয়ে খরচ বেশি হয়</t>
  </si>
  <si>
    <t>Poverty triples expenses.</t>
  </si>
  <si>
    <t>অর্থনীতি</t>
  </si>
  <si>
    <t>অনটনের সংসারে দুনো ব্যয়</t>
  </si>
  <si>
    <t>অভাবের সংসারে দ্বিগুণ খরচ</t>
  </si>
  <si>
    <t>গরিবের ঘরে খরচ দ্বিগুণ হয়</t>
  </si>
  <si>
    <t>A poor household bears double expenses.</t>
  </si>
  <si>
    <t>দরিদ্র পরিবার</t>
  </si>
  <si>
    <t>অনন্ত শাস্ত্রং বহুবেদিতব্যম</t>
  </si>
  <si>
    <t>শাস্ত্রের শেষ নেই, বহু বিষয় জানা বাকি</t>
  </si>
  <si>
    <t>জ্ঞানের কোনো শেষ নেই</t>
  </si>
  <si>
    <t>Endless is scripture; much remains to be known.</t>
  </si>
  <si>
    <t>শিক্ষার্থী</t>
  </si>
  <si>
    <t>অনাথো দেবরক্ষকঃ</t>
  </si>
  <si>
    <t>অনাথের রক্ষক দেবতা</t>
  </si>
  <si>
    <t>অসহায়ের সহায় স্বয়ং ঈশ্বর</t>
  </si>
  <si>
    <t>God protects the orphan.</t>
  </si>
  <si>
    <t>অনাথ/অসহায়</t>
  </si>
  <si>
    <t>অনায়কা বিনশ্যন্তি, নশ্যন্তি শিশুনায়কাঃ, স্ত্রীনায়কা বিনশ্যন্তি, নশ্যন্তি বহুনায়কাঃ।</t>
  </si>
  <si>
    <t>পরিচালকহীন, শিশু, নারী ও বহুজন দ্বারা পরিচালিত জন বিনাশপ্রাপ্ত হয়</t>
  </si>
  <si>
    <t>সঠিক নেতৃত্বহীন বা অযোগ্য নেতৃত্বে সমাজ ধ্বংস হয়</t>
  </si>
  <si>
    <t>Leaderless, child-led, woman-led, and multi-led societies perish.</t>
  </si>
  <si>
    <t>নারী, শিশু, বহুনেতৃত্ব</t>
  </si>
  <si>
    <t>লিঙ্গ/নেতৃত্ব</t>
  </si>
  <si>
    <t>অনবসরে যাচিতমিতি সৎপাত্রমপি কুপ্যতে দাতা</t>
  </si>
  <si>
    <t>অসময়ে সৎপাত্রও যাচ্ঞা করলে দাতা কুপিত হন</t>
  </si>
  <si>
    <t>সৎ পাত্রকেও অসময়ে প্রার্থনা করতে নেই; তাতে দাতা বিরক্ত হন</t>
  </si>
  <si>
    <t>Even a worthy person asking at an improper time angers the giver.</t>
  </si>
  <si>
    <t>যাচক</t>
  </si>
  <si>
    <t>অনভ্যস্তা বিষং বিদ্যা বৃদ্ধস্য তরুণী বিষম, আরোগে তু বিষং বৈদ্যা অজীর্ণে ভোজনং বিষম</t>
  </si>
  <si>
    <t>অনভ্যস্ত বিদ্যা বিষ, বৃদ্ধের তরুণী স্ত্রী বিষ, নীরোগের কাছে বৈদ্য বিষ, অজীর্ণে ভোজন বিষ</t>
  </si>
  <si>
    <t>সব কিছুই প্রেক্ষাপট অনুযায়ী শুভ বা অশুভ হয়; অপ্রাসঙ্গিক জিনিস বিষতুল্য</t>
  </si>
  <si>
    <t>Unpracticed knowledge is poison; a young wife to an old man is poison; a doctor to the healthy is poison; eating on indigestion is poison.</t>
  </si>
  <si>
    <t>বৃদ্ধ, তরুণী, বৈদ্য</t>
  </si>
  <si>
    <t>বিবিধ</t>
  </si>
  <si>
    <t>অনভ্যাসের ফোঁটা কপাল চড়চড় করে</t>
  </si>
  <si>
    <t>অনভ্যাসের ফোঁটা কপালে জ্বালা করে</t>
  </si>
  <si>
    <t>অভ্যস্ত নয় এমন কাজ করতে গেলে অস্বস্তি হয়</t>
  </si>
  <si>
    <t>An unaccustomed tilak burns the forehead.</t>
  </si>
  <si>
    <t>অনভ্যস্ত ব্যক্তি</t>
  </si>
  <si>
    <t>অনাথো দৈবরক্ষক</t>
  </si>
  <si>
    <t>অনাথের রক্ষক দৈব</t>
  </si>
  <si>
    <t>অসহায়ের রক্ষক ভগবান; ভগবানে বিশ্বাসই তার বাঁচার রসদ</t>
  </si>
  <si>
    <t>God is the protector of the destitute.</t>
  </si>
  <si>
    <t>অনাগত বিধাতা চ প্রত্যুন্মতিসস্তথা, দ্বাধেতি সুখমেষেতে যদ্ভবিষ্যো বিনাশ্যতি</t>
  </si>
  <si>
    <t>যে অনাগত বিপদ আঁচ করে প্রত্যুৎপন্নমতি হয়, সে সুখী; ভবিষ্যতের জন্য নিশ্চেষ্ট থাকলে বিনষ্ট হয়</t>
  </si>
  <si>
    <t>সতর্ক ও বিচক্ষণ ব্যক্তি সুখ পায়, আর ভাগ্যের উপর নির্ভরকারী ধ্বংস হয়</t>
  </si>
  <si>
    <t>The proactive one sleeps happily, while the fatalist perishes.</t>
  </si>
  <si>
    <t>উদ্যোগী/অকর্মণ্য</t>
  </si>
  <si>
    <t>অনাবৃষ্টে রাজ্য মজে, পাপে মজে ধর্ম; কোটালে গৃহস্থ মজে, আলস্যে মজে কর্ম।</t>
  </si>
  <si>
    <t>অনাবৃষ্টিতে দেশ নষ্ট, পাপে ধর্ম নষ্ট; কোটালে (জোয়ারে) গৃহস্থ নষ্ট, আলস্যে কর্ম নষ্ট</t>
  </si>
  <si>
    <t>প্রাকৃতিক দুর্যোগ ও পাপ-আলস্যের ফলে সমাজের ক্ষতি হয়</t>
  </si>
  <si>
    <t>Drought ruins a kingdom, sin ruins religion, high tide ruins households, laziness ruins work.</t>
  </si>
  <si>
    <t>অনাহ্বানের নিমন্ত্রণ, না আঁচালে বিশ্বাস নেই</t>
  </si>
  <si>
    <t>অনাহ্বানের নিমন্ত্রণ, পরীক্ষা না করা পর্যন্ত বিশ্বাস নেই</t>
  </si>
  <si>
    <t>বিনা অনুরোধে যা পাওয়া যায়, তা সন্দেহজনক; সম্পন্ন না হওয়া পর্যন্ত নির্ভর করা যায় না</t>
  </si>
  <si>
    <t>Uninvited invitation and trust without proof are unreliable.</t>
  </si>
  <si>
    <t>অনিচ্ছুক গাধা/ঘোড়াকে জল খাওয়ানো যায় না</t>
  </si>
  <si>
    <t>অনিচ্ছুক গাধা বা ঘোড়াকে জল খাওয়ানো যায় না</t>
  </si>
  <si>
    <t>অনিচ্ছুক কাউকে জোর করে ভালো কিছু করানো যায় না</t>
  </si>
  <si>
    <t>You can't make a reluctant donkey drink water.</t>
  </si>
  <si>
    <t>অনিচ্ছুক ব্যক্তি</t>
  </si>
  <si>
    <t>অনিশ্চিতের আশায় নিশ্চিত ত্যাগ করো না</t>
  </si>
  <si>
    <t>অনিশ্চিত লাভের আশায় নিশ্চিত জিনিস ছেড়ো না</t>
  </si>
  <si>
    <t>হাতের একটা পাখি বনের দুটো পাখির সমান</t>
  </si>
  <si>
    <t>Don't give up certainty for an uncertainty.</t>
  </si>
  <si>
    <t>লোভী/দুঃসাহসী</t>
  </si>
  <si>
    <t>অনিষ্ট হতে ইষ্ট লাভ</t>
  </si>
  <si>
    <t>অনিষ্ট থেকে ইষ্ট লাভ</t>
  </si>
  <si>
    <t>মন্দ ঘটনা থেকেই ভালো কিছু ঘটতে পারে</t>
  </si>
  <si>
    <t>Good can come from evil.</t>
  </si>
  <si>
    <t>অনুপস্থিতি হৃদয়কে অনুরাগী করে তোলে</t>
  </si>
  <si>
    <t>অনুপস্থিতি হৃদয়কে অনুরাগী করে তোলে</t>
  </si>
  <si>
    <t>দূরে থাকলে প্রেম আরও গাঢ় হয়</t>
  </si>
  <si>
    <t>Absence makes the heart grow fonder.</t>
  </si>
  <si>
    <t>প্রেমিক-প্রেমিকা</t>
  </si>
  <si>
    <t>অনুরাগ বিনে গৌর আসবে কেনে?</t>
  </si>
  <si>
    <t>অনুরাগ ছাড়া গৌর (শ্রী) আসবে কেন?</t>
  </si>
  <si>
    <t>ভালোবাসা ও অনুরাগ না থাকলে কোনো কিছুই সুন্দর লাগে না</t>
  </si>
  <si>
    <t>Without affection, how can there be charm?</t>
  </si>
  <si>
    <t>অনুরোধে ঢেঁকি গেলা</t>
  </si>
  <si>
    <t>অন্যের অনুরোধে নিতান্ত বাধ্য হয়ে কষ্টকর কাজ করা</t>
  </si>
  <si>
    <t>Swallowing a husking pedal on request.</t>
  </si>
  <si>
    <t>বাধ্য ব্যক্তি</t>
  </si>
  <si>
    <t>অনুশীলনে পাথর ক্ষয় হয়</t>
  </si>
  <si>
    <t>অনুশীলনে পাথরও ক্ষয় হয়</t>
  </si>
  <si>
    <t>অভ্যাসের ফলে কঠিনও নরম হয়</t>
  </si>
  <si>
    <t>Practice wears away stone.</t>
  </si>
  <si>
    <t>অনুশীলনে মানুষ নিঁখুত/সম্পূর্ণ হয়</t>
  </si>
  <si>
    <t>অনুশীলনে মানুষ নির্ভুল বা সম্পূর্ণ হয়</t>
  </si>
  <si>
    <t>ধারাবাহিক অনুশীলন দক্ষতা ও পরিপূর্ণতা আনে</t>
  </si>
  <si>
    <t>Practice makes a man perfect.</t>
  </si>
  <si>
    <t>অনেক কালের ছিল পাপ ছেলে হল সতীনের বাপ</t>
  </si>
  <si>
    <t>অনেক কালের পাপ জমেছিল, ছেলে হয়ে সতীনের বাপ হলো</t>
  </si>
  <si>
    <t>আগের পাপের ফল ভোগ করতেই হয়, তা ভয়ংকর আকারে ফিরে আসে</t>
  </si>
  <si>
    <t>Old sins return in terrifying forms: the son becomes his stepmother's father.</t>
  </si>
  <si>
    <t>সতীন (সৎমা)</t>
  </si>
  <si>
    <t>অনেক খেলে অল্প খাবে; অল্প খেলে অনেক খাবে</t>
  </si>
  <si>
    <t>অনেক খেলে অল্প দিন খাবে; অল্প খেলে অনেক দিন খাবে</t>
  </si>
  <si>
    <t>মিতাহারে দীর্ঘায়ু হয়; বেশি খেলে অকালে খাবার ফুরিয়ে যায়</t>
  </si>
  <si>
    <t>Eat much, you'll eat for a short while; eat little, you'll eat for long.</t>
  </si>
  <si>
    <t>ভোজনরসিক</t>
  </si>
  <si>
    <t>অনেক গর্জনে ফোঁটা বৃষ্টি</t>
  </si>
  <si>
    <t>অনেক/অগাধ/গভীর জলের মাছ</t>
  </si>
  <si>
    <t>অনেক/গভীর জলের মাছ</t>
  </si>
  <si>
    <t>সহজে ধরা না দেওয়া সুচতুর ব্যক্তি; গম্ভীর স্বভাবের মানুষ</t>
  </si>
  <si>
    <t>A deep-water fish—someone hard to catch, calm and shrewd.</t>
  </si>
  <si>
    <t>চতুর/গম্ভীর ব্যক্তি</t>
  </si>
  <si>
    <t>ব্যক্তিত্ব</t>
  </si>
  <si>
    <t>অনেক দক্ষতা কোন দক্ষতা নয়- জাপানী প্রবাদ</t>
  </si>
  <si>
    <t>অনেক দক্ষতা কোন দক্ষতা নয়</t>
  </si>
  <si>
    <t>সব জানা মানে কিছুই ঠিকমতো না জানা; সবজান্তা কেউই পূর্ণাঙ্গ নয়</t>
  </si>
  <si>
    <t>Many skills mean no skill.</t>
  </si>
  <si>
    <t>সবজান্তা ব্যক্তি</t>
  </si>
  <si>
    <t>অনেক যদি মাছ পায় বিড়াল কাঁটা বেছে খায়</t>
  </si>
  <si>
    <t>অনেক মাছ পেলে বিড়াল কাঁটা বেছে খায়</t>
  </si>
  <si>
    <t>প্রয়োজনের চেয়ে বেশি পেলে নির্বাচনের প্রশ্ন আসে</t>
  </si>
  <si>
    <t>If a cat gets many fish, it picks out the bones.</t>
  </si>
  <si>
    <t>প্রাচুর্যশীল ব্যক্তি</t>
  </si>
  <si>
    <t>অনেক রাঁধুনিতে ব্যঞ্জন নষ্ট</t>
  </si>
  <si>
    <t>এক কাজে অনেক লোক জুটলে মতভেদে কাজ পণ্ড হয়</t>
  </si>
  <si>
    <t>অনেকজন/অসংবদ্ধ দল</t>
  </si>
  <si>
    <t>অনেক সুখ যদি কপালে ছেঁড়া কাঁথা কেন বগলে</t>
  </si>
  <si>
    <t>অনেক সুখ যদি কপালে থাকে, তবে ছেঁড়া কাঁথা কেন বগলে?</t>
  </si>
  <si>
    <t>কপাল বলে কিছু নেই; মানুষ কর্মফলে দুঃখ পায়</t>
  </si>
  <si>
    <t>If there were so much luck, why the tattered quilt?</t>
  </si>
  <si>
    <t>ভাগ্যবাদী ব্যক্তি</t>
  </si>
  <si>
    <t>অনেক হল পাপ এবার ছাড়ো বাপ</t>
  </si>
  <si>
    <t>অনেক হল পাপ, এবার ছাড়ো বাপ</t>
  </si>
  <si>
    <t>সারাজীবন ভোগ-বিলাস করেছ; এবার ধর্মেকর্মে মন দাও</t>
  </si>
  <si>
    <t>Enough of sins; now leave them, father.</t>
  </si>
  <si>
    <t>পাপী/আত্মসংশোধনকারী</t>
  </si>
  <si>
    <t>অন্তঃসারবিহিনানামুপদেশ ন বিদ্যতে</t>
  </si>
  <si>
    <t>অন্তঃসারহীনকে উপদেশ দেওয়া বৃথা</t>
  </si>
  <si>
    <t>যার ভেতরে সার নেই, তাকে নীতিজ্ঞান দিলেও ফল হয় না</t>
  </si>
  <si>
    <t>There is no use advising the hollow-hearted.</t>
  </si>
  <si>
    <t>নির্বোধ/অন্তঃসারহীন</t>
  </si>
  <si>
    <t>অন্তরে এত খলতা, মুখে তোর অতি শীলতা</t>
  </si>
  <si>
    <t>অন্তরে এত শঠতা, মুখে এত সাধুতা</t>
  </si>
  <si>
    <t>ভণ্ডের মুখে ধর্মের বুলি; ভক্তি আন্তরিক নয়</t>
  </si>
  <si>
    <t>Heart full of deceit, face full of piety.</t>
  </si>
  <si>
    <t>ভণ্ড/কপট ব্যক্তি</t>
  </si>
  <si>
    <t>অন্ধ কয়বার নড়ি (লাঠি) হারায়</t>
  </si>
  <si>
    <t>অন্ধ কয়বার লাঠি হারায়?</t>
  </si>
  <si>
    <t>যার একটাই সম্বল, সে তা আগলে রাখে</t>
  </si>
  <si>
    <t>How many times does a blind man lose his stick?</t>
  </si>
  <si>
    <t>অন্ধ/সম্বলচ্যুত</t>
  </si>
  <si>
    <t>অন্ধকার আছে বলেই আলোর কদর</t>
  </si>
  <si>
    <t>মন্দ না থাকলে ভালোর মূল্য বোঝা যায় না</t>
  </si>
  <si>
    <t>Darkness exists so that light is valued.</t>
  </si>
  <si>
    <t>অন্ধকার আলো দূর করে না, আলো অন্ধকার দূর করে</t>
  </si>
  <si>
    <t>জ্ঞানের আলোতেই অজ্ঞানতা দূর হয়</t>
  </si>
  <si>
    <t>Darkness does not dispel light; light dispels darkness.</t>
  </si>
  <si>
    <t>অন্ধকার ঘরে কালো বেড়াল খোঁজা</t>
  </si>
  <si>
    <t>অন্ধকার ঘরে কালো বিড়াল খোঁজা</t>
  </si>
  <si>
    <t>নিস্ফল প্রচেষ্টা; যা পাওয়া অসম্ভব</t>
  </si>
  <si>
    <t>Searching for a black cat in a dark room—a futile effort.</t>
  </si>
  <si>
    <t>অন্ধকার রাত্রির পরেই ঊষার আগমন</t>
  </si>
  <si>
    <t>অন্ধকার রাতের পরেই ভোর আসে</t>
  </si>
  <si>
    <t>দুঃখের পর সুখ আসে; নিরাশ হওয়া নেই</t>
  </si>
  <si>
    <t>After a dark night comes dawn.</t>
  </si>
  <si>
    <t>অন্ধকারকে অভিশাপ দেওয়া থেকে একটি প্রদীপ জ্বালানো ভাল</t>
  </si>
  <si>
    <t>অন্ধকারকে অভিশাপ না দিয়ে একটি প্রদীপ জ্বালানো ভালো</t>
  </si>
  <si>
    <t>সমস্যায় অভিযোগ না করে সমাধানের চেষ্টা করো</t>
  </si>
  <si>
    <t>Better to light a candle than curse the darkness.</t>
  </si>
  <si>
    <t>অন্ধকারে ঢিল/ঢেলা ছোঁড়া/মারা</t>
  </si>
  <si>
    <t>অন্ধকারে ঢিল ছোঁড়া</t>
  </si>
  <si>
    <t>আন্দাজে কাজ করা; নিস্ফল প্রচেষ্টা</t>
  </si>
  <si>
    <t>Throwing stones in the dark—aimless effort.</t>
  </si>
  <si>
    <t>অন্ধকারে সব বিড়ালকে ধূসর দেখায়১</t>
  </si>
  <si>
    <t>অন্ধকারে সব বিড়ালকে ধূসর দেখায়</t>
  </si>
  <si>
    <t>অস্পষ্ট অবস্থায় চেহারা বা সত্য বোঝা যায় না; বাহ্যিক ভেদ ম্লান হয়</t>
  </si>
  <si>
    <t>In the dark, all cats look grey.</t>
  </si>
  <si>
    <t>অন্ধকারে সব বিড়ালকে ধূসর দেখায়২</t>
  </si>
  <si>
    <t>বাহ্যিক রূপের গুরুত্ব নেই; অন্তর্নিহিত সত্তাই মূল</t>
  </si>
  <si>
    <t>All cats are grey in the dark—looks don't matter.</t>
  </si>
  <si>
    <t>অন্ধকে দর্পণ দেখানো১</t>
  </si>
  <si>
    <t>অন্ধকে আয়না দেখানো</t>
  </si>
  <si>
    <t>নির্বোধকে নীতিকথা শোনানো বৃথা</t>
  </si>
  <si>
    <t>Showing a mirror to a blind man—futile.</t>
  </si>
  <si>
    <t>অন্ধকে দর্পণ দেখানো২</t>
  </si>
  <si>
    <t>নিস্ফল প্রচেষ্টা</t>
  </si>
  <si>
    <t>Showing a mirror to a blind man—a wasted effort.</t>
  </si>
  <si>
    <t>অন্ধজনে দেহ আলো, মৃতজনে দেহ প্রাণ- রবীন্দ্রনাথ</t>
  </si>
  <si>
    <t>অন্ধজনকে আলো দাও, মৃতজনকে প্রাণ দাও</t>
  </si>
  <si>
    <t>জ্ঞানহীনকে জ্ঞান দাও, মৃতকে পুনরুত্থানের চেষ্টা করো (আশা জাগাও)</t>
  </si>
  <si>
    <t>Give light to the blind, life to the dead.</t>
  </si>
  <si>
    <t>সমাজসেবী</t>
  </si>
  <si>
    <t>মানবতাবাদ</t>
  </si>
  <si>
    <t>অন্ধ জাগো না কিবা রাত্রি কিবা দিন</t>
  </si>
  <si>
    <t>অন্ধ জাগো না, রাত হোক আর দিন</t>
  </si>
  <si>
    <t>যার কষ্ট সীমাহীন, তার কাছে দিন-রাত সমান; কিছু আসে যায় না</t>
  </si>
  <si>
    <t>For a blind man, night or day is the same.</t>
  </si>
  <si>
    <t>কষ্টভোগী ব্যক্তি</t>
  </si>
  <si>
    <t>অন্ধস্য দীপো, বধিরস্য গীতং, মুর্খস্য শাস্ত্রং কিমু সানুরাগং</t>
  </si>
  <si>
    <t>অন্ধের প্রদীপ, বধিরের গান, মূর্খের শাস্ত্র—এসব কী সার্থক?</t>
  </si>
  <si>
    <t>যার ইন্দ্রিয় বা বোধ নেই, তাকে সেই বিষয় দেওয়া বৃথা</t>
  </si>
  <si>
    <t>What use is a lamp to the blind, song to the deaf, scripture to the fool?</t>
  </si>
  <si>
    <t>প্রতিবন্ধী/মূর্খ</t>
  </si>
  <si>
    <t>অন্ধ হলেই প্রলয় বন্ধ হয় না- সুধীন্দ্রনাথ দত্ত</t>
  </si>
  <si>
    <t>অন্ধ হলেই প্রলয় থেমে থাকে না</t>
  </si>
  <si>
    <t>চোখ বন্ধ করলেই পৃথিবী থেমে যায় না; জগৎ তার নিজের নিয়মে চলে</t>
  </si>
  <si>
    <t>The cataclysm doesn't stop just because one goes blind.</t>
  </si>
  <si>
    <t>অন্ধের কিবা রাত্রি কিবা দিন১</t>
  </si>
  <si>
    <t>অন্ধের কী রাত কী দিন</t>
  </si>
  <si>
    <t>যে দিন-রাতের প্রভেদ বোঝে না, তার কাছে দুই-ই সমান</t>
  </si>
  <si>
    <t>For a blind man, there's no difference between night and day.</t>
  </si>
  <si>
    <t>অন্ধ ব্যক্তি</t>
  </si>
  <si>
    <t>অন্ধের কিবা রাত্রি কিবা দিন২</t>
  </si>
  <si>
    <t>ফলভোগে অক্ষম ব্যক্তির কাছে সময়ের মূল্য নেই</t>
  </si>
  <si>
    <t>For the incapable, time is meaningless.</t>
  </si>
  <si>
    <t>অন্ধের কিবা রাত্রি কিবা দিন৩</t>
  </si>
  <si>
    <t>অভাগার বাছবিচার করা বাতুলতা</t>
  </si>
  <si>
    <t>An unlucky man has no choice of time.</t>
  </si>
  <si>
    <t>অন্ধের দেশে কানা রাজা১</t>
  </si>
  <si>
    <t>অন্ধের দেশে কানা রাজা</t>
  </si>
  <si>
    <t>মূর্খদের মধ্যে একজন আধা-মূর্খও জ্ঞানী বলে গণ্য হয়</t>
  </si>
  <si>
    <t>In the land of the blind, the one-eyed man is king.</t>
  </si>
  <si>
    <t>কানা রাজা/মূর্খসমাজ</t>
  </si>
  <si>
    <t>অন্ধের দেশে কানা রাজা২</t>
  </si>
  <si>
    <t>উভয়ই সমান অপদার্থ</t>
  </si>
  <si>
    <t>In the country of the blind, the one-eyed is king—both are useless.</t>
  </si>
  <si>
    <t>অক্ষম নেতা</t>
  </si>
  <si>
    <t>অন্ধের দোকানে কালা খরিদ্দার</t>
  </si>
  <si>
    <t>দুজনেই সমান অপদার্থ; কাজের কাজ কিছু হয় না</t>
  </si>
  <si>
    <t>A deaf customer in a blind man's shop—both incompetent.</t>
  </si>
  <si>
    <t>অক্ষম দুই ব্যক্তি</t>
  </si>
  <si>
    <t>অন্ধের নগরী চৌপট রাজা টাকা সের ভাজি টাকা সের খাজা- হিন্দি প্রবাদ</t>
  </si>
  <si>
    <t>অন্ধের নগরী, উল্টোপাল্টা রাজা; টাকা সের ভাজি, টাকা সের খাজা</t>
  </si>
  <si>
    <t>অপশাসন ও বিশৃঙ্খলায় একাকার অবস্থা</t>
  </si>
  <si>
    <t>In the blind man's city, chaos reigns; everything is overpriced and topsy-turvy.</t>
  </si>
  <si>
    <t>অপশাসক/কানা রাজা</t>
  </si>
  <si>
    <t>অন্ধের নড়ি/যষ্ঠি</t>
  </si>
  <si>
    <t>অন্ধের লাঠি</t>
  </si>
  <si>
    <t>অন্ধের একমাত্র অবলম্বন</t>
  </si>
  <si>
    <t>The blind man's stick—his sole support.</t>
  </si>
  <si>
    <t>অন্ধ/নির্ভরশীল</t>
  </si>
  <si>
    <t>সহায়</t>
  </si>
  <si>
    <t>অন্ধের নড়ি, কৃপণের কড়ি</t>
  </si>
  <si>
    <t>অন্ধের লাঠি, কৃপণের কড়ি</t>
  </si>
  <si>
    <t>যার যা মূলধন, সে তা প্রাণপণে আগলে রাখে</t>
  </si>
  <si>
    <t>A blind man's stick, a miser's penny—both treasure their only possession.</t>
  </si>
  <si>
    <t>অন্ধ/কৃপণ</t>
  </si>
  <si>
    <t>অন্ধের নাম নয়নসুখ</t>
  </si>
  <si>
    <t>অন্ধের নাম নয়নসুখ</t>
  </si>
  <si>
    <t>গুণহীনকে গুণবান নাম দেওয়া হাস্যকর</t>
  </si>
  <si>
    <t>Naming a blind man 'Delight-to-the-eyes' is ironic.</t>
  </si>
  <si>
    <t>নামকরণ</t>
  </si>
  <si>
    <t>অন্ধের বৌয়ের প্রসাধনের প্রয়োজন নেই</t>
  </si>
  <si>
    <t>অন্ধের বউয়ের সাজগোজের প্রয়োজন নেই</t>
  </si>
  <si>
    <t>যেখানে বাইরের রূপের কদর নেই, সেখানে সাজসজ্জা অর্থহীন</t>
  </si>
  <si>
    <t>A blind man's wife needs no makeup.</t>
  </si>
  <si>
    <t>নারী (অন্ধের বউ)</t>
  </si>
  <si>
    <t>অন্ধের মত চলা১</t>
  </si>
  <si>
    <t>অন্ধের মতো চলা</t>
  </si>
  <si>
    <t>প্রতি পদক্ষেপ সতর্কভাবে ফেলা</t>
  </si>
  <si>
    <t>Walking like a blind man—cautiously.</t>
  </si>
  <si>
    <t>অন্ধের মত চলা২</t>
  </si>
  <si>
    <t>কিছু না বুঝে চলা; অসতর্কভাবে কাজ করা</t>
  </si>
  <si>
    <t>Moving blindly—without understanding.</t>
  </si>
  <si>
    <t>অসতর্ক ব্যক্তি</t>
  </si>
  <si>
    <t>অন্ধের হস্তীদর্শন</t>
  </si>
  <si>
    <t>অন্ধের হাতি দেখা</t>
  </si>
  <si>
    <t>আংশিক জ্ঞান নিয়ে পূর্ণাঙ্গ সিদ্ধান্ত দেওয়া; যেমন পাঁচ অন্ধের হাতি পরীক্ষা</t>
  </si>
  <si>
    <t>Blind men inspecting an elephant—each perceiving only a part.</t>
  </si>
  <si>
    <t>অজ্ঞ/খণ্ডিতজ্ঞানী</t>
  </si>
  <si>
    <t>অন্ন আর অর্থবিনা কোন কাজ সঠিক হয় না</t>
  </si>
  <si>
    <t>অন্ন আর অর্থ ছাড়া কোনো কাজ ঠিক হয় না</t>
  </si>
  <si>
    <t>পেটে ভাত আর পকেটে টাকা না থাকলে কাজ ঠিকমতো হয় না</t>
  </si>
  <si>
    <t>Without food and money, nothing goes right.</t>
  </si>
  <si>
    <t>দরিদ্র/অভাবী</t>
  </si>
  <si>
    <t>অন্নচিন্তা চমৎকারা কাতরে কবিতা কুতঃ</t>
  </si>
  <si>
    <t>অন্নের চিন্তা বড় ভয়ানক; অভাবীর কবিতা কোথায়?</t>
  </si>
  <si>
    <t>অন্নের চিন্তায় পাগল হলে সৃজনশীলতা বা কাজ হয় না</t>
  </si>
  <si>
    <t>Worries about food—how can a distressed person write poetry?</t>
  </si>
  <si>
    <t>দরিদ্র/কবি</t>
  </si>
  <si>
    <t>অন্নজলের বরাত ওঠা১</t>
  </si>
  <si>
    <t>অন্নজলের বরাত ওঠা</t>
  </si>
  <si>
    <t>জীবনান্ত; পরমায়ু শেষ</t>
  </si>
  <si>
    <t>The end of one's sustenance—death.</t>
  </si>
  <si>
    <t>অন্নজলের বরাত ওঠা২</t>
  </si>
  <si>
    <t>জীবিকা অর্জনের উপায় শেষ</t>
  </si>
  <si>
    <t>Livelihood gone.</t>
  </si>
  <si>
    <t>দরিদ্র/বেকার</t>
  </si>
  <si>
    <t>অন্নজলের নাড়ী কোটা</t>
  </si>
  <si>
    <t>অন্নজলের নাড়ি কোটা</t>
  </si>
  <si>
    <t>শিশুর অন্নপ্রাশনের বয়স হওয়া</t>
  </si>
  <si>
    <t>The cutting of the food-and-water cord—coming of age for eating.</t>
  </si>
  <si>
    <t>শৈশব</t>
  </si>
  <si>
    <t>অন্নদাতা ভয়ত্রাতা যস্য কন্যা বিবাহিতা, জনয়িতোপনতা চ পঞ্চৈতে পিতরঃস্মৃতা</t>
  </si>
  <si>
    <t>অন্নদাতা, ভয়ত্রাতা, যার কন্যা বিবাহিত হয়েছে, জন্মদাতা, উপনয়নদাতা—এই পাঁচজন পিতা</t>
  </si>
  <si>
    <t>যিনি অন্ন দেন, ভয় থেকে রক্ষা করেন, কন্যা দান করেন, জন্ম দেন এবং উপনয়ন দেন—তিনি পিতাতুল্য</t>
  </si>
  <si>
    <t>The feeder, the protector, the father-in-law, the biological father, and the initiator—these five are fathers.</t>
  </si>
  <si>
    <t>শ্বশুর/বাবা ইত্যাদি</t>
  </si>
  <si>
    <t>অন্নদানাৎ পরং দানং, ন ভূতং ন ভবিষ্যতি</t>
  </si>
  <si>
    <t>অন্নদানের চেয়ে বড় দান নেই, ছিল না এবং হবে না</t>
  </si>
  <si>
    <t>অন্নদানের চেয়ে শ্রেষ্ঠ দান আর কিছু নয়</t>
  </si>
  <si>
    <t>There is no greater donation than food, never was, never will be.</t>
  </si>
  <si>
    <t>অন্ন দেখে দেবে ঘি, পাত্র দেখে দেবে ঝি</t>
  </si>
  <si>
    <t>অন্ন দেখে ঘি দেবে, পাত্র দেখে কন্যা দেবে</t>
  </si>
  <si>
    <t>ভালো ভাতে ঘি দিলে সুস্বাদু হয়; সুপাত্রে কন্যা দিলে সুখী হয়; উপযুক্ত মিলন জরুরি</t>
  </si>
  <si>
    <t>Serve ghee with rice, give daughter to a worthy groom.</t>
  </si>
  <si>
    <t>কন্যা/পাত্র</t>
  </si>
  <si>
    <t>অন্ন নাই যার ঘরে, তার মানে কি বা করে</t>
  </si>
  <si>
    <t>যার ঘরে অন্ন নেই, তার মান কী বা করে?</t>
  </si>
  <si>
    <t>হাভাতের কোন সম্মান নেই</t>
  </si>
  <si>
    <t>What use is honor to one with no food at home?</t>
  </si>
  <si>
    <t>অন্নপূর্ণা যার ঘরে, সে কাঁদে অন্নের তরে</t>
  </si>
  <si>
    <t>অন্নপূর্ণা যার ঘরে, সেও অন্নের জন্য কাঁদে</t>
  </si>
  <si>
    <t>দুরদৃষ্ট; যার নামে অন্ন, সে-ই অন্ন পায় না</t>
  </si>
  <si>
    <t>Even one named Annapurna cries for food—irony of fate.</t>
  </si>
  <si>
    <t>নারী (অন্নপূর্ণা)</t>
  </si>
  <si>
    <t>অন্নপ্রাশনের ভাত উগরে ওঠা</t>
  </si>
  <si>
    <t>বৃদ্ধ বয়সে ছোটবেলার স্মৃতি ফিরে আসা</t>
  </si>
  <si>
    <t>Regurgitating the first rice eaten—remembering childhood in old age.</t>
  </si>
  <si>
    <t>বৃদ্ধ ব্যক্তি</t>
  </si>
  <si>
    <t>অন্নবল নেই, অগ্নিবল আছে</t>
  </si>
  <si>
    <t>অন্নের জোর নেই, আগুনের জোর আছে</t>
  </si>
  <si>
    <t>অভাবী লোকের অন্ন জোটে না, কিন্তু ক্ষুধার জ্বালা আছে</t>
  </si>
  <si>
    <t>No strength from food, but the fire of hunger burns.</t>
  </si>
  <si>
    <t>দরিদ্র/ক্ষুধার্ত</t>
  </si>
  <si>
    <t>অন্নবিনা চর্ম গড়ি, তৈলবিনা গায়ে খড়ি</t>
  </si>
  <si>
    <t>খাবার ছাড়া চামড়া মোটা হয়, তেল ছাড়া গায়ে খড়ি পড়ে</t>
  </si>
  <si>
    <t>অভাবের কারণে শরীরের অবস্থা খারাপ হয়; দারিদ্র্যে সবই রুক্ষ</t>
  </si>
  <si>
    <t>Without food, skin becomes leather; without oil, body becomes chalky.</t>
  </si>
  <si>
    <t>অভাব/স্বাস্থ্য</t>
  </si>
  <si>
    <t>অন্নাদষ্টগুণং পিষ্ট পিষ্টাদষ্টগুণং পয়, পয়সোহষ্টগুণং মাংসং মাংসাদষ্টগুণং ঘৃতম্‌</t>
  </si>
  <si>
    <t>অন্ন থেকে আটগুণ পুষ্টিকর পিঠা, পিঠা থেকে আটগুণ দুধ, দুধ থেকে আটগুণ মাংস, মাংস থেকে আটগুণ ঘি</t>
  </si>
  <si>
    <t>খাদ্যের পুষ্টিগুণের তুলনা: ঘি সবচেয়ে পুষ্টিকর</t>
  </si>
  <si>
    <t>Food hierarchy: rice, then 8x more nutritious is pastry, 8x more is milk, 8x more is meat, 8x more is ghee.</t>
  </si>
  <si>
    <t>অন্নেন ধার্যতে সর্বং জগদেতচ্চরাচরং</t>
  </si>
  <si>
    <t>অন্নদ্বারাই সমগ্র চরাচর জগৎ ধারিত হয়</t>
  </si>
  <si>
    <t>সমগ্র বিশ্ব অন্নের ওপর নির্ভরশীল</t>
  </si>
  <si>
    <t>All creatures, moving and unmoving, are sustained by food.</t>
  </si>
  <si>
    <t>অন্নের জ্বালা বড় জ্বালা একদিনে লাগে তালা</t>
  </si>
  <si>
    <t>ক্ষুধার জ্বালা বড় জ্বালা; একদিনেই সব ওলটপালট হয়ে যায়</t>
  </si>
  <si>
    <t>অন্নাভাবে জীবন অচল হয়ে পড়ে</t>
  </si>
  <si>
    <t>Hunger's pain is great; in one day, it locks everything up.</t>
  </si>
  <si>
    <t>দরিদ্র/ক্ষুধার্ত ব্যক্তি</t>
  </si>
  <si>
    <t>অন্যলোকে ভুরা (গুড়ের নিকৃষ্ট অংশ) দেয় ভাগ্যে আমি চিনি</t>
  </si>
  <si>
    <t>অন্য লোক ভুরা (নিকৃষ্ট গুড়) দেয়, কিন্তু ভাগ্যে আমি তা চিনতে পারি</t>
  </si>
  <si>
    <t>প্রতারিত হওয়া আমার পক্ষে সম্ভব নয়; আমি ঠকবো না</t>
  </si>
  <si>
    <t>Others give molasses, but fate lets me recognize it—I am not easily fooled.</t>
  </si>
  <si>
    <t>চালাক/সতর্ক ব্যক্তি</t>
  </si>
  <si>
    <t>অন্যলক্ষিতকার্যস্য যতঃ সিদ্ধিঃ ন জায়তে</t>
  </si>
  <si>
    <t>অন্য লোকের নজরে পড়লে কাজ সফল হয় না</t>
  </si>
  <si>
    <t>গোপনীয়তা না রাখলে কাজ বিফল হয়</t>
  </si>
  <si>
    <t>A task noticed by others does not succeed.</t>
  </si>
  <si>
    <t>অন্যায় করাটা কিছুই না, যদি না তুমি সেটা সর্বক্ষণ মনে রাখো- কনফুসিয়াস</t>
  </si>
  <si>
    <t>অন্যায় করাটা কিছু নয়, যদি তা সর্বক্ষণ মনে না রাখো</t>
  </si>
  <si>
    <t>অজ্ঞানে কৃত অন্যায় ভুল; জ্ঞানকৃত অন্যায় পাপ</t>
  </si>
  <si>
    <t>Doing wrong is nothing if you don't keep it always in mind—forgetting it makes it a mere mistake.</t>
  </si>
  <si>
    <t>অন্যায়কারী</t>
  </si>
  <si>
    <t>অন্যে পরে কা কথা</t>
  </si>
  <si>
    <t>অন্যের (দেবতারাও) পতিত হয়েছেন, এর বেশি কী কথা</t>
  </si>
  <si>
    <t>রাম, সীতা, কৃষ্ণের জীবনে দুঃখ ছিল; সাধারণ মানুষের তো কথাই নেই</t>
  </si>
  <si>
    <t>When even gods have fallen, what of others?</t>
  </si>
  <si>
    <t>অন্যে যার গুণ গায় সে নির্গুণ হলেও গুণী; নিজের গুণগানে ইন্দ্রও ছোট হয়</t>
  </si>
  <si>
    <t>অন্যের প্রশংসায় নির্গুণও গুণী হয়; আত্মপ্রশংসায় ইন্দ্রও ছোট হয়</t>
  </si>
  <si>
    <t>পরের মুখে গুণগানই প্রকৃত সম্মান; নিজের মুখে আত্মপ্রচার অপমানজনক</t>
  </si>
  <si>
    <t>Praised by others, even the virtueless become virtuous; self-praise belittles even Indra.</t>
  </si>
  <si>
    <t>আত্মপ্রচারক ব্যক্তি</t>
  </si>
  <si>
    <t>অন্যের যা খারাপ মনে কর নিজের মধ্যেও তা খারাপ মনে করতে শেখো</t>
  </si>
  <si>
    <t>অন্যের মধ্যে যা খারাপ দেখ, নিজের মধ্যেও তা খারাপ ভাবতে শেখো</t>
  </si>
  <si>
    <t>আত্মসমালোচনা করো; নিজের দোষ দেখো</t>
  </si>
  <si>
    <t>What you consider bad in others, learn to consider bad in yourself.</t>
  </si>
  <si>
    <t>অন্যের মধ্যে কি দোষ আছে অন্বেষণ করো না বরং নিজের মধ্যে কি দোষ অন্বেষণ কর- কনফুসিয়াস</t>
  </si>
  <si>
    <t>অন্যের দোষ খোঁজো না; বরং নিজের দোষ খোঁজো</t>
  </si>
  <si>
    <t>আত্মসংশোধনই বড় কাজ</t>
  </si>
  <si>
    <t>Seek not the faults of others, but seek the faults in yourself.</t>
  </si>
  <si>
    <t>অপচয়ে লক্ষ্মীনাশ/লক্ষ্মী ছাড়ে</t>
  </si>
  <si>
    <t>অপচয়ে লক্ষ্মী নাশ হয়/লক্ষ্মী ছেড়ে যায়</t>
  </si>
  <si>
    <t>অপচয় করলে ধনসম্পদ নষ্ট হয়</t>
  </si>
  <si>
    <t>Waste drives away the goddess of wealth.</t>
  </si>
  <si>
    <t>অপচয়কারী</t>
  </si>
  <si>
    <t>অপচয়/অপব্যয় করো না, অভাবে পড়ো না</t>
  </si>
  <si>
    <t>অপচয় কোরো না, অভাবে পড়ো না</t>
  </si>
  <si>
    <t>অপচয় রোধ করলে অভাব আসে না</t>
  </si>
  <si>
    <t>Do not waste, lest you fall into need.</t>
  </si>
  <si>
    <t>অপব্যয়ে লক্ষ্মী ছাড়ে</t>
  </si>
  <si>
    <t>অপব্যয়ে লক্ষ্মী ছাড়ে</t>
  </si>
  <si>
    <t>অপব্যয় করলে সম্পদ শেষ হয়</t>
  </si>
  <si>
    <t>Extravagance drives away wealth.</t>
  </si>
  <si>
    <t>অপমানের পরাণ সম্মানকে ডরান</t>
  </si>
  <si>
    <t>অপমানিত ব্যক্তি সম্মানকে ভয় পায়</t>
  </si>
  <si>
    <t>যে অপমান পেয়েছে, সে সম্মানকেও সন্দেহ করে</t>
  </si>
  <si>
    <t>One who has been insulted fears even respect.</t>
  </si>
  <si>
    <t>অপমানিত ব্যক্তি</t>
  </si>
  <si>
    <t>অপরং বা কিং ভবিষ্যতি</t>
  </si>
  <si>
    <t>এরপর আর কী বা হবে?</t>
  </si>
  <si>
    <t>যা হবার নয় তা-ই হল; এখন আর কী হবে</t>
  </si>
  <si>
    <t>What else can happen now?</t>
  </si>
  <si>
    <t>অপরাধবোধের ফরিয়াদীর প্রয়োজন হয় না</t>
  </si>
  <si>
    <t>অপরাধবোধের অভিযুক্তের দরকার হয় না</t>
  </si>
  <si>
    <t>অপরাধী নিজের দোষ নিজেই প্রকাশ করে</t>
  </si>
  <si>
    <t>Guilt needs no accuser.</t>
  </si>
  <si>
    <t>অপরাধী</t>
  </si>
  <si>
    <t>মনস্তত্ত্ব</t>
  </si>
  <si>
    <t>অপরের মন্দ নিজের হিত, না করিও কদাচিৎ</t>
  </si>
  <si>
    <t>পরের মন্দ করে নিজের ভালো কখনো কোরো না</t>
  </si>
  <si>
    <t>অন্যের ক্ষতি করে নিজের লাভ করা অনুচিত</t>
  </si>
  <si>
    <t>Never harm others for your own benefit.</t>
  </si>
  <si>
    <t>অপাত্রঃ পাত্রতাং যাতি যত্রো পাত্রো ন বিদ্যতে, নিরস্ত পাদপদেশে এণ্ডোহপি দ্রূমায়তে</t>
  </si>
  <si>
    <t>যেখানে পাত্র নেই, সেখানে অপাত্রই পাত্র হয়; যেখানে গাছ নেই, সেখানে এরণ্ডই গাছ হয়</t>
  </si>
  <si>
    <t>অযোগ্যের স্থানে যোগ্যতা নেই; সামান্যই শ্রেষ্ঠ হয়</t>
  </si>
  <si>
    <t>In the absence of a worthy, an unworthy becomes worthy; in a treeless land, a castor plant passes for a tree.</t>
  </si>
  <si>
    <t>অযোগ্যকে গণ্য</t>
  </si>
  <si>
    <t>অপেক্ষা কর প্রতিটি কুকুরের দিন আছে</t>
  </si>
  <si>
    <t>অপেক্ষা করো, প্রতিটি কুকুরেরই দিন আছে</t>
  </si>
  <si>
    <t>সবার জীবনে একদিন সুসময় আসে</t>
  </si>
  <si>
    <t>Every dog has its day.</t>
  </si>
  <si>
    <t>অপেক্ষার সময় শেষ হয় না</t>
  </si>
  <si>
    <t>শুধু অপেক্ষা করে কখনো কার্যসিদ্ধি হয় না</t>
  </si>
  <si>
    <t>Waiting time never ends.</t>
  </si>
  <si>
    <t>অলস/অপেক্ষমাণ ব্যক্তি</t>
  </si>
  <si>
    <t>অপ্রিয় সত্য কথা বলিও না</t>
  </si>
  <si>
    <t>অপ্রিয় সত্য কথা বলো না</t>
  </si>
  <si>
    <t>যে সত্য শুনতে খারাপ লাগে, তা না বলাই ভালো</t>
  </si>
  <si>
    <t>Do not speak an unpleasant truth.</t>
  </si>
  <si>
    <t>কথন</t>
  </si>
  <si>
    <t>অপ্রিয়স্য চ পথ্যস্য বক্তা শ্রোতা চ দুর্লভঃ</t>
  </si>
  <si>
    <t>অপ্রিয় কিন্তু হিতকর কথার বক্তা ও শ্রোতা দুর্লভ</t>
  </si>
  <si>
    <t>হিতকারী সত্য কথা কেউ বলতে চায় না, শুনতেও চায় না</t>
  </si>
  <si>
    <t>Rare is the speaker and listener of unpleasant but beneficial words.</t>
  </si>
  <si>
    <t>অবরকে/অবুঝকে বুঝাব কত বুঝ নাহি মানে, ঢেঁকিকে বুঝাব কত নিত্য ধান ভানে-প্রভাতকুমার মুখোপাধ্যায়</t>
  </si>
  <si>
    <t>অবুঝকে কত বোঝাব, সে বোঝে না; ঢেঁকিকে কত বোঝাব, সে নিত্য ধান ভানে</t>
  </si>
  <si>
    <t>মূর্খকে সদুপদেশ দেওয়া বৃথা</t>
  </si>
  <si>
    <t>How much can you explain to a fool? He never understands; like explaining to a dheki that only pounds paddy.</t>
  </si>
  <si>
    <t>অবংশো পতিতো রাজা মুর্খপুত্রশ্চ পণ্ডিতঃ, অধনস্য ধনং প্রাপ্য তৃণবন্মন্যতে জগৎ</t>
  </si>
  <si>
    <t>নীচ বংশের লোক রাজা হয়, মূর্খের ছেলে পণ্ডিত হয়, দরিদ্র ধন পেয়ে জগৎকে তৃণসম জ্ঞান করে</t>
  </si>
  <si>
    <t>অযোগ্য উঁচুপদ পেলে অহংকারে জগৎকে তুচ্ছ করে</t>
  </si>
  <si>
    <t>An ignoble becomes king, a fool's son becomes a scholar, a poor man with new wealth thinks the world is straw.</t>
  </si>
  <si>
    <t>অযোগ্য নেতা/নবধনী</t>
  </si>
  <si>
    <t>অবলা বোলে দড়, অফলা ফলে দড়</t>
  </si>
  <si>
    <t>দুর্বলা নারী কথা বলে বেশি, ফলহীন গাছ ফলে বেশি</t>
  </si>
  <si>
    <t>যার শক্তি কম, সে কথা দিয়ে তা পুষিয়ে নেয়; যেখানে ফল ধরে না, সেখানে হঠাৎ প্রচুর ফলে</t>
  </si>
  <si>
    <t>A weak woman is strong in words; a barren tree bears heavily when it does.</t>
  </si>
  <si>
    <t>নারী (দুর্বল/বাচাল)</t>
  </si>
  <si>
    <t>অবলানাং রোদনাং বলং</t>
  </si>
  <si>
    <t>অবলাদের কান্নাই বল</t>
  </si>
  <si>
    <t>দুর্বলের অস্ত্রই কান্না</t>
  </si>
  <si>
    <t>Weeping is the strength of the weak.</t>
  </si>
  <si>
    <t>নারী (অবলা)</t>
  </si>
  <si>
    <t>অবশ্যমেব ভোক্তব্যং কৃতং কর্ম শুভাশুভম</t>
  </si>
  <si>
    <t>কৃত ভালো-মন্দ কর্মের ফল অবশ্যই ভোগ করতে হবে</t>
  </si>
  <si>
    <t>কর্মফল এড়ানো যায় না</t>
  </si>
  <si>
    <t>You must inevitably experience the fruits of your good and bad deeds.</t>
  </si>
  <si>
    <t>অবস্থা বুঝে ব্যবস্থা</t>
  </si>
  <si>
    <t>অবস্থা বুঝে ব্যবস্থা গ্রহণ কর</t>
  </si>
  <si>
    <t>পরিস্থিতি অনুযায়ী কাজ কর</t>
  </si>
  <si>
    <t>Act according to the situation.</t>
  </si>
  <si>
    <t>অবাক করলি ভবি/রাধা অম্বলে দিলি আদা</t>
  </si>
  <si>
    <t>অবাক করলে ভবি/রাধা, অম্বলে আদা দিলে</t>
  </si>
  <si>
    <t>অপ্রাসঙ্গিক কাজ করলে বোকার মতো দেখায়; রাঁধুনী অদক্ষ হলে এমন হয়</t>
  </si>
  <si>
    <t>You amazed me, Radha, putting ginger in sour soup—a pointless act.</t>
  </si>
  <si>
    <t>নারী (রাধা/বউ)</t>
  </si>
  <si>
    <t>অবাক্ কল্লে নাকের নথে, কাজ কি আমার কানবালাতে</t>
  </si>
  <si>
    <t>নাকের নথ দেখেই অবাক, আর কানবালার কী দরকার?</t>
  </si>
  <si>
    <t>অল্প সাজেই রূপ ফুটেছে; কুৎসিতের বেশি সাজের প্রতি ব্যঙ্গ</t>
  </si>
  <si>
    <t>The nose ring alone stuns; what use are earrings?</t>
  </si>
  <si>
    <t>নারী (কুরূপা/সাজপ্রিয়)</t>
  </si>
  <si>
    <t>অবাক কলির অবতার, ছুঁচোর গলায় চন্দ্রহার</t>
  </si>
  <si>
    <t>আশ্চর্য কলির অবতার, ছুঁচোর গলায় চন্দ্রহার!</t>
  </si>
  <si>
    <t>অযোগ্যের হাতে উৎকৃষ্ট বস্তু শোভা পায় না</t>
  </si>
  <si>
    <t>In this strange age, even a mole wears a moon-necklace!</t>
  </si>
  <si>
    <t>অবিদ্যং জীবনং শূন্যং দিক্ শূন্যা চেদবান্ধবা, পুত্রহীনং গৃহং শূন্যং সর্বশূন্যা দরিদ্রতা</t>
  </si>
  <si>
    <t>বিদ্যাহীনের জীবন শূন্য, বন্ধুহীনের দিক শূন্য, পুত্রহীনের গৃহ শূন্য; দারিদ্র্যে সব শূন্য</t>
  </si>
  <si>
    <t>সব শূন্যতার মধ্যে দারিদ্র্যই চরম</t>
  </si>
  <si>
    <t>A life without knowledge is void; direction without friends void; home without a son void; but poverty makes all void.</t>
  </si>
  <si>
    <t>দরিদ্র/নিঃসন্তান</t>
  </si>
  <si>
    <t>অবিবেকঃ পরমাস্পদম</t>
  </si>
  <si>
    <t>অবিবেকই পরম আশ্রয় (সকল অনর্থের)</t>
  </si>
  <si>
    <t>বিবেকহীনতাই সব বিপদের মূল</t>
  </si>
  <si>
    <t>Indiscretion is the root of all trouble.</t>
  </si>
  <si>
    <t>অবিবেকী</t>
  </si>
  <si>
    <t>অবিমিশ্র সুখ হয় না</t>
  </si>
  <si>
    <t>অবিমিশ্র সুখ হয় না</t>
  </si>
  <si>
    <t>বিশুদ্ধ সুখ নেই; সুখ-দুঃখ মিশ্রিত</t>
  </si>
  <si>
    <t>There is no unmixed happiness.</t>
  </si>
  <si>
    <t>অবিয়ন্তির ঠুনকোর (স্তন) ব্যথা</t>
  </si>
  <si>
    <t>অপ্রসূতা নারীর স্তনে ব্যথা</t>
  </si>
  <si>
    <t>যা হবার নয়, তাই হয়েছে বলে কষ্ট; অসম্ভব বেদনা</t>
  </si>
  <si>
    <t>A childless woman's breast pain—an impossible suffering.</t>
  </si>
  <si>
    <t>নারী (নিঃসন্তান)</t>
  </si>
  <si>
    <t>লিঙ্গ/স্বাস্থ্য</t>
  </si>
  <si>
    <t>অবিশ্বস্তকে বিশ্বাস করবে না; বিশ্বস্ত বন্ধুকেও অতিরিক্ত বিশ্বাস করবে না</t>
  </si>
  <si>
    <t>অবিশ্বস্তকে বিশ্বাস করো না; বিশ্বস্ত বন্ধুকেও বেশি বিশ্বাস কোরো না</t>
  </si>
  <si>
    <t>বিশ্বাস সীমিত ও যাচাই করে করতে হয়</t>
  </si>
  <si>
    <t>Trust not the untrustworthy; even a trusted friend should not be trusted blindly.</t>
  </si>
  <si>
    <t>অবিশ্বাস করে ঠকা থেকে বিশ্বাস করে ঠকা অনেক ভাল</t>
  </si>
  <si>
    <t>অবিশ্বাস করে ঠকার চেয়ে বিশ্বাস করে ঠকা ভালো</t>
  </si>
  <si>
    <t>বিশ্বাস করে ঠকলে বিশ্বাস অটুট থাকে; অবিশ্বাস মানসিক কষ্ট দেয়</t>
  </si>
  <si>
    <t>Better to be cheated by trusting than by mistrusting.</t>
  </si>
  <si>
    <t>অবুঝে/অবোধারে বুঝাব কত বুঝ নাহি মানে; ঢেঁকিরে বুঝাব কত নিত্য ধান ভানে।</t>
  </si>
  <si>
    <t>মূর্খকে উপদেশ দেওয়া বৃথা; সে কেবল নিজের কাজ করে</t>
  </si>
  <si>
    <t>Explaining to a fool is futile; like explaining to a dheki that just keeps pounding paddy.</t>
  </si>
  <si>
    <t>অবোধারে মারে বোধায়, বোধারে মারে খোদায়</t>
  </si>
  <si>
    <t>নির্বোধ মারে চতুরকে, চতুরকে মারেন খোদা</t>
  </si>
  <si>
    <t>বোকা চালাককে ঠকায়, আর চালাককে ঈশ্বর শাস্তি দেন</t>
  </si>
  <si>
    <t>The fool strikes the wise, and God strikes the wise.</t>
  </si>
  <si>
    <t>ন্যায়</t>
  </si>
  <si>
    <t>অবোধের খাটনি ভারি</t>
  </si>
  <si>
    <t>অবোধের (বোকার) খাটুনি ভারী</t>
  </si>
  <si>
    <t>বোকা না বুঝে বেশি খাটে, তাই তার ওপর কাজের বোঝা বেশি</t>
  </si>
  <si>
    <t>A fool's burden is heavy.</t>
  </si>
  <si>
    <t>বোকা শ্রমিক</t>
  </si>
  <si>
    <t>অবোধের গোবধে আনন্দ</t>
  </si>
  <si>
    <t>অবোধের গোবধে (গোহত্যায়) আনন্দ</t>
  </si>
  <si>
    <t>মূর্খ পাপ কাজেও আনন্দ পায়</t>
  </si>
  <si>
    <t>A fool rejoices in forbidden acts.</t>
  </si>
  <si>
    <t>অবোধের সাত খুন মাপ</t>
  </si>
  <si>
    <t>অবোধের সাত খুনও মাফ</t>
  </si>
  <si>
    <t>অজ্ঞানকৃত বড় অপরাধও ক্ষমার যোগ্য</t>
  </si>
  <si>
    <t>A fool's seven murders are forgiven.</t>
  </si>
  <si>
    <t>অবোলা চলে বড় অফলা ফলে বড়</t>
  </si>
  <si>
    <t>অবোলা (চুপচাপ) চলে বেশি পথ; ফলহীন গাছে একবার ফললে প্রচুর ফলে</t>
  </si>
  <si>
    <t>যে বেশি কথা বলে না, সে অনেক দূর যায়; আর যেখানে কিছু ছিল না, সেখানে হঠাৎ প্রাচুর্য আসে</t>
  </si>
  <si>
    <t>The silent one travels far; the barren tree bears much fruit.</t>
  </si>
  <si>
    <t>নির্বাক/সহিষ্ণু</t>
  </si>
  <si>
    <t>অব্রাহ্মণের দীর্ঘফোঁটা</t>
  </si>
  <si>
    <t>অব্রাহ্মণের (ব্রাহ্মণ নয় এমন) দীর্ঘ তিলক</t>
  </si>
  <si>
    <t>অযোগ্য ব্যক্তি ভড়ং দেখায়</t>
  </si>
  <si>
    <t>A non-Brahmin sporting a long tilak—pretension.</t>
  </si>
  <si>
    <t>ভণ্ড/অক্ষম</t>
  </si>
  <si>
    <t>অভদ্রা বর্ষাকাল হরিণী চাটে বাঘের গাল; শোনরে হরিণী তোরে কই, সময়গুণে সবই সই</t>
  </si>
  <si>
    <t>প্রচণ্ড বর্ষায় হরিণী বাঘের গাল চাটে; শোনো হরিণী, সময়গুণে সবই সহ্য হয়</t>
  </si>
  <si>
    <t>প্রতিকূল সময়ে প্রবলও দুর্বলের কাছে অসহায় হয়; সময় বদলায়</t>
  </si>
  <si>
    <t>In harsh monsoon, a doe licks a tiger's cheek; listen, doe, with time everything is bearable.</t>
  </si>
  <si>
    <t>হরিণী (স্ত্রীবাচক) / প্রবল-দুর্বল</t>
  </si>
  <si>
    <t>সময়/অবস্থা</t>
  </si>
  <si>
    <t>অভাগা চোর যে বাড়ী যায় হয় কুকুর ডাকে নয় রাত পোহায়</t>
  </si>
  <si>
    <t>অভাগা চোর যে বাড়ি যায়, হয় কুকুর ডাকে, নয়তো রাত শেষ হয়</t>
  </si>
  <si>
    <t>ভাগ্য মন্দ হলে যেখানেই যায়, বাধা পায়</t>
  </si>
  <si>
    <t>An unlucky thief, wherever he goes, either dogs bark or night ends—always caught.</t>
  </si>
  <si>
    <t>অভাগা/চোর</t>
  </si>
  <si>
    <t>অভাগা যায় বঙ্গে, কপাল যায় সঙ্গে</t>
  </si>
  <si>
    <t>অভাগা বঙ্গে যায়, কিন্তু কপালও সঙ্গে যায়</t>
  </si>
  <si>
    <t>যেখানেই যাও না কেন, ভাগ্যও তোমার সঙ্গে যাবে</t>
  </si>
  <si>
    <t>The unlucky one goes to Bengal, but his fate goes with him.</t>
  </si>
  <si>
    <t>অভাগা</t>
  </si>
  <si>
    <t>অভাগা যদ্যপি/যেদিকে চায় সাগর শুকায়ে যায়১</t>
  </si>
  <si>
    <t>অভাগা যেদিকে তাকায়, সাগর শুকিয়ে যায়</t>
  </si>
  <si>
    <t>অভাগার দৃষ্টি অমঙ্গল বয়ে আনে</t>
  </si>
  <si>
    <t>If an unlucky person looks, even the sea dries up.</t>
  </si>
  <si>
    <t>অভাগা যদ্যপি/যেদিকে চায় সাগর শুকায়ে যায়২</t>
  </si>
  <si>
    <t>অভাগা যেদিকে চায় সাগর শুকিয়ে যায়</t>
  </si>
  <si>
    <t>অভাগা যেখানেই হাত দেয়, ব্যর্থ হয়; কিছুই ভালো হয় না</t>
  </si>
  <si>
    <t>If an unlucky person looks, the sea dries up.</t>
  </si>
  <si>
    <t>অভাগার গরু মরে শকুনের ভাগ্য বাড়ে</t>
  </si>
  <si>
    <t>অভাগার গরু মরে, শকুনের ভাগ্য বাড়ে</t>
  </si>
  <si>
    <t>একজনের ক্ষতিতে অন্যের লাভ হয়</t>
  </si>
  <si>
    <t>When an unlucky man's cow dies, the vulture's luck increases.</t>
  </si>
  <si>
    <t>অভাগা/শকুন</t>
  </si>
  <si>
    <t>ভাগ্য/লাভ-ক্ষতি</t>
  </si>
  <si>
    <t>অভাগার গরু মরে ভাগ্যবানের বউ/মাগ মরে</t>
  </si>
  <si>
    <t>অভাগার গরু মরে, ভাগ্যবানের বউ/মাগ মরে</t>
  </si>
  <si>
    <t>গরু মরলে মূলধন নষ্ট (অভাগা), বউ মরলে দ্বিতীয় বিবাহে অর্থলাভ (ভাগ্যবান)</t>
  </si>
  <si>
    <t>The unlucky man loses his cow; the lucky man loses his wife.</t>
  </si>
  <si>
    <t>লিঙ্গ/ভাগ্য</t>
  </si>
  <si>
    <t>অভাগার যমও নেই</t>
  </si>
  <si>
    <t>এতই দুর্ভাগা যে মৃত্যুও তার জন্য অপেক্ষা করে না; মরেও শান্তি পায় না</t>
  </si>
  <si>
    <t>The unlucky man has no death even.</t>
  </si>
  <si>
    <t>অভাগার হারাবার কিছু নাই</t>
  </si>
  <si>
    <t>অভাগার হারাবার কিছু নেই</t>
  </si>
  <si>
    <t>যার কিছু নেই, তার হারানোর ভয়ও নেই</t>
  </si>
  <si>
    <t>The unlucky man has nothing to lose.</t>
  </si>
  <si>
    <t>অভাগা/দরিদ্র</t>
  </si>
  <si>
    <t>অভাগীর লগনে চাঁদ নাই গগনে</t>
  </si>
  <si>
    <t>অভাগিনীর লগ্নে আকাশে চাঁদ ওঠে না</t>
  </si>
  <si>
    <t>অভাগিনীর জীবনে সুখের আলো জ্বলে না</t>
  </si>
  <si>
    <t>In the fate of an unlucky woman, the moon never rises.</t>
  </si>
  <si>
    <t>নারী (অভাগিনী)</t>
  </si>
  <si>
    <t>অভাগিনী দুয়ো, নেটি পেটি সুয়ো</t>
  </si>
  <si>
    <t>অভাগিনী সতিন থাকে; নেটি (থলথলে) পেটি (মোটা) সুয়ো হয়</t>
  </si>
  <si>
    <t>দুই স্ত্রী থাকলে যে স্বামী-সোহাগ পায় না সে অভাগিনী; অপরজন সুখী</t>
  </si>
  <si>
    <t>The unlucky co-wife is neglected; the fat and lazy one is the favourite.</t>
  </si>
  <si>
    <t>সতিন/নারী</t>
  </si>
  <si>
    <t>লিঙ্গ/পারিবারিক</t>
  </si>
  <si>
    <t>অভাগিনীর দুটি পুত, একটি দানা একটি ভূত</t>
  </si>
  <si>
    <t>অভাগিনীর দুই ছেলে; একটি ভিখারি, একটি পাগল</t>
  </si>
  <si>
    <t>সন্তান থাকলেও তার সবাই অপদার্থ</t>
  </si>
  <si>
    <t>The unlucky woman has two sons: one a beggar, one a ghost.</t>
  </si>
  <si>
    <t>অভাব যখন দুয়ারে এসে দাঁড়ায় ভালবাসা তখন জানলা দিয়ে পালায়- সেক্সপিয়র</t>
  </si>
  <si>
    <t>অভাব দুয়ারে এলে ভালোবাসা জানলা দিয়ে পালায়</t>
  </si>
  <si>
    <t>অর্থাভাবে প্রেম ভালোবাসা টিকে না</t>
  </si>
  <si>
    <t>When poverty knocks at the door, love flies out the window.</t>
  </si>
  <si>
    <t>দরিদ্র/প্রেমিক</t>
  </si>
  <si>
    <t>প্রেম/অর্থ</t>
  </si>
  <si>
    <t>অভাবে স্বভাব নষ্ট হয়</t>
  </si>
  <si>
    <t>টাকার অভাবে ভালো মানুষও মন্দ হয়ে যায়</t>
  </si>
  <si>
    <t>Poverty spoils character.</t>
  </si>
  <si>
    <t>অভাব/চরিত্র</t>
  </si>
  <si>
    <t>অভাবের সময়ের বন্ধুই প্রকৃত বন্ধু</t>
  </si>
  <si>
    <t>অভাবের সময়ের বন্ধুই প্রকৃত বন্ধু</t>
  </si>
  <si>
    <t>বিপদে যে পাশে থাকে, সেই প্রকৃত বন্ধু</t>
  </si>
  <si>
    <t>অভাবে স্বভাব নষ্ট মুখ নষ্ট বরণে; ঝরায় ক্ষেত নষ্ট স্ত্রী নষ্ট মারণে।</t>
  </si>
  <si>
    <t>অভাবে স্বভাব নষ্ট হয়, ব্রণে মুখ নষ্ট হয়, ঝড়ে ক্ষেত নষ্ট হয়, মারধোরে স্ত্রী নষ্ট হয়</t>
  </si>
  <si>
    <t>অভাব চরিত্র নষ্ট করে, যেমন ব্রণ মুখ, ঝড় চাষ, আর মার স্ত্রী নষ্ট করে।</t>
  </si>
  <si>
    <t>Poverty spoils character, acne spoils face, storm spoils field, beating spoils wife.</t>
  </si>
  <si>
    <t>লিঙ্গ/অভাব</t>
  </si>
  <si>
    <t>অভিজ্ঞতা হল চিরুনীর মত, সব চুল পড়ে গেলে প্রকৃতি যা আমাদের দেয়</t>
  </si>
  <si>
    <t>অভিজ্ঞতা চিরুনির মতো; সব চুল পড়ে গেলে প্রকৃতি দেয়</t>
  </si>
  <si>
    <t>অভিজ্ঞতা অর্জিত হয় জীবনযন্ত্রণায় পোড় খেয়ে; যখন সবকিছু হারিয়ে যায় তখন বোঝা যায়</t>
  </si>
  <si>
    <t>Experience is a comb that nature gives us when we've lost all our hair.</t>
  </si>
  <si>
    <t>অভিজ্ঞতায় মানুষ বিজ্ঞ হয়</t>
  </si>
  <si>
    <t>অভিজ্ঞতায় মানুষ বিজ্ঞ হয়</t>
  </si>
  <si>
    <t>অভিজ্ঞতা থেকে মানুষ বিচক্ষণতা অর্জন করে</t>
  </si>
  <si>
    <t>Experience makes a man wise.</t>
  </si>
  <si>
    <t>অভিমানে বলির পাতালে হল ঠাঁই</t>
  </si>
  <si>
    <t>অভিমানে বলি পাতালে স্থান পেয়েছিল</t>
  </si>
  <si>
    <t>বড় দাতা অভিমানে পতন ডেকে আনে</t>
  </si>
  <si>
    <t>Due to his pride, Bali was sent to the netherworld.</t>
  </si>
  <si>
    <t>অভেদাত্মা হরিহর</t>
  </si>
  <si>
    <t>হরি আর হর অভিন্ন আত্মা</t>
  </si>
  <si>
    <t>পরস্পর একান্ত আপন; যেমন হরি আর হর</t>
  </si>
  <si>
    <t>Inseparable like Hari and Hara.</t>
  </si>
  <si>
    <t>অভ্যাস অভ্যাস সারায়</t>
  </si>
  <si>
    <t>এক অভ্যাস অন্য অভ্যাস দিয়ে সারানো যায়</t>
  </si>
  <si>
    <t>খারাপ অভ্যাস দূর করতে ভালো অভ্যাস গড়তে হয়</t>
  </si>
  <si>
    <t>One habit cures another.</t>
  </si>
  <si>
    <t>অভ্যাস দড়ির মত আমরা প্রতিদিন দড়ি পাকাই এবং শেষপর্যন্ত সেটা ছিঁড়তে পারি না</t>
  </si>
  <si>
    <t>অভ্যাস দড়ির মতো; প্রতিদিন পাকাই, শেষে ছিঁড়তে পারি না</t>
  </si>
  <si>
    <t>অভ্যাস দৃঢ় হয় এবং ছাড়া কঠিন</t>
  </si>
  <si>
    <t>Habit is like a rope; we twist it daily and finally can't break it.</t>
  </si>
  <si>
    <t>অভ্যাস দোষ না ছাড়ে, চোরে শূন্য ভিটায় মাটি খোঁড়ে</t>
  </si>
  <si>
    <t>অভ্যাসের দোষ ছাড়ে না; চোর ফাঁকা ভিটেতেও মাটি খোঁড়ে</t>
  </si>
  <si>
    <t>স্বভাব বা অভ্যাস সহজে যায় না</t>
  </si>
  <si>
    <t>A habit never leaves; a thief digs even in an empty homestead.</t>
  </si>
  <si>
    <t>চোর/অভ্যাসগ্রস্ত</t>
  </si>
  <si>
    <t>অভ্যাস দ্বিতীয় প্রকৃতি</t>
  </si>
  <si>
    <t>অভ্যাস দ্বিতীয় প্রকৃতি</t>
  </si>
  <si>
    <t>অভ্যাস একসময় স্বভাব হয়ে যায়</t>
  </si>
  <si>
    <t>Habit is a second nature.</t>
  </si>
  <si>
    <t>অভ্যাস প্রথমে মাকড়সার জাল শেষে মোটা রশি</t>
  </si>
  <si>
    <t>অভ্যাস প্রথমে মাকড়সার জাল, শেষে মোটা রশি</t>
  </si>
  <si>
    <t>অভ্যাস প্রথমে দুর্বল, পরে অটুট হয়</t>
  </si>
  <si>
    <t>Habit is first a spider's web, then a thick rope.</t>
  </si>
  <si>
    <t>অভ্যাসহীন বিদ্যা বিষতুল্য</t>
  </si>
  <si>
    <t>অনুশীলনহীন বিদ্যা বিষের সমান</t>
  </si>
  <si>
    <t>অধীত বিদ্যা চর্চা না করলে তা ক্ষতিকর</t>
  </si>
  <si>
    <t>Knowledge not practiced is like poison.</t>
  </si>
  <si>
    <t>অনুশীলনহীন</t>
  </si>
  <si>
    <t>অভ্যাসে সয় অনভ্যাসে নয়</t>
  </si>
  <si>
    <t>অভ্যাসে সহ্য হয়, অনভ্যাসে নয়</t>
  </si>
  <si>
    <t>নিয়মিত চর্চায় কঠিনও সহজ হয়</t>
  </si>
  <si>
    <t>Practice makes things bearable; without practice, it's hard.</t>
  </si>
  <si>
    <t>অভ্যুথানাং হি পতনায়</t>
  </si>
  <si>
    <t>উত্থানের পর পতন হবেই</t>
  </si>
  <si>
    <t>যে বাড়ে, তার পতনও হয়</t>
  </si>
  <si>
    <t>Every rise leads to a fall.</t>
  </si>
  <si>
    <t>উন্নতিশীল</t>
  </si>
  <si>
    <t>অমানিশায় অন্ধকার ঘরে অনুপস্থিত অসিত অশ্বডিম্বের অন্বেষণ</t>
  </si>
  <si>
    <t>অমানিশায় অন্ধকার ঘরে অনুপস্থিত কালো ঘোড়ার ডিম খোঁজা</t>
  </si>
  <si>
    <t>নিস্ফল প্রচেষ্টা; যা হবার নয়</t>
  </si>
  <si>
    <t>Searching in the dark of a new-moon night for a missing black horse's egg.</t>
  </si>
  <si>
    <t>হাস্যরস/অর্থহীনতা</t>
  </si>
  <si>
    <t>অমাবস্যায় আর পূর্ণিমায় যেবা ধরে হাল তার দুঃখ থাকে চিরকাল; তার বলদের হয় বাত, ঘরেতে না থাকে ভাত- খনা</t>
  </si>
  <si>
    <t>অমাবস্যা ও পূর্ণিমায় যে হাল ধরে, তার চিরকাল দুঃখ থাকে; তার বলদে বাত হয়, ঘরে ভাত থাকে না</t>
  </si>
  <si>
    <t>অশুভ দিনে কাজ করলে ক্ষতি</t>
  </si>
  <si>
    <t>Who ploughs on new-moon and full-moon days suffers forever; his ox gets rheumatism, and there's no rice at home.</t>
  </si>
  <si>
    <t>কৃষি/বিশ্বাস</t>
  </si>
  <si>
    <t>অমাবস্যার চাঁদ</t>
  </si>
  <si>
    <t>অসম্ভব ঘটনা; যা দেখা যায় না</t>
  </si>
  <si>
    <t>The moon of a new-moon night—an impossibility.</t>
  </si>
  <si>
    <t>অমাবস্যার প্রদীপ টিপটিপ করে১</t>
  </si>
  <si>
    <t>অমাবস্যার প্রদীপ টিপটিপ করে</t>
  </si>
  <si>
    <t>ঘোর অন্ধকারে প্রদীপের আলো যথেষ্ট নয়</t>
  </si>
  <si>
    <t>A lamp on a new-moon night flickers dimly.</t>
  </si>
  <si>
    <t>অসহায়তা</t>
  </si>
  <si>
    <t>অমাবস্যার প্রদীপ টিপটিপ করে২</t>
  </si>
  <si>
    <t>ঘোর বিপদে মৌখিক সান্ত্বনা অপ্রতুল</t>
  </si>
  <si>
    <t>A lamp on a new-moon night flickers—insufficient comfort in deep crisis.</t>
  </si>
  <si>
    <t>অমৃত ও বিষ উভয়েরই আকর জিভ</t>
  </si>
  <si>
    <t>জিভ থেকেই অমৃত ও বিষ উভয়ের উৎপত্তি</t>
  </si>
  <si>
    <t>ভালো-মন্দ কথা উভয়ই জিভ থেকে বেরোয়</t>
  </si>
  <si>
    <t>The tongue is the source of both nectar and poison.</t>
  </si>
  <si>
    <t>অমৃত না জানি কি পদার্থ খেয়ে দেখি না জল</t>
  </si>
  <si>
    <t>অমৃত কেমন পদার্থ জানি না, জল খেয়ে দেখি না</t>
  </si>
  <si>
    <t>যা না-খাওয়া জিনিস তার গুণাগুণ বোঝা যায় না; ব্যবহারে ধরা পড়ে</t>
  </si>
  <si>
    <t>I don't know what nectar is, I haven't even tasted water—without experience, one can't judge.</t>
  </si>
  <si>
    <t>অমৃতং বালভাষিতম</t>
  </si>
  <si>
    <t>শিশুর কথা অমৃততুল্য</t>
  </si>
  <si>
    <t>শিশুর বোল মধুর ও অপাপবিদ্ধ</t>
  </si>
  <si>
    <t>A child's words are nectar.</t>
  </si>
  <si>
    <t>শিশু/কথন</t>
  </si>
  <si>
    <t>অমৃতং সুভাষিতম</t>
  </si>
  <si>
    <t>সুবচন অমৃততুল্য</t>
  </si>
  <si>
    <t>ভালো কথা অমৃতের মতো</t>
  </si>
  <si>
    <t>Good words are nectar.</t>
  </si>
  <si>
    <t>অমোঘাঃ পশ্চিমে মেঘাঃ</t>
  </si>
  <si>
    <t>পশ্চিম দিকের মেঘ ফলদায়ী (বৃষ্টি হয়)</t>
  </si>
  <si>
    <t>পশ্চিমি ঝঞ্ঝায় বৃষ্টি নিশ্চিত</t>
  </si>
  <si>
    <t>Western clouds are infallible (they bring rain).</t>
  </si>
  <si>
    <t>অম্বল, কম্বল, ডম্বল তিন শীতের সম্বল</t>
  </si>
  <si>
    <t>টক, কম্বল, ব্যায়াম—শীতের এই তিন সম্বল</t>
  </si>
  <si>
    <t>শীত থেকে বাঁচতে এই তিন জিনিস কার্যকরী</t>
  </si>
  <si>
    <t>Sour food, blanket, and exercise are the three supports against winter.</t>
  </si>
  <si>
    <t>অযথা বিপদের মধ্যে যাওয়া যুক্তিযুক্ত নয়</t>
  </si>
  <si>
    <t>অহেতুক বিপদে যাওয়া ঠিক নয়</t>
  </si>
  <si>
    <t>বিপদ এড়িয়ে চলাই বুদ্ধিমানের কাজ</t>
  </si>
  <si>
    <t>It is not wise to go into danger unnecessarily.</t>
  </si>
  <si>
    <t>অরগুণ নাই বরগুণ আছে</t>
  </si>
  <si>
    <t>অন্তর্গুণ নেই, বাইরের গুণ আছে; উপকারী গুণ নেই, অনিষ্টকারী গুণ আছে</t>
  </si>
  <si>
    <t>কোনো ভালো গুণ নেই; শুধু খারাপ গুণ আছে</t>
  </si>
  <si>
    <t>No inner virtue, only outward flaw; or no good quality, only bad ones.</t>
  </si>
  <si>
    <t>দুষ্ট/কুপ্রবৃত্তি</t>
  </si>
  <si>
    <t>অরণ্যে রোদন করা</t>
  </si>
  <si>
    <t>অরণ্যে কাঁদা</t>
  </si>
  <si>
    <t>নিস্ফল প্রার্থনা; যেখানে কেউ শোনে না</t>
  </si>
  <si>
    <t>Weeping in the wilderness—a futile cry.</t>
  </si>
  <si>
    <t>অরণ্যে শৃগালঃ ধূর্তং পক্ষী ধূর্তং বায়সাঃ। নরানাং নাপিত ধূর্তং দেব ধূর্তং নারদা। (চাণক্য)</t>
  </si>
  <si>
    <t>বনে শিয়াল ধূর্ত, পাখিতে কাক ধূর্ত, মানুষের মধ্যে নাপিত ধূর্ত, দেবতায় নারদ ধূর্ত</t>
  </si>
  <si>
    <t>প্রত্যেক শ্রেণিতে কেউ না কেউ ধূর্ত হয়</t>
  </si>
  <si>
    <t>In forest, the jackal is wily; among birds, the crow; among men, the barber; among gods, Narada.</t>
  </si>
  <si>
    <t>ধূর্ত ব্যক্তি</t>
  </si>
  <si>
    <t>ধূর্ততা</t>
  </si>
  <si>
    <t>অরসিকেষু রসস্য নিবেদনম</t>
  </si>
  <si>
    <t>রসহীনের কাছে রসের নিবেদন</t>
  </si>
  <si>
    <t>রসহীনের কাছে শিল্প-সাহিত্যের কথা বলা বৃথা</t>
  </si>
  <si>
    <t>Explaining art to the tasteless is futile.</t>
  </si>
  <si>
    <t>রসহীন ব্যক্তি</t>
  </si>
  <si>
    <t>রস</t>
  </si>
  <si>
    <t>অরসিকেষু রসস্য নিবেদনম শিরসি মা লিখ মা লিখ মা লিখ</t>
  </si>
  <si>
    <t>রসহীনের কাছে রস নিবেদন—হে বিধাতা, আমার কপালে লিখো না, লিখো না, লিখো না</t>
  </si>
  <si>
    <t>কবি মর্মাহত: অরসিকের কাছে রস বোঝানোই সবচেয়ে বড় যন্ত্রণা</t>
  </si>
  <si>
    <t>Do not, O fate, write on my forehead the pain of offering art to the tasteless.</t>
  </si>
  <si>
    <t>কবি/সাহিত্যিক</t>
  </si>
  <si>
    <t>শিল্প/দুঃখ</t>
  </si>
  <si>
    <t>অরাঁধুনির হাতে পড়ে কই/রুই মাছ কাঁদে; না জানি রাঁধুনি আমার কেমন করে রাঁধে</t>
  </si>
  <si>
    <t>অপটু রাঁধুনির হাতে পড়ে কৈ/রুই মাছ কাঁদে; কী করে রাঁধে জানি না</t>
  </si>
  <si>
    <t>অযোগ্যের হাতে পড়ে ভালো জিনিস নষ্ট হয়</t>
  </si>
  <si>
    <t>A rohu fish weeps in the hands of a bad cook; who knows how she will cook it.</t>
  </si>
  <si>
    <t>রাঁধুনি (নারী)</t>
  </si>
  <si>
    <t>লিঙ্গ/রন্ধন</t>
  </si>
  <si>
    <t>অরুচির অম্বল, শীতের কম্বল; বর্ষার ছাতি, ভটচায্যির পাঁতি (পুথি)</t>
  </si>
  <si>
    <t>অরুচিতে টক ভালো, শীতে কম্বল প্রিয়; বর্ষায় ছাতা জরুরি, পণ্ডিতের কাছে পুঁথি অপরিহার্য</t>
  </si>
  <si>
    <t>যার যে অবস্থা, তার জন্য সেটাই উপযোগী</t>
  </si>
  <si>
    <t>Sour for indigestion, blanket for winter; umbrella for rain, manuscript for a scholar—each has its use.</t>
  </si>
  <si>
    <t>প্রয়োজনীয়তা</t>
  </si>
  <si>
    <t>অর্থং অনর্থং ভাবয় নিত্যং</t>
  </si>
  <si>
    <t>অর্থই অনর্থের মূল, সব সময় ভাববে</t>
  </si>
  <si>
    <t>টাকাই সব অনর্থের কারণ</t>
  </si>
  <si>
    <t>Always consider that wealth is the root of all evil.</t>
  </si>
  <si>
    <t>অর্থলোলুপ</t>
  </si>
  <si>
    <t>অর্থ অর্থ আনে/টানে</t>
  </si>
  <si>
    <t>অর্থ টেনে আরও অর্থ আনে</t>
  </si>
  <si>
    <t>টাকায় টাকা আসে; ধন বাড়ে</t>
  </si>
  <si>
    <t>Money attracts money.</t>
  </si>
  <si>
    <t>অর্থ তোমার নয় আমার নয়, অর্থ প্রয়োজনের</t>
  </si>
  <si>
    <t>অর্থ তোমার নয়, আমার নয়; অর্থ প্রয়োজনের</t>
  </si>
  <si>
    <t>প্রয়োজনে অর্থ ব্যয় না হলে তা মূল্যহীন</t>
  </si>
  <si>
    <t>Money is neither yours nor mine; it belongs to need.</t>
  </si>
  <si>
    <t>অর্থ থাকলে অভাবের অভাব হয়</t>
  </si>
  <si>
    <t>অর্থ থাকলে অভাবের অভাব হয়</t>
  </si>
  <si>
    <t>ধনী অভাব বোঝে না; সম্পদশালী অভাবের কষ্ট বোঝে না</t>
  </si>
  <si>
    <t>With wealth, there is no sense of want.</t>
  </si>
  <si>
    <t>অর্থ/চেতনা</t>
  </si>
  <si>
    <t>অর্থ নষ্ট কিছুই নষ্ট নয়; স্বাস্থা নষ্ট সামান্য নষ্ট; চরিত্র নষ্ট তো সব নষ্ট</t>
  </si>
  <si>
    <t>অর্থ হারানো কিছু নয়, স্বাস্থ্য হারানো সামান্য, চরিত্র হারালে সব হারানো</t>
  </si>
  <si>
    <t>চরিত্রই সবচেয়ে বড় সম্পদ; তা নষ্ট হলে সব শেষ</t>
  </si>
  <si>
    <t>Loss of money is nothing; loss of health is something; loss of character is everything.</t>
  </si>
  <si>
    <t>অর্থ নিজেই শয়তানকে কিনতে পারে</t>
  </si>
  <si>
    <t>অর্থ দিয়ে শয়তানকেও কেনা যায়</t>
  </si>
  <si>
    <t>অর্থের ক্ষমতা অসীম</t>
  </si>
  <si>
    <t>Money can even buy the devil.</t>
  </si>
  <si>
    <t>অর্থবান</t>
  </si>
  <si>
    <t>অর্থবিনা জীবন বৃথা, অর্থসহ জীবন সুখের নয়</t>
  </si>
  <si>
    <t>অর্থ ছাড়া জীবন বৃথা, অর্থ থাকলেও জীবন সুখের নয়</t>
  </si>
  <si>
    <t>টাকা না থাকলে জীবন ব্যর্থ, আবার টাকা থাকলেও সুখ হয় না</t>
  </si>
  <si>
    <t>Life without money is vain; life with money is not happy.</t>
  </si>
  <si>
    <t>অর্থ/জীবন</t>
  </si>
  <si>
    <t>অর্থ যার মামলা/শক্তি তার</t>
  </si>
  <si>
    <t>যার অর্থ আছে, মামলা/শক্তি তারই</t>
  </si>
  <si>
    <t>টাকা থাকলে সব জায়গায় প্রভাব খাটে; অর্থই ক্ষমতার মূল</t>
  </si>
  <si>
    <t>Money makes the mare go; he who has money has power.</t>
  </si>
  <si>
    <t>অর্থ/ক্ষমতা</t>
  </si>
  <si>
    <t>টাকার জন্যই যত গোলমাল, বিপত্তি ও দুঃখ</t>
  </si>
  <si>
    <t>Money is the root of all evil.</t>
  </si>
  <si>
    <t>অর্থতুরাণাং ন গুরুঃ ন বন্ধুঃ</t>
  </si>
  <si>
    <t>অর্থলোভীর কাছে গুরু বা বন্ধু কেউ নেই</t>
  </si>
  <si>
    <t>টাকার লোভে সব সম্পর্ক বিসর্জন দেয়</t>
  </si>
  <si>
    <t>The greedy have neither guru nor friend.</t>
  </si>
  <si>
    <t>লোভ/সম্পর্ক</t>
  </si>
  <si>
    <t>অর্থনাশং মনস্তাপং গৃহে দুশ্চরিতানি চ, বঞ্চনঞ্চাপমানঞ্চ মতিমান্ ন প্রকাশয়েৎ</t>
  </si>
  <si>
    <t>ধনক্ষয়, মনের কষ্ট, ঘরের কুকীর্তি, বঞ্চনা ও অপমান—বিজ্ঞ ব্যক্তি এগুলো প্রকাশ করে না</t>
  </si>
  <si>
    <t>গোপনীয় দুঃখ ও অপমান জ্ঞানী লোক কাউকে বলে না</t>
  </si>
  <si>
    <t>A wise man does not disclose financial loss, mental pain, family scandal, betrayal, or insult.</t>
  </si>
  <si>
    <t>জ্ঞানী</t>
  </si>
  <si>
    <t>বিচক্ষণতা</t>
  </si>
  <si>
    <t>অর্থশালীর কাছে আইন আকাশের মত, অর্থহীনের কাছে আইন মাকড়সার জালের মত</t>
  </si>
  <si>
    <t>ধনীর কাছে আইন আকাশের মতো দূরের জিনিস; গরিবের কাছে আইন মাকড়সার জালের মতো, তাকে জড়িয়ে ফেলে</t>
  </si>
  <si>
    <t>আইন ধনীকে রক্ষা করে, গরিবকে ফাঁসায়</t>
  </si>
  <si>
    <t>To the rich, law is like the sky; to the poor, law is a spider's web.</t>
  </si>
  <si>
    <t>আইন/অর্থ</t>
  </si>
  <si>
    <t>অর্থস্য পুরুষো দাসঃ, দাসস্ত্বর্থো ন কস্যচিৎ</t>
  </si>
  <si>
    <t>পুরুষ অর্থের দাস, অর্থ কারো দাস নয়</t>
  </si>
  <si>
    <t>মানুষই অর্থের গোলাম, অর্থ কখনো কারো গোলাম নয়</t>
  </si>
  <si>
    <t>Man is the slave of money; money is no one's slave.</t>
  </si>
  <si>
    <t>অর্থ/চরিত্র</t>
  </si>
  <si>
    <t>অর্থে যে সমস্যার সমাধান হয় সেটা সমস্যা নয়, পণ্যমুল্য</t>
  </si>
  <si>
    <t>অর্থ দিয়ে সমাধান হয়, সেটা সমস্যা নয়; সেটা কেনাকাটার বিষয়</t>
  </si>
  <si>
    <t>যে সমস্যা টাকা দিলে মেটে, তা প্রকৃত সমস্যা নয়</t>
  </si>
  <si>
    <t>A problem solved by money is not a problem; it's a purchase.</t>
  </si>
  <si>
    <t>অর্থেন সর্বে বশাঃ</t>
  </si>
  <si>
    <t>অর্থ দিয়ে সবাইকে বশ করা যায়</t>
  </si>
  <si>
    <t>টাকা থাকলে সবাই বশীভূত হয়</t>
  </si>
  <si>
    <t>All can be subdued by money.</t>
  </si>
  <si>
    <t>অর্থের অপ্রতুলতার জন্য সবাই অভিযোগ করে, বুদ্ধির অপ্রতুলতার জন্য কেউ অভিযোগ করে না</t>
  </si>
  <si>
    <t>টাকার অভাবে সবাই হাহাকার করে, কিন্তু বুদ্ধির অভাবে কেউ কিছু বলে না</t>
  </si>
  <si>
    <t>নিজের বুদ্ধির ঘাটতি কেউ স্বীকার করতে চায় না</t>
  </si>
  <si>
    <t>Everyone complains of lack of money, but no one complains of lack of intelligence.</t>
  </si>
  <si>
    <t>আত্মসমালোচনা</t>
  </si>
  <si>
    <t>অর্ধসত্য মিথ্যা অপেক্ষা ভয়ঙ্কর</t>
  </si>
  <si>
    <t>অর্ধসত্য পুরো মিথ্যার চেয়েও ভয়াবহ</t>
  </si>
  <si>
    <t>অর্ধসত্য বিভ্রান্তিকর ও ক্ষতিকর</t>
  </si>
  <si>
    <t>Half-truth is more dangerous than a lie.</t>
  </si>
  <si>
    <t>অর্ধেক বললে গাধাও বোঝে, সব বললে কে না বোঝে?</t>
  </si>
  <si>
    <t>অর্ধেক বললে গাধাও বোঝে; সব বললে কে না বোঝে?</t>
  </si>
  <si>
    <t>অল্প ইঙ্গিতেই বুদ্ধিমান বুঝে যায়</t>
  </si>
  <si>
    <t>Even a donkey understands half-spoken words; who wouldn't understand everything?</t>
  </si>
  <si>
    <t>অর্ধো ঘটো ঘোষোমুপৈতি নুনম</t>
  </si>
  <si>
    <t>অর্ধেক ঘটিই শব্দ করে</t>
  </si>
  <si>
    <t>অল্পজ্ঞানী লোকই বেশি কথা বলে</t>
  </si>
  <si>
    <t>A half-filled pot makes noise.</t>
  </si>
  <si>
    <t>অলকার তিলক সার</t>
  </si>
  <si>
    <t>অলকা-তিলকা করে জীবন গেল, কোনো কাজ হল না</t>
  </si>
  <si>
    <t>অহেতুক সাজগোজ বা ভাবনা করতে গিয়ে মূল উদ্দেশ্য ব্যর্থ হয়</t>
  </si>
  <si>
    <t>Adorning the forehead alone brought nothing; mere show.</t>
  </si>
  <si>
    <t>আত্মসাজপ্রিয়</t>
  </si>
  <si>
    <t>অর্থহীনতা</t>
  </si>
  <si>
    <t>অলক্ষ্মীর দ্বিগুণ ক্ষুধা</t>
  </si>
  <si>
    <t>অলক্ষ্মীর একটাই কাজ—শুধু খাওয়া; দারিদ্র্যের খিদে বেশি</t>
  </si>
  <si>
    <t>Poverty doubles hunger.</t>
  </si>
  <si>
    <t>অলক্ষ্মীর নিদ্রা বেশি কাঙালের ক্ষুধা বেশি</t>
  </si>
  <si>
    <t>অলক্ষ্মীর ঘুম বেশি, কাঙালের ক্ষুধা বেশি</t>
  </si>
  <si>
    <t>অলক্ষ্মী (দারিদ্র্য) মানুষকে অলস করে, ভিক্ষুকের ক্ষুধা বাড়ে</t>
  </si>
  <si>
    <t>Poverty sleeps more; the beggar hungers more.</t>
  </si>
  <si>
    <t>দরিদ্র/ভিক্ষুক</t>
  </si>
  <si>
    <t>অলভ্যের বাণিজ্যে কচকচিই সার</t>
  </si>
  <si>
    <t>যে জিনিস পাওয়া যায় না, তার জন্য বাণিজ্যে সারাক্ষণ ঝগড়া লেগেই থাকে</t>
  </si>
  <si>
    <t>দুর্লভ বস্তুর জন্য বিবাদ হয়</t>
  </si>
  <si>
    <t>In trade of the unobtainable, quarrels are the only outcome.</t>
  </si>
  <si>
    <t>অলমতিবিস্তরেণ</t>
  </si>
  <si>
    <t>আর বেশি বলা/লেখার প্রয়োজন নেই</t>
  </si>
  <si>
    <t>বাহুল্যে প্রয়োজন নেই, এখানেই শেষ</t>
  </si>
  <si>
    <t>Enough of this exaggeration.</t>
  </si>
  <si>
    <t>বক্তৃতা/সাহিত্য</t>
  </si>
  <si>
    <t>অলমিতিবিস্তরেণ</t>
  </si>
  <si>
    <t>এবার শেষ করছি; আর বাড়াব না</t>
  </si>
  <si>
    <t>বক্তব্য শেষ করছি</t>
  </si>
  <si>
    <t>Thus ends the discourse.</t>
  </si>
  <si>
    <t>বক্তৃতা</t>
  </si>
  <si>
    <t>অলস ভেড়া ভাবে তার পশম বড় ভারী</t>
  </si>
  <si>
    <t>অলস ভেড়ার কাছে নিজের পশমকেও বোঝা মনে হয়</t>
  </si>
  <si>
    <t>অলস লোকের একটু কাজও পাহাড় মনে হয়</t>
  </si>
  <si>
    <t>A lazy sheep thinks its wool is heavy.</t>
  </si>
  <si>
    <t>অলস মস্তিষ্ক শয়তানের বাসা</t>
  </si>
  <si>
    <t>অলস মস্তিষ্কে শয়তান বাসা বাঁধে</t>
  </si>
  <si>
    <t>কাজ না থাকলে মনে কুমন্ত্রণা আসে; বাজে চিন্তা ঘুরপাক খায়</t>
  </si>
  <si>
    <t>An idle brain is the devil's workshop.</t>
  </si>
  <si>
    <t>অলসতা দারিদ্র ডেকে আনে</t>
  </si>
  <si>
    <t>অলসতা দারিদ্র্য ডেকে আনে</t>
  </si>
  <si>
    <t>কাজ না করলে অন্ন জোটে না; অলসতাই দারিদ্রের কারণ</t>
  </si>
  <si>
    <t>Idleness brings poverty.</t>
  </si>
  <si>
    <t>অলসতা মনে জং ধরায়</t>
  </si>
  <si>
    <t>অলসতায় মনে মরিচা পড়ে</t>
  </si>
  <si>
    <t>অলসতা চিন্তাশক্তি নষ্ট করে</t>
  </si>
  <si>
    <t>Idleness rusts the mind.</t>
  </si>
  <si>
    <t>অলসস্য কুতো বিদ্যা, অবিদ্যাস্য কুতো ধনম্‌, অধনস্য কুতো মিত্রম্‌, অমিত্রস্য কুতো সুখম্‌</t>
  </si>
  <si>
    <t>অলসের বিদ্যা নেই, অশিক্ষিতের ধন নেই, গরিবের বন্ধু নেই, বন্ধুহীনের সুখ নেই</t>
  </si>
  <si>
    <t>একের পর এক অভাব জন্মায়; শৃঙ্খল চক্র</t>
  </si>
  <si>
    <t>The lazy have no knowledge, the ignorant no wealth, the poor no friends, the friendless no happiness.</t>
  </si>
  <si>
    <t>অলস/দরিদ্র</t>
  </si>
  <si>
    <t>অলসতা/অভাব</t>
  </si>
  <si>
    <t>অলসব্যক্তি বাকপটুতায় নিরলস</t>
  </si>
  <si>
    <t>অলস ব্যক্তি কথা বলায় পরিশ্রমী</t>
  </si>
  <si>
    <t>অলস কাজ ফাঁকি দিতে বেশি কথা বলে</t>
  </si>
  <si>
    <t>A lazy person is tireless in talking.</t>
  </si>
  <si>
    <t>অলসের অন্ন জোটে না</t>
  </si>
  <si>
    <t>অলসকে কেউ খেতে দেয় না</t>
  </si>
  <si>
    <t>A lazy man gets no food.</t>
  </si>
  <si>
    <t>অলসের অলব্ধ-লাভ হয় না</t>
  </si>
  <si>
    <t>অলসের অপ্রাপ্ত বস্তু লাভ হয় না</t>
  </si>
  <si>
    <t>যে চেষ্টা করে না, সে কিছুই পায় না</t>
  </si>
  <si>
    <t>The lazy never gain the unattained.</t>
  </si>
  <si>
    <t>অল্প আগুনে গা গরম হয়; বেশি আগুনে ঘর পোড়ে</t>
  </si>
  <si>
    <t>অল্প আগুনে শরীর গরম হয়; বেশি আগুনে ঘর পুড়ে</t>
  </si>
  <si>
    <t>পরিমিতি ভালো; বাড়াবাড়ি ক্ষতিকর</t>
  </si>
  <si>
    <t>A small fire warms the body; a big fire burns the house.</t>
  </si>
  <si>
    <t>অল্পকথাতেই জ্ঞানীরা বোঝে</t>
  </si>
  <si>
    <t>অল্প কথাতেই জ্ঞানীরা বুঝে নেয়</t>
  </si>
  <si>
    <t>জ্ঞানী সারসংক্ষেপ পছন্দ করে</t>
  </si>
  <si>
    <t>Wise men understand with few words.</t>
  </si>
  <si>
    <t>অল্প খেলে বেশি খাবে, বেশি খেলে অল্প খাবে</t>
  </si>
  <si>
    <t>অল্প খেলে দীর্ঘজীবী হয়ে বেশি খাওয়া যায়; বেশি খেলে অল্প দিনেই শেষ</t>
  </si>
  <si>
    <t>মিতাহারে আয়ু বাড়ে</t>
  </si>
  <si>
    <t>Eat little, you'll eat more (for longer); eat much, you'll eat less (for shorter).</t>
  </si>
  <si>
    <t>পেটুক</t>
  </si>
  <si>
    <t>অল্পগর্জনে অতিবৃষ্টি/ভারীবর্ষণ</t>
  </si>
  <si>
    <t>অল্প গর্জনে অতিবৃষ্টি বা ভারী বর্ষণ হয়</t>
  </si>
  <si>
    <t>কাজের লোক কম কথা বলে; বাজে লোক বেশি কথা বলে</t>
  </si>
  <si>
    <t>Little thunder brings heavy rain.</t>
  </si>
  <si>
    <t>কর্মী</t>
  </si>
  <si>
    <t>অল্পজলে সফরি ফরফরায়তে</t>
  </si>
  <si>
    <t>অল্প জলে পুঁটিমাছ ফরফর করে</t>
  </si>
  <si>
    <t>অল্পজ্ঞানীরা অহংকারে লাফায়</t>
  </si>
  <si>
    <t>In shallow water, the little fish flutters.</t>
  </si>
  <si>
    <t>অল্পজলে পুঁটিমাছ ফরফর করে; অগাধজলে কাৎলামাছ নিঃশব্দে সরে</t>
  </si>
  <si>
    <t>অল্পজলে পুঁটিমাছ ফরফর করে; গভীর জলে কাৎলামাছ চুপচাপ চলে</t>
  </si>
  <si>
    <t>জ্ঞানীরা নীরবে কাজ সারে, অল্পজ্ঞানীরা বেশি শোরগোল করে</t>
  </si>
  <si>
    <t>A small fish flutters in shallow water; a big catla moves silently in deep water.</t>
  </si>
  <si>
    <t>অল্পজ্ঞানী/জ্ঞানী</t>
  </si>
  <si>
    <t>অল্পজলের মাছ১</t>
  </si>
  <si>
    <t>অল্প জলের মাছ</t>
  </si>
  <si>
    <t>অসার বা চঞ্চল প্রকৃতির লোক</t>
  </si>
  <si>
    <t>A fish of shallow water—insubstantial person.</t>
  </si>
  <si>
    <t>অসার ব্যক্তি</t>
  </si>
  <si>
    <t>অল্পজলের মাছ২</t>
  </si>
  <si>
    <t>চঞ্চলপ্রকৃতির লোক</t>
  </si>
  <si>
    <t>A shallow-water fish—restless person.</t>
  </si>
  <si>
    <t>চঞ্চল ব্যক্তি</t>
  </si>
  <si>
    <t>অল্পবিদ্যা ভয়ঙ্করী</t>
  </si>
  <si>
    <t>অল্প বিদ্যা ভয়ংকরী</t>
  </si>
  <si>
    <t>সামান্য জ্ঞানের অহংকার খুব ভয়াবহ; অর্ধজ্ঞান বিপদ ডেকে আনে</t>
  </si>
  <si>
    <t>A little knowledge is a dangerous thing.</t>
  </si>
  <si>
    <t>অল্পশিক্ষিত</t>
  </si>
  <si>
    <t>অল্পবৃষ্টিতে কাদা বেশিবৃষ্টিতে সাদা১</t>
  </si>
  <si>
    <t>অল্প বৃষ্টিতে কাদা হয়; বেশি বৃষ্টিতে পরিষ্কার সাদা</t>
  </si>
  <si>
    <t>অল্পজ্ঞানীর চিন্তা ঘোলাটে; জ্ঞানীপুরুষের চিন্তা স্বচ্ছ</t>
  </si>
  <si>
    <t>Light rain makes mud; heavy rain washes it white.</t>
  </si>
  <si>
    <t>জ্ঞানী/অল্পজ্ঞানী</t>
  </si>
  <si>
    <t>অল্পবৃষ্টিতে কাদা বেশিবৃষ্টিতে সাদা২</t>
  </si>
  <si>
    <t>অল্প বৃষ্টিতে কাদা; বেশি বৃষ্টিতে সাদা</t>
  </si>
  <si>
    <t>অল্প কান্নায় শোক বাড়ে; টানা কান্নায় শোকের লাঘব হয়</t>
  </si>
  <si>
    <t>A little rain makes mud; a lot makes it clean.</t>
  </si>
  <si>
    <t>শোকগ্রস্ত</t>
  </si>
  <si>
    <t>অল্পশোকে কাতর অধিকশোকে পাথর</t>
  </si>
  <si>
    <t>অল্প শোকে মানুষ কাতর; বেশি শোকে পাথরের মত নিথর</t>
  </si>
  <si>
    <t>অল্প দুঃখে মানুষ কাঁদে; বড় দুঃখে নিথর হয়ে যায়</t>
  </si>
  <si>
    <t>Little grief makes one weep; great grief turns one to stone.</t>
  </si>
  <si>
    <t>অশক্তস্তস্করঃ সাধুঃ কুরূপা চ পতিব্রতা</t>
  </si>
  <si>
    <t>অক্ষম চোরই সাধু; কুরূপা নারীই পতিব্রতা</t>
  </si>
  <si>
    <t>দুর্বলতা বা অক্ষমতার জন্যই অনেক সময় সাধুতা আসে</t>
  </si>
  <si>
    <t>A powerless thief is saintly; an ugly woman is chaste.</t>
  </si>
  <si>
    <t>নারী (কুরূপা)</t>
  </si>
  <si>
    <t>লিঙ্গ/নৈতিকতা</t>
  </si>
  <si>
    <t>অশুভস্য কালহরনম</t>
  </si>
  <si>
    <t>অশুভ কাজে কালক্ষেপণ করাই ভালো</t>
  </si>
  <si>
    <t>খারাপ কাজে দেরি করাই বুদ্ধিমানের কাজ</t>
  </si>
  <si>
    <t>Delay in evil deeds is good.</t>
  </si>
  <si>
    <t>অশ্ন তে স হি কল্যাণং ব্যসনে যো ন মুহ্যতি</t>
  </si>
  <si>
    <t>যে বিপদে মুহ্যমান হয় না, সে কল্যাণ প্রাপ্ত হয়</t>
  </si>
  <si>
    <t>যে বিপদে ধৈর্য ধরে, তার মঙ্গল হয়</t>
  </si>
  <si>
    <t>He who does not get deluded in distress attains welfare.</t>
  </si>
  <si>
    <t>ধৈর্যশীল</t>
  </si>
  <si>
    <t>অশ্বডিম্ব</t>
  </si>
  <si>
    <t>ঘোড়ার ডিম</t>
  </si>
  <si>
    <t>অসম্ভব ব্যাপার; যা হয় না</t>
  </si>
  <si>
    <t>A horse's egg—an impossibility.</t>
  </si>
  <si>
    <t>অশ্বতরী (গাধী) গর্ভ ধরে আপন মরণে</t>
  </si>
  <si>
    <t>অশ্বতরী গর্ভবতী হয়ে নিজের মৃত্যু ডেকে আনে</t>
  </si>
  <si>
    <t>ইচ্ছা করে বিপজ্জনক কাজে অগ্রসর হলে সর্বনাশ হয়</t>
  </si>
  <si>
    <t>The she-mule conceives to its own death.</t>
  </si>
  <si>
    <t>নারী/অশ্বতরী</t>
  </si>
  <si>
    <t>লিঙ্গ/বিপদ</t>
  </si>
  <si>
    <t>অশ্বত্থামা হত ইতি গজ</t>
  </si>
  <si>
    <t>‘অশ্বত্থামা মারা গেছে’, শেষে ইতি গজ (হাতি)</t>
  </si>
  <si>
    <t>সত্যের আড়ালে মিথ্যা; সব কথা না বলে কিছু গোপন করা</t>
  </si>
  <si>
    <t>Ashwatthama is dead'—(adding) 'the elephant'—a half-truth.</t>
  </si>
  <si>
    <t>সত্য/ছলনা</t>
  </si>
  <si>
    <t>অশ্বত্থের ছায়াই ছায়া, মায়ের মায়াই মায়া</t>
  </si>
  <si>
    <t>অশ্বত্থের ছায়াই আসল ছায়া; মায়ের মায়াই আসল মায়া</t>
  </si>
  <si>
    <t>আসল জিনিসের কাছেই আসল অনুভূতি পাওয়া যায়</t>
  </si>
  <si>
    <t>The shade of the Ashvattha is true shade; a mother's love is true love.</t>
  </si>
  <si>
    <t>অসংভাব্যং ন বক্তব্যং প্রত্যক্ষমপি দৃশ্যতে</t>
  </si>
  <si>
    <t>অসম্ভব ঘটনা স্বচক্ষে দেখলেও বলা উচিৎ নয়</t>
  </si>
  <si>
    <t>অবিশ্বাস্য কথা বলতে নেই</t>
  </si>
  <si>
    <t>What is impossible should not be said, even if seen.</t>
  </si>
  <si>
    <t>অসৎ আনন্দের চেয়ে পবিত্র বেদনা অনেক ভালো</t>
  </si>
  <si>
    <t>অসৎ আনন্দের চেয়ে পবিত্র বেদনা অনেক ভালো</t>
  </si>
  <si>
    <t>পাপের সুখের চেয়ে দুঃখই ভালো</t>
  </si>
  <si>
    <t>Better is holy sorrow than sinful joy.</t>
  </si>
  <si>
    <t>অসৎ কাজের অসৎ পরিণতি হয়</t>
  </si>
  <si>
    <t>অসৎ কাজের ফল অসৎই হয়</t>
  </si>
  <si>
    <t>খারাপ কাজের ভালো ফল হয় না</t>
  </si>
  <si>
    <t>Bad deeds have bad outcomes.</t>
  </si>
  <si>
    <t>অসৎপথের আয় অসৎপথেই যায়</t>
  </si>
  <si>
    <t>অসৎ পথের উপার্জন অসৎ পথেই ব্যয় হয়</t>
  </si>
  <si>
    <t>পাপের টেকা পুণ্যে লাগে না</t>
  </si>
  <si>
    <t>Ill-gotten gains are spent in ill ways.</t>
  </si>
  <si>
    <t>দুর্নীতিবাজ</t>
  </si>
  <si>
    <t>অসৎ সঙ্গ থেকে নিঃসঙ্গতা ভাল</t>
  </si>
  <si>
    <t>অসৎ সঙ্গের চেয়ে একা থাকা ভালো</t>
  </si>
  <si>
    <t>দুর্জনের সংসর্গ থেকে দূরে থাকাই ভালো</t>
  </si>
  <si>
    <t>Better be alone than in bad company.</t>
  </si>
  <si>
    <t>দুর্জন</t>
  </si>
  <si>
    <t>অসৎ সঙ্গে সর্বনাশ; সৎসঙ্গে স্বর্গবাস</t>
  </si>
  <si>
    <t>দুর্জনের সংসর্গে ধ্বংস, সজ্জনের সংসর্গে স্বর্গসুখ।</t>
  </si>
  <si>
    <t>Bad company brings ruin; good company leads to heaven.</t>
  </si>
  <si>
    <t>দুর্জন/সজ্জন</t>
  </si>
  <si>
    <t>অসতী নারী, ফুটো হাঁড়ি ও ভগ্নপ্রায় বাড়ী পরিত্যজ্য</t>
  </si>
  <si>
    <t>অসতী নারী, ফুটো হাঁড়ি আর ভাঙা বাড়ি ত্যাগযোগ্য</t>
  </si>
  <si>
    <t>এই তিনটি বস্তু চিরকাল বিপদ ডেকে আনে; পরিত্যাজ্য।</t>
  </si>
  <si>
    <t>An unchaste woman, a leaky pot, and a dilapidated house should be abandoned.</t>
  </si>
  <si>
    <t>নারী (অসতী)</t>
  </si>
  <si>
    <t>অসতো মা সদ্গময় তমসো মা জ্যোতির্গময় মৃত্যোর্মা অমৃতং গময়</t>
  </si>
  <si>
    <t>আমাকে অসত্য থেকে সত্যে, অন্ধকার থেকে আলোকে, মৃত্যু থেকে অমৃতে নিয়ে চলো</t>
  </si>
  <si>
    <t>প্রার্থনা: অসত্য থেকে সত্যের পথে, অন্ধকার থেকে আলোর পথে, মৃত্যু থেকে অমৃতের পথে চালনা।</t>
  </si>
  <si>
    <t>Lead me from untruth to truth, from darkness to light, from death to immortality.</t>
  </si>
  <si>
    <t>প্রার্থনা</t>
  </si>
  <si>
    <t>অসত্য ও ছলনার মাধ্যমে লাভবান হওয়া থেকে সত্য ও সঠিক পথে থেকে ক্ষতিগ্রস্ত হওয়া ভাল</t>
  </si>
  <si>
    <t>অসত্য ও ছলনা দিয়ে লাভবান হওয়ার চেয়ে সত্য ও সঠিক পথে থেকে ক্ষতি স্বীকার করা ভাল</t>
  </si>
  <si>
    <t>অসৎ উপায়ে লাভবান হওয়ার চেয়ে ন্যায়পথে ক্ষতিগ্রস্ত হওয়া শ্রেয়।</t>
  </si>
  <si>
    <t>Better to lose by truth and righteousness than gain by falsehood and deceit.</t>
  </si>
  <si>
    <t>অসন্তুষ্টা দ্বিজা নষ্টা</t>
  </si>
  <si>
    <t>অসন্তুষ্ট ব্রাহ্মণ নষ্ট হয়</t>
  </si>
  <si>
    <t>অসন্তোষী ব্রাহ্মণের পতন অনিবার্য।</t>
  </si>
  <si>
    <t>A discontented Brahmin is ruined.</t>
  </si>
  <si>
    <t>বর্ণ</t>
  </si>
  <si>
    <t>অসময়ের দিনগুলি দীর্ঘতর হয়</t>
  </si>
  <si>
    <t>অসময়ের দিনগুলি বেশি দীর্ঘ</t>
  </si>
  <si>
    <t>দুঃসময়ের দিন কাটতে চায় না।</t>
  </si>
  <si>
    <t>Days of adversity feel longer.</t>
  </si>
  <si>
    <t>অসময়ের বন্ধুই প্রকৃত বন্ধু</t>
  </si>
  <si>
    <t>বিপদের সময় যে পাশে থাকে সেই প্রকৃত বন্ধু।</t>
  </si>
  <si>
    <t>অসময়ে সকলি সই, শোনরে দুঃখ তোরে কই</t>
  </si>
  <si>
    <t>অসময়ে সবই সয়, শোন দুঃখ তোকে বলি</t>
  </si>
  <si>
    <t>দুর্ভাগ্যের সব ফের সহ্য করে নিতে হয়; দুঃখকে বলছি।</t>
  </si>
  <si>
    <t>In hard times, everything is endured; listen, sorrow, I tell you.</t>
  </si>
  <si>
    <t>দুঃখী ব্যক্তি</t>
  </si>
  <si>
    <t>অসম্ভব কোন কাজ বলা সহজ করা কঠিন</t>
  </si>
  <si>
    <t>অসম্ভব কাজ বলা সহজ, করা কঠিন</t>
  </si>
  <si>
    <t>বিড়ালের গলায় ঘণ্টা বাঁধা বলা সহজ কিন্তু করা কঠিন।</t>
  </si>
  <si>
    <t>An impossible task is easier said than done.</t>
  </si>
  <si>
    <t>অসম্ভবের পিছনে ছোটো না</t>
  </si>
  <si>
    <t>অসম্ভবের পিছনে দৌড়িও না</t>
  </si>
  <si>
    <t>যা হয় না তার পেছনে বৃথা চেষ্টা করো না।</t>
  </si>
  <si>
    <t>Don't chase after the impossible.</t>
  </si>
  <si>
    <t>অসম্মানীয় ব্যক্তি অপরকে অসম্মান করে</t>
  </si>
  <si>
    <t>যার নিজের সম্মানবোধ নেই সে অন্যকে সম্মান দিতে জানে না।</t>
  </si>
  <si>
    <t>A dishonorable person disrespects others.</t>
  </si>
  <si>
    <t>অসম্মানীয় ব্যক্তি</t>
  </si>
  <si>
    <t>অসহ্যং জ্ঞাতিদুর্ব্বাক্যং মেঘান্তরিত রৌদ্রবৎ</t>
  </si>
  <si>
    <t>জ্ঞাতিজনের কটু বাক্য মেঘমুক্ত রোদ্রের মতো অসহ্য</t>
  </si>
  <si>
    <t>জ্ঞাতিজনের কটু কথা মেঘ কেটে যাওয়ার পর প্রখর রোদের মতোই অসহ্য।</t>
  </si>
  <si>
    <t>The harsh words of relatives are as unbearable as the blazing sun after clouds.</t>
  </si>
  <si>
    <t>জ্ঞাতিজন</t>
  </si>
  <si>
    <t>অসাধারণ জ্ঞানীরা অবোধ বলে প্রতিভাত হয়</t>
  </si>
  <si>
    <t>অসাধারণ জ্ঞানীরা বোকা বলে মনে হয়</t>
  </si>
  <si>
    <t>অতিজ্ঞানীদের ধরণ-ধারণ বিপরীত হয়; তাদের নির্বোধ মনে হয়।</t>
  </si>
  <si>
    <t>Profound thinkers often appear foolish.</t>
  </si>
  <si>
    <t>অসারে খলু সংসারে সারমেতচ্চতুষ্টয়ম। কাশ্যাংবাসঃ সতাং সঙ্গো গঙ্গাম্ভ শিবপূজনম।।</t>
  </si>
  <si>
    <t>এই অসার সংসারে চারটিই সার—কাশীবাস, সাধুসঙ্গ, গঙ্গাজল, শিবপূজা</t>
  </si>
  <si>
    <t>সংসার অসার; কিন্তু চারটি সারবস্তু আছে: কাশীবাস, সাধুদের সঙ্গ, গঙ্গাজল, শিবের পূজা।</t>
  </si>
  <si>
    <t>In this worthless world, four things are essential: living in Kashi, company of the good, Ganga water, worship of Shiva.</t>
  </si>
  <si>
    <t>অসারে খলু সংসারে সারং শ্বশুরমন্দিরম্‌</t>
  </si>
  <si>
    <t>এই অসার সংসারে সার হল শ্বশুরবাড়ি</t>
  </si>
  <si>
    <t>কৌতুকে: জামাইয়ের কাছে শ্বশুরবাড়িই আসল সুখের জায়গা।</t>
  </si>
  <si>
    <t>In this worthless world, the father-in-law's house is the essence (joke).</t>
  </si>
  <si>
    <t>জামাই (পুরুষ)</t>
  </si>
  <si>
    <t>অসারে জলসার১</t>
  </si>
  <si>
    <t>অসারে জলই সার</t>
  </si>
  <si>
    <t>যখন সার কিছু থাকে না, তখন জলই সার; তুচ্ছকেই গুরুত্ব দিতে হয়।</t>
  </si>
  <si>
    <t>When there's no essence, water serves as essence.</t>
  </si>
  <si>
    <t>অসারে জলসার২</t>
  </si>
  <si>
    <t>যখন আর কোনো উপায় নেই, তখন সামান্য উপায়ও সার হয়।</t>
  </si>
  <si>
    <t>When no other way, water becomes the essence.</t>
  </si>
  <si>
    <t>অসারের তর্জন গর্জন সার১</t>
  </si>
  <si>
    <t>অসারের তর্জন-গর্জনই সার</t>
  </si>
  <si>
    <t>গুণহীন অক্ষম লোকেরা আস্ফালন করেই বড়াই করে।</t>
  </si>
  <si>
    <t>For the worthless, bluster is their substance.</t>
  </si>
  <si>
    <t>অসারের তর্জন গর্জন সার২</t>
  </si>
  <si>
    <t>ক্ষমতাহীন ব্যক্তিরা বেশি হাঁকডাক করে; ফাঁকা কলসি বাজে বেশি।</t>
  </si>
  <si>
    <t>The powerless make the loudest noise.</t>
  </si>
  <si>
    <t>অসি থেকে মসী বড়</t>
  </si>
  <si>
    <t>তরবারি থেকে কালি বড়</t>
  </si>
  <si>
    <t>পেশিশক্তির চেয়ে বুদ্ধির জোর বেশি।</t>
  </si>
  <si>
    <t>The pen is mightier than the sword.</t>
  </si>
  <si>
    <t>অসৈরণ সইতে নারি</t>
  </si>
  <si>
    <t>অসহ্য সহ্য করতে পারি না</t>
  </si>
  <si>
    <t>অসহ্য ব্যাপার সহ্য হয় না।</t>
  </si>
  <si>
    <t>I cannot bear the unbearable.</t>
  </si>
  <si>
    <t>অস্তি নাস্তি না জানন্তি দেহি দেহি পুনঃপুনঃ</t>
  </si>
  <si>
    <t>আছে কি নেই জানে না, শুধু বলে দাও দাও বারবার</t>
  </si>
  <si>
    <t>অতিথি, শিশু, রাজা ও পত্নী আছে কি নেই বিবেচনা করে না, কেবল দাবি করে।</t>
  </si>
  <si>
    <t>They know not 'is' or 'is not', only cry 'Give! Give!' repeatedly.</t>
  </si>
  <si>
    <t>অতিথি, শিশু, রাজা, স্ত্রী</t>
  </si>
  <si>
    <t>অস্থানে তুলসী অপাত্রে রূপসী</t>
  </si>
  <si>
    <t>অস্থানে তুলসী, অপাত্রে রূপসী (সুন্দরী)</t>
  </si>
  <si>
    <t>উৎকৃষ্ট জিনিসের অপব্যবহার; যেমন তুলসী অপবিত্র জায়গায়, আর সুন্দরী অযোগ্য পাত্রে।</t>
  </si>
  <si>
    <t>Tulsi in a wrong place, a beauty to an unworthy groom.</t>
  </si>
  <si>
    <t>সুন্দরী নারী</t>
  </si>
  <si>
    <t>অস্থির চিত্ত প্রতিষ্ঠা পায় না</t>
  </si>
  <si>
    <t>অস্থির মন সফলতা পায় না</t>
  </si>
  <si>
    <t>অস্থির ব্যক্তি কোনো কাজে প্রতিষ্ঠা পায় না।</t>
  </si>
  <si>
    <t>An unstable mind finds no establishment.</t>
  </si>
  <si>
    <t>অস্থির পতঙ্গ আগুনে পোড়ে</t>
  </si>
  <si>
    <t>অস্থির পোকা আগুনে পুড়ে মরে</t>
  </si>
  <si>
    <t>অস্থির লোক নিজেই বিপদ ডেকে আনে।</t>
  </si>
  <si>
    <t>The restless moth flies into the flame.</t>
  </si>
  <si>
    <t>অস্থির মধ্যে যা পুষ্ট তা মাংস ভেদ করে বাইরে আসে না</t>
  </si>
  <si>
    <t>হাড়ের মধ্যে যা পুষ্ট, তা মাংস ভেদ করে বাইরে বেরোয় না</t>
  </si>
  <si>
    <t>যত্নে লালিত বিষয় নষ্ট হয় না; সহজে প্রকাশ পায় না।</t>
  </si>
  <si>
    <t>What is nurtured within bones does not escape through flesh.</t>
  </si>
  <si>
    <t>অহংকারীরা অল্পজ্ঞানী হয়</t>
  </si>
  <si>
    <t>অল্পজ্ঞানীরাই অহংকার দেখায়; জ্ঞানী বিনয়ী হয়।</t>
  </si>
  <si>
    <t>The arrogant are shallow in knowledge.</t>
  </si>
  <si>
    <t>অহংকারে গদগদ, মাটিতে পড়ে না পদ</t>
  </si>
  <si>
    <t>অহংকারে গদগদ, পা মাটিতে পড়ে না</t>
  </si>
  <si>
    <t>অহংকারী মাটিতে পা ফেলে না; সাধারণ মানুষকে গ্রাহ্য করে না।</t>
  </si>
  <si>
    <t>So swollen with pride they don't set foot on the ground.</t>
  </si>
  <si>
    <t>অহংকার পতনের মূল</t>
  </si>
  <si>
    <t>অহংকার পতনের কারণ।</t>
  </si>
  <si>
    <t>Pride goes before a fall.</t>
  </si>
  <si>
    <t>অহংকারে পথ দেখতে পায় না</t>
  </si>
  <si>
    <t>অহংকারে পথ দেখা যায় না</t>
  </si>
  <si>
    <t>অহংকারী মাথা উঁচু করে চলে, পথের দিকে তাকায় না।</t>
  </si>
  <si>
    <t>The proud cannot see the path.</t>
  </si>
  <si>
    <t>অহন্যহনি ভূতানি গচ্ছন্তি যমমন্দিরম, শেষা স্থিরত্বমিচ্ছন্তি কিমাশ্চর্যমতঃপরম</t>
  </si>
  <si>
    <t>প্রতিদিন প্রাণী যমালয় যায়, অবশিষ্টরা স্থিরতা চায়—এর চেয়ে আশ্চর্য কী</t>
  </si>
  <si>
    <t>প্রতিদিন মৃত্যু দেখেও মানুষ মনে করে সে চিরজীবী; এটাই সবচেয়ে বড় বিস্ময়।</t>
  </si>
  <si>
    <t>Daily creatures go to Death's abode; those left wish to live forever—what greater wonder?</t>
  </si>
  <si>
    <t>মানুষ (মৃত্যুঞ্জয়ী ভাব)</t>
  </si>
  <si>
    <t>অহিংসা পরমো ধর্মঃ</t>
  </si>
  <si>
    <t>অহিংসাই পরম ধর্ম</t>
  </si>
  <si>
    <t>কারো অনিষ্ট না করাই শ্রেষ্ঠ ধর্ম।</t>
  </si>
  <si>
    <t>Non-violence is the supreme duty.</t>
  </si>
  <si>
    <t>অহিতে বিপরীত</t>
  </si>
  <si>
    <t>অহিতে (খারাপে) বিপরীত (ভালো) হয়</t>
  </si>
  <si>
    <t>মন্দ ঘটনা থেকে ভালো কিছু ঘটা; শাপে বর।</t>
  </si>
  <si>
    <t>A blessing in disguise.</t>
  </si>
  <si>
    <t>আইতেও একা যাইতেও একা কার সঙ্গে বা কার দেখা</t>
  </si>
  <si>
    <t>আসতেও একা, যেতেও একা, কার সঙ্গে দেখা</t>
  </si>
  <si>
    <t>জীবনে কেউ কারো নয়; একা আসা একা যাওয়া।</t>
  </si>
  <si>
    <t>We come alone and go alone; with whom do we meet?</t>
  </si>
  <si>
    <t>আইতে ছাগল যাইতে পাগল</t>
  </si>
  <si>
    <t>আসতে ছাগল, যেতে পাগল</t>
  </si>
  <si>
    <t>ধৈর্য নেই; খুব তড়বড়ে।</t>
  </si>
  <si>
    <t>Hasty in coming, crazy in going—impatient.</t>
  </si>
  <si>
    <t>আইতে শাল যাইতে শাল তার নাম বরিশাল</t>
  </si>
  <si>
    <t>আসতে শালতি, যেতে শালতি, তার নাম বরিশাল</t>
  </si>
  <si>
    <t>বরিশালের যোগাযোগ নৌকা ছাড়া সম্ভব নয়।</t>
  </si>
  <si>
    <t>To come and go, it's all boat; that's Barishal.</t>
  </si>
  <si>
    <t>বরিশালবাসী</t>
  </si>
  <si>
    <t>আইন বিত্তশালীর কাছে আকাশের মত বিত্তহীনের কাছে মাকড়সার জালের মত</t>
  </si>
  <si>
    <t>আইন ধনীর কাছে আকাশের মতো, গরিবের কাছে মাকড়সার জালের মতো</t>
  </si>
  <si>
    <t>আইন ধনীকে রক্ষা করে, গরিবকে ফাঁসায়।</t>
  </si>
  <si>
    <t>Law is like sky to the rich, spider's web to the poor.</t>
  </si>
  <si>
    <t>অর্থ/আইন</t>
  </si>
  <si>
    <t>আইনকে বুড়ো আঙ্গুল দেখানো</t>
  </si>
  <si>
    <t>আইনকে বুড়ো আঙুল দেখানো (তুচ্ছ জ্ঞান করা)</t>
  </si>
  <si>
    <t>আইনকে অগ্রাহ্য করে অবৈধ কাজে লিপ্ত থাকা।</t>
  </si>
  <si>
    <t>To thumb one's nose at the law.</t>
  </si>
  <si>
    <t>আইন অমান্যকারী</t>
  </si>
  <si>
    <t>আইবুড়ো নাম খণ্ডানো/ঘুচানো</t>
  </si>
  <si>
    <t>আইবুড়ো নাম মিটানো</t>
  </si>
  <si>
    <t>বিবাহ করে চিরকুমার/কুমারী তকমা ঘোচানো।</t>
  </si>
  <si>
    <t>To get rid of the bachelor/spinster tag by marrying.</t>
  </si>
  <si>
    <t>আইবুড়ো (অবিবাহিত)</t>
  </si>
  <si>
    <t>লিঙ্গ/বিবাহ</t>
  </si>
  <si>
    <t>আউশধানের চাষ লাগে তিনমাস- খনা</t>
  </si>
  <si>
    <t>আউশ ধানের চাষে তিন মাস সময় লাগে</t>
  </si>
  <si>
    <t>আউশধান রোপণ থেকে ঘরে তুলতে তিন মাস লাগে।</t>
  </si>
  <si>
    <t>Aus paddy takes three months to harvest.</t>
  </si>
  <si>
    <t>আওয়াজওয়ালা বিড়াল ইঁদুর ধরে না</t>
  </si>
  <si>
    <t>শব্দ করা বিড়াল ইঁদুর ধরতে পারে না</t>
  </si>
  <si>
    <t>যে বেশি শোরগোল করে, সে কাজে অদক্ষ।</t>
  </si>
  <si>
    <t>A noisy cat catches no mice.</t>
  </si>
  <si>
    <t>বাচাল/অকর্মণ্য</t>
  </si>
  <si>
    <t>আওলে (অস্থির) বাঘ জালে পড়ে</t>
  </si>
  <si>
    <t>অস্থির বাঘ জালে পড়ে</t>
  </si>
  <si>
    <t>অস্থির লোক বিপদে পড়ে।</t>
  </si>
  <si>
    <t>The restless tiger falls into the net.</t>
  </si>
  <si>
    <t>আঁখ কে অন্ধে গাঁট কে পুরে</t>
  </si>
  <si>
    <t>চোখে অন্ধ, কিন্তু গাঁটে পুরা (টাকা)</t>
  </si>
  <si>
    <t>মূর্খ ধনী; টাকার বিষয়ে খুব সতর্ক।</t>
  </si>
  <si>
    <t>Blind in eye, but tight in purse.</t>
  </si>
  <si>
    <t>অন্ধ/ধনী মূর্খ</t>
  </si>
  <si>
    <t>শারীরিক/অর্থ</t>
  </si>
  <si>
    <t>আঁখ কে অন্ধে নাম নয়নসুখ</t>
  </si>
  <si>
    <t>চোখে অন্ধ, নাম নয়নসুখ</t>
  </si>
  <si>
    <t>গুণহীনের নাম গুণবাচক; পরিহাসের বিষয়।</t>
  </si>
  <si>
    <t>A blind man named Delight-to-the-Eyes.</t>
  </si>
  <si>
    <t>অন্ধ/গুণহীন</t>
  </si>
  <si>
    <t>শারীরিক/নাম</t>
  </si>
  <si>
    <t>আঁচ আছে আগুন নাই</t>
  </si>
  <si>
    <t>আঁচ আছে কিন্তু আগুন নেই</t>
  </si>
  <si>
    <t>বিপদের আভাস আছে কিন্তু সত্যিকারের বিপদ এখনও আসেনি; অথবা অল্প কারণে ভয়।</t>
  </si>
  <si>
    <t>There's heat but no fire.</t>
  </si>
  <si>
    <t>আঁটকুড়ের ব্যাটা/পুত</t>
  </si>
  <si>
    <t>বন্ধ্যা নারীর ছেলে</t>
  </si>
  <si>
    <t>অসম্ভব ব্যাপার; যা হয় না।</t>
  </si>
  <si>
    <t>Son of a barren woman—an impossibility.</t>
  </si>
  <si>
    <t>বন্ধ্যা নারী</t>
  </si>
  <si>
    <t>লিঙ্গ/অসম্ভব</t>
  </si>
  <si>
    <t>আঁটকুড়েরা মানুষ নয়</t>
  </si>
  <si>
    <t>বন্ধ্যা নারীরা মানুষ নয়</t>
  </si>
  <si>
    <t>সন্তানহীন নারীকে সমাজ অপূর্ণাঙ্গ মনে করে—কুসংস্কার।</t>
  </si>
  <si>
    <t>A barren woman is not considered a full human.</t>
  </si>
  <si>
    <t>লিঙ্গ/সমাজ</t>
  </si>
  <si>
    <t>আঁটাআঁটি হলেই লাঠালাঠি হয়</t>
  </si>
  <si>
    <t>ঠাসাঠাসি হলেই লাঠালাঠি বাধে</t>
  </si>
  <si>
    <t>চাপাচাপি বা সংঘাত বাড়লে মারামারি অবশ্যম্ভাবী।</t>
  </si>
  <si>
    <t>Tightness leads to stick fights.</t>
  </si>
  <si>
    <t>আঁটি চোষা</t>
  </si>
  <si>
    <t>নিরর্থক কাজ করা; বা অতি কৃপণতা দেখানো।</t>
  </si>
  <si>
    <t>Sucking on a bundle—futile or miserly.</t>
  </si>
  <si>
    <t>কৃপণ/নিরর্থক</t>
  </si>
  <si>
    <t>আঁটুনিকসুনি সার</t>
  </si>
  <si>
    <t>শুধু টানাটানি আর হেঁচড়াহেঁচড়িই সার</t>
  </si>
  <si>
    <t>কোনো কাজের কাজ হয় না; শুধু ঝামেলা।</t>
  </si>
  <si>
    <t>Only tussle and hassle, no real substance.</t>
  </si>
  <si>
    <t>আঁত পাওয়া ভার</t>
  </si>
  <si>
    <t>আঁত পাওয়া ভার (অন্ত্র পাওয়া কঠিন)</t>
  </si>
  <si>
    <t>সাহস বা শক্তি সঞ্চয় করা কঠিন; কাপুরুষের পক্ষে শক্তি দেখানো ভার</t>
  </si>
  <si>
    <t>It's tough to get guts.</t>
  </si>
  <si>
    <t>কাপুরুষ/দুর্বল</t>
  </si>
  <si>
    <t>আঁতে ঘা দেওয়া</t>
  </si>
  <si>
    <t>আঁতে (অন্ত্রে) ঘা দেওয়া</t>
  </si>
  <si>
    <t>গোপন দুর্বলতায় আঘাত করা; মর্মান্তিক বেদনা দেওয়া</t>
  </si>
  <si>
    <t>To wound the intestines—hit where it hurts most.</t>
  </si>
  <si>
    <t>প্রতিপক্ষ</t>
  </si>
  <si>
    <t>আঁতর টান</t>
  </si>
  <si>
    <t>আঁতর টান (অন্ত্রের টান)</t>
  </si>
  <si>
    <t>গভীর মমত্ব বা রক্তের টান; সহজে উপেক্ষা করা যায় না</t>
  </si>
  <si>
    <t>Pull of the guts—deep attachment.</t>
  </si>
  <si>
    <t>আঁধার ঘরের মাণিক</t>
  </si>
  <si>
    <t>অন্ধকার ঘরের মণি</t>
  </si>
  <si>
    <t>গুণী ব্যক্তির গুণ কেউ দেখে না; গরিব ঘরের মেধাবী সন্তান</t>
  </si>
  <si>
    <t>A jewel in a dark room—unnoticed talent.</t>
  </si>
  <si>
    <t>গুণী/প্রতিভাবান</t>
  </si>
  <si>
    <t>আঁস্তাকুড়ের পাত কখনো স্বর্গে যায় না১</t>
  </si>
  <si>
    <t>আঁস্তাকুড়ের পাতা কখনো স্বর্গে যায় না</t>
  </si>
  <si>
    <t>নীচ জিনিস কখনো উঁচুতে স্থান পায় না; নীচ প্রকৃতির উন্নতি হয় না</t>
  </si>
  <si>
    <t>A leaf from a dung-heap never goes to heaven.</t>
  </si>
  <si>
    <t>নীচ/হীন</t>
  </si>
  <si>
    <t>আঁস্তাকুড়ের পাত কখনো স্বর্গে যায় না২</t>
  </si>
  <si>
    <t>অপবিত্র বস্তু পবিত্র হয় না; কুপ্রকৃতি কখনো সাধু হয় না</t>
  </si>
  <si>
    <t>A dung-heap leaf never reaches heaven—impurity never becomes pure.</t>
  </si>
  <si>
    <t>অপবিত্র/কুপ্রকৃতি</t>
  </si>
  <si>
    <t>আকন্দে যদি মধু পাই তবে কেন পর্বতে যাই</t>
  </si>
  <si>
    <t>আকন্দ ফুলে যদি মধু পাই, তবে কেন পাহাড়ে যাই?</t>
  </si>
  <si>
    <t>সহজে কিছু পেয়ে গেলে কষ্ট করে দূরে যাওয়ার প্রয়োজন নেই।</t>
  </si>
  <si>
    <t>If I get honey from akanda flowers, why go to the mountains?</t>
  </si>
  <si>
    <t>সহজলাভ</t>
  </si>
  <si>
    <t>আকস্মিকপ্রাপ্তি কাকতালীয়, দৈবঘটনা নয়</t>
  </si>
  <si>
    <t>আকস্মিক প্রাপ্তি কাকতালীয়, দৈব ঘটনা নয়</t>
  </si>
  <si>
    <t>হঠাৎ কিছু ঘটলে সেটা কাকতালীয় মিল, ভাগ্য বা দৈব নয়।</t>
  </si>
  <si>
    <t>A sudden gain is a coincidence, not a divine event.</t>
  </si>
  <si>
    <t>আকাটা নায়ের সাজ বেশি</t>
  </si>
  <si>
    <t>কাটা না-পড়া নৌকার সাজ বেশি</t>
  </si>
  <si>
    <t>অকর্মণ্য জিনিসের বাহুল্য বেশি; কাজের জিনিসে আড়ম্বর কম।</t>
  </si>
  <si>
    <t>An uncut boat has more decorations.</t>
  </si>
  <si>
    <t>অকর্মণ্য জিনিস</t>
  </si>
  <si>
    <t>আকামের মাঝু কদু কুটনের যম।</t>
  </si>
  <si>
    <t>অকাজের নৌকার মাঝি কদু কাটায় যম</t>
  </si>
  <si>
    <t>অকর্মণ্য ব্যক্তি একমাত্র সহজ কাজেই ওস্তাদ।</t>
  </si>
  <si>
    <t>A useless boatman is a terror at slicing pumpkin.</t>
  </si>
  <si>
    <t>অকর্মণ্য/অদক্ষ</t>
  </si>
  <si>
    <t>আকালে কিনা খায় পাগলে কি না কয়/বলে</t>
  </si>
  <si>
    <t>আকালে (দুর্ভিক্ষে) কী না খায়, পাগলে কী না বলে</t>
  </si>
  <si>
    <t>অভাবের সময় মানুষ সব খায়; পাগল যা ইচ্ছা বলে।</t>
  </si>
  <si>
    <t>In famine, one eats anything; a madman says anything.</t>
  </si>
  <si>
    <t>দুর্ভিক্ষপীড়িত/পাগল</t>
  </si>
  <si>
    <t>অভাব/উন্মাদনা</t>
  </si>
  <si>
    <t>আকালে কিনা খায়, বিবাদে কিনা যায়</t>
  </si>
  <si>
    <t>আকালে কী না খায়, বিবাদে কী না যায়</t>
  </si>
  <si>
    <t>অভাব ও ঝগড়ায় সবকিছু সম্ভব; মানুষ তখন বিচার বোধ হারায়।</t>
  </si>
  <si>
    <t>In famine, anything is eaten; in quarrel, anything can happen.</t>
  </si>
  <si>
    <t>অভাব/বিবাদ</t>
  </si>
  <si>
    <t>আকালের ভাতযুগের খোঁটা</t>
  </si>
  <si>
    <t>দুর্ভিক্ষের ভাত যুগের খোঁটা (দোষ)</t>
  </si>
  <si>
    <t>অসময়ে পাওয়া জিনিস ভবিষ্যতে দোষ হিসেবে গন্য হয়।</t>
  </si>
  <si>
    <t>Famine-time rice becomes a lifetime taunt.</t>
  </si>
  <si>
    <t>উপকারগ্রাহী</t>
  </si>
  <si>
    <t>আকাঙ্ক্ষার কোন শেষ/সীমা নাই</t>
  </si>
  <si>
    <t>আকাঙ্ক্ষার কোনো শেষ নেই</t>
  </si>
  <si>
    <t>মানুষের চাহিদা বা ইচ্ছার শেষ নেই।</t>
  </si>
  <si>
    <t>Desire has no end.</t>
  </si>
  <si>
    <t>আকাশকুসুম কল্পনা</t>
  </si>
  <si>
    <t>আকাশের ফুলের কল্পনা</t>
  </si>
  <si>
    <t>অসম্ভব বা উদ্ভট কল্পনা।</t>
  </si>
  <si>
    <t>An imaginary flower in the sky—a fanciful dream.</t>
  </si>
  <si>
    <t>স্বপ্নবাজ</t>
  </si>
  <si>
    <t>আকাশপাতাল চিন্তা/ভাবনা</t>
  </si>
  <si>
    <t>আকাশ-পাতাল চিন্তা</t>
  </si>
  <si>
    <t>নানামুখী অতি বিস্তৃত চিন্তা।</t>
  </si>
  <si>
    <t>Thinking from sky to the underworld—wide-ranging but useless thoughts.</t>
  </si>
  <si>
    <t>অতিভাবুক</t>
  </si>
  <si>
    <t>আকাশে থুতু ফেললে নিজের গায়ে পড়ে১</t>
  </si>
  <si>
    <t>আকাশে থুতু ফেললে নিজের গায়ে পড়ে</t>
  </si>
  <si>
    <t>অপরের দোষ করলে নিজেরই ক্ষতি হয়।</t>
  </si>
  <si>
    <t>If you spit at the sky, it falls back on you.</t>
  </si>
  <si>
    <t>অপরের অনিষ্টকারী</t>
  </si>
  <si>
    <t>আকাশে থুতু ফেললে নিজের গায়ে পড়ে২</t>
  </si>
  <si>
    <t>বড় বা সম্মানিত ব্যক্তিকে অপমান করলে নিজেরই অপমান হয়।</t>
  </si>
  <si>
    <t>Spitting at the sky soils yourself—insulting a powerful man brings self-harm.</t>
  </si>
  <si>
    <t>শক্তিশালীর অপমানকারী</t>
  </si>
  <si>
    <t>আকাশে ফাঁদ পেতে চাঁদ ধরতে চায়</t>
  </si>
  <si>
    <t>আকাশে ফাঁদ পেতে চাঁদ ধরতে চায়</t>
  </si>
  <si>
    <t>অসম্ভবকে সম্ভব করতে চাওয়া।</t>
  </si>
  <si>
    <t>Trying to catch the moon with a net in the sky.</t>
  </si>
  <si>
    <t>অসম্ভবের পেছনে ছোটা ব্যক্তি</t>
  </si>
  <si>
    <t>আকাশে যত ঝড় ওঠে গোয়ালে তত গরু ছোটে</t>
  </si>
  <si>
    <t>আকাশে যত ঝড় ওঠে, গোয়ালে তত গরু ছোটে</t>
  </si>
  <si>
    <t>বাইরে বিপদের আভাস পেলেই ভেতরে ভয় ছড়ায়।</t>
  </si>
  <si>
    <t>As storms rise in the sky, so do cows run in the cowshed.</t>
  </si>
  <si>
    <t>ভীত/অস্থির</t>
  </si>
  <si>
    <t>ভয়</t>
  </si>
  <si>
    <t>আকাশের চাঁদ হাতে পাওয়া</t>
  </si>
  <si>
    <t>আকাশের চাঁদ হাতে পাওয়া</t>
  </si>
  <si>
    <t>দুর্লভ জিনিস সহজে পাওয়া।</t>
  </si>
  <si>
    <t>To get the moon in one's hand—attaining the impossible.</t>
  </si>
  <si>
    <t>আকাশের নীচে কিছুই অসম্ভব নয়</t>
  </si>
  <si>
    <t>আকাশের নিচে কিছুই অসম্ভব নয়</t>
  </si>
  <si>
    <t>পৃথিবীতে সবই সম্ভব; অসম্ভব বলতে কিছু নেই।</t>
  </si>
  <si>
    <t>Nothing is impossible under the sky.</t>
  </si>
  <si>
    <t>আকৃতি থেকে প্রকৃতি/আচরণ ভালো১</t>
  </si>
  <si>
    <t>আকৃতি থেকে প্রকৃতি/আচরণ ভালো</t>
  </si>
  <si>
    <t>দেখতে সুন্দর হলেই স্বভাব ভালো হয় না; বাহ্যিক রূপের চেয়ে গুণ বড়।</t>
  </si>
  <si>
    <t>Nature is more important than appearance.</t>
  </si>
  <si>
    <t>আকৃতি থেকে প্রকৃতি/আচরণ ভালো২</t>
  </si>
  <si>
    <t>রূপবান ব্যক্তির প্রায়ই চরিত্র খারাপ হয়; বাইরের চেয়ে ভেতরটা মূল্যবান।</t>
  </si>
  <si>
    <t>Better character than looks—often beauty hides bad character.</t>
  </si>
  <si>
    <t>সুন্দর/কুচরিত্র</t>
  </si>
  <si>
    <t>আক্কেলে সকল বন্দী, জালে বন্দী মাছ; স্ত্রীর কাছে পুরুষ বন্দী ছালে বন্দী গাছ</t>
  </si>
  <si>
    <t>আক্কেলে (কৌশলে) সব বন্দী, জালে বন্দী মাছ; স্ত্রীর কাছে পুরুষ বন্দী, ছালে বন্দী গাছ</t>
  </si>
  <si>
    <t>কৌশল, জাল, স্ত্রী, ছাল—সবই আটকানোর উপায়; পুরুষ স্ত্রীর বশীভূত।</t>
  </si>
  <si>
    <t>By wit, all are captured; fish in net, man by wife, tree by bark.</t>
  </si>
  <si>
    <t>পুরুষ (স্ত্রীর বশীভূত)</t>
  </si>
  <si>
    <t>লিঙ্গ/দাম্পত্য</t>
  </si>
  <si>
    <t>আক্রমণই প্রতিরোধের প্রকৃষ্ট উপায়</t>
  </si>
  <si>
    <t>আক্রমণই প্রতিরোধের সেরা উপায়</t>
  </si>
  <si>
    <t>পাল্টা আক্রমণই রক্ষার সর্বোত্তম কৌশল।</t>
  </si>
  <si>
    <t>Attack is the best form of defense.</t>
  </si>
  <si>
    <t>আখ আর সর্ষে না পিষলে রস কিসে?</t>
  </si>
  <si>
    <t>আখ আর সরিষা না পিষলে রস কীভাবে হবে?</t>
  </si>
  <si>
    <t>পরিশ্রম না করলে ফল পাওয়া যায় না।</t>
  </si>
  <si>
    <t>Without crushing sugarcane and mustard, how to get juice?</t>
  </si>
  <si>
    <t>আগ নাংলা যেদিকে যায় পাছ নাংলা সেদিকে যায়</t>
  </si>
  <si>
    <t>সামনের নাংলা (লাঙলের অংশ) যেদিকে যায়, পেছনের নাংলা সেদিকে যায়</t>
  </si>
  <si>
    <t>নেতা বা কর্তা যেদিকে যান, অনুসারীরা সেদিকে যায়।</t>
  </si>
  <si>
    <t>The front ploughshare goes where the rear one follows.</t>
  </si>
  <si>
    <t>অনুসারী</t>
  </si>
  <si>
    <t>আগচ্ছতি/আজগাম যদা লক্ষ্মীর্নারিকেলফলাম্বুবৎ</t>
  </si>
  <si>
    <t>লক্ষ্মী যখন আসেন, নারকেলের ফলের জলের মতো</t>
  </si>
  <si>
    <t>লক্ষ্মীর আগমন নারকেলের জলের মতো ধীরে ধীরে হয়, হঠাৎ নয়।</t>
  </si>
  <si>
    <t>When Lakshmi comes, it's like coconut water—slow and steady.</t>
  </si>
  <si>
    <t>আগাছা ছাড়া বাগান হয় না</t>
  </si>
  <si>
    <t>আগাছা ছাড়া বাগান হয় না</t>
  </si>
  <si>
    <t>দোষ বা খারাপ কিছু সব জায়গায় থাকে; এড়ানো যায় না।</t>
  </si>
  <si>
    <t>No garden is without weeds.</t>
  </si>
  <si>
    <t>সাধারণ সত্য</t>
  </si>
  <si>
    <t>আগাছার বাড় বেশি</t>
  </si>
  <si>
    <t>আগাছা বেশি বাড়ে</t>
  </si>
  <si>
    <t>অপকারী বা নিকৃষ্ট জিনিস দ্রুত বাড়ে; গুণহীনের অহংকার বেশি।</t>
  </si>
  <si>
    <t>Weeds grow faster.</t>
  </si>
  <si>
    <t>অপদার্থ/অহংকারী</t>
  </si>
  <si>
    <t>আগামীকাল কখনো আসে না</t>
  </si>
  <si>
    <t>কাল বলে কিছু নেই; আগামীকালের জন্য কাজ ফেলে রাখা ঠিক নয়।</t>
  </si>
  <si>
    <t>Tomorrow never comes.</t>
  </si>
  <si>
    <t>আগামীকাল জন্মায় নি, গতকাল মৃ্‌ত, আজই সত্য</t>
  </si>
  <si>
    <t>আগামীকাল জন্মায়নি, গতকাল মৃত; আজই সত্য</t>
  </si>
  <si>
    <t>অতীত শেষ, ভবিষ্যৎ অনিশ্চিত; একমাত্র বর্তমানই সত্য।</t>
  </si>
  <si>
    <t>Tomorrow is unborn, yesterday is dead; today is the only truth.</t>
  </si>
  <si>
    <t>আগামীকাল নিজের যত্ন নেবে- আরবী প্রবাদ</t>
  </si>
  <si>
    <t>আগামীকাল নিজের যত্ন নেবে</t>
  </si>
  <si>
    <t>আগামীকালের দুশ্চিন্তা না করে আজকের কাজে মন দাও; কাল তার নিজের ব্যবস্থা করবে।</t>
  </si>
  <si>
    <t>Tomorrow will take care of itself.</t>
  </si>
  <si>
    <t>আগামীকাল নিয়ে চিন্তা করা মানেই আজকে অসুখী হওয়া</t>
  </si>
  <si>
    <t>আগামীকাল নিয়ে ভাবনা আজকের সুখ কেড়ে নেয়</t>
  </si>
  <si>
    <t>ভবিষ্যতের চিন্তায় বর্তমানের শান্তি নষ্ট হয়।</t>
  </si>
  <si>
    <t>Worrying about tomorrow is being unhappy today.</t>
  </si>
  <si>
    <t>আগামীকাল সর্বদাই আছে- আরবী প্রবাদ</t>
  </si>
  <si>
    <t>আগামীকাল সবসময়ই আছে</t>
  </si>
  <si>
    <t>আগামীকাল বলে একটা দিন থাকবেই, তার জন্য এত ভাবনার দরকার নেই।</t>
  </si>
  <si>
    <t>Tomorrow is always there.</t>
  </si>
  <si>
    <t>আগামীকালের একটি হাঁস থেকে আজকের একটি ডিম বেশি দামী</t>
  </si>
  <si>
    <t>কালকের হাঁসের চেয়ে আজকের ডিম দামী</t>
  </si>
  <si>
    <t>নিশ্চিত প্রাপ্তি অনিশ্চিত লাভের চেয়ে ভালো।</t>
  </si>
  <si>
    <t>A bird in the hand is worth two in the bush.</t>
  </si>
  <si>
    <t>আগামীকালের জন্য অজ্ঞানে অপেক্ষা করে; জ্ঞানী আজরাত্রের মধ্যেই কাজ শেষ করে</t>
  </si>
  <si>
    <t>অজ্ঞ লোক কালকের জন্য অপেক্ষা করে; জ্ঞানী আজ রাতেই কাজ শেষ করে</t>
  </si>
  <si>
    <t>জ্ঞানী কাজ ফেলে রাখে না।</t>
  </si>
  <si>
    <t>অজ্ঞ/জ্ঞানী</t>
  </si>
  <si>
    <t>আগুন কাপড় দিয়ে ঢেকে রাখা যায় না</t>
  </si>
  <si>
    <t>আগুন কাপড় দিয়ে ঢেকে রাখা যায় না</t>
  </si>
  <si>
    <t>সত্য বা গোপনীয় বিষয় চিরকাল লুকানো যায় না।</t>
  </si>
  <si>
    <t>You can't cover fire with cloth.</t>
  </si>
  <si>
    <t>আগুন কাপড় দিয়ে ঢেকে রাখা যায় না (দ্বিতীয়)</t>
  </si>
  <si>
    <t>গোপন কাণ্ড একদিন প্রকাশ হয়েই যায়।</t>
  </si>
  <si>
    <t>Fire cannot be wrapped in cloth—secrets come out.</t>
  </si>
  <si>
    <t>আগুন দিয়ে আগুন তাড়ানো/নেভনো যায় না</t>
  </si>
  <si>
    <t>আগুন দিয়ে আগুন তাড়ানো যায় না</t>
  </si>
  <si>
    <t>হিংসা দিয়ে হিংসা দূর হয় না; কষ্ট দিয়ে কষ্ট মেটে না।</t>
  </si>
  <si>
    <t>You can't fight fire with fire.</t>
  </si>
  <si>
    <t>নীতিকথা</t>
  </si>
  <si>
    <t>আগুন ছাড়া ধোঁয়া হয় না</t>
  </si>
  <si>
    <t>আগুন ছাড়া ধোঁয়া হয় না</t>
  </si>
  <si>
    <t>কারণ ছাড়া কিছু ঘটে না; গুজবের পেছনে কিছু সত্য থাকে।</t>
  </si>
  <si>
    <t>There's no smoke without fire.</t>
  </si>
  <si>
    <t>আগুন নিয়ে খেলা</t>
  </si>
  <si>
    <t>আগুন নিয়ে খেলা</t>
  </si>
  <si>
    <t>বিপজ্জনক বিষয় নিয়ে খেলা করা; ভয়ঙ্কর পরিণতি ডেকে আনা।</t>
  </si>
  <si>
    <t>Playing with fire.</t>
  </si>
  <si>
    <t>দুঃসাহসী/বেপরোয়া</t>
  </si>
  <si>
    <t>আগুন পোহাতে গেলে ধোঁয়া সইতে হয়</t>
  </si>
  <si>
    <t>আগুন পোহাতে গেলে ধোঁয়া সহ্য করতে হয়</t>
  </si>
  <si>
    <t>সুখ পেতে হলে কষ্ট স্বীকার করতে হয়।</t>
  </si>
  <si>
    <t>If you want to warm yourself by the fire, you must endure the smoke.</t>
  </si>
  <si>
    <t>আগুনে পুড়ে সোনা/সীতা খাঁটি</t>
  </si>
  <si>
    <t>আগুনে পুড়ে সোনা/সীতা খাঁটি</t>
  </si>
  <si>
    <t>পরীক্ষায় পড়লে আসল রূপ বোঝা যায়; যেমন সীতা অগ্নিপরীক্ষায় পবিত্র প্রমাণিত।</t>
  </si>
  <si>
    <t>Gold/Sita becomes pure through fire.</t>
  </si>
  <si>
    <t>সীতা (নারী)</t>
  </si>
  <si>
    <t>পবিত্রতা</t>
  </si>
  <si>
    <t>আগুনে হাত দিলে ইচ্ছাতেও পোড়ে, অনিচ্ছাতেও পোড়ে১</t>
  </si>
  <si>
    <t>আগুনে হাত দিলে ইচ্ছা করলেও পোড়ে, না করলেও পোড়ে</t>
  </si>
  <si>
    <t>জেনে বা না জেনে বিপজ্জনক কাজ করলে ক্ষতি অবধারিত।</t>
  </si>
  <si>
    <t>Whether you touch fire willingly or not, it burns.</t>
  </si>
  <si>
    <t>আগুনে হাত দিলে ইচ্ছাতেও পোড়ে, অনিচ্ছাতেও পোড়ে২</t>
  </si>
  <si>
    <t>আগুনে হাত দিলে ইচ্ছাতেও পোড়ে, অনিচ্ছাতেও পোড়ে</t>
  </si>
  <si>
    <t>পাপ বা অন্যায় জ্ঞাতসারে বা অজ্ঞাতসারে করলে ফল সমানই ভোগ করতে হয়।</t>
  </si>
  <si>
    <t>Fire burns, willingly or not—so does sin.</t>
  </si>
  <si>
    <t>আগুনের কাছে ঘি</t>
  </si>
  <si>
    <t>যেখানে বিপদের সম্ভাবনা, সেখানে ইন্ধন যোগানো; উত্তেজনা বাড়ানো।</t>
  </si>
  <si>
    <t>Adding ghee to the fire—fueling the flames.</t>
  </si>
  <si>
    <t>প্ররোচক</t>
  </si>
  <si>
    <t>আগুনের শেষ রাখতে নেই</t>
  </si>
  <si>
    <t>বিপদ বা ক্ষতিকর জিনিস পুরোপুরি নির্মূল না করলে পরে আরও বাড়ে।</t>
  </si>
  <si>
    <t>Never leave a fire unfinished—extinguish it completely.</t>
  </si>
  <si>
    <t>আগুয়ান ঘটনা সামনে তার ছায়া ফেলে</t>
  </si>
  <si>
    <t>আসন্ন ঘটনা সামনে তার ছায়া ফেলে</t>
  </si>
  <si>
    <t>ভবিষ্যতের বড় ঘটনার আভাস আগে পাওয়া যায়।</t>
  </si>
  <si>
    <t>Coming events cast their shadows before.</t>
  </si>
  <si>
    <t>ভবিষ্যদ্বাণী</t>
  </si>
  <si>
    <t>আগে আপন পরে পর আপন সামালে পরকে ধর</t>
  </si>
  <si>
    <t>আগে নিজেকে সামলাও, পরে অপরকে ধর</t>
  </si>
  <si>
    <t>আগে নিজের দোষ শোধরাও, তারপর অপরকে সংশোধন করো।</t>
  </si>
  <si>
    <t>First take care of yourself, then try to hold others.</t>
  </si>
  <si>
    <t>স্বার্থপর/আত্মকেন্দ্রিক</t>
  </si>
  <si>
    <t>আগে আপন পরে পর, আপন সামালে পরকে ধর২</t>
  </si>
  <si>
    <t>আগে নিজেকে সামলাও, পরে অপরকে ধর (দ্বিতীয় অর্থ)</t>
  </si>
  <si>
    <t>আগে নিজের উন্নতি করো, তারপর অপরের কথা ভাবো।</t>
  </si>
  <si>
    <t>Put your own house in order before criticizing others.</t>
  </si>
  <si>
    <t>আগে আমি, পরে বাপ</t>
  </si>
  <si>
    <t>আগে আমি, পরে বাবা</t>
  </si>
  <si>
    <t>নিজের প্রয়োজন আগে, তারপর অন্যের কথা; চরম স্বার্থপরতা।</t>
  </si>
  <si>
    <t>Me first, then my father.</t>
  </si>
  <si>
    <t>আগে উপযুক্ত হও, পরে আকাঙ্ক্ষা কর</t>
  </si>
  <si>
    <t>আগে যোগ্য হও, তারপর ইচ্ছা কর</t>
  </si>
  <si>
    <t>প্রথমে যোগ্যতা অর্জন করো, তারপর আশা করো।</t>
  </si>
  <si>
    <t>First deserve, then desire.</t>
  </si>
  <si>
    <t>আগে কড়ি পিছে কাজ</t>
  </si>
  <si>
    <t>আগে টাকা, পরে কাজ</t>
  </si>
  <si>
    <t>টাকা দিলে তবেই কাজ হবে; বিনা পয়সায় কিছু হয় না।</t>
  </si>
  <si>
    <t>First the money, then the work.</t>
  </si>
  <si>
    <t>লেনদেনকারী</t>
  </si>
  <si>
    <t>আগে কাজ পিছে আরাম/বাত</t>
  </si>
  <si>
    <t>আগে কাজ, পরে আরাম</t>
  </si>
  <si>
    <t>দায়িত্ব শেষ করে তবে বিশ্রাম নিও।</t>
  </si>
  <si>
    <t>First work, then rest.</t>
  </si>
  <si>
    <t>আগে কুঁয়া, পিছে খাই (খাল)</t>
  </si>
  <si>
    <t>আগে কুয়া, পিছে খাল</t>
  </si>
  <si>
    <t>সামনেও বিপদ, পিছনেও বিপদ; উভয় সংকট।</t>
  </si>
  <si>
    <t>A well in front, a canal behind—stuck between two dangers.</t>
  </si>
  <si>
    <t>আগে গেলে বাঘে খায়, পাছে গেলে টাকা/সোনা পায়১</t>
  </si>
  <si>
    <t>আগে গেলে বাঘে খায়, পিছে গেলে টাকা/সোনা পায়</t>
  </si>
  <si>
    <t>সামনে এগোলে বিপদ, পিছিয়ে পড়লে লাভ—ভাগ্যের ফের।</t>
  </si>
  <si>
    <t>If you go forward, the tiger eats you; if you lag behind, you get gold.</t>
  </si>
  <si>
    <t>ভাগ্যবান/ভাগ্যহীন</t>
  </si>
  <si>
    <t>আগে গেলে বাঘে খায়, পাছে গেলে টাকা/সোনা পায়২</t>
  </si>
  <si>
    <t>আগে গেলে বাঘে খায়, পিছে গেলে সোনা পায় (ব্যঙ্গ)</t>
  </si>
  <si>
    <t>অগ্রসর হলে শাস্তি, পশ্চাদপদ হলে পুরস্কার—অদ্ভুত অবস্থা।</t>
  </si>
  <si>
    <t>Forward gets eaten by tiger, backward gets gold—a topsy-turvy world.</t>
  </si>
  <si>
    <t>আগে গেলেও দোষ পাছে গেলেও দোষ১</t>
  </si>
  <si>
    <t>আগে গেলেও দোষ, পিছে গেলেও দোষ</t>
  </si>
  <si>
    <t>যে কোনো পক্ষেই দোষারোপ; উভয়সঙ্কট।</t>
  </si>
  <si>
    <t>Blamed if you go first, blamed if you lag behind.</t>
  </si>
  <si>
    <t>নিরপরাধ/অভাগা</t>
  </si>
  <si>
    <t>আগে গেলেও দোষ পাছে গেলেও দোষ২</t>
  </si>
  <si>
    <t>কোনো কাজেই সুনাম নেই; সবদিকেই অপরাধী সাব্যস্ত।</t>
  </si>
  <si>
    <t>No matter what you do, you're blamed.</t>
  </si>
  <si>
    <t>নিরপরাধ</t>
  </si>
  <si>
    <t>আগে গেলেও নির্বংশের ব্যাটা পাছে গেলেও নির্বংশের ব্যাটা১</t>
  </si>
  <si>
    <t>আগে গেলেও বংশহীনের ছেলে, পিছে গেলেও বংশহীনের ছেলে</t>
  </si>
  <si>
    <t>যেখানেই যাও, অপমান তাতেই; জাতি বা কূল না থাকলে সব জায়গায় লাঞ্ছনা।</t>
  </si>
  <si>
    <t>Whether you go first or last, you're still called son of a family-less man.</t>
  </si>
  <si>
    <t>নির্বংশ/হীনবংশ</t>
  </si>
  <si>
    <t>বর্ণ/সম্মান</t>
  </si>
  <si>
    <t>আগে গেলেও নির্বংশের ব্যাটা পাছে গেলেও নির্বংশের ব্যাটা২</t>
  </si>
  <si>
    <t>আগে গেলেও নির্বংশের ব্যাটা, পিছে গেলেও তাই</t>
  </si>
  <si>
    <t>বংশমর্যাদা না থাকলে সর্বত্রই অপমান।</t>
  </si>
  <si>
    <t>No matter the order, he is always the son of a nobody.</t>
  </si>
  <si>
    <t>হীনবংশ</t>
  </si>
  <si>
    <t>আগে ঘর পরে পর ঘর সামলে পরকে ধর</t>
  </si>
  <si>
    <t>আগে ঘর, পরে পর; ঘর সামলে পরকে ধর</t>
  </si>
  <si>
    <t>আগে নিজের সংসার ঠিক করো, তারপর অন্যের সমালোচনা করো।</t>
  </si>
  <si>
    <t>First set your own house right, then catch others.</t>
  </si>
  <si>
    <t>আগে (যাচ্‌লে) জামাই কাঁঠাল খান না শেষে জামাই ভোঁতাও পান না</t>
  </si>
  <si>
    <t>আগে যাচাই করলে জামাই কাঁঠাল খায় না, শেষে জামাই ভোঁতাও পায় না</t>
  </si>
  <si>
    <t>সুযোগ থাকতে যে খায় না, পরে সে কিছুই পায় না।</t>
  </si>
  <si>
    <t>The son-in-law who refuses jackfruit at first later doesn't even get the leftovers.</t>
  </si>
  <si>
    <t>আচরণ/সুযোগ</t>
  </si>
  <si>
    <t>আগে তিতা শেষে মিঠা১</t>
  </si>
  <si>
    <t>আগে তিতা (তিক্ত), শেষে মিঠা (মিষ্টি)</t>
  </si>
  <si>
    <t>জীবনের শুরুতে কষ্ট, শেষে সুখ।</t>
  </si>
  <si>
    <t>Bitter at first, sweet in the end.</t>
  </si>
  <si>
    <t>আগে তিতা, শেষে মিঠা২</t>
  </si>
  <si>
    <t>আগে তিতা, শেষে মিঠা</t>
  </si>
  <si>
    <t>শুরুতে কঠোরতা, শেষে কোমলতা; যেমন ওষুধ।</t>
  </si>
  <si>
    <t>Bitter first, sweet later—like medicine.</t>
  </si>
  <si>
    <t>আগে দর্শনদারী পরে গুণ বিচারী</t>
  </si>
  <si>
    <t>আগে রূপ দেখে মুগ্ধ, পরে গুণ বিচার করে</t>
  </si>
  <si>
    <t>মানুষ প্রথমে বাহ্যিক সৌন্দর্যে আকৃষ্ট হয়, পরে গুণ খোঁজে।</t>
  </si>
  <si>
    <t>First bewitched by looks, then judges the qualities.</t>
  </si>
  <si>
    <t>সৌন্দর্যপ্রেমী</t>
  </si>
  <si>
    <t>আগে দুখ পরে সুখ</t>
  </si>
  <si>
    <t>আগে দুঃখ, পরে সুখ</t>
  </si>
  <si>
    <t>ধৈর্য ধরলে কষ্টের পর সুখ আসে।</t>
  </si>
  <si>
    <t>First sorrow, then joy.</t>
  </si>
  <si>
    <t>আগে দেও কড়ি, তবে দেবো বড়ি</t>
  </si>
  <si>
    <t>আগে টাকা দাও, তবে বড়ি দেবো</t>
  </si>
  <si>
    <t>অর্থ ছাড়া কিছু হয় না; লেনদেনের নীতি।</t>
  </si>
  <si>
    <t>First give money, then I'll give you lentil dumplings.</t>
  </si>
  <si>
    <t>বণিক/লেনদেনকারী</t>
  </si>
  <si>
    <t>আগে দেখ পরে লও শেষে দাও কড়ি</t>
  </si>
  <si>
    <t>আগে দেখো, পরে নাও, শেষে টাকা দাও</t>
  </si>
  <si>
    <t>কোনো কিছু কেনার আগে ভালোভাবে দেখে তারপর দাম দিও।</t>
  </si>
  <si>
    <t>First inspect, then take, finally pay.</t>
  </si>
  <si>
    <t>আগে দেখো, পরে লাফাও</t>
  </si>
  <si>
    <t>আগে দেখো, পরে লাফ দাও</t>
  </si>
  <si>
    <t>ভাবনাচিন্তা না করে কিছু করো না; জেনেশুনে পদক্ষেপ নাও।</t>
  </si>
  <si>
    <t>Look before you leap.</t>
  </si>
  <si>
    <t>আগে না বুঝিলে বাছা যৌবনের ভরে, পশ্চাতে কাঁদিতে হবে নয়নের ঝোরে</t>
  </si>
  <si>
    <t>আগে যৌবনের ভরে না বুঝলে, পরে চোখের জলে কাঁদতে হবে</t>
  </si>
  <si>
    <t>যৌবনের অহংকারে না ভেবে কাজ করলে শেষে অনুতাপ করতে হয়।</t>
  </si>
  <si>
    <t>If you don't understand in youth, you'll weep tears later.</t>
  </si>
  <si>
    <t>যুবক/যুবতী</t>
  </si>
  <si>
    <t>আগে নিজেকে সংশোধন কর, পরে অপরের সংশোধন করবে</t>
  </si>
  <si>
    <t>আগে নিজেকে শুধরাও, পরে অপরকে শুধরাবে</t>
  </si>
  <si>
    <t>অন্যকে দোষারোপের আগে আত্মসংশোধন জরুরি।</t>
  </si>
  <si>
    <t>First correct yourself, then correct others.</t>
  </si>
  <si>
    <t>আগেপাছে লন্ঠন কাজের বেলায় ঠনঠন</t>
  </si>
  <si>
    <t>আগে-পিছে লন্ঠন, কিন্তু কাজে ঠনঠন (কিছুই হয় না)</t>
  </si>
  <si>
    <t>ভড়ং অনেক, কিন্তু কাজ শূন্য।</t>
  </si>
  <si>
    <t>Showy all around, but nothing gets done.</t>
  </si>
  <si>
    <t>ভড়ংপ্রিয়/অকর্মণ্য</t>
  </si>
  <si>
    <t>আগে পাজি, পরে কাজী, পরে হাজী, শেষে গাজী</t>
  </si>
  <si>
    <t>আগে পাজি (বদমাশ), পরে কাজী (বিচারক), তারপর হাজী, শেষে গাজী (বিজয়ী)</t>
  </si>
  <si>
    <t>একজন বদমাশই পরে সম্মানিত হয়; নীচ ব্যক্তির উত্থান।</t>
  </si>
  <si>
    <t>First a rogue, then a judge, then a Hajji, finally a Ghazi.</t>
  </si>
  <si>
    <t>বদমাশ/সুযোগসন্ধানী</t>
  </si>
  <si>
    <t>আগেপিঠে দড় তবে ঘোড়ার পিঠে চড়</t>
  </si>
  <si>
    <t>আগে-পিঠে দড়ি বাঁধো, তারপর ঘোড়ায় চড়ো</t>
  </si>
  <si>
    <t>সুরক্ষা নিশ্চিত না করে কোনো কাজ শুরু করো না; সাবধানতা জরুরি।</t>
  </si>
  <si>
    <t>Tie the ropes well, then mount the horse.</t>
  </si>
  <si>
    <t>আগে ফাঁসি পরে বিচার</t>
  </si>
  <si>
    <t>আগে ফাঁসি, পরে বিচার</t>
  </si>
  <si>
    <t>উল্টো প্রক্রিয়া; অপরাধী শনাক্তের আগেই শাস্তি।</t>
  </si>
  <si>
    <t>Hanging first, trial later.</t>
  </si>
  <si>
    <t>বিচারক/শাসক</t>
  </si>
  <si>
    <t>অন্যায়</t>
  </si>
  <si>
    <t>আগে ভাল ছিল জেলে জালদড়া বুনে, কি কাজ করিল জেলে এঁড়ে গরু কিনে</t>
  </si>
  <si>
    <t>আগে ভালো ছিল জেলে জালের দড়ি বুনে; এখন এঁড়ে গরু কিনে কী করল</t>
  </si>
  <si>
    <t>অতিরিক্ত লোভ করতে গিয়ে মূল ব্যবসা নষ্ট করা।</t>
  </si>
  <si>
    <t>The fisherman was fine making nets; what did he do buying a bull?</t>
  </si>
  <si>
    <t>লোভী/অবিবেচক</t>
  </si>
  <si>
    <t>আগের চেয়ে দেরী ভালো</t>
  </si>
  <si>
    <t>দেরি হলেও কাজ ভালো; আগের চেয়ে দেরি ভালো</t>
  </si>
  <si>
    <t>তাড়াহুড়ো না করে দেরিতে কাজ করাই ভালো; দেরি হলেও সংশোধন করা যায়।</t>
  </si>
  <si>
    <t>Better late than never.</t>
  </si>
  <si>
    <t>আগের (ভোরের) পাখি পোকা/মাছি ধরে</t>
  </si>
  <si>
    <t>ভোরের পাখি পোকা বা মাছি ধরে</t>
  </si>
  <si>
    <t>প্রত্যুষে যে জাগে, সে সফল হয়; অলস কিছু পায় না।</t>
  </si>
  <si>
    <t>The early bird catches the worm.</t>
  </si>
  <si>
    <t>ভোরে ওঠা ব্যক্তি</t>
  </si>
  <si>
    <t>আগের লাঙল (হাল) যে দিকে যায় পাছের লাঙল/হাল সে দিকে যায়</t>
  </si>
  <si>
    <t>সামনের লাঙল যেদিকে যায়, পেছনের লাঙল সেদিকে যায়</t>
  </si>
  <si>
    <t>নেতা যেদিকে যায়, অনুসারীরা সেদিকে যায়।</t>
  </si>
  <si>
    <t>The front plough leads, the rear follows.</t>
  </si>
  <si>
    <t>আগে রামনাম পরে সবকাম</t>
  </si>
  <si>
    <t>আগে রামের নাম, পরে সব কাজ</t>
  </si>
  <si>
    <t>যেকোনো কাজ ঈশ্বরের নাম নিয়ে শুরু করো।</t>
  </si>
  <si>
    <t>First chant Ram's name, then all other tasks.</t>
  </si>
  <si>
    <t>হিন্দু ধর্মাবলম্বী</t>
  </si>
  <si>
    <t>আগে রাহ বাতায়ে পাছে গোঁতা</t>
  </si>
  <si>
    <t>আগে পথ দেখায়, পরে ধাক্কা মারে</t>
  </si>
  <si>
    <t>প্রথমে সাহায্যের ভান, পরে প্রতারণা বা ক্ষতি।</t>
  </si>
  <si>
    <t>First shows the way, then pushes you.</t>
  </si>
  <si>
    <t>আগে সামলা ধাক্কা, পরে যাবি মক্কা</t>
  </si>
  <si>
    <t>আগে ধাক্কা সামলাও, পরে মক্কা যেও</t>
  </si>
  <si>
    <t>জীবনের প্রয়োজনীয় কাজ আগে সারো, তারপর তীর্থ করো।</t>
  </si>
  <si>
    <t>First manage your worldly troubles, then go to Mecca.</t>
  </si>
  <si>
    <t>আগে হলাম আমি, পিছে হল মা; হাসতে হাসতে দাদা হলো বাবা হলো না</t>
  </si>
  <si>
    <t>আগে জন্ম আমার, পরে মায়ের; হাসতে হাসতে দাদা হলো, বাবা হলো না</t>
  </si>
  <si>
    <t>উল্টোপাল্টা বংশপরিচয়; অবাস্তব পরিহাস।</t>
  </si>
  <si>
    <t>I was born first, then my mother; laughingly, I became a brother, but my father never came.</t>
  </si>
  <si>
    <t>আগে হাঁটে, পাঁঠা কাটে, প্রদীপ উস্কোয়, দই বাঁটে; ভাণ্ডারী, কাণ্ডারী, রাঁধুনী বামুন, যশ পায় না এই সাতজন</t>
  </si>
  <si>
    <t>এই সাতজন কাজ করেও যশ পায় না: যে পথ দেখায়, পাঁঠা কাটে, প্রদীপ জ্বালায়, দই বাটে, ভাণ্ডারী, কাণ্ডারী, রাঁধুনি বামুন</t>
  </si>
  <si>
    <t>যারা পর্দার অন্তরালে খাটে, তারা কখনো প্রশংসা পায় না।</t>
  </si>
  <si>
    <t>Seven people never get credit: the guide, the butcher, the lamp-lighter, the yogurt-churner, the storekeeper, the helmsman, the Brahmin cook.</t>
  </si>
  <si>
    <t>কর্মচারী/অদৃশ্য শ্রমিক</t>
  </si>
  <si>
    <t>শ্রম/সম্মান</t>
  </si>
  <si>
    <t>আগ্রার মানুষ তাজমহল দেখে না</t>
  </si>
  <si>
    <t>নিজের কাছে যা সহজলভ্য, মানুষ তার মূল্য দেয় না।</t>
  </si>
  <si>
    <t>People of Agra never visit the Taj Mahal.</t>
  </si>
  <si>
    <t>আগ্রাবাসী</t>
  </si>
  <si>
    <t>উপেক্ষা</t>
  </si>
  <si>
    <t>আঘাত করলে প্রত্যাঘাত খেতে হয়</t>
  </si>
  <si>
    <t>আঘাত করলে পাল্টা আঘাত খেতে হয়</t>
  </si>
  <si>
    <t>অন্যায় করলে শাস্তি পেতে হয়।</t>
  </si>
  <si>
    <t>If you strike, you'll be struck back.</t>
  </si>
  <si>
    <t>আঙুর ফল টক</t>
  </si>
  <si>
    <t>না পেয়ে দোষ বলা; যেমন শিয়াল আঙুরকে টক বলেছিল।</t>
  </si>
  <si>
    <t>The grapes are sour.</t>
  </si>
  <si>
    <t>আঙুল ঘুরিয়ে পাঁচিল দেওয়া</t>
  </si>
  <si>
    <t>আঙুল ঘুরিয়ে প্রাচীর দেওয়া</t>
  </si>
  <si>
    <t>সামান্য উপায়ে বিরাট কাজ করতে চাওয়া; অসম্ভব বাধা দেওয়া।</t>
  </si>
  <si>
    <t>Building a wall by twisting a finger—an impossible task.</t>
  </si>
  <si>
    <t>আঙুল ফুলে কলাগাছ১</t>
  </si>
  <si>
    <t>আঙুল ফুলে কলাগাছ (হওয়া)</t>
  </si>
  <si>
    <t>হঠাৎ ধনী হয়ে অহংকারে ফুলে ওঠা।</t>
  </si>
  <si>
    <t>Fingers swelling to a banana tree—sudden wealth puffing up.</t>
  </si>
  <si>
    <t>নব ধনী</t>
  </si>
  <si>
    <t>আঙুল ফুলে কলাগাছ২</t>
  </si>
  <si>
    <t>আঙুল ফুলে কলাগাছ (দ্বিতীয় অর্থ)</t>
  </si>
  <si>
    <t>তুচ্ছকে মহান ভাবা; অসম্ভব উন্নতি।</t>
  </si>
  <si>
    <t>Fingers becoming banana tree—exaggeration.</t>
  </si>
  <si>
    <t>অতিরঞ্জিত ব্যক্তি</t>
  </si>
  <si>
    <t>আচরণ দ্বিতীয়প্রকৃতি</t>
  </si>
  <si>
    <t>আচরণ দ্বিতীয় প্রকৃতি</t>
  </si>
  <si>
    <t>অভ্যাস মানুষের দ্বিতীয় স্বভাব।</t>
  </si>
  <si>
    <t>Habit is second nature.</t>
  </si>
  <si>
    <t>আচরণ দড়ির মত, আমরা প্রতিদিন দড়ি পাকাই এবং শেষপর্যন্ত সেটা ছিঁড়তে পারি না</t>
  </si>
  <si>
    <t>আচরণ দড়ির মতো, প্রতিদিন পাকিয়ে শেষে ছিঁড়তে পারি না</t>
  </si>
  <si>
    <t>অভ্যাস এমন শক্ত হয় যে ছাড়া যায় না।</t>
  </si>
  <si>
    <t>Habit is like a rope; we twist it daily until we can't break it.</t>
  </si>
  <si>
    <t>আচার ভ্রষ্ট, সদা কষ্ট</t>
  </si>
  <si>
    <t>আচার ভ্রষ্ট হলে সবসময় কষ্ট</t>
  </si>
  <si>
    <t>যে রীতিনীতি লঙ্ঘন করে, তার জীবনে শান্তি নেই।</t>
  </si>
  <si>
    <t>One who breaks customs always suffers.</t>
  </si>
  <si>
    <t>রীতিভঙ্গকারী</t>
  </si>
  <si>
    <t>আচার</t>
  </si>
  <si>
    <t>আচারে বাড়া বিচারে এড়া</t>
  </si>
  <si>
    <t>আচারে বাড়া (বাড়াবাড়ি), কিন্তু বিচারে এড়া (অনুপস্থিত)</t>
  </si>
  <si>
    <t>কাজে আড়ম্বর, কিন্তু যুক্তিতে ফাঁকা।</t>
  </si>
  <si>
    <t>Overdone in rituals, absent in logic.</t>
  </si>
  <si>
    <t>ভণ্ড/মূর্খ</t>
  </si>
  <si>
    <t>আচারে লক্ষ্মী, বিচারে পণ্ডিত</t>
  </si>
  <si>
    <t>আচারে লক্ষ্মী (ধন), বিচারে পণ্ডিত</t>
  </si>
  <si>
    <t>যার আচার-ব্যবহার ভালো, সে লক্ষ্মীর বাসস্থান; আর বিচার-বুদ্ধি সম্পন্ন।</t>
  </si>
  <si>
    <t>A home of Lakshmi in conduct, a scholar in judgment.</t>
  </si>
  <si>
    <t>আছে কাজ তাই সকালসকাল সাজ</t>
  </si>
  <si>
    <t>কাজ থাকলে সকাল সকাল সাজতে হয়</t>
  </si>
  <si>
    <t>প্রস্তুতি থাকলে কাজ তাড়াতাড়ি শেষ হয়।</t>
  </si>
  <si>
    <t>If there's work, dress early.</t>
  </si>
  <si>
    <t>আছে গরু না পায় হালে, দুঃখ না ছাড়ে কোন কালে- খনা</t>
  </si>
  <si>
    <t>গরু থাকলেও যদি হালে না পায়, তবে দুঃখ কখনো যায় না</t>
  </si>
  <si>
    <t>সুযোগ থাকা সত্ত্বেও যদি কাজ না হয়, তাহলে চিরকাল দুঃখ।</t>
  </si>
  <si>
    <t>Having oxen but not yoking them—sorrow never leaves.</t>
  </si>
  <si>
    <t>কৃষক/অলস</t>
  </si>
  <si>
    <t>আছে যথেষ্ট নেই অদৃষ্ট</t>
  </si>
  <si>
    <t>যথেষ্ট আছে, কিন্তু অদৃষ্ট/ভাগ্য নেই</t>
  </si>
  <si>
    <t>প্রচুর সম্পদ থাকা সত্ত্বেও ভাগ্য না থাকলে লাভ হয় না।</t>
  </si>
  <si>
    <t>Enough in hand but no luck.</t>
  </si>
  <si>
    <t>দুর্ভাগা ধনী</t>
  </si>
  <si>
    <t>আজ আমীর/বাদশা কাল ফকির</t>
  </si>
  <si>
    <t>আজ আমীর/বাদশা, কাল ফকির</t>
  </si>
  <si>
    <t>ভাগ্যের পরিবর্তন হঠাৎ ঘটে; আজ ধনী কাল ভিখারী।</t>
  </si>
  <si>
    <t>Today a king, tomorrow a beggar.</t>
  </si>
  <si>
    <t>ধনী ও গরিব</t>
  </si>
  <si>
    <t>আজই সত্য, আগামীকাল কখনো আসে না</t>
  </si>
  <si>
    <t>আজই সত্য, কাল কখনো আসে না</t>
  </si>
  <si>
    <t>বর্তমানই বাস্তব; ভবিষ্যৎ অনিশ্চিত।</t>
  </si>
  <si>
    <t>Today is real, tomorrow never comes.</t>
  </si>
  <si>
    <t>আজ খেতে কাল নেই</t>
  </si>
  <si>
    <t>আজ খাচ্ছে, কাল নেই (খাবার)</t>
  </si>
  <si>
    <t>অভাব এমন যে আজ খেলেও কালের কোনো নিশ্চয়তা নেই।</t>
  </si>
  <si>
    <t>Eat today, no tomorrow.</t>
  </si>
  <si>
    <t>অভাবগ্রস্ত</t>
  </si>
  <si>
    <t>আজ খায় না রাগে, কাল সবার আগে</t>
  </si>
  <si>
    <t>আজ রাগে খায় না, কাল সবার আগে</t>
  </si>
  <si>
    <t>অভিমানে আজ খাচ্ছে না, কিন্তু পরে দ্বিগুণ উৎসাহে খাবে।</t>
  </si>
  <si>
    <t>Doesn't eat today in anger, tomorrow will eat ahead of all.</t>
  </si>
  <si>
    <t>রাগী/অভিমানী</t>
  </si>
  <si>
    <t>আজ নগদ কাল ধার ধারের পায়ে নমস্কার</t>
  </si>
  <si>
    <t>আজ নগদ, কাল ধার; ধারের চেয়ে নগদ ভালো</t>
  </si>
  <si>
    <t>নগদ টাকা থাকাই নিরাপদ; ধারের ভরসা নেই।</t>
  </si>
  <si>
    <t>Cash today, credit tomorrow—salute to cash.</t>
  </si>
  <si>
    <t>আজ বুঝলি না বুঝবি কাল, বুক চাপড়াবি পাড়বি গাল</t>
  </si>
  <si>
    <t>আজ বুঝলে না, কাল বুঝবে; বুক চাপড়াবে, গাল পাড়বে</t>
  </si>
  <si>
    <t>সময়ের কাজ সময়ে না করলে পরে আফসোস করতে হবে।</t>
  </si>
  <si>
    <t>You don't understand today, you will tomorrow—then you'll beat your chest and wail.</t>
  </si>
  <si>
    <t>অবুঝ/অলস</t>
  </si>
  <si>
    <t>আজ মরলে কাল দুদিন হবে</t>
  </si>
  <si>
    <t>আজ মরলে কাল দুদিন হবে (মৃত্যুর পর আর দিন গোনা হবে না)</t>
  </si>
  <si>
    <t>মৃত্যুর পর সময়ের হিসাব শেষ।</t>
  </si>
  <si>
    <t>If I die today, tomorrow will be the second day (of mourning).</t>
  </si>
  <si>
    <t>আজ মুচি কাল শুচি</t>
  </si>
  <si>
    <t>আজ মুচি (নীচু জাত), কাল শুচি (পবিত্র)</t>
  </si>
  <si>
    <t>ভাগ্যের পরিবর্তনে নীচুও উচ্চ হতে পারে।</t>
  </si>
  <si>
    <t>Today a cobbler, tomorrow a high-caste.</t>
  </si>
  <si>
    <t>নীচু জাত/পেশা</t>
  </si>
  <si>
    <t>ভাগ্য/বর্ণ</t>
  </si>
  <si>
    <t>আজ রাজা কাল ভিখারী ফুটানি করে দিন দুচারি</t>
  </si>
  <si>
    <t>আজ রাজা, কাল ভিখারী; দিন চারেক ফুটানি (বড়াই) করে</t>
  </si>
  <si>
    <t>হঠাৎ ধনী হয়ে কিছুদিন বড়াই করে, তারপর নিঃস্ব হয়।</t>
  </si>
  <si>
    <t>Today a king, tomorrow a beggar—shows off for a couple of days.</t>
  </si>
  <si>
    <t>আজের কাজী, পরে হাজী, পরে গাজী</t>
  </si>
  <si>
    <t>আজ কাজী (বিচারক), পরে হাজী, তারপর গাজী (বিজেতা)</t>
  </si>
  <si>
    <t>বদমাশ ধাপে ধাপে ক্ষমতায় ও সম্মানে পৌঁছায়।</t>
  </si>
  <si>
    <t>Today a judge, then a Hajji, then a Ghazi—a rogue's ascent.</t>
  </si>
  <si>
    <t>ক্ষমতালোভী</t>
  </si>
  <si>
    <t>আটঘাট বাঁধা</t>
  </si>
  <si>
    <t>আট ঘাট বেঁধে রাখা</t>
  </si>
  <si>
    <t>সব দিক দিয়ে সতর্ক থাকা; সম্পূর্ণ প্রস্তুত।</t>
  </si>
  <si>
    <t>Tied at eight ghats—fully prepared.</t>
  </si>
  <si>
    <t>আটে কাটে/পিঠে দড় ত ঘোড়ার পিঠে চড়</t>
  </si>
  <si>
    <t>আটে কাটে/পিঠে দড়ি থাকলে ঘোড়ায় চড়া যায়</t>
  </si>
  <si>
    <t>সবদিকে বাঁধা থাকলে নির্ভয়ে কাজ করা যায়।</t>
  </si>
  <si>
    <t>If tied at eight points, mount the horse.</t>
  </si>
  <si>
    <t>আঠারো মাসে বছর ফুরায়</t>
  </si>
  <si>
    <t>আঠারো মাসে বছর শেষ হয়</t>
  </si>
  <si>
    <t>যার উপর দিয়ে ক্রমাগত বিপদ যায়, তার কাছে সময় দীর্ঘ মনে হয়।</t>
  </si>
  <si>
    <t>The year ends in eighteen months—time drags for the unfortunate.</t>
  </si>
  <si>
    <t>আড়াই আঙ্গুল দড়ি, সৃষ্টি জুড়ে বেড়ি</t>
  </si>
  <si>
    <t>আড়াই আঙুলের দড়ি, সৃষ্টি জুড়ে বেড়ি</t>
  </si>
  <si>
    <t>সামান্য বাঁধনেও সমগ্র সৃষ্টি বন্দী; নিয়তির শৃঙ্খল।</t>
  </si>
  <si>
    <t>A rope of two and a half fingers binds the whole creation.</t>
  </si>
  <si>
    <t>আড়াই কড়ার কাসুন্দি, হাজার কাকের গোল</t>
  </si>
  <si>
    <t>আড়াই পয়সার কাসুন্দির জন্য হাজার কাকের কোলাহল</t>
  </si>
  <si>
    <t>সামান্য জিনিসের জন্য বিরাট হট্টগোল।</t>
  </si>
  <si>
    <t>A penny-worth of mustard sauce draws a thousand crows.</t>
  </si>
  <si>
    <t>আড়াই দিনের বাদশাহী</t>
  </si>
  <si>
    <t>আড়াই দিনের রাজত্ব</t>
  </si>
  <si>
    <t>ক্ষণস্থায়ী সুখ বা ক্ষমতা।</t>
  </si>
  <si>
    <t>A reign of two and a half days—short-lived power.</t>
  </si>
  <si>
    <t>স্বল্পস্থায়ী ক্ষমতাধর</t>
  </si>
  <si>
    <t>আড়ে নাই অসাড়ে (অসার)১</t>
  </si>
  <si>
    <t>আড়ে নেই, অস্থিরতায় (অসাড়) আছে</t>
  </si>
  <si>
    <t>উপযুক্ত পাত্র নেই; অযোগ্যরা জুটেছে।</t>
  </si>
  <si>
    <t>No one in crosswise, but in restlessness—unworthy.</t>
  </si>
  <si>
    <t>আড়ে নাই অসাড়ে (অসার)২</t>
  </si>
  <si>
    <t>যে কাজে কোনো কৃতিত্ব নেই, অথচ অস্থিরতা আছে।</t>
  </si>
  <si>
    <t>No talent, only restlessness.</t>
  </si>
  <si>
    <t>অস্থির/অযোগ্য</t>
  </si>
  <si>
    <t>আড়ে হাতে লওয়া</t>
  </si>
  <si>
    <t>আড়ে হাতে নেওয়া</t>
  </si>
  <si>
    <t>বিপরীত হাতে নেওয়া; কঠিন প্রতিজ্ঞা করা; বা বিরোধিতা শুরু করা।</t>
  </si>
  <si>
    <t>To take by the cross hand—to oppose or undertake a tough vow.</t>
  </si>
  <si>
    <t>আড়ে হাতে লাগা১</t>
  </si>
  <si>
    <t>আড়ে হাতে লাগা</t>
  </si>
  <si>
    <t>উল্টো পথে কাজে নামা; বাধা দেওয়া।</t>
  </si>
  <si>
    <t>To engage cross-handed—to obstruct.</t>
  </si>
  <si>
    <t>বাধাদানকারী</t>
  </si>
  <si>
    <t>আড়ে হাতে লাগা২</t>
  </si>
  <si>
    <t>প্রতিকূল পরিস্থিতিতে কাজ শুরু করা; প্রতিজ্ঞায় আবদ্ধ হওয়া।</t>
  </si>
  <si>
    <t>Starting a task the wrong way—committed despite difficulties.</t>
  </si>
  <si>
    <t>প্রতিজ্ঞাবদ্ধ</t>
  </si>
  <si>
    <t>আড়ের সাঁত আর ছিরে বুড়োর মাড়ি</t>
  </si>
  <si>
    <t>আড়ের সাঁতার আর বুড়োর ছেঁড়া মাড়ি</t>
  </si>
  <si>
    <t>অসম্ভব বা অপ্রাসঙ্গিক বিষয়; কোনোটাই ভালো নয়।</t>
  </si>
  <si>
    <t>Sideways swimming and old man's torn gums—both useless.</t>
  </si>
  <si>
    <t>শারীরিক/ব্যঙ্গ</t>
  </si>
  <si>
    <t>আতি চোর পাতি চোর হ'তে হ'তে সিঁদেল চোর</t>
  </si>
  <si>
    <t>আতি (অতি) চোর থেকে পাতি (ছোট) চোর, তারপর সিঁদেল (প্রবেশকারী) চোর</t>
  </si>
  <si>
    <t>ছোট থেকে বড় অপরাধী হওয়া; ক্রমশ পাপ বাড়া।</t>
  </si>
  <si>
    <t>From petty thief to regular thief to house-breaker—escalating crime.</t>
  </si>
  <si>
    <t>চোর/অপরাধী</t>
  </si>
  <si>
    <t>আতুরে নিয়ম নাস্তি</t>
  </si>
  <si>
    <t>আতুরের (রুগ্ণ) কোনো নিয়ম নেই</t>
  </si>
  <si>
    <t>রোগী বা অসহায় ব্যক্তির জন্য নিয়ম খাটে না।</t>
  </si>
  <si>
    <t>There are no rules for the sick.</t>
  </si>
  <si>
    <t>আত্মচ্ছিদ্রং ন জানাতি পরচ্ছিদ্রানুসারিণঃ</t>
  </si>
  <si>
    <t>নিজের ছিদ্র জানে না, পরের ছিদ্র খোঁজে</t>
  </si>
  <si>
    <t>যে পরের দোষ খুঁজে বেড়ায়, সে নিজের দোষ দেখে না।</t>
  </si>
  <si>
    <t>He who searches for others' holes does not know his own.</t>
  </si>
  <si>
    <t>দোষান্বেষী</t>
  </si>
  <si>
    <t>আত্মতুষ্টি সঙ্কীর্ণ মনের পরিচয়</t>
  </si>
  <si>
    <t>আত্মতুষ্টি সংকীর্ণ মনের পরিচয়</t>
  </si>
  <si>
    <t>নিজে তুষ্ট থাকা মানে মনের দৈন্য।</t>
  </si>
  <si>
    <t>Self-satisfaction is a sign of a narrow mind.</t>
  </si>
  <si>
    <t>আত্মতুষ্ট</t>
  </si>
  <si>
    <t>আত্মনং বিদ্ধি</t>
  </si>
  <si>
    <t>নিজেকে জানো</t>
  </si>
  <si>
    <t>আত্মোপলব্ধিই শ্রেষ্ঠ জ্ঞান।</t>
  </si>
  <si>
    <t>Know thyself.</t>
  </si>
  <si>
    <t>আত্মনং সততং রক্ষেৎ পশ্চাদ্দার ধনানি চ</t>
  </si>
  <si>
    <t>আগে নিজেকে রক্ষা করো, পরে স্ত্রী ও ধন</t>
  </si>
  <si>
    <t>নিজের প্রাণ বাঁচিয়ে তারপর পরিবার ও সম্পদের কথা ভাবো।</t>
  </si>
  <si>
    <t>First protect yourself, then your wife and wealth.</t>
  </si>
  <si>
    <t>পুরুষ/স্বামী</t>
  </si>
  <si>
    <t>আত্মবৎ সর্বভূতেষু য পশ্যতি সে পণ্ডিত</t>
  </si>
  <si>
    <t>সর্বভূতে আত্মাকে যে দেখে সেই পণ্ডিত</t>
  </si>
  <si>
    <t>যে সকল প্রাণীতে নিজেকে দেখে, সেই জ্ঞানী।</t>
  </si>
  <si>
    <t>He who sees himself in all beings is a sage.</t>
  </si>
  <si>
    <t>জ্ঞানী/দার্শনিক</t>
  </si>
  <si>
    <t>আত্মবন্মন্যতে জগৎ</t>
  </si>
  <si>
    <t>জগৎকে আত্মবৎ (নিজের মতো) মনে করে</t>
  </si>
  <si>
    <t>মানুষ নিজের স্বভাবে জগৎকে বিচার করে।</t>
  </si>
  <si>
    <t>One thinks the world to be like oneself.</t>
  </si>
  <si>
    <t>আত্মবুদ্ধি শুভকরী/শুভঙ্করী</t>
  </si>
  <si>
    <t>নিজের বুদ্ধি শুভকর/মঙ্গলকর</t>
  </si>
  <si>
    <t>নিজের বুদ্ধিতেই মঙ্গল; পরের উপর নির্ভর করো না।</t>
  </si>
  <si>
    <t>One's own intellect brings good.</t>
  </si>
  <si>
    <t>আত্মানং সততং রক্ষেৎ পশ্চাদ্দার ধনানি চ</t>
  </si>
  <si>
    <t>নিজেকে সর্বদা রক্ষা করো, পরে স্ত্রী ও ধন</t>
  </si>
  <si>
    <t>প্রথমে আত্মরক্ষা, তারপর পরিবার।</t>
  </si>
  <si>
    <t>Always protect yourself first, then wife and wealth.</t>
  </si>
  <si>
    <t>আত্ম রেখে ধর্ম পরে পিতৃকর্ম</t>
  </si>
  <si>
    <t>আত্মা রেখে তারপর ধর্ম ও পিতৃকর্ম</t>
  </si>
  <si>
    <t>নিজের অস্তিত্ব টিকিয়ে রেখে ধর্মকর্ম করো।</t>
  </si>
  <si>
    <t>Keep yourself alive first, then do religious rites and ancestor worship.</t>
  </si>
  <si>
    <t>আত্মারাম খাঁচাছাড়া</t>
  </si>
  <si>
    <t>আত্মারাম (প্রাণ) খাঁচাছাড়া</t>
  </si>
  <si>
    <t>দেহ ছেড়ে প্রাণ বের হওয়া; মৃত্যু।</t>
  </si>
  <si>
    <t>The soul bird out of the cage—death.</t>
  </si>
  <si>
    <t>আত্মার্থে পৃথিবীং ত্যজেৎ</t>
  </si>
  <si>
    <t>নিজের স্বার্থে পৃথিবী ত্যাগ করে</t>
  </si>
  <si>
    <t>নিজের জন্য সব ছাড়তে প্রস্তুত।</t>
  </si>
  <si>
    <t>For one's own sake, one may abandon the world.</t>
  </si>
  <si>
    <t>আদব শেখো বেয়াদবের কাছে</t>
  </si>
  <si>
    <t>আদব শেখো বেআদবের (অভদ্র) কাছে</t>
  </si>
  <si>
    <t>যে নিজে অভদ্র, তার কাছে ভদ্রতা শেখা হাস্যকর।</t>
  </si>
  <si>
    <t>Learn manners from the unmannerly—ironic.</t>
  </si>
  <si>
    <t>অভদ্র/বেয়াদব</t>
  </si>
  <si>
    <t>আদম ছিলেন প্রথম ভাগ্যবান ব্যক্তি যার শাশুড়ি ছিল না- ইহুদি প্রবাদ</t>
  </si>
  <si>
    <t>আদম প্রথম ভাগ্যবান, কারণ তার শাশুড়ি ছিল না</t>
  </si>
  <si>
    <t>শাশুড়ি না থাকা সৌভাগ্যের লক্ষণ—কৌতুক।</t>
  </si>
  <si>
    <t>Adam was the first lucky man—he had no mother-in-law.</t>
  </si>
  <si>
    <t>শাশুড়ি (স্ত্রী-সম্পর্কিত)</t>
  </si>
  <si>
    <t>আদর যখন জুটে, ফুটকলাই দিয়ে ফুটে;  আদর যখন টুটে, ঢেঁকি দিয়ে কুটে</t>
  </si>
  <si>
    <t>আদর পেলে ফুটকলাই দিয়ে ফুটে; আদর টুটলে ঢেঁকি দিয়ে কুটে (পিষে)</t>
  </si>
  <si>
    <t>ভালোবাসা পেলে ফুলে ওঠে, অবহেলা পেলে মানসিক পীড়ন।</t>
  </si>
  <si>
    <t>When love is showered, even split lentils swell; when love breaks, it crushes like a grinding machine.</t>
  </si>
  <si>
    <t>ভালোবাসার পাত্র/পাত্রী</t>
  </si>
  <si>
    <t>আদরে বাঁদর বনে</t>
  </si>
  <si>
    <t>আদরে বাঁদর হয়ে যায়</t>
  </si>
  <si>
    <t>অতিরিক্ত প্রশ্রয়ে মানুষ বেয়াড়া হয়ে যায়।</t>
  </si>
  <si>
    <t>Spoiled by affection, one becomes a monkey.</t>
  </si>
  <si>
    <t>প্রশ্রয়প্রাপ্ত</t>
  </si>
  <si>
    <t>আদরের ভোজন কি করে ব্যঞ্জন</t>
  </si>
  <si>
    <t>আদরের ভোজনে কী করে ব্যঞ্জন (তরকারি)</t>
  </si>
  <si>
    <t>ভালোবেসে খাওয়ালে উপকরণ দরকার হয় না।</t>
  </si>
  <si>
    <t>When fed with love, what need for fancy dishes?</t>
  </si>
  <si>
    <t>আদা ওষুধের আধা</t>
  </si>
  <si>
    <t>আদা ওষুধের অর্ধেক</t>
  </si>
  <si>
    <t>আদার গুণ এত বেশি যে ওষুধের অর্ধেক কাজ একাই করে।</t>
  </si>
  <si>
    <t>Ginger is half the medicine.</t>
  </si>
  <si>
    <t>আদা কাঁচকলাসম্বন্ধ / আদায় কাঁচকলায়</t>
  </si>
  <si>
    <t>আদা আর কাঁচকলা সম্পর্ক—অমিল</t>
  </si>
  <si>
    <t>দুটি সম্পূর্ণ ভিন্ন জিনিস; কোনো সম্পর্ক নেই।</t>
  </si>
  <si>
    <t>Ginger and plantain connection—no relation.</t>
  </si>
  <si>
    <t>অসম্পর্ক</t>
  </si>
  <si>
    <t>আদাজল খেয়ে লাগা</t>
  </si>
  <si>
    <t>আদাজল খেয়ে লেগে যাওয়া</t>
  </si>
  <si>
    <t>প্রাণপণ চেষ্টা শুরু করা; সবকিছু তুচ্ছ করে কাজে ঝাঁপিয়ে পড়া।</t>
  </si>
  <si>
    <t>Drinking ginger-water and diving in—giving one's all.</t>
  </si>
  <si>
    <t>আদা ঝালের গাদা</t>
  </si>
  <si>
    <t>আদার ঝালের স্তূপ</t>
  </si>
  <si>
    <t>যে সব কাজে সক্রিয় কিন্তু কোনো কাজের নয়; অথবা অস্থিরমতি।</t>
  </si>
  <si>
    <t>A heap of ginger's heat—active but useless.</t>
  </si>
  <si>
    <t>অস্থির/অকর্মণ্য</t>
  </si>
  <si>
    <t>আদা শুকালেও ঝাল যায় না</t>
  </si>
  <si>
    <t>আদা শুকিয়ে গেলেও ঝাল কমে না</t>
  </si>
  <si>
    <t>গুণী ব্যক্তি দুরবস্থায়ও স্বকীয়তা হারায় না।</t>
  </si>
  <si>
    <t>Dried ginger still retains its pungency.</t>
  </si>
  <si>
    <t>আদাড়গাঁয়ে/বনে শিয়াল বাঘ/রাজা</t>
  </si>
  <si>
    <t>আগাছার বনে/প্রান্তরে শিয়াল রাজা</t>
  </si>
  <si>
    <t>যেখানে ভালো কেউ নেই, সেখানে নিকৃষ্টও প্রভুত্ব করে।</t>
  </si>
  <si>
    <t>In a wilderness, the jackal is king.</t>
  </si>
  <si>
    <t>অযোগ্য শাসক</t>
  </si>
  <si>
    <t>আদায় কাঁচকলায় সম্পর্ক</t>
  </si>
  <si>
    <t>আদা আর কাঁচকলার সম্পর্ক</t>
  </si>
  <si>
    <t>যাদের মধ্যে কোনো মিল নেই, তাদের সম্পর্ক অর্থহীন।</t>
  </si>
  <si>
    <t>Relation like ginger and green banana—no connection.</t>
  </si>
  <si>
    <t>আদার ব্যাপারীর জাহাজের খবর নেয়</t>
  </si>
  <si>
    <t>আদার ব্যবসায়ী জাহাজের খোঁজ নেয়</t>
  </si>
  <si>
    <t>ছোট মনের মানুষ বড় বিষয়েও নাক গলায়।</t>
  </si>
  <si>
    <t>A ginger trader inquires about ships—petty mind prying into big matters.</t>
  </si>
  <si>
    <t>হীন/অপ্রাসঙ্গিক</t>
  </si>
  <si>
    <t>আদি অন্ত পাওয়া ভার</t>
  </si>
  <si>
    <t>আদি আর শেষ খুঁজে পাওয়া কঠিন</t>
  </si>
  <si>
    <t>কোনো বিষয়ের সঠিক উৎস বা পরিণতি নির্ণয় কঠিন।</t>
  </si>
  <si>
    <t>Hard to find the beginning and the end.</t>
  </si>
  <si>
    <t>আদি/আদ্দি কহিলে মানুষ রুষ্ট</t>
  </si>
  <si>
    <t>আদি/আদ্দি বললে মানুষ রাগ করে</t>
  </si>
  <si>
    <t>শুরুর কথা বা পুরনো কথা তুললে মানুষ বিরক্ত হয়; অতীত ঘাঁটা উচিত নয়</t>
  </si>
  <si>
    <t>If you say 'beginning', people get angry.</t>
  </si>
  <si>
    <t>পুরনো কথা তোলা ব্যক্তি</t>
  </si>
  <si>
    <t>আদুরে গোপাল</t>
  </si>
  <si>
    <t>আদুরে গোপাল (আদরে বাঁদর)</t>
  </si>
  <si>
    <t>অতিরিক্ত আদরে নষ্ট ছেলে; প্রশ্রয়ে বেয়াড়া</t>
  </si>
  <si>
    <t>A spoilt child.</t>
  </si>
  <si>
    <t>আদুরে ছেলে</t>
  </si>
  <si>
    <t>লিঙ্গ/শিক্ষা</t>
  </si>
  <si>
    <t>আদেখলার ঘটি হল, জল খেতে খেতে পরাণ গেল</t>
  </si>
  <si>
    <t>আদেখলা নারীর ঘটি হল, জল খেতে খেতে প্রাণ গেল</t>
  </si>
  <si>
    <t>যে কখনো দেখেনি, প্রথম পেয়ে অতিরিক্ত ব্যবহারে নিজেকে শেষ করে</t>
  </si>
  <si>
    <t>The woman who never had a water pot dies from drinking.</t>
  </si>
  <si>
    <t>আদেখলা নারী</t>
  </si>
  <si>
    <t>আদ্দিকালের বদ্দিবুড়ো</t>
  </si>
  <si>
    <t>আদিকালের বুড়ো বোকা</t>
  </si>
  <si>
    <t>অতি প্রাচীন ও নির্বোধ ব্যক্তি; যার বুদ্ধি সম্পূর্ণ লোপ পেয়েছে</t>
  </si>
  <si>
    <t>An ancient old fool.</t>
  </si>
  <si>
    <t>বুড়ো/বয়স্ক পুরুষ</t>
  </si>
  <si>
    <t>বয়স/বুদ্ধি</t>
  </si>
  <si>
    <t>আধা কাঁচকলাসম্বন্ধ</t>
  </si>
  <si>
    <t>আধা কাঁচকলা সম্পর্ক</t>
  </si>
  <si>
    <t>কোনো সম্পর্কই নেই, যেমন আদা-কাঁচকলায় সম্পর্ক অসম্ভব</t>
  </si>
  <si>
    <t>A half-relation like ginger and green banana—no connection.</t>
  </si>
  <si>
    <t>আধা বটের আধা তিতর</t>
  </si>
  <si>
    <t>আধা হাঁস, আধা তিতির</t>
  </si>
  <si>
    <t>বেখাপ্পা জিনিস; দুই বিপরীতের অমিল মিশ্রণ</t>
  </si>
  <si>
    <t>Half duck, half partridge—incongruous.</t>
  </si>
  <si>
    <t>বেখাপ্পা ব্যক্তি</t>
  </si>
  <si>
    <t>আধিক্যে কুফল আছে</t>
  </si>
  <si>
    <t>বাড়াবাড়ি করলে ক্ষতি অবধারিত</t>
  </si>
  <si>
    <t>Excess brings misfortune.</t>
  </si>
  <si>
    <t>আন্‌ কাপাস নে তুলো</t>
  </si>
  <si>
    <t>আনো তুলা, নাও তুলা</t>
  </si>
  <si>
    <t>হিসেব চুকিয়ে নেওয়া; দেনাপাওনা মিটিয়ে দেওয়া</t>
  </si>
  <si>
    <t>Bring cotton, take cotton—exact settlement.</t>
  </si>
  <si>
    <t>হিসেবি ব্যক্তি</t>
  </si>
  <si>
    <t>আন শুনতে কান/ধান শোনে</t>
  </si>
  <si>
    <t>একটা শুনতে গিয়ে আরেকটা শোনে</t>
  </si>
  <si>
    <t>অমনোযোগী; কথায় মন না দিয়ে অন্য কিছু শোনা</t>
  </si>
  <si>
    <t>Listening to one thing, hears another—inattentive.</t>
  </si>
  <si>
    <t>আন (অন্য) মাগীর আন (অন্য) চিন্তে, দুয়ো মাগীর পতি চিন্তে</t>
  </si>
  <si>
    <t>অন্য নারীদের অন্য চিন্তা, সতীনের চিন্তা শুধু স্বামী</t>
  </si>
  <si>
    <t>সতীনের একমাত্র ধ্যান স্বামীকে পাওয়া</t>
  </si>
  <si>
    <t>Other women think of other things; a co-wife thinks only of her husband.</t>
  </si>
  <si>
    <t>সতীন/দুয়ো নারী</t>
  </si>
  <si>
    <t>আন (অন্য) সতীনে নাড়ে চাড়ে, বোন সতীনে পুড়িয়ে মারে</t>
  </si>
  <si>
    <t>অন্য সতীন শুধু নাড়াচাড়া করে, বোন সতীন পুড়িয়ে মারে</t>
  </si>
  <si>
    <t>নিজের বোন সতীন হলে সে-ই সবচেয়ে বেশি ঈর্ষা ও ক্ষতি করে</t>
  </si>
  <si>
    <t>Other co-wives just poke; a sister-co-wife burns.</t>
  </si>
  <si>
    <t>বোন সতীন/সতীন নারী</t>
  </si>
  <si>
    <t>আনন্দ ও কাজ সময়কে সংক্ষিপ্ত করে</t>
  </si>
  <si>
    <t>আনন্দ ও কাজ সময়কে ছোট করে</t>
  </si>
  <si>
    <t>সুখে বা কাজে সময় দ্রুত কেটে যায়</t>
  </si>
  <si>
    <t>Happiness and work make time fly.</t>
  </si>
  <si>
    <t>আনারস বলে কাঁঠাল ভাই তুমি বড় খসখসে</t>
  </si>
  <si>
    <t>আনারস কাঁঠালকে বলে, 'ভাই তুমি খুব খসখসে'</t>
  </si>
  <si>
    <t>নিজের দোষ না দেখে অপরের দোষ ধরা</t>
  </si>
  <si>
    <t>The pineapple calls the jackfruit rough—pot calling kettle black.</t>
  </si>
  <si>
    <t>দোষান্বেষী ব্যক্তি</t>
  </si>
  <si>
    <t>আন্ধেরা নগরী চৌপট রাজা; টাকা সের ভাজী, টাকা সের খাজা- হিন্দি প্রবাদ১</t>
  </si>
  <si>
    <t>অন্ধের নগরী, উল্টো রাজা; টাকা সের ভাজি, টাকা সের খাজা</t>
  </si>
  <si>
    <t>অপশাসনে সব উল্টোপাল্টা; মহার্ঘতা ও বিশৃঙ্খলা</t>
  </si>
  <si>
    <t>City of the blind, chaotic king; everything overpriced.</t>
  </si>
  <si>
    <t>আন্ধেরা নগরী চৌপট রাজা; টাকা সের ভাজী, টাকা সের খাজা- হিন্দি প্রবাদ২</t>
  </si>
  <si>
    <t>অন্ধের নগরী, উল্টো রাজা; এক সের ভাজি টাকা, এক সের খাজা টাকা</t>
  </si>
  <si>
    <t>অন্ধ শাসকের রাজ্যে মুল্যবোধ ও শৃঙ্খলা নেই</t>
  </si>
  <si>
    <t>In the blind king's city, chaos and overpricing rule.</t>
  </si>
  <si>
    <t>অন্ধ রাজা/অপশাসক</t>
  </si>
  <si>
    <t>আন্ধা-এ দোকানদেরে, খরিদ করে কালে</t>
  </si>
  <si>
    <t>অন্ধ দোকানদার, কালা ক্রেতা</t>
  </si>
  <si>
    <t>দুজনেই অক্ষম; কাজের কাজ কিছু হবে না</t>
  </si>
  <si>
    <t>A blind shopkeeper, a deaf customer—both incompetent.</t>
  </si>
  <si>
    <t>অক্ষম ব্যক্তি (অন্ধ ও কালা)</t>
  </si>
  <si>
    <t>শারীরিক/ব্যবসা</t>
  </si>
  <si>
    <t>আপৎসু বৈরাণি সমুদ্ভবন্তি</t>
  </si>
  <si>
    <t>বিপদে শত্রুতা উৎপন্ন হয়</t>
  </si>
  <si>
    <t>বিপদের সময় শত্রুতা বাড়ে</t>
  </si>
  <si>
    <t>Calamities breed enmities.</t>
  </si>
  <si>
    <t>আপ্ ভলা তো জগ্/সব ভলা</t>
  </si>
  <si>
    <t>আপন ভালো তো জগৎ ভালো</t>
  </si>
  <si>
    <t>নিজে ভালো হলে পৃথিবীও ভালো লাগে</t>
  </si>
  <si>
    <t>If you are good, the whole world is good.</t>
  </si>
  <si>
    <t>আপন কখনো পর হয় না</t>
  </si>
  <si>
    <t>আপন কখনো পর হয় না</t>
  </si>
  <si>
    <t>নিজের লোক চিরকাল আপনই থাকে</t>
  </si>
  <si>
    <t>One's own can never become a stranger.</t>
  </si>
  <si>
    <t>আপন/আপনার কোটে পাই চিঁড়ে কুটে খাই</t>
  </si>
  <si>
    <t>নিজের কোটে (পকেটে) চিঁড়ে কুটে খাই</t>
  </si>
  <si>
    <t>স্বাবলম্বী; নিজের উপার্জনে নিজের সুখ</t>
  </si>
  <si>
    <t>I crush and eat flattened rice from my own pocket—self-reliant.</t>
  </si>
  <si>
    <t>স্বাবলম্বী ব্যক্তি</t>
  </si>
  <si>
    <t>আপন/আপনার কোলে ঝোল সবাই টানে</t>
  </si>
  <si>
    <t>নিজের কোলের দিকে সবাই ঝোল টানে</t>
  </si>
  <si>
    <t>সবাই নিজের স্বার্থ দেখে; স্বার্থপরতা</t>
  </si>
  <si>
    <t>Everyone pulls the gruel towards their own lap—self-interest.</t>
  </si>
  <si>
    <t>আপন/আপনার গাঁয়ে কুকুর/শিয়াল রাজা</t>
  </si>
  <si>
    <t>নিজের গাঁয়ে কুকুর/শিয়াল রাজা</t>
  </si>
  <si>
    <t>যেখানে বড় কেউ নেই, সেখানে ছোটও প্রভু</t>
  </si>
  <si>
    <t>In his own village, a dog is king.</t>
  </si>
  <si>
    <t>নিকৃষ্ট/অযোগ্য শাসক</t>
  </si>
  <si>
    <t>আপন/আপনি গেলে ঘোল পায় না চাকরকে পাঠায় দুধের তরে</t>
  </si>
  <si>
    <t>নিজে গেলে ঘোল পায় না, চাকরকে পাঠায় দুধ আনতে</t>
  </si>
  <si>
    <t>নিজে অক্ষম, কিন্তু অন্যকে দিয়ে বড় কাজ আশা করা</t>
  </si>
  <si>
    <t>Himself fails to get buttermilk, yet sends a servant for milk.</t>
  </si>
  <si>
    <t>অক্ষম/মূর্খ</t>
  </si>
  <si>
    <t>আপন/আপনার ঘর রাজপ্রাসাদ</t>
  </si>
  <si>
    <t>নিজের ঘর রাজপ্রাসাদের সমান</t>
  </si>
  <si>
    <t>নিজের ঘরই সবচেয়ে আরামের ও সম্মানের</t>
  </si>
  <si>
    <t>One's own home is a royal palace.</t>
  </si>
  <si>
    <t>গৃহ</t>
  </si>
  <si>
    <t>আপন/আপনার ঘরে সবাই রাজা</t>
  </si>
  <si>
    <t>নিজের ঘরে সবাই রাজা</t>
  </si>
  <si>
    <t>নিজের গৃহে সবাই স্বাধীন ও ক্ষমতাশালী</t>
  </si>
  <si>
    <t>Every man is king in his own home.</t>
  </si>
  <si>
    <t>আপন/আপনার ঘোল কেউ টক বলে না</t>
  </si>
  <si>
    <t>নিজের ঘোল কেউ টক বলে না</t>
  </si>
  <si>
    <t>নিজের জিনিসের দোষ কেউ স্বীকার করে না</t>
  </si>
  <si>
    <t>Nobody says their own buttermilk is sour.</t>
  </si>
  <si>
    <t>স্ববিরোধী</t>
  </si>
  <si>
    <t>আপন/আপনার চরকায় তেল দাও</t>
  </si>
  <si>
    <t>নিজের চরকায় তেল দাও</t>
  </si>
  <si>
    <t>নিজের কাজে মন দাও; পরের ব্যাপারে নাক গলিও না</t>
  </si>
  <si>
    <t>Oil your own spinning wheel—mind your own business.</t>
  </si>
  <si>
    <t>আপন/আপনার চেয়ে পর ভালো, পর চেয়ে জঙ্গল ভালো</t>
  </si>
  <si>
    <t>নিজের লোকের চেয়ে পর ভালো, পরের চেয়ে জঙ্গল ভালো</t>
  </si>
  <si>
    <t>আত্মীয়ের থেকে নির্ভরযোগ্য কেউ নেই, কিন্তু কখনও একা থাকাও ভালো</t>
  </si>
  <si>
    <t>Better a stranger than kin, better a forest than a stranger.</t>
  </si>
  <si>
    <t>আত্মীয়/পর</t>
  </si>
  <si>
    <t>আপন/আপনার ছাগল বেঁধে রাখি পরের ছাগল হাততালি দিই</t>
  </si>
  <si>
    <t>নিজের ছাগল বেঁধে রাখি, পরের ছাগলকে হাততালি দিই</t>
  </si>
  <si>
    <t>নিজেরটা অবহেলা করে পরের জিনিসের প্রশংসা করা বোকামি</t>
  </si>
  <si>
    <t>Tie up my own goat and applaud others'—foolish.</t>
  </si>
  <si>
    <t>নির্বোধ</t>
  </si>
  <si>
    <t>আপন/আপনার ছিদ্র জানে না পরের ছিদ্র খোঁজে</t>
  </si>
  <si>
    <t>নিজের দোষ দেখে না, পরের দোষ খুঁজে বেড়ায়</t>
  </si>
  <si>
    <t>Can't see his own flaws, but finds flaws in others.</t>
  </si>
  <si>
    <t>আপন/আপনার নাক কেটে পরের যাত্রা ভঙ্গ</t>
  </si>
  <si>
    <t>নিজের নাক কেটে পরের যাত্রা ভঙ্গ করা</t>
  </si>
  <si>
    <t>নিজের ক্ষতি করে পরের ক্ষতি করার চেষ্টা</t>
  </si>
  <si>
    <t>Cut off your nose to spite your face.</t>
  </si>
  <si>
    <t>হঠকারী</t>
  </si>
  <si>
    <t>আপন/আপনার পাঁজি পরকে দিয়ে দৈবজ্ঞ বেড়ায় মাথায় হাত দিয়ে</t>
  </si>
  <si>
    <t>নিজের পাঁজি (পুথি) পরকে দিয়ে জ্যোতিষী মাথায় হাত দিয়ে ঘোরে</t>
  </si>
  <si>
    <t>নিজের জ্ঞান অন্যের কাজে লাগিয়ে নিজের অমঙ্গল ডেকে আনা</t>
  </si>
  <si>
    <t>The astrologer hands his almanac to others and laments his own fate.</t>
  </si>
  <si>
    <t>জ্যোতিষী/বিপরীতকারী</t>
  </si>
  <si>
    <t>আপন/আপনার পাঁঠা লেজে কাটি</t>
  </si>
  <si>
    <t>নিজের পাঁঠা লেজে কাটি</t>
  </si>
  <si>
    <t>নিজের কাজ নিজেই সারি; স্বনির্ভর</t>
  </si>
  <si>
    <t>I cut my own goat's tail—I manage my own affairs.</t>
  </si>
  <si>
    <t>আপন/আপনার পানে চায় না শালি পরকে বলে তোবড়াগালি</t>
  </si>
  <si>
    <t>নিজের দিকে চায় না শালি, পরকে বলে তোবড়াগালি (ক্ষতচিহ্নযুক্ত)</t>
  </si>
  <si>
    <t>নিজের রূপের দোষ না দেখে অন্যের রূপের নিন্দা করে</t>
  </si>
  <si>
    <t>The sister-in-law, blind to her own face, calls others pockmarked.</t>
  </si>
  <si>
    <t>শালি/নারী (আত্মদোষ অন্ধ)</t>
  </si>
  <si>
    <t>আপন/আপনার পায়ে কুড়াল মারা</t>
  </si>
  <si>
    <t>নিজের পায়ে কুড়াল মারা</t>
  </si>
  <si>
    <t>নিজেই নিজের ক্ষতি করা</t>
  </si>
  <si>
    <t>Shooting oneself in the foot.</t>
  </si>
  <si>
    <t>আপন/আপনার বুদ্ধিতে ছিল ভাল, পরবুদ্ধিতে পাগল হল // আপন বুদ্ধিতে তর, পরবুদ্ধিতে মর</t>
  </si>
  <si>
    <t>নিজের বুদ্ধিতে ভালো ছিল, পরের বুদ্ধিতে পাগল হলো</t>
  </si>
  <si>
    <t>পরের পরামর্শে চলতে গিয়ে সর্বনাশ হয়েছিল</t>
  </si>
  <si>
    <t>He thrived on his own sense, but was ruined by others' advice.</t>
  </si>
  <si>
    <t>পরামর্শপ্রার্থী</t>
  </si>
  <si>
    <t>আপন/আপনার বুদ্ধিতে ফকির হই, পর বুদ্ধিতে বাদশা নই</t>
  </si>
  <si>
    <t>নিজের বুদ্ধিতে ফকির হলেও ভালো, পরের বুদ্ধিতে বাদশা হব না</t>
  </si>
  <si>
    <t>নিজের স্বকীয় বিচারেই চলা উচিত</t>
  </si>
  <si>
    <t>Better a beggar with my own wits than a king with others'.</t>
  </si>
  <si>
    <t>স্বাবলম্বী</t>
  </si>
  <si>
    <t>আপন/আপনার বেলায় আঁটিসাটি, পরের বেলায় দাঁতকপাটি</t>
  </si>
  <si>
    <t>নিজের বেলায় আঁটোসাঁটো, পরের বেলায় দাঁতকপাটি (ভড়ং)</t>
  </si>
  <si>
    <t>নিজের জন্য কৃপণ, অথচ লোক দেখানোর জন্য উদারতা দেখানো</t>
  </si>
  <si>
    <t>Stingy for self, but showy generosity for others.</t>
  </si>
  <si>
    <t>কপট/ভণ্ড</t>
  </si>
  <si>
    <t>আপন/আপনার বেলায় চাপন-চোপন পরের বেলায় ঝুরঝুরে মাপন</t>
  </si>
  <si>
    <t>নিজের বেলায় চেপে চেপে মাপা, পরের বেলায় ঝুরঝুরে মাপা</t>
  </si>
  <si>
    <t>নিজের স্বার্থে সতর্ক, কিন্তু পরের বেলায় শিথিল</t>
  </si>
  <si>
    <t>Strict measure for self, loose for others—hypocrisy.</t>
  </si>
  <si>
    <t>স্বার্থপর/ভণ্ড</t>
  </si>
  <si>
    <t>আপন/আপনার বোন ভাত পায়না শালীর তরে মন্ডা</t>
  </si>
  <si>
    <t>নিজের বোন ভাত পায় না, অথচ শালীর জন্য মন্ডা (মিষ্টি)</t>
  </si>
  <si>
    <t>নিজের লোককে অবহেলা করে পরকে দেওয়ার জন্য উদারতা</t>
  </si>
  <si>
    <t>His own sister starves, but he brings sweets for his sister-in-law.</t>
  </si>
  <si>
    <t>নিজের বোন/শালি, পুরুষের পক্ষপাত</t>
  </si>
  <si>
    <t>আপন ভাল তো জগৎ ভাল</t>
  </si>
  <si>
    <t>নিজের মন ভালো থাকলে পৃথিবী সুন্দর</t>
  </si>
  <si>
    <t>If you are good, the world is good.</t>
  </si>
  <si>
    <t>আপন ভাল পাগলও বোঝে</t>
  </si>
  <si>
    <t>নিজের ভালো পাগলেও বোঝে</t>
  </si>
  <si>
    <t>সবাই নিজের স্বার্থ বোঝে</t>
  </si>
  <si>
    <t>Even a madman knows his own interest.</t>
  </si>
  <si>
    <t>পাগল/সাধারণ</t>
  </si>
  <si>
    <t>আপন মান আপন/আপনার ঠাঁই</t>
  </si>
  <si>
    <t>আপন মান আপনার ঠাঁই</t>
  </si>
  <si>
    <t>নিজের মর্যাদা নিজের কাছেই প্রোথিত</t>
  </si>
  <si>
    <t>Self-respect has its own abode.</t>
  </si>
  <si>
    <t>আপন মান আপনি রাখো, কাটা কান চুলদে ঢাকো১</t>
  </si>
  <si>
    <t>নিজের মান নিজেই রাখো, কাটা কান চুল দিয়ে ঢাকো</t>
  </si>
  <si>
    <t>নিজের দোষ গোপন করে সম্মান বজায় রাখো</t>
  </si>
  <si>
    <t>Preserve your own honor; hide the cut ear with hair.</t>
  </si>
  <si>
    <t>আত্মগোপনকারী</t>
  </si>
  <si>
    <t>আপন মান আপনি রাখো, কাটা কান চুলদে ঢাকো২</t>
  </si>
  <si>
    <t>নিজের মান নিজেই রাখো, কাটা কান চুলে ঢাকো</t>
  </si>
  <si>
    <t>গোপনীয়তা ও আত্মসম্মান রক্ষার কৌশল</t>
  </si>
  <si>
    <t>Keep your dignity; cover the flaw with hair.</t>
  </si>
  <si>
    <t>গোপনকারী</t>
  </si>
  <si>
    <t>আপনা গলিমে কুত্তা শের</t>
  </si>
  <si>
    <t>নিজের গলিতে কুকুরও সিংহ</t>
  </si>
  <si>
    <t>নিজের এলাকায় ভীতুও সাহসী সাজে</t>
  </si>
  <si>
    <t>In his own street, a dog is a lion.</t>
  </si>
  <si>
    <t>আপনা মাংসে হরিণা বৈরি১</t>
  </si>
  <si>
    <t>হরিণের নিজের মাংসই তার শত্রু</t>
  </si>
  <si>
    <t>নিজের গুণ বা সম্পদই কাল হয়; যেমন কস্তুরীর জন্য হরিণ নিহত হয়</t>
  </si>
  <si>
    <t>The deer's own flesh is its enemy—its musk invites hunters.</t>
  </si>
  <si>
    <t>দোষ/গুণ</t>
  </si>
  <si>
    <t>আপনা মাংসে হরিণা বৈরি২</t>
  </si>
  <si>
    <t>হরিণের নিজের মাংসই বৈরী</t>
  </si>
  <si>
    <t>নিজের বিশেষত্বই বিপদ ডেকে আনে</t>
  </si>
  <si>
    <t>The deer's flesh is its own foe—its assets cause its downfall.</t>
  </si>
  <si>
    <t>গুণ/দোষ</t>
  </si>
  <si>
    <t>আপনা মুঁহ মিয়াঁ মিট্‌ঠু বনানা-</t>
  </si>
  <si>
    <t>নিজের মুখে নিজেকে 'মিস্টার মিষ্টি' বানানো</t>
  </si>
  <si>
    <t>আত্মপ্রশংসা করা; নিজের ঢোল পেটানো</t>
  </si>
  <si>
    <t>To call oneself 'Mr. Sweet'—self-praise.</t>
  </si>
  <si>
    <t>আত্মপ্রশংসাকারী</t>
  </si>
  <si>
    <t>আপনা হাত জগন্নাথ</t>
  </si>
  <si>
    <t>নিজের হাতই জগন্নাথ (ভগবান)</t>
  </si>
  <si>
    <t>নিজের কাজেই প্রকৃত সাহায্য; স্বাবলম্বনই শ্রেষ্ঠ</t>
  </si>
  <si>
    <t>One's own hand is God—self-help is best.</t>
  </si>
  <si>
    <t>আপনা হাত জগন্নাথ, পরের হাত এঁটো পাত</t>
  </si>
  <si>
    <t>নিজের হাত জগন্নাথ (ভগবান), পরের হাত এঁটো পাতা</t>
  </si>
  <si>
    <t>নিজের কাজ করাই পবিত্র ও সম্মানজনক, পরের কাজ তুচ্ছ ও অপবিত্র</t>
  </si>
  <si>
    <t>One's own hand is like God's, another's hand is like a dirty leaf.</t>
  </si>
  <si>
    <t>স্বনির্ভর/পরনির্ভর</t>
  </si>
  <si>
    <t>আপনাকে বড় বলে বড় সেই নয়, লোকে যারে বড় বলে বড় সেই হয়- ঈশ্বরচন্দ্র গুপ্ত</t>
  </si>
  <si>
    <t>নিজেকে বড় বললে বড় হওয়া যায় না; লোকে যাকে বড় বলে সেই বড় হয়</t>
  </si>
  <si>
    <t>আত্মপ্রচারে প্রকৃত সম্মান আসে না; পরের স্বীকৃতিই সম্মানের মাপকাঠি</t>
  </si>
  <si>
    <t>One is not great by self-proclamation; those whom people call great are truly great.</t>
  </si>
  <si>
    <t>আপনার আপনার কিছু নয়, জগৎ কেবল মায়াময়</t>
  </si>
  <si>
    <t>নিজের কিছুই নয়, জগৎ শুধু মায়াময়</t>
  </si>
  <si>
    <t>পার্থিব সবকিছু মায়া; কিছুই নিজের নয়</t>
  </si>
  <si>
    <t>Nothing is truly yours; the world is an illusion.</t>
  </si>
  <si>
    <t>আপনার আপনি ডোর আর কাপনি</t>
  </si>
  <si>
    <t>নিজে নিজেই দড়ি আর কাপড়</t>
  </si>
  <si>
    <t>স্বাবলম্বী; নিজের প্রয়োজন নিজেই মেটায়</t>
  </si>
  <si>
    <t>My own rope and clothes—self-sufficient.</t>
  </si>
  <si>
    <t>আপনার কথা কয় না শালী পরকে বলে টেবোগালী</t>
  </si>
  <si>
    <t>নিজের কথা বলে না শালী, পরকে বলে টেবোগালী (ফোলা গাল)</t>
  </si>
  <si>
    <t>নিজের দোষ দেখে না, অন্যের নিন্দা করে</t>
  </si>
  <si>
    <t>The sister-in-law doesn't speak of herself but calls others puffy-cheeked.</t>
  </si>
  <si>
    <t>শালী/নারী</t>
  </si>
  <si>
    <t>আপনার কিছু নয়, জগৎ মায়াময়</t>
  </si>
  <si>
    <t>নিজের কিছু নয়, জগৎ মায়াময়</t>
  </si>
  <si>
    <t>সব মায়া; মালিকানা অহংকার</t>
  </si>
  <si>
    <t>Nothing is mine; the world is illusion.</t>
  </si>
  <si>
    <t>আপনার গায়ে/গুয়ে গন্ধ নেই পরের গায়ে/গুয়ে গন্ধ</t>
  </si>
  <si>
    <t>নিজের গায়ের গন্ধ নেই, পরের গায়ের গন্ধ</t>
  </si>
  <si>
    <t>নিজের দোষ বড় হলেও দেখে না; পরের সামান্য দোষও বড় করে দেখে</t>
  </si>
  <si>
    <t>Can't smell own filth but smells others'—hypocrite.</t>
  </si>
  <si>
    <t>আপনার ঘোল কেউ টক বলে না১</t>
  </si>
  <si>
    <t>নিজের দোষ কেউ স্বীকার করে না</t>
  </si>
  <si>
    <t>No one calls their own buttermilk sour.</t>
  </si>
  <si>
    <t>আপনার ঘোল কেউ টক বলে না২</t>
  </si>
  <si>
    <t>নিজের বা আপনজনের দোষ ঢাকা</t>
  </si>
  <si>
    <t>None admits the sourness of their own buttermilk.</t>
  </si>
  <si>
    <t>পক্ষপাতদুষ্ট</t>
  </si>
  <si>
    <t>আপনার চড়কায় তেল দাও</t>
  </si>
  <si>
    <t>নিজের কাজে মন দাও; অন্যের কাজে হস্তক্ষেপ করো না</t>
  </si>
  <si>
    <t>আপনার চেয়ে পর ভাল; পরের চেয়ে জঙ্গল ভাল</t>
  </si>
  <si>
    <t>আপনার চেয়ে পর ভালো, পরের চেয়ে জঙ্গল ভালো</t>
  </si>
  <si>
    <t>নিজের লোকের চেয়ে পর ভালো, পরের চেয়ে একা থাকা ভালো</t>
  </si>
  <si>
    <t>Better a stranger than kin, better a jungle than strangers.</t>
  </si>
  <si>
    <t>স্বজন/পর</t>
  </si>
  <si>
    <t>আপনার ছিদ্র জানে না পরের ছিদ্র খোঁজে</t>
  </si>
  <si>
    <t>নিজের দোষ না দেখে পরের দোষ খোঁজা</t>
  </si>
  <si>
    <t>He doesn't see his own hole, but searches for others'.</t>
  </si>
  <si>
    <t>আপনার ছেলেটি খায় এতটি চলে/বেড়ায় যেন ঠাকুরটি; পরের ছেলেটা খায় এতটা, চলে/বেড়ায় যেন বানরটা</t>
  </si>
  <si>
    <t>নিজের ছেলে খায় অনেক, চলে ঠাকুরের মতো; পরের ছেলে খায় একটু, চলে বানরের মতো</t>
  </si>
  <si>
    <t>নিজের জিনিসের প্রতি পক্ষপাত; পরের প্রতি অবজ্ঞা</t>
  </si>
  <si>
    <t>My child eats a lot but walks like a lord; yours eats little but moves like a monkey.</t>
  </si>
  <si>
    <t>পক্ষপাতদুষ্ট অভিভাবক</t>
  </si>
  <si>
    <t>আপনার ধন পরকে দিয়ে দেবকী মরে মাথা খুঁড়ে</t>
  </si>
  <si>
    <t>নিজের ধন পরকে দিয়ে দেবকী মাথা খুঁড়ে মরে</t>
  </si>
  <si>
    <t>নিজের জিনিস বিলিয়ে পরে দুঃখ করা</t>
  </si>
  <si>
    <t>Giving away own wealth and then lamenting like Debaki.</t>
  </si>
  <si>
    <t>নারী (দেবকী)/দানকারী</t>
  </si>
  <si>
    <t>লিঙ্গ/অর্থ</t>
  </si>
  <si>
    <t>আপনার নাক কেটে পরের যাত্রা ভঙ্গ করা</t>
  </si>
  <si>
    <t>নিজের নাক কেটে পরের যাত্রা ভঙ্গ</t>
  </si>
  <si>
    <t>নিজের ক্ষতি করে পরের ক্ষতি করা</t>
  </si>
  <si>
    <t>Cutting off one's own nose to spite someone's journey.</t>
  </si>
  <si>
    <t>আপনার পাঁজি পরকে দিয়ে দৈবজ্ঞ বেড়ায় মাথায় হাত দিয়ে</t>
  </si>
  <si>
    <t>নিজের পাঁজি (পুথি) পরকে দিয়ে জ্যোতিষী মাথায় হাত দিয়ে বেড়ায়</t>
  </si>
  <si>
    <t>নিজের জ্ঞান অন্যের কাজে লাগিয়ে নিজের অমঙ্গল</t>
  </si>
  <si>
    <t>The astrologer gives his almanac to others and then laments his own fate.</t>
  </si>
  <si>
    <t>জ্যোতিষী</t>
  </si>
  <si>
    <t>আপনার পাঁঠা লেজে কাটে</t>
  </si>
  <si>
    <t>নিজের পাঁঠা নিজেই লেজে কাটে</t>
  </si>
  <si>
    <t>নিজের কাজ নিজেই সম্পাদন করে</t>
  </si>
  <si>
    <t>He cuts his own goat's tail—self-sufficient.</t>
  </si>
  <si>
    <t>আপনার পায়ে কুড়ুল মারে</t>
  </si>
  <si>
    <t>নিজের পায়ে কুড়ুল মারে</t>
  </si>
  <si>
    <t>নিজেই নিজের ক্ষতি করে</t>
  </si>
  <si>
    <t>He strikes his own foot with an axe.</t>
  </si>
  <si>
    <t>আপনার বেলায় আঁটিসাটি পরের বেলায় দাঁতকপাটি</t>
  </si>
  <si>
    <t>নিজের বেলায় আঁটিসাটি, পরের বেলায় দাঁতকপাটি</t>
  </si>
  <si>
    <t>নিজের স্বার্থে কঠোর, অথচ পরের জন্য ভড়ং</t>
  </si>
  <si>
    <t>Strict for self, showy for others—hypocrite.</t>
  </si>
  <si>
    <t>আপনার বিড়াল পথ্যি পায় না</t>
  </si>
  <si>
    <t>নিজের বিড়াল পথ্য পায় না</t>
  </si>
  <si>
    <t>নিজের লোকের প্রতি অবহেলা; নিজের আশ্রিতকে খেতে দেওয়া হয় না</t>
  </si>
  <si>
    <t>Your own cat doesn't get its diet—neglect of dependents.</t>
  </si>
  <si>
    <t>আপনার বেলায় পাঁচকড়ায় গণ্ডা</t>
  </si>
  <si>
    <t>নিজের বেলায় পাঁচ কড়ায় গণ্ডা (কম)</t>
  </si>
  <si>
    <t>নিজের জন্য কৃপণ</t>
  </si>
  <si>
    <t>Stingy when it comes to oneself—a miser.</t>
  </si>
  <si>
    <t>আপনার ভাল পাগলেও বোঝে</t>
  </si>
  <si>
    <t>Even a madman understands his own interest.</t>
  </si>
  <si>
    <t>আপনার মত জগৎ দেখা</t>
  </si>
  <si>
    <t>নিজের মতো করে জগৎ দেখা</t>
  </si>
  <si>
    <t>নিজের দৃষ্টিভঙ্গি দিয়েই পৃথিবীকে বিচার করা</t>
  </si>
  <si>
    <t>Seeing the world as oneself—projecting.</t>
  </si>
  <si>
    <t>আত্মকেন্দ্রিক</t>
  </si>
  <si>
    <t>আপনার মাথা আপনি খায়</t>
  </si>
  <si>
    <t>নিজের মাথা নিজেই খায়</t>
  </si>
  <si>
    <t>Eating one's own head—self-destruction.</t>
  </si>
  <si>
    <t>আপনার মন দিয়ে পরের মন জানা</t>
  </si>
  <si>
    <t>নিজের মন দিয়ে পরের মন জানা</t>
  </si>
  <si>
    <t>নিজের অনুভূতি দিয়ে অপরকে বোঝার চেষ্টা</t>
  </si>
  <si>
    <t>Knowing others' minds by one's own.</t>
  </si>
  <si>
    <t>আপনার মান আপনি রাখি কাটা কান চুলদে ঢাকি</t>
  </si>
  <si>
    <t>নিজের মান নিজে রাখি, কাটা কান চুলে ঢাকি</t>
  </si>
  <si>
    <t>নিজের দোষ গোপন করে মান রক্ষা</t>
  </si>
  <si>
    <t>আপনার পায়ে আপনি কুড়ুল মারা</t>
  </si>
  <si>
    <t>নিজের পায়ে নিজে কুড়ুল মারা</t>
  </si>
  <si>
    <t>ইচ্ছাকৃতভাবে নিজের ক্ষতি করা</t>
  </si>
  <si>
    <t>Self-sabotage.</t>
  </si>
  <si>
    <t>আপনারটা ষোলআনা পরেরটা কিছু না</t>
  </si>
  <si>
    <t>নিজেরটা ষোলো আনা (সম্পূর্ণ), পরেরটা কিছুই না</t>
  </si>
  <si>
    <t>নিজের জিনিসকেই বড় দেখা, পরেরটা তুচ্ছ</t>
  </si>
  <si>
    <t>Mine is full sixteen annas; others' is nothing—bias.</t>
  </si>
  <si>
    <t>পক্ষপাতী</t>
  </si>
  <si>
    <t>আপনারটা সবাই বড় দেখে</t>
  </si>
  <si>
    <t>নিজেরটা সবাই বড় দেখে</t>
  </si>
  <si>
    <t>সবাই নিজের জিনিসকে বড় করে দেখে</t>
  </si>
  <si>
    <t>Everyone sees their own as big.</t>
  </si>
  <si>
    <t>আপনারে বড় বলে বড় সেই নয়; লোকে যারে বলে বড় সেই হয়- ঈশ্বরচন্দ্র গুপ্ত</t>
  </si>
  <si>
    <t>নিজেকে বড় বললে বড় হয় না; লোকে যাকে বড় বলে সেই বড়</t>
  </si>
  <si>
    <t>আত্মপ্রশংসা নয়, লোকের স্বীকৃতিই প্রকৃত মর্যাদা</t>
  </si>
  <si>
    <t>Self-praise does not make one great; those whom people call great are great.</t>
  </si>
  <si>
    <t>আপনি আচরি ধর্ম অন্যেরে/অপরে শিখাও</t>
  </si>
  <si>
    <t>নিজে ধর্ম আচরণ করে অপরকে শেখাও</t>
  </si>
  <si>
    <t>আগে নিজে কর, তারপর অপরকে বল</t>
  </si>
  <si>
    <t>Practice righteousness yourself, then teach others.</t>
  </si>
  <si>
    <t>আপনি খেতে ভাত পায় না শঙ্করাকে ডাকে</t>
  </si>
  <si>
    <t>নিজে ভাত খেতে পায় না, শঙ্করকে ডাকে</t>
  </si>
  <si>
    <t>নিজে অক্ষম অথচ অপরকে সাহায্য করার নাম করে</t>
  </si>
  <si>
    <t>You can't even eat rice yourself, yet you call Shankara to dine.</t>
  </si>
  <si>
    <t>আপনি গেলে ঘোল পায় না চাকরকে পাঠায় দুধের তরে</t>
  </si>
  <si>
    <t>নিজে অক্ষম, অথচ বড় আশা করে</t>
  </si>
  <si>
    <t>Can't get buttermilk yourself, yet send a servant for milk.</t>
  </si>
  <si>
    <t>মূর্খ/অক্ষম</t>
  </si>
  <si>
    <t>আপনি তুষ্টে জগৎ তুষ্ট</t>
  </si>
  <si>
    <t>নিজে তুষ্ট থাকলে জগৎ তুষ্ট</t>
  </si>
  <si>
    <t>নিজে সন্তুষ্ট থাকলেই যেন পুরো পৃথিবী সন্তুষ্ট</t>
  </si>
  <si>
    <t>If you are content, the world is content.</t>
  </si>
  <si>
    <t>সন্তুষ্ট</t>
  </si>
  <si>
    <t>আপনি পাগল ভাতার পাগল পাগল তার চেলা; এক পাগলে রক্ষা নেই তিন পাগলের মেলা- লালন</t>
  </si>
  <si>
    <t>নিজে পাগল, স্বামী পাগল, চেলাও পাগল; এক পাগলেই রক্ষা নেই, তিন পাগলের মেলা</t>
  </si>
  <si>
    <t>সবাই সমান বোকা; দলে দলে পাগলামি</t>
  </si>
  <si>
    <t>Myself mad, husband mad, disciple mad—no peace with one mad, a carnival of three.</t>
  </si>
  <si>
    <t>স্বামী-স্ত্রী, শিষ্য</t>
  </si>
  <si>
    <t>লিঙ্গ/উন্মাদনা</t>
  </si>
  <si>
    <t>আপনি পায় না পরকে বিলায়</t>
  </si>
  <si>
    <t>নিজে পায় না, পরকে বিলায়</t>
  </si>
  <si>
    <t>নিজের প্রয়োজন মেটাতে পারে না, অথচ অন্যকে দান করে বেড়ায়</t>
  </si>
  <si>
    <t>You don't get yourself but distribute to others—foolish.</t>
  </si>
  <si>
    <t>হিতৈষী নয়, ভণ্ড</t>
  </si>
  <si>
    <t>আপনি বড় ভালো, তাই লোককে বলেন কালো</t>
  </si>
  <si>
    <t>নিজে বড় ভালো, তাই লোককে কালো বলে</t>
  </si>
  <si>
    <t>নিজেকে শুভ্র ভেবে অপরের নিন্দা</t>
  </si>
  <si>
    <t>Calling others black while considering yourself pure—hypocrisy.</t>
  </si>
  <si>
    <t>আপনি বাঁচলে বাপের নাম</t>
  </si>
  <si>
    <t>নিজে বাঁচলেই বাপের নাম</t>
  </si>
  <si>
    <t>নিজের অস্তিত্ব টিকিয়ে রাখাটাই আসল, তবেই বংশের নাম</t>
  </si>
  <si>
    <t>If you survive, that's the family's name.</t>
  </si>
  <si>
    <t>আপনি ভালো তো জগৎ ভালো</t>
  </si>
  <si>
    <t>নিজে ভালো তো জগৎ ভালো</t>
  </si>
  <si>
    <t>নিজের মনের অবস্থাই জগৎকে নির্ধারণ করে</t>
  </si>
  <si>
    <t>আপনি ভালো তো জগৎ ভালো তারই মান থাকে, আপনি মন্দ তো জগৎ মন্দ কে তার মান রাখে?</t>
  </si>
  <si>
    <t>নিজে ভালো হলে জগৎ ভালো, মান থাকে; নিজে মন্দ হলে জগৎ মন্দ, কে মান রাখে?</t>
  </si>
  <si>
    <t>নিজের চরিত্রই সম্মান নির্ধারণ করে</t>
  </si>
  <si>
    <t>If you are good, the world is good and your honor remains; if bad, who respects you?</t>
  </si>
  <si>
    <t>আপনি যেমন জগৎ তেমন</t>
  </si>
  <si>
    <t>আপনি যেমন, জগৎ তেমন</t>
  </si>
  <si>
    <t>নিজের দৃষ্টিভঙ্গিই জগৎকে প্রতিফলিত করে</t>
  </si>
  <si>
    <t>As you are, so is the world.</t>
  </si>
  <si>
    <t>আপনি যেমন ঢেমন জগৎ দেখি তেমন</t>
  </si>
  <si>
    <t>আপনি যেমন ভাবের, জগৎকে তেমন দেখি</t>
  </si>
  <si>
    <t>নিজের মানসিকতাই পৃথিবীকে রূপ দেয়</t>
  </si>
  <si>
    <t>As I am, so I see the world.</t>
  </si>
  <si>
    <t>আপনি যেমন বীজ বপন করবেন তেমন ফসল পাবেন</t>
  </si>
  <si>
    <t>আপনি যেমন বীজ বপন করবেন, তেমন ফসল পাবেন</t>
  </si>
  <si>
    <t>কর্ম অনুযায়ী ফল</t>
  </si>
  <si>
    <t>As you sow, so shall you reap.</t>
  </si>
  <si>
    <t>আপনি শুতে ঠাঁই নাই শঙ্করাকে ডাকে</t>
  </si>
  <si>
    <t>নিজের শোবার জায়গা নেই, শঙ্করকে ডাকে</t>
  </si>
  <si>
    <t>নিজে অক্ষম, অথচ অপরকে আশ্রয় দেয়</t>
  </si>
  <si>
    <t>No place to sleep yourself, yet you invite Shankara.</t>
  </si>
  <si>
    <t>আপনে গলিমে/মহল্লামে কুত্তা শের</t>
  </si>
  <si>
    <t>নিজের গলিতে/মহল্লায় কুকুরও সিংহ</t>
  </si>
  <si>
    <t>নিজের এলাকায় ভীতুও বড়াই করে</t>
  </si>
  <si>
    <t>In his own lane, a dog is a lion.</t>
  </si>
  <si>
    <t>আপনে রামকো ভজৈ, রিঝ ভজে বা খিজ</t>
  </si>
  <si>
    <t>নিজে রামকে ভজে, তুষ্ট হোক বা রুষ্ট</t>
  </si>
  <si>
    <t>নির্বিকার চিত্তে ভক্তি করো; ফলাফল ভেবো না</t>
  </si>
  <si>
    <t>Worship Ram yourself, whether He is pleased or displeased.</t>
  </si>
  <si>
    <t>আপ ভলা তো জগৎ/সব ভলা</t>
  </si>
  <si>
    <t>নিজে ভালো হলে চারপাশ ভালো লাগে; নিজের মনই সব</t>
  </si>
  <si>
    <t>আপ রুচি খানা, পোর রুচি পরনা (পিহনা)</t>
  </si>
  <si>
    <t>নিজের রুচি অনুযায়ী খাও, অন্যের রুচি অনুযায়ী পরিধান কর</t>
  </si>
  <si>
    <t>নিজের পছন্দমতো খাও, কিন্তু পরিধানে সমাজের রুচি মেনে চলো</t>
  </si>
  <si>
    <t>Eat according to your taste, dress according to others' taste.</t>
  </si>
  <si>
    <t>সামাজিক রীতি</t>
  </si>
  <si>
    <t>আপেল গাছের তলাতেই পড়ে</t>
  </si>
  <si>
    <t>আপেল গাছের তলাতেই আপেল পড়ে</t>
  </si>
  <si>
    <t>ফল তার উৎসের কাছেই থাকে; সন্তান পিতামাতার মতোই হয়</t>
  </si>
  <si>
    <t>The apple falls right under the apple tree.</t>
  </si>
  <si>
    <t>আবর তাঁতী গোবর খায় স্ত্রীর বাক্যে মরতে যায়</t>
  </si>
  <si>
    <t>আবার তাঁতী গোবর খায়, স্ত্রীর কথায় মরতে যায়</t>
  </si>
  <si>
    <t>বোকারা সহজেই প্রতারিত হয়; স্ত্রীর কথায় মরণ যাওয়া</t>
  </si>
  <si>
    <t>Again the weaver eats dung and goes to die at his wife's words.</t>
  </si>
  <si>
    <t>স্ত্রী/নারী (কথায় পুরুষ চালিত)</t>
  </si>
  <si>
    <t>লিঙ্গ/বোকামি</t>
  </si>
  <si>
    <t>আবাগের বেটা ভূত</t>
  </si>
  <si>
    <t>আবাগের (অকাল প্রয়াত পিতার) ছেলে ভূত</t>
  </si>
  <si>
    <t>পিতৃহীন সন্তান দুর্দান্ত ও অনিষ্টকারী হয়</t>
  </si>
  <si>
    <t>A fatherless son is a ghost.</t>
  </si>
  <si>
    <t>পিতৃহীন ছেলে</t>
  </si>
  <si>
    <t>আবালে না নোয়ালে বাঁশ, বাঁশ করে টাঁশ টাঁশ</t>
  </si>
  <si>
    <t>ছোটবেলায় বাঁশ না নোয়ালে পরে কটকট শব্দ করে</t>
  </si>
  <si>
    <t>শৈশবে শিক্ষা না দিলে বৃদ্ধ বয়সে শিক্ষার ফল হয় না</t>
  </si>
  <si>
    <t>Bamboo not bent when young creaks when old.</t>
  </si>
  <si>
    <t>শিশু/অল্পশিক্ষিত</t>
  </si>
  <si>
    <t>আবিল দৃষ্টি সব হলদে দেখে</t>
  </si>
  <si>
    <t>আবিল (রোগগ্রস্ত) দৃষ্টি সব হলুদ দেখে</t>
  </si>
  <si>
    <t>যে যেরকম মন, জগৎকে সেরকম দেখে</t>
  </si>
  <si>
    <t>A jaundiced eye sees all yellow.</t>
  </si>
  <si>
    <t>দৃষ্টিদোষী</t>
  </si>
  <si>
    <t>আবুহোসেন</t>
  </si>
  <si>
    <t>আবু হোসেন (চরিত্র)</t>
  </si>
  <si>
    <t>হাস্যরসের প্রতীক; বোকা যে ভবঘুরে</t>
  </si>
  <si>
    <t>A fool, an Abu Hossain—a caricature.</t>
  </si>
  <si>
    <t>বোকা/ভবঘুরে</t>
  </si>
  <si>
    <t>আবৃত্তিঃ সর্বশাত্রাণাং বোধাদপি গরিয়সী</t>
  </si>
  <si>
    <t>আবৃত্তি (পুনরাবৃত্তি) সব শাস্ত্রে বোধের চেয়েও শ্রেষ্ঠ</t>
  </si>
  <si>
    <t>অনুশীলন জ্ঞানের চেয়েও বড়</t>
  </si>
  <si>
    <t>Practice is superior to theoretical knowledge.</t>
  </si>
  <si>
    <t>আম না থাকলে আমড়া চোষে</t>
  </si>
  <si>
    <t>আম না থাকলে আমড়া চোষে</t>
  </si>
  <si>
    <t>ভালো না পেলে নিকৃষ্ট জিনিসই ভরসা</t>
  </si>
  <si>
    <t>If there's no mango, one sucks on the amra.</t>
  </si>
  <si>
    <t>বিকল্প গ্রহীতা</t>
  </si>
  <si>
    <t>আম না হতে আমসত্ব</t>
  </si>
  <si>
    <t>আম না হয়ে আমসত্ব (আমের মতো কিছু)</t>
  </si>
  <si>
    <t>অল্প বয়সে বড়দের মতো আচরণ; হাস্যকর</t>
  </si>
  <si>
    <t>Before becoming a mango, a mango-like thing—premature imitation.</t>
  </si>
  <si>
    <t>অকালপক্ব</t>
  </si>
  <si>
    <t>আম পাকলে মিঠা, মানুষ পাকলে তিতা</t>
  </si>
  <si>
    <t>আম পাকলে মিষ্টি, মানুষ পাকলে তিতা</t>
  </si>
  <si>
    <t>বয়স বাড়লে মানুষ কঠোর ও তিক্ত হয়; পাকা মানুষ ঝগড়াটে</t>
  </si>
  <si>
    <t>Mango sweetens when ripe; man turns bitter when old.</t>
  </si>
  <si>
    <t>বৃদ্ধ/বয়স্ক</t>
  </si>
  <si>
    <t>আম শুকালে আমসী যৌবন ফুরালে কাঁদতে বসি</t>
  </si>
  <si>
    <t>আম শুকিয়ে আমসী হয়, যৌবন শেষে কাঁদতে বসি</t>
  </si>
  <si>
    <t>যৌবন হারালে মূল্যহীন; যেমন আম শুকিয়ে গেলে আমসী হয়</t>
  </si>
  <si>
    <t>When youth fades, like dried mango, one sits and weeps.</t>
  </si>
  <si>
    <t>আমও গেল ছালাও গেল</t>
  </si>
  <si>
    <t>আমও গেল, ছালাও গেল</t>
  </si>
  <si>
    <t>সব হারিয়ে নিঃস্ব; কাঙালের অবস্থা</t>
  </si>
  <si>
    <t>Lost the mango and the skin too—total loss.</t>
  </si>
  <si>
    <t>নিঃস্ব</t>
  </si>
  <si>
    <t>আমড়াগাছে আম ফলে না</t>
  </si>
  <si>
    <t>আমড়া গাছে আম ফলে না</t>
  </si>
  <si>
    <t>নিকৃষ্ট থেকে উৎকৃষ্ট হয় না; যেমন বাবা-মায়ের ওপর সন্তান যায়</t>
  </si>
  <si>
    <t>Amra tree doesn't bear mangoes—like begets like.</t>
  </si>
  <si>
    <t>আমড়াতলায় আম পেলে আমতলায় কেবা যায়</t>
  </si>
  <si>
    <t>আমড়া তলায় আম পেলে কে আমতলায় যাবে?</t>
  </si>
  <si>
    <t>সহজে পেয়ে গেলে কেউ কষ্ট করতে চায় না</t>
  </si>
  <si>
    <t>If you get mangoes under an amra tree, who'd go to a mango grove?</t>
  </si>
  <si>
    <t>আমরা বাঁচার সাথে সাথে একটু একটু করে মরি</t>
  </si>
  <si>
    <t>প্রতি মুহূর্তে আমরা মৃত্যুর দিকে এগোই</t>
  </si>
  <si>
    <t>While we live, we die little by little.</t>
  </si>
  <si>
    <t>আমরা যতই জানি ততই নিজের অজ্ঞানতা আবিস্কার করি</t>
  </si>
  <si>
    <t>আমরা যত জানি, ততই অজ্ঞানতা আবিষ্কার করি</t>
  </si>
  <si>
    <t>জ্ঞান বাড়ার সাথে অজ্ঞতার উপলব্ধিও বাড়ে</t>
  </si>
  <si>
    <t>The more we know, the more we discover our ignorance.</t>
  </si>
  <si>
    <t>আমাদের প্রধান বিশ্বাসগুলি হল অন্ধবিশ্বাস</t>
  </si>
  <si>
    <t>আমাদের প্রধান বিশ্বাসগুলোই অন্ধবিশ্বাস</t>
  </si>
  <si>
    <t>মানুষের অধিকাংশ বিশ্বাস যুক্তিহীন</t>
  </si>
  <si>
    <t>Our main beliefs are blind faith.</t>
  </si>
  <si>
    <t>আমার আমার যত করি, চিনির বলদ হয়ে মরি</t>
  </si>
  <si>
    <t>আমার-আমার করতে করতে চিনির বলদ হয়ে মরি</t>
  </si>
  <si>
    <t>অর্থলোভে সবই নিজের করতে গিয়ে জীবন শেষ</t>
  </si>
  <si>
    <t>So much 'mine, mine' that I become a sugar mill ox and die.</t>
  </si>
  <si>
    <t>আমার নাম নিতাই, এক খাই আর এক থিতাই</t>
  </si>
  <si>
    <t>আমার নাম নিতাই, একবার খাই আর একবার থিতাই</t>
  </si>
  <si>
    <t>অলস ও ভোজনবিলাসী ব্যক্তি</t>
  </si>
  <si>
    <t>My name is Nitai; I eat once and then lounge.</t>
  </si>
  <si>
    <t>অলস/ভোজনপ্রিয়</t>
  </si>
  <si>
    <t>আমার পরে পৃথিবী ধ্বংস/মহাপ্লাবন</t>
  </si>
  <si>
    <t>আমার পরে পৃথিবী ধ্বংস হোক</t>
  </si>
  <si>
    <t>স্বার্থপর চরম উক্তি; নিজের পর সব ধ্বংস হোক</t>
  </si>
  <si>
    <t>After me, let the world perish.</t>
  </si>
  <si>
    <t>আমার বুদ্ধি শোনো, ঘরদোর ভেঙে ফেলে নটে শাক বোনো</t>
  </si>
  <si>
    <t>আমার বুদ্ধি শোনো, ঘর ভেঙে নটে শাক বোনো</t>
  </si>
  <si>
    <t>বোকা বুদ্ধিতে সর্বনাশ</t>
  </si>
  <si>
    <t>Listen to my wisdom: demolish your house and plant amaranth.</t>
  </si>
  <si>
    <t>নির্বোধ উপদেষ্টা</t>
  </si>
  <si>
    <t>আমার হাতদুটি ধর, তাহলোেই তোমার হাতদুটি আমার ধরা হবে</t>
  </si>
  <si>
    <t>আমার দুই হাত ধরো, তাহলেই তুমিও আমার হাত ধরবে</t>
  </si>
  <si>
    <t>পারস্পরিকতা; সাহায্য করলে প্রতিদান আসে</t>
  </si>
  <si>
    <t>Hold my hands, then your hands will hold mine.</t>
  </si>
  <si>
    <t>আমি আমি' করেই মানুষ মল</t>
  </si>
  <si>
    <t>আমি আমি করতেই মানুষ মরে গেল</t>
  </si>
  <si>
    <t>অহংকারই মানুষের পতনের মূল</t>
  </si>
  <si>
    <t>It was 'I, I' that killed man.</t>
  </si>
  <si>
    <t>আমিও ফকির হলাম দেশেও আকাল (মন্বন্তর) এলো</t>
  </si>
  <si>
    <t>আমি ফকির হলাম, আর দেশে আকাল এলো</t>
  </si>
  <si>
    <t>ভাগ্যের এমন নির্মমতা; একসাথে দুই বিপদ</t>
  </si>
  <si>
    <t>I became a beggar, and then famine struck the land.</t>
  </si>
  <si>
    <t>আমি কম্বল ছেড়ে দিয়েছি কিন্তু কম্বল আমায় ছাড়ছে না</t>
  </si>
  <si>
    <t>আমি কম্বল ছেড়েছি, কিন্তু কম্বল আমাকে ছাড়ে না</t>
  </si>
  <si>
    <t>নেশা বা অভ্যাস ছাড়তে চাইলেও ছাড়া যায় না</t>
  </si>
  <si>
    <t>I've let go of the blanket, but it clings to me.</t>
  </si>
  <si>
    <t>নেশাগ্রস্ত/অভ্যাসগ্রস্ত</t>
  </si>
  <si>
    <t>আমি কি নাচতে জানিনে, মাজার ব্যাথায় পারিনে</t>
  </si>
  <si>
    <t>আমি নাচতে জানি না, কোমরের ব্যথায় পারি না</t>
  </si>
  <si>
    <t>অক্ষমতার দোষ ঢাকতে অজুহাত</t>
  </si>
  <si>
    <t>I don't know dancing, and my back hurts too—excuses.</t>
  </si>
  <si>
    <t>অজুহাতপ্রবণ</t>
  </si>
  <si>
    <t>আমি কি নেড়ি ভেড়ি আমার পাঁচখানা কাপড় ধোপার বাড়ী</t>
  </si>
  <si>
    <t>আমি কি ন্যাড়া? আমার পাঁচটা কাপড় ধোপার বাড়ি</t>
  </si>
  <si>
    <t>গরিব হয়েও বড়াই করা</t>
  </si>
  <si>
    <t>Am I a baldy? I have five clothes at the washerman's—bragging.</t>
  </si>
  <si>
    <t>বড়াইকারী</t>
  </si>
  <si>
    <t>আমি জানি না-বলতে শেখাটাই সবচেয়ে বড় শিক্ষা-হিব্রু প্রবাদ</t>
  </si>
  <si>
    <t>আমি জানি না—এ কথা বলতে শেখাই সবচেয়ে বড় শিক্ষা</t>
  </si>
  <si>
    <t>অজ্ঞতা স্বীকার করতে পারাই প্রকৃত জ্ঞানের লক্ষণ</t>
  </si>
  <si>
    <t>Learning to say 'I don't know' is the greatest learning.</t>
  </si>
  <si>
    <t>আমি জীবনপাত্রের তলানিটুকু নিঃশেষে পান করব- মিলটন</t>
  </si>
  <si>
    <t>আমি জীবনপাত্রের শেষ বিন্দুটুকু পান করব</t>
  </si>
  <si>
    <t>জীবনকে পুরোপুরি উপভোগ করে শেষ করব</t>
  </si>
  <si>
    <t>I will drink the dregs of life's cup to the last drop.</t>
  </si>
  <si>
    <t>জীবনবাদী</t>
  </si>
  <si>
    <t>আমি নেই তো জগৎ নেই</t>
  </si>
  <si>
    <t>নিজের অস্তিত্বই জগতের অস্তিত্ব; আত্মকেন্দ্রিকতা</t>
  </si>
  <si>
    <t>If I am not, then the world is not.</t>
  </si>
  <si>
    <t>আমি যাই বঙ্গে কপাল যায় সঙ্গে</t>
  </si>
  <si>
    <t>আমি বঙ্গে যাই, কপালও সঙ্গে যায়</t>
  </si>
  <si>
    <t>ভাগ্য কখনো পিছু ছাড়ে না</t>
  </si>
  <si>
    <t>I go to Bengal, but my fate follows me.</t>
  </si>
  <si>
    <t>আমি যা বলি তাই কর আমি যা করি তা নয়</t>
  </si>
  <si>
    <t>আমি যা বলি তাই করো, আমি যা করি তা কোরো না</t>
  </si>
  <si>
    <t>অন্যের জন্য উপদেশ, নিজের জন্য নয়</t>
  </si>
  <si>
    <t>Do as I say, not as I do.</t>
  </si>
  <si>
    <t>ভণ্ড/কপট</t>
  </si>
  <si>
    <t>আমি' যাবে মলে</t>
  </si>
  <si>
    <t>আমি' (অহং) গেলে তবেই মুক্তি</t>
  </si>
  <si>
    <t>অহংকার বিসর্জন দিলেই প্রকৃত শান্তি</t>
  </si>
  <si>
    <t>Only when 'I' dies is there peace.</t>
  </si>
  <si>
    <t>আমি যার করি আশ সেই করে সর্বনাশ</t>
  </si>
  <si>
    <t>আমি যার কাছ থেকে আশা করি, সেই সর্বনাশ করে</t>
  </si>
  <si>
    <t>যার ওপর ভরসা করা যায়, সেই বিপদে ফেলে</t>
  </si>
  <si>
    <t>The one I hope in brings my ruin.</t>
  </si>
  <si>
    <t>প্রতারিত</t>
  </si>
  <si>
    <t>আমে দুধে এক হয়, আঁটি যায় গড়াগড়ি১</t>
  </si>
  <si>
    <t>আম আর দুধ এক হয়ে যায়, আঁটি গড়াগড়ি খায়</t>
  </si>
  <si>
    <t>বেমানান মিলন; উপকরণ মিশে গেলেও মূল বাধা থাকে</t>
  </si>
  <si>
    <t>Mango and milk unite, but the pit rolls around separately.</t>
  </si>
  <si>
    <t>আমে দুধে এক হয়, আঁটি যায় গড়াগড়ি</t>
  </si>
  <si>
    <t>আম আর দুধ এক হয়ে যায়, আঁটি গড়াগড়ি খায় (দ্বিতীয়)</t>
  </si>
  <si>
    <t>অসার অংশ দূরে থাকে; খাঁটি মিলনের পরেও কিছু বর্জ্য থাকে</t>
  </si>
  <si>
    <t>Mango and milk blend, but the pit rolls away—impurity remains.</t>
  </si>
  <si>
    <t>আমে দুধে এক হয়, আঁটি যায় গড়াগড়ি৩</t>
  </si>
  <si>
    <t>আমে দুধে এক হয়, আঁটি গড়াগড়ি খায় (তৃতীয়)</t>
  </si>
  <si>
    <t>একতায়ও ভিন্নতা থাকেই</t>
  </si>
  <si>
    <t>Even when united, the core remains separate.</t>
  </si>
  <si>
    <t>বিভেদ</t>
  </si>
  <si>
    <t>আমে ধান তেঁতুলে বান- খনা</t>
  </si>
  <si>
    <t>আমে ধান হয়, তেঁতুলে বান (বন্যা)</t>
  </si>
  <si>
    <t>প্রকৃতির ইঙ্গিত: আমের ফলন বেশি হলে ধান ভালো, তেঁতুলে বন্যা</t>
  </si>
  <si>
    <t>Mango brings rice, tamarind brings flood—agricultural proverb.</t>
  </si>
  <si>
    <t>আয় বুঝে খরচ করো</t>
  </si>
  <si>
    <t>আয়ের সাথে সঙ্গতি রেখে ব্যয় করো</t>
  </si>
  <si>
    <t>Cut your coat according to your cloth.</t>
  </si>
  <si>
    <t>আয়না যে মুখ দেখে সেই মুখ দেখায়</t>
  </si>
  <si>
    <t>আয়না যে মুখ দেখে, সেই মুখ দেখায়</t>
  </si>
  <si>
    <t>সামনে যা থাকে, তাই প্রতিফলিত হয়</t>
  </si>
  <si>
    <t>The mirror reflects the face that looks into it.</t>
  </si>
  <si>
    <t>বাস্তবতা</t>
  </si>
  <si>
    <t>আয়-ব্যয় শূন্যস্থিতি</t>
  </si>
  <si>
    <t>আয়-ব্যয় শূন্য অবস্থা</t>
  </si>
  <si>
    <t>আর যা-ই হোক, শেষে কিছুই থাকে না</t>
  </si>
  <si>
    <t>Income and expenditure end up at zero.</t>
  </si>
  <si>
    <t>আয়ুর্ম্মর্ম্মাণি রক্ষতি</t>
  </si>
  <si>
    <t>আয়ুই অস্থি (মর্মস্থান) রক্ষা করে</t>
  </si>
  <si>
    <t>জীবনীশক্তিই শরীর টিকিয়ে রাখে; অস্থিতেই প্রাণ</t>
  </si>
  <si>
    <t>Life protects the vitals.</t>
  </si>
  <si>
    <t>আয়ুর্যাতি দিনেদিনে</t>
  </si>
  <si>
    <t>আয়ু দিনে দিনে যায়</t>
  </si>
  <si>
    <t>প্রতিদিন আয়ু ক্ষয় হয়; মৃত্যু নিশ্চিত</t>
  </si>
  <si>
    <t>Life passes day by day.</t>
  </si>
  <si>
    <t>আর কি নেড়া বেলতলায় যায়</t>
  </si>
  <si>
    <t>আর কি ন্যাড়া বেলগাছতলায় যায়?</t>
  </si>
  <si>
    <t>একবার যে ঠকেছে, সে দ্বিতীয়বার সেই ভুল করে না</t>
  </si>
  <si>
    <t>Does a bald man go under a bel tree again?—once bitten, twice shy.</t>
  </si>
  <si>
    <t>ঠকিত ব্যক্তি</t>
  </si>
  <si>
    <t>আর গাব খাব না, গাবতলা দিয়ে যাব না; গাব খাব না ত খাব কি, গাবের মত আছে কি</t>
  </si>
  <si>
    <t>আর গাব খাব না, গাবতলা দিয়েও যাব না; কিন্তু গাব না খেলে খাব কী, গাবের মতো কিছু আছে কি?</t>
  </si>
  <si>
    <t>পুরনো অভ্যাস বা বদভ্যাস ছাড়ার প্রতিজ্ঞা, কিন্তু বিকল্প না থাকায় আবার ফিরে আসা</t>
  </si>
  <si>
    <t>I won't eat gab again, nor pass under the gab tree; but what else is there like gab?</t>
  </si>
  <si>
    <t>অভ্যাসগ্রস্ত</t>
  </si>
  <si>
    <t>আরগুণ নাই ছারগুণ আছে</t>
  </si>
  <si>
    <t>আর কোনো গুণ নেই, শুধু ছারগুণ (নিকৃষ্ট গুণ) আছে</t>
  </si>
  <si>
    <t>ভালো গুণ নেই, কিন্তু খারাপ গুণ আছে</t>
  </si>
  <si>
    <t>No virtue, only vile qualities.</t>
  </si>
  <si>
    <t>গুণহীন</t>
  </si>
  <si>
    <t>আরম্ভ করলে শেষ হতে আর কতক্ষণ?</t>
  </si>
  <si>
    <t>একবার শুরু করলে কাজ দ্রুত শেষ হয়</t>
  </si>
  <si>
    <t>Once started, how long till the end?</t>
  </si>
  <si>
    <t>আরম্ভ করলে শেষ দেখে ছাড়তে হয়</t>
  </si>
  <si>
    <t>আরম্ভ করলে শেষ না দেখে ছাড়তে নেই</t>
  </si>
  <si>
    <t>যে কাজ শুরু করবে, শেষ করেই তবে ছাড়বে</t>
  </si>
  <si>
    <t>Once you begin, you must see it to the end.</t>
  </si>
  <si>
    <t>আরম্ভসদৃশোদয়ঃ</t>
  </si>
  <si>
    <t>আরম্ভ যেমন, উদয়/ফল তেমন</t>
  </si>
  <si>
    <t>কাজের শুরু যেরকম, শেষ ফলও সেরকম</t>
  </si>
  <si>
    <t>As the beginning, so the outcome.</t>
  </si>
  <si>
    <t>আরশোলা হল পাখি, রইল কী আর দেখতে বাকি</t>
  </si>
  <si>
    <t>আরশোলাকে যদি পাখি বলা হয়, তবে দেখার আর কী বাকি?</t>
  </si>
  <si>
    <t>অসম্ভব বা হাস্যকর কিছু ঘটলে বোঝায়; এখন আর কিছুই অসম্ভব নয়</t>
  </si>
  <si>
    <t>If a cockroach is a bird, what's left to see?—nothing is impossible anymore.</t>
  </si>
  <si>
    <t>আরাম অলসের ধন</t>
  </si>
  <si>
    <t>আরাম অলসের সম্পদ</t>
  </si>
  <si>
    <t>অলস ব্যক্তি আরামকেই বড় সম্পদ মনে করে</t>
  </si>
  <si>
    <t>Comfort is the treasure of the lazy.</t>
  </si>
  <si>
    <t>আরাম হারাম হায়</t>
  </si>
  <si>
    <t>আরাম হারাম (অবৈধ/ক্ষতিকর) হয়</t>
  </si>
  <si>
    <t>আরাম বা আলস্য পাপ ও ক্ষতির কারণ</t>
  </si>
  <si>
    <t>Ease is forbidden (harmful).</t>
  </si>
  <si>
    <t>আরের দাঁত আড় ছিরে বুড়োর মাড়ি</t>
  </si>
  <si>
    <t>আড়ের দাঁত আড় (বাঁকা), বুড়োর মাড়ি ছেঁড়া</t>
  </si>
  <si>
    <t>অকেজো বা অব্যবহার্য; কোনোটাই ভালো নয়</t>
  </si>
  <si>
    <t>A crooked tooth and an old man's torn gums—both useless.</t>
  </si>
  <si>
    <t>বৃদ্ধ/অক্ষম</t>
  </si>
  <si>
    <t>আরের মন আর দিকে চোরের মন বোঁচকার দিকে</t>
  </si>
  <si>
    <t>অন্যের মন অন্য দিকে, চোরের মন বোঁচকার (পোঁটলার) দিকে</t>
  </si>
  <si>
    <t>যার যেদিকে স্বার্থ, তার মন সেদিকেই</t>
  </si>
  <si>
    <t>The mind of another wanders elsewhere, but the thief's mind is on the bundle.</t>
  </si>
  <si>
    <t>আলখাল্লা/আলখিল্লা পরলেই মোল্লা হয় না</t>
  </si>
  <si>
    <t>আলখাল্লা পরলেই মোল্লা হয় না</t>
  </si>
  <si>
    <t>বেশ ধরে নিলেই প্রকৃত গুণ আসে না; বাহ্যিক ভড়ং অর্থহীন</t>
  </si>
  <si>
    <t>Wearing a robe doesn't make one a mullah.</t>
  </si>
  <si>
    <t>ভণ্ড/ভড়ংপ্রিয়</t>
  </si>
  <si>
    <t>আলগা চুলে খোঁপা বাঁধা১</t>
  </si>
  <si>
    <t>আলগা চুলে খোঁপা বাঁধা</t>
  </si>
  <si>
    <t>অপ্রস্তুত অবস্থায় বা অসম্ভব কিছু করার চেষ্টা</t>
  </si>
  <si>
    <t>Tying a bun with loose hair—an impossible or impractical task.</t>
  </si>
  <si>
    <t>আলগা চুলে খোঁপা বাঁধা২</t>
  </si>
  <si>
    <t>আলগা চুলে খোঁপা বাঁধা (দ্বিতীয়)</t>
  </si>
  <si>
    <t>অসম্পূর্ণ উপকরণে কাজ করতে গিয়ে ব্যর্থ</t>
  </si>
  <si>
    <t>Trying to tie a bun with loose hair—doomed to fail.</t>
  </si>
  <si>
    <t>আলগা জিহ্বা দুষ্ট দুটোহাত থেকেও খারাপ</t>
  </si>
  <si>
    <t>আলগা (অসংযত) জিহ্বা দুটো হাতের চেয়েও খারাপ</t>
  </si>
  <si>
    <t>কথার দ্বারা ক্ষতি হাতের আঘাতের চেয়েও বেশি</t>
  </si>
  <si>
    <t>A loose tongue is worse than two wicked hands.</t>
  </si>
  <si>
    <t>বাচাল/কটুভাষী</t>
  </si>
  <si>
    <t>আলগা পেলে সন্ন্যাসীও মাতে</t>
  </si>
  <si>
    <t>আলগা (সুযোগ) পেলে সন্ন্যাসীও মেতে ওঠে</t>
  </si>
  <si>
    <t>সুযোগ পেলে সাধুও লোভে পড়ে; চরিত্র বদলায়</t>
  </si>
  <si>
    <t>Even a hermit yields when given a loose rein.</t>
  </si>
  <si>
    <t>আলগা মাটিতে বিড়াল আঁচড়ায়/হাগে</t>
  </si>
  <si>
    <t>আলগা মাটিতে বিড়াল আঁচড় কাটে বা হাগে</t>
  </si>
  <si>
    <t>দুর্বল পেলে সবাই অত্যাচার করে; সহজ সুযোগ নেয়</t>
  </si>
  <si>
    <t>A cat scratches or defecates on loose soil—people take advantage of weakness.</t>
  </si>
  <si>
    <t>আল ভেঙে জল যাচ্ছে, ভালুকে তালি মারছে</t>
  </si>
  <si>
    <t>আল (বাঁধ) ভেঙে জল চলে যাচ্ছে, আর ভালুক তালি দিচ্ছে</t>
  </si>
  <si>
    <t>অক্ষম ব্যক্তি পরিস্থিতি সামলাতে না পেরে হাস্যকর চেষ্টা করে</t>
  </si>
  <si>
    <t>The embankment is breached and water flows away, yet the bear is trying to patch it.</t>
  </si>
  <si>
    <t>অক্ষম/নির্বোধ</t>
  </si>
  <si>
    <t>আলস্যং হি মনুষ্যানাং শরীরস্থো মহান রিপু</t>
  </si>
  <si>
    <t>আলস্য মানুষের শরীরস্থ এক মহান শত্রু</t>
  </si>
  <si>
    <t>অলসতা মানুষের সবচেয়ে বড় শত্রু</t>
  </si>
  <si>
    <t>Laziness is the greatest enemy residing in man's body.</t>
  </si>
  <si>
    <t>আলস্য হেন ধন থাকতে দুঃখের অভাব কি?</t>
  </si>
  <si>
    <t>আলস্যের মতো ধন থাকতে দুঃখের অভাব কী?</t>
  </si>
  <si>
    <t>অলসতা থাকলে দুঃখের শেষ থাকে না; এটি দুঃখের উৎস</t>
  </si>
  <si>
    <t>With the wealth of laziness, what lack of sorrow?</t>
  </si>
  <si>
    <t>আলার নীচেই কালা রয়েছে</t>
  </si>
  <si>
    <t>আলার (আলো) নিচেই কালা (কালো/অন্ধকার) থাকে</t>
  </si>
  <si>
    <t>ভালোর পাশেই মন্দ লুকিয়ে থাকে</t>
  </si>
  <si>
    <t>Beneath the light, darkness dwells.</t>
  </si>
  <si>
    <t>আলাল (ধনী/উচ্চবংশ) ঘরের দুলাল (আদুরে ছেলে)</t>
  </si>
  <si>
    <t>অতি প্রশ্রয়ে বড় হওয়া ছেলে; আদুরে গোপাল</t>
  </si>
  <si>
    <t>The darling son of a wealthy family—spoilt child.</t>
  </si>
  <si>
    <t>আলালের ছেলে (পুরুষ)</t>
  </si>
  <si>
    <t>আলো এলে অন্ধকার পালায়</t>
  </si>
  <si>
    <t>আলো এলে অন্ধকার পালায়</t>
  </si>
  <si>
    <t>জ্ঞান বা সত্যের আবির্ভাবে অজ্ঞতা দূর হয়</t>
  </si>
  <si>
    <t>When light comes, darkness flees.</t>
  </si>
  <si>
    <t>আলোচাল দেখলে ভেড়ার মুখ চুলকায়</t>
  </si>
  <si>
    <t>আলোচাল (সেদ্ধ চাল) দেখলে ভেড়ার মুখ চুলকায়</t>
  </si>
  <si>
    <t>নিজের খাবার দেখলে লোভ সামলাতে পারে না; স্বভাবগত দুর্বলতা</t>
  </si>
  <si>
    <t>Seeing boiled rice makes a sheep's mouth itch.</t>
  </si>
  <si>
    <t>লোভী/স্বভাবদোষ</t>
  </si>
  <si>
    <t>আলো বাতাস বেঁধো না, রোগ ঘরে ডেকো না- খনা</t>
  </si>
  <si>
    <t>আলো-বাতাস বন্ধ করো না, তাতে রোগ ঘরে আসে</t>
  </si>
  <si>
    <t>ঘরে আলো-বাতাস চলাচল বন্ধ করলে অসুখ হয়</t>
  </si>
  <si>
    <t>Don't block light and air, lest you invite disease into the house.</t>
  </si>
  <si>
    <t>আলোর পর আঁধার আসে</t>
  </si>
  <si>
    <t>আলোর পর অন্ধকার আসে</t>
  </si>
  <si>
    <t>সুখের পর দুঃখ আসে; পরিবর্তন নিয়তি</t>
  </si>
  <si>
    <t>After light comes darkness.</t>
  </si>
  <si>
    <t>আল্লা যারে দেয় ছাদ ফুঁইড়া দেয</t>
  </si>
  <si>
    <t>আল্লাহ যাকে দেন, ছাদ ফুঁড়ে দেন (প্রচুর দেন)</t>
  </si>
  <si>
    <t>ঈশ্বর যখন দেন, তখন অপর্যাপ্ত দেন</t>
  </si>
  <si>
    <t>When Allah gives, He pours through the roof.</t>
  </si>
  <si>
    <t>ধর্ম/প্রাচুর্য</t>
  </si>
  <si>
    <t>আল্লা হরি আমি গাছের থেকে পড়ি</t>
  </si>
  <si>
    <t>আল্লা, হরি! আমি গাছ থেকে পড়লাম</t>
  </si>
  <si>
    <t>নিজের বিপদে ঈশ্বরকে ডাকা; আত্মকেন্দ্রিকতা</t>
  </si>
  <si>
    <t>O Allah, O Hari! I've fallen from the tree—calling God in personal crisis.</t>
  </si>
  <si>
    <t>আশমান জমিক ফারাক</t>
  </si>
  <si>
    <t>আকাশ আর মাটির পার্থক্য</t>
  </si>
  <si>
    <t>দুজনের মধ্যে বিশাল তফাত; যেমন আকাশ ও মাটি</t>
  </si>
  <si>
    <t>Difference like sky and earth.</t>
  </si>
  <si>
    <t>আশা আর ফুঁ আছে, দুধ আর বাটি নেই</t>
  </si>
  <si>
    <t>আশা আর নিঃশ্বাস আছে, কিন্তু দুধ আর বাটি নেই</t>
  </si>
  <si>
    <t>খালি আশা ও অস্তিত্ব মাত্র; ভোগের উপকরণ নেই</t>
  </si>
  <si>
    <t>There's hope and breath, but no milk or bowl—empty existence.</t>
  </si>
  <si>
    <t>আশা আর বাসা ছোট করতে নেই</t>
  </si>
  <si>
    <t>আশা বা আকাঙ্ক্ষা ও নিজের বাসস্থান সংকীর্ণ করা উচিত নয়; উচ্চাকাঙ্ক্ষা ও উদারতা প্রয়োজন</t>
  </si>
  <si>
    <t>Don't narrow your hopes or your home.</t>
  </si>
  <si>
    <t>আশাই পরম সুখ আশাই পরম দুখ</t>
  </si>
  <si>
    <t>আশাই চরম সুখ, আশাই চরম দুঃখ</t>
  </si>
  <si>
    <t>আশা পূর্ণ হলে সুখ, ব্যর্থ হলে দুঃখ; আশাই সব</t>
  </si>
  <si>
    <t>Hope is the greatest joy and the greatest sorrow.</t>
  </si>
  <si>
    <t>আশা করে ঘর বাঁধে কেউ হাসে কেউ কাঁদে</t>
  </si>
  <si>
    <t>আশা করে মানুষ ঘর বাঁধে; কেউ হাসে, কেউ কাঁদে</t>
  </si>
  <si>
    <t>আশার ফল সবার জন্য এক নয়; কেউ সুখী হয়, কেউ হয় না</t>
  </si>
  <si>
    <t>With hope one builds a home; some laugh, some cry.</t>
  </si>
  <si>
    <t>আশা করেছেন কাও পাকলে খাবেন ডেও</t>
  </si>
  <si>
    <t>যিনি আশা করেছেন, কাও (কাঁঠাল?) পাকলে ডেও (এক প্রকার খাদ্য?) খাবেন</t>
  </si>
  <si>
    <t>সঠিক পাঠ অজ্ঞাত; সম্ভবত: অতি আশা করে ব্যর্থ হওয়া বা ভুল প্রত্যাশা</t>
  </si>
  <si>
    <t>He who hoped will eat 'deo' when the jackfruit ripens—possibly an ironic or obscure phrase.</t>
  </si>
  <si>
    <t>আশা গরিবের খাদ্য</t>
  </si>
  <si>
    <t>আশা গরিবের খোরাক</t>
  </si>
  <si>
    <t>গরিবের একমাত্র সম্বল আশা; তাতেই বেঁচে থাকে</t>
  </si>
  <si>
    <t>Hope is the food of the poor.</t>
  </si>
  <si>
    <t>আশা/দারিদ্র্য</t>
  </si>
  <si>
    <t>আশাবধিং কো গতঃ</t>
  </si>
  <si>
    <t>আশার সীমা কে পৌঁছেছে?</t>
  </si>
  <si>
    <t>আশার কোন শেষ নেই; কেউ আশার শেষে পৌঁছাতে পারেনি</t>
  </si>
  <si>
    <t>Who has reached the limit of hope?</t>
  </si>
  <si>
    <t>আশা বৈতরণী নদী</t>
  </si>
  <si>
    <t>আশা এক বৈতরণী নদী (নারকী নদী)</t>
  </si>
  <si>
    <t>আশা ভয়ংকর; যেমন বৈতরণী নদী পার হওয়া কঠিন</t>
  </si>
  <si>
    <t>Hope is like the river Vaitarani—terrible and hard to cross.</t>
  </si>
  <si>
    <t>আশায় আমার পড়ল ছাই এখন বল কোথায় যাই</t>
  </si>
  <si>
    <t>আমার আশায় ছাই পড়েছে, এখন কোথায় যাই বলো</t>
  </si>
  <si>
    <t>আশা ভঙ্গ হয়েছে; হতাশায় দিশেহারা</t>
  </si>
  <si>
    <t>My hope has turned to ashes; tell me, where do I go now?</t>
  </si>
  <si>
    <t>আশায় খেলিছে পাশা</t>
  </si>
  <si>
    <t>আশা নিয়ে পাশা খেলছে</t>
  </si>
  <si>
    <t>আশাকে কেন্দ্র করে জীবনের জুয়া খেলা; ভাগ্যের উপর নির্ভর</t>
  </si>
  <si>
    <t>Playing dice with hope—gambling on hope.</t>
  </si>
  <si>
    <t>ভাগ্যবাদী</t>
  </si>
  <si>
    <t>আশায় বাঁচে চাষা</t>
  </si>
  <si>
    <t>আশায় বাঁচে চাষা</t>
  </si>
  <si>
    <t>চাষা (কৃষক) আশাতেই বেঁচে থাকে; ফসলের আশাই তার প্রাণ</t>
  </si>
  <si>
    <t>The farmer lives on hope.</t>
  </si>
  <si>
    <t>আশা/জীবিকা</t>
  </si>
  <si>
    <t>আশায় মরে চাষা</t>
  </si>
  <si>
    <t>আশায় মরে চাষা</t>
  </si>
  <si>
    <t>অতিরিক্ত আশা চাষার সর্বনাশ ডেকে আনে</t>
  </si>
  <si>
    <t>The farmer dies of (excessive) hope.</t>
  </si>
  <si>
    <t>আশার অর্ধেক ফল</t>
  </si>
  <si>
    <t>আশা করলে সম্পূর্ণ ফল পাওয়া যায় না; অর্ধেকই মেলে</t>
  </si>
  <si>
    <t>Half the fruit of hope—expectations are seldom fully met.</t>
  </si>
  <si>
    <t>আশার চেয়ে নিরাশা ভাল, হয়ে গেল তো হয়ে গেল</t>
  </si>
  <si>
    <t>আশার চেয়ে নিরাশা ভালো; যা হওয়ার হয়ে গেল</t>
  </si>
  <si>
    <t>আশায় না থেকে যা হয় মেনে নেওয়াই ভালো</t>
  </si>
  <si>
    <t>Better disappointment than hope; what's done is done.</t>
  </si>
  <si>
    <t>আশার কোনো শেষ নেই</t>
  </si>
  <si>
    <t>আশার সীমা-পরিসীমা নেই</t>
  </si>
  <si>
    <t>Hope has no end.</t>
  </si>
  <si>
    <t>আশাহি পরমং দুঃখং, নৈরাশ্যং পরমং সুখং</t>
  </si>
  <si>
    <t>আশাই পরম দুঃখ, নিরাশাই পরম সুখ</t>
  </si>
  <si>
    <t>আশা করলেই দুঃখ, আশা না থাকলেই প্রকৃত শান্তি</t>
  </si>
  <si>
    <t>Hope is the greatest misery; hopelessness is the greatest happiness.</t>
  </si>
  <si>
    <t>আশ্বিন মাসে কুঠে (কুষ্ঠরোগগ্রস্ত) পাঁঠাতেও কড়ি</t>
  </si>
  <si>
    <t>আশ্বিন মাসে কুষ্ঠরোগী ছাগলেও দাম</t>
  </si>
  <si>
    <t>মরসুমে সবকিছুরই চাহিদা; খারাপ জিনিসও মূল্যবান হয়</t>
  </si>
  <si>
    <t>In Ashwin, even a leprous goat fetches a price.</t>
  </si>
  <si>
    <t>অর্থ/মৌসুম</t>
  </si>
  <si>
    <t>আশ্রয়, ফল ও ছায়া বড়গাছের তলায় নিতে হয়</t>
  </si>
  <si>
    <t>আশ্রয়, ফল ও ছায়া বড়গাছের তলাতেই নিতে হয়</t>
  </si>
  <si>
    <t>মহতের কাছেই প্রকৃত সাহায্য ও উপকার পাওয়া যায়</t>
  </si>
  <si>
    <t>Shelter, fruit, and shade are sought under big trees.</t>
  </si>
  <si>
    <t>আষাঢ়মাস চাষার আশ</t>
  </si>
  <si>
    <t>আষাঢ় মাস চাষার আশা</t>
  </si>
  <si>
    <t>আষাঢ়ে বৃষ্টির আশাতেই কৃষক বেঁচে থাকে</t>
  </si>
  <si>
    <t>The month of Ashar is the farmer's hope.</t>
  </si>
  <si>
    <t>আষাঢ়ে গল্প</t>
  </si>
  <si>
    <t>আষাঢ়ের গল্প</t>
  </si>
  <si>
    <t>অসম্ভব গল্প; আষাঢ় মাসে নদী ভরা থাকে, তখন নৌকা নিয়ে মজার গল্প</t>
  </si>
  <si>
    <t>A tall tale, like the stories of Ashar.</t>
  </si>
  <si>
    <t>গল্পকার</t>
  </si>
  <si>
    <t>আষাঢ়ে না হলে সূত, হা সূত যো সুত; ষোলতে না হলে পুত হা পুত যো পুত</t>
  </si>
  <si>
    <t>আষাঢ়ে না হলে সুতো, আহা সুতো কেমন সুতো; ষোল বছরে না হলে পুত, আহা পুত কেমন পুত</t>
  </si>
  <si>
    <t>সঠিক সময়ের জিনিসের মূল্য; অসময়ের জিনিস ভালো হয় না</t>
  </si>
  <si>
    <t>If not woven in Ashar, what kind of thread; if not born at sixteen, what kind of son?</t>
  </si>
  <si>
    <t>পুত্র (সন্তান)</t>
  </si>
  <si>
    <t>সময়/পরিবার</t>
  </si>
  <si>
    <t>আসতেও একা, যেতেও একা, কার সঙ্গে বা কার দেখা</t>
  </si>
  <si>
    <t>আসতেও একা, যেতেও একা, কার সঙ্গে বা দেখা</t>
  </si>
  <si>
    <t>জীবনে কেউ কারো নয়; একাকীত্বই নিয়তি</t>
  </si>
  <si>
    <t>We come alone and go alone; with whom is our meeting?</t>
  </si>
  <si>
    <t>আসনং চালয়েৎ দৃষ্ট্বা পথি নারী বিবর্জিতা। জাগরণে ভয়ং নাস্তি অতিক্রোধো নিবর্যতে।। (চাণক্য)</t>
  </si>
  <si>
    <t>আসন ছেড়ে দেবে যদি পথে নারী একা থাকে; জাগরণে ভয় নেই, অতি ক্রোধ নিবারণ করবে</t>
  </si>
  <si>
    <t>চাণক্যের নীতি: বিবর্জিতা নারী দেখলে আসন ছেড়ে দেবে, জেগে থাকলে ভয় নেই, বেশি রাগ করবে না।</t>
  </si>
  <si>
    <t>If you see a woman abandoned on the road, give up your seat; in wakefulness there is no fear; avoid excessive anger.</t>
  </si>
  <si>
    <t>নারী (বিবর্জিতা)</t>
  </si>
  <si>
    <t>নীতি/লিঙ্গ</t>
  </si>
  <si>
    <t>আসন্নকালে বিপরীতা বুদ্ধি১</t>
  </si>
  <si>
    <t>আসন্নকালে (বিপদের সময়) বিপরীত বুদ্ধি হয়</t>
  </si>
  <si>
    <t>বিপদের সময় মানুষের বুদ্ধি উল্টো কাজ করে</t>
  </si>
  <si>
    <t>When danger approaches, the mind works opposite.</t>
  </si>
  <si>
    <t>আসন্নকালে বিপরীতা বুদ্ধি২</t>
  </si>
  <si>
    <t>আসন্নকালে বিপরীতা বুদ্ধি (দ্বিতীয় অর্থ)</t>
  </si>
  <si>
    <t>মৃত্যুকালে মানুষের বুদ্ধি লোপ পায়</t>
  </si>
  <si>
    <t>At the time of death, wisdom becomes reversed.</t>
  </si>
  <si>
    <t>মৃতপ্রায়</t>
  </si>
  <si>
    <t>আসন্নকালে বিপরীতা বুদ্ধি৩</t>
  </si>
  <si>
    <t>আসন্নকালে বিপরীত বুদ্ধি</t>
  </si>
  <si>
    <t>বিপদের সময় বা মৃত্যুকালে মানুষের বুদ্ধি উল্টো কাজ করে; বুদ্ধি লোপ পায়</t>
  </si>
  <si>
    <t>In times of danger or death, wisdom works in reverse.</t>
  </si>
  <si>
    <t>বুদ্ধি/মৃত্যু</t>
  </si>
  <si>
    <t>আসলঘরে মশাল নেই হেঁশেলঘরে চাঁদোয়া১</t>
  </si>
  <si>
    <t>আসল ঘরে মশাল নেই, হেঁশেল ঘরে চাঁদোয়া</t>
  </si>
  <si>
    <t>প্রধান জায়গায় আলোর ব্যবস্থা নেই, অথচ রান্নাঘরে চাঁদোয়া; অগ্রাধিকার উল্টো</t>
  </si>
  <si>
    <t>No torch in the main room, but a canopy in the kitchen—misplaced priorities.</t>
  </si>
  <si>
    <t>অগোছালো/আড়ম্বরপ্রিয় ব্যক্তি</t>
  </si>
  <si>
    <t>আসলঘরে মশাল নেই হেঁশেলঘরে চাঁদোয়া২</t>
  </si>
  <si>
    <t>গুরুত্বহীন জায়গায় আড়ম্বর, আসল প্রয়োজন উপেক্ষিত</t>
  </si>
  <si>
    <t>No torch in the main room, yet a canopy in the kitchen—wrong priorities.</t>
  </si>
  <si>
    <t>অগোছালো ব্যক্তি</t>
  </si>
  <si>
    <t>আসলঘরে মশাল নেই হেঁশেলঘরে চাঁদোয়া৩</t>
  </si>
  <si>
    <t>অনাবশ্যক স্থানে শোভাবর্ধন, প্রয়োজনীয় স্থান অন্ধকার</t>
  </si>
  <si>
    <t>No light in the main room, but decoration in the kitchen—folly.</t>
  </si>
  <si>
    <t>বিপরীত বুদ্ধিসম্পন্ন</t>
  </si>
  <si>
    <t>আসল ছেড়ে ছায়ার পিছনে ছূটো না</t>
  </si>
  <si>
    <t>আসল ছেড়ে ছায়ার পিছনে দৌড়ো না</t>
  </si>
  <si>
    <t>প্রকৃত বস্তু ত্যাগ করে মায়ার পিছনে ছোটা উচিত নয়</t>
  </si>
  <si>
    <t>Don't chase the shadow after leaving the substance.</t>
  </si>
  <si>
    <t>আসলের খোঁজ নেই, তার সুদের খবর</t>
  </si>
  <si>
    <t>আসলের খোঁজ নেই, সুদের খবর</t>
  </si>
  <si>
    <t>মূল কাজের কোনো তদন্ত নেই, অথচ তুচ্ছ বিষয়ে উৎসাহ</t>
  </si>
  <si>
    <t>No news of the principal, but inquiry about the interest—misplaced curiosity.</t>
  </si>
  <si>
    <t>অপ্রাসঙ্গিক বিষয়ে আগ্রহী</t>
  </si>
  <si>
    <t>আসলের চেয়ে সুদ মিষ্টি১</t>
  </si>
  <si>
    <t>আসলের চেয়ে সুদ মিষ্টি</t>
  </si>
  <si>
    <t>মূলের চেয়ে লাভের লোভ বেশি; বাড়তি পাওয়ার আকর্ষণই আসল</t>
  </si>
  <si>
    <t>Interest is sweeter than the principal—greed for gain.</t>
  </si>
  <si>
    <t>আসলের চেয়ে সুদ মিষ্টি২</t>
  </si>
  <si>
    <t>আসল টাকার চেয়ে তার সুদ বেশি প্রিয়; কৃপণতা বা লাভের প্রতি অতিরিক্ত আসক্তি</t>
  </si>
  <si>
    <t>The interest is sweeter than the capital—excessive love for profit.</t>
  </si>
  <si>
    <t>আসেন লক্ষ্মী যান বালাই১</t>
  </si>
  <si>
    <t>আসেন লক্ষ্মী যান বালাই</t>
  </si>
  <si>
    <t>লক্ষ্মী (ধনসম্পদ) এলে সব দুঃখ-কষ্ট দূর হয়</t>
  </si>
  <si>
    <t>When Lakshmi (wealth) arrives, troubles depart.</t>
  </si>
  <si>
    <t>ধর্ম/ভাগ্য</t>
  </si>
  <si>
    <t>আসেন লক্ষ্মী যান বালাই২</t>
  </si>
  <si>
    <t>ধনলাভ হলে জীবনের জঞ্জাল দূর হয়</t>
  </si>
  <si>
    <t>Lakshmi comes, balai (evil) leaves.</t>
  </si>
  <si>
    <t>আস্কে (পিঠে) খায় তার ফোঁড় গোণে না</t>
  </si>
  <si>
    <t>পিঠে খায়, কিন্তু ফোঁড় গোনে না</t>
  </si>
  <si>
    <t>ফল ভোগ করে কিন্তু তার জন্য পরিশ্রম বা মূল্য বোঝে না</t>
  </si>
  <si>
    <t>Eats the cake but doesn't count the stitches—enjoys without acknowledging effort.</t>
  </si>
  <si>
    <t>অকৃতজ্ঞ/সুবিধাভোগী</t>
  </si>
  <si>
    <t>আস্কে (পিঠে) খেয়েছো তার ফোঁড় গোন নি?</t>
  </si>
  <si>
    <t>পিঠে খেয়েছ, ফোঁড় গোনোনি?</t>
  </si>
  <si>
    <t>উপকার ভোগ করেও কৃতজ্ঞতা প্রকাশ করনি</t>
  </si>
  <si>
    <t>You ate the cake but didn't count the threads—ungrateful.</t>
  </si>
  <si>
    <t>আস্তাকুঁড়ের পাত/পাতা কখনো স্বর্গে যায় না১</t>
  </si>
  <si>
    <t>নীচ প্রকৃতির বা অপবিত্র জিনিস কখনো উচ্চ মর্যাদা পায় না</t>
  </si>
  <si>
    <t>A leaf from a garbage heap never reaches heaven.</t>
  </si>
  <si>
    <t>নীচ/অপবিত্র</t>
  </si>
  <si>
    <t>আস্তাকুঁড়ের পাত/পাতা কখনো স্বর্গে যায় না২</t>
  </si>
  <si>
    <t>হীন পরিবেশের জিনিস কখনো মহৎ হয় না</t>
  </si>
  <si>
    <t>A dung-heap leaf never goes to heaven—the lowly remain lowly.</t>
  </si>
  <si>
    <t>নীচ</t>
  </si>
  <si>
    <t>আস্তাকুঁড়ের পাত/পাতা কখনো স্বর্গে যায় না৩</t>
  </si>
  <si>
    <t>অপবিত্র বস্তু কখনো পবিত্র স্থান পায় না</t>
  </si>
  <si>
    <t>A leaf from the trash never ascends to heaven.</t>
  </si>
  <si>
    <t>অপবিত্র</t>
  </si>
  <si>
    <t>আহাম্মক তিন যায়গায় বিষ্ঠা মাখে</t>
  </si>
  <si>
    <t>আহাম্মক তিন জায়গায় বিষ্ঠা মাখে</t>
  </si>
  <si>
    <t>নির্বোধ নিজের সর্বত্র ক্ষতি করে; সব জায়গায় নোংরা ছড়ায়</t>
  </si>
  <si>
    <t>A fool smears filth in three places—creates mess everywhere.</t>
  </si>
  <si>
    <t>আহাম্মক/নির্বোধ</t>
  </si>
  <si>
    <t>আহাম্মক যে হয়, পিছনে সে কথা কয়</t>
  </si>
  <si>
    <t>যে আহাম্মক হয়, সে পিছনে কথা বলে</t>
  </si>
  <si>
    <t>মূর্খ ব্যক্তিই সম্মুখে কিছু বলে না, পিছনে নিন্দা করে</t>
  </si>
  <si>
    <t>A fool talks behind one's back.</t>
  </si>
  <si>
    <t>আহাম্মক</t>
  </si>
  <si>
    <t>আহাম্মক এক, যে পরের মালে করে টেঁক;</t>
  </si>
  <si>
    <t>আহাম্মক এক, যে পরের মালে টেঁক করে (বাঁধে)</t>
  </si>
  <si>
    <t>প্রথম নির্বোধ: যে পরের জিনিস দিয়ে নিজের স্বার্থসিদ্ধি করে</t>
  </si>
  <si>
    <t>Fool one: he who makes a stopper from others' property.</t>
  </si>
  <si>
    <t>আহাম্মক/পরের সম্পদে লোভী</t>
  </si>
  <si>
    <t>আহাম্মক দুই, যে পরের চালে তোলে পুঁই</t>
  </si>
  <si>
    <t>আহাম্মক দুই, যে পরের চালে পুঁই তোলে</t>
  </si>
  <si>
    <t>দ্বিতীয় নির্বোধ: যে পরের জমিতে ফসল ফলায়</t>
  </si>
  <si>
    <t>Fool two: he who grows spinach on another's roof.</t>
  </si>
  <si>
    <t>আহাম্মক তিন, যে ঋণ করে দেয় ঋণ</t>
  </si>
  <si>
    <t>আহাম্মক তিন, যে ঋণ করে ঋণ দেয়</t>
  </si>
  <si>
    <t>তৃতীয় নির্বোধ: যে নিজে ধার করে অপরকে ধার দেয়</t>
  </si>
  <si>
    <t>Fool three: he who borrows to lend.</t>
  </si>
  <si>
    <t>আহাম্মক চার, যে মধ্যস্থ হয়ে খায় মার</t>
  </si>
  <si>
    <t>আহাম্মক চার, যে মধ্যস্থতা করতে গিয়ে মার খায়</t>
  </si>
  <si>
    <t>চতুর্থ নির্বোধ: যে সালিশ করতে গিয়ে প্রহার খায়</t>
  </si>
  <si>
    <t>Fool four: he who mediates and gets beaten.</t>
  </si>
  <si>
    <t>আহাম্মক পাঁচ, যে পরের পুকুরে ছাড়ে মাছ</t>
  </si>
  <si>
    <t>আহাম্মক পাঁচ, যে পরের পুকুরে মাছ ছাড়ে</t>
  </si>
  <si>
    <t>পঞ্চম নির্বোধ: যে নিজের মাছ পরের পুকুরে ছেড়ে দেয়</t>
  </si>
  <si>
    <t>Fool five: he who releases fish into another's pond.</t>
  </si>
  <si>
    <t>আহাম্মক ছয়, যে একের কথা আরে কয়</t>
  </si>
  <si>
    <t>আহাম্মক ছয়, যে একজনের কথা আরেকজনকে বলে</t>
  </si>
  <si>
    <t>ষষ্ঠ নির্বোধ: যে পরচর্চা করে ও বিশ্বাস ভঙ্গ করে</t>
  </si>
  <si>
    <t>Fool six: he who tells one person's words to another.</t>
  </si>
  <si>
    <t>আহাম্মক সাত, যে শ্বশুরবাড়ী খায় ভাত</t>
  </si>
  <si>
    <t>আহাম্মক সাত, যে শ্বশুরবাড়ি ভাত খায়</t>
  </si>
  <si>
    <t>সপ্তম নির্বোধ: যে শ্বশুরবাড়ির অনুগ্রহে জীবন ধারণ করে</t>
  </si>
  <si>
    <t>Fool seven: he who eats rice at his in-laws' house.</t>
  </si>
  <si>
    <t>আহাম্মক/জামাই</t>
  </si>
  <si>
    <t>আহাম্মক আট, যে মাগকে পাঠায় হাট</t>
  </si>
  <si>
    <t>আহাম্মক আট, যে স্ত্রীকে হাটে পাঠায়</t>
  </si>
  <si>
    <t>অষ্টম নির্বোধ: যে নিজের স্ত্রীকে বাজারে পাঠায় (পরপুরুষের দৃষ্টিতে পড়ে)</t>
  </si>
  <si>
    <t>Fool eight: he who sends his wife to the market.</t>
  </si>
  <si>
    <t>স্ত্রী/মাগ (নারী)</t>
  </si>
  <si>
    <t>লিঙ্গ/মূর্খতা</t>
  </si>
  <si>
    <t>আহাম্মক নয়, যে ঘর থাকতে পরের ঘরে রয়</t>
  </si>
  <si>
    <t>আহাম্মক নয়, যে নিজের ঘর থাকতে পরের ঘরে থাকে</t>
  </si>
  <si>
    <t>নবম নির্বোধ: যে নিজের ঘর ছেড়ে পরের বাড়িতে আশ্রয় নেয়</t>
  </si>
  <si>
    <t>Fool nine: he who stays in another's house despite having his own.</t>
  </si>
  <si>
    <t>আহাম্মক দশ, যে মাগের কথায় বশ</t>
  </si>
  <si>
    <t>আহাম্মক দশ, যে স্ত্রীর কথায় বশীভূত হয়</t>
  </si>
  <si>
    <t>দশম নির্বোধ: যে স্ত্রীর কথায় চলে এবং নিজস্ব মত থাকে না</t>
  </si>
  <si>
    <t>Fool ten: he who is controlled by his wife's words.</t>
  </si>
  <si>
    <t>স্বামী/পুরুষ (স্ত্রীবশ)</t>
  </si>
  <si>
    <t>আহাম্মকের সাথে তর্ক করো না, মানুষ ভুল করে তোমাকে আহাম্মক ভাবতে পারে</t>
  </si>
  <si>
    <t>আহাম্মকের সাথে তর্ক করো না, লোকে তোমাকেও আহাম্মক ভাবতে পারে</t>
  </si>
  <si>
    <t>মূর্খের সাথে তর্ক করলে নিজেকেও মূর্খ মনে হতে পারে</t>
  </si>
  <si>
    <t>Don't argue with a fool; people might mistake you for one.</t>
  </si>
  <si>
    <t>আহাম্মক/তর্কপ্রিয়</t>
  </si>
  <si>
    <t>আহার করবে ধীরে, কোনদিকে না চাবে ফিরে</t>
  </si>
  <si>
    <t>আহার ধীরে করবে, কোনোদিকে ফিরে তাকাবে না</t>
  </si>
  <si>
    <t>খাওয়ার সময় মনোযোগী হও; বাইরের দিকে তাকানো অনুচিত</t>
  </si>
  <si>
    <t>Eat slowly and don't look around.</t>
  </si>
  <si>
    <t>স্বাস্থ্য/আচরণ</t>
  </si>
  <si>
    <t>আহার নিদ্রা ভয় যতই করবে ততই হয়</t>
  </si>
  <si>
    <t>আহার, নিদ্রা, ভয়—যত করবে ততই বাড়বে</t>
  </si>
  <si>
    <t>এই তিনটি জিনিস প্রশ্রয় পেলে বেড়ে যায়</t>
  </si>
  <si>
    <t>The more you eat, sleep, and fear, the more they increase.</t>
  </si>
  <si>
    <t>স্বাস্থ্য/আবেগ</t>
  </si>
  <si>
    <t>আহুঃ সপ্তপদী মৈত্রী</t>
  </si>
  <si>
    <t>বলে, সাত পায়ে বন্ধুত্ব</t>
  </si>
  <si>
    <t>সাত পা হাঁটলেই বন্ধুত্ব তৈরি হয়</t>
  </si>
  <si>
    <t>They say, seven steps make friendship.</t>
  </si>
  <si>
    <t>আহ্লাদে আটখানা, ল্যাজা মুড়ো দশখানা</t>
  </si>
  <si>
    <t>আহ্লাদে আটখানা, লেজ ও মুণ্ডু দশখানা</t>
  </si>
  <si>
    <t>অতিরিক্ত উল্লাসে মানুষ খণ্ড-বিখণ্ড হয়; আত্মহারা</t>
  </si>
  <si>
    <t>Overjoyed, one becomes eight pieces; tail and head make ten—fragmented in joy.</t>
  </si>
  <si>
    <t>অতি উল্লসিত ব্যক্তি</t>
  </si>
  <si>
    <t>আহ্লাদে আটখানা মূল্য পাঁচ-আনা</t>
  </si>
  <si>
    <t>আহ্লাদে আট টুকরো, দাম পাঁচ আনা</t>
  </si>
  <si>
    <t>অতিরিক্ত আনন্দ সস্তা; খুশির মূল্য কম</t>
  </si>
  <si>
    <t>Eight pieces of joy worth five annas—cheap happiness.</t>
  </si>
  <si>
    <t>আহ্লাদে পুতুল</t>
  </si>
  <si>
    <t>আহ্লাদে পুতুল হওয়া</t>
  </si>
  <si>
    <t>আনন্দে আত্মহারা হয়ে নাচা বা আচরণ করা</t>
  </si>
  <si>
    <t>A puppet of joy—dancing in happiness.</t>
  </si>
  <si>
    <t>আহ্লাদিত ব্যক্তি</t>
  </si>
  <si>
    <t>ইঁচোড়ে পাকা</t>
  </si>
  <si>
    <t>ইঁচোড়ে (কাঁচা) পাকা</t>
  </si>
  <si>
    <t>অল্প বয়সে বড়দের মতো আচরণ করা; অকালপক্কতা</t>
  </si>
  <si>
    <t>Ripe before its time—premature adulthood.</t>
  </si>
  <si>
    <t>অকালপক্ব যুবক</t>
  </si>
  <si>
    <t>ইঁদুর চেনে না ভাগবত পুঁথি</t>
  </si>
  <si>
    <t>ইঁদুর ভাগবত পুঁথি চেনে না</t>
  </si>
  <si>
    <t>মূর্খ ব্যক্তি গুণগ্রাহী হয় না; মূল্যবান জিনিস চিনতে পারে না</t>
  </si>
  <si>
    <t>A rat doesn't recognize the Bhagavata Purana—a fool can't appreciate the sacred.</t>
  </si>
  <si>
    <t>অজ্ঞ/মূর্খ</t>
  </si>
  <si>
    <t>ইঁদুর গর্ত খুঁড়ে মরে সাপ এসে দখল করে১</t>
  </si>
  <si>
    <t>ইঁদুর গর্ত খুঁড়ে মরে, সাপ এসে দখল নেয়</t>
  </si>
  <si>
    <t>একজন পরিশ্রম করে আরেকজন তার ফল ভোগ করে</t>
  </si>
  <si>
    <t>The rat digs a hole and dies, the snake takes possession—one's labor benefits another.</t>
  </si>
  <si>
    <t>পরিশ্রমী কিন্তু ভাগ্যহীন</t>
  </si>
  <si>
    <t>ভাগ্য/পরিণতি</t>
  </si>
  <si>
    <t>ইঁদুর গর্ত খুঁড়ে মরে সাপ এসে দখল করে২</t>
  </si>
  <si>
    <t>ইঁদুর গর্ত খুঁড়ে মরে, সাপ দখল করে</t>
  </si>
  <si>
    <t>অন্যের জন্য খাটা; পরের স্বার্থসিদ্ধি</t>
  </si>
  <si>
    <t>The rat digs and dies, the snake occupies—another's gain.</t>
  </si>
  <si>
    <t>পরিশ্রমী/অভাগা</t>
  </si>
  <si>
    <t>ইঁদুর ডুবন্ত জাহাজ ছেড়ে পালায়</t>
  </si>
  <si>
    <t>ইঁদুর ডুবন্ত জাহাজ ছেড়ে পালায়</t>
  </si>
  <si>
    <t>বিপদের সময় স্বার্থপর লোকেরা আগে পালায়</t>
  </si>
  <si>
    <t>Rats leave a sinking ship—cowards flee in trouble.</t>
  </si>
  <si>
    <t>বিশ্বাসঘাতক/স্বার্থপর</t>
  </si>
  <si>
    <t>ইঁদুর বিড়াল দৌড় খেলা</t>
  </si>
  <si>
    <t>ইঁদুর বিড়াল দৌড় খেলা</t>
  </si>
  <si>
    <t>চিরন্তন দ্বন্দ্ব বা ধাওয়া-পাল্টা ধাওয়া</t>
  </si>
  <si>
    <t>Rat and cat chase—eternal conflict.</t>
  </si>
  <si>
    <t>বিরোধ/খেলা</t>
  </si>
  <si>
    <t>ইকড়ি মিকড়ি চাম-চিকড়ি, চামের কাঁটা মজুমদার</t>
  </si>
  <si>
    <t>ইকড়ি মিকড়ি চাম-চিকড়ি, চামের কাঁটা মজুমদার</t>
  </si>
  <si>
    <t>একটি অর্থহীন ছড়া; কোনো বাস্তব অর্থ নেই</t>
  </si>
  <si>
    <t>A nonsense rhyme—meaningless jingle.</t>
  </si>
  <si>
    <t>ছড়া/অর্থহীন</t>
  </si>
  <si>
    <t>ইক্ষু পিষ্ট হলেও মিষ্টত্ব ত্যাগ করে না</t>
  </si>
  <si>
    <t>আখ পেষা হলেও তার মিষ্টতা ছাড়ে না</t>
  </si>
  <si>
    <t>গুণী ব্যক্তি বিপদেও নিজের গুণ অক্ষুণ্ণ রাখে</t>
  </si>
  <si>
    <t>Sugarcane, though crushed, does not lose its sweetness—virtue endures.</t>
  </si>
  <si>
    <t>সচ্চরিত্র</t>
  </si>
  <si>
    <t>ইঙ্গিতে বুঝলে মন কাজ হতে কতক্ষণ</t>
  </si>
  <si>
    <t>ইঙ্গিতে মন বুঝলে কাজ হতে কতক্ষণ?</t>
  </si>
  <si>
    <t>বুদ্ধিমান লোক ইশারায় কাজ উদ্ধার করে</t>
  </si>
  <si>
    <t>If the mind understands a hint, how long does action take?—quick comprehension.</t>
  </si>
  <si>
    <t>বুদ্ধিমান</t>
  </si>
  <si>
    <t>ইচ্ছা আছে যার উপায়/পথ আছে তার</t>
  </si>
  <si>
    <t>ইচ্ছা থাকলে উপায় হয়</t>
  </si>
  <si>
    <t>দৃঢ় ইচ্ছা থাকলে পথ বেরোয়</t>
  </si>
  <si>
    <t>Where there's a will, there's a way.</t>
  </si>
  <si>
    <t>ইচ্ছা ঘোড়া হলে সব অভাবীরা তার ওপর চাপ'ত</t>
  </si>
  <si>
    <t>ইচ্ছা যদি ঘোড়া হতো, তবে সব অভাবী তার ওপর চড়ত</t>
  </si>
  <si>
    <t>খালি ইচ্ছায় কিছু হয় না; বাস্তবতা ভিন্ন</t>
  </si>
  <si>
    <t>If wishes were horses, beggars would ride.</t>
  </si>
  <si>
    <t>ইচ্ছাকৃতভাবে যে তোমার দিকে একটা আঙুল বাড়ায় সে তোমার দিকে তার সমগ্র হাতও বাড়াবে- জিপসি প্রবাদ</t>
  </si>
  <si>
    <t>যে স্বেচ্ছায় তোমার দিকে একটি আঙুল বাড়ায়, সে পুরো হাতও বাড়াবে</t>
  </si>
  <si>
    <t>ছোট সাহায্যকারী প্রয়োজনে বড় সাহায্যও করবে</t>
  </si>
  <si>
    <t>He who willingly extends a finger will extend his whole hand.</t>
  </si>
  <si>
    <t>উদার সাহায্যকারী</t>
  </si>
  <si>
    <t>ইচ্ছার ভার বোঝা মনে হয় না</t>
  </si>
  <si>
    <t>নিজের ইচ্ছায় নেওয়া ভার বোঝা লাগে না</t>
  </si>
  <si>
    <t>মনের আনন্দে করা কাজ কষ্টকর মনে হয় না</t>
  </si>
  <si>
    <t>A willing burden is not felt.</t>
  </si>
  <si>
    <t>ইজ্জত দৌলতে বজায় থাকে</t>
  </si>
  <si>
    <t>ইজ্জত টাকায় টিকে</t>
  </si>
  <si>
    <t>সম্মান অর্থের ওপর নির্ভর করে</t>
  </si>
  <si>
    <t>Honor is maintained by wealth.</t>
  </si>
  <si>
    <t>সম্মান/অর্থ</t>
  </si>
  <si>
    <t>ইজ্জত যাওয়ার আগে প্রেস্টিজ যায়- রবীন্দ্রনাথ</t>
  </si>
  <si>
    <t>সম্মান হারানোর আগে মর্যাদা চলে যায়</t>
  </si>
  <si>
    <t>প্রথমে মর্যাদাবোধ নষ্ট হয়, পরে ইজ্জত যায়</t>
  </si>
  <si>
    <t>Before honor goes, prestige departs.</t>
  </si>
  <si>
    <t>ইজ্জতের দাম লাখ টাকা</t>
  </si>
  <si>
    <t>সম্মানের মূল্য অনেক টাকা; অর্থ থাকলেই সম্মান বজায় থাকে</t>
  </si>
  <si>
    <t>Honor costs a hundred thousand takas—wealth maintains honor.</t>
  </si>
  <si>
    <t>ইট পড়লে পাটকেলও পড়ে</t>
  </si>
  <si>
    <t>ইট পড়লে পাটকেলও পড়ে</t>
  </si>
  <si>
    <t>বড় বিপদ এলে ছোট বিপদও আসে; একসাথে সব আসে</t>
  </si>
  <si>
    <t>When bricks fall, clods follow—troubles come together.</t>
  </si>
  <si>
    <t>ইটে নাই ভিটে নাই বাইরে মর্দানী</t>
  </si>
  <si>
    <t>ঘরে কিছু নেই, অথচ বাইরে পুরুষত্ব দেখানো; গরিবের বড়াই</t>
  </si>
  <si>
    <t>No brick or home, yet outside, macho display—empty bravado.</t>
  </si>
  <si>
    <t>পুরুষ (দাম্ভিক গরিব)</t>
  </si>
  <si>
    <t>ইতরতাপশতানি যথেচ্ছয়া বিতর তাহে সহে চতুরানন, অরসিকেষু রসস্য নিবেদনম শিরসি মা লিখ মা লিখ মা লিখ</t>
  </si>
  <si>
    <t>ইতরতাপশতানি যথেচ্ছয়া বিতর তাহে সহে চতুরানন, অরসিকেষু রসস্য নিবেদনম শিরসি মা লিখ</t>
  </si>
  <si>
    <t>হে বিধাতা, তুমি শত দুঃখ দিলেও সহ্য করি, কিন্তু অরসিকের কাছে রস নিবেদনের ভাগ্য কখনো আমাকে দিও না</t>
  </si>
  <si>
    <t>Inflict any sorrow, O Creator, but don't make me explain art to the tasteless.</t>
  </si>
  <si>
    <t>অরসিক/রসহীন ব্যক্তি</t>
  </si>
  <si>
    <t>শিল্প/রস</t>
  </si>
  <si>
    <t>ইতর সন্তোষ প্রকাশ করে ব্যবহার মত</t>
  </si>
  <si>
    <t>নীচ প্রকৃতির লোক আচার-ব্যবহারেই নিজের তুষ্টি প্রকাশ করে</t>
  </si>
  <si>
    <t>The lowly show their contentment through conduct.</t>
  </si>
  <si>
    <t>নীচ প্রকৃতির লোক</t>
  </si>
  <si>
    <t>ইতিহাস হল বিজয়ীর লেখা বিজিতে সম্পর্কে একরাশ মিথ্যা ও কুৎসা</t>
  </si>
  <si>
    <t>ইতিহাস হল বিজয়ীর লেখা বিজিতে সম্পর্কে একরাশ মিথ্যা ও কুৎসা</t>
  </si>
  <si>
    <t>ইতিহাস বিজয়ীদের লেখা, যাতে পরাজিতদের সম্পর্কে মিথ্যা ও নিন্দা থাকে</t>
  </si>
  <si>
    <t>History is written by the victors, full of lies and slander about the vanquished.</t>
  </si>
  <si>
    <t>ইতিহাসবিদ/বিজয়ী</t>
  </si>
  <si>
    <t>ইতিহাস</t>
  </si>
  <si>
    <t>ইতো ভ্রষ্টস্ততো নষ্টঃ</t>
  </si>
  <si>
    <t>এদিক থেকে গেলে ওদিক থেকেও শেষ; সবদিক থেকে নষ্ট</t>
  </si>
  <si>
    <t>Lost from here, ruined from there—totally ruined.</t>
  </si>
  <si>
    <t>ইন্দুর উই কুজন ভাল ভাঙ্গে তিনজন; সূঁচ সোহাগা সুজন ভাল করে তিনজন</t>
  </si>
  <si>
    <t>ইঁদুর, উই, কুজন—তিনজন ভেঙে ফেলে; আর সুচ, সোহাগা, সুজন—তিনজন গড়ে তোলে</t>
  </si>
  <si>
    <t>Rat, termite, and bad person destroy; needle, borax, and good person build.</t>
  </si>
  <si>
    <t>কুজন/সুজন</t>
  </si>
  <si>
    <t>ইন্দ্রোহপি লঘুতাং যাতি স্বয়ং প্রখ্যাপিতৈর্গুণৈঃ</t>
  </si>
  <si>
    <t>ইন্দ্রোহপি লঘুতাং যাতি স্বয়ং প্রখ্যাপিতৈর্গুণৈঃ</t>
  </si>
  <si>
    <t>নিজের গুণ নিজে বললে ইন্দ্রেরও মর্যাদা কমে যায়; আত্মপ্রচার ক্ষতিকর</t>
  </si>
  <si>
    <t>Even Indra becomes small by self-praise.</t>
  </si>
  <si>
    <t>আত্মপ্রচারকারী</t>
  </si>
  <si>
    <t>ইল্লত যায় ধুলে. স্বভাব যায় মলে</t>
  </si>
  <si>
    <t>ইল্লত যায় ধুলে, স্বভাব যায় মলে</t>
  </si>
  <si>
    <t>ইল্লত (অভ্যাস/দোষ) ধুলে যায়, কিন্তু স্বভাব মরলেও যায় না; কিছু অভ্যাস বদলানো যায়, কিন্তু প্রকৃতি যায় না</t>
  </si>
  <si>
    <t>A fault can be washed away, but nature goes only with death.</t>
  </si>
  <si>
    <t>ইল্লত যায় না ধুলে স্বভাব যায় না মলে</t>
  </si>
  <si>
    <t>ইল্লত যায় না ধুলে, স্বভাব যায় না মলে</t>
  </si>
  <si>
    <t>অভ্যাস ধোয়ায় যায় না; স্বভাব মরলেও যায় না</t>
  </si>
  <si>
    <t>A bad habit doesn't wash off, nor does nature die.</t>
  </si>
  <si>
    <t>ইসারায় দিশাহারা</t>
  </si>
  <si>
    <t>ইসারায় দিশাহারা</t>
  </si>
  <si>
    <t>ইশারায় দিশেহারা; ইঙ্গিতে বোঝাতে গিয়ে গোলমাল</t>
  </si>
  <si>
    <t>Lost in gestures—confused by hints.</t>
  </si>
  <si>
    <t>ইস্তক জুতো সেলাই, নাগাদ/লাগাত চণ্ডীপাঠ</t>
  </si>
  <si>
    <t>সব ধরনের কাজ, ছোট থেকে বড়; অবিরাম কাজ</t>
  </si>
  <si>
    <t>From shoe-mending to scripture reading—everything.</t>
  </si>
  <si>
    <t>ঈদের চাঁদ / ঈদকা যাঁদ</t>
  </si>
  <si>
    <t>ঈদের চাঁদ</t>
  </si>
  <si>
    <t>বহু প্রতীক্ষিত সুখের দেখা; যেমন ঈদের চাঁদ দেখা কঠিন</t>
  </si>
  <si>
    <t>The moon of Eid—a rare and longed-for sight.</t>
  </si>
  <si>
    <t>ঈশা বাস্যমিদং সর্বং যৎ কিঞ্চ জগৎ্যাং জগৎ। তেন ত্যক্তেন ভুঞ্জীথা মা গৃধঃ কস্য স্বিদ্ধনম্‌॥ (উপনিষদ)</t>
  </si>
  <si>
    <t>ঈশা বাস্যমিদং সর্বং... (উপনিষদ)</t>
  </si>
  <si>
    <t>সব কিছু ঈশ্বরে পরিব্যাপ্ত; ত্যাগের মাধ্যমে ভোগ করো, কারো ধনে লোভ করো না</t>
  </si>
  <si>
    <t>All this is pervaded by God; enjoy through renunciation, covet not.</t>
  </si>
  <si>
    <t>ঈশানকোণের মেঘ</t>
  </si>
  <si>
    <t>ঈশানকোণে মেঘ উঠলে ঝড় আসে; বিপদের পূর্বাভাস</t>
  </si>
  <si>
    <t>Clouds in the northeast bring storm—a warning.</t>
  </si>
  <si>
    <t>আবহাওয়া/লক্ষণ</t>
  </si>
  <si>
    <t>ঈশান কোণের মেঘে ঝড় ওঠে বেগে</t>
  </si>
  <si>
    <t>ঈশান কোণের মেঘে ঝড় ওঠে বেগে</t>
  </si>
  <si>
    <t>ঈশানকোণের মেঘে দ্রুত ঝড় ওঠে; বিপদের পূর্বাভাস</t>
  </si>
  <si>
    <t>Northeast clouds bring swift storms.</t>
  </si>
  <si>
    <t>আবহাওয়া</t>
  </si>
  <si>
    <t>ঈশ্বরই একমাত্র সত্য</t>
  </si>
  <si>
    <t>ঈশ্বরই চিরন্তন সত্য, বাকি সব মায়া</t>
  </si>
  <si>
    <t>God alone is the truth.</t>
  </si>
  <si>
    <t>ঈশ্বর ঈশ্বর করে যেই, তার ঘরে ভাত নেই</t>
  </si>
  <si>
    <t>যে শুধু ভগবানের নাম করে, অথচ কাজ করে না, তার ঘরে অন্ন নেই</t>
  </si>
  <si>
    <t>One who only chants God's name has no rice at home.</t>
  </si>
  <si>
    <t>অলস ভক্ত</t>
  </si>
  <si>
    <t>ধর্ম/পরিশ্রম</t>
  </si>
  <si>
    <t>ঈশ্বর করেন কাম, মানুষের বদনাম</t>
  </si>
  <si>
    <t>ঈশ্বর করেন কাজ, মানুষের বদনাম</t>
  </si>
  <si>
    <t>ঘটনা ঈশ্বর ঘটান, কিন্তু দোষ মানুষকে দেওয়া হয়</t>
  </si>
  <si>
    <t>God acts, but man gets the blame.</t>
  </si>
  <si>
    <t>ঈশ্বর যদি করেন, কর্তা যদি মরেন তবে ঘরে বসে কীর্তন শুনবো</t>
  </si>
  <si>
    <t>কর্তা মারা গেলে সংসারের দায়িত্ব থেকে মুক্তি; তখন আরামে ধর্মশ্রবণ</t>
  </si>
  <si>
    <t>If God wills and the master dies, I'll sit home and listen to hymns.</t>
  </si>
  <si>
    <t>স্ত্রী/পরিবারের নির্ভরশীল</t>
  </si>
  <si>
    <t>ঈশ্বর যখন দেন অল্প অল্প দেন /দু'হাত ভরে দেন</t>
  </si>
  <si>
    <t>ঈশ্বরের দেওয়া কখনো ধীরে ধীরে, আবার কখনো প্রচুর</t>
  </si>
  <si>
    <t>God either gives little by little or with both hands full.</t>
  </si>
  <si>
    <t>ঈশ্বর যা করেন মঙ্গলের জন্যই করেন</t>
  </si>
  <si>
    <t>ঈশ্বর যা কিছু করেন, কল্যাণের জন্যই করেন</t>
  </si>
  <si>
    <t>Whatever God does is for the best.</t>
  </si>
  <si>
    <t>ঈশ্বরঃ সর্বভূতানাং হৃদ্দেশেহর্জুন তিষ্ঠতি</t>
  </si>
  <si>
    <t>ঈশ্বর সকল প্রাণীর হৃদয়ে অবস্থান করেন</t>
  </si>
  <si>
    <t>God dwells in the hearts of all beings.</t>
  </si>
  <si>
    <t>উঁচান বাড়ি বড় ভয়, পড়লে বাড়ি সয়ে যায়</t>
  </si>
  <si>
    <t>উঁচান বাড়ি বড় ভয়, পড়লে বাড়ি সয়ে যায়</t>
  </si>
  <si>
    <t>উঁচু বাড়ি ভয়ের, কিন্তু পড়ে গেলে আর ভয় থাকে না; অথবা উঁচু পদের পতনেও বাঁচা যায়</t>
  </si>
  <si>
    <t>A high house is a great fear, but if it falls, one endures.</t>
  </si>
  <si>
    <t>ভয়/অবস্থা</t>
  </si>
  <si>
    <t>উঁচুগাছেই ঝড় বেশী লাগে</t>
  </si>
  <si>
    <t>উঁচুগাছেই ঝড় বেশী লাগে</t>
  </si>
  <si>
    <t>উঁচু গাছে ঝড় বেশি লাগে; যারা উচ্চপদে থাকে তাদের বেশি বিপদ</t>
  </si>
  <si>
    <t>The taller the tree, the harder the storm hits.</t>
  </si>
  <si>
    <t>উচ্চপদস্থ ব্যক্তি</t>
  </si>
  <si>
    <t>পদ/বিপদ</t>
  </si>
  <si>
    <t>উঁচুগাছেই মই বাঁধো</t>
  </si>
  <si>
    <t>উঁচু গাছেই মই বাঁধতে হয়; বড় লক্ষ্যে পৌঁছাতে বড় প্রচেষ্টা লাগে</t>
  </si>
  <si>
    <t>Tie the ladder to the tall tree—aim high.</t>
  </si>
  <si>
    <t>উঁচুমনের মানুষ যা খোঁজে নিজের মধ্যে খোঁজে, নীচমনের মানুষ যা খোঁজে পরের মধ্যে খোঁজে- কনফুসিয়াস</t>
  </si>
  <si>
    <t>উঁচুমনের মানুষ যা খোঁজে নিজের মধ্যে খোঁজে, নীচমনের মানুষ যা খোঁজে পরের মধ্যে খোঁজে</t>
  </si>
  <si>
    <t>মহৎ লোক আত্মসমালোচনা করে, ক্ষুদ্র লোক পরের দোষ খোঁজে</t>
  </si>
  <si>
    <t>The noble seek within; the petty seek in others.</t>
  </si>
  <si>
    <t>নীচমনের মানুষ</t>
  </si>
  <si>
    <t>উঁচী/উচী দুকান্ ফীকি পকান্‌</t>
  </si>
  <si>
    <t>বড় দোকান, কিন্তু বেস্বাদ মিষ্টি; আড়ম্বর বেশি কিন্তু গুণহীন</t>
  </si>
  <si>
    <t>Grand shop, tasteless sweets—all show, no substance.</t>
  </si>
  <si>
    <t>আড়ম্বরপ্রিয়/গুণহীন</t>
  </si>
  <si>
    <t>গুণ/আচরণ</t>
  </si>
  <si>
    <t>উঁচু যদি হতে চাও নীচু হও তবে</t>
  </si>
  <si>
    <t>উন্নতি করতে চাইলে আগে বিনয়ী হও</t>
  </si>
  <si>
    <t>If you wish to rise, first lower yourself.</t>
  </si>
  <si>
    <t>বিনয়</t>
  </si>
  <si>
    <t>উঁচু হলে ঝড়ে উড়াবে, নীচু হলে ছাগলে মুড়াবে</t>
  </si>
  <si>
    <t>উঁচু হলে ঝড়ে উড়াবে, নীচু হলে ছাগলে মুড়াবে</t>
  </si>
  <si>
    <t>বেশি বাড়লে বা কমলে দুইই বিপদ; মধ্যমই ভালো</t>
  </si>
  <si>
    <t>Too high, the storm blows you; too low, the goat eats you.</t>
  </si>
  <si>
    <t>উঁট কে মুঁহমে জীরা</t>
  </si>
  <si>
    <t>উঁটের মুখে জিরা</t>
  </si>
  <si>
    <t>বিশাল প্রয়োজন, অথচ নগণ্য সরবরাহ</t>
  </si>
  <si>
    <t>A cumin seed in a camel's mouth—a drop in the ocean.</t>
  </si>
  <si>
    <t>উই ইঁদু্র কুজন ভালো ভাঙে তিনজন, সুঁই সোহাগা সুজন- ভালো করে তিনজন</t>
  </si>
  <si>
    <t>উই ইঁদুর কুজন ভালো ভাঙে তিনজন, সুঁই সোহাগা সুজন- ভালো করে তিনজন</t>
  </si>
  <si>
    <t>ইঁদুর, উই, কুজন—ভাঙে; সুঁই, সোহাগা, সুজন—গড়ে</t>
  </si>
  <si>
    <t>Rat, termite, and bad person destroy; needle, borax, good person build.</t>
  </si>
  <si>
    <t>উকিল আর গাড়ীর চাকা তেল চর্বি দিয়ে রাখা</t>
  </si>
  <si>
    <t>উকিল আর গাড়ীর চাকা তেল চর্বি দিয়ে রাখা</t>
  </si>
  <si>
    <t>উকিল ও গাড়ির চাকা মসৃণ করতে তেল চর্বি দিতে হয়; ঘুষ বা রক্ষণাবেক্ষণ</t>
  </si>
  <si>
    <t>A lawyer and a car wheel need greasing.</t>
  </si>
  <si>
    <t>উকিল (আইনজীবী)</t>
  </si>
  <si>
    <t>উকিল নিজের ওকালতি করে না</t>
  </si>
  <si>
    <t>উকিল নিজের পক্ষে ওকালতি করতে পারে না; অন্যের জন্য কাজ করে, নিজের জন্য নয়</t>
  </si>
  <si>
    <t>A lawyer doesn't plead for himself.</t>
  </si>
  <si>
    <t>উকিল</t>
  </si>
  <si>
    <t>উকুনের দায়ে মাথা মুড়ানো</t>
  </si>
  <si>
    <t>উকুনের দায়ে মাথা মুড়ানো</t>
  </si>
  <si>
    <t>সামান্য কারণে বড় ক্ষতি স্বীকার; ছোট দোষে বড় শাস্তি</t>
  </si>
  <si>
    <t>Shaving the head because of lice—overreaction.</t>
  </si>
  <si>
    <t>উচিৎকথায় আহাম্মক বেজার/রুষ্ট</t>
  </si>
  <si>
    <t>উচিৎকথায় আহাম্মক বেজার/রুষ্ট</t>
  </si>
  <si>
    <t>সৎ উপদেশে বোকা লোক বিরক্ত হয়</t>
  </si>
  <si>
    <t>A fool gets annoyed at good advice.</t>
  </si>
  <si>
    <t>আহাম্মক/বোকা</t>
  </si>
  <si>
    <t>উচিৎকথায় দেবতা তুষ্ট, উচিৎকথায় মানুষ রুষ্ট</t>
  </si>
  <si>
    <t>উচিৎকথায় দেবতা তুষ্ট, উচিৎকথায় মানুষ রুষ্ট</t>
  </si>
  <si>
    <t>ভালো কথা দেবতা শুনতে চায়, কিন্তু মানুষ তা শুনে বিরক্ত হয়</t>
  </si>
  <si>
    <t>Gods are pleased with good advice, but humans are annoyed.</t>
  </si>
  <si>
    <t>উচিতকথায় বন্ধু/মামা বেজার</t>
  </si>
  <si>
    <t>উচিত কথায় বন্ধু/মামা বেজার</t>
  </si>
  <si>
    <t>সত্য বা হিতকথা বন্ধু বা মামাও সহ্য করে না</t>
  </si>
  <si>
    <t>Even a friend or uncle gets annoyed at good advice.</t>
  </si>
  <si>
    <t>বন্ধু/মামা</t>
  </si>
  <si>
    <t>উচিৎকথার ভাত নাই</t>
  </si>
  <si>
    <t>ভালো কথা বলে পেট ভরে না; শুধু উপদেশে অন্ন জোটে না</t>
  </si>
  <si>
    <t>Good advice doesn't fill the stomach.</t>
  </si>
  <si>
    <t>উচিৎকথার মার নাই</t>
  </si>
  <si>
    <t>ভালো কথা বললে মার খেতে হয় না; সত্য কথা বলা কঠিন নয়</t>
  </si>
  <si>
    <t>There's no beating for speaking the truth.</t>
  </si>
  <si>
    <t>উচোট খেয়ে প্রণাম১</t>
  </si>
  <si>
    <t>উচোট খেয়ে প্রণাম</t>
  </si>
  <si>
    <t>হোঁচট খেয়ে মাটিতে পড়ে প্রণাম মনে করা; অনিচ্ছাকৃত কাজকে ইচ্ছাকৃত বলে চালানো</t>
  </si>
  <si>
    <t>Stumbling and making it a bow—pretending a mishap is a gesture.</t>
  </si>
  <si>
    <t>উচোট খেয়ে প্রণাম২</t>
  </si>
  <si>
    <t>হোঁচট খেয়ে প্রণাম (একই অর্থ)</t>
  </si>
  <si>
    <t>Stumbling and bowing—feigning a mistake as a bow.</t>
  </si>
  <si>
    <t>উচ্চপ্রাণের লোকেরা তত্ত্ব নিয়ে চর্চা করে; মধ্যমপ্রাণেরা লোকেরা ঘটনা নিয়ে চর্চা করে; ক্ষুদ্রপ্রাণের লোকেরা পরনিন্দা করে</t>
  </si>
  <si>
    <t>উচ্চপ্রাণের লোকেরা তত্ত্ব, মধ্যমপ্রাণেরা ঘটনা, ক্ষুদ্রপ্রাণের লোকেরা পরনিন্দা করে</t>
  </si>
  <si>
    <t>মহৎ লোক তত্ত্ব চর্চা করে, মধ্যম ঘটনা নিয়ে, আর ক্ষুদ্র লোক পরচর্চা করে</t>
  </si>
  <si>
    <t>Great minds discuss ideas; average minds discuss events; small minds discuss people.</t>
  </si>
  <si>
    <t>ক্ষুদ্রপ্রাণ লোক</t>
  </si>
  <si>
    <t>উচ্ছে খাবে কচি পটল খাবে বীচি</t>
  </si>
  <si>
    <t>উচ্ছে খাবে কচি, পটল খাবে বীচি</t>
  </si>
  <si>
    <t>প্রতিটি জিনিসের সঠিক অবস্থা বেছে নাও; উচ্ছে কচি, পটল বীচিসহ</t>
  </si>
  <si>
    <t>Eat bitter gourd young, and pointed gourd with seeds—each thing at its best.</t>
  </si>
  <si>
    <t>খাদ্য/বিচক্ষণতা</t>
  </si>
  <si>
    <t>উচ্ছের কচি, পটলের বীচি, ছাগলের ছা, মাছের মা- এগুলি বেছে খা- খনা</t>
  </si>
  <si>
    <t>উচ্ছের কচি, পটলের বীচি, ছাগলের ছা, মাছের মা- এগুলি বেছে খা</t>
  </si>
  <si>
    <t>এগুলির নির্দিষ্ট অংশ বা অবস্থা সেরা; সেরা জিনিস বেছে নাও</t>
  </si>
  <si>
    <t>Choose the tender bitter gourd, seedy pointed gourd, kid goat, and fish roe—pick the best.</t>
  </si>
  <si>
    <t>উছল নদীর কলকলানি বেশি১</t>
  </si>
  <si>
    <t>উছল নদীর কলকলানি বেশি</t>
  </si>
  <si>
    <t>উছলে পড়া নদীর শব্দ বেশি; অল্প জ্ঞানের লোক বেশি কথা বলে</t>
  </si>
  <si>
    <t>The overflowing river babbles louder—shallow people make more noise.</t>
  </si>
  <si>
    <t>অল্পজ্ঞানী/বাচাল</t>
  </si>
  <si>
    <t>উছল নদীর কলকলানি বেশি২</t>
  </si>
  <si>
    <t>উছলে পড়া নদীর শব্দ বেশি (পুনরুক্তি)</t>
  </si>
  <si>
    <t>উজাড় (শূন্য) বনে শিয়ালরাজা</t>
  </si>
  <si>
    <t>উজাড় বনে শিয়াল রাজা</t>
  </si>
  <si>
    <t>যেখানে ভালো কেউ নেই, সেখানে নিকৃষ্টও রাজা হয়</t>
  </si>
  <si>
    <t>In a deserted forest, the jackal is king.</t>
  </si>
  <si>
    <t>অযোগ্য শাসক/নিকৃষ্ট ব্যক্তি</t>
  </si>
  <si>
    <t>উটের কাঁটাভোজ</t>
  </si>
  <si>
    <t>উটের কাঁটা খাওয়া</t>
  </si>
  <si>
    <t>যার যা স্বভাব, সে তাই করে; উট যেমন কাঁটা খায়</t>
  </si>
  <si>
    <t>A camel’s feast of thorns—one’s natural preference.</t>
  </si>
  <si>
    <t>উঠ ছুঁড়ি তোর বিয়ে বাড়া ভাত খেয়ে</t>
  </si>
  <si>
    <t>ওঠো মেয়ে, তোর বিয়ে বাড়ি, ভাত খেয়ে নে</t>
  </si>
  <si>
    <t>সুযোগ এলে দ্রুত গ্রহণ করো</t>
  </si>
  <si>
    <t>Rise, girl, your wedding feast is ready—seize the opportunity.</t>
  </si>
  <si>
    <t>নারী (কনে)</t>
  </si>
  <si>
    <t>উঠন্তবৃক্ষ পত্রেই চেনা যায়১</t>
  </si>
  <si>
    <t>উঠন্ত গাছ পাতা দেখেই চেনা যায়</t>
  </si>
  <si>
    <t>ছোটবেলার আচরণেই ভবিষ্যৎ বোঝা যায়</t>
  </si>
  <si>
    <t>A growing tree is known by its leaves—the child shows future character.</t>
  </si>
  <si>
    <t>উঠন্তবৃক্ষ পত্রেই চেনা যায়২</t>
  </si>
  <si>
    <t>শৈশবের লক্ষণেই বড় হওয়ার আভাস পাওয়া যায়</t>
  </si>
  <si>
    <t>A sapling is known by its leaves—early signs foretell future.</t>
  </si>
  <si>
    <t>উঠন্তবৃক্ষ পত্রেই চেনা যায়৩</t>
  </si>
  <si>
    <t>আদি দেখে অন্ত বোঝা যায়</t>
  </si>
  <si>
    <t>The young plant reveals its nature in its leaves.</t>
  </si>
  <si>
    <t>উঠল বাই তো কটক যাই</t>
  </si>
  <si>
    <t>উঠল বাই (জোয়ার) তো কটক যাই</t>
  </si>
  <si>
    <t>সুযোগ পেলেই যাত্রা শুরু</t>
  </si>
  <si>
    <t>When the tide rises, I head for Cuttack—opportunity calls.</t>
  </si>
  <si>
    <t>উঠান ভরা লাউ শশা ঘরে তার লক্ষ্মীর দশা- খনা</t>
  </si>
  <si>
    <t>উঠোন ভরা লাউ শশা, ঘরে লক্ষ্মীর দশা (দারিদ্র্য)</t>
  </si>
  <si>
    <t>বাইরে আড়ম্বর, ভেতরে অভাব</t>
  </si>
  <si>
    <t>Courtyard full of gourds, home in poverty—appearances deceive.</t>
  </si>
  <si>
    <t>লোক দেখানো ব্যক্তি</t>
  </si>
  <si>
    <t>উঠোন পেরুলেই অর্ধেক সফর</t>
  </si>
  <si>
    <t>উঠোন পার হলেই অর্ধেক যাত্রা শেষ</t>
  </si>
  <si>
    <t>শুরু করলেই অর্ধেক কাজ শেষ</t>
  </si>
  <si>
    <t>Crossing the courtyard is half the journey—well begun is half done.</t>
  </si>
  <si>
    <t>উঠে পড়ে লাগা</t>
  </si>
  <si>
    <t>প্রাণপণ চেষ্টায় লেগে যাওয়া</t>
  </si>
  <si>
    <t>Rise and fall at it—giving one’s all.</t>
  </si>
  <si>
    <t>উড়কিধানের মুড়কি দেবো সরুধানের চিঁড়ে</t>
  </si>
  <si>
    <t>উড়কিধানের মুড়কি দেব, সরু ধানের চিঁড়ে দেব</t>
  </si>
  <si>
    <t>নানা উপকরণের লোভ দেখিয়ে প্রতিশ্রুতি দেওয়া</t>
  </si>
  <si>
    <t>I’ll give puffed early rice and flattened fine rice—promising treats.</t>
  </si>
  <si>
    <t>খাদ্য/প্রতিশ্রুতি</t>
  </si>
  <si>
    <t>উড়তে পারে না পোষ মানে</t>
  </si>
  <si>
    <t>উড়তে পারে না, পোষ মানে</t>
  </si>
  <si>
    <t>অক্ষমতা বশ্যতা স্বীকার করে</t>
  </si>
  <si>
    <t>Cannot fly, so it becomes tame—weakness leads to submission.</t>
  </si>
  <si>
    <t>দুর্বল ব্যক্তি</t>
  </si>
  <si>
    <t>উড়তে পারে না ফুরফুর করে</t>
  </si>
  <si>
    <t>উড়তে পারে না, কিন্তু ফুরফুর করে</t>
  </si>
  <si>
    <t>অক্ষম হয়েও ভড়ং দেখানো</t>
  </si>
  <si>
    <t>Cannot fly, yet flutters—much ado about nothing.</t>
  </si>
  <si>
    <t>অক্ষম/ভড়ংপ্রিয় ব্যক্তি</t>
  </si>
  <si>
    <t>অনাহূত অতিথি স্বচ্ছন্দে বসে পড়া</t>
  </si>
  <si>
    <t>Fly in and plop down—uninvited guest making himself at home.</t>
  </si>
  <si>
    <t>অনাহূত/বেয়াদব</t>
  </si>
  <si>
    <t>উড়ো খই গোবিন্দায় নমঃ১</t>
  </si>
  <si>
    <t>উড়ো খই পেয়ে গোবিন্দকে প্রণাম</t>
  </si>
  <si>
    <t>অপ্রত্যাশিত লাভ পেয়ে ভগবানকে ধন্যবাদ</t>
  </si>
  <si>
    <t>Unexpected puffed rice offered to Govinda—a windfall.</t>
  </si>
  <si>
    <t>উড়ো খই গোবিন্দায় নমঃ২</t>
  </si>
  <si>
    <t>উড়ো খই গোবিন্দায় নমঃ</t>
  </si>
  <si>
    <t>হঠাৎ পাওয়া প্রাপ্তিকে সৌভাগ্য মনে করা</t>
  </si>
  <si>
    <t>Unexpected puffed rice to Govinda—fortune’s gift.</t>
  </si>
  <si>
    <t>উৎপাতের কড়ি চিৎপাতে যায়</t>
  </si>
  <si>
    <t>উৎপাতের পয়সা চিৎপাতে (সর্বনাশে) যায়</t>
  </si>
  <si>
    <t>অসৎ উপার্জন অপচয়েই শেষ হয়</t>
  </si>
  <si>
    <t>Ill-gotten gains are spent on calamities.</t>
  </si>
  <si>
    <t>অসৎ উপার্জনকারী</t>
  </si>
  <si>
    <t>অর্থ/নৈতিকতা</t>
  </si>
  <si>
    <t>উৎপীড়কেরা কাপুরুষ হয়</t>
  </si>
  <si>
    <t>দুর্বলকে অত্যাচার করাই কাপুরুষতা</t>
  </si>
  <si>
    <t>Bullies are cowards.</t>
  </si>
  <si>
    <t>নিপীড়ক</t>
  </si>
  <si>
    <t>উৎসবে ব্যসনে চৈব দুর্ভিক্ষে শত্রুনিগ্রহে রাজদ্বারে শ্মশানে চ যঃ তিষ্ঠতি স বান্ধব</t>
  </si>
  <si>
    <t>উৎসবে, বিপদে, দুর্ভিক্ষে, শত্রুনিগ্রহে, রাজদ্বারে ও শ্মশানে যে পাশে থাকে সে বান্ধব</t>
  </si>
  <si>
    <t>সর্বাবস্থায় যে পাশে থাকে সেই প্রকৃত বন্ধু</t>
  </si>
  <si>
    <t>In festival, calamity, famine, enemy repression, court, and cremation ground, he who stays is a true friend.</t>
  </si>
  <si>
    <t>উত্তমপুরুষ যা খোঁজে নিজের মধ্যে খোঁজে, অধমপুরুষ যা খোঁজে পরের মধ্যে খোঁজে- কনফুসিয়াস</t>
  </si>
  <si>
    <t>উত্তমপুরুষ নিজের মধ্যে খোঁজে, অধমপুরুষ পরের মধ্যে খোঁজে</t>
  </si>
  <si>
    <t>মহৎ আত্মসমালোচনা করে, নীচ পরদোষ খোঁজে</t>
  </si>
  <si>
    <t>The superior man looks within; the inferior looks at others.</t>
  </si>
  <si>
    <t>নীচ/অধম ব্যক্তি</t>
  </si>
  <si>
    <t>উত্তমমধ্যম দেওয়া</t>
  </si>
  <si>
    <t>উত্তম মধ্যম দেওয়া</t>
  </si>
  <si>
    <t>প্রচণ্ড ভর্ৎসনা করা</t>
  </si>
  <si>
    <t>Giving high and middle—a thorough scolding.</t>
  </si>
  <si>
    <t>উত্থায় হৃদি লীয়ন্তে দরিদ্রনাং মনোরথাঃ</t>
  </si>
  <si>
    <t>গরিবের আশা জাগে ও হৃদয়েই মিলিয়ে যায়</t>
  </si>
  <si>
    <t>গরিবের আশা পূর্ণ হয় না, মনে মনে বিলীন হয়</t>
  </si>
  <si>
    <t>The poor man’s hopes rise and then dissolve within his heart.</t>
  </si>
  <si>
    <t>উত্তিষ্ঠত জাগ্রত প্রাপ্য বরান নিবোধত (উপনিষদ)</t>
  </si>
  <si>
    <t>উঠো, জাগো, প্রাপ্ত বরকে বুঝে নাও</t>
  </si>
  <si>
    <t>জ্ঞান লাভের জন্য উদ্যোগী হও</t>
  </si>
  <si>
    <t>Arise, awake, and having obtained the boons, comprehend them.</t>
  </si>
  <si>
    <t>উদ (জল) খেতে ক্ষুদ নেই নেউলে বাজায় শিঙে</t>
  </si>
  <si>
    <t>জল খেতে ভাত নেই, নাপিত শিঙে বাজায়</t>
  </si>
  <si>
    <t>দারিদ্র্যে থেকেও শখ মেটানো বা বাড়াবাড়ি</t>
  </si>
  <si>
    <t>No rice to eat with water, yet the barber blows his horn—poverty with pretension.</t>
  </si>
  <si>
    <t>দরিদ্র/ভড়ংপ্রিয়</t>
  </si>
  <si>
    <t>উদবিড়ালে শিকার করে, খটাশ করে তিনভাগ</t>
  </si>
  <si>
    <t>উদবেড়াল মাছ ধরে, খটাশ তিন ভাগ করে</t>
  </si>
  <si>
    <t>একজন পরিশ্রম করে, অন্যজন ভাগ বসায়</t>
  </si>
  <si>
    <t>The otter hunts, the civet takes three shares—exploitation.</t>
  </si>
  <si>
    <t>শোষক/ভাগবাটোয়ারা</t>
  </si>
  <si>
    <t>উদমা/উদোম ঢেঁকির হড়কা পাহার</t>
  </si>
  <si>
    <t>অলস ব্যক্তি ঢেঁকির হড়কার পাহারায়</t>
  </si>
  <si>
    <t>অকাজের পাহারাদার; অলস কাজে বসে থাকা</t>
  </si>
  <si>
    <t>Idle guard of the dheki—useless watchman.</t>
  </si>
  <si>
    <t>উদর চিরলে ক বেরোয় না</t>
  </si>
  <si>
    <t>পেট চিরলে ক-অক্ষর বেরোয় না</t>
  </si>
  <si>
    <t>খালি পেটে কিছুই নেই; নির্বোধের কাছে জ্ঞান নেই</t>
  </si>
  <si>
    <t>Cut open the belly, not a word comes out—empty.</t>
  </si>
  <si>
    <t>নির্বোধ/খালি</t>
  </si>
  <si>
    <t>উদারচরিতানান্তু বসুধৈব কুটুম্বকম</t>
  </si>
  <si>
    <t>উদার চরিত্রের কাছে পৃথিবীই পরিবার</t>
  </si>
  <si>
    <t>উদার ব্যক্তির কাছে জগতই আত্মীয়</t>
  </si>
  <si>
    <t>For the generous, the whole earth is family.</t>
  </si>
  <si>
    <t>উদিতে তু সহস্রাংশৌ ন খদ্যোতো ন চন্দ্রমাঃ</t>
  </si>
  <si>
    <t>সূর্য উঠলে জোনাকি ও চাঁদ ম্লান</t>
  </si>
  <si>
    <t>মহাপুরুষের সামনে নগণ্যরা ম্লান হয়</t>
  </si>
  <si>
    <t>When the sun rises, firefly and moon fade—greatness eclipses smallness.</t>
  </si>
  <si>
    <t>নগণ্য ব্যক্তি</t>
  </si>
  <si>
    <t>উদুখলে (শস্য রাখার পাত্র) ক্ষুদ নাই চাঁটগায়ে বরাত</t>
  </si>
  <si>
    <t>উদুখলে ক্ষুদ নেই, চট্টগ্রামে বরাত</t>
  </si>
  <si>
    <t>ঘরে অন্ন নেই, দূরে বেড়ানোর বরাত</t>
  </si>
  <si>
    <t>No rice in the pot, yet an invitation to Chittagong—misplaced priorities.</t>
  </si>
  <si>
    <t>অবাস্তব পরিকল্পনাকারী</t>
  </si>
  <si>
    <t>উদে (উদবিড়াল) মাছ ধরে খটাশে তিনভাগ করে</t>
  </si>
  <si>
    <t>পরের উপার্জনে ভাগ বসানো</t>
  </si>
  <si>
    <t>The otter catches fish, the civet divides it into three.</t>
  </si>
  <si>
    <t>শোষক/অন্যায় ভাগীদার</t>
  </si>
  <si>
    <t>উদো/উধোর (মূর্খ) বোঝা/পিণ্ডি বুধোর (পণ্ডিত) ঘাড়ে১</t>
  </si>
  <si>
    <t>মূর্খের বোঝা পণ্ডিতের ঘাড়ে</t>
  </si>
  <si>
    <t>মূর্খের কৃত অনর্থের দায় জ্ঞানীকে নিতে হয়</t>
  </si>
  <si>
    <t>The fool’s burden falls on the scholar’s shoulders—the wise suffer for fools.</t>
  </si>
  <si>
    <t>মূর্খ (বোঝা সৃষ্টিকারী)</t>
  </si>
  <si>
    <t>উদো/উধোর (মূর্খ) বোঝা/পিণ্ডি বুধোর (পণ্ডিত) ঘাড়ে২</t>
  </si>
  <si>
    <t>মূর্খের পিণ্ডি পণ্ডিতের ঘাড়ে</t>
  </si>
  <si>
    <t>বোকার কর্মফল জ্ঞানীকে ভোগ করতে হয়</t>
  </si>
  <si>
    <t>The fool’s load on the wise—injustice.</t>
  </si>
  <si>
    <t>মূর্খ/জ্ঞানী (শিকার)</t>
  </si>
  <si>
    <t>উদ্যমেন হি সিদ্ধান্তি কার্যাণি ন মনোরথৈ। নহি সুপ্তস্য সিংহস্য মুখে প্রবিশন্তি মৃগা॥ (চাণক্য)</t>
  </si>
  <si>
    <t>কাজ সিদ্ধ হয় উদ্যমে, শুধু ইচ্ছায় নয়; ঘুমন্ত সিংহের মুখে হরিণ ঢোকে না</t>
  </si>
  <si>
    <t>উদ্যম ছাড়া সফলতা নেই</t>
  </si>
  <si>
    <t>By effort, not wishes, goals are achieved; no deer enters the sleeping lion’s mouth.</t>
  </si>
  <si>
    <t>উদ্যোগিনং পুরুষ্পসিংহমুপতি লক্ষ্মী দৈবেন দেয়মিতি কাপুরুষা বদন্তি</t>
  </si>
  <si>
    <t>উদ্যোগী পুরুষ সিংহের মতো লক্ষ্মী লাভ করে, কাপুরুষ বলে ভাগ্যে জুটেছে</t>
  </si>
  <si>
    <t>উদ্যোগী পুরুষ লক্ষ্মী পায়, কাপুরুষ ভাগ্যকে দোষ দেয়</t>
  </si>
  <si>
    <t>The industrious man wins wealth like a lion; cowards say it’s fate.</t>
  </si>
  <si>
    <t>কাপুরুষ (ভাগ্যবাদী)</t>
  </si>
  <si>
    <t>উদ্যোগীর অসাধ্য কিছুই নেই</t>
  </si>
  <si>
    <t>উদ্যোগীর অসাধ্য কিছু নেই</t>
  </si>
  <si>
    <t>পরিশ্রমীর পক্ষে কোনো কাজই অসম্ভব নয়</t>
  </si>
  <si>
    <t>Nothing is impossible for the industrious.</t>
  </si>
  <si>
    <t>উদ্যোগীর কাছে কোন পথই দূর নয়</t>
  </si>
  <si>
    <t>উদ্যোগীর কাছে কোনো পথই দূর নয়</t>
  </si>
  <si>
    <t>পরিশ্রমী দূরত্ব মানে না</t>
  </si>
  <si>
    <t>No road is long for the diligent.</t>
  </si>
  <si>
    <t>উনপাঁজুরে বরাখুরে</t>
  </si>
  <si>
    <t>অমিল বা বেখাপ্পা বিষয়</t>
  </si>
  <si>
    <t>A shorty and a barakure—incongruous.</t>
  </si>
  <si>
    <t>উনবর্ষায় দু্ন শীত- খনা</t>
  </si>
  <si>
    <t>উনবর্ষায় দ্বিগুণ শীত</t>
  </si>
  <si>
    <t>বৃষ্টি কম হলে শীত দ্বিগুণ লাগে</t>
  </si>
  <si>
    <t>In scanty rain, double the cold—a farmer’s observation.</t>
  </si>
  <si>
    <t>কৃষি/আবহাওয়া</t>
  </si>
  <si>
    <t>উনভাতে দুন বল অতি/ভরাভাতে রসাতল</t>
  </si>
  <si>
    <t>অল্প ভাতে দ্বিগুণ বল, বেশি ভাতে সর্বনাশ</t>
  </si>
  <si>
    <t>মিতাহারে শক্তি বাড়ে, বেশি খেলে ধ্বংস</t>
  </si>
  <si>
    <t>Half a meal gives double strength; a full meal leads to ruin.</t>
  </si>
  <si>
    <t>উনিশ বিশ১</t>
  </si>
  <si>
    <t>উনিশ বিশ</t>
  </si>
  <si>
    <t>সামান্য পার্থক্য; প্রায় একই</t>
  </si>
  <si>
    <t>Nineteen and twenty—a slight difference, almost the same.</t>
  </si>
  <si>
    <t>সংখ্যা/পার্থক্য</t>
  </si>
  <si>
    <t>উনিশ-বিশ২</t>
  </si>
  <si>
    <t>উনিশ-বিশ</t>
  </si>
  <si>
    <t>একই রকম, খুব সামান্য তফাত</t>
  </si>
  <si>
    <t>Nineteen or twenty—hardly any difference.</t>
  </si>
  <si>
    <t>উপকারগৃহীতেন শত্রুণা শত্রুমুদ্ধরেৎ। পাদলগ্নং করস্থেন কণ্টকেনেব কণ্টকম্॥ (চাণক্য)</t>
  </si>
  <si>
    <t>উপকারগ্রস্ত শত্রু দিয়ে শত্রু উদ্ধার করবে; পায়ের কাঁটা হাতের কাঁটা দিয়ে তোলে</t>
  </si>
  <si>
    <t>শত্রু দিয়ে শত্রু বধ</t>
  </si>
  <si>
    <t>Use a benefited enemy to extract another enemy, like removing a foot thorn with a hand thorn.</t>
  </si>
  <si>
    <t>উপকার প্রতিদান প্রত্যাশা করে</t>
  </si>
  <si>
    <t>উপকার প্রতিদান চায়</t>
  </si>
  <si>
    <t>উপকার করলে প্রতিদান আশা করা স্বাভাবিক</t>
  </si>
  <si>
    <t>A good deed expects a favor in return.</t>
  </si>
  <si>
    <t>উপকারীগাছের ছাল থাকে না</t>
  </si>
  <si>
    <t>উপকারী গাছের ছাল থাকে না</t>
  </si>
  <si>
    <t>উপকারী ব্যক্তি নির্লোভ হয়, সবাই তার কাছ থেকে নেয়</t>
  </si>
  <si>
    <t>A generous tree has no bark left—people strip it bare.</t>
  </si>
  <si>
    <t>উপকারী ব্যক্তি (শোষিত)</t>
  </si>
  <si>
    <t>উপকারীকে সবাই ঠকায়, তার কিছু অবশিষ্ট থাকে না</t>
  </si>
  <si>
    <t>A beneficent tree loses its bark—the good are exploited.</t>
  </si>
  <si>
    <t>উপকারী (নিঃস্ব)</t>
  </si>
  <si>
    <t>উপকারীকে বাঘে খায়</t>
  </si>
  <si>
    <t>ভালো লোকেরাই বিপদে পড়ে বা শোষিত হয়</t>
  </si>
  <si>
    <t>The benefactor is eaten by the tiger—no good deed goes unpunished.</t>
  </si>
  <si>
    <t>উপকারী (শিকার)</t>
  </si>
  <si>
    <t>উপকারো জগত্তাতো, বিশ্বস্য জননী দয়া</t>
  </si>
  <si>
    <t>উপকার জগতের পিতা, দয়া জগতের মাতা</t>
  </si>
  <si>
    <t>উপকার ও দয়া জগতের ভিত্তি</t>
  </si>
  <si>
    <t>Beneficence is the world’s father, compassion its mother.</t>
  </si>
  <si>
    <t>দয়া/উপকার</t>
  </si>
  <si>
    <t>উপদেশ অপেক্ষা উদাহরণ/দৃষ্টান্ত ভাল</t>
  </si>
  <si>
    <t>কথার চেয়ে কাজের দৃষ্টান্ত বেশি কার্যকর।</t>
  </si>
  <si>
    <t>Example is better than precept.</t>
  </si>
  <si>
    <t>উপদেশো হি মূর্খানাং প্রকোপায় না শান্তয়ে</t>
  </si>
  <si>
    <t>উপদেশ মূর্খদের ক্রোধ বাড়ায়, শান্তি আনে না</t>
  </si>
  <si>
    <t>মূর্খকে উপদেশ দিলে সে বিরক্ত হয়, শান্ত হয় না।</t>
  </si>
  <si>
    <t>Advice to fools causes anger, not peace.</t>
  </si>
  <si>
    <t>উপবাসী প্রাণ করে আনচান</t>
  </si>
  <si>
    <t>উপবাসী প্রাণ আনচান করে</t>
  </si>
  <si>
    <t>ক্ষুধার্ত মানুষ অস্থির হয়ে ওঠে।</t>
  </si>
  <si>
    <t>A fasting person grows restless.</t>
  </si>
  <si>
    <t>শারীরিক/ক্ষুধা</t>
  </si>
  <si>
    <t>উপবাসে যাবে দিন ধার করলে হবে ঋণ</t>
  </si>
  <si>
    <t>উপবাসে দিন কাটবে, ধার করলে ঋণ হবে</t>
  </si>
  <si>
    <t>ঋণ করে খাওয়ার চেয়ে উপোস থাকা ভালো।</t>
  </si>
  <si>
    <t>Better fast than incur debt.</t>
  </si>
  <si>
    <t>ঋণী ব্যক্তি</t>
  </si>
  <si>
    <t>অর্থ/সতর্কতা</t>
  </si>
  <si>
    <t>উপরটায় চিকন চাকন ভিতরটায় খেড়</t>
  </si>
  <si>
    <t>উপরের দিক মসৃণ, ভেতরের দিক খসখসে</t>
  </si>
  <si>
    <t>বাইরে সুন্দর, ভেতরে মন্দ।</t>
  </si>
  <si>
    <t>Smooth on the surface, rough underneath.</t>
  </si>
  <si>
    <t>উপরতলায় গলাগলি; নীচের তলায় হেলাফেলা</t>
  </si>
  <si>
    <t>উপর তলায় গলাগলি, নীচ তলায় হেলাফেলা</t>
  </si>
  <si>
    <t>উচ্চশ্রেণির আদর, নিম্নশ্রেণির অবহেলা।</t>
  </si>
  <si>
    <t>Upstairs, hugs; downstairs, neglect—favoritism.</t>
  </si>
  <si>
    <t>উচ্চবিত্ত/নিম্নবিত্ত</t>
  </si>
  <si>
    <t>শ্রেণী/সামাজিক</t>
  </si>
  <si>
    <t>উপর থেকে পড়ে গেল জন পাঁচ-সাত; যার যেখানে ব্যথা তার সেখানে হাত</t>
  </si>
  <si>
    <t>উপর থেকে অনেক পড়ল, যার যেখানে ব্যথা তার সেখানে হাত</t>
  </si>
  <si>
    <t>নিজের কষ্ট নিজেই বোঝে।</t>
  </si>
  <si>
    <t>When many fall, each feels their own pain.</t>
  </si>
  <si>
    <t>দুঃখ/স্বার্থ</t>
  </si>
  <si>
    <t>উপরে মধু অন্তরে বিষ ত্যজো তারে অহর্ণিশ</t>
  </si>
  <si>
    <t>উপরে মধু, অন্তরে বিষ, তারে ত্যাগ কর দিন-রাত</t>
  </si>
  <si>
    <t>মুখে মিষ্টি, মনে বিষ—এমন মানুষ ত্যাগ কর।</t>
  </si>
  <si>
    <t>Honey on the lips, poison in the heart—shun such a person.</t>
  </si>
  <si>
    <t>উপরোধে ঢেঁকি গেলা১</t>
  </si>
  <si>
    <t>উপরোধে ঢেঁকি গেলা</t>
  </si>
  <si>
    <t>অনুরোধে বাধ্য হয়ে কঠিন কাজ করা।</t>
  </si>
  <si>
    <t>To swallow a husking pedal on request—doing the impossible under pressure.</t>
  </si>
  <si>
    <t>উপরোধে ঢেঁকি গেলা২</t>
  </si>
  <si>
    <t>অনুরোধে বাধ্য হয়ে কঠিন কাজ স্বীকার করা।</t>
  </si>
  <si>
    <t>Swallowing a dheki on entreaty—forced consent.</t>
  </si>
  <si>
    <t>উপস্থিত অন্ন ত্যাগ করতে নেই</t>
  </si>
  <si>
    <t>হাতের সামনের খাবার ছাড়তে নেই</t>
  </si>
  <si>
    <t>সুযোগ ত্যাগ করা উচিত নয়।</t>
  </si>
  <si>
    <t>Do not refuse the food at hand.</t>
  </si>
  <si>
    <t>সুযোগ/বুদ্ধি</t>
  </si>
  <si>
    <t>উপায়ং চিন্তয়েৎ প্রাজ্ঞঃ অপায়মপি চিন্তয়েৎ</t>
  </si>
  <si>
    <t>উপায় চিন্তা করে প্রাজ্ঞ, অপায়ও চিন্তা করে</t>
  </si>
  <si>
    <t>বুদ্ধিমান উপায় ভাবে, বিপদের কথাও ভাবে।</t>
  </si>
  <si>
    <t>A wise man thinks of solutions but also considers obstacles.</t>
  </si>
  <si>
    <t>প্রাজ্ঞ/বুদ্ধিমান</t>
  </si>
  <si>
    <t>উপায়জ্ঞের কাছে দুঃসাধ্য কাজও সহজসাধ্য মনে হয়- (চাণক্য)</t>
  </si>
  <si>
    <t>উপায়জ্ঞের কাছে দুঃসাধ্যও সহজ</t>
  </si>
  <si>
    <t>উপায় জানলে অসম্ভবও সম্ভব।</t>
  </si>
  <si>
    <t>To the resourceful, difficult tasks seem easy.</t>
  </si>
  <si>
    <t>উপায়জ্ঞ/দক্ষ ব্যক্তি</t>
  </si>
  <si>
    <t>উপোস করলেই ধর্ম হয় না</t>
  </si>
  <si>
    <t>উপবাস করলেই ধর্ম পালিত হয় না</t>
  </si>
  <si>
    <t>শুধু উপোসে ধর্ম হয় না, অন্তরের শুদ্ধি চাই।</t>
  </si>
  <si>
    <t>Fasting alone does not make one religious.</t>
  </si>
  <si>
    <t>ধর্ম/ভণ্ডামি</t>
  </si>
  <si>
    <t>উপোসে কেউ নয়, পারণের গোঁসাই১</t>
  </si>
  <si>
    <t>উপোসে কেউ থাকে না, পারণের সময় সবাই গোঁসাই</t>
  </si>
  <si>
    <t>উপোসের সময় কেউ নেই, খাওয়ার সময় সবাই এগিয়ে আসে।</t>
  </si>
  <si>
    <t>No one during the fast, but everyone during the feast.</t>
  </si>
  <si>
    <t>সুবিধাবাদী/খাদ্যপ্রিয়</t>
  </si>
  <si>
    <t>উপোসে কেউ নয়, পারণের গোঁসাই২</t>
  </si>
  <si>
    <t>উপোসে কেউ নয়, পারণের গোঁসাই</t>
  </si>
  <si>
    <t>উপোসে সঙ্গীহীন, ভোজনে সকলে অগ্রণী।</t>
  </si>
  <si>
    <t>Fasting, no one; feasting, everyone—selfishness.</t>
  </si>
  <si>
    <t>উভয়প্রান্তে মোমবাতি জ্বালানো১</t>
  </si>
  <si>
    <t>দু'প্রান্তে মোমবাতি জ্বালানো</t>
  </si>
  <si>
    <t>অতিরিক্ত পরিশ্রমে জীবন ক্ষয় করা।</t>
  </si>
  <si>
    <t>Burning the candle at both ends—overexertion.</t>
  </si>
  <si>
    <t>অত্যধিক পরিশ্রমী</t>
  </si>
  <si>
    <t>স্বাস্থ্য/জীবনধারা</t>
  </si>
  <si>
    <t>উভয়প্রান্তে মোমবাতি জ্বালানো২</t>
  </si>
  <si>
    <t>একই অর্থে পুনরুক্তি।</t>
  </si>
  <si>
    <t>Burning the candle at both ends.</t>
  </si>
  <si>
    <t>উরুৎ বেয়ে রক্ত ঝরে চোখ গেলোরে বাবা১</t>
  </si>
  <si>
    <t>উরু বেয়ে রক্ত পড়ছে, অথচ চোখ গেছে বলে কান্না</t>
  </si>
  <si>
    <t>আসল বিপদ নয়, অপ্রাসঙ্গিক বিষয়ে হৈ চৈ।</t>
  </si>
  <si>
    <t>Blood flows from the thigh, but cries 'Oh my eye!'—misplaced concern.</t>
  </si>
  <si>
    <t>বিচার/মনোযোগ</t>
  </si>
  <si>
    <t>উরুৎ বেয়ে রক্ত ঝরে চোখ গেলোরে বাবা২</t>
  </si>
  <si>
    <t>উরু বেয়ে রক্ত, চোখ গেল—বাবা</t>
  </si>
  <si>
    <t>মূল ক্ষতি উপেক্ষা করে ছোটখাটো কষ্ট নিয়ে হইচই।</t>
  </si>
  <si>
    <t>Crying over lost eye while thigh bleeds.</t>
  </si>
  <si>
    <t>উলুখাগড়ার প্রাণ যায়</t>
  </si>
  <si>
    <t>উলুখাগড়ার প্রাণ যায়</t>
  </si>
  <si>
    <t>দুর্বল জিনিস অল্পেই মারা যায়।</t>
  </si>
  <si>
    <t>A reed's life expires easily.</t>
  </si>
  <si>
    <t>দুর্বল/অসহায়</t>
  </si>
  <si>
    <t>উলুবনে মুক্তা ছড়ানো১</t>
  </si>
  <si>
    <t>মূল্যহীনের কাছে মূল্যবান জিনিস দেওয়া।</t>
  </si>
  <si>
    <t>Scattering pearls in a reed forest—casting pearls before swine.</t>
  </si>
  <si>
    <t>মূর্খ/অপাত্র</t>
  </si>
  <si>
    <t>উলুবনে সাঁতার দেওয়া</t>
  </si>
  <si>
    <t>উলুবনে সাঁতার দেওয়া</t>
  </si>
  <si>
    <t>নিরর্থক প্রচেষ্টা।</t>
  </si>
  <si>
    <t>Swimming among reeds—futile effort.</t>
  </si>
  <si>
    <t>উলোর মেয়ের কুলুজী, অগ্রদ্বীপের খোঁপা; শান্তিপুরের হাত নাড়া, গুপ্তিপাড়ার চোপা</t>
  </si>
  <si>
    <t>উলোর মেয়ের কুলুজী, অগ্রদ্বীপের খোঁপা; শান্তিপুরের হাত নাড়া, গুপ্তিপাড়ার চোপা</t>
  </si>
  <si>
    <t>প্রত্যেক অঞ্চলের নিজস্ব বৈশিষ্ট্য।</t>
  </si>
  <si>
    <t>Each region has its own distinctive style.</t>
  </si>
  <si>
    <t>স্থানীয় নারী/রীতিনীতি</t>
  </si>
  <si>
    <t>অঞ্চল/রীতি</t>
  </si>
  <si>
    <t>উলটা বুঝলি রাম১</t>
  </si>
  <si>
    <t>উল্টা বুঝলি রাম</t>
  </si>
  <si>
    <t>ভুল বুঝেছিস, উল্টো বুঝেছিস।</t>
  </si>
  <si>
    <t>You got it all wrong, Ram.</t>
  </si>
  <si>
    <t>ভুল বোঝা ব্যক্তি</t>
  </si>
  <si>
    <t>বোধশক্তি</t>
  </si>
  <si>
    <t>উলটা বুঝলি রাম২</t>
  </si>
  <si>
    <t>পুনরুক্তি; ভুল বোঝা।</t>
  </si>
  <si>
    <t>You understood opposite, Ram.</t>
  </si>
  <si>
    <t>উল্টা চোরা কোতয়ালকে ডাঁটে</t>
  </si>
  <si>
    <t>উল্টা চোর কোতোয়ালকে ধমকায়</t>
  </si>
  <si>
    <t>অপরাধীই আইনরক্ষককে শাসায়—উল্টো অবস্থা।</t>
  </si>
  <si>
    <t>The thief scolds the policeman—role reversal.</t>
  </si>
  <si>
    <t>অপরাধী/বিপরীত পরিস্থিতি</t>
  </si>
  <si>
    <t>বিচার/বিপরীত</t>
  </si>
  <si>
    <t>উল্টে চোরা মশান গায়১</t>
  </si>
  <si>
    <t>উল্টে চোরা মশানে গায়</t>
  </si>
  <si>
    <t>অপরাধী উল্টো ভূমিকা নেয়; যেমন চোর পাহারাদার।</t>
  </si>
  <si>
    <t>The reverse thief sings in the burning ghat—strange reversal.</t>
  </si>
  <si>
    <t>উল্টে চোরা মশান গায়২</t>
  </si>
  <si>
    <t>অপরাধীর অস্বাভাবিক আচরণ।</t>
  </si>
  <si>
    <t>The reverse thief sings in the cremation ground.</t>
  </si>
  <si>
    <t>উষ্ণো দহতি চাঙ্গারঃ শীতঃ কৃষ্ণায়তে</t>
  </si>
  <si>
    <t>উত্তপ্ত আঙ্গার জ্বলে, ঠাণ্ডা হলে কালো হয়</t>
  </si>
  <si>
    <t>ক্ষমতায় থাকলে মানুষ উদ্ধত, অক্ষম হলে নীরব।</t>
  </si>
  <si>
    <t>Hot coal burns; cold, it's black—power changes behavior.</t>
  </si>
  <si>
    <t>ক্ষমতাশালী/দুর্বল</t>
  </si>
  <si>
    <t>ক্ষমতা/স্বভাব</t>
  </si>
  <si>
    <t>উষ্ট্রের কণ্টকভোজন</t>
  </si>
  <si>
    <t>উট যেমন কাঁটা খায়, তেমনি নিজের স্বভাব।</t>
  </si>
  <si>
    <t>The camel's thorn diet—one's natural taste.</t>
  </si>
  <si>
    <t>স্বভাবদোষগ্রস্ত</t>
  </si>
  <si>
    <t>উসকো মাটিতে বিড়াল হাগে</t>
  </si>
  <si>
    <t>আলগা মাটিতে বিড়াল হাগে</t>
  </si>
  <si>
    <t>সুযোগ পেলে দুষ্ট লোক স্বভাব দেখায়।</t>
  </si>
  <si>
    <t>A cat defecates on loose soil—opportunity reveals character.</t>
  </si>
  <si>
    <t>সুযোগসন্ধানী/দুষ্ট</t>
  </si>
  <si>
    <t>ঊনো পাঁজুরে বরাখুরে</t>
  </si>
  <si>
    <t>বেখাপ্পা বা অমিল জিনিস।</t>
  </si>
  <si>
    <t>Mismatched and incongruous.</t>
  </si>
  <si>
    <t>ঊনো বর্ষায় দুনো শীত- খনা</t>
  </si>
  <si>
    <t>বৃষ্টি কম হলে শীত দ্বিগুণ হয়</t>
  </si>
  <si>
    <t>স্বল্প বৃষ্টিতে শীত বেশি।</t>
  </si>
  <si>
    <t>In scanty rain, double the cold.</t>
  </si>
  <si>
    <t>ঊনো ভাতে দুনো বল, অতি ভাতে রসাতল</t>
  </si>
  <si>
    <t>মিতাহার শক্তি দেয়, অতিভোজন ধ্বংস ডাকে।</t>
  </si>
  <si>
    <t>ঊরুৎ বেয়ে রক্ত পড়ে, চোখ গেলোরে বাবা</t>
  </si>
  <si>
    <t>ঊরু দিয়ে রক্ত পড়ছে, চোখ গেল বাবা</t>
  </si>
  <si>
    <t>আসল সমস্যা নয়, ভুল দিকে মনোযোগ।</t>
  </si>
  <si>
    <t>Blood from the thigh, but cries for lost eye.</t>
  </si>
  <si>
    <t>ঋণকর্তা পিতা শত্রুর্মাতা চ ব্যভিচারিণী। ভার্যা রূপবতী শত্রুঃ পুত্র শত্রুরপণ্ডিতঃ॥ (চাণক্য)</t>
  </si>
  <si>
    <t>ঋণগ্রস্ত পিতা শত্রু, ব্যভিচারিণী মা শত্রু; রূপবতী স্ত্রী শত্রু, অপণ্ডিত পুত্র শত্রু</t>
  </si>
  <si>
    <t>চাণক্যের মতে এই চারজন শত্রু সমান।</t>
  </si>
  <si>
    <t>A debtor father, an adulterous mother, a beautiful wife, an uneducated son—these are enemies.</t>
  </si>
  <si>
    <t>পিতা, মাতা, স্ত্রী, পুত্র</t>
  </si>
  <si>
    <t>ঋণশেষোহগ্নিশেষশ্চ ব্যাধিশেষস্তথৈব চ। পুনশ্চ বর্দ্ধতে যস্মাৎ তস্মাচ্ছেষং ন কারয়েৎ॥(চাণক্য)</t>
  </si>
  <si>
    <t>ঋণ, আগুন, রোগের শেষ রাখতে নেই, কারণ তা আবার বাড়ে</t>
  </si>
  <si>
    <t>ঋণ, আগুন ও রোগ সম্পূর্ণ নির্মূল না করলে আবার বাড়ে।</t>
  </si>
  <si>
    <t>Do not leave any remainder of debt, fire, or disease; they will grow again.</t>
  </si>
  <si>
    <t>ঋণং কৃত্বাং ঘৃতং পিবেৎ (চার্বাক)</t>
  </si>
  <si>
    <t>ঋণ করেও ঘৃত পান কর</t>
  </si>
  <si>
    <t>ঋণ করেও জীবন উপভোগ কর—চার্বাক দর্শন।</t>
  </si>
  <si>
    <t>Even if you must borrow, drink ghee—enjoy life.</t>
  </si>
  <si>
    <t>ভোগবাদী</t>
  </si>
  <si>
    <t>জীবনধারা/ভোগবাদ</t>
  </si>
  <si>
    <t>ঋণের শেষ রাখতে নেই</t>
  </si>
  <si>
    <t>ঋণ সম্পূর্ণ শোধ করবে, কিছু বাকি রাখা উচিত নয়।</t>
  </si>
  <si>
    <t>Do not leave any debt unpaid.</t>
  </si>
  <si>
    <t>ঋদ্ধিশ্চিত্তবিকারিণী</t>
  </si>
  <si>
    <t>সমৃদ্ধি চিত্তকে বিকারগ্রস্ত করে</t>
  </si>
  <si>
    <t>ধনসম্পদ মনকে নষ্ট করে।</t>
  </si>
  <si>
    <t>Wealth corrupts the mind.</t>
  </si>
  <si>
    <t>ধনী/বিত্তশালী</t>
  </si>
  <si>
    <t>এই ডুমুরের গরব কর; পাকলে ডুমুর পড়ে মর</t>
  </si>
  <si>
    <t>এই ডুমুর গরব করে, পাকলে পড়ে মরে</t>
  </si>
  <si>
    <t>অহংকারী পতন অনিবার্য।</t>
  </si>
  <si>
    <t>The fig is proud; when ripe, it falls and perishes—pride before a fall.</t>
  </si>
  <si>
    <t>এই দৃঢ় বিশ্বাস মনে রেখো, জীবিত বা মৃত, ভাললোকের কোন ক্ষতি হয় না (উপনিষদ)</t>
  </si>
  <si>
    <t>মনে রেখো, জীবিত বা মৃত, ভালো লোকের ক্ষতি হয় না</t>
  </si>
  <si>
    <t>সৎ ব্যক্তির কখনও ক্ষতি হয় না।</t>
  </si>
  <si>
    <t>Have faith: the virtuous are never harmed, in life or death.</t>
  </si>
  <si>
    <t>ভালো মানুষ</t>
  </si>
  <si>
    <t>ধর্ম/নৈতিকতা</t>
  </si>
  <si>
    <t>এই বিড়াল বনে গেলে বনবিড়াল হয়</t>
  </si>
  <si>
    <t>এই বিড়াল বনে গেলে বনবিড়াল হয়</t>
  </si>
  <si>
    <t>পরিবেশ বদলালে স্বভাব বদলায়।</t>
  </si>
  <si>
    <t>If this cat goes into the forest, it becomes a wild cat—environment shapes character.</t>
  </si>
  <si>
    <t>স্বভাব/পরিবেশ</t>
  </si>
  <si>
    <t>এই মানুষ বনে গেলে বনমানুষ হয়</t>
  </si>
  <si>
    <t>এই মানুষ বনে গেলে বনমানুষ হয়</t>
  </si>
  <si>
    <t>পরিবেশ মানুষকেও বদলে দেয়।</t>
  </si>
  <si>
    <t>If this man goes into the forest, he becomes a savage.</t>
  </si>
  <si>
    <t>পরিবেশ/স্বভাব</t>
  </si>
  <si>
    <t>এই সংসার ধোঁকার টাটি</t>
  </si>
  <si>
    <t>এই সংসার প্রতারণার পর্দা</t>
  </si>
  <si>
    <t>সংসার মায়া ও প্রতারণায় ভরা।</t>
  </si>
  <si>
    <t>This world is a veil of illusion.</t>
  </si>
  <si>
    <t>এঁচোড়ে পাকিলে অচিরেই গোল্লায় যায়</t>
  </si>
  <si>
    <t>কাঁচা পেকে গেলে তাড়াতাড়ি নষ্ট হয়</t>
  </si>
  <si>
    <t>অকালপক্কতা শীঘ্রই ধ্বংস ডেকে আনে।</t>
  </si>
  <si>
    <t>Premature ripening soon leads to ruin.</t>
  </si>
  <si>
    <t>অকালপক্ক ব্যক্তি</t>
  </si>
  <si>
    <t>স্বভাব/শিক্ষা</t>
  </si>
  <si>
    <t>এঁটে ধরলে চিঁচিঁ করে ছেড়ে দিলে লম্ফ/লঙ্কা মারে</t>
  </si>
  <si>
    <t>ধরলে চিঁচিঁ করে, ছাড়লে লাফ/লাথি মারে</t>
  </si>
  <si>
    <t>যার যন্ত্রণা দেওয়ার স্বভাব, তার থেকে সতর্ক।</t>
  </si>
  <si>
    <t>If held, it squeaks; if let go, it leaps—hard to handle.</t>
  </si>
  <si>
    <t>দুর্বৃত্ত/দুরন্ত</t>
  </si>
  <si>
    <t>এঁটো খায় মিঠার লোভে, যদি এঁটো মিঠা লাগে</t>
  </si>
  <si>
    <t>এঁটো খায় মিষ্টির লোভে, যদি এঁটো মিষ্টি লাগে</t>
  </si>
  <si>
    <t>লোভে পড়ে নীচ কাজ করে; কিছু পাওয়ার আশায়।</t>
  </si>
  <si>
    <t>One eats leftovers hoping they are sweet—driven by greed.</t>
  </si>
  <si>
    <t>লোভী/প্রত্যাশী</t>
  </si>
  <si>
    <t>এঁটোপাত কখনো স্বর্গে যায় না১</t>
  </si>
  <si>
    <t>এঁটো পাতা কখনো স্বর্গে যায় না</t>
  </si>
  <si>
    <t>নীচ বা অপবিত্র জিনিস কখনো উচ্চমর্যাদা পায় না</t>
  </si>
  <si>
    <t>Leftover leaves never go to heaven.</t>
  </si>
  <si>
    <t>এঁটোপাত কখনো স্বর্গে যায় না২</t>
  </si>
  <si>
    <t>হীন বস্তু পবিত্র স্থানে যায় না</t>
  </si>
  <si>
    <t>Leftover leaves never reach heaven.</t>
  </si>
  <si>
    <t>এঁটোপাত কখনো স্বর্গে যায় না৩</t>
  </si>
  <si>
    <t>অপবিত্র জিনিস উঁচুতে স্থান পায় না</t>
  </si>
  <si>
    <t>Leftover leaves never ascend to heaven.</t>
  </si>
  <si>
    <t>এঁড়ে গরু না টেনে দো</t>
  </si>
  <si>
    <t>এঁড়ে গরু না টেনে দাও</t>
  </si>
  <si>
    <t>অক্ষম ব্যক্তিকে কাজে লাগাতে নেই</t>
  </si>
  <si>
    <t>Don't yoke a bull that won't pull.</t>
  </si>
  <si>
    <t>অক্ষম/নিষ্কর্মা</t>
  </si>
  <si>
    <t>এঁড়ে গরুর দুধ</t>
  </si>
  <si>
    <t>অসম্ভব জিনিস; যা হয় না</t>
  </si>
  <si>
    <t>Milk of a bull—impossible thing.</t>
  </si>
  <si>
    <t>এঁদো (পঙ্কিল/পরিত্যক্ত/পানাবিশিষ্ট) পুকুরে ডুবে মরা</t>
  </si>
  <si>
    <t>এঁদো পুকুরে ডুবে মরা</t>
  </si>
  <si>
    <t>তুচ্ছ বা নোংরা পরিস্থিতিতে মৃত্যু; লজ্জাজনক পরিণতি</t>
  </si>
  <si>
    <t>Drowning in a muddy pond—a disgraceful end.</t>
  </si>
  <si>
    <t>অসম্মানজনক</t>
  </si>
  <si>
    <t>এক অঘ্রাণে ধান তিন শ্রাবণে পান- খনা</t>
  </si>
  <si>
    <t>এক অঘ্রাণে ধান, তিন শ্রাবণে পান</t>
  </si>
  <si>
    <t>অঘ্রাণ মাসে একবার ধান দিলে শ্রাবণে তিনবার পান (লতা) ফলে—কৃষিতত্ত্ব</t>
  </si>
  <si>
    <t>One paddy in Agrahayan, three betel in Shravan—agricultural wisdom.</t>
  </si>
  <si>
    <t>এক আঁচড়ে চেনা যায়</t>
  </si>
  <si>
    <t>একটু লক্ষ করেই প্রকৃতি বোঝা যায়</t>
  </si>
  <si>
    <t>Known by a single scratch—character revealed instantly.</t>
  </si>
  <si>
    <t>এক আনার সৌ বীমার</t>
  </si>
  <si>
    <t>এক আনার শত বীমার</t>
  </si>
  <si>
    <t>সামান্য জিনিসের জন্য অনেক ঝামেলা</t>
  </si>
  <si>
    <t>A penny's worth, a hundred troubles.</t>
  </si>
  <si>
    <t>এক আকাশে দুই সূর্য</t>
  </si>
  <si>
    <t>দুই সমান শক্তির সহাবস্থান অসম্ভব</t>
  </si>
  <si>
    <t>Two suns in one sky—impossible coexistence.</t>
  </si>
  <si>
    <t>এক আঙটা বিকল তো সমস্ত শিকল বিকল</t>
  </si>
  <si>
    <t>একটি আঙটা বিকল হলে গোটা শিকল বিকল</t>
  </si>
  <si>
    <t>একটি অংশ নষ্ট হলে পুরো ব্যবস্থা নষ্ট</t>
  </si>
  <si>
    <t>One link broken, the whole chain fails.</t>
  </si>
  <si>
    <t>এক আঙুলে তুড়ি লাগে না</t>
  </si>
  <si>
    <t>একা কাজ সম্পন্ন হয় না; সহযোগিতা চাই</t>
  </si>
  <si>
    <t>You can't snap fingers with one finger—cooperation needed.</t>
  </si>
  <si>
    <t>একই ফাঁদে শিয়ালকে দু'বার ধরা যায় না</t>
  </si>
  <si>
    <t>একই ফাঁদে শিয়ালকে দুবার ধরা যায় না</t>
  </si>
  <si>
    <t>ঠকানো লোক একই কৌশলে দ্বিতীয়বার ধরা দেয় না</t>
  </si>
  <si>
    <t>You can't catch a fox twice in the same trap.</t>
  </si>
  <si>
    <t>সতর্ক/ঠকিত</t>
  </si>
  <si>
    <t>একই শ্রেণির দুই লোক কখনো একমত হয় না'</t>
  </si>
  <si>
    <t>একই শ্রেণির দুই লোক কখনো একমত হয় না</t>
  </si>
  <si>
    <t>সমকক্ষরা প্রায়ই প্রতিদ্বন্দ্বী হয়, একমত হয় না</t>
  </si>
  <si>
    <t>Two of the same kind never agree.</t>
  </si>
  <si>
    <t>প্রতিদ্বন্দ্বী</t>
  </si>
  <si>
    <t>একই সাথে মনোহর ও হিতকারী বাক্য দুর্লভ</t>
  </si>
  <si>
    <t>একইসাথে মনোহর ও হিতকারী বাক্য দুর্লভ</t>
  </si>
  <si>
    <t>মিষ্টি ও উপকারী কথা একসঙ্গে পাওয়া কঠিন</t>
  </si>
  <si>
    <t>Words both pleasant and beneficial are rare.</t>
  </si>
  <si>
    <t>এক ওয়াকিফহাল সাত নবিসিন্দা</t>
  </si>
  <si>
    <t>একজন অভিজ্ঞ অনেক অনভিজ্ঞের চেয়ে ভালো</t>
  </si>
  <si>
    <t>One experienced beats seven novices.</t>
  </si>
  <si>
    <t>এক ঔর এক গ্যারহ হতে হৈঁ</t>
  </si>
  <si>
    <t>এক আর এক এগারো হয় (হিন্দি)</t>
  </si>
  <si>
    <t>মিলনে শক্তি বাড়ে; একতাই বল</t>
  </si>
  <si>
    <t>One plus one makes eleven—unity is strength.</t>
  </si>
  <si>
    <t>এককড়া বুদ্ধি নেই চার কড়ার মেজাজ</t>
  </si>
  <si>
    <t>এক কড়া বুদ্ধি নেই, চার কড়ার মেজাজ</t>
  </si>
  <si>
    <t>বুদ্ধি নেই কিন্তু রাগ অনেক</t>
  </si>
  <si>
    <t>No penny of sense, but a ton of temper.</t>
  </si>
  <si>
    <t>মূর্খ/রাগী</t>
  </si>
  <si>
    <t>এক কড়ার মুরোদ নেই কিল/ভাত মারার গোঁসাই</t>
  </si>
  <si>
    <t>এক কড়ার মুরোদ নেই, ভাত মারার গোঁসাই</t>
  </si>
  <si>
    <t>যোগ্যতা নেই, অথচ অন্যায় কাজে উৎসাহী</t>
  </si>
  <si>
    <t>No strength, but a master of beating rice—useless bravado.</t>
  </si>
  <si>
    <t>এককড়াই/কলসী/গামলা/বালতি দুধে একফোঁটা চোনা১</t>
  </si>
  <si>
    <t>এক কলসি দুধে এক ফোঁটা চোনা (দইয়ের টোপ)</t>
  </si>
  <si>
    <t>অল্প দোষে সব নষ্ট হয়</t>
  </si>
  <si>
    <t>One drop of rennet spoils a whole pot of milk.</t>
  </si>
  <si>
    <t>এককড়াই/কলসী/গামলা/বালতি দুধে একফোঁটা চোনা২</t>
  </si>
  <si>
    <t>এক বালতি দুধে এক ফোঁটা চোনা</t>
  </si>
  <si>
    <t>সামান্য কলুষ বড় কিছু নষ্ট করতে পারে</t>
  </si>
  <si>
    <t>A drop of rennet curdles the bucket of milk.</t>
  </si>
  <si>
    <t>এক কাটে ভারে, আরেক কাটে ধারে</t>
  </si>
  <si>
    <t>একজন কাটে ওজনে, আরেকজন কাটে ধারে</t>
  </si>
  <si>
    <t>সবাই নিজের শক্তি অনুযায়ী কাজ করে</t>
  </si>
  <si>
    <t>One cuts by weight, another by sharpness—everyone uses their own strength.</t>
  </si>
  <si>
    <t>এককাঠি বাজে না</t>
  </si>
  <si>
    <t>এক কাঠি বাজে না</t>
  </si>
  <si>
    <t>একা কিছু করা যায় না</t>
  </si>
  <si>
    <t>One stick makes no sound—alone you can't.</t>
  </si>
  <si>
    <t>এক কান কাটা বাজার/রাস্তা/সহরের ধার দিয়ে যায়, দুকান কাটা বাজার/রাস্তা/সহরের মাঝদিয়ে যায়</t>
  </si>
  <si>
    <t>এক কান কাটা লোক ধার দিয়ে যায়, দু'কান কাটা মাঝ দিয়ে যায়</t>
  </si>
  <si>
    <t>অল্প অপরাধী লুকোয়, বড় অপরাধী প্রকাশ্যে চলে</t>
  </si>
  <si>
    <t>One with one cut ear sneaks by, one with both cut walks boldly—the more brazen, the bolder.</t>
  </si>
  <si>
    <t>অপরাধী/বেহায়া</t>
  </si>
  <si>
    <t>এক কানা আরেক কানাকে পথ দেখালে দুজনেই খানায় পড়ে</t>
  </si>
  <si>
    <t>এক কানা আরেক কানাকে পথ দেখালে দুজনেই গর্তে পড়ে</t>
  </si>
  <si>
    <t>অজ্ঞানে অজ্ঞানে মিলে বিপদ বাড়ে</t>
  </si>
  <si>
    <t>If one blind leads another, both fall into a ditch.</t>
  </si>
  <si>
    <t>অজ্ঞ/অক্ষম</t>
  </si>
  <si>
    <t>এক কানে শোনে অন্য কানে বেড়োয়১</t>
  </si>
  <si>
    <t>এক কানে শোনে অন্য কানে বেড়োয়</t>
  </si>
  <si>
    <t>কথা শুনেও শোনে না; অমনোযোগী</t>
  </si>
  <si>
    <t>In one ear, out the other—heedless.</t>
  </si>
  <si>
    <t>অমনোযোগী</t>
  </si>
  <si>
    <t>এক কানে শোনে অন্য কানে বেড়োয়২</t>
  </si>
  <si>
    <t>এক কানে শোনে, অন্য কানে বেরোয়</t>
  </si>
  <si>
    <t>উপদেশ গ্রহণ করে না</t>
  </si>
  <si>
    <t>In one ear, out the other—ignore advice.</t>
  </si>
  <si>
    <t>অবাধ্য</t>
  </si>
  <si>
    <t>এককাল ঠেকেছে তিনকাল গিয়ে</t>
  </si>
  <si>
    <t>এক কালে ঠেকেছে, তিন কাল গিয়ে</t>
  </si>
  <si>
    <t>একটি সমস্যা বংশপরম্পরায় প্রভাব ফেলেছে</t>
  </si>
  <si>
    <t>One generation's trouble extends to three.</t>
  </si>
  <si>
    <t>এক কিলো জিনিসে পাঁচ কিলো ঠকায়</t>
  </si>
  <si>
    <t>এক কেজি জিনিসে পাঁচ কেজি ঠকায়</t>
  </si>
  <si>
    <t>অল্প জিনিসে বেশি ঠকানো হয়; অসৎ ব্যবসা</t>
  </si>
  <si>
    <t>One kilo of goods, five kilos of fraud.</t>
  </si>
  <si>
    <t>প্রতারক ব্যবসায়ী</t>
  </si>
  <si>
    <t>এক কূল ভাঙে তো এক কূল গড়ে</t>
  </si>
  <si>
    <t>একদিকে ক্ষতি তো অন্যদিকে লাভ; প্রকৃতির ভারসাম্য</t>
  </si>
  <si>
    <t>If one bank erodes, another builds up—nature balances.</t>
  </si>
  <si>
    <t>ভারসাম্য</t>
  </si>
  <si>
    <t>এক কেঁড়ে দুধে এক ছিঁটে চোনা</t>
  </si>
  <si>
    <t>সামান্য দোষে পুরোটা নষ্ট</t>
  </si>
  <si>
    <t>One pinch of rennet spoils a whole bowl of milk.</t>
  </si>
  <si>
    <t>এক্-কে আর দেখবে বেগার</t>
  </si>
  <si>
    <t>এক-কে আর দেখবে বেগার (একা কাজ করবে, আর কেউ দেখবে না)</t>
  </si>
  <si>
    <t>নিরর্থক বা একাকী কাজ</t>
  </si>
  <si>
    <t>One working, others watching—unfair share.</t>
  </si>
  <si>
    <t>অসহযোগিতা</t>
  </si>
  <si>
    <t>এককোপে বটগাছকে ফেলা যায় না</t>
  </si>
  <si>
    <t>এক কোপে বটগাছ ফেলা যায় না</t>
  </si>
  <si>
    <t>বিরাট কাজ একবারে শেষ হয় না</t>
  </si>
  <si>
    <t>You can't fell a banyan tree with one stroke.</t>
  </si>
  <si>
    <t>একক্ষুরে মাথা কামানো১</t>
  </si>
  <si>
    <t>এক ক্ষুরে মাথা কামানো</t>
  </si>
  <si>
    <t>সবাই একই রকম আচরণ বা একই দোষে দুষ্ট</t>
  </si>
  <si>
    <t>All shaven with one razor—birds of a feather.</t>
  </si>
  <si>
    <t>একই দোষে দুষ্ট</t>
  </si>
  <si>
    <t>একক্ষুরে মাথা কামানো২</t>
  </si>
  <si>
    <t>সবাই একই দলের; একমত</t>
  </si>
  <si>
    <t>All shaven with one razor—uniform group.</t>
  </si>
  <si>
    <t>একক্ষুরে মাথা কামানো৩</t>
  </si>
  <si>
    <t>সবাই একই দোষে দুষ্ট, বিশেষত প্রতারক বা মন্দ</t>
  </si>
  <si>
    <t>All shaven with one razor—all equally guilty.</t>
  </si>
  <si>
    <t>একই দোষযুক্ত</t>
  </si>
  <si>
    <t>একখাপে দুই তরোয়াল</t>
  </si>
  <si>
    <t>এক খাপে দুই তরোয়াল</t>
  </si>
  <si>
    <t>এক পাত্রে দুই সমান শক্তির সহাবস্থান অসম্ভব</t>
  </si>
  <si>
    <t>Two swords in one sheath—impossible.</t>
  </si>
  <si>
    <t>এক খায় এক থিতায়১</t>
  </si>
  <si>
    <t>এক খায়, এক থিতায়</t>
  </si>
  <si>
    <t>একজন খায়, আরেকজন আরাম করে—অলসের দল</t>
  </si>
  <si>
    <t>One eats, one lounges—lazy pair.</t>
  </si>
  <si>
    <t>এক খায় এক থিতায়২</t>
  </si>
  <si>
    <t>কাজে অলস, খেতে দড়</t>
  </si>
  <si>
    <t>One eats, one lounges—idle fellows.</t>
  </si>
  <si>
    <t>এক খায় এক থিতায়৩</t>
  </si>
  <si>
    <t>অলসতা ও ভোগের মিলন</t>
  </si>
  <si>
    <t>One eats, one lounges—lazy life.</t>
  </si>
  <si>
    <t>এক খাল কেটে অন্য খাল ভরায়</t>
  </si>
  <si>
    <t>একজনের ক্ষতি করে অন্যকে লাভবান করা</t>
  </si>
  <si>
    <t>Digging one canal to fill another—rob Peter to pay Paul.</t>
  </si>
  <si>
    <t>এক গাঁয়ে ঢেঁকি পড়ে অন্য গাঁয়ে মাথা ধরে১</t>
  </si>
  <si>
    <t>এক গাঁয়ে ঢেঁকি পড়ে, অন্য গাঁয়ে মাথা ধরে</t>
  </si>
  <si>
    <t>অপ্রাসঙ্গিক দুঃখ প্রকাশ; এক জায়গার বিপদ অন্য জায়গায় প্রভাব ফেলে</t>
  </si>
  <si>
    <t>The dheki falls in one village, but another gets a headache.</t>
  </si>
  <si>
    <t>অনর্থক উদ্বেগ</t>
  </si>
  <si>
    <t>এক গাঁয়ে ঢেঁকি পড়ে অন্য গাঁয়ে মাথা ধরে২</t>
  </si>
  <si>
    <t>এক জায়গার বিপদে অন্য জায়গায় ভাবনা</t>
  </si>
  <si>
    <t>Dheki falls in one village, headache in another.</t>
  </si>
  <si>
    <t>একগাঁয়ের কুকুর অন্যগাঁয়ে ঠাকুর</t>
  </si>
  <si>
    <t>এক গাঁয়ের কুকুর অন্য গাঁয়ে ঠাকুর</t>
  </si>
  <si>
    <t>নিজের জায়গায় সবাই তুচ্ছ, বাইরে গেলে মর্যাদা পায়</t>
  </si>
  <si>
    <t>A dog from one village is a god in another.</t>
  </si>
  <si>
    <t>পরিচয়/পরিবেশ</t>
  </si>
  <si>
    <t>এক গাছের ছাল অন্য গাছে জোড়া লাগে না১</t>
  </si>
  <si>
    <t>এক গাছের ছাল অন্য গাছে জোড়া লাগে না</t>
  </si>
  <si>
    <t>পরভুক্ত জিনিস নিজের হয় না; বা ভিন্ন প্রকৃতির মিল হয় না</t>
  </si>
  <si>
    <t>Bark of one tree can't be grafted onto another—different natures don't blend.</t>
  </si>
  <si>
    <t>এক গাছের ছাল অন্য গাছে জোড়া লাগে না২</t>
  </si>
  <si>
    <t>স্বজাতির বাইরে মিল হয় না</t>
  </si>
  <si>
    <t>One tree's bark won't stick to another tree.</t>
  </si>
  <si>
    <t>এক গালে চূণ অন্য গালে কালি মাখানো/লাগানো</t>
  </si>
  <si>
    <t>এক গালে চূণ, অন্য গালে কালি মাখানো</t>
  </si>
  <si>
    <t>দুই দিকে অপমান করা; লজ্জায় ফেলা</t>
  </si>
  <si>
    <t>Smearing lime on one cheek, ink on the other—double humiliation.</t>
  </si>
  <si>
    <t>এক গুরলে/গুলতিতে/ঢিলে দুই পাখি মারা</t>
  </si>
  <si>
    <t>এক কাজে দুই লাভ</t>
  </si>
  <si>
    <t>Kill two birds with one stone.</t>
  </si>
  <si>
    <t>এক গোয়ালে বিয়াইছে গাই সেই রিস্তায় চাচাতো ভাই</t>
  </si>
  <si>
    <t>এক গোয়ালে বিয়াইছে গাই, সেই সম্পর্কে চাচাতো ভাই</t>
  </si>
  <si>
    <t>সামান্য সম্পর্ককে বড় করে দেখা; হাস্যকর আত্মীয়তা</t>
  </si>
  <si>
    <t>Cows calved in the same shed are cousins—ridiculous kinship.</t>
  </si>
  <si>
    <t>সম্পর্ক/হাস্যরস</t>
  </si>
  <si>
    <t>এক গাঙের চিল / এক গোয়ালের গরু</t>
  </si>
  <si>
    <t>সবাই একই দলের বা একই রকম</t>
  </si>
  <si>
    <t>Birds of the same river, or cows of the same shed—all alike.</t>
  </si>
  <si>
    <t>এক চন্দ্রই যে অন্ধকার দূর করে, সকল তারা মিলেও তা পারে না</t>
  </si>
  <si>
    <t>এক চন্দ্রই অন্ধকার দূর করে, সব তারা মিলেও তা পারে না</t>
  </si>
  <si>
    <t>একজন যোগ্য ব্যক্তি যা পারে, বহু অযোগ্যে মিলেও তা পারে না</t>
  </si>
  <si>
    <t>One moon alone removes the darkness; all the stars together cannot.</t>
  </si>
  <si>
    <t>এক চন্দ্রে জগৎ আলো</t>
  </si>
  <si>
    <t>এক চাঁদেই জগৎ আলোকিত</t>
  </si>
  <si>
    <t>এক মহৎ ব্যক্তিই গোটা বিশ্বকে আলোকিত করতে পারে</t>
  </si>
  <si>
    <t>One moon lights up the world.</t>
  </si>
  <si>
    <t>এক চাকাতে রথ চলে না</t>
  </si>
  <si>
    <t>এক চাকায় রথ চলে না</t>
  </si>
  <si>
    <t>একক প্রচেষ্টায় বড় কাজ সম্পন্ন হয় না</t>
  </si>
  <si>
    <t>A chariot cannot run on one wheel.</t>
  </si>
  <si>
    <t>এক চির পান দুই চির হল সোনার সিংহাসনে ভাগ বসিল</t>
  </si>
  <si>
    <t>এক টুকরো পান দুই টুকরো হয়ে সোনার সিংহাসনে ভাগ বসালো</t>
  </si>
  <si>
    <t>সামান্য জিনিস ভাগাভাগি করে বড় লাভ</t>
  </si>
  <si>
    <t>One betel leaf split in two claimed a share of a golden throne.</t>
  </si>
  <si>
    <t>একচুল ক্ষতি করতে না পারা</t>
  </si>
  <si>
    <t>এক চুল ক্ষতি করতে না পারা</t>
  </si>
  <si>
    <t>সামান্যতম ক্ষতিও করতে না পারা; অতি সুরক্ষিত</t>
  </si>
  <si>
    <t>Cannot harm even a single hair.</t>
  </si>
  <si>
    <t>এক চেয়ে দুই মাথা ভাল</t>
  </si>
  <si>
    <t>এক মাথার চেয়ে দুই মাথা ভালো</t>
  </si>
  <si>
    <t>দুইজনের পরামর্শ একার চেয়ে ভালো</t>
  </si>
  <si>
    <t>Two heads are better than one.</t>
  </si>
  <si>
    <t>একচোখে কাঁদা অন্যচোখে হাসা১</t>
  </si>
  <si>
    <t>এক চোখে কান্না, অন্য চোখে হাসি</t>
  </si>
  <si>
    <t>মিশ্র অনুভূতি; একই সাথে সুখ-দুঃখ</t>
  </si>
  <si>
    <t>Crying with one eye, laughing with the other.</t>
  </si>
  <si>
    <t>একচোখে কাঁদা অন্যচোখে হাসা২</t>
  </si>
  <si>
    <t>এক চোখে কান্না, অন্য চোখে হাসি (দ্বিতীয় অর্থ)</t>
  </si>
  <si>
    <t>কপটতা; বাইরে কান্না ভেতরে হাসি</t>
  </si>
  <si>
    <t>Crying with one eye, laughing with the other—hypocrisy.</t>
  </si>
  <si>
    <t>একচোখো মাসি কারে ভালোবাসি</t>
  </si>
  <si>
    <t>একচোখো (একচোখ বিশিষ্ট) মাসি, কাকে ভালোবাসি?</t>
  </si>
  <si>
    <t>যার এক চোখ, সে কেবল একদিক দেখে, পক্ষপাতদুষ্ট</t>
  </si>
  <si>
    <t>One-eyed aunt, whom to love?—biased vision.</t>
  </si>
  <si>
    <t>একছাতার তলে বাস</t>
  </si>
  <si>
    <t>এক ছাতার তলে বাস</t>
  </si>
  <si>
    <t>একই আশ্রয়ে থাকা; একান্নবর্তী পরিবার</t>
  </si>
  <si>
    <t>Living under one umbrella.</t>
  </si>
  <si>
    <t>একছেলে তার ফুলের শয্যে, পাঁচছেলে তার কাঁটার শয্যে</t>
  </si>
  <si>
    <t>এক ছেলের জন্য ফুলের শয্যা, পাঁচ ছেলের জন্য কাঁটার শয্যা</t>
  </si>
  <si>
    <t>এক সন্তান আদরে, বহু সন্তান কষ্টে</t>
  </si>
  <si>
    <t>One child gets a bed of flowers; five children get a bed of thorns.</t>
  </si>
  <si>
    <t>বহু সন্তানের পিতা-মাতা</t>
  </si>
  <si>
    <t>একছেলে যার হাজার মানত তার</t>
  </si>
  <si>
    <t>এক ছেলে যার, তার হাজার মানত</t>
  </si>
  <si>
    <t>একমাত্র সন্তানের জন্য পিতামাতার হাজার মানত</t>
  </si>
  <si>
    <t>He who has one son makes a thousand vows.</t>
  </si>
  <si>
    <t>এক সন্তানের মা-বাবা</t>
  </si>
  <si>
    <t>এক জঙ্গলে দুই বাঘ থাকে না</t>
  </si>
  <si>
    <t>দুই প্রভাবশালী একসঙ্গে থাকতে পারে না</t>
  </si>
  <si>
    <t>Two tigers cannot live in one forest.</t>
  </si>
  <si>
    <t>একজন উৎপীড়ক সবসময় কাপুরুষ</t>
  </si>
  <si>
    <t>একজন উৎপীড়ক সবসময় কাপুরুষ</t>
  </si>
  <si>
    <t>দুর্বলের ওপর অত্যাচার করাই কাপুরুষতা</t>
  </si>
  <si>
    <t>A bully is always a coward.</t>
  </si>
  <si>
    <t>উৎপীড়ক</t>
  </si>
  <si>
    <t>একজন ঘুমন্ত মানুষ আরেকজন ঘুমন্ত মানুষকে জাগাতে পারে না</t>
  </si>
  <si>
    <t>অজ্ঞ বা অলস কেউ কাউকে জাগাতে পারে না</t>
  </si>
  <si>
    <t>One sleeping man cannot wake another.</t>
  </si>
  <si>
    <t>একজন বন্ধুর চেয়ে একজন শত্রু থাকা ভালো</t>
  </si>
  <si>
    <t>একজন বন্ধুর চেয়ে একজন শত্রু থাকা ভালো</t>
  </si>
  <si>
    <t>শত্রু সতর্ক করে, কিন্তু ভুল বন্ধু সর্বনাশ ডেকে আনে</t>
  </si>
  <si>
    <t>Better an enemy than a friend.</t>
  </si>
  <si>
    <t>একজন বন্ধুলাভ দশজন বন্ধুহারানোর সমানই</t>
  </si>
  <si>
    <t>একজন বন্ধু লাভ দশজন বন্ধু হারানোর সমান</t>
  </si>
  <si>
    <t>একজন প্রকৃত বন্ধু পাওয়া দশজন বন্ধু হারানোর সমতুল্য</t>
  </si>
  <si>
    <t>Gaining one true friend equals losing ten false ones.</t>
  </si>
  <si>
    <t>একজন ভিক্ষুক কখনো দেউলিয়া হয় না</t>
  </si>
  <si>
    <t>একজন ভিক্ষুক কখনো দেউলিয়া হয় না</t>
  </si>
  <si>
    <t>যার কিছু নেই তার হারানোর ভয় নেই</t>
  </si>
  <si>
    <t>A beggar can never go bankrupt.</t>
  </si>
  <si>
    <t>ভিক্ষুক/নির্ধন</t>
  </si>
  <si>
    <t>একজন ভিক্ষুক নির্বাচনকারী হতে পারে না</t>
  </si>
  <si>
    <t>একজন ভিক্ষুক বাছবিচার করতে পারে না</t>
  </si>
  <si>
    <t>অভাবী ব্যক্তি পছন্দ-অপছন্দের সুযোগ পায় না</t>
  </si>
  <si>
    <t>A beggar cannot be a chooser.</t>
  </si>
  <si>
    <t>একজন মা বুঝতে পারে একজন শিশু যে কথা বলে না- ইহুদী প্রবাদ</t>
  </si>
  <si>
    <t>একজন মা বুঝতে পারে একজন শিশু যে কথা বলে না</t>
  </si>
  <si>
    <t>মা-ই একমাত্র সন্তানের নির্বাক ভাষা বোঝে</t>
  </si>
  <si>
    <t>A mother understands a child who does not speak.</t>
  </si>
  <si>
    <t>একজন মানুষ যা করতে পারে তার বেশি সে পারে না</t>
  </si>
  <si>
    <t>একজন মানুষ যা করতে পারে তার বেশি পারে না</t>
  </si>
  <si>
    <t>সামর্থ্যের বাইরে কিছু করা যায় না</t>
  </si>
  <si>
    <t>A man can do no more than he can.</t>
  </si>
  <si>
    <t>একজন শত্রুর স্মিতহাসি থেকে একজন বন্ধুর ভ্রুকুটি ভাল</t>
  </si>
  <si>
    <t>একজন শত্রুর হাসির চেয়ে একজন বন্ধুর ভ্রুকুটি ভালো</t>
  </si>
  <si>
    <t>বন্ধুর সতর্কতা শত্রুর মিষ্টি কথার চেয়ে ভালো</t>
  </si>
  <si>
    <t>A friend's frown is better than an enemy's smile.</t>
  </si>
  <si>
    <t>বন্ধু/শত্রু</t>
  </si>
  <si>
    <t>একজনকে বন্ধু করার আগে তার সাথে এক যোজন পথ হাঁটো</t>
  </si>
  <si>
    <t>একজনকে বন্ধু করার আগে তার সাথে এক যোজন (প্রায় ১৪ কিমি) পথ হাঁটো</t>
  </si>
  <si>
    <t>বন্ধুত্ব করতে হলে আগে পরীক্ষা করে নাও</t>
  </si>
  <si>
    <t>Walk a league with a man before you make him a friend.</t>
  </si>
  <si>
    <t>একজনের কাছে অমৃত অন্যজনের কাছে বিষ</t>
  </si>
  <si>
    <t>একজনের কাছে অমৃত, অন্যজনের কাছে বিষ</t>
  </si>
  <si>
    <t>যার জন্য ভালো, অন্যের জন্য তা খারাপ হতে পারে</t>
  </si>
  <si>
    <t>One's nectar is another's poison.</t>
  </si>
  <si>
    <t>এক জলাশয়ের/ঝিলের মাছ</t>
  </si>
  <si>
    <t>এক জলাশয়ের/ঝিলের মাছ</t>
  </si>
  <si>
    <t>Fish of the same pond—birds of a feather.</t>
  </si>
  <si>
    <t>একজায়গায় থাকলে হাঁড়িতে হাঁড়িতে ঠোকাঠুকি হয়</t>
  </si>
  <si>
    <t>এক জায়গায় থাকলে হাঁড়িতে হাঁড়িতে ঠোকাঠুকি হয়</t>
  </si>
  <si>
    <t>একসঙ্গে থাকলে ঝগড়া বিবাদ হবেই</t>
  </si>
  <si>
    <t>If you live together, pots will knock against each other.</t>
  </si>
  <si>
    <t>এক জুতা সব পায়ে গলে না</t>
  </si>
  <si>
    <t>এক জুতা সব পায়ে গলে না</t>
  </si>
  <si>
    <t>এক পদ্ধতি সবার জন্য খাটে না</t>
  </si>
  <si>
    <t>One shoe does not fit all feet.</t>
  </si>
  <si>
    <t>বিবিধতা</t>
  </si>
  <si>
    <t>একঝাঁকের কই</t>
  </si>
  <si>
    <t>এক ঝাঁকের কৈ (মাছ)</t>
  </si>
  <si>
    <t>সবাই একই দলের; একতাবদ্ধ</t>
  </si>
  <si>
    <t>A shoal of koi fish—all together.</t>
  </si>
  <si>
    <t>এক ঝিকরে/টানেতে মাছ গাঁথে না এ কেমন বঁড়শি, এক ডাকেতে সাড়া দেয় না সে কেমন পড়শি?</t>
  </si>
  <si>
    <t>এক টানে মাছ গাঁথে না সে কেমন বঁড়শি, এক ডাকে সাড়া দেয় না সে কেমন পড়শি?</t>
  </si>
  <si>
    <t>অকাজের জিনিস ও অসহায় প্রতিবেশী সমান</t>
  </si>
  <si>
    <t>What kind of hook catches no fish at one tug? What kind of neighbor responds not at one call?</t>
  </si>
  <si>
    <t>অকর্মণ্য/অসহায়</t>
  </si>
  <si>
    <t>এক টাকা সঞ্চয়ের অর্থ এক টাকা আয়</t>
  </si>
  <si>
    <t>এক টাকা সঞ্চয় মানে এক টাকা আয়</t>
  </si>
  <si>
    <t>জমানো টাকা রোজগারের সমান</t>
  </si>
  <si>
    <t>একটি অলস ভেড়া তার পশমকে ভারী মনে করে</t>
  </si>
  <si>
    <t>একটি অলস ভেড়া নিজের পশমকেও ভারী মনে করে</t>
  </si>
  <si>
    <t>অলস লোক একটু কাজকেও বোঝা মনে করে</t>
  </si>
  <si>
    <t>A lazy sheep thinks its wool heavy.</t>
  </si>
  <si>
    <t>একটি আজকাল দুটি আগামীকালের সমান</t>
  </si>
  <si>
    <t>One today is worth two tomorrows.</t>
  </si>
  <si>
    <t>একটি কড়িকাঠ যত বড়ই হোক-না-কেন সমগ্র বাড়ীর ভার বইতে পারে না- চীনা প্রবাদ</t>
  </si>
  <si>
    <t>একটি কড়িকাঠ যত বড়ই হোক, পুরো বাড়ির ভার বইতে পারে না</t>
  </si>
  <si>
    <t>একক ব্যক্তি সমগ্র দায়িত্ব নিতে পারে না</t>
  </si>
  <si>
    <t>No matter how big a single beam, it cannot support the whole house.</t>
  </si>
  <si>
    <t>একটি কালো আঙুর সাদা আঙুরের মতই মিষ্টি</t>
  </si>
  <si>
    <t>একটি কালো আঙুর সাদা আঙুরের মতোই মিষ্টি</t>
  </si>
  <si>
    <t>বাইরের রঙ দেখে গুণ বিচার করা ঠিক নয়</t>
  </si>
  <si>
    <t>A black grape is as sweet as a white one.</t>
  </si>
  <si>
    <t>একটি কালো মুরগী একটি সাদা ডিম পাড়ে১</t>
  </si>
  <si>
    <t>একটি কালো মুরগি সাদা ডিম পাড়ে</t>
  </si>
  <si>
    <t>বাইরের রূপ নয়, ভেতরের গুণ বড়</t>
  </si>
  <si>
    <t>A black hen lays a white egg.</t>
  </si>
  <si>
    <t>একটি কালো মুরগী একটি সাদা ডিম পাড়ে২</t>
  </si>
  <si>
    <t>একটি কালো মুরগি সাদা ডিম পাড়ে (দ্বিতীয়)</t>
  </si>
  <si>
    <t>কালো চামড়ার লোকও সাদা মনের হতে পারে</t>
  </si>
  <si>
    <t>A black hen can lay a white egg—appearance vs substance.</t>
  </si>
  <si>
    <t>একটি খারাপ অজুহাত 'কিছু না'-এর চেয়ে ভাল</t>
  </si>
  <si>
    <t>একটি খারাপ অজুহাত 'কিছু না'-এর চেয়ে ভালো</t>
  </si>
  <si>
    <t>কাজ না করার চেয়ে মন্দ অজুহাতও কিছুটা ভালো</t>
  </si>
  <si>
    <t>A bad excuse is better than none.</t>
  </si>
  <si>
    <t>একটি খারাপ আপোস একটি ভাল মামলা থেকে ভাল</t>
  </si>
  <si>
    <t>একটি খারাপ আপোস একটি ভাল মামলা থেকে ভালো</t>
  </si>
  <si>
    <t>ঝগড়ার চেয়ে আপস করে নেওয়া ভালো</t>
  </si>
  <si>
    <t>A bad compromise is better than a good lawsuit.</t>
  </si>
  <si>
    <t>একজন খারাপ লোক একটি খারাপ নামের চেয়ে ভাল</t>
  </si>
  <si>
    <t>একজন খারাপ লোক একটি খারাপ নামের চেয়ে ভালো</t>
  </si>
  <si>
    <t>খারাপ লোক থেকেও বদনাম বেশি ক্ষতিকর</t>
  </si>
  <si>
    <t>A bad man is better than a bad name.</t>
  </si>
  <si>
    <t>একটি খারাপ শুরু একটি খারাপে শেষ হয়</t>
  </si>
  <si>
    <t>একটি খারাপ শুরু খারাপেই শেষ হয়</t>
  </si>
  <si>
    <t>খারাপ কাজের পরিণাম খারাপ</t>
  </si>
  <si>
    <t>A bad beginning makes a bad ending.</t>
  </si>
  <si>
    <t>একটা/টি ছোট্ট ছিদ্রও বিরাট জাহাজকে ডোবাতে পারে</t>
  </si>
  <si>
    <t>একটি ছোট্ট ছিদ্রও বিরাট জাহাজ ডুবাতে পারে</t>
  </si>
  <si>
    <t>সামান্য ত্রুটিও বড় ক্ষতি করতে পারে</t>
  </si>
  <si>
    <t>A small leak can sink a great ship.</t>
  </si>
  <si>
    <t>একটা/টি ছোট্ট তিন-ইঞ্চির জিভ সাত-ফুটের একজন দশাসই লোককেও ধরাশায়ী করতে পারে</t>
  </si>
  <si>
    <t>একটি ছোট্ট তিন ইঞ্চির জিভ সাত ফুটের দশাসই লোককেও ধরাশায়ী করতে পারে</t>
  </si>
  <si>
    <t>মুখের কথা শারীরিক শক্তির চেয়েও ভয়ঙ্কর</t>
  </si>
  <si>
    <t>A tiny three-inch tongue can bring down a seven-foot giant.</t>
  </si>
  <si>
    <t>একটা/টি দিয়াশলাই কাঠি খাণ্ডবানল সৃষ্টি করতে পারে</t>
  </si>
  <si>
    <t>একটি দিয়াশলাই কাঠি খাণ্ডবানল (মহাভারতের দাবানল) সৃষ্টি করতে পারে</t>
  </si>
  <si>
    <t>একটি ছোট কারণ বড় বিপদ ডেকে আনতে পারে</t>
  </si>
  <si>
    <t>One matchstick can cause a forest fire.</t>
  </si>
  <si>
    <t>একটা/টি দোষ বহু গুণকে গ্রাস করে</t>
  </si>
  <si>
    <t>একটি দোষ বহু গুণকে গ্রাস করে</t>
  </si>
  <si>
    <t>একটি দোষ অনেক গুণকে ম্লান করে</t>
  </si>
  <si>
    <t>One flaw swallows many virtues.</t>
  </si>
  <si>
    <t>একটা/টি পতন তোমাকে জ্ঞানীমানুষ করে তোলে</t>
  </si>
  <si>
    <t>একটি পতন তোমাকে জ্ঞানী মানুষ করে তোলে</t>
  </si>
  <si>
    <t>পতন থেকে শিক্ষা নেওয়া যায়</t>
  </si>
  <si>
    <t>A fall makes you wise.</t>
  </si>
  <si>
    <t>একটা/টি পদক্ষেপে হাজার মাইলের যাত্রা শুরু হয়</t>
  </si>
  <si>
    <t>একটি পদক্ষেপে হাজার মাইলের যাত্রা শুরু হয়</t>
  </si>
  <si>
    <t>বড় কাজের শুরু ক্ষুদ্র পদক্ষেপেই</t>
  </si>
  <si>
    <t>A journey of a thousand miles begins with a single step.</t>
  </si>
  <si>
    <t>একটি পাখি তার গানদ্বারা পরিচিত হয়</t>
  </si>
  <si>
    <t>একটি পাখি তার গানের দ্বারা পরিচিত হয়</t>
  </si>
  <si>
    <t>মানুষ তার কর্ম দিয়ে পরিচিত</t>
  </si>
  <si>
    <t>A bird is known by its song.</t>
  </si>
  <si>
    <t>পরিচয়</t>
  </si>
  <si>
    <t>একটা/টি বই যেন একটি আস্ত ফুলের বাগান</t>
  </si>
  <si>
    <t>একটি বই যেন একটি গোটা ফুলের বাগান</t>
  </si>
  <si>
    <t>বই জ্ঞানের ভাণ্ডার</t>
  </si>
  <si>
    <t>A book is like a whole garden of flowers.</t>
  </si>
  <si>
    <t>একটি ভালো শুরু/সূচনা হল অর্ধেক কাজ/যুদ্ধ জয়</t>
  </si>
  <si>
    <t>একটি ভালো শুরু অর্ধেক কাজ জয়</t>
  </si>
  <si>
    <t>সুচনা ভালো হলে সাফল্য নিশ্চিত</t>
  </si>
  <si>
    <t>A good start is half the battle.</t>
  </si>
  <si>
    <t>একটি মন্দ সকাল ভাল দিনে পরিণত হতে পারে</t>
  </si>
  <si>
    <t>একটি মন্দ সকাল ভালো দিনে পরিণত হতে পারে</t>
  </si>
  <si>
    <t>খারাপ শুরু ভালো শেষ হতে পারে</t>
  </si>
  <si>
    <t>A bad morning can turn into a good day.</t>
  </si>
  <si>
    <t>একটি মিথ্যা আরেকটি মিথ্যার জন্ম দেয়</t>
  </si>
  <si>
    <t>একটি মিথ্যা আরেকটি মিথ্যার জন্ম দেয়</t>
  </si>
  <si>
    <t>মিথ্যা চাপাতে গিয়ে আরও মিথ্যা বলতে হয়</t>
  </si>
  <si>
    <t>One lie gives birth to another.</t>
  </si>
  <si>
    <t>একটি সুতা তার সবচেয়ে পাতলা জায়গাতে ছিঁড়ে</t>
  </si>
  <si>
    <t>একটি সুতা তার সবচেয়ে পাতলা জায়গায় ছিঁড়ে</t>
  </si>
  <si>
    <t>দুর্বল জায়গাতেই বিপদ হয়</t>
  </si>
  <si>
    <t>A thread breaks at its weakest point.</t>
  </si>
  <si>
    <t>একটি নরম উত্তর ক্রোধ দূর করে, একটি কঠোর শব্দ রাগ জাগিয়ে তোলে- বাইবেল- হিতোপদেশ</t>
  </si>
  <si>
    <t>একটি নরম উত্তর ক্রোধ দূর করে, একটি কঠোর শব্দ রাগ জাগিয়ে তোলে</t>
  </si>
  <si>
    <t>ভদ্র জবাব রাগ প্রশমিত করে, কর্কশ জবাব রাগ বাড়ায়</t>
  </si>
  <si>
    <t>A soft answer turns away wrath, a harsh word stirs up anger.</t>
  </si>
  <si>
    <t>একটি বদরোগ ভাল করা যায়, একটি বদনাম ঘুচানো যায় না</t>
  </si>
  <si>
    <t>একটি বদরোগ ভালো করা যায়, একটি বদনাম ঘোঁচানো যায় না</t>
  </si>
  <si>
    <t>শরীরের রোগ সারে, কিন্তু দুর্নাম দূর করা যায় না</t>
  </si>
  <si>
    <t>A bad disease can be cured; a bad name cannot be cleared.</t>
  </si>
  <si>
    <t>একটি বনাঞ্চল গড়তে দশবছর সময় লাগে, একটি মানুষ গড়তে একশবছর সময় লাগে</t>
  </si>
  <si>
    <t>একটি বনাঞ্চল গড়তে দশ বছর, একটি মানুষ গড়তে একশ বছর</t>
  </si>
  <si>
    <t>বন তৈরি করা সহজ, মানুষ তৈরি করা কঠিন</t>
  </si>
  <si>
    <t>It takes ten years to grow a forest, a hundred years to make a man.</t>
  </si>
  <si>
    <t>একটি ভাত টিপলে, হাঁড়িসুদ্ধ ভাতের খবর মেলে</t>
  </si>
  <si>
    <t>একটি ভাত টিপলেই হাঁড়িসুদ্ধ ভাতের খবর পাওয়া যায়</t>
  </si>
  <si>
    <t>একটি নমুনা দেখে পুরোটার অবস্থা জানা যায়</t>
  </si>
  <si>
    <t>Press one rice grain to know the whole pot.</t>
  </si>
  <si>
    <t>একটি ভাল বই একজন ভাল বন্ধু</t>
  </si>
  <si>
    <t>একটি ভালো বই একজন ভালো বন্ধু</t>
  </si>
  <si>
    <t>বই প্রকৃত বন্ধুর মতো</t>
  </si>
  <si>
    <t>A good book is a good friend.</t>
  </si>
  <si>
    <t>একটি মিথ্যা ঢাকতে দশটা মিথ্যা কথা বলতে হয়</t>
  </si>
  <si>
    <t>একটি মিথ্যা ঢাকতে দশটা মিথ্যা বলতে হয়</t>
  </si>
  <si>
    <t>মিথ্যা গোপন করতে আরও মিথ্যার প্রয়োজন হয়</t>
  </si>
  <si>
    <t>To cover one lie, you need to tell ten more.</t>
  </si>
  <si>
    <t>একটি মূলার জন্য একটা গর্ত (চীনা প্রবাদ)</t>
  </si>
  <si>
    <t>একটি মুলোর জন্য একটা গর্ত</t>
  </si>
  <si>
    <t>সবার জন্য পৃথক স্থান বা উপায়</t>
  </si>
  <si>
    <t>One radish, one hole—a place for everything.</t>
  </si>
  <si>
    <t>ব্যবস্থা</t>
  </si>
  <si>
    <t>একটি শিকল তার দুর্বলতম আংটার সমান শক্তিশালী</t>
  </si>
  <si>
    <t>একটি শিকল তার সবচেয়ে দুর্বল আংটার সমান শক্তিশালী</t>
  </si>
  <si>
    <t>দুর্বলতম অংশের ওপর পুরোটার ভিত্তি</t>
  </si>
  <si>
    <t>A chain is only as strong as its weakest link.</t>
  </si>
  <si>
    <t>একটি সুন্দর শুরু কাজের অর্ধেক সাফল্য আনে</t>
  </si>
  <si>
    <t>ভালো আরম্ভ সাফল্যের চাবিকাঠি</t>
  </si>
  <si>
    <t>A beautiful beginning is half the success.</t>
  </si>
  <si>
    <t>একটি স্ফুলিঙ্গ থেকে দাবানল সৃষ্টি হতে পারে</t>
  </si>
  <si>
    <t>একটি স্ফুলিঙ্গ থেকে দাবানল হতে পারে</t>
  </si>
  <si>
    <t>ছোট কারণ বড় বিপদ ডেকে আনে</t>
  </si>
  <si>
    <t>A spark can start a great fire.</t>
  </si>
  <si>
    <t>একটু আগুন দ্রুত নিভে যায়</t>
  </si>
  <si>
    <t>একটু আগুন দ্রুত নিভে যায়</t>
  </si>
  <si>
    <t>ছোট সমস্যা তাড়াতাড়ি মেটানো যায়</t>
  </si>
  <si>
    <t>A little fire is quickly put out.</t>
  </si>
  <si>
    <t>একটু জানা/শেখা বিপজ্জনক ব্যাপার</t>
  </si>
  <si>
    <t>একটু জানা/শেখা বিপজ্জনক</t>
  </si>
  <si>
    <t>অর্ধজ্ঞান ভয়ঙ্কর</t>
  </si>
  <si>
    <t>একটু হাসি দশবছর আয়ু বাড়িয়ে দিতে পারে</t>
  </si>
  <si>
    <t>একটু হাসি দশ বছর আয়ু বাড়িয়ে দিতে পারে</t>
  </si>
  <si>
    <t>হাসি স্বাস্থ্যের জন্য ভালো</t>
  </si>
  <si>
    <t>A little laughter can add ten years to life.</t>
  </si>
  <si>
    <t>একটু হাসি লক্ষ দুশ্চিন্তা মুছে দিতে পারে।</t>
  </si>
  <si>
    <t>একটু হাসি লক্ষ দুশ্চিন্তা মুছে দিতে পারে</t>
  </si>
  <si>
    <t>হাসি উদ্বেগ দূর করে</t>
  </si>
  <si>
    <t>A little laugh can wipe away a thousand worries.</t>
  </si>
  <si>
    <t>একডানায় পাখি উড়ে না</t>
  </si>
  <si>
    <t>এক ডানায় পাখি উড়ে না</t>
  </si>
  <si>
    <t>একক চেষ্টায় সাফল্য আসে না</t>
  </si>
  <si>
    <t>A bird cannot fly with one wing.</t>
  </si>
  <si>
    <t>একডালে দুইপাখি, গা্য়েগায়ে মাখামাখি</t>
  </si>
  <si>
    <t>এক ডালে দুই পাখি, গায়ে গায়ে মাখামাখি</t>
  </si>
  <si>
    <t>অত্যন্ত ঘনিষ্ঠ বন্ধুত্ব বা প্রেম</t>
  </si>
  <si>
    <t>Two birds on one branch, close together—intimate friendship.</t>
  </si>
  <si>
    <t>ঘনিষ্ঠতা</t>
  </si>
  <si>
    <t>একঢিলে দুইপাখি মারা</t>
  </si>
  <si>
    <t>এক কাজে দুই উপকার</t>
  </si>
  <si>
    <t>এক তালুকে দুই ভালুক থাকে না</t>
  </si>
  <si>
    <t>একই ক্ষেত্রে দুই প্রভাবশালী একসঙ্গে থাকে না</t>
  </si>
  <si>
    <t>Two bears cannot live in one palm grove.</t>
  </si>
  <si>
    <t>একতায় উত্থান, বিভেদে পতন</t>
  </si>
  <si>
    <t>মিলনে উন্নতি, বিচ্ছেদে ধ্বংস</t>
  </si>
  <si>
    <t>United we stand, divided we fall.</t>
  </si>
  <si>
    <t>একদিকে ছুঁচ গলে না, অন্যদিকে হাতি গলে</t>
  </si>
  <si>
    <t>একদিকে সূঁচ গলে না, অন্যদিকে হাতি গলে</t>
  </si>
  <si>
    <t>এক জায়গায় কৃপণ, অন্য জায়গায় অপব্যয়</t>
  </si>
  <si>
    <t>One side won't let a needle pass, the other lets an elephant through.</t>
  </si>
  <si>
    <t>একদিন শয়তান তো চিরদিন শয়তান</t>
  </si>
  <si>
    <t>একদিন শয়তান তো চিরদিন শয়তান</t>
  </si>
  <si>
    <t>স্বভাব একবার শয়তান হলে আজীবন তাই থাকে</t>
  </si>
  <si>
    <t>Once a devil, always a devil.</t>
  </si>
  <si>
    <t>শয়তান/দুষ্ট</t>
  </si>
  <si>
    <t>একদুয়ার বন্ধ তো হাজারদুয়ার খোলা</t>
  </si>
  <si>
    <t>এক দুয়ার বন্ধ তো হাজার দুয়ার খোলা</t>
  </si>
  <si>
    <t>এক পথ বন্ধ হলে ঈশ্বর হাজার পথ খুলে দেন</t>
  </si>
  <si>
    <t>When one door shuts, a thousand open.</t>
  </si>
  <si>
    <t>এক দেখে শেখা আরেক ঠেকে শেখা</t>
  </si>
  <si>
    <t>এক দেখে শেখে, আরেক ঠেকে শেখে</t>
  </si>
  <si>
    <t>কেউ সহজে শেখে, কেউ কষ্টে শেখে</t>
  </si>
  <si>
    <t>Some learn by watching, others by suffering.</t>
  </si>
  <si>
    <t>এক দোষে সব গুণ ক্ষয় হয়</t>
  </si>
  <si>
    <t>এক দোষে সব গুণ ক্ষয় হয়</t>
  </si>
  <si>
    <t>একটি খারাপ কাজ সব ভালো কাজকে ম্লান করে</t>
  </si>
  <si>
    <t>One fault spoils all virtues.</t>
  </si>
  <si>
    <t>এক পন্থ দো কাজ</t>
  </si>
  <si>
    <t>এক পন্থ দুই কাজ</t>
  </si>
  <si>
    <t>এক উপায়ে দুই উদ্দেশ্য সিদ্ধি</t>
  </si>
  <si>
    <t>One method, two tasks.</t>
  </si>
  <si>
    <t>এক পাঁঠা তিনবার কাটা</t>
  </si>
  <si>
    <t>একই কাজ বারবার করা বা একই জিনিস থেকে বহুবার লাভ</t>
  </si>
  <si>
    <t>Cutting the same goat thrice—repeated exploitation.</t>
  </si>
  <si>
    <t>এক পা জলে এক পা স্থলে১</t>
  </si>
  <si>
    <t>এক পা জলে, এক পা স্থলে</t>
  </si>
  <si>
    <t>দ্বিধাগ্রস্ত অবস্থা; স্থির সিদ্ধান্তহীনতা</t>
  </si>
  <si>
    <t>One foot in water, one on land—undecided.</t>
  </si>
  <si>
    <t>সিদ্ধান্তহীনতা</t>
  </si>
  <si>
    <t>এক পা জলে এক পা স্থলে২</t>
  </si>
  <si>
    <t>এক পা জলে, এক পা স্থলে (দ্বিতীয় অর্থ)</t>
  </si>
  <si>
    <t>দুরকম অবস্থা বজায় রাখা</t>
  </si>
  <si>
    <t>One foot in water, one on land—keeping options open.</t>
  </si>
  <si>
    <t>এক পাগলে রক্ষা নেই সাত-পাগলের মেলা</t>
  </si>
  <si>
    <t>এক পাগলে রক্ষা নেই, সাত পাগলের মেলা</t>
  </si>
  <si>
    <t>একজন বোকাতেই বিপদ, অনেক বোকায় মহাসংকট</t>
  </si>
  <si>
    <t>No peace with one madman, a fair of seven is chaos.</t>
  </si>
  <si>
    <t>পাগল/বোকা</t>
  </si>
  <si>
    <t>এক পায়ে খাড়া</t>
  </si>
  <si>
    <t>এক পায়ে খাড়া</t>
  </si>
  <si>
    <t>উদগ্রীব হয়ে অপেক্ষা; অবিচল থাকা</t>
  </si>
  <si>
    <t>Standing on one leg—eager or steadfast.</t>
  </si>
  <si>
    <t>এক পালকের পাখি এক যায়গায় ভিড় করে</t>
  </si>
  <si>
    <t>এক পালকের পাখি এক জায়গায় ভিড় করে</t>
  </si>
  <si>
    <t>সমপ্রকৃতির লোক একসঙ্গে হয়</t>
  </si>
  <si>
    <t>Birds of a feather flock together.</t>
  </si>
  <si>
    <t>এক পুতের আশ/আশা, নদীর তীরে বাস/বাসা</t>
  </si>
  <si>
    <t>এক পুতের আশা, নদীর তীরে বাস</t>
  </si>
  <si>
    <t>একমাত্র সন্তানের ভরসা ও নদীতীরে বাস—দুই-ই বিপজ্জনক</t>
  </si>
  <si>
    <t>Hoping in an only son, living on a riverbank—both risky.</t>
  </si>
  <si>
    <t>একমাত্র পুত্র</t>
  </si>
  <si>
    <t>অনির্ভরতা</t>
  </si>
  <si>
    <t>এক পুরুষে রোপে তাল, পর পুরুষে করে পাল; তার পর যে সে খাবে, তিন পুরুষে ফল পাবে- খনা</t>
  </si>
  <si>
    <t>এক পুরুষে তাল গাছ রোপণ করে, পর পুরুষে পালন করে; তার পরের পুরুষে খাবে, তিন পুরুষে ফল পাবে</t>
  </si>
  <si>
    <t>তিন পুরুষে তালের ফল ভোগ করা যায়</t>
  </si>
  <si>
    <t>One generation plants a palm, the next tends it, the third eats its fruit.</t>
  </si>
  <si>
    <t>কৃষি/পরিকল্পনা</t>
  </si>
  <si>
    <t>এক ফুলে মালা হয় না</t>
  </si>
  <si>
    <t>এক ফুলে মালা হয় না</t>
  </si>
  <si>
    <t>একক উপাদানে বড় কিছু হয় না</t>
  </si>
  <si>
    <t>One flower does not make a garland.</t>
  </si>
  <si>
    <t>একফোঁটা শিশিরেও বন্যা হতে পারে, যদি গর্তটা পিঁপড়ের হয় (ফারসী প্রবাদ)</t>
  </si>
  <si>
    <t>এক ফোঁটা শিশিরেও বন্যা হতে পারে, যদি গর্তটা পিঁপড়ের হয়</t>
  </si>
  <si>
    <t>ছোট জিনিসও বড় ক্ষতি করতে পারে, যদি গ্রহণকারী দুর্বল হয়</t>
  </si>
  <si>
    <t>A drop of dew can be a flood if the hole is an ant's.</t>
  </si>
  <si>
    <t>প্রেক্ষিত</t>
  </si>
  <si>
    <t>একবনে দুই বাঘ থাকে না</t>
  </si>
  <si>
    <t>এক বনে দুই বাঘ থাকে না</t>
  </si>
  <si>
    <t>দুই সমান শক্তিশালী একসঙ্গে থাকতে পারে না</t>
  </si>
  <si>
    <t>Two tigers cannot stay in the same forest.</t>
  </si>
  <si>
    <t>একবরের মাগ চিংড়ীমাছে খোসা দোজবরের মাগ নিত্য করে গোঁসা</t>
  </si>
  <si>
    <t>একবরের স্ত্রী চিংড়িমাছে খোসা, দ্বিতীয়বরের স্ত্রী নিত্য রাগ করে</t>
  </si>
  <si>
    <t>প্রথম স্বামীর স্ত্রী চিংড়ির খোসা পেলেও খুশি, দ্বিতীয় স্বামীর স্ত্রী নিত্য অভিমানী</t>
  </si>
  <si>
    <t>The first husband's wife relishes even shrimp shells; the second's wife is always sulking.</t>
  </si>
  <si>
    <t>স্ত্রী (নারী)</t>
  </si>
  <si>
    <t>একবাক্সে সব ডিম রাখা ঠিক নয়</t>
  </si>
  <si>
    <t>এক বাক্সে সব ডিম রাখা ঠিক নয়</t>
  </si>
  <si>
    <t>সবকিছু একজায়গায় রাখা ঝুঁকিপূর্ণ</t>
  </si>
  <si>
    <t>Don't put all your eggs in one basket.</t>
  </si>
  <si>
    <t>একবার করার আগে দু'বার ভাবো</t>
  </si>
  <si>
    <t>ভাবনা-চিন্তা করে কাজ করা উচিত</t>
  </si>
  <si>
    <t>Think twice before you act.</t>
  </si>
  <si>
    <t>একবার দংশন দুইবার কুণ্ঠা</t>
  </si>
  <si>
    <t>একবার দংশন, দুইবার কুণ্ঠা</t>
  </si>
  <si>
    <t>একবার ঠকলে দ্বিতীয়বার সতর্ক হওয়া যায়</t>
  </si>
  <si>
    <t>Once bitten, twice shy.</t>
  </si>
  <si>
    <t>একবার না পারিলে দেখ শতবার</t>
  </si>
  <si>
    <t>একবার ব্যর্থ হলে বারবার চেষ্টা করবে</t>
  </si>
  <si>
    <t>If you fail once, try a hundred times.</t>
  </si>
  <si>
    <t>একবার রোগী একবার রোজা১</t>
  </si>
  <si>
    <t>একবার রোগী, একবার রোজা</t>
  </si>
  <si>
    <t>জীবনে একবারই অসুখ ভোগ করবে, একবার রোজা রাখবে—অভিজ্ঞতা</t>
  </si>
  <si>
    <t>Once a patient, once fasting—experience gained.</t>
  </si>
  <si>
    <t>একবার রোগী একবার রোজা২</t>
  </si>
  <si>
    <t>একবার রোগী, একবার রোজা (দ্বিতীয়)</t>
  </si>
  <si>
    <t>কষ্ট না পেলে বোঝা যায় না</t>
  </si>
  <si>
    <t>Once sick, once fasting—understanding hardship.</t>
  </si>
  <si>
    <t>একবৃক্ষে যদা রাত্রৌ নানা পক্ষীসমাগম। প্রাবতে তু দিশো যান্তি কা কস্য পরিবেদনা।। (চাণক্য)</t>
  </si>
  <si>
    <t>এক গাছে রাতে নানা পাখি আসে; ভোরে তারা দিকে দিকে চলে যায়; তখন কে কার জন্য চিন্তা করে?</t>
  </si>
  <si>
    <t>সাময়িক সঙ্গ; প্রকৃত বন্ধুত্ব নেই</t>
  </si>
  <si>
    <t>At night many birds gather on one tree; at dawn they fly away—who cares for whom?</t>
  </si>
  <si>
    <t>বন্ধুত্ব/ক্ষণস্থায়ী</t>
  </si>
  <si>
    <t>এক ব্যঞ্জন ভাত তাও আবার নুনে পোড়া/বিষ১</t>
  </si>
  <si>
    <t>এক ব্যঞ্জন ভাত, তাও নুনে পোড়া/বিষ</t>
  </si>
  <si>
    <t>অভাবের সময় একমাত্র খাবার ভাতও নষ্ট; অবস্থা আরও শোচনীয়</t>
  </si>
  <si>
    <t>One dish of rice, and that too burnt with salt/poison.</t>
  </si>
  <si>
    <t>দুর্ভাগা/অভাবগ্রস্ত</t>
  </si>
  <si>
    <t>এক ব্যঞ্জন ভাত, তাও আবার নুনে পোড়া/বিষ২</t>
  </si>
  <si>
    <t>এক ব্যঞ্জন ভাত, তাও নুনে পোড়া/বিষ (দ্বিতীয়)</t>
  </si>
  <si>
    <t>একমাত্র সম্বলও নষ্ট; চরম হতাশা</t>
  </si>
  <si>
    <t>Only one dish, and that spoiled—utter misery.</t>
  </si>
  <si>
    <t>হতভাগ্য</t>
  </si>
  <si>
    <t>একব্রাশে রং করা</t>
  </si>
  <si>
    <t>এক ব্রাশে রং করা</t>
  </si>
  <si>
    <t>সবাইকে একই দৃষ্টিতে দেখা; একাকার করে ফেলা</t>
  </si>
  <si>
    <t>Painted with one brush—all treated alike.</t>
  </si>
  <si>
    <t>একত্ব</t>
  </si>
  <si>
    <t>এক ভস্ম আরেক ছার (ক্ষার=ছাই), দোষগুণ কব কার</t>
  </si>
  <si>
    <t>এক ভস্ম আরেক ছাই, দোষ-গুণ কার বলব</t>
  </si>
  <si>
    <t>সবাই সমান অপদার্থ; দোষারোপ বৃথা</t>
  </si>
  <si>
    <t>One ash, another cinder—who to blame for virtues and vices.</t>
  </si>
  <si>
    <t>তুলনাহীনতা</t>
  </si>
  <si>
    <t>এক মন হলে সমুদ্র শুকায়১</t>
  </si>
  <si>
    <t>এক মন (একমত) হলে সমুদ্র শুকায়</t>
  </si>
  <si>
    <t>একতা থাকলে অসাধ্যও সাধন করা যায়</t>
  </si>
  <si>
    <t>If minds unite, they can dry up the sea.</t>
  </si>
  <si>
    <t>এক মাঘে শীত যায় না১</t>
  </si>
  <si>
    <t>বড় কাজ একবারে শেষ হয় না; ধৈর্য লাগে</t>
  </si>
  <si>
    <t>Winter doesn't end in one Magh (month).</t>
  </si>
  <si>
    <t>এক মাঘে শীত যায় না২</t>
  </si>
  <si>
    <t>এক মাঘে শীত যায় না (দ্বিতীয়)</t>
  </si>
  <si>
    <t>এক চেষ্টায় বড় সমস্যা দূর হয় না</t>
  </si>
  <si>
    <t>One Magh can't drive away winter.</t>
  </si>
  <si>
    <t>এক মাণিক (বড় রত্ন) সাত রাজার ধন</t>
  </si>
  <si>
    <t>এক মাণিক সাত রাজার ধন</t>
  </si>
  <si>
    <t>একটি মূল্যবান জিনিস বহু সম্পদের সমান</t>
  </si>
  <si>
    <t>One gem is equal to the treasure of seven kings.</t>
  </si>
  <si>
    <t>একমাত্র বিজ্ঞতম এবং মহামূর্খরাই পরিবর্তিত হয় না- কনফুসিয়াস</t>
  </si>
  <si>
    <t>একমাত্র বিজ্ঞতম ও মহামূর্খরাই পরিবর্তিত হয় না</t>
  </si>
  <si>
    <t>জ্ঞানী ও চরম বোকা কখনো বদলায় না</t>
  </si>
  <si>
    <t>Only the wisest and the greatest fools never change.</t>
  </si>
  <si>
    <t>একমাত্র মৃত্যুই সকলকে সমান করে</t>
  </si>
  <si>
    <t>মৃত্যুতে সব বৈষম্য শেষ</t>
  </si>
  <si>
    <t>Death alone makes all equal.</t>
  </si>
  <si>
    <t>এক মিথ্যা হাজার মিথ্যার জন্ম দেয়</t>
  </si>
  <si>
    <t>মিথ্যা চাপতে আরও মিথ্যার প্রয়োজন</t>
  </si>
  <si>
    <t>One lie gives birth to a thousand.</t>
  </si>
  <si>
    <t>এক মুখ সোনা দিয়ে ভরা যায়, তিন মুখ ছাই দিয়েও ভরে না</t>
  </si>
  <si>
    <t>একটি ভালো কথা সব জয় করে, অনেক বাজে কথা ব্যর্থ</t>
  </si>
  <si>
    <t>One mouth can be filled with gold; three mouths can't be filled even with ash.</t>
  </si>
  <si>
    <t>এক মুখে দুই/তিন কথা শুনে মনে/প্রাণে লাগে ব্যথা</t>
  </si>
  <si>
    <t>এক মুখে দুই/তিন কথা শুনে মনে লাগে ব্যথা</t>
  </si>
  <si>
    <t>পরস্পরবিরোধী কথা শুনলে কষ্ট হয়</t>
  </si>
  <si>
    <t>Hearing two/three words from one mouth hurts the heart.</t>
  </si>
  <si>
    <t>এক মুরগি কয়জায়গায়/বার জবাই</t>
  </si>
  <si>
    <t>এক মুরগি কয় জায়গায় জবাই</t>
  </si>
  <si>
    <t>একই জিনিস বারবার ব্যবহার করে বারবার লাভ</t>
  </si>
  <si>
    <t>One chicken, slaughtered at many places—repeated exploitation.</t>
  </si>
  <si>
    <t>একমেবাদ্বিতীয়ম</t>
  </si>
  <si>
    <t>একমেব অদ্বিতীয়ম (সংস্কৃত)</t>
  </si>
  <si>
    <t>এক এবং অদ্বিতীয়; ঈশ্বর এক, অদ্বিতীয়</t>
  </si>
  <si>
    <t>One and only, without a second.</t>
  </si>
  <si>
    <t>একযাত্রায় পৃথক ফল</t>
  </si>
  <si>
    <t>এক যাত্রায় পৃথক ফল</t>
  </si>
  <si>
    <t>একই কাজে ভিন্ন ফল; সমান চেষ্টায় সবাই সমান লাভ পায় না</t>
  </si>
  <si>
    <t>One journey, different outcomes.</t>
  </si>
  <si>
    <t>একরত্তি দড়ি সকল ঘর বেড়ি১</t>
  </si>
  <si>
    <t>একরত্তি দড়ি সকল ঘর বেড়ি</t>
  </si>
  <si>
    <t>সামান্য বাঁধনেও সবকিছু আবদ্ধ হতে পারে</t>
  </si>
  <si>
    <t>A tiny rope can bind the whole house.</t>
  </si>
  <si>
    <t>সামান্য-বৃহৎ</t>
  </si>
  <si>
    <t>একরত্তি দড়ি সকল ঘর বেড়ি২</t>
  </si>
  <si>
    <t>একরত্তি দড়ি সকল ঘর বেড়ি (দ্বিতীয়)</t>
  </si>
  <si>
    <t>সামান্য উপাদানে বিরাট কাজ</t>
  </si>
  <si>
    <t>A tiny rope binds the whole house.</t>
  </si>
  <si>
    <t>একরত্তি সোনা স্যাঁকরা হাজার জনা</t>
  </si>
  <si>
    <t>একরত্তি সোনার জন্য হাজার স্যাঁকরা</t>
  </si>
  <si>
    <t>সামান্য লাভের জন্য অনেক প্রতিযোগী</t>
  </si>
  <si>
    <t>A tiny piece of gold attracts a thousand goldsmiths.</t>
  </si>
  <si>
    <t>প্রতিযোগিতা</t>
  </si>
  <si>
    <t>এক লাউয়ের বিচি</t>
  </si>
  <si>
    <t>সবাই একই উৎস থেকে আসা; একই পরিবারের লোক</t>
  </si>
  <si>
    <t>Seeds of one gourd—all from the same source.</t>
  </si>
  <si>
    <t>এক লাউয়ের বিচি কেউ করছে কচরকচর, কেউবা আছে কচি</t>
  </si>
  <si>
    <t>এক লাউয়ের বিচি, কেউ করছে কচরকচর, কেউবা আছে কচি</t>
  </si>
  <si>
    <t>একই পরিবারে কেউ কঠোর, কেউ কোমল</t>
  </si>
  <si>
    <t>Some seeds of one gourd are crunchy, some tender—variety within same family.</t>
  </si>
  <si>
    <t>একলা ঘরের গিন্নী চাবীকাটি ঝুলিয়ে নাইতে যাব</t>
  </si>
  <si>
    <t>একলা ঘরের গিন্নী চাবি-কাটি ঝুলিয়ে স্নানে যাব</t>
  </si>
  <si>
    <t>সংসারে একা নারী, কোন চিন্তা নেই; অথবা ঘরের প্রতি উদাসীন</t>
  </si>
  <si>
    <t>The lone housewife hangs the keys and goes to bathe—carefree.</t>
  </si>
  <si>
    <t>নারী (গিন্নী)</t>
  </si>
  <si>
    <t>একলা চলা চলা নয়</t>
  </si>
  <si>
    <t>একা চলা সমর্থ নয়; সঙ্গ চাই</t>
  </si>
  <si>
    <t>Walking alone is no walk.</t>
  </si>
  <si>
    <t>একলাঠিতে সাত সাপ মারি</t>
  </si>
  <si>
    <t>এক লাঠিতে সাত সাপ মারি</t>
  </si>
  <si>
    <t>এক কৌশলে একাধিক শত্রু নিধন</t>
  </si>
  <si>
    <t>Kill seven snakes with one stick.</t>
  </si>
  <si>
    <t>একলাফেই তালগাছে ওঠা যায় না</t>
  </si>
  <si>
    <t>একবারে বড় কাজ হয় না</t>
  </si>
  <si>
    <t>You can't climb a palm tree in one leap.</t>
  </si>
  <si>
    <t>একলা মানুষ, মানুষ নয়</t>
  </si>
  <si>
    <t>একা থাকা ভালো নয়; মানুষ সামাজিক জীব</t>
  </si>
  <si>
    <t>A solitary human is not a human.</t>
  </si>
  <si>
    <t>এক সুপুত্রে বংশ ধন্য</t>
  </si>
  <si>
    <t>একটি ভালো সন্তানেই বংশের গৌরব</t>
  </si>
  <si>
    <t>One good son glorifies the lineage.</t>
  </si>
  <si>
    <t>এক হেঁসেলে দুই রাঁধুনি, পুড়ে গেল তার ফেনগালুনি</t>
  </si>
  <si>
    <t>এক রান্নাঘরে দুই রাঁধুনি, পুড়ে গেল ফেনগালুনি</t>
  </si>
  <si>
    <t>এক কাজে অনেক লোক জুটলে বিপত্তি ঘটে</t>
  </si>
  <si>
    <t>Two cooks in one kitchen burnt the stew—too many cooks spoil the broth.</t>
  </si>
  <si>
    <t>অসংবদ্ধ দল</t>
  </si>
  <si>
    <t>এক হাজার পদক্ষেপ নিয়ে এক মাইলের যাত্রা শুরু- চীনা প্রবাদ</t>
  </si>
  <si>
    <t>এক হাজার পদক্ষেপে এক মাইলের যাত্রা</t>
  </si>
  <si>
    <t>ছোট ছোট পদক্ষেপেই বড় লক্ষ্য অর্জন</t>
  </si>
  <si>
    <t>A journey of a thousand steps begins a mile.</t>
  </si>
  <si>
    <t>এক হাটে কিনে অন্যহাটে বেচা</t>
  </si>
  <si>
    <t>এক হাটে কিনে অন্য হাটে বেচা</t>
  </si>
  <si>
    <t>এক জায়গা থেকে কিনে অন্যত্র লাভে বিক্রি; ব্যবসায়িক বুদ্ধি</t>
  </si>
  <si>
    <t>Buy in one market, sell in another.</t>
  </si>
  <si>
    <t>বাণিজ্য</t>
  </si>
  <si>
    <t>এক হাত নড়ে না দুই হাত নড়ে</t>
  </si>
  <si>
    <t>এক হাত নড়ে না, দুই হাত নড়ে</t>
  </si>
  <si>
    <t>একা কাজ হয় না, সহযোগিতা চাই</t>
  </si>
  <si>
    <t>One hand can't clap; two hands clap.</t>
  </si>
  <si>
    <t>এক হাত গলায় এক হাত পায়</t>
  </si>
  <si>
    <t>এক হাত গলায়, এক হাত পায়</t>
  </si>
  <si>
    <t>উভয় সংকট; কোনো দিকই ভালো নয়</t>
  </si>
  <si>
    <t>One hand at throat, one at foot—helpless.</t>
  </si>
  <si>
    <t>এক হাত পায় এক হাত মাথায়</t>
  </si>
  <si>
    <t>এক হাত পায়, এক হাত মাথায়</t>
  </si>
  <si>
    <t>সর্বাঙ্গে আঘাত; সম্পূর্ণভাবে জর্জরিত</t>
  </si>
  <si>
    <t>One hand on the leg, one on the head—completely overwhelmed.</t>
  </si>
  <si>
    <t>একাই একশ</t>
  </si>
  <si>
    <t>একাই বহুর সমান; অত্যন্ত শক্তিশালী</t>
  </si>
  <si>
    <t>One equals a hundred—mighty alone.</t>
  </si>
  <si>
    <t>একা কাঁদি, একা হাসি; গরম রেঁধে খাই বাসি</t>
  </si>
  <si>
    <t>একাকীত্বের দুঃখ; নিজের জন্য রান্না করে বাসি খেতে হয়</t>
  </si>
  <si>
    <t>I weep alone, laugh alone; cook fresh but eat stale.</t>
  </si>
  <si>
    <t>একাকীত্ব</t>
  </si>
  <si>
    <t>একাকী ব্যক্তি সর্বত্র বাড়িতে থাকে</t>
  </si>
  <si>
    <t>একাকী মানুষ যে কোনো জায়গায় থাকতে পারে</t>
  </si>
  <si>
    <t>A solitary person is at home everywhere.</t>
  </si>
  <si>
    <t>একাকীত্ব ও বদসঙ্গের মধ্যে একাকীত্ব পছন্দ</t>
  </si>
  <si>
    <t>বদ সঙ্গের চেয়ে একা থাকা ভালো</t>
  </si>
  <si>
    <t>Better solitude than bad company.</t>
  </si>
  <si>
    <t>একাকীত্ব চিন্তার বাসা</t>
  </si>
  <si>
    <t>একা থাকলে মন চিন্তায় ডুবে যায়</t>
  </si>
  <si>
    <t>Solitude is the home of thought.</t>
  </si>
  <si>
    <t>মনন</t>
  </si>
  <si>
    <t>একাকীত্বের চেয়ে ঝগড়া ভালো-</t>
  </si>
  <si>
    <t>একাকীত্বের চেয়ে ঝগড়া ভালো</t>
  </si>
  <si>
    <t>একা থেকে বিবাদও ভালো; কারণ তাতে সঙ্গ আছে</t>
  </si>
  <si>
    <t>Better a quarrel than solitude.</t>
  </si>
  <si>
    <t>একাকীত্ব দুঃখের প্রথম উৎস</t>
  </si>
  <si>
    <t>একা থাকাই দুঃখের বড় কারণ</t>
  </si>
  <si>
    <t>Loneliness is the first source of sorrow.</t>
  </si>
  <si>
    <t>একাগ্রচিত্তে কাজ করলে পাহাড় টলানো/ডিঙানো যায়</t>
  </si>
  <si>
    <t>একাগ্রচিত্তে কাজ করলে পাহাড় টলানো যায়</t>
  </si>
  <si>
    <t>একাগ্রতায় অসম্ভবও সম্ভব</t>
  </si>
  <si>
    <t>With focused mind, even mountains can be moved.</t>
  </si>
  <si>
    <t>একা ঘরের বউ, খেতে বড় সুখ, মারতে এলে ধরতে নাই, তাতে বড় দুখ</t>
  </si>
  <si>
    <t>একা স্ত্রীকে আদরও আছে, মারধরেও রক্ষা নেই—একাকী অবস্থার সুবিধা ও অসুবিধা</t>
  </si>
  <si>
    <t>A lone wife enjoys much, but if beaten she has no support—joy and sorrow.</t>
  </si>
  <si>
    <t>একা স্ত্রী/নারী</t>
  </si>
  <si>
    <t>একাদশে বৃহস্পতি</t>
  </si>
  <si>
    <t>একাদশে (একাদশ স্থানে) বৃহস্পতি</t>
  </si>
  <si>
    <t>সৌভাগ্যের চরম সীমা; জ্যোতিষে অত্যন্ত শুভ যোগ</t>
  </si>
  <si>
    <t>Jupiter in the eleventh house—a very lucky omen.</t>
  </si>
  <si>
    <t>একান্নও পাপ, বাহান্নও পাপ</t>
  </si>
  <si>
    <t>সবই পাপ; কোনো পার্থক্য নেই</t>
  </si>
  <si>
    <t>Fifty-one is sin, fifty-two is sin—all are equally sinful.</t>
  </si>
  <si>
    <t>একা রামে রক্ষা নেই সুগ্রীব/লক্ষণ তার দোসর</t>
  </si>
  <si>
    <t>একা রামে রক্ষা নেই, সুগ্রীব/লক্ষণ তার দোসর</t>
  </si>
  <si>
    <t>একা কোনো কাজ হয় না; সহায়ক দরকার</t>
  </si>
  <si>
    <t>One Ram cannot save; Sugriva/Lakshman are his helpers.</t>
  </si>
  <si>
    <t>এ কি ছেলের হাতে পিঠে/মোয়া?</t>
  </si>
  <si>
    <t>দুষ্ট ছেলের হাতে ভালো জিনিস থাকলে তা নষ্ট হবে—এই ভাবনা</t>
  </si>
  <si>
    <t>Oh, is it a rice cake in a child's hand?—it'll be spoiled.</t>
  </si>
  <si>
    <t>ছেলে (বালক)</t>
  </si>
  <si>
    <t>একি বিধির খেলা কাকের/বকের/বিড়ালের গলায় তুলসীমালা</t>
  </si>
  <si>
    <t>এ কী বিধির খেলা! কাকের/বকের/বিড়ালের গলায় তুলসীমালা</t>
  </si>
  <si>
    <t>অযোগ্যের হাতে মূল্যবান জিনিস; ভাগ্যের পরিহাস</t>
  </si>
  <si>
    <t>What a play of fate! A crow/ stork/ cat wearing a Tulsi garland.</t>
  </si>
  <si>
    <t>ভাগ্য/পরিহাস</t>
  </si>
  <si>
    <t>এ কি মোর জ্বালা মেয়ে চামকাঠ ডালা, কানে দুটো ঘুরুঘুরে গলায় মোতির মালা</t>
  </si>
  <si>
    <t>এ কী মোর জ্বালা, মেয়ে চামকাঠ ডালা, কানে ঘুরঘুরে, গলায় মুক্তার মালা</t>
  </si>
  <si>
    <t>কুৎসিত কন্যার বাহারি সাজ; হাস্যকর</t>
  </si>
  <si>
    <t>What agony! Daughter is ugly, yet she wears dangling earrings and pearl necklace.</t>
  </si>
  <si>
    <t>মেয়ে/নারী (কুৎসিত)</t>
  </si>
  <si>
    <t>লিঙ্গ/সাজ</t>
  </si>
  <si>
    <t>একুল ওকুল দুকল গেল অকূল পারে গোকুল</t>
  </si>
  <si>
    <t>একূল ওকূল দু'কূল গেল, অকূলে গোকুল</t>
  </si>
  <si>
    <t>সর্বনাশ; একূল ওকূল দু'দিক হারিয়ে অজানা স্থানে</t>
  </si>
  <si>
    <t>Both banks lost, only the opposite shore—utterly ruined.</t>
  </si>
  <si>
    <t>একুশকোড়া গুণে খান, ফুলের ঘায়ে মূর্ছা যান১</t>
  </si>
  <si>
    <t>একুশ কোড়া গুণে খান, ফুলের ঘায়ে মূর্ছা যান</t>
  </si>
  <si>
    <t>একদিকে বড় গুণ, অন্যদিকে অল্পে কাতর</t>
  </si>
  <si>
    <t>Possessing countless virtues, yet faints at a flower's touch.</t>
  </si>
  <si>
    <t>একুশকোড়া গুণে খান ফুলের ঘায়ে মূর্ছা যান২</t>
  </si>
  <si>
    <t>একুশকোড়া গুণে খান, ফুলের ঘায়ে মূর্ছা যান (দ্বিতীয়)</t>
  </si>
  <si>
    <t>মহত্ব সত্ত্বেও সামান্য আঘাতে কাতর</t>
  </si>
  <si>
    <t>Many qualities, yet faints at a flower—paradox.</t>
  </si>
  <si>
    <t>একে গুণগুণ দুইয়ে পাঠ; তিনে গোলমাল চারে হাট</t>
  </si>
  <si>
    <t>একে গুণগুণ, দুইয়ে পাঠ; তিনে গোলমাল, চারে হাট</t>
  </si>
  <si>
    <t>একা পড়া ভালো, দুজনে আলোচনা, তিনে বিশৃঙ্খলা, চারে হাট বসে</t>
  </si>
  <si>
    <t>One murmurs, two read; three create noise, four make a market.</t>
  </si>
  <si>
    <t>গণজমায়েত</t>
  </si>
  <si>
    <t>একে চায় আরে পায়</t>
  </si>
  <si>
    <t>আকাঙ্ক্ষার বিপরীতে পাওয়া; কেউ চায় কিছু, পায় অন্য কিছু</t>
  </si>
  <si>
    <t>One desires something, gets another—fate's irony.</t>
  </si>
  <si>
    <t>একে ছেঁড়াকাঁথা তায় শততালি</t>
  </si>
  <si>
    <t>একে ছেঁড়া কাঁথা, তায় শত তালি</t>
  </si>
  <si>
    <t>ইতিমধ্যেই খারাপ অবস্থা, তার ওপর আরও জোড়াতালি</t>
  </si>
  <si>
    <t>Already a torn quilt, and a hundred patches on it.</t>
  </si>
  <si>
    <t>একে তো উমা তায় তুষার ধুমা</t>
  </si>
  <si>
    <t>একে তো উমা, তায় তুষার ধুমা</t>
  </si>
  <si>
    <t>এক দিকে দুঃখ, অন্যদিকে আরেক কষ্ট; কষ্টের ওপর কষ্ট</t>
  </si>
  <si>
    <t>Already Uma, on top of that frost and fog—troubles multiply.</t>
  </si>
  <si>
    <t>একে তো ছাই- তার উপর বাতাস</t>
  </si>
  <si>
    <t>একে তো ছাই, তার উপর বাতাস</t>
  </si>
  <si>
    <t>দুর্বল অবস্থায় আরও আঘাত</t>
  </si>
  <si>
    <t>Already ashes, and now wind—blown away.</t>
  </si>
  <si>
    <t>একে তো মধুপর্কের বাটি তায় আবার কাত</t>
  </si>
  <si>
    <t>একে তো মধুপর্কের বাটি, তায় আবার কাত</t>
  </si>
  <si>
    <t>ইতিমধ্যে ভালো জিনিস, তার ওপর বাঁকা—ত্রুটিপূর্ণ</t>
  </si>
  <si>
    <t>Already a bowl of sweet offering, and it's tilted—good but flawed.</t>
  </si>
  <si>
    <t>একে তো হনুমান তায় আবার রামের বাণ</t>
  </si>
  <si>
    <t>একে তো হনুমান, তায় আবার রামের বাণ</t>
  </si>
  <si>
    <t>ইতিমধ্যেই শক্তিশালী, তাতে অস্ত্র—আরও ভয়ঙ্কর</t>
  </si>
  <si>
    <t>Already Hanuman, and now Ram's arrow—doubly powerful.</t>
  </si>
  <si>
    <t>একেন পাপ শতেন কিংবা</t>
  </si>
  <si>
    <t>এক পাপে কি, শত পাপে কি</t>
  </si>
  <si>
    <t>পাপের সংখ্যায় কিছু যায় আসে না; একবার করলেই পাপী</t>
  </si>
  <si>
    <t>What's the difference between one sin and a hundred?</t>
  </si>
  <si>
    <t>একে নাচনি বুড়ি তাতে পড়েছে ঢোলের বাড়ি</t>
  </si>
  <si>
    <t>একেই নাচনি বুড়ি, তাতে পড়েছে ঢোলের বাড়ি</t>
  </si>
  <si>
    <t>ইতিমধ্যে নষ্ট অবস্থা, তার ওপর অত্যাচার</t>
  </si>
  <si>
    <t>Already an old dancing woman, and now a drumbeat—forced to dance.</t>
  </si>
  <si>
    <t>বুড়ি/নারী (দুর্বল)</t>
  </si>
  <si>
    <t>লিঙ্গ/অবস্থা</t>
  </si>
  <si>
    <t>একেনাপি কুবৃক্ষেণ কোটরস্থেন বহ্নিনা। দহ্যতে তদ্বনং সর্বং কুপুত্রেণ কুলং যথা।। (চাণক্য)</t>
  </si>
  <si>
    <t>একটি কুবৃক্ষ কোটরে আগুন নিয়ে সমগ্র বন দহন করে; যেমন কুপুত্র কুল ধ্বংস করে</t>
  </si>
  <si>
    <t>একটি দুষ্ট সন্তান পুরো বংশ ধ্বংস করে, যেমন একটি পচা গাছ আগুন ছড়িয়ে বন পোড়ায়</t>
  </si>
  <si>
    <t>Just as one rotten tree with fire in its hollow burns the forest, a wicked son destroys the family.</t>
  </si>
  <si>
    <t>কুপুত্র</t>
  </si>
  <si>
    <t>একেনাপি সুবৃক্ষেণ পুষ্পিতেন সুগন্ধিনা। বাসিতং স্যাদ্ বনং সর্বং সুপুত্রেণ কুলং যথা।। (চাণক্য)</t>
  </si>
  <si>
    <t>একটি সুবৃক্ষ ফুলের সুবাসে সমগ্র বন সুবাসিত করে; যেমন সুপুত্র কুল উজ্জ্বল করে</t>
  </si>
  <si>
    <t>একজন ভালো সন্তান পুরো বংশের মান বাড়ায়, যেমন ফুলের গন্ধে বন ভরে যায়</t>
  </si>
  <si>
    <t>One fragrant flowering tree perfumes the whole forest; a good son glorifies the family.</t>
  </si>
  <si>
    <t>সুপুত্র</t>
  </si>
  <si>
    <t>এ কেবল দিনেরাত্রে জল ঢেলে ফুটাপাত্রে বৃথা চেষ্টা তৃষ্ণা মিটাবারে- রবীন্দ্রনাথ১</t>
  </si>
  <si>
    <t>এ কেবল দিন-রাত জল ঢেলে ফুটো পাত্রে, বৃথা চেষ্টা তৃষ্ণা মেটাতে</t>
  </si>
  <si>
    <t>নিরর্থক প্রচেষ্টা; ফুটো কলসি যেমন জল ধরে না</t>
  </si>
  <si>
    <t>Day and night pouring water into a leaky pot—vain effort to quench thirst.</t>
  </si>
  <si>
    <t>এ কেবল দিনেরাত্রে জল ঢেলে ফুটাপাত্রে. বৃথাচেষ্টা তৃষ্ণা মিটাবারে- রবীন্দ্রনাথ২</t>
  </si>
  <si>
    <t>এ কেবল দিন-রাত জল ঢেলে ফুটো পাত্রে, বৃথা চেষ্টা তৃষ্ণা মেটাতে (দ্বিতীয়)</t>
  </si>
  <si>
    <t>নিরর্থক প্রচেষ্টা</t>
  </si>
  <si>
    <t>Vain effort of pouring water into a leaky pot.</t>
  </si>
  <si>
    <t>একেবারে না হওয়ার চেয়ে দেরিতে হওয়া ভালো১</t>
  </si>
  <si>
    <t>একেবারে না হওয়ার চেয়ে দেরিতে হওয়া ভালো</t>
  </si>
  <si>
    <t>দেরি হলেও কিছু পাওয়া ভালো, না হওয়ার চেয়ে</t>
  </si>
  <si>
    <t>একেবারে না হওয়ার চেয়ে দেরিতে হওয়া ভাল২</t>
  </si>
  <si>
    <t>একেবারে না হওয়ার চেয়ে দেরিতে হওয়া ভালো (দ্বিতীয়)</t>
  </si>
  <si>
    <t>দেরিতে হলেও কাজ শেষ করা ভালো</t>
  </si>
  <si>
    <t>একেবারে কিছু না করলে কুকাজ করা হয়</t>
  </si>
  <si>
    <t>নিষ্ক্রিয় থেকেও মন্দ কাজের সমতুল্য</t>
  </si>
  <si>
    <t>Doing nothing is doing evil.</t>
  </si>
  <si>
    <t>একে মা মনসা তায় আবার ধূনার গন্ধ</t>
  </si>
  <si>
    <t>একে মা মনসা, তায় ধুনার গন্ধ</t>
  </si>
  <si>
    <t>ইতিমধ্যে তীব্র, তার ওপর অতিরিক্ত বিরক্তি</t>
  </si>
  <si>
    <t>Already Mother Manasa, and now incense smoke—unbearable.</t>
  </si>
  <si>
    <t>একে মা রাঁধে না তার ওপর তপ্ত আর পান্তা</t>
  </si>
  <si>
    <t>একে মা রাঁধে না, তার ওপর তপ্ত আর পান্তা</t>
  </si>
  <si>
    <t>ইতিমধ্যেই রান্না নেই, তায় গরম ও পান্তা ভাত—আরও কষ্ট</t>
  </si>
  <si>
    <t>Already mother doesn't cook, on top of that hot and stale rice.</t>
  </si>
  <si>
    <t>একের ছয়টি এবং অন্যটির আধডজন</t>
  </si>
  <si>
    <t>একের ছয়টি, অন্যটির আধ ডজন</t>
  </si>
  <si>
    <t>দুটোই সমান; কোনো পার্থক্য নেই</t>
  </si>
  <si>
    <t>One's six and the other's half a dozen—same thing.</t>
  </si>
  <si>
    <t>একের বোঝা, দশের আঁটি/লাঠি</t>
  </si>
  <si>
    <t>একা বয়ে নেওয়া ভার; দশজনে ভাগ করলে সবার হাতে কিছু</t>
  </si>
  <si>
    <t>One's load is ten's bundle/stick—share the burden.</t>
  </si>
  <si>
    <t>একো হি দোষো গুণসন্নিপাতে নিমোজ্জতীন্দোরিতি</t>
  </si>
  <si>
    <t>একটি দোষ গুণরাশির মধ্যে ডুবে যায়, যেমন চাঁদের কলঙ্ক</t>
  </si>
  <si>
    <t>একটি দোষ বহু গুণে ঢাকা পড়ে</t>
  </si>
  <si>
    <t>One fault is submerged in a heap of virtues, like the moon's spot.</t>
  </si>
  <si>
    <t>গুণ-দোষ</t>
  </si>
  <si>
    <t>একো হি দোষো গুণসন্নিপাতে নিমোজ্জতীন্দোরিতি যো বভাষে। নূনং ন দৃষ্টং কবিনাপি তেন দারিদ্র্যদোষো গুণরাশিনাশী</t>
  </si>
  <si>
    <t>যিনি বলেছেন একটি দোষ গুণরাশিতে ডুবে যায়, তিনি দারিদ্র্য দোষ দেখেননি; তা সমস্ত গুণ নাশ করে</t>
  </si>
  <si>
    <t>দারিদ্র্য এমন এক দোষ যা সব গুণকে ধ্বংস করে</t>
  </si>
  <si>
    <t>The poet who said one fault drowns in virtues never saw poverty—it destroys all virtues.</t>
  </si>
  <si>
    <t>এখন শুনলে না বঁধু যৌবনভব্রে, পশ্চাতে কাঁদিতে হবে অঝরঝরে</t>
  </si>
  <si>
    <t>এখন শুনলে না বন্ধু যৌবনের ভরে, পরে কাঁদতে হবে অঝোরে</t>
  </si>
  <si>
    <t>যৌবনের অহংকারে উপদেশ না মানলে বৃদ্ধ বয়সে কষ্ট পেতে হবে</t>
  </si>
  <si>
    <t>If you don't listen now in youth, you'll weep later.</t>
  </si>
  <si>
    <t>এখনই সন্দেশ খেয়েচি, চায়ে চিনি দিওনা, সুগার আছে</t>
  </si>
  <si>
    <t>এখনই সন্দেশ খেয়েছি, চায়ে চিনি দিও না, চিনি আছে (সুগার)</t>
  </si>
  <si>
    <t>ইতিমধ্যে মিষ্টি খেয়েছি, আর চিনি দিও না—হাস্যরস</t>
  </si>
  <si>
    <t>I've already eaten sweet, don't add sugar to tea—mocking modernity.</t>
  </si>
  <si>
    <t>এ গিরগিটি নয় সাক্ষাৎ মা মনসা</t>
  </si>
  <si>
    <t>এ গিরগিটি নয়, সাক্ষাৎ মা মনসা</t>
  </si>
  <si>
    <t>সাধারণ নয়, ভয়ঙ্কর বা খুব শক্তিশালী</t>
  </si>
  <si>
    <t>This is not a chameleon, it's the goddess Manasa herself.</t>
  </si>
  <si>
    <t>এগুনে দর্শনধারী, পরে গুণবিচারী</t>
  </si>
  <si>
    <t>প্রথমে রূপদর্শী, পরে গুণ বিচার করে</t>
  </si>
  <si>
    <t>First judge by looks, later by virtues.</t>
  </si>
  <si>
    <t>এগুলে রাম, পেছুলে রাবণ</t>
  </si>
  <si>
    <t>এগোলে রাম, পেছোলে রাবণ</t>
  </si>
  <si>
    <t>সামনে বন্ধু, পিছনে শত্রু; দুই দিক বিপদ</t>
  </si>
  <si>
    <t>Forward is Ram, behind is Ravan—both dangerous.</t>
  </si>
  <si>
    <t>এঙ লাফায় বেঙ লাফায় চেঙ বলে আমিও লাফাই</t>
  </si>
  <si>
    <t>এঙ (একটা) লাফায়, বেঙ (আরেকটা) লাফায়, চেঙ বলে আমিও লাফাই</t>
  </si>
  <si>
    <t>অনুকরণপ্রিয়তা; অযোগ্য ব্যক্তি অন্যের দেখাদেখি কাজ করে</t>
  </si>
  <si>
    <t>One jumps, another jumps, and the third says 'I'll jump too'—blind imitation.</t>
  </si>
  <si>
    <t>অনুকরণকারী</t>
  </si>
  <si>
    <t>এড়া কাজে বেড়া</t>
  </si>
  <si>
    <t>কাজ এড়িয়ে চলা, বেড়া দেওয়া</t>
  </si>
  <si>
    <t>কাজ না করে অজুহাত দেওয়া</t>
  </si>
  <si>
    <t>Avoiding work, building fences around—shirking.</t>
  </si>
  <si>
    <t>এড়ে (ছেড়ে) দিয়ে তেড়ে ধরে</t>
  </si>
  <si>
    <t>ছেড়ে দিয়ে তেড়ে ধরে</t>
  </si>
  <si>
    <t>সুযোগ পেলেই আক্রমণ করা</t>
  </si>
  <si>
    <t>Let go and then attack fiercely.</t>
  </si>
  <si>
    <t>এত বড় হাবা জন্ম দেয়নি কারো বাবা</t>
  </si>
  <si>
    <t>এত বড় হাবা (বোকা) জন্ম দেয়নি কারো বাবা</t>
  </si>
  <si>
    <t>এত বোকা কখনো হয়নি—নির্বোধের চরম সীমা</t>
  </si>
  <si>
    <t>No father ever gave birth to such a fool.</t>
  </si>
  <si>
    <t>এত ভঙ্গ বঙ্গদেশ তবু রঙ্গভরা- ঈশ্বর গুপ্ত</t>
  </si>
  <si>
    <t>এত ভঙ্গ (বিপর্যয়) বঙ্গদেশ, তবু রঙ্গভরা</t>
  </si>
  <si>
    <t>বাংলার এত দুরবস্থা তবুও প্রাণবন্ত</t>
  </si>
  <si>
    <t>Despite so many calamities, Bengal is still full of life and humor.</t>
  </si>
  <si>
    <t>স্বদেশপ্রেম</t>
  </si>
  <si>
    <t>এত সুক্ষ্ম যে না বললেও হয়</t>
  </si>
  <si>
    <t>এত সূক্ষ্ম যে না বললেও হয়</t>
  </si>
  <si>
    <t>খুবই সূক্ষ্ম, বোঝাতে না চাইলে না বললেও চলে</t>
  </si>
  <si>
    <t>So subtle that it's better left unsaid.</t>
  </si>
  <si>
    <t>সূক্ষ্মতা</t>
  </si>
  <si>
    <t>এত সুখ যদি তোর কপালে তবে কেন কাঁথা বগলে১</t>
  </si>
  <si>
    <t>এত সুখ যদি তোর কপালে, তবে কেন কাঁথা বগলে?</t>
  </si>
  <si>
    <t>কপাল বলে কিছু নেই; সুখ থাকলে ছেঁড়া কাঁথা কেন?</t>
  </si>
  <si>
    <t>If fate has so much joy for you, why the ragged quilt under your arm?</t>
  </si>
  <si>
    <t>ভাগ্য/কপাল</t>
  </si>
  <si>
    <t>এত সুখ যদি তোর কপালে তবে কেন কাঁথা বগলে২</t>
  </si>
  <si>
    <t>এত সুখ যদি তোর কপালে, তবে কেন কাঁথা বগলে? (দ্বিতীয়)</t>
  </si>
  <si>
    <t>সুখী হলে দুরবস্থা কেন?</t>
  </si>
  <si>
    <t>If so much happiness is destined, why the tattered quilt?</t>
  </si>
  <si>
    <t>এত সুখ যদি তোর কপালে তবে কেন কাঁথা বগলে৩</t>
  </si>
  <si>
    <t>এত সুখ কপালে, তবু কাঁথা বগলে—বাস্তবতা কঠোর</t>
  </si>
  <si>
    <t>ভাগ্যের দোহাই দিয়ে বাস্তবতা এড়ানো যায় না</t>
  </si>
  <si>
    <t>If fate is so joyful, why the rag?—fate vs reality.</t>
  </si>
  <si>
    <t>এতে কিছু যায় আসে না কত আস্তে তুমি হাঁটছো, যতক্ষণ না তুমি থামছো- কনফুসিয়াস</t>
  </si>
  <si>
    <t>এতে কিছু যায় আসে না কত আস্তে তুমি হাঁটছ, যতক্ষণ না থামছ</t>
  </si>
  <si>
    <t>গতি ধীর হলেও এগিয়ে চলাই আসল</t>
  </si>
  <si>
    <t>It does not matter how slowly you go, so long as you do not stop.</t>
  </si>
  <si>
    <t>এ তো মূলোবাড়ী নয় এ তো বেগুনবাড়ী</t>
  </si>
  <si>
    <t>এ তো মুলোর বাড়ি নয়, এ তো বেগুনের বাড়ি</t>
  </si>
  <si>
    <t>স্থান বুঝে আচরণ; এখানে যেমন-তেমন চলবে না</t>
  </si>
  <si>
    <t>This is not a radish field, but a brinjal field—watch your step.</t>
  </si>
  <si>
    <t>এ তো সবে কলির সন্ধ্যে</t>
  </si>
  <si>
    <t>এ তো সবে কলির সন্ধ্যা</t>
  </si>
  <si>
    <t>এটি কলিযুগের সন্ধিকাল; খারাপ সময়ের শুরু</t>
  </si>
  <si>
    <t>This is just the evening of Kali Yuga—worse is to come.</t>
  </si>
  <si>
    <t>এদিক নেই ওদিক আছে</t>
  </si>
  <si>
    <t>এদিক নেই, ওদিক আছে</t>
  </si>
  <si>
    <t>একদিকে না থাক, অন্যদিকে সুযোগ; কোনো না কোনো উপায়</t>
  </si>
  <si>
    <t>If not here, there—there's always another way.</t>
  </si>
  <si>
    <t>এনে দাও কাছে মারি, বাপের পূণ্যে নড়তে নারি</t>
  </si>
  <si>
    <t>এনে দাও কাছে মারি, বাপের পুণ্যে নড়তে পারি না</t>
  </si>
  <si>
    <t>অক্ষম ব্যক্তি বীরত্ব দেখায়; অলস লোক</t>
  </si>
  <si>
    <t>Bring him near, I'll beat him—but I can't move due to my father's merit!</t>
  </si>
  <si>
    <t>অক্ষম/বাচাল</t>
  </si>
  <si>
    <t>এবারকার রোগী সেবারকার রোজা১</t>
  </si>
  <si>
    <t>এবারের রোগী সেবারের রোজা</t>
  </si>
  <si>
    <t>এবার অসুস্থ, পরের বার উপোস—চক্র</t>
  </si>
  <si>
    <t>This time a patient, last time fasting—cycle.</t>
  </si>
  <si>
    <t>এবারকার রোগী সেবারকার রোজা২</t>
  </si>
  <si>
    <t>এবারের রোগী সেবারের রোজা (দ্বিতীয়)</t>
  </si>
  <si>
    <t>কষ্ট ভোগ চলতেই থাকে</t>
  </si>
  <si>
    <t>This time sick, last time fasting—suffering continues.</t>
  </si>
  <si>
    <t>এমন মানবজীবন রইল পতিত আবাদ করলে ফলত সোনা</t>
  </si>
  <si>
    <t>এমন মানবজীবন রইল পতিত, আবাদ করলে ফলত সোনা</t>
  </si>
  <si>
    <t>মানুষের জীবন পড়ে আছে, চাষ করলে সোনা ফলতো</t>
  </si>
  <si>
    <t>Human life lies fallow; if cultivated, it would yield gold.</t>
  </si>
  <si>
    <t>এমনকি একজন বোকারও একটি প্রতিভা আছে</t>
  </si>
  <si>
    <t>সবারই কোনো না কোনো গুণ থাকে</t>
  </si>
  <si>
    <t>Even a fool has one talent.</t>
  </si>
  <si>
    <t>এমনকি একটা/টি খরগোশও কামড়াতে পাড়ে যদি সে কোণঠাসা হয়</t>
  </si>
  <si>
    <t>এমনকি একটি খরগোশও কামড়াতে পারে যদি কোণঠাসা হয়</t>
  </si>
  <si>
    <t>চাপে পড়লে দুর্বলও আক্রমণ করে</t>
  </si>
  <si>
    <t>Even a rabbit will bite if cornered.</t>
  </si>
  <si>
    <t>এমনকি বানরেরাও গাছ থেকে পড়ে</t>
  </si>
  <si>
    <t>অভিজ্ঞ লোকও ভুল করে</t>
  </si>
  <si>
    <t>Even monkeys fall from trees.</t>
  </si>
  <si>
    <t>এমনি কেউ কারও বন্ধু নয় বা শত্রু নয়</t>
  </si>
  <si>
    <t>ব্যবহারে সম্পর্ক নির্ধারিত হয়</t>
  </si>
  <si>
    <t>No one is naturally a friend or an enemy.</t>
  </si>
  <si>
    <t>এমনি যায় না মাস, তায় আবার দুদিন বেশি১</t>
  </si>
  <si>
    <t>এমনিতেই মাস যায় না, তায় দুদিন বেশি</t>
  </si>
  <si>
    <t>ইতিমধ্যে দীর্ঘ অপেক্ষা, তার ওপর আরও বিলম্ব</t>
  </si>
  <si>
    <t>The month is already endless, and now two extra days!</t>
  </si>
  <si>
    <t>এমনি যায় না মাস, তায় আবার দুদিন বেশি২</t>
  </si>
  <si>
    <t>এমনিতেই মাস যায় না, তায় দুদিন বেশি (দ্বিতীয়)</t>
  </si>
  <si>
    <t>সময় বেশি দীর্ঘ মনে হওয়া</t>
  </si>
  <si>
    <t>Already the month drags on, plus two extra days.</t>
  </si>
  <si>
    <t>এ যদি গোরাচাঁদ হয়, তবে কালাচাঁদ কেমন?</t>
  </si>
  <si>
    <t>এটা যদি এত সুন্দর হয়, তবে আরেকটা কেমন হবে—বিস্ময়</t>
  </si>
  <si>
    <t>If this is the fair moon, what about the dark moon?</t>
  </si>
  <si>
    <t>এ যে ঘোর কলি</t>
  </si>
  <si>
    <t>এ যে চরম কলিযুগ; অত্যন্ত খারাপ সময়</t>
  </si>
  <si>
    <t>This is indeed the terrible Kali Yuga.</t>
  </si>
  <si>
    <t>এরণ্ডোহপি দ্রুমায়তে</t>
  </si>
  <si>
    <t>এরণ্ড (ভেড়ার গাছ)ও গাছ হিসেবে গণ্য হয়</t>
  </si>
  <si>
    <t>যেখানে ভালো গাছ নেই, সেখানে নিকৃষ্টও সমাদৃত</t>
  </si>
  <si>
    <t>Even a castor plant passes for a tree.</t>
  </si>
  <si>
    <t>এর মুণডু ওর ঘাড়ে</t>
  </si>
  <si>
    <t>এর মুণ্ডু ওর ঘাড়ে</t>
  </si>
  <si>
    <t>একজনের দোষ অন্যের ঘাড়ে চাপানো</t>
  </si>
  <si>
    <t>Putting one's head on another's shoulder—blame shifting.</t>
  </si>
  <si>
    <t>দোষারোপ</t>
  </si>
  <si>
    <t>এল ডোরাডো</t>
  </si>
  <si>
    <t>এল ডোরাডো (সোনালি দেশ)</t>
  </si>
  <si>
    <t>স্বর্ণময় কল্পনারাজ্য; প্রচুর সমৃদ্ধি</t>
  </si>
  <si>
    <t>El Dorado—the golden land of dreams.</t>
  </si>
  <si>
    <t>এলো দারুণ বর্ষাকাল হরিণী চাটে বাঘের গাল</t>
  </si>
  <si>
    <t>এলো দারুণ বর্ষাকাল, হরিণী চাটে বাঘের গাল</t>
  </si>
  <si>
    <t>ভয়ানক সময়ে বিপরীত ঘটনা; প্রতিকূলতা</t>
  </si>
  <si>
    <t>Terrible monsoon came, the doe licks the tiger's cheek—a reversal.</t>
  </si>
  <si>
    <t>বিপর্যয়</t>
  </si>
  <si>
    <t>এলোমেলো করে দে মা লুটেপুটে খাই</t>
  </si>
  <si>
    <t>এলোমেলো করে দে মা, লুটেপুটে খাই</t>
  </si>
  <si>
    <t>বিশৃঙ্খলা সৃষ্টি করে সুযোগ নেওয়া</t>
  </si>
  <si>
    <t>Create chaos, mother, and I'll feast!—opportunism.</t>
  </si>
  <si>
    <t>এলোশ্রাদ্ধের গুঁতোদক্ষিণা</t>
  </si>
  <si>
    <t>এলোশ্রাদ্ধের গুঁতো দক্ষিণা</t>
  </si>
  <si>
    <t>কাজ শেষে তাড়াহুড়ো করে দেওয়া দক্ষিণা; নিম্নমানের কাজ</t>
  </si>
  <si>
    <t>A hurried post-funeral offering—messy.</t>
  </si>
  <si>
    <t>এসেছি একা, যাবোও একা, কার সঙ্গে কার বা দেখা।</t>
  </si>
  <si>
    <t>এসেছি একা, যাবও একা, কার সঙ্গে কার দেখা</t>
  </si>
  <si>
    <t>জীবনে কেউ কারো নয়; একাকীত্ব</t>
  </si>
  <si>
    <t>I came alone, I'll go alone; with whom is the meeting?</t>
  </si>
  <si>
    <t>এ্যাঙ যায়, ব্যাঙ যায়, খলসে বলে আমিও যাই- অমৃতলাল বসু১</t>
  </si>
  <si>
    <t>এ্যাঙ যায়, ব্যাঙ যায়, খলসে মাছ বলে আমিও যাই</t>
  </si>
  <si>
    <t>অযোগ্য ব্যক্তি অনুকরণ করে; ব্যঙ্গ</t>
  </si>
  <si>
    <t>The eel goes, the frog goes, the khalse fish says I'll go too—blind imitation.</t>
  </si>
  <si>
    <t>এ্যাঙ যায়, ব্যাঙ যায়, খলসে বলে আমিও যাই- অমৃতলাল বসু২</t>
  </si>
  <si>
    <t>এ্যাঙ যায়, ব্যাঙ যায়, খলসে বলে আমিও যাই (দ্বিতীয়)</t>
  </si>
  <si>
    <t>অযোগ্যের অনুকরণ</t>
  </si>
  <si>
    <t>Eel, frog, and then the khalse fish copies—mimicry.</t>
  </si>
  <si>
    <t>এ্যায়সা দিন নেহি যায়েগা, জোয়ারমে ভাটা গিরেগা, খেয়াল ঠিক রাখনা।</t>
  </si>
  <si>
    <t>এ্যায়সা দিন নেহি যায়েগা... (হিন্দি)</t>
  </si>
  <si>
    <t>ভালো দিন চিরকাল থাকে না; জোয়ারের পর ভাটা আসে</t>
  </si>
  <si>
    <t>Such days won't last; after high tide comes low tide—be careful.</t>
  </si>
  <si>
    <t>ঐ দিন আর নাইরে নাথু খাবলা খাবলা খাবা ছাতু</t>
  </si>
  <si>
    <t>ঐ দিন আর নাইরে নাথু, খাবলা খাবলা খাবা ছাতু</t>
  </si>
  <si>
    <t>ভালো দিন শেষ; এখন যা পাবে তাই খাবে</t>
  </si>
  <si>
    <t>Those days are gone, Nathu; now you'll gulp handfuls of coarse flour.</t>
  </si>
  <si>
    <t>ঐ ধান ঐ চাউল গিন্নিগুণে আউল-ছাউল</t>
  </si>
  <si>
    <t>ঐ ধান, ঐ চাউল, গিন্নির গুণে আউলছাউল</t>
  </si>
  <si>
    <t>উপকরণ একই, কিন্তু গৃহিণীর গুণে ফল ভিন্ন; অথবা অব্যবস্থিত</t>
  </si>
  <si>
    <t>Same rice, same grain, but the housewife's skill makes it messy or perfect.</t>
  </si>
  <si>
    <t>গিন্নী/নারী (গৃহিণী)</t>
  </si>
  <si>
    <t>লিঙ্গ/গৃহস্থালি</t>
  </si>
  <si>
    <t>ঐশ্বর্য অর্জন করা সহজ, রক্ষা করা কঠিন।</t>
  </si>
  <si>
    <t>ঐশ্বর্য অর্জন সহজ, রক্ষা করা কঠিন</t>
  </si>
  <si>
    <t>টাকা উপার্জন করা সহজ, ধরে রাখা কঠিন</t>
  </si>
  <si>
    <t>Wealth is easy to earn, hard to keep.</t>
  </si>
  <si>
    <t>ঐশ্বর্য চিত্তের বিকার ঘটায়</t>
  </si>
  <si>
    <t>ধন সম্পদ মনকে বিগড়ে দেয়</t>
  </si>
  <si>
    <t>Riches corrupt the mind.</t>
  </si>
  <si>
    <t>ঐশ্বর্যের দেমাক থেকে অন্তরের টান অনেক বেশি আদরণীয়;</t>
  </si>
  <si>
    <t>ঐশ্বর্যের দেমাক থেকে অন্তরের টান বেশি আদরণীয়</t>
  </si>
  <si>
    <t>প্রকৃত ভালোবাসা অর্থের অহংকারের চেয়ে অনেক মূল্যবান</t>
  </si>
  <si>
    <t>Heartfelt affection is far more precious than the pride of wealth.</t>
  </si>
  <si>
    <t>ঐশ্বর্যের সময় দারিদ্রের কথা ভেবো, দারিদ্রের সময় ঐশ্বর্য্যের কথা ভেবো না</t>
  </si>
  <si>
    <t>ঐশ্বর্যের সময় দারিদ্র্যের কথা ভেবো, দারিদ্র্যের সময় ঐশ্বর্যের কথা ভেবো না</t>
  </si>
  <si>
    <t>সুখে থাকলে দুঃখের কথা মনে রেখো, কিন্তু দুঃখে সুখের আশা করো না</t>
  </si>
  <si>
    <t>In wealth, remember poverty; in poverty, don't dream of wealth.</t>
  </si>
  <si>
    <t>ওঝার ঘাড়ে বোঝা // ওঝার ঘাড়ে ভূতের বোঝা</t>
  </si>
  <si>
    <t>ওঝার ঘাড়ে বোঝা; ওঝার ঘাড়ে ভূতের বোঝা</t>
  </si>
  <si>
    <t>যার কাজ ভূত ঝাড়া, তার ঘাড়েই ভূতের বোঝা—বিপরীত অবস্থা</t>
  </si>
  <si>
    <t>The exorcist himself is possessed—irony.</t>
  </si>
  <si>
    <t>বিড়ম্বনা</t>
  </si>
  <si>
    <t>ওঝার বেটা বনগরু</t>
  </si>
  <si>
    <t>পিতার গুণ সন্তানে আসে না; ওঝার ছেলে বনের গরু—উল্টো</t>
  </si>
  <si>
    <t>The son of an exorcist becomes a wild bull—opposite of father.</t>
  </si>
  <si>
    <t>ওঠ ছুঁড়ি তোর বিয়ে নেকড়ায় আগুন দিয়ে</t>
  </si>
  <si>
    <t>ওঠো মেয়ে, তোর বিয়ে নেকড়ায় আগুন দিয়ে</t>
  </si>
  <si>
    <t>তাড়াতাড়ি বিয়ে; যেন নেকড়া পুড়িয়ে আগুন জ্বালানো—তুচ্ছ আয়োজন</t>
  </si>
  <si>
    <t>Get up girl, your wedding is with a rag on fire—a hasty, shabby affair.</t>
  </si>
  <si>
    <t>মেয়ে/কনে (নারী)</t>
  </si>
  <si>
    <t>ওপরে চিকণ চাকণ ভেতরে খ্যাড়(=খড়)</t>
  </si>
  <si>
    <t>ওপরে চিকন চাকন, ভেতরে খ্যাড় (খড়)</t>
  </si>
  <si>
    <t>বাইরে পরিপাটি, ভেতরে অপরিষ্কার</t>
  </si>
  <si>
    <t>Smooth above, rough inside—hypocrisy.</t>
  </si>
  <si>
    <t>ওম জবাকুসুমসঙ্কাশং কাশ্যপেয়ং মহাদ্যুতিম্‌। ধ্বান্তারিং সর্বপাপঘ্নং প্রণতোহস্মি দিবাকরম্।।</t>
  </si>
  <si>
    <t>ওম জবাকুসুমসঙ্কাশং... (সূর্য প্রণাম মন্ত্র)</t>
  </si>
  <si>
    <t>সূর্যকে প্রণাম; সূর্যের স্তব</t>
  </si>
  <si>
    <t>Salutations to the Sun, bright as a hibiscus, destroyer of darkness and all sins.</t>
  </si>
  <si>
    <t>ওরে পাগল খাবিনে, না। হাত ধোব কোথা?</t>
  </si>
  <si>
    <t>ওরে পাগল, খাবিনে? না, হাত ধোব কোথা?</t>
  </si>
  <si>
    <t>পাগলের উল্টো যুক্তি; খাবার নয়, হাত ধোয়ার জায়গা নেই</t>
  </si>
  <si>
    <t>Madman, won't you eat? No, where will I wash my hands?—foolish excuse.</t>
  </si>
  <si>
    <t>ওল কচু মান তিনই সমান</t>
  </si>
  <si>
    <t>ওল, কচু, মান—তিনই সমান</t>
  </si>
  <si>
    <t>তিনটিই সমান; কোনো পার্থক্য নেই</t>
  </si>
  <si>
    <t>Ol, kochu, man—all three are the same.</t>
  </si>
  <si>
    <t>ওল খেয়ে গোল</t>
  </si>
  <si>
    <t>ওল খেলে অস্বস্তি হয়; বিরক্তিকর অবস্থা</t>
  </si>
  <si>
    <t>Eating ol causes trouble—a mess.</t>
  </si>
  <si>
    <t>ওল বলে, মানকচু তুই নাকি লাগ</t>
  </si>
  <si>
    <t>ওল বলে, মানকচু তুই নাকি লাগ?</t>
  </si>
  <si>
    <t>নিজের দোষ লুকিয়ে অন্যের দোষ ধরা</t>
  </si>
  <si>
    <t>Ol says to mankochu, 'You are nasal-voiced?'—pot calling kettle black.</t>
  </si>
  <si>
    <t>ওলো রঙ্গী তোর ঘর পড়েছে, 'পুড়ুক গিয়ে ঘর; আমার ত রঙ পুড়বে না কো, কিবা তা'তে ডর</t>
  </si>
  <si>
    <t>ওলো রঙ্গী, তোর ঘর পড়েছে; পুড়ুক গিয়ে ঘর, আমার রঙ পুড়বে না</t>
  </si>
  <si>
    <t>নিজের সাজ নিয়ে ব্যস্ত, ঘর পুড়লেও পরোয়া নেই</t>
  </si>
  <si>
    <t>Oh colorful one, your house is on fire—let it burn, my color won't fade!—vanity.</t>
  </si>
  <si>
    <t>নারী (সাজসজ্জায় আসক্ত)</t>
  </si>
  <si>
    <t>ওষুধ ধরেছে</t>
  </si>
  <si>
    <t>ওষুধ কাজ করছে; পরিস্থিতির উন্নতি বা অবনতি</t>
  </si>
  <si>
    <t>The medicine is taking effect—things are changing.</t>
  </si>
  <si>
    <t>ওষধার্থে সুরাপান</t>
  </si>
  <si>
    <t>ঔষধ হিসেবে মদ্যপান; অন্যায় কাজের অজুহাত</t>
  </si>
  <si>
    <t>Drinking wine as medicine—excuse for vice.</t>
  </si>
  <si>
    <t>ওষুধের চেয়ে পথ্যি ভালো</t>
  </si>
  <si>
    <t>ওষুধের চেয়ে পথ্য ভালো</t>
  </si>
  <si>
    <t>রোগ প্রতিকারের চেয়ে প্রতিরোধ ভালো</t>
  </si>
  <si>
    <t>Prevention is better than cure.</t>
  </si>
  <si>
    <t>ওস্তাদের মার শেষ রাতে</t>
  </si>
  <si>
    <t>অভিজ্ঞ ব্যক্তি শেষ মুহূর্তে জোরে আঘাত করে; ধৈর্যের পরীক্ষা</t>
  </si>
  <si>
    <t>The master's blow comes at the end of the night.</t>
  </si>
  <si>
    <t>ঔষুধ ধরেছে</t>
  </si>
  <si>
    <t>ওষুধ কাজ করছে; অবস্থা পরিবর্তিত</t>
  </si>
  <si>
    <t>Medicine has taken effect.</t>
  </si>
  <si>
    <t>ঔষুধার্থে সুরাপান, পান না বাড়ালেই থাকে মান</t>
  </si>
  <si>
    <t>ঔষধার্থে সুরাপান; পান না বাড়ালে মান থাকে</t>
  </si>
  <si>
    <t>ওষুধ হিসেবে মদ খাওয়া যায়, কিন্তু তা সীমিত রাখতে হবে, নইলে অপমান</t>
  </si>
  <si>
    <t>Drinking as medicine is okay; excess ruins dignity.</t>
  </si>
  <si>
    <t>ক অক্ষর গোমাংস</t>
  </si>
  <si>
    <t>ক অক্ষর গোমাংস (গরুর মাংস)</t>
  </si>
  <si>
    <t>ক-অক্ষর দেখলেই গরুর মাংস বোঝায়; অজ্ঞের ব্যাখ্যা</t>
  </si>
  <si>
    <t>The letter 'Ka' means beef—illiterate interpretation.</t>
  </si>
  <si>
    <t>কঃ পরঃ প্রিয়বাদিনাম্</t>
  </si>
  <si>
    <t>মিষ্টভাষীর কাছে কে পর?</t>
  </si>
  <si>
    <t>যে মিষ্টি কথা বলে, তার কাছে সবাই আপন</t>
  </si>
  <si>
    <t>Who is a stranger to one who speaks sweetly?</t>
  </si>
  <si>
    <t>কঃ প্রাজ্ঞ বাঞ্ছতি স্নেহং সিকিতাসু</t>
  </si>
  <si>
    <t>কোন জ্ঞানী ভিজে কাঠে আগুন চায়?</t>
  </si>
  <si>
    <t>জ্ঞানী অসম্ভব কামনা করে না</t>
  </si>
  <si>
    <t>What wise man seeks warmth from wet wood?</t>
  </si>
  <si>
    <t>কইতে কইতে মুখ বাড়ে, খাইতে খাইতে পেট বাড়ে</t>
  </si>
  <si>
    <t>বলতে বলতে মুখ বাড়ে, খেতে খেতে পেট বাড়ে</t>
  </si>
  <si>
    <t>অভ্যাসে দক্ষতা ও ক্ষুধা বাড়ে</t>
  </si>
  <si>
    <t>Talking increases mouth, eating increases stomach—practice makes perfect.</t>
  </si>
  <si>
    <t>কইতে জানলে ঠকি না,বসতে জানলে উঠি না</t>
  </si>
  <si>
    <t>বলতে জানলে ঠকি না, বসতে জানলে উঠি না</t>
  </si>
  <si>
    <t>সঠিক কথা বলতে জানলে প্রতারিত হব না; সঠিকভাবে বসতে জানলে উঠতে হবে না</t>
  </si>
  <si>
    <t>If I know how to speak, I won't be cheated; if I know how to sit, I won't need to get up.</t>
  </si>
  <si>
    <t>কইতে পারি সইতে পারি না</t>
  </si>
  <si>
    <t>বলতে পারি, সহ্য করতে পারি না</t>
  </si>
  <si>
    <t>অপমান সহ্য করা কঠিন</t>
  </si>
  <si>
    <t>I can speak but cannot tolerate.</t>
  </si>
  <si>
    <t>কই মাছের প্রাণ অল্পেতেই না যান</t>
  </si>
  <si>
    <t>কই মাছের প্রাণ অল্পেতেই যায় না</t>
  </si>
  <si>
    <t>কই মাছ সহজে মরে না; দৃঢ়প্রাণ</t>
  </si>
  <si>
    <t>The climbing perch doesn't die easily—tough.</t>
  </si>
  <si>
    <t>কইয়ের তেলে কই ভাজা</t>
  </si>
  <si>
    <t>কইয়ের নিজের তেলেই কই ভাজা</t>
  </si>
  <si>
    <t>নিজের সম্পদ দিয়ে নিজের কাজ করা</t>
  </si>
  <si>
    <t>Frying koi fish in its own oil—self-sufficiency.</t>
  </si>
  <si>
    <t>কইলাম কথা সবার মাঝে/মধ্যে; যার কথা তার গায়ে বাজে/বিন্দে</t>
  </si>
  <si>
    <t>কথা সবার মাঝে বললাম; যার কথা তার গায়ে বাজে</t>
  </si>
  <si>
    <t>পরোক্ষে কাউকে না বলে সবার সামনে বলা; যার উদ্দেশ্যে সে বুঝে নেয়</t>
  </si>
  <si>
    <t>I said it in public; the one it's meant for feels the sting.</t>
  </si>
  <si>
    <t>কইলে যায় মনের দুখ খাইলে যায় পেটের ভুখ</t>
  </si>
  <si>
    <t>বললে মনের দুঃখ যায়, খেলে পেটের ভুখ যায়</t>
  </si>
  <si>
    <t>কথায় মন হালকা হয়, খাবারে ক্ষুধা মেটে</t>
  </si>
  <si>
    <t>Talking relieves mind, eating relieves hunger.</t>
  </si>
  <si>
    <t>কংস রাজার বদ (বধ) ফরমাশ</t>
  </si>
  <si>
    <t>কংস রাজার বধের ফরমাশ</t>
  </si>
  <si>
    <t>দুষ্টের বিনাশে উৎসাহ; পূর্বনির্ধারিত পরিণতি</t>
  </si>
  <si>
    <t>King Kansa's death order—the inevitable end of a tyrant.</t>
  </si>
  <si>
    <t>কখনো অপ্রিয় সত্য কথা বলিও না</t>
  </si>
  <si>
    <t>কখনো অপ্রিয় সত্য কথা বলো না</t>
  </si>
  <si>
    <t>সত্য হলেও অপ্রিয় কথা বলা উচিত নয়</t>
  </si>
  <si>
    <t>Never speak an unpleasant truth.</t>
  </si>
  <si>
    <t>কখনো খেওনা ওলে/তালে আর ঘোলে; কখনো ভুলো না ঢেমনার (লম্পট) বোলে</t>
  </si>
  <si>
    <t>কখনো খেয়ো না ওলে/তালে আর ঘোলে; কখনো ভুলো না ঢেমনার বোলে</t>
  </si>
  <si>
    <t>ওল, তাল, ঘোল খেয়ো না; আর লম্পটের কথায় ভুলো না</t>
  </si>
  <si>
    <t>Never eat ol, palm fruit, or whey; never trust a rake's words.</t>
  </si>
  <si>
    <t>কখনো না হওয়া থেকে দেরীতে হওয়া ভালো</t>
  </si>
  <si>
    <t>কখনো না হওয়ার চেয়ে দেরিতে হওয়া ভালো</t>
  </si>
  <si>
    <t>কখনো প্রমাণ করতে যেওনা যা কেউ সন্দেহ করে না</t>
  </si>
  <si>
    <t>কখনো প্রমাণ করতে যেও না যা কেউ সন্দেহ করে না</t>
  </si>
  <si>
    <t>সন্দেহহীন বিষয় নিয়ে তর্ক করার দরকার নেই</t>
  </si>
  <si>
    <t>Never try to prove what no one doubts.</t>
  </si>
  <si>
    <t>কঙালী মেঁ আটা গীলা</t>
  </si>
  <si>
    <t>কঙালীতে আটা ভিজে (হিন্দি)</t>
  </si>
  <si>
    <t>অভাবের সময় সম্পদ নষ্ট; বা অভাবীর কাছে সবই মূল্যবান</t>
  </si>
  <si>
    <t>In poverty, even flour gets wet—loss upon loss.</t>
  </si>
  <si>
    <t>কচলা (বিশেষভাবে রগড়িয়ে ধোয়া) কাপড় ছাড়তে নাই</t>
  </si>
  <si>
    <t>কচলা কাপড় ছাড়তে নাই</t>
  </si>
  <si>
    <t>ভালো করে পরিষ্কার করা জিনিস ত্যাগ করবে না; পরিশ্রমের ফল রাখা উচিত</t>
  </si>
  <si>
    <t>Don't discard well-washed clothes.</t>
  </si>
  <si>
    <t>কচি উচ্চে পাকা পটল, কচি পাঁঠা, পাকা কাতল (কাৎলা মাছ)</t>
  </si>
  <si>
    <t>কচি উচ্ছে, পাকা পটল, কচি পাঁঠা, পাকা কাতলা মাছ</t>
  </si>
  <si>
    <t>এগুলো সেরা অবস্থা; খাদ্যগুণের বিচার</t>
  </si>
  <si>
    <t>Tender bitter gourd, ripe pointed gourd, young kid goat, mature catla fish—best choices.</t>
  </si>
  <si>
    <t>কচি পাঁঠা, পাকা মেষ, দইয়ের আগা ঘোলের শেষ, এইগুলি খেতে বেশ</t>
  </si>
  <si>
    <t>কচি পাঁঠা, পাকা ভেড়া, দইয়ের আগা (সর), ঘোলের শেষ—এগুলো খেতে বেশ</t>
  </si>
  <si>
    <t>এগুলো খেতে খুব ভালো</t>
  </si>
  <si>
    <t>Young goat, mature sheep, cream of yogurt, and the last of whey—delicious.</t>
  </si>
  <si>
    <t>কচি খুকি কুলোয় শুয়ে তুলোয় দুধ খান</t>
  </si>
  <si>
    <t>কচি মেয়ে কুলোয় শুয়ে তুলোয় দুধ খায়</t>
  </si>
  <si>
    <t>ছোট মেয়ে আরাম করে; অলস বা আদুরে</t>
  </si>
  <si>
    <t>A little girl lies on a winnowing fan and drinks milk from a cotton roll—spoiled.</t>
  </si>
  <si>
    <t>খুকি (মেয়ে/নারী)</t>
  </si>
  <si>
    <t>কচু কাটতে কাটতেই ডাকাত</t>
  </si>
  <si>
    <t>এক কাজ করতে করতে অন্য কাজে জড়িয়ে পড়া; বা অল্পে ডাকাতি শুরু</t>
  </si>
  <si>
    <t>While cutting kochu, one becomes a dacoit—easy slide into crime.</t>
  </si>
  <si>
    <t>কচুপোড়া খাও১</t>
  </si>
  <si>
    <t>কচুপোড়া খাও</t>
  </si>
  <si>
    <t>অর্থহীন বা বিরক্তিকর কিছু খাওয়া; বাজে পরিস্থিতি</t>
  </si>
  <si>
    <t>Eat roasted kochu—a mess.</t>
  </si>
  <si>
    <t>কচুপোড়া খাও২</t>
  </si>
  <si>
    <t>কচুপোড়া খাও (দ্বিতীয়)</t>
  </si>
  <si>
    <t>নির্বোধ কাজ করা</t>
  </si>
  <si>
    <t>Eating burnt kochu—foolish act.</t>
  </si>
  <si>
    <t>কচুবনে ছড়ালে ছাই খনা বলে তার সংখ্যা নাই</t>
  </si>
  <si>
    <t>কচুবনে ছাই ছড়ালে, খনা বলে তার সংখ্যা নাই</t>
  </si>
  <si>
    <t>কচুবনে ছাই দিলে উৎপাদন বাড়ে, কিন্তু তা হিসাবের বাইরে</t>
  </si>
  <si>
    <t>Spread ash in the kochu field, and Khana says the yield is countless.</t>
  </si>
  <si>
    <t>কচুবনের কালাচাঁদ</t>
  </si>
  <si>
    <t>কৃষ্ণবর্ণ সুপুরুষ; বা বেমানান বস্তু</t>
  </si>
  <si>
    <t>The dark moon of the kochu field—a misplaced beauty.</t>
  </si>
  <si>
    <t>কচুর বেটা ঘেঁচু, তার আবার মান</t>
  </si>
  <si>
    <t>নিকৃষ্ট বংশের লোকেরও মান-সম্মান</t>
  </si>
  <si>
    <t>The son of kochu is ghechu, yet he has pride!</t>
  </si>
  <si>
    <t>কঞ্চি খবরদার</t>
  </si>
  <si>
    <t>কঞ্চি খবরদার!</t>
  </si>
  <si>
    <t>ছোট জিনিস থেকে সতর্ক থাকা; বা অল্পেতেই সাবধান</t>
  </si>
  <si>
    <t>Beware of the twig!—caution against small things.</t>
  </si>
  <si>
    <t>কঞ্চিতে বংশলোচন জন্মানো</t>
  </si>
  <si>
    <t>ছোট পাত্রে বড় জিনিস; অসম্ভব</t>
  </si>
  <si>
    <t>Growing bamboo-like substance in a twig—impossible.</t>
  </si>
  <si>
    <t>কটি ছেলে? না, পুড়িয়ে খাব</t>
  </si>
  <si>
    <t>ক'টি ছেলে? না, পুড়িয়ে খাব!</t>
  </si>
  <si>
    <t>ছেলেকে নষ্ট করার ভয়ংকর ইচ্ছা; বা ব্যঙ্গাত্মক উত্তর</t>
  </si>
  <si>
    <t>How many sons? None, I'll roast and eat them!—dark humor.</t>
  </si>
  <si>
    <t>লিঙ্গ/হাস্যরস</t>
  </si>
  <si>
    <t>কড়াক্কড় চৌকী-আইন খারাপ; সদর বন্ধ খিড়কি ফাঁক</t>
  </si>
  <si>
    <t>কড়াকড়ি চৌকি-আইন খারাপ; সদর বন্ধ, খিড়কি ফাঁক</t>
  </si>
  <si>
    <t>কঠোর নিয়ম, কিন্তু ফাঁকি দেওয়ার পথ খোলা; ভণ্ডামি</t>
  </si>
  <si>
    <t>Strict guard and law, but front closed, back door open—hypocrisy.</t>
  </si>
  <si>
    <t>কড়িকপালে</t>
  </si>
  <si>
    <t>ভাগ্যে অর্থ আছে; বা কপালে টাকা</t>
  </si>
  <si>
    <t>Wealthy fate.</t>
  </si>
  <si>
    <t>কড়িকাঠ গুণে যাও</t>
  </si>
  <si>
    <t>হিসাব করে চলো; সীমা জেনে কাজ করো</t>
  </si>
  <si>
    <t>Count the rafters—know your limits.</t>
  </si>
  <si>
    <t>কড়িতে কড়া, কাহনে কানা</t>
  </si>
  <si>
    <t>সামান্য হিসাবে সতর্ক, বড়তে অন্ধ; কিপটেমি</t>
  </si>
  <si>
    <t>Penny-wise, pound-foolish.</t>
  </si>
  <si>
    <t>কড়ি থাকলে বাঘের দুধ মেলে</t>
  </si>
  <si>
    <t>কড়ি থাকলে বাঘের দুধ পাওয়া যায়</t>
  </si>
  <si>
    <t>অর্থ দিয়ে অসম্ভবও সম্ভব</t>
  </si>
  <si>
    <t>With money, even tiger's milk is available.</t>
  </si>
  <si>
    <t>কড়ি থাকলে বেয়াইয়ের বাপের শ্রাদ্ধ হয়</t>
  </si>
  <si>
    <t>টাকা থাকলে সব হয়; সম্পর্ক তৈরি হয়</t>
  </si>
  <si>
    <t>With money, even your in-law's father's funeral can be arranged.</t>
  </si>
  <si>
    <t>কড়ি দিয়ে কানা গরু কেনা</t>
  </si>
  <si>
    <t>টাকা খরচ করে অকেজো জিনিস কেনা</t>
  </si>
  <si>
    <t>Buying a blind cow with money—wasteful.</t>
  </si>
  <si>
    <t>কড়ি দিয়ে কিনবো দই গোয়ালিনী মোর কিসের সই১</t>
  </si>
  <si>
    <t>কড়ি দিয়ে কিনব দই, গোয়ালিনী আমার কিসের সই?</t>
  </si>
  <si>
    <t>মূল্য দিয়ে কিনলে সম্পর্ক সমান; গোয়ালিনী বন্ধু থাকে না</t>
  </si>
  <si>
    <t>I'll buy curd with money; then the milkmaid is no longer my friend—transactional.</t>
  </si>
  <si>
    <t>গোয়ালিনী (নারী)</t>
  </si>
  <si>
    <t>লিঙ্গ/বাণিজ্য</t>
  </si>
  <si>
    <t>কড়ি দিয়ে কিনবো দই গোয়ালিনী মোর কিসের সই২</t>
  </si>
  <si>
    <t>কড়ি দিয়ে কিনব দই, গোয়ালিনী মোর কিসের সই (দ্বিতীয়)</t>
  </si>
  <si>
    <t>অর্থ দিলে সম্পর্ক ব্যবসায়িক হয়ে যায়</t>
  </si>
  <si>
    <t>With money, the milkmaid is not my friend—commerce over friendship.</t>
  </si>
  <si>
    <t>কড়ি দিয়ে হেঁটে নদী পার হওয়া</t>
  </si>
  <si>
    <t>কড়ি দিয়ে হেঁটে নদী পার</t>
  </si>
  <si>
    <t>নির্বোধের মত কাজ; পয়সা থাকলেও বুদ্ধি না খাটানো</t>
  </si>
  <si>
    <t>Crossing a river by walking on money—foolish.</t>
  </si>
  <si>
    <t>কড়ি দেখছো ঝাল দেখোনি</t>
  </si>
  <si>
    <t>কড়ি দেখছ, ঝাল দেখোনি</t>
  </si>
  <si>
    <t>টাকা দেখছ, কিন্তু ঝামেলা দেখনি; লাভের পাশাপাশি ক্ষতি</t>
  </si>
  <si>
    <t>You see the money, not the trouble.</t>
  </si>
  <si>
    <t>কড়ি নেবে গুণে পথ চলবে শুনে</t>
  </si>
  <si>
    <t>কড়ি নেবে গুণে, পথ চলবে শুনে</t>
  </si>
  <si>
    <t>টাকা গুনে নাও, পথ শুনে চলো</t>
  </si>
  <si>
    <t>Take money after counting, walk after listening—be cautious.</t>
  </si>
  <si>
    <t>কড়িপিশাচ</t>
  </si>
  <si>
    <t>টাকার পিশাচ; অর্থলোলুপ</t>
  </si>
  <si>
    <t>Money demon—a greedy person.</t>
  </si>
  <si>
    <t>অর্থলোভী</t>
  </si>
  <si>
    <t>কড়ি পেলে কাঠের ঘোড়া (ধর্মরাজ) হাঁ করে</t>
  </si>
  <si>
    <t>কড়ি পেলে কাঠের ঘোড়াও হাঁ করে</t>
  </si>
  <si>
    <t>টাকা পেলে জড় বস্তুও নড়ে; অর্থ সব চালায়</t>
  </si>
  <si>
    <t>Even a wooden horse opens its mouth for money.</t>
  </si>
  <si>
    <t>কড়ি ফটকা চিঁড়ে দই, কড়ির মত বন্ধু কই</t>
  </si>
  <si>
    <t>কড়ি ফটকা চিঁড়ে দই, কড়ির মত বন্ধু কই?</t>
  </si>
  <si>
    <t>টাকা থাকলে চিড়ে দই পাওয়া যায়, কিন্তু টাকার মত বন্ধু নেই</t>
  </si>
  <si>
    <t>Money can buy snacks, but where is a friend like money?</t>
  </si>
  <si>
    <t>অর্থ/বন্ধুত্ব</t>
  </si>
  <si>
    <t>কড়ি বই বন্ধু নেই</t>
  </si>
  <si>
    <t>কড়ি বহু, বন্ধু নেই</t>
  </si>
  <si>
    <t>অর্থ থাকলেও প্রকৃত বন্ধু নেই</t>
  </si>
  <si>
    <t>Plenty of money, but no friends.</t>
  </si>
  <si>
    <t>কড়ি হলে বাঘের দুধ মেলে- ভারতচন্দ্র</t>
  </si>
  <si>
    <t>কড়ি হলে বাঘের দুধ মেলে</t>
  </si>
  <si>
    <t>টাকা থাকলে অসম্ভব সম্ভব</t>
  </si>
  <si>
    <t>কড়ির জিনিস পড়িস না১</t>
  </si>
  <si>
    <t>কড়ির জিনিস পড়িস না</t>
  </si>
  <si>
    <t>মূল্যবান জিনিস ফেলে রেখো না</t>
  </si>
  <si>
    <t>Don't waste things bought with money.</t>
  </si>
  <si>
    <t>কড়ির জিনিস পড়িস না২</t>
  </si>
  <si>
    <t>কড়ির জিনিস পড়িস না (দ্বিতীয়)</t>
  </si>
  <si>
    <t>টাকার জিনিস অবহেলা করো না</t>
  </si>
  <si>
    <t>Don't neglect costly things.</t>
  </si>
  <si>
    <t>কড়ির মাথায় বুড়োর বিয়ে১</t>
  </si>
  <si>
    <t>কড়ির মাথায় বুড়োর বিয়ে</t>
  </si>
  <si>
    <t>টাকা থাকলে বুড়োরও বিয়ে হয়</t>
  </si>
  <si>
    <t>Even an old man can marry if he has money.</t>
  </si>
  <si>
    <t>বুড়ো/পুরুষ</t>
  </si>
  <si>
    <t>অর্থ/বিবাহ</t>
  </si>
  <si>
    <t>কড়ির মাথায় বুড়োর বিয়ে𑄲</t>
  </si>
  <si>
    <t>কড়ির মাথায় বুড়োর বিয়ে (দ্বিতীয়)</t>
  </si>
  <si>
    <t>অর্থ থাকলে অসম্ভব সম্ভব</t>
  </si>
  <si>
    <t>Money brings marriage even for an old man.</t>
  </si>
  <si>
    <t>কড়ির যত্ন নাও কাহন (সঞ্চিত অর্থ) তোমার যত্ন নেবে</t>
  </si>
  <si>
    <t>কড়ির যত্ন নাও, কাহন তোমার যত্ন নেবে</t>
  </si>
  <si>
    <t>টাকা যত্ন করলে সঞ্চিত অর্থ তোমাকে বাঁচাবে</t>
  </si>
  <si>
    <t>Take care of pennies, and savings will take care of you.</t>
  </si>
  <si>
    <t>কণশঃ ক্ষণশ্চৈব বিদ্যামর্থং চ সাধয়েৎ</t>
  </si>
  <si>
    <t>কণশঃ (অল্প অল্প করে) ক্ষণশ্চ (প্রতি মুহূর্তে) বিদ্যা ও অর্থ অর্জন করবে</t>
  </si>
  <si>
    <t>ধীরে ধীরে জ্ঞান ও অর্থ সঞ্চয় করা উচিত</t>
  </si>
  <si>
    <t>Gather knowledge and wealth little by little, moment by moment.</t>
  </si>
  <si>
    <t>শিক্ষা/অর্থ</t>
  </si>
  <si>
    <t>কণ্টকবিনা কমল নাই কলঙ্কশূন্য চন্দ্র নাই</t>
  </si>
  <si>
    <t>কাঁটা ছাড়া পদ্ম নেই, কলঙ্কহীন চাঁদ নেই</t>
  </si>
  <si>
    <t>ত্রুটি ছাড়া কিছুই পরিপূর্ণ নয়</t>
  </si>
  <si>
    <t>No lotus without thorns, no moon without spot.</t>
  </si>
  <si>
    <t>কণ্টকেনৈব কণ্টকম</t>
  </si>
  <si>
    <t>এক শত্রু দিয়ে অন্য শত্রু নিধন</t>
  </si>
  <si>
    <t>Using a thorn to remove a thorn.</t>
  </si>
  <si>
    <t>কত আস্তে তুমি হাঁটছো তাতে কিছু যায় আসে না যতক্ষণ না তুমি থামছো- কনফুসিয়াস</t>
  </si>
  <si>
    <t>কত ধীরে হাঁটছ তাতে কিছু যায় আসে না, যতক্ষণ থামছ না</t>
  </si>
  <si>
    <t>গতি ধীর হলেও থামা চলবে না</t>
  </si>
  <si>
    <t>It doesn't matter how slowly you walk, as long as you don't stop.</t>
  </si>
  <si>
    <t>কত আর থাকিব আমি লক্ষ্মণের ফল ধরা হয়ে</t>
  </si>
  <si>
    <t>কত আর থাকব আমি লক্ষ্মণের ফল ধরা হয়ে</t>
  </si>
  <si>
    <t>সব দোষ নিজের ঘাড়ে নেওয়া আর কতদিন?</t>
  </si>
  <si>
    <t>How long must I be the scapegoat like Lakshman holding the fruit?</t>
  </si>
  <si>
    <t>কতই বা দেখবো আর ছুঁচোর/বানরের গলায় চন্দ্রহার১</t>
  </si>
  <si>
    <t>কতই আর দেখব ছুঁচোর গলায় চন্দ্রহার?</t>
  </si>
  <si>
    <t>অযোগ্যের যোগ্য জিনিস দেখে ধৈর্য হারানো</t>
  </si>
  <si>
    <t>How long must I see a necklace on a shrew/monkey?—outrage.</t>
  </si>
  <si>
    <t>কতই বা দেখবো আর ছুঁচোর গলায় চন্দ্রহার২</t>
  </si>
  <si>
    <t>কতই আর দেখব ছুঁচোর গলায় চন্দ্রহার (দ্বিতীয়)</t>
  </si>
  <si>
    <t>অপাত্রে রত্ন দেখে বিরক্তি</t>
  </si>
  <si>
    <t>How much more of a shrew wearing a moon-necklace?</t>
  </si>
  <si>
    <t>কতই সাধ ছিলরে চিতে মলের আগে চুটকি দিতে</t>
  </si>
  <si>
    <t>কত সাধ ছিল চিতে, মলের আগে চুটকি দিতে</t>
  </si>
  <si>
    <t>মূল্যবান জিনিস পাওয়ার আগেই ছোট কিছুতে তৃপ্তি—হতাশা</t>
  </si>
  <si>
    <t>I longed to taste even a little before the main course—frustrated desire.</t>
  </si>
  <si>
    <t>কতক্ষণ রহে শিলা শূন্যেতে মারিলে- কাশীরাম দাস</t>
  </si>
  <si>
    <t>কতক্ষণ থাকে শিলা শূন্যে মারলে?</t>
  </si>
  <si>
    <t>শক্ত প্রতিরোধে কেউ স্থায়ী হয় না; বা প্রশ্নের জবাব নেই</t>
  </si>
  <si>
    <t>How long can a stone stay up if thrown in the air?—futility.</t>
  </si>
  <si>
    <t>কত জলে কত চাল/চিঁড়ে/মুসুরি ভেজে দেখো</t>
  </si>
  <si>
    <t>পরিস্থিতি বিচার করে কাজ করো</t>
  </si>
  <si>
    <t>See how much water wets how much rice/ flattened rice/ lentils—adapt.</t>
  </si>
  <si>
    <t>কত ঢং দেখালি গুয়ে, তুলসীতলায় শুয়ে শুয়ে</t>
  </si>
  <si>
    <t>নীচ লোক বাহ্যিক সাধুতা দেখায়</t>
  </si>
  <si>
    <t>How many tricks you display, dung, lying under the Tulsi plant!</t>
  </si>
  <si>
    <t>কত ধানে কত চাল জান না কোন হিসাব রাখ না</t>
  </si>
  <si>
    <t>কত ধানে কত চাল জান না, হিসাব রাখ না</t>
  </si>
  <si>
    <t>হিসাব নাই; হিসাব না রাখা</t>
  </si>
  <si>
    <t>You don't know the proportion of rice to paddy—no sense of account.</t>
  </si>
  <si>
    <t>কত রঙ্গ দেখালে মাসি</t>
  </si>
  <si>
    <t>নানান কৌতুক বা আচরণ দেখালে</t>
  </si>
  <si>
    <t>How many antics you've shown, aunt!</t>
  </si>
  <si>
    <t>মাসি/নারী</t>
  </si>
  <si>
    <t>কত রবি জ্বলেরে কেবা আঁখি মেলেরে!</t>
  </si>
  <si>
    <t>কত সূর্য জ্বলে, কে চোখ মেলবে?</t>
  </si>
  <si>
    <t>অসাধারণ প্রতিভা থাকলেও কেউ দেখে না</t>
  </si>
  <si>
    <t>How many suns burn, who opens eyes to see?</t>
  </si>
  <si>
    <t>অমূল্যায়ন</t>
  </si>
  <si>
    <t>কত শত গেল রথি শেওড়াতলার চক্রবর্তী</t>
  </si>
  <si>
    <t>কত শত রথী গেল, শেওড়াতলার চক্রবর্তী (রাজা)</t>
  </si>
  <si>
    <t>সাধারণ জিনিসও বড় হয়ে যায়; অতি সাধারণের অহংকার</t>
  </si>
  <si>
    <t>Hundreds of charioteers passed, but the king of the sheora tree roots!—parvenu.</t>
  </si>
  <si>
    <t>কথং মারাত্মকে ত্বয়ি বিশ্বাসঃ</t>
  </si>
  <si>
    <t>হে হত্যাকারী, তোমার উপর কী করে বিশ্বাস করি?</t>
  </si>
  <si>
    <t>যে খুন করতে পারে, তাকে বিশ্বাস করা যায় না</t>
  </si>
  <si>
    <t>How can I trust you, a murderer?</t>
  </si>
  <si>
    <t>কথা কম কাজ বেশী</t>
  </si>
  <si>
    <t>কথা কম, কাজ বেশি</t>
  </si>
  <si>
    <t>কম বলো, বেশি করো</t>
  </si>
  <si>
    <t>Less talk, more work.</t>
  </si>
  <si>
    <t>কথা কম বললে ক্ষতি কম হয়</t>
  </si>
  <si>
    <t>বেশি কথা বললে ঝামেলা বাড়ে</t>
  </si>
  <si>
    <t>Less speaking, less harm.</t>
  </si>
  <si>
    <t>কথা কয় না ঘাড় নাড়ে সেই বাঘ মানুষ মারে</t>
  </si>
  <si>
    <t>কথা কয় না, ঘাড় নাড়ে; সেই বাঘ মানুষ মারে</t>
  </si>
  <si>
    <t>নীরব ঘাতক সবচেয়ে ভয়ানক</t>
  </si>
  <si>
    <t>The tiger that doesn't speak but nods its head kills people—silent threat.</t>
  </si>
  <si>
    <t>কথা টলার চেয়ে পা টলা (আছাড় খাওয়া) ভালো১</t>
  </si>
  <si>
    <t>কথা টলার চেয়ে পা টলা (পা পিছলে পড়া) ভালো</t>
  </si>
  <si>
    <t>কথা না রাখার চেয়ে পা পিছলে পড়া ভালো</t>
  </si>
  <si>
    <t>Better slip of the foot than slip of the tongue.</t>
  </si>
  <si>
    <t>কথা টলার চেয়ে পা টলা ভালো১</t>
  </si>
  <si>
    <t>কথা টলার চেয়ে পা টলা ভালো (পুনরাবৃত্তি)</t>
  </si>
  <si>
    <t>কথার ভুল শারীরিক ভুলের চেয়ে ভয়ঙ্কর</t>
  </si>
  <si>
    <t>Better a stumble than a broken promise.</t>
  </si>
  <si>
    <t>কথা দিয়ো ধীরে; কাজ করো তীরে (দ্রুত)</t>
  </si>
  <si>
    <t>কথা দিয়ো ধীরে, কাজ করো তীরে (তীরের মতো দ্রুত)</t>
  </si>
  <si>
    <t>প্রতিশ্রুতি ভেবেচিন্তে, কাজ দ্রুত</t>
  </si>
  <si>
    <t>Promise slowly, act quickly.</t>
  </si>
  <si>
    <t>কথা বললে বার্তার সৃষ্টি হয়</t>
  </si>
  <si>
    <t>কথা বললেই বার্তার সৃষ্টি হয়</t>
  </si>
  <si>
    <t>কথা বললে আলোচনা এগোয়</t>
  </si>
  <si>
    <t>Speaking creates communication.</t>
  </si>
  <si>
    <t>কথা বলা থেকে কথা শোনার দাম বেশী</t>
  </si>
  <si>
    <t>কথা বলার চেয়ে কথা শোনার দাম বেশি</t>
  </si>
  <si>
    <t>শোনা বলা থেকে বেশি মূল্যবান</t>
  </si>
  <si>
    <t>Listening is worth more than speaking.</t>
  </si>
  <si>
    <t>কথা বেচে খাওয়া১</t>
  </si>
  <si>
    <t>কথা বেচে খাওয়া</t>
  </si>
  <si>
    <t>গল্প করে জীবিকা নির্বাহ</t>
  </si>
  <si>
    <t>Selling words for a living—talking as a trade.</t>
  </si>
  <si>
    <t>কথা বেচে খাওয়া২</t>
  </si>
  <si>
    <t>কথা বেচে খাওয়া (দ্বিতীয়)</t>
  </si>
  <si>
    <t>কথা বলে টাকা রোজগার</t>
  </si>
  <si>
    <t>Earning by speaking.</t>
  </si>
  <si>
    <t>কথাবার্তায় ক্রোধের পরিমাণ খাবারের লবণের মত</t>
  </si>
  <si>
    <t>কথাবার্তায় ক্রোধের পরিমাণ খাবারের লবণের মতো</t>
  </si>
  <si>
    <t>ক্রোধ পরিমিত হওয়া উচিত, যেমন লবণ</t>
  </si>
  <si>
    <t>Anger in speech should be like salt in food—just enough.</t>
  </si>
  <si>
    <t>কথা শুনে পেটের ভাত চাল হয়ে যায়</t>
  </si>
  <si>
    <t>ভয়ানক কথা শুনে হজম নষ্ট; মানসিক আঘাত</t>
  </si>
  <si>
    <t>Hearing those words, the rice in my stomach turned to raw paddy—shock.</t>
  </si>
  <si>
    <t>কথা শুনে হরিভক্তি উড়ে গেল</t>
  </si>
  <si>
    <t>রাগান্বিত হয়ে ভক্তিও লোপ পাওয়া</t>
  </si>
  <si>
    <t>Hearing those words, my devotion to Hari flew away.</t>
  </si>
  <si>
    <t>কথা শোন দ্রুত কথা বল ধীরে</t>
  </si>
  <si>
    <t>কথা শোন দ্রুত, কথা বল ধীরে</t>
  </si>
  <si>
    <t>শুনতে দ্রুত, বলতে ধীর</t>
  </si>
  <si>
    <t>Listen quickly, speak slowly.</t>
  </si>
  <si>
    <t>কথায় কথা বাড়ে ভোজনে পেট বাড়ে</t>
  </si>
  <si>
    <t>কথায় কথা বাড়ে, ভোজনে পেট বাড়ে</t>
  </si>
  <si>
    <t>কথা বলতে থাকলে কথার শৃঙ্খল বাড়ে, যেমন খেতে থাকলে পেট বাড়ে</t>
  </si>
  <si>
    <t>Talk grows with talk, belly grows with eating.</t>
  </si>
  <si>
    <t>কথায় কথা বাড়ে, ক্রোধে হয় ঝড়, কথা না বাড়িয়ে সখি যাও তবে ঘর</t>
  </si>
  <si>
    <t>কথায় কথা বাড়ে, ক্রোধে ঝড় ওঠে; কথা না বাড়িয়ে সখি, যাও তবে ঘর</t>
  </si>
  <si>
    <t>কথা বাড়ালে রাগ বাড়ে; চুপ থেকে ঘরে ফেরাই ভালো</t>
  </si>
  <si>
    <t>Words multiply words, anger stirs a storm; without more words, friend, go home.</t>
  </si>
  <si>
    <t>কথায় কথায় রাজা উজীর মারে</t>
  </si>
  <si>
    <t>কথা বলতে বলতে বড় বড় কথা বলে; অহংকার</t>
  </si>
  <si>
    <t>In talk, he kills kings and ministers—bragging.</t>
  </si>
  <si>
    <t>কথায় কলসী/পেট ভরে না১</t>
  </si>
  <si>
    <t>কথায় কলসী/পেট ভরে না</t>
  </si>
  <si>
    <t>শুধু কথায় পেট ভরে না; কাজের প্রয়োজন</t>
  </si>
  <si>
    <t>Words don't fill the pot/stomach.</t>
  </si>
  <si>
    <t>কথায় কলসী/পেট ভরে না২</t>
  </si>
  <si>
    <t>কথায় কলসী/পেট ভরে না (দ্বিতীয়)</t>
  </si>
  <si>
    <t>শুধু কথায় চলে না</t>
  </si>
  <si>
    <t>Empty words can't fill a belly.</t>
  </si>
  <si>
    <t>কথায় টলার চেয়ে পায়ে টলা ভালো</t>
  </si>
  <si>
    <t>মুখের কথার চেয়ে পা পিছলে পড়া ভালো</t>
  </si>
  <si>
    <t>Better to slip with foot than with tongue.</t>
  </si>
  <si>
    <t>কথায় নয় কাজে পরিচয়</t>
  </si>
  <si>
    <t>কথায় নয়, কাজে পরিচয়</t>
  </si>
  <si>
    <t>মানুষ তার কাজে পরিচিত হয়, কথায় নয়</t>
  </si>
  <si>
    <t>One is known by deeds, not words.</t>
  </si>
  <si>
    <t>কথায় বড় হতে হবে না, কাজে বড় হও</t>
  </si>
  <si>
    <t>বক্তৃতা নয়, কাজে উন্নতি করো</t>
  </si>
  <si>
    <t>Don't be great in words, be great in actions.</t>
  </si>
  <si>
    <t>কথায় বলে কথায় থাকো</t>
  </si>
  <si>
    <t>কাজ না করে শুধু কথায় সময় নষ্ট</t>
  </si>
  <si>
    <t>Keep talking; stay in words—no action.</t>
  </si>
  <si>
    <t>কথায় মন ভিজে চিঁড়ে ভেজে না</t>
  </si>
  <si>
    <t>কথায় মন ভিজে, কিন্তু চিঁড়ে ভেজে না</t>
  </si>
  <si>
    <t>শুধু কথায় চলে না, কাজও চাই</t>
  </si>
  <si>
    <t>Heart softens with words, but rice doesn't get soaked—action needed.</t>
  </si>
  <si>
    <t>কথার কথা কাজের নহে</t>
  </si>
  <si>
    <t>কথার কথা কাজের নয়</t>
  </si>
  <si>
    <t>শুধু কথায় কাজ হয় না</t>
  </si>
  <si>
    <t>Talk is not work.</t>
  </si>
  <si>
    <t>কথার কোন মাথা নেই ব্যাঙে খায় চিঁড়ে দই</t>
  </si>
  <si>
    <t>কথার কোন মাথা নেই, ব্যাঙ খায় চিঁড়ে দই</t>
  </si>
  <si>
    <t>অদ্ভুত আজগুবি কথা</t>
  </si>
  <si>
    <t>No sense in words—frogs eat flattened rice and yogurt!</t>
  </si>
  <si>
    <t>কথার গুণে বার্তা নষ্ট১</t>
  </si>
  <si>
    <t>কথার গুণে বার্তা নষ্ট</t>
  </si>
  <si>
    <t>অতি কথায় আসল বার্তা নষ্ট</t>
  </si>
  <si>
    <t>কথার গুণে বার্তা নষ্ট২</t>
  </si>
  <si>
    <t>কথার গুণে বার্তা নষ্ট (দ্বিতীয়)</t>
  </si>
  <si>
    <t>বাগাড়ম্বরে মূল বক্তব্য হারিয়ে যায়</t>
  </si>
  <si>
    <t>The message gets lost in the flood of words.</t>
  </si>
  <si>
    <t>কথার চেয়ে কাজের গলা বেশি দরাজ</t>
  </si>
  <si>
    <t>কাজের জোর কথা থেকে বেশি</t>
  </si>
  <si>
    <t>Deeds speak louder than words.</t>
  </si>
  <si>
    <t>কথার বেলায় ঢুসঢাস কাজের বেলায় হাওয়া</t>
  </si>
  <si>
    <t>কথার বেলায় ঢুসঢাস, কাজের বেলায় হাওয়া</t>
  </si>
  <si>
    <t>কথায় পটু, কাজে ফাঁকি</t>
  </si>
  <si>
    <t>Great in talk, breeze in action—all words, no work.</t>
  </si>
  <si>
    <t>কদম গাছের কানাই</t>
  </si>
  <si>
    <t>কদম গাছের কানাই (কৃষ্ণ)</t>
  </si>
  <si>
    <t>কালো কদম গাছের সঙ্গে কৃষ্ণের তুলনা; ব্যঙ্গ</t>
  </si>
  <si>
    <t>Kanai (Krishna) of the kadam tree—a joke.</t>
  </si>
  <si>
    <t>কন্‌ওয়া বৈল্‌ বয়ারে সন্কৈ</t>
  </si>
  <si>
    <t>কনওয়া (মৃত পতির) বৈল (ষাঁড়) বয়ারে সন্কৈ (হিন্দি/ব্রজ)</t>
  </si>
  <si>
    <t>অপ্রাসঙ্গিক তুলনা; অর্থহীন</t>
  </si>
  <si>
    <t>The widow's bull and the wind—nonsense.</t>
  </si>
  <si>
    <t>কনের ঘরের মাসি বরের ঘরের পিসি১</t>
  </si>
  <si>
    <t>কনের ঘরের মাসি, বরের ঘরের পিসি</t>
  </si>
  <si>
    <t>উভয় পক্ষের আত্মীয়; সব জায়গায় সম্পর্ক</t>
  </si>
  <si>
    <t>Aunt of the bride's side, aunt of the groom's side—both relatives.</t>
  </si>
  <si>
    <t>মাসি/পিসি (নারী)</t>
  </si>
  <si>
    <t>কনের ঘরের মাসি বরের ঘরের পিসি২</t>
  </si>
  <si>
    <t>কনের ঘরের মাসি, বরের ঘরের পিসি (দ্বিতীয়)</t>
  </si>
  <si>
    <t>সর্বত্র সম্পর্ক থাকা; সুবিধা</t>
  </si>
  <si>
    <t>Bride's side aunt, groom's side aunt—connections everywhere.</t>
  </si>
  <si>
    <t>কনের বাপ বসে বসে চোখের জলে ভাসে বরের বাপ বসে আছে পাঁচশ টাকার আশে</t>
  </si>
  <si>
    <t>কনের বাপ কাঁদে, বরের বাপ বসে আছে টাকার আশায়</t>
  </si>
  <si>
    <t>বিয়েতে কনেপক্ষের দুঃখ, বরপক্ষের লাভের আশা</t>
  </si>
  <si>
    <t>Bride's father weeps; groom's father sits hoping for five hundred rupees.</t>
  </si>
  <si>
    <t>বরের বাপ/কনের বাপ (পুরুষ)</t>
  </si>
  <si>
    <t>কনের মা কাঁদে আর টাকার পুটুলি বাঁধে</t>
  </si>
  <si>
    <t>কনের মা কান্নার মধ্যেও টাকার গোছা বাঁধে; বাস্তববাদ</t>
  </si>
  <si>
    <t>Bride's mother weeps while tying bundles of money—pragmatism.</t>
  </si>
  <si>
    <t>কনের মা/নারী</t>
  </si>
  <si>
    <t>কন্যা বরয়তে রূপং মাতা বিত্তং পিতা শ্রুতম্। বান্ধবাঃ বরয়তে কুলমিচ্ছন্তি মিষ্টান্নমিতরে জনাঃ। (চাণক্য)</t>
  </si>
  <si>
    <t>কন্যা রূপ চায়, মা চায় অর্থ, পিতা চায় বিদ্যা; বান্ধব চায় কুল, আর অন্য সবাই চায় মিষ্টান্ন</t>
  </si>
  <si>
    <t>সবাই নিজের স্বার্থ দেখে</t>
  </si>
  <si>
    <t>The daughter seeks beauty, mother wealth, father learning; relatives look for family, others for sweets.</t>
  </si>
  <si>
    <t>কপটপ্রেমে লুকোচুরি মুখে মধু হৃদে ছুরি</t>
  </si>
  <si>
    <t>কপটপ্রেমে লুকোচুরি, মুখে মধু, হৃদয়ে ছুরি</t>
  </si>
  <si>
    <t>ভণ্ড প্রেমে মুখে মিষ্টি মনে খলতা</t>
  </si>
  <si>
    <t>False love is hide-and-seek; honey on lips, a knife in heart.</t>
  </si>
  <si>
    <t>কপট প্রেমিক/প্রেমিকা</t>
  </si>
  <si>
    <t>কপট বন্ধুত্ব প্রকাশ্য শত্রুতা থেকে খারাপ</t>
  </si>
  <si>
    <t>কপট বন্ধুত্ব প্রকাশ্য শত্রুতার চেয়ে খারাপ</t>
  </si>
  <si>
    <t>গোপন শত্রুতা বেশি ভয়ঙ্কর</t>
  </si>
  <si>
    <t>Hypocritical friendship is worse than open enmity.</t>
  </si>
  <si>
    <t>কপালগুণে গোপালঠাকুর</t>
  </si>
  <si>
    <t>কপালগুণে গোপাল ঠাকুর (ধনী)</t>
  </si>
  <si>
    <t>ভাগ্যক্রমে ধনী; হঠাৎ বড়লোক</t>
  </si>
  <si>
    <t>By luck, a Gopal Thakur (wealthy)—fortunate.</t>
  </si>
  <si>
    <t>কপালছাড়া পথ নাই</t>
  </si>
  <si>
    <t>কপাল ছাড়া পথ নেই</t>
  </si>
  <si>
    <t>ভাগ্য ছাড়া উপায় নেই; ভাগ্যই সব</t>
  </si>
  <si>
    <t>There is no way except fate.</t>
  </si>
  <si>
    <t>কপাল ভাঙ্গলে জোড়া লাগে না</t>
  </si>
  <si>
    <t>কপাল ভাঙলে জোড়া লাগে না</t>
  </si>
  <si>
    <t>ভাগ্য নষ্ট হলে ফেরানো যায় না</t>
  </si>
  <si>
    <t>A broken fate cannot be mended.</t>
  </si>
  <si>
    <t>কপাল ভালো তো সব ভালো</t>
  </si>
  <si>
    <t>ভাগ্য ভালো হলে সব ঠিক হয়</t>
  </si>
  <si>
    <t>If fate is good, everything is good.</t>
  </si>
  <si>
    <t>কপালমূলং খলু সর্বদুঃখম</t>
  </si>
  <si>
    <t>কপালই সমস্ত দুঃখের মূল</t>
  </si>
  <si>
    <t>ভাগ্যই সব দুঃখের কারণ</t>
  </si>
  <si>
    <t>Fate is the root of all sorrow.</t>
  </si>
  <si>
    <t>কপাল যখন বাঁকে বেনাবনে বাঘ ঝাঁকে</t>
  </si>
  <si>
    <t>কপাল যখন বাঁকে (খারাপ হয়), তখন বেনাবনে বাঘের ঝাঁক</t>
  </si>
  <si>
    <t>ভাগ্য খারাপ হলে অসম্ভব বিপদও আসে</t>
  </si>
  <si>
    <t>When fate turns, tigers swarm in the wilderness.</t>
  </si>
  <si>
    <t>কপাল যখন মন্দ হয় বন্ধুলোকে মন্দ কয়</t>
  </si>
  <si>
    <t>কপাল মন্দ হলে বন্ধুরাও মন্দ বলে</t>
  </si>
  <si>
    <t>ভাগ্য খারাপ হলে বন্ধুরা শত্রু হয়ে যায়</t>
  </si>
  <si>
    <t>When fate is bad, even friends speak ill.</t>
  </si>
  <si>
    <t>কপাল সঙ্গে সঙ্গে যায়</t>
  </si>
  <si>
    <t>ভাগ্য সর্বদা সঙ্গে থাকে</t>
  </si>
  <si>
    <t>Fate goes with you everywhere.</t>
  </si>
  <si>
    <t>কপালে তোর নেইকো ঘি ঠকঠকালে হবে কি?</t>
  </si>
  <si>
    <t>কপালে তোর নেই ঘি, ঠকাঠক করে কী হবে?</t>
  </si>
  <si>
    <t>ভাগ্যে ভালো কিছু না থাকলে চেষ্টা বৃথা</t>
  </si>
  <si>
    <t>If there's no ghee in your fate, what use clattering?</t>
  </si>
  <si>
    <t>কপালের লিখন যায় না খণ্ডন</t>
  </si>
  <si>
    <t>কপালের লেখা যায় না খণ্ডানো</t>
  </si>
  <si>
    <t>ভাগ্যের লিপি বদলানো যায় না</t>
  </si>
  <si>
    <t>What is written on the forehead cannot be erased.</t>
  </si>
  <si>
    <t>কফিনে শেষ পেরেক ঠোকা/মারা</t>
  </si>
  <si>
    <t>কফিনে শেষ পেরেক ঠোকা</t>
  </si>
  <si>
    <t>চূড়ান্ত আঘাত; শেষ মৃত্যুঘাত</t>
  </si>
  <si>
    <t>Driving the last nail in the coffin—final blow.</t>
  </si>
  <si>
    <t>কবে রাম রাজা হবে, তবে সীতা উদ্ধার পাবে</t>
  </si>
  <si>
    <t>কাজের আগে অনর্থক অপেক্ষা; দীর্ঘসূত্রতা</t>
  </si>
  <si>
    <t>When Ram becomes king, then Sita will be rescued—endless waiting.</t>
  </si>
  <si>
    <t>কম জলের/পানির মাছ বেশি জলে/পানিতে উঠলে ও মাছে বেশি লাফালাফি করে</t>
  </si>
  <si>
    <t>কম জলের মাছ বেশি জলে উঠলে বেশি লাফায়</t>
  </si>
  <si>
    <t>অল্পলোকে বড় পেলে বাড়াবাড়ি</t>
  </si>
  <si>
    <t>A fish from shallow water jumps more when moved to deep water—unaccustomed.</t>
  </si>
  <si>
    <t>কম্বল ও কমণ্ডুল না নিলে সাধু হওয়া যায় না</t>
  </si>
  <si>
    <t>বাহ্য আড়ম্বর ছাড়া সাধু হওয়া যায় না; ভণ্ডামি</t>
  </si>
  <si>
    <t>Without a blanket and water pot, one cannot be a saint—outward appearance matters.</t>
  </si>
  <si>
    <t>কম্বল(ভল্লুক) আমি ছেড়ে দিয়েছি কম্বল আমায় ছাড়ে না</t>
  </si>
  <si>
    <t>কম্বল (ভাল্লুক) আমি ছেড়েছি, কিন্তু কম্বল আমায় ছাড়ছে না</t>
  </si>
  <si>
    <t>অভ্যাস ত্যাগ করতে চাইলেও ছাড়া যায় না</t>
  </si>
  <si>
    <t>কম্বলের লোম বাছলে থাকে কি?</t>
  </si>
  <si>
    <t>কম্বলের লোম বাছলে কিছু থাকে?</t>
  </si>
  <si>
    <t>খুঁত ধরা শুরু করলে শেষ কিছুই থাকে না</t>
  </si>
  <si>
    <t>If you start picking hairs from a blanket, what remains?</t>
  </si>
  <si>
    <t>কয়লা খেয়েছো আঙরা হাগো</t>
  </si>
  <si>
    <t>কয়লা খেয়েছ, আঙরা হাগবে</t>
  </si>
  <si>
    <t>যে যা করে, তাই ফল পায়</t>
  </si>
  <si>
    <t>You ate coal; you'll excrete charcoal—reap what you sow.</t>
  </si>
  <si>
    <t>কয়লা ছাড়ে না ময়লা</t>
  </si>
  <si>
    <t>কয়লা ময়লা ছাড়ে না</t>
  </si>
  <si>
    <t>স্বভাব পরিবর্তন হয় না</t>
  </si>
  <si>
    <t>Coal never loses its blackness.</t>
  </si>
  <si>
    <t>কয়লা পুড়লে ময়লা যায়</t>
  </si>
  <si>
    <t>কষ্ট করলে দোষ দূর হয়</t>
  </si>
  <si>
    <t>If you burn coal, the dirt goes—purification through fire.</t>
  </si>
  <si>
    <t>শুদ্ধি</t>
  </si>
  <si>
    <t>কর গোবিন্দ বাপের শ্রাদ্ধ, আরও বামুন আছে</t>
  </si>
  <si>
    <t>কর গোবিন্দ, বাপের শ্রাদ্ধ; আরও ব্রাহ্মণ আছে</t>
  </si>
  <si>
    <t>সুযোগ পেলে কাজ সেরে নাও; পরে সুযোগ নাও থাকতে পারে</t>
  </si>
  <si>
    <t>Perform the ritual now, Govinda; there are still Brahmins around.</t>
  </si>
  <si>
    <t>করছে কীসের জাঁক, ময়না টিয়ে উড়িয়ে দিয়ে খাঁচায় পোষে কাক</t>
  </si>
  <si>
    <t>কীসের জাঁক, ময়না টিয়ে উড়িয়ে দিয়ে খাঁচায় কাক পোষে</t>
  </si>
  <si>
    <t>ভালো ছেড়ে মন্দ গ্রহণ; বোকামি</t>
  </si>
  <si>
    <t>What pretense! Letting go of mynah and parrot, and caging a crow—foolishness.</t>
  </si>
  <si>
    <t>করা থেকে বলা সহজ</t>
  </si>
  <si>
    <t>কাজের চেয়ে কথা বলা সহজ</t>
  </si>
  <si>
    <t>Easier said than done.</t>
  </si>
  <si>
    <t>করার আগে ভাবো, ভাবার আগে কোরো না</t>
  </si>
  <si>
    <t>করার আগে ভাবো, ভাবার আগে করো না</t>
  </si>
  <si>
    <t>চিন্তা করে কাজ করো</t>
  </si>
  <si>
    <t>Think before you act; don't act before thinking.</t>
  </si>
  <si>
    <t>করুণার পাত্র হওয়া থেকে শত্রু হওয়া ভাল</t>
  </si>
  <si>
    <t>করুণার পাত্র হওয়ার চেয়ে শত্রু হওয়া ভাল</t>
  </si>
  <si>
    <t>দয়া পাওয়া অপমানজনক; শত্রুতা বরং ভালো</t>
  </si>
  <si>
    <t>Better to be an enemy than an object of pity.</t>
  </si>
  <si>
    <t>কর্কশ কথা আগুনের জ্বালার চেয়েও ভয়ঙ্কর</t>
  </si>
  <si>
    <t>কঠোর কথা আগুনের চেয়েও বেশি জ্বালায়</t>
  </si>
  <si>
    <t>Harsh words burn worse than fire.</t>
  </si>
  <si>
    <t>কর্জ করে যেই কষ্ট পায়/ভোগে সেই</t>
  </si>
  <si>
    <t>ঋণ করে যেই, কষ্ট পায় সেই</t>
  </si>
  <si>
    <t>যে ঋণ করে, সেই ভোগে</t>
  </si>
  <si>
    <t>He who borrows, suffers.</t>
  </si>
  <si>
    <t>কর্তব্যো নাতি সঞ্চয়ঃ</t>
  </si>
  <si>
    <t>অতিরিক্ত সঞ্চয় করা উচিত নয়</t>
  </si>
  <si>
    <t>সঞ্চয়ের প্রতি অতিরিক্ত আসক্তি অনুচিত</t>
  </si>
  <si>
    <t>Excessive saving is not a duty.</t>
  </si>
  <si>
    <t>কর্তা মুগের ডাল খান না; কেন খান না; পান না, তাই খান না</t>
  </si>
  <si>
    <t>কর্তা মুগের ডাল খান না, কারণ পান না</t>
  </si>
  <si>
    <t>না পেয়ে খান না; ভণ্ডামি</t>
  </si>
  <si>
    <t>The master doesn't eat mung lentil soup; because he doesn't get it—pretension.</t>
  </si>
  <si>
    <t>কর্তা যে ঘি খান না, তা এক আচঁড়েই মালুম</t>
  </si>
  <si>
    <t>কর্তা যে ঘি খান না, তা এক আঁচড়েই বোঝা যায়</t>
  </si>
  <si>
    <t>লক্ষণেই বোঝা যায়</t>
  </si>
  <si>
    <t>That the master doesn't eat ghee is evident at a glance.</t>
  </si>
  <si>
    <t>কর্তার ইচ্ছায় কর্ম উলুবনে কেত্তন</t>
  </si>
  <si>
    <t>কর্তার ইচ্ছায় কর্ম, উলুবনে কীর্তন</t>
  </si>
  <si>
    <t>যেমন মালিক তেমন কাজ; অবান্তর কাজ</t>
  </si>
  <si>
    <t>As the master wishes, so the work—even a hymn in a reed forest.</t>
  </si>
  <si>
    <t>স্বেচ্ছাচারিতা</t>
  </si>
  <si>
    <t>কর্মণা বাধ্যতে বুদ্ধিঃ ন বুদ্ধ্যা বাধ্যতে কর্ম</t>
  </si>
  <si>
    <t>কর্মের দ্বারা বুদ্ধি আবদ্ধ হয়, বুদ্ধির দ্বারা কর্ম নয়</t>
  </si>
  <si>
    <t>কাজই বুদ্ধিকে পরিচালিত করে</t>
  </si>
  <si>
    <t>Action controls intellect, not vice versa.</t>
  </si>
  <si>
    <t>কর্মণ্যেবাধিকারস্তে মা ফলেষু কদাচন</t>
  </si>
  <si>
    <t>কর্মেই তোমার অধিকার, ফলে কখনো নয় (গীতা)</t>
  </si>
  <si>
    <t>তুমি কাজ কর, ফল ঈশ্বরের হাতে ছেড়ে দাও</t>
  </si>
  <si>
    <t>You have the right to work, never to the fruits.</t>
  </si>
  <si>
    <t>কর্মদোষেণ দরিদ্রতা</t>
  </si>
  <si>
    <t>কর্মদোষে দারিদ্র্য</t>
  </si>
  <si>
    <t>নিজের কর্মদোষেই দারিদ্র্য আসে</t>
  </si>
  <si>
    <t>Poverty is due to one's own faulty actions.</t>
  </si>
  <si>
    <t>কলঙ্ক গঙ্গাজলে ধুলেও যায় না</t>
  </si>
  <si>
    <t>কলঙ্ক গঙ্গাজলেও ধোয় না</t>
  </si>
  <si>
    <t>কলঙ্ক কখনো মোছে না</t>
  </si>
  <si>
    <t>Stain cannot be washed away even with Ganga water.</t>
  </si>
  <si>
    <t>কলঙ্ক</t>
  </si>
  <si>
    <t>কলঙ্ক বিনা চাঁদ নাই</t>
  </si>
  <si>
    <t>কলঙ্ক ছাড়া চাঁদ নেই</t>
  </si>
  <si>
    <t>দোষহীন কিছু নেই</t>
  </si>
  <si>
    <t>There's no moon without a spot.</t>
  </si>
  <si>
    <t>কলসির জল গড়তে গড়তেই শেষ</t>
  </si>
  <si>
    <t>কলসির জল ঢালতে ঢালতে শেষ</t>
  </si>
  <si>
    <t>ধীরে ধীরে সম্পদ শেষ হয়; বা সময় ফুরায়</t>
  </si>
  <si>
    <t>The pot's water ends while being poured—gradual loss.</t>
  </si>
  <si>
    <t>কলাপোড়া খাও</t>
  </si>
  <si>
    <t>বাজে কাজ করো; বা বিরক্তিকর খাও</t>
  </si>
  <si>
    <t>Eat burnt banana—do something unpleasant.</t>
  </si>
  <si>
    <t>কলার ভেলায় সাগর পার১</t>
  </si>
  <si>
    <t>কলার ভেলায় সাগর পার</t>
  </si>
  <si>
    <t>সামান্য উপকরণে বিরাট কাজ</t>
  </si>
  <si>
    <t>Cross the sea on a banana raft—impossible feat.</t>
  </si>
  <si>
    <t>কলার ভেলায় সাগর পার২</t>
  </si>
  <si>
    <t>কলার ভেলায় সাগর পার (দ্বিতীয়)</t>
  </si>
  <si>
    <t>সামান্য উপায়ে বড় কিছু করার চেষ্টা</t>
  </si>
  <si>
    <t>Crossing the sea on a banana raft—overambitious.</t>
  </si>
  <si>
    <t>কলিতে সোনা পিতল হলো</t>
  </si>
  <si>
    <t>কলিতে সোনা পিতল হয়ে গেছে</t>
  </si>
  <si>
    <t>কলিযুগে মূল্যবান জিনিসের অবমূল্যায়ন</t>
  </si>
  <si>
    <t>In Kali Yuga, gold has turned to brass—degradation.</t>
  </si>
  <si>
    <t>কলির অবতার</t>
  </si>
  <si>
    <t>কলিযুগের অশুভ প্রতিনিধি</t>
  </si>
  <si>
    <t>Incarnation of Kali Yuga—a wicked person.</t>
  </si>
  <si>
    <t>দুষ্ট ব্যক্তি</t>
  </si>
  <si>
    <t>কলির অর্জুন</t>
  </si>
  <si>
    <t>কলিতে অর্জুনের মতো বীর; ব্যঙ্গ</t>
  </si>
  <si>
    <t>The Arjuna of Kali Yuga—a mock hero.</t>
  </si>
  <si>
    <t>কলির কেষ্ট১</t>
  </si>
  <si>
    <t>কলির কেষ্ট (কৃষ্ণ)</t>
  </si>
  <si>
    <t>কলির কৃষ্ণ; ধূর্ত বা খারাপ লোক</t>
  </si>
  <si>
    <t>The Krishna of Kali Yuga—a cunning fellow.</t>
  </si>
  <si>
    <t>কলির কেষ্ট২</t>
  </si>
  <si>
    <t>কলির কেষ্ট (দ্বিতীয়)</t>
  </si>
  <si>
    <t>কলিযুগের কৃষ্ণ; শঠ</t>
  </si>
  <si>
    <t>Kali's Krishna—a trickster.</t>
  </si>
  <si>
    <t>কলির প্রহ্লাদ</t>
  </si>
  <si>
    <t>কলিতে প্রহ্লাদ; প্রকৃত ভক্ত নয়, ভণ্ড</t>
  </si>
  <si>
    <t>Prahlad of Kali Yuga—a false devotee.</t>
  </si>
  <si>
    <t>কলির ভীম/ভীমসেন</t>
  </si>
  <si>
    <t>কলিতে ভীম; পেটুক বা অকর্মণ্য</t>
  </si>
  <si>
    <t>The Bhima of Kali Yuga—a glutton.</t>
  </si>
  <si>
    <t>কলির যুধিষ্ঠির</t>
  </si>
  <si>
    <t>কলিতে যুধিষ্ঠির; ধর্মপরায়ণতার ভান</t>
  </si>
  <si>
    <t>The Yudhishthira of Kali Yuga—pretends to be righteous.</t>
  </si>
  <si>
    <t>কলির লক্ষ্মী</t>
  </si>
  <si>
    <t>কলিতে লক্ষ্মী; অর্থলোলুপ নারী বা অশুভ</t>
  </si>
  <si>
    <t>Lakshmi of Kali Yuga—a greedy woman.</t>
  </si>
  <si>
    <t>নারী (অর্থলোভী)</t>
  </si>
  <si>
    <t>লিঙ্গ/ব্যঙ্গ</t>
  </si>
  <si>
    <t>কলির সন্ধ্যা</t>
  </si>
  <si>
    <t>কলিযুগের সন্ধ্যা; অন্ধকার ও অমঙ্গলের সূচনা</t>
  </si>
  <si>
    <t>The twilight of Kali Yuga—ominous times.</t>
  </si>
  <si>
    <t>কলুর বলদ</t>
  </si>
  <si>
    <t>সারাক্ষণ এক জায়গায় ঘুরতে থাকা; অন্ধ অনুকরণ</t>
  </si>
  <si>
    <t>The oil-presser's bull—endlessly circling, blind routine.</t>
  </si>
  <si>
    <t>যান্ত্রিকতা</t>
  </si>
  <si>
    <t>কল্পনার ডানা পাখা মেলে</t>
  </si>
  <si>
    <t>কল্পনায় দূর আকাশে উড়া</t>
  </si>
  <si>
    <t>Spreading the wings of imagination—dreaming.</t>
  </si>
  <si>
    <t>কল্পান্তস্থায়িনো গুণাঃ</t>
  </si>
  <si>
    <t>গুণাবলী কল্পকাল স্থায়ী হয়</t>
  </si>
  <si>
    <t>ভালো গুণ চিরস্থায়ী</t>
  </si>
  <si>
    <t>Virtues last till the end of the age.</t>
  </si>
  <si>
    <t>কল্লার (দুষ্ট) ঘাড় বোল্লায় (বোলতা) ভাঙে</t>
  </si>
  <si>
    <t>দুষ্টের ঘাড় বোলতায় ভাঙে</t>
  </si>
  <si>
    <t>যে দুষ্ট তার ওপর বোলতা বসে; কুকর্মের ফল</t>
  </si>
  <si>
    <t>The wicked gets wasp stings on the neck—karma.</t>
  </si>
  <si>
    <t>কল্লে যত্ন মেলে রত্ন</t>
  </si>
  <si>
    <t>চেষ্টা করলে রত্ন মেলে</t>
  </si>
  <si>
    <t>পরিশ্রম করলে মূল্যবান ফল পাওয়া যায়</t>
  </si>
  <si>
    <t>If you try, you'll find gems.</t>
  </si>
  <si>
    <t>কষতে কষতে বাঁধন ছেঁড়ে</t>
  </si>
  <si>
    <t>চাপ বাড়ালে প্রতিরোধও বাড়ে; শেষে বন্ধন ছিড়ে যায়</t>
  </si>
  <si>
    <t>Pulling too hard breaks the bond.</t>
  </si>
  <si>
    <t>চাপ</t>
  </si>
  <si>
    <t>কষ্ট দিয়ে দান আর পিত্তি মেরে ভোজন</t>
  </si>
  <si>
    <t>কষ্ট দিয়ে দান, আর পিত্তি মেরে ভোজন</t>
  </si>
  <si>
    <t>অনিচ্ছায় দান ও কষ্ট করে খাওয়া</t>
  </si>
  <si>
    <t>Charity given with pain, eating with bitterness—both forced.</t>
  </si>
  <si>
    <t>অনিচ্ছা</t>
  </si>
  <si>
    <t>কষ্ট না করলে কেষ্ট মিলে না</t>
  </si>
  <si>
    <t>কষ্ট না করলে কেষ্ট (কৃষ্ণ) পাওয়া যায় না</t>
  </si>
  <si>
    <t>পরিশ্রম ছাড়া কিছু মেলে না</t>
  </si>
  <si>
    <t>Without pain, you cannot find Krishna.</t>
  </si>
  <si>
    <t>কষ্টবিনা মানুষ সম্পূর্ণ হয় না, ঘর্ষণবিনা রত্ন উজ্বল হয় হয় না- কনফুসিয়াস</t>
  </si>
  <si>
    <t>কষ্ট ছাড়া মানুষ পূর্ণ হয় না, ঘর্ষণ ছাড়া রত্ন উজ্জ্বল হয় না</t>
  </si>
  <si>
    <t>কষ্টই মানুষকে গড়ে, পাথর ঘষলে রত্ন চকচক করে</t>
  </si>
  <si>
    <t>Man is perfected through suffering; a gem is polished by friction.</t>
  </si>
  <si>
    <t>কসুরও নাই কামাইও নাই</t>
  </si>
  <si>
    <t>কসুরও নেই, কামাইও নেই</t>
  </si>
  <si>
    <t>কোনো ঘাটতি বা ছুটি নেই; একটানা কাজ</t>
  </si>
  <si>
    <t>No fault, no break—unending work.</t>
  </si>
  <si>
    <t>কস্য নাভ্যুদয়ে হেতুর্ভবেৎ সাধুসমাগমঃ</t>
  </si>
  <si>
    <t>কার অভ্যুদয়ের কারণ সাধুসমাগম নয়?</t>
  </si>
  <si>
    <t>সাধু সঙ্গই উন্নতির মূল</t>
  </si>
  <si>
    <t>For whom is not the company of the virtuous the cause of prosperity?</t>
  </si>
  <si>
    <t>কস্য মাতা, কস্য পিতা, কস্য ভ্রাতা সহোদরঃ কা কস্য পরিবেদনা</t>
  </si>
  <si>
    <t>কার মা, কার বাবা, কার ভাই সহোদর? কে কার চিন্তা করে?</t>
  </si>
  <si>
    <t>জগতে কেউ কারো নয়</t>
  </si>
  <si>
    <t>Whose mother, whose father, whose brother? Who cares for whom?</t>
  </si>
  <si>
    <t>নিঃসঙ্গতা</t>
  </si>
  <si>
    <t>কহাঁ রাজা ভোজ ঔর কহাঁ গঙ্গু তেলী</t>
  </si>
  <si>
    <t>কোথায় রাজা ভোজ, আর কোথায় গঙ্গু তেলী</t>
  </si>
  <si>
    <t>দুজনের মধ্যে আকাশ-পাতাল তফাৎ</t>
  </si>
  <si>
    <t>Where is King Bhoj, and where is Gangu the oilman?—a world of difference.</t>
  </si>
  <si>
    <t>কাঁচপোকায় আরশোলা খায়/ধরে</t>
  </si>
  <si>
    <t>কাঁচপোকা (জোনাকি) আরশোলা ধরে</t>
  </si>
  <si>
    <t>ছোট দিয়েও বড় কাজ করা যায়; দুর্বলের বড় শিকার</t>
  </si>
  <si>
    <t>A firefly catches a cockroach—small overcomes big.</t>
  </si>
  <si>
    <t>কাঁচা কাজ করা নেই</t>
  </si>
  <si>
    <t>অপক্ক কাজ ঠিক নয়; কাজ নিখুঁত হওয়া উচিত</t>
  </si>
  <si>
    <t>Never do half-done work.</t>
  </si>
  <si>
    <t>কাঁচা খাই ডাসা খাই আর খাই পাকা</t>
  </si>
  <si>
    <t>কাঁচা খাই, ডাসা খাই, আর পাকাও খাই</t>
  </si>
  <si>
    <t>সব খাই, বাছ-বিচার নেই</t>
  </si>
  <si>
    <t>I eat raw, half-ripe, and ripe—indiscriminate eating.</t>
  </si>
  <si>
    <t>কাঁচা গাঁথুনির দুনো খাটুনি</t>
  </si>
  <si>
    <t>কাঁচা গাঁথুনিতে দ্বিগুণ খাটুনি</t>
  </si>
  <si>
    <t>আধাপাকা কাজে পরে বেশি পরিশ্রম করতে হয়</t>
  </si>
  <si>
    <t>Crude construction means double work later.</t>
  </si>
  <si>
    <t>কাঁচা গুয়ে ঢিল মারা</t>
  </si>
  <si>
    <t>নোংরা কাজ করা; অন্যায় কাজ</t>
  </si>
  <si>
    <t>Throwing a stone at fresh dung—a dirty act.</t>
  </si>
  <si>
    <t>কাঁচা বাঁশে ঘুণ ধরা১</t>
  </si>
  <si>
    <t>ছোটবেলা থেকেই নষ্ট হওয়া</t>
  </si>
  <si>
    <t>Rottenness in green bamboo—early corruption.</t>
  </si>
  <si>
    <t>কাঁচা বাঁশে ঘুণ ধরা২</t>
  </si>
  <si>
    <t>কাঁচা বাঁশে ঘুণ ধরা (দ্বিতীয়)</t>
  </si>
  <si>
    <t>প্রথম অবস্থায় দোষ দেখা</t>
  </si>
  <si>
    <t>Worm in green bamboo—defect from the start.</t>
  </si>
  <si>
    <t>কাঁচা বাঁশে ঘুণ ধরে না</t>
  </si>
  <si>
    <t>সবল অবস্থায় অপকারী প্রভাব সহজে হয় না</t>
  </si>
  <si>
    <t>Green bamboo doesn't get worm-eaten—strong state resists.</t>
  </si>
  <si>
    <t>কাঁচা মাটিতে পা দেওয়া১</t>
  </si>
  <si>
    <t>কাঁচা মাটিতে পা দেওয়া</t>
  </si>
  <si>
    <t>অনভিজ্ঞ কাজে হাত দেওয়া</t>
  </si>
  <si>
    <t>Stepping on soft soil—taking a risky step.</t>
  </si>
  <si>
    <t>কাঁচা মাটিতে পা দেওয়া২</t>
  </si>
  <si>
    <t>কাঁচা মাটিতে পা দেওয়া (দ্বিতীয়)</t>
  </si>
  <si>
    <t>দুর্বল জায়গায় আক্রমণ</t>
  </si>
  <si>
    <t>Stepping on soft ground—hitting a weak spot.</t>
  </si>
  <si>
    <t>কাঁচায় না নোয়ালে বাঁশ পাকলে করে ট্যাঁশট্যাঁশ</t>
  </si>
  <si>
    <t>কাঁচায় না নোয়ালে বাঁশ পাকলে কটকট শব্দ করে</t>
  </si>
  <si>
    <t>শৈশবে শিক্ষা না দিলে বয়স্কে উপদেশ বৃথা</t>
  </si>
  <si>
    <t>Bamboo not bent when green will creak when dry—train early.</t>
  </si>
  <si>
    <t>কাঁচে কাঞ্চনে সমান১</t>
  </si>
  <si>
    <t>কাঁচ ও সোনায় সমান</t>
  </si>
  <si>
    <t>ভালো-মন্দ জ্ঞান নেই</t>
  </si>
  <si>
    <t>Glass and gold are the same—indiscrimination.</t>
  </si>
  <si>
    <t>কাঁচে কাঞ্চনে সমান২</t>
  </si>
  <si>
    <t>কাঁচ ও সোনায় সমান (দ্বিতীয়)</t>
  </si>
  <si>
    <t>জ্ঞানী ব্যক্তির কাছে সব সমান</t>
  </si>
  <si>
    <t>To the wise, glass and gold are equal.</t>
  </si>
  <si>
    <t>কাঁচের ঘরে বসে পরের জানালায় ঢিল ছোড়া</t>
  </si>
  <si>
    <t>কাঁচের ঘরে বসে পরের জানালায় ঢিল ছোঁড়া</t>
  </si>
  <si>
    <t>নিজের ঘর কাঁচের, তবু অন্যকে আক্রমণ—আত্মঘাতী</t>
  </si>
  <si>
    <t>Throwing stones at other's windows while living in a glass house—self-destructive.</t>
  </si>
  <si>
    <t>কাঁটাগাছের তলায় থাকা</t>
  </si>
  <si>
    <t>সর্বদা বিপদের আশঙ্কায় থাকা</t>
  </si>
  <si>
    <t>Living under a thorn bush—constant danger.</t>
  </si>
  <si>
    <t>কাঁটাচামচের আগে আঙ্গুলের জন্ম</t>
  </si>
  <si>
    <t>কাঁটাচামচের আগে আঙুলের জন্ম</t>
  </si>
  <si>
    <t>প্রাকৃতিক উপায় আগে, যন্ত্র পরে</t>
  </si>
  <si>
    <t>Fingers were born before forks—natural before artificial.</t>
  </si>
  <si>
    <t>স্বাভাবিকতা</t>
  </si>
  <si>
    <t>কাঁটা দিয়ে কাঁটা তোলা১</t>
  </si>
  <si>
    <t>শত্রু দিয়ে শত্রু নিধন</t>
  </si>
  <si>
    <t>Remove a thorn with a thorn.</t>
  </si>
  <si>
    <t>কাঁটা দিয়ে কাঁটা তোলা২</t>
  </si>
  <si>
    <t>কাঁটা দিয়ে কাঁটা তোলা (দ্বিতীয়)</t>
  </si>
  <si>
    <t>এক দোষ দিয়ে অন্য দোষ দূর</t>
  </si>
  <si>
    <t>Using one thorn to extract another.</t>
  </si>
  <si>
    <t>কাঁটা বিনা কমল/গোলাপ নাই</t>
  </si>
  <si>
    <t>কাঁটা ছাড়া পদ্ম বা গোলাপ নেই</t>
  </si>
  <si>
    <t>কষ্ট ছাড়া সুখ নেই</t>
  </si>
  <si>
    <t>No lotus/rose without thorns.</t>
  </si>
  <si>
    <t>কাঁড়ানো চালে তিন ঘা পাড় (ঢেঁকির আঘাত)</t>
  </si>
  <si>
    <t>সিদ্ধ চালে তিন ঘা ঢেঁকির পাড়</t>
  </si>
  <si>
    <t>প্রস্তুত জিনিসেও অল্প কাজ বাকি; বা শেষ মুহূর্তের কাজ</t>
  </si>
  <si>
    <t>Even cleaned rice needs three thumps—final touches.</t>
  </si>
  <si>
    <t>কাঁধে কুড়ুল রেখে বনময় খোঁজে</t>
  </si>
  <si>
    <t>নিজের দোষ ভুলে অন্যত্র খোঁজা</t>
  </si>
  <si>
    <t>Searching the forest for the axe on one's own shoulder—looking elsewhere.</t>
  </si>
  <si>
    <t>কাউকে বুকে করা কাউকে পিঠে করা</t>
  </si>
  <si>
    <t>কাউকে বুকে, কাউকে পিঠে করা</t>
  </si>
  <si>
    <t>কারো প্রতি প্রেম, কারো প্রতি বিমুখতা</t>
  </si>
  <si>
    <t>Hug one, turn back to another—favoritism.</t>
  </si>
  <si>
    <t>কাক কখনো রাজহাঁস হয় না</t>
  </si>
  <si>
    <t>নীচ প্রকৃতির পরিবর্তন হয় না</t>
  </si>
  <si>
    <t>A crow never becomes a swan.</t>
  </si>
  <si>
    <t>কাক কাঁকুড়ের জ্ঞান নেই</t>
  </si>
  <si>
    <t>কাক কাঁকুড়ের (কাঁকড়া?) জ্ঞান নেই</t>
  </si>
  <si>
    <t>মূর্খের ভালো-মন্দ জ্ঞান নেই</t>
  </si>
  <si>
    <t>A crow has no knowledge of crabs—ignorance.</t>
  </si>
  <si>
    <t>কাক-কোকিলে ভেদজ্ঞান নেই</t>
  </si>
  <si>
    <t>কাক আর কোকিলে পার্থক্য জ্ঞান নেই</t>
  </si>
  <si>
    <t>গুণী-মূর্খ চেনার ক্ষমতা নেই</t>
  </si>
  <si>
    <t>No discrimination between crow and cuckoo.</t>
  </si>
  <si>
    <t>কাক ও কোকিল একই বর্ণ কিন্তু স্বরে ভিন্ন ভিন্ন</t>
  </si>
  <si>
    <t>কাক ও কোকিল দেখতে এক, কিন্তু স্বর আলাদা</t>
  </si>
  <si>
    <t>বাহ্যিক চেহারা এক হলেও প্রকৃতি ভিন্ন</t>
  </si>
  <si>
    <t>Crow and cuckoo are alike in color but different in voice.</t>
  </si>
  <si>
    <t>কাক কোকিলের সমান দাম</t>
  </si>
  <si>
    <t>কাক আর কোকিলের সমান দাম</t>
  </si>
  <si>
    <t>ভালো-মন্দের বিচার নেই</t>
  </si>
  <si>
    <t>Crow and cuckoo valued the same—no discrimination.</t>
  </si>
  <si>
    <t>কাক কাকের মাংস খায় না</t>
  </si>
  <si>
    <t>স্বজাতির ক্ষতি করে না</t>
  </si>
  <si>
    <t>A crow doesn't eat crow's meat.</t>
  </si>
  <si>
    <t>কাক খায় কাঁঠাল বকের মুখে আঠা১</t>
  </si>
  <si>
    <t>কাক খায় কাঁঠাল, বকের মুখে আঠা</t>
  </si>
  <si>
    <t>একজন অপরাধ করে, অন্যজন দোষী সাব্যস্ত; বা ফলের অপচয়</t>
  </si>
  <si>
    <t>The crow eats the jackfruit, but the stork gets gum on its beak—blame misplaced.</t>
  </si>
  <si>
    <t>অন্যায়</t>
  </si>
  <si>
    <t>কাক খায় কাঁঠাল বকের মুখে আঠা২</t>
  </si>
  <si>
    <t>কাক খায় কাঁঠাল, বকের মুখে আঠা (দ্বিতীয়)</t>
  </si>
  <si>
    <t>পরের দোষে নির্দোষের কষ্ট</t>
  </si>
  <si>
    <t>Crow eats jackfruit, stork gets sticky beak—scapegoat.</t>
  </si>
  <si>
    <t>কাক খেলো ধান ব্যাঙের পায়ে দড়ি১</t>
  </si>
  <si>
    <t>কাক খেলো ধান, ব্যাঙের পায়ে দড়ি</t>
  </si>
  <si>
    <t>অপরাধী কাক, কিন্তু বেচারা ব্যাঙের পায়ে দড়ি; দোষ চাপানো</t>
  </si>
  <si>
    <t>The crow ate the grain, the frog gets tied—scapegoat.</t>
  </si>
  <si>
    <t>কাক খেলো ধান ব্যাঙের পায়ে দড়ি২</t>
  </si>
  <si>
    <t>কাক খেলো ধান, ব্যাঙের পায়ে দড়ি (দ্বিতীয়)</t>
  </si>
  <si>
    <t>অপরের দোষে নিরপরাধী শাস্তি</t>
  </si>
  <si>
    <t>The crow eats paddy, the frog gets bound—injustice.</t>
  </si>
  <si>
    <t>কাক গু খেয়ে মুখ ধুলে গঙ্গা অপবিত্র হয় না</t>
  </si>
  <si>
    <t>নীচ ব্যক্তি পবিত্র স্থান নোংরা করতে পারে না</t>
  </si>
  <si>
    <t>If a crow eats filth and washes in the Ganga, the Ganga is not polluted.</t>
  </si>
  <si>
    <t>কাক চুরির দ্রব্য লুকিয়ে মনে করে কেউ সেটা দেখে নি</t>
  </si>
  <si>
    <t>কাক চুরির জিনিস লুকিয়ে মনে করে কেউ দেখেনি</t>
  </si>
  <si>
    <t>অপরাধী নিজেকে আড়াল করলেও তার অপরাধ লুকোয় না</t>
  </si>
  <si>
    <t>The crow hides its stolen goods, thinking no one saw—foolish.</t>
  </si>
  <si>
    <t>কাকতালীয়বৎ প্রাপ্তং দৃষ্টাপি নিধিমগ্রতঃ</t>
  </si>
  <si>
    <t>কাকতালীয়বৎ প্রাপ্তং... (সংস্কৃত)</t>
  </si>
  <si>
    <t>হঠাৎ কাকের পতনে তাল গাছ পড়ল, তার নীচে গুপ্তধন—অপ্রত্যাশিত লাভ</t>
  </si>
  <si>
    <t>Like the crow and the palm falling, a treasure found by chance—coincidence.</t>
  </si>
  <si>
    <t>কাক ধুলে বক হয় না</t>
  </si>
  <si>
    <t>বাহ্যিক শুদ্ধিতে প্রকৃতি বদলায় না</t>
  </si>
  <si>
    <t>Washing a crow doesn't make it a stork.</t>
  </si>
  <si>
    <t>কাকপক্ষীও টের পাবে না</t>
  </si>
  <si>
    <t>এতটাই গোপনে, কেউ জানবে না</t>
  </si>
  <si>
    <t>Even a crow won't notice—so secret.</t>
  </si>
  <si>
    <t>কাক ভেজে জলে ব্যাঙের লাগে সর্দি</t>
  </si>
  <si>
    <t>কাক জলে ভেজে, ব্যাঙের সর্দি হয়</t>
  </si>
  <si>
    <t>অন্যের কারণে অহেতুক কষ্ট</t>
  </si>
  <si>
    <t>Crow gets wet, frog catches cold—misplaced effect.</t>
  </si>
  <si>
    <t>কাক ভাবে আমি বড় সেয়ানা</t>
  </si>
  <si>
    <t>নিজেকে অতিশয় জ্ঞানী ভাবা</t>
  </si>
  <si>
    <t>The crow thinks itself very clever—conceited.</t>
  </si>
  <si>
    <t>কাক মরল ঝড়ে, প্যাঁচা ভাবে আমার শাপ লাগল হাড়েহাড়ে</t>
  </si>
  <si>
    <t>কাক মারা গেল ঝড়ে, প্যাঁচা ভাবে আমার অভিশাপে</t>
  </si>
  <si>
    <t>নিজের শক্তির অহংকার; কাকতালীয়কে নিজের কৃতিত্ব ভাবা</t>
  </si>
  <si>
    <t>The crow died in a storm, the owl thinks its curse worked—self-importance.</t>
  </si>
  <si>
    <t>কাক সকলের মাংস খায়, কাকের মাংস কেই খায় না</t>
  </si>
  <si>
    <t>কাক সবার মাংস খায়, কাকের মাংস কেউ খায় না</t>
  </si>
  <si>
    <t>স্বজাতির ক্ষতি করে না; কিন্তু অন্য সবার</t>
  </si>
  <si>
    <t>A crow eats everyone's flesh, but no one eats a crow's.</t>
  </si>
  <si>
    <t>কা কস্য পরিবেদনা</t>
  </si>
  <si>
    <t>কে কার জন্য চিন্তা করে?</t>
  </si>
  <si>
    <t>Who feels for whom?</t>
  </si>
  <si>
    <t>কাকিলা বধু ছেলে ধরতে জানে না</t>
  </si>
  <si>
    <t>কাকিলা (কাকী) বধূ ছেলে ধরতে জানে না</t>
  </si>
  <si>
    <t>অনভিজ্ঞ নারী সন্তান সামলাতে পারে না</t>
  </si>
  <si>
    <t>The aunt-like bride doesn't know how to hold a baby—inexperienced.</t>
  </si>
  <si>
    <t>নারী (বধূ)</t>
  </si>
  <si>
    <t>লিঙ্গ/শিশু</t>
  </si>
  <si>
    <t>কাকে নিয়ে গেল কান, কাকের পিছনে ছোট</t>
  </si>
  <si>
    <t>কান নিয়ে গেল কাকে? কাকের পিছনে ছোটা</t>
  </si>
  <si>
    <t>প্রকৃত সমস্যা না বুঝে অপ্রাসঙ্গিকের পিছনে দৌড়</t>
  </si>
  <si>
    <t>Who took the ear? Running after the crow—chasing the wrong thing.</t>
  </si>
  <si>
    <t>বিভ্রান্তি</t>
  </si>
  <si>
    <t>কাকের উপর কামান দাগা</t>
  </si>
  <si>
    <t>ছোটখাটো বিষয়ে বিরাট আয়োজন</t>
  </si>
  <si>
    <t>Firing a cannon at a crow—overkill.</t>
  </si>
  <si>
    <t>কাকের ডানায় মুক্তা বসালেও কাক রাজহাঁস হয় না</t>
  </si>
  <si>
    <t>কাকের পাখায় মুক্তা বসালেও কাক রাজহাঁস হয় না</t>
  </si>
  <si>
    <t>বাহ্যিক সাজে জাত বদলায় না</t>
  </si>
  <si>
    <t>Even if you attach pearls to a crow's wings, it won't become a swan.</t>
  </si>
  <si>
    <t>কাকের ডিম সাদা হয়, বিদ্বানের ছেলে গাধা হয়।</t>
  </si>
  <si>
    <t>কাকের ডিম সাদা, বিদ্বানের ছেলে গাধা হয়</t>
  </si>
  <si>
    <t>সব সময় গুণের উত্তরাধিকার হয় না</t>
  </si>
  <si>
    <t>Crow's egg is white, a scholar's son may be a donkey—no guarantee.</t>
  </si>
  <si>
    <t>কাকের পিছনে ফিঙে লাগা</t>
  </si>
  <si>
    <t>দুর্বলের পেছনে সবলকে লেলিয়ে দেওয়া</t>
  </si>
  <si>
    <t>Setting a drongo behind a crow—harassing the weak.</t>
  </si>
  <si>
    <t>কাকের বাসায় কোকিলের ছা, জাতস্বভাবে করে রা</t>
  </si>
  <si>
    <t>কাকের বাসায় কোকিলের ছানা, জাতস্বভাবে ডাকে</t>
  </si>
  <si>
    <t>স্বভাব কখনো বদলায় না; পরের ঘরে থেকে নিজের স্বভাব প্রকাশ</t>
  </si>
  <si>
    <t>A cuckoo chick in a crow's nest sings by its nature—true nature reveals itself.</t>
  </si>
  <si>
    <t>কাকের মাংস কাকে খায় না</t>
  </si>
  <si>
    <t>কাকের মাংস কাক খায় না; স্বজাতি ভক্ষণ নয়</t>
  </si>
  <si>
    <t>A crow does not eat crow's meat.</t>
  </si>
  <si>
    <t>কাকের লুকানো (খাদ্য)</t>
  </si>
  <si>
    <t>কাকের লুকানো জিনিস</t>
  </si>
  <si>
    <t>অস্থায়ী সঞ্চয়; যা কাক লুকায়, পরে ভুলে যায়</t>
  </si>
  <si>
    <t>Hidden like a crow's cache—temporary and forgotten.</t>
  </si>
  <si>
    <t>কাকো ন চ রাজহংসঃ</t>
  </si>
  <si>
    <t>কাক কখনো রাজহাঁস নয়</t>
  </si>
  <si>
    <t>নীচ কখনো মহৎ হয় না</t>
  </si>
  <si>
    <t>A crow is never a swan.</t>
  </si>
  <si>
    <t>কাঙলা আপনা সমালা</t>
  </si>
  <si>
    <t>কাঙাল নিজেকে সামলাও</t>
  </si>
  <si>
    <t>গরিব নিজের অবস্থা বুঝে চলো</t>
  </si>
  <si>
    <t>Poor man, manage yourself.</t>
  </si>
  <si>
    <t>কাঙালকে শাকের ক্ষেত দেখাতে নেই</t>
  </si>
  <si>
    <t>লোভীকে প্রলোভন দেখাতে নেই</t>
  </si>
  <si>
    <t>Don't show a poor man a field of greens—he'll want it.</t>
  </si>
  <si>
    <t>কাঙালী মেরে কাছারি গরম</t>
  </si>
  <si>
    <t>কাঙালী মেরে কাছারি গরম করা</t>
  </si>
  <si>
    <t>দুর্বলকে শাস্তি দিয়ে বিচারসভায় উত্তেজনা বাড়ানো</t>
  </si>
  <si>
    <t>Beating a beggar to heat up the court—show of strength.</t>
  </si>
  <si>
    <t>কাঙালের অশ্রুতে যে রক্ত ঝরে ভগবান দেখেও কিন্তু দেখে না</t>
  </si>
  <si>
    <t>কাঙালের অশ্রুতে রক্ত ঝরে, ভগবান দেখেও দেখেন না</t>
  </si>
  <si>
    <t>গরিবের কষ্টের কোনো মূল্য নেই; ঈশ্বরও নীরব</t>
  </si>
  <si>
    <t>Blood drips from the poor man's tears; God sees but ignores.</t>
  </si>
  <si>
    <t>কাঙালের কথা বাসি হলে খাটে/ফলে</t>
  </si>
  <si>
    <t>কাঙালের কথা বাসি (পরবর্তীতে) হলে ফলে</t>
  </si>
  <si>
    <t>গরিবের ভবিষ্যদ্বাণী পরে ফলে</t>
  </si>
  <si>
    <t>A poor man's words come true later.</t>
  </si>
  <si>
    <t>কাঙালের কাছে মুড়কিই সন্দেশ</t>
  </si>
  <si>
    <t>কাঙালের কাছে মুড়কি (মুড়ি)ই সন্দেশ</t>
  </si>
  <si>
    <t>গরিবের কাছে সামান্যই মহামূল্য</t>
  </si>
  <si>
    <t>To a beggar, puffed rice is like a sweetmeat.</t>
  </si>
  <si>
    <t>কাঙালের ক্ষিদে বেশি</t>
  </si>
  <si>
    <t>গরিবের খিদে বেশি হয়; বা অভাবী বেশি চায়</t>
  </si>
  <si>
    <t>A beggar's hunger is greater—the needy crave more.</t>
  </si>
  <si>
    <t>কাঙালের/ কাঙালের পুতের ঘোড়ারোগ</t>
  </si>
  <si>
    <t>কাঙালের/কাঙালের ছেলের ঘোড়ারোগ</t>
  </si>
  <si>
    <t>অভাবীর বড় শখ; অসম্ভব ইচ্ছা</t>
  </si>
  <si>
    <t>A beggar/ his son has horse-disease—wants the impossible.</t>
  </si>
  <si>
    <t>কাঙালের ঠাকুরব্যাধি</t>
  </si>
  <si>
    <t>গরিবের বড়াই বা নেশা</t>
  </si>
  <si>
    <t>A beggar's obsession with the deity—pretension.</t>
  </si>
  <si>
    <t>কাঙালের মরণ বিটকেল</t>
  </si>
  <si>
    <t>কাঙালের মরণ বিটকেল (কষ্টকর)</t>
  </si>
  <si>
    <t>গরিবের মৃত্যুও দুঃখজনক</t>
  </si>
  <si>
    <t>A poor man's death is pitiful.</t>
  </si>
  <si>
    <t>কাচঃ কাচঃ মণির্ম্মণি</t>
  </si>
  <si>
    <t>কাচ কাচই, মণি মণিই</t>
  </si>
  <si>
    <t>ভালো-মন্দের পার্থক্য রয়েই যায়</t>
  </si>
  <si>
    <t>Glass is glass, gem is gem—difference remains.</t>
  </si>
  <si>
    <t>কাচে কাঞ্চনে সমান১</t>
  </si>
  <si>
    <t>কাচে কাঞ্চনে সমান (দেখা)</t>
  </si>
  <si>
    <t>জ্ঞানী বা নির্বোধের দৃষ্টিতে সব সমান</t>
  </si>
  <si>
    <t>To the wise or fool, glass and gold are alike.</t>
  </si>
  <si>
    <t>কাচে কাঞ্চনে সমান২</t>
  </si>
  <si>
    <t>কাচে কাঞ্চনে সমান (দ্বিতীয়)</t>
  </si>
  <si>
    <t>ভালো মন্দ জ্ঞানহীন</t>
  </si>
  <si>
    <t>Glass and gold are the same—indiscriminate.</t>
  </si>
  <si>
    <t>বৈষম্যহীনতা</t>
  </si>
  <si>
    <t>কাছা খুলতে দেরী হয়১</t>
  </si>
  <si>
    <t>কাছা (পরিধেয়) খুলতে দেরি হয়</t>
  </si>
  <si>
    <t>কাজ শুরু করতে দেরি</t>
  </si>
  <si>
    <t>Taking a long time to untie the loincloth—slow to begin.</t>
  </si>
  <si>
    <t>কাছা দিতে কোঁচা আঁটে না, কোঁচা দিতে কাছা আঁটে না১</t>
  </si>
  <si>
    <t>কাছা দিতে কোঁচা আঁটে না, কোঁচা দিতে কাছা আঁটে না</t>
  </si>
  <si>
    <t>দুই দিক সামালানো কঠিন; উভয় সংকট</t>
  </si>
  <si>
    <t>Can't adjust the loincloth with the pleats; can't adjust the pleats with the loincloth—double bind.</t>
  </si>
  <si>
    <t>কাছা দিতে কোঁচা আঁটে না, কোঁচা দিতে কাছা আঁটে না২</t>
  </si>
  <si>
    <t>কাছা দিতে কোঁচা আঁটে না, কোঁচা দিতে কাছা আঁটে না (দ্বিতীয়)</t>
  </si>
  <si>
    <t>কোনো কিছুই ঠিকমতো হয় না</t>
  </si>
  <si>
    <t>Neither the loincloth nor the pleats fit—everything awry.</t>
  </si>
  <si>
    <t>কাছা দিতে/খুলতে দেরী হয়</t>
  </si>
  <si>
    <t>কাছা খুলতে দেরি হয়</t>
  </si>
  <si>
    <t>কাজ শুরু করতে অতিরিক্ত বিলম্ব</t>
  </si>
  <si>
    <t>Slow in untying the loincloth—dawdling.</t>
  </si>
  <si>
    <t>কাছের লোক কাছের নয়</t>
  </si>
  <si>
    <t>কাছের মানুষ কাছের নয়</t>
  </si>
  <si>
    <t>আত্মীয়ও বিশ্বাসী নয়</t>
  </si>
  <si>
    <t>Those near are not truly near—untrustworthy.</t>
  </si>
  <si>
    <t>কাছের লোক গাড়ী ফসকায়</t>
  </si>
  <si>
    <t>কাছের মানুষই গাড়ি ফসকায় (বিফল করে)</t>
  </si>
  <si>
    <t>আত্মীয়রাই ঠকায়</t>
  </si>
  <si>
    <t>Your own people let you down.</t>
  </si>
  <si>
    <t>কাজ আটকালে বুদ্ধি যোগায়</t>
  </si>
  <si>
    <t>কাজ আটকালে বুদ্ধি আসে</t>
  </si>
  <si>
    <t>বিপদে পড়লে বুদ্ধি খোলে</t>
  </si>
  <si>
    <t>When work is stuck, wisdom comes.</t>
  </si>
  <si>
    <t>কাজ নেই কাজ করে ধানে চালে এক করে</t>
  </si>
  <si>
    <t>কাজ নেই, কাজ করে ধানে চালে এক করে ফেলে</t>
  </si>
  <si>
    <t>অপ্রয়োজনীয় কাজ করে গোলমাল বাড়ায়</t>
  </si>
  <si>
    <t>No work, yet he mixes rice and paddy—creating chaos.</t>
  </si>
  <si>
    <t>অকাজ</t>
  </si>
  <si>
    <t>কাজও নেই কামাইও নেই</t>
  </si>
  <si>
    <t>কাজও নেই, কামাইও (ছুটি) নেই</t>
  </si>
  <si>
    <t>একটানা কাজ বা অলসতা—দুটোর কিছু না</t>
  </si>
  <si>
    <t>Neither work nor break—limbo.</t>
  </si>
  <si>
    <t>কাজ নেই তো ভাজো খই</t>
  </si>
  <si>
    <t>কাজ নেই তো খই ভাজো</t>
  </si>
  <si>
    <t>যখন কিছু করার নেই, তখন ছোটখাটো কাজ করো</t>
  </si>
  <si>
    <t>If no work, fry puffed rice—do something trivial.</t>
  </si>
  <si>
    <t>কাজ বুঝে সাজ</t>
  </si>
  <si>
    <t>কাজ বুঝে পোশাক পরো</t>
  </si>
  <si>
    <t>পরিস্থিতি অনুযায়ী উপস্থাপন</t>
  </si>
  <si>
    <t>Dress according to the task.</t>
  </si>
  <si>
    <t>কাজ শুরু হলেই অর্ধেক কাজ শেষ</t>
  </si>
  <si>
    <t>কাজ শুরু করলেই অর্ধেক শেষ</t>
  </si>
  <si>
    <t>শুরু করাই বড় অংশ</t>
  </si>
  <si>
    <t>Well begun is half done.</t>
  </si>
  <si>
    <t>কাজ সরিয়ে রাখলে কাজ বরবাদ</t>
  </si>
  <si>
    <t>কাজ সরিয়ে রাখলে কাজ নষ্ট</t>
  </si>
  <si>
    <t>কাজ ফেলে রাখলে শেষ হয় না</t>
  </si>
  <si>
    <t>Putting off work ruins it.</t>
  </si>
  <si>
    <t>কাজীর কাছে হিঁদুর পরব</t>
  </si>
  <si>
    <t>কাজীর (মুসলমান বিচারক) কাছে হিন্দুর উৎসব</t>
  </si>
  <si>
    <t>বেমানান বিষয়; অপ্রাসঙ্গিকতা</t>
  </si>
  <si>
    <t>A Hindu festival before a Muslim judge—incongruous.</t>
  </si>
  <si>
    <t>কাজীর গরু কেতাবে আছে গোয়ালে নেই</t>
  </si>
  <si>
    <t>কাজীর গরু কেতাবে (হিসাবে) আছে, গোয়ালে নেই</t>
  </si>
  <si>
    <t>কথায় আছে, কাজে নেই</t>
  </si>
  <si>
    <t>The judge's cow is in the ledger, not in the cowshed—paper existence.</t>
  </si>
  <si>
    <t>কাজীর বিচার১</t>
  </si>
  <si>
    <t>কাজীর বিচার</t>
  </si>
  <si>
    <t>অন্যায্য বিচার; পক্ষপাত</t>
  </si>
  <si>
    <t>The judge's verdict—often biased.</t>
  </si>
  <si>
    <t>কাজীর বিচার২</t>
  </si>
  <si>
    <t>কাজীর বিচার (দ্বিতীয়)</t>
  </si>
  <si>
    <t>স্বেচ্ছাচারী সিদ্ধান্ত</t>
  </si>
  <si>
    <t>Kazi's justice—arbitrary.</t>
  </si>
  <si>
    <t>কাজে এড়া অকাজে দেড়া</t>
  </si>
  <si>
    <t>কাজে এড়িয়ে যাওয়া, অকাজে দ্বিগুণ উৎসাহ</t>
  </si>
  <si>
    <t>ভালো কাজে অনীহা, বাজে কাজে আগ্রহ</t>
  </si>
  <si>
    <t>Shirk work, eager for mischief.</t>
  </si>
  <si>
    <t>কাজে এড়া আচারে দেড়া</t>
  </si>
  <si>
    <t>কাজে এড়া, আচারে (রীতিনীতিতে) অতি উৎসাহ</t>
  </si>
  <si>
    <t>কাজ এড়িয়ে আচার-ব্যবহারে বেশি মনোযোগ</t>
  </si>
  <si>
    <t>Avoid work, but overenthusiastic about rituals.</t>
  </si>
  <si>
    <t>কাজে এড়া ভোজনে দেড়া</t>
  </si>
  <si>
    <t>কাজে এড়া, ভোজনে দ্বিগুণ উৎসাহ</t>
  </si>
  <si>
    <t>কাজে ফাঁকি, খেতে সবার আগে</t>
  </si>
  <si>
    <t>Shirk work, but eager to feast.</t>
  </si>
  <si>
    <t>কাজে কুঁড়ে ভোজনে দেড়ে বচনে মারে তেড়েফুঁড়ে</t>
  </si>
  <si>
    <t>কাজে কুঁড়ে, ভোজনে দেড়ে, কথায় তেড়েফুঁড়ে</t>
  </si>
  <si>
    <t>অলস, খাদ্যপ্রিয়, আর কথায় বীর</t>
  </si>
  <si>
    <t>Lazy at work, glutton at eating, fierce in words—all talk.</t>
  </si>
  <si>
    <t>কাজে খল দুধে জল তার দুঃখ চিরকাল</t>
  </si>
  <si>
    <t>কাজে খল (প্রতারক), দুধে জল মেশায়—তার চিরকাল দুঃখ</t>
  </si>
  <si>
    <t>কাজে প্রতারণা করলে চিরদিন কষ্ট পেতে হয়</t>
  </si>
  <si>
    <t>He who is dishonest in work and adds water to milk will suffer forever.</t>
  </si>
  <si>
    <t>কাজের কথা মনেই থাকুক মুখে প্রকাশ করো না</t>
  </si>
  <si>
    <t>কাজের কথা মনে থাক, মুখে বলো না</t>
  </si>
  <si>
    <t>গোপনীয়তা বজায় রাখো</t>
  </si>
  <si>
    <t>Keep the work in mind, don't speak it out.</t>
  </si>
  <si>
    <t>কাজের কাজি</t>
  </si>
  <si>
    <t>কাজের কাজী (বিচারক)</t>
  </si>
  <si>
    <t>দক্ষ ও কার্যকরী ব্যক্তি</t>
  </si>
  <si>
    <t>A real worker—effective person.</t>
  </si>
  <si>
    <t>কাজের বেলায় পায় না খুঁজে, খাবার বেলা সবার আগে</t>
  </si>
  <si>
    <t>কাজের সময় খুঁজে পাওয়া যায় না, খাবারের সময় সবার আগে</t>
  </si>
  <si>
    <t>কাজ এড়িয়ে ভোজনে অগ্রণী</t>
  </si>
  <si>
    <t>Missing at work, first in line for food.</t>
  </si>
  <si>
    <t>কাজের বেলায় কাজি কাজ ফুরালে পাজি</t>
  </si>
  <si>
    <t>কাজের সময় কাজী (বিচারক), কাজ শেষে পাজি (বদমাশ)</t>
  </si>
  <si>
    <t>সুযোগ পেলে বদমাশি</t>
  </si>
  <si>
    <t>At work, he's a judge; after work, a rogue.</t>
  </si>
  <si>
    <t>কাজের বেলায় ভাগে খাবার বেলায় আগে</t>
  </si>
  <si>
    <t>কাজের সময় পিছিয়ে, খাবারের সময় এগিয়ে</t>
  </si>
  <si>
    <t>কর্মবিমুখ, ভোজনপটু</t>
  </si>
  <si>
    <t>Retreats from work, advances for food.</t>
  </si>
  <si>
    <t>কাজের মধ্যে চাষ রোগের মধ্যে কাশ</t>
  </si>
  <si>
    <t>কাজের মধ্যে চাষ, রোগের মধ্যে কাশি</t>
  </si>
  <si>
    <t>কৃষিকাজ শ্রেষ্ঠ কাজ, কাশি বড় রোগ</t>
  </si>
  <si>
    <t>Farming among works, cough among diseases—both important.</t>
  </si>
  <si>
    <t>কৃষি/স্বাস্থ্য</t>
  </si>
  <si>
    <t>কাজের হাত পা মাথা ও মুণ্ডু- কিছুই নেই</t>
  </si>
  <si>
    <t>কাজের হাত, পা, মাথা, মুণ্ডু—কিছুই নেই</t>
  </si>
  <si>
    <t>কাজের কোনো অগ্রগতি নেই</t>
  </si>
  <si>
    <t>No hands, feet, head or tail of work—utterly shapeless.</t>
  </si>
  <si>
    <t>কাটতে কাটতে নির্মূল</t>
  </si>
  <si>
    <t>একেবারে শেষ; সম্পূর্ণ নির্মূল</t>
  </si>
  <si>
    <t>Cutting until completely destroyed.</t>
  </si>
  <si>
    <t>কাটলে রক্ত নেই কুটলে মাংস নেই</t>
  </si>
  <si>
    <t>কাটলে রক্ত নেই, কুটলে মাংস নেই</t>
  </si>
  <si>
    <t>অত্যন্ত দুর্বল ও শীর্ণ</t>
  </si>
  <si>
    <t>No blood when cut, no flesh when torn—emaciated.</t>
  </si>
  <si>
    <t>কাটা কইয়ের/পাঁঠার মত ছটফট করা</t>
  </si>
  <si>
    <t>কাটা কই মাছের/পাঁঠার মতো ছটফট করা</t>
  </si>
  <si>
    <t>মৃত্যুযন্ত্রণায় ছটফট করা</t>
  </si>
  <si>
    <t>Flopping like a cut koi fish/goat—in agony.</t>
  </si>
  <si>
    <t>কাটা কাটা কথা আগুনের জ্বালার চেয়েও জ্বালাময়</t>
  </si>
  <si>
    <t>করুণ কথা আগুনের চেয়েও বেশি কষ্ট দেয়</t>
  </si>
  <si>
    <t>Cutting words burn more than fire.</t>
  </si>
  <si>
    <t>কাটা কান চুলদে ঢাকি</t>
  </si>
  <si>
    <t>কাটা কান চুল দিয়ে ঢাকি</t>
  </si>
  <si>
    <t>নিজের দোষ গোপন করা</t>
  </si>
  <si>
    <t>Hide the cut ear with hair—conceal flaws.</t>
  </si>
  <si>
    <t>কাটা ঘায়ে নূনের ছিটে১</t>
  </si>
  <si>
    <t>কাটা ঘায়ে নুনের ছিটে</t>
  </si>
  <si>
    <t>ব্যথার ওপর আরও ব্যথা</t>
  </si>
  <si>
    <t>Salt on an open wound—added pain.</t>
  </si>
  <si>
    <t>কাটা ঘায়ে নূনের ছিটে২</t>
  </si>
  <si>
    <t>কাটা ঘায়ে নুনের ছিটে (দ্বিতীয়)</t>
  </si>
  <si>
    <t>ক্ষতস্থানে নুন ছিটিয়ে জ্বালা বাড়ানো</t>
  </si>
  <si>
    <t>Rubbing salt into the wound.</t>
  </si>
  <si>
    <t>কাটো তো খুন নহীঁ</t>
  </si>
  <si>
    <t>কাটলেও রক্ত নেই (হিন্দি/বাংলা)</t>
  </si>
  <si>
    <t>এত নির্লজ্জ যে কিছুই বোধ করে না</t>
  </si>
  <si>
    <t>If you cut, there is no blood—shameless.</t>
  </si>
  <si>
    <t>নির্লজ্জ</t>
  </si>
  <si>
    <t>কাঠ খায় আঙরা হাগে১</t>
  </si>
  <si>
    <t>কাঠ খায়, আঙরা (আঙ্গার) হাগে</t>
  </si>
  <si>
    <t>কুৎসিত উপার্জন ও নোংরা ব্যয়</t>
  </si>
  <si>
    <t>Eats wood, excretes charcoal—unclean transactions.</t>
  </si>
  <si>
    <t>নোংরা</t>
  </si>
  <si>
    <t>কাঠ খায় আঙরা হাগে২</t>
  </si>
  <si>
    <t>কাঠ খায়, আঙরা হাগে (দ্বিতীয়)</t>
  </si>
  <si>
    <t>প্রতারণামূলক জীবিকা</t>
  </si>
  <si>
    <t>Eating wood, passing coal—dishonest livelihood.</t>
  </si>
  <si>
    <t>কাঠে কাঠে কাঠাকাঠি</t>
  </si>
  <si>
    <t>দুই সমান শক্তির লড়াই; বিরোধ</t>
  </si>
  <si>
    <t>Wood against wood—clashing.</t>
  </si>
  <si>
    <t>কাঠের বিড়াল হোক না ইঁদুর ধরতে পারলেই হলো</t>
  </si>
  <si>
    <t>কাঠের বিড়াল হলেও ইঁদুর ধরতে পারলেই হলো</t>
  </si>
  <si>
    <t>উপায় যাই হোক, কাজ হলেই হলো</t>
  </si>
  <si>
    <t>Even a wooden cat, if it catches mice—means don't matter.</t>
  </si>
  <si>
    <t>কাঠের ভিতর পিঁপড়ে বলে চিনি ছাড়া খাবনি; চিন্তামণি চিন্তা করে যোগায় তারে অমনি</t>
  </si>
  <si>
    <t>কাঠের ভেতর পিঁপড়ে বলে চিনি ছাড়া খাব না; চিন্তামণি তার জন্য চিন্তা করে অমনি যোগায়</t>
  </si>
  <si>
    <t>অলীক আশা; পিঁপড়ের বড়াই</t>
  </si>
  <si>
    <t>The ant inside the wood says, 'I won't eat without sugar'; Chintamani then provides—fantasy.</t>
  </si>
  <si>
    <t>অলীকতা</t>
  </si>
  <si>
    <t>কাণ্ডজ্ঞানবিশিষ্ট লোক থেকে সতর্ক থেকো যদি সে ক্রুদ্ধ হয়</t>
  </si>
  <si>
    <t>জ্ঞানী লোক ক্রুদ্ধ হলে সতর্ক থেকো</t>
  </si>
  <si>
    <t>বুদ্ধিমান লোক রেগে গেলে বিপজ্জনক</t>
  </si>
  <si>
    <t>Beware of a wise man when he is angry.</t>
  </si>
  <si>
    <t>কা তব কান্তা কস্তে পুত্রঃ সংসারোহমতীব বিচিত্র</t>
  </si>
  <si>
    <t>কে তোমার প্রিয়া, কে তোমার পুত্র? সংসার অতি বিচিত্র</t>
  </si>
  <si>
    <t>জগতে সম্পর্ক ক্ষণস্থায়ী; কেউ কারো নয়</t>
  </si>
  <si>
    <t>Who is your beloved, who is your son? The world is very strange.</t>
  </si>
  <si>
    <t>আসক্তি</t>
  </si>
  <si>
    <t>কাদায়/খানায়/গর্তে পড়লে হাতি চামচিকেতে মারে লাথি</t>
  </si>
  <si>
    <t>কাদায় পড়লে হাতিকেও চামচিকে লাথি মারে</t>
  </si>
  <si>
    <t>বিপদে পড়লে বড়কেও নগণ্য আক্রমণ করে</t>
  </si>
  <si>
    <t>When an elephant slips in mud, even a bat kicks it.</t>
  </si>
  <si>
    <t>কান চায় সোনারে সোনা চায় কানেরে</t>
  </si>
  <si>
    <t>কান চায় সোনা, সোনা চায় কান</t>
  </si>
  <si>
    <t>পরস্পরের আকর্ষণ; যেমন সোনার কানের দুল</t>
  </si>
  <si>
    <t>The ear wants gold, the gold wants the ear—mutual attraction.</t>
  </si>
  <si>
    <t>একটি সূত্র ধরে এগোলে পুরো ব্যাপার বেরিয়ে আসে</t>
  </si>
  <si>
    <t>Pull the ear, and the head follows—one leads to the whole.</t>
  </si>
  <si>
    <t>পরস্পরতা</t>
  </si>
  <si>
    <t>কান নিয়ে গেল কাকে কাকের পিছনে পিছনে ছোটা</t>
  </si>
  <si>
    <t>কান কে নিল? কাকের পিছনে দৌড়</t>
  </si>
  <si>
    <t>আসল চোরকে না ধরে ভুল পথে ধাওয়া</t>
  </si>
  <si>
    <t>Who took the ear? Chasing the crow—wrong target.</t>
  </si>
  <si>
    <t>কানপুর হয়ে নাগপুর যাওয়া</t>
  </si>
  <si>
    <t>ঘুরিয়ে কাজ করা; অপ্রয়োজনীয় পথ</t>
  </si>
  <si>
    <t>Going to Nagpur via Kanpur—roundabout way.</t>
  </si>
  <si>
    <t>কানমন্ত্রে মন নাশ</t>
  </si>
  <si>
    <t>কানে মন্ত্র দিলে মন নষ্ট; কুপরামর্শ</t>
  </si>
  <si>
    <t>Whispered advice destroys the mind.</t>
  </si>
  <si>
    <t>কানাইয়ের মা</t>
  </si>
  <si>
    <t>কানাইয়ের মা (কৃষ্ণের মা)</t>
  </si>
  <si>
    <t>নিরীহ চরিত্র; বা যে সব সহ্য করে</t>
  </si>
  <si>
    <t>Mother of Kanai—a figure of patience.</t>
  </si>
  <si>
    <t>নারী (মা)</t>
  </si>
  <si>
    <t>কানাকড়ির মা-বাপ</t>
  </si>
  <si>
    <t>কানাকড়ির মা-বাবা</t>
  </si>
  <si>
    <t>অত্যন্ত কৃপণ; পয়সার হিসাব রাখে</t>
  </si>
  <si>
    <t>Mother-father of every penny—very miserly.</t>
  </si>
  <si>
    <t>কানাকড়ির মুরোদ/মূল্য নাই, কিল মারার গোঁসাই১</t>
  </si>
  <si>
    <t>কানাকড়ির মূল্য নেই, কিল মারার গোঁসাই</t>
  </si>
  <si>
    <t>অক্ষম কিন্তু মারামারিতে সর্দার</t>
  </si>
  <si>
    <t>No value of a penny, but master of throwing punches—useless strength.</t>
  </si>
  <si>
    <t>কানাকড়ির মুরোদ/মূল্য নাই, কিল মারার গোঁসাই২</t>
  </si>
  <si>
    <t>কানাকড়ির মুরোদ নাই, কিল মারার গোঁসাই (দ্বিতীয়)</t>
  </si>
  <si>
    <t>বাজে কাজে বীরত্ব</t>
  </si>
  <si>
    <t>Worthless, but a champion of blows.</t>
  </si>
  <si>
    <t>কানা কয়বার নড়ি (লাঠি) হারায়</t>
  </si>
  <si>
    <t>কানা ক'বার লাঠি হারায়?</t>
  </si>
  <si>
    <t>অন্ধ তার একমাত্র সম্বল আগলে রাখে; একবারও না</t>
  </si>
  <si>
    <t>How many times does a blind man lose his stick? Never.</t>
  </si>
  <si>
    <t>কানা কাঁদেন সোনারে, সোনা কাঁদেন কানারে১</t>
  </si>
  <si>
    <t>কানা কাঁদে সোনার জন্য, সোনা কাঁদে কানের জন্য</t>
  </si>
  <si>
    <t>পরস্পরের প্রতি আকর্ষণ; বা দুষ্প্রাপ্যতার কান্না</t>
  </si>
  <si>
    <t>The blind weeps for gold, gold weeps for the ear—mutual longing.</t>
  </si>
  <si>
    <t>কানা কাঁদেন সোনারে, সোনা কাঁদেন কানারে২</t>
  </si>
  <si>
    <t>কানা কাঁদে সোনার জন্য, সোনা কাঁদে কানের জন্য (দ্বিতীয়)</t>
  </si>
  <si>
    <t>অপ্রাপ্তির হাহাকার</t>
  </si>
  <si>
    <t>The blind cries for gold, gold for ear—yearning for the unattainable.</t>
  </si>
  <si>
    <t>কানা কুঁজো খোঁড়া, তিন অসতের গোড়া</t>
  </si>
  <si>
    <t>কানা, কুঁজো, খোঁড়া—তিন অসতের মূল</t>
  </si>
  <si>
    <t>শারীরিক ত্রুটিযুক্ত লোকেরা প্রায়ই অসৎ হয়; কুসংস্কার</t>
  </si>
  <si>
    <t>Blind, hunchback, and lame—roots of all wickedness.</t>
  </si>
  <si>
    <t>প্রতিবন্ধী ব্যক্তি</t>
  </si>
  <si>
    <t>শারীরিক/কুসংস্কার</t>
  </si>
  <si>
    <t>কানাখোঁড়ার এক গুণ বাড়া১</t>
  </si>
  <si>
    <t>কানা খোঁড়ার একটি গুণ বেশি</t>
  </si>
  <si>
    <t>শারীরিক ত্রুটির পাশাপাশি তাদের কোনো অতিরিক্ত গুণ থাকে; ব্যঙ্গ</t>
  </si>
  <si>
    <t>The blind lame has one extra virtue—irony.</t>
  </si>
  <si>
    <t>প্রতিবন্ধী</t>
  </si>
  <si>
    <t>কানাখোঁড়ার এক গুণ বাড়া২</t>
  </si>
  <si>
    <t>কানা খোঁড়ার এক গুণ বেশি (দ্বিতীয়)</t>
  </si>
  <si>
    <t>দুর্বলতার মধ্যেও বিশেষত্ব</t>
  </si>
  <si>
    <t>The blind and lame have one plus—finding good in weakness.</t>
  </si>
  <si>
    <t>কানাগরু বাতাস বইলেই ভয় পায়</t>
  </si>
  <si>
    <t>কানা গরু বাতাস বইলেই ভয় পায়</t>
  </si>
  <si>
    <t>অভাগা সর্বদা ভীত</t>
  </si>
  <si>
    <t>A blind cow fears even a breeze—traumatized.</t>
  </si>
  <si>
    <t>কানাগরু বামুনকে দান</t>
  </si>
  <si>
    <t>কানা গরু ব্রাহ্মণকে দান</t>
  </si>
  <si>
    <t>অকেজো জিনিস দান করে পুণ্য অর্জনের চেষ্টা</t>
  </si>
  <si>
    <t>Donating a blind cow to a Brahmin—useless charity.</t>
  </si>
  <si>
    <t>কানাগরুর ভিন্ন গোঠ/পথ/মাঠ</t>
  </si>
  <si>
    <t>কানা গরুর ভিন্ন পথ</t>
  </si>
  <si>
    <t>বিপথগামী; অলস গরু ভিন্ন পথে চলে</t>
  </si>
  <si>
    <t>A blind cow takes a different track—deviant path.</t>
  </si>
  <si>
    <t>বিপথগামিতা</t>
  </si>
  <si>
    <t>কানাগলিতে ঘুরে মরা</t>
  </si>
  <si>
    <t>কানা গলিতে ঘুরে মরা</t>
  </si>
  <si>
    <t>অন্ধ পথে ঘুরে অযথা মৃত্যু</t>
  </si>
  <si>
    <t>Dying after wandering in blind alleys—futility.</t>
  </si>
  <si>
    <t>কানাঘোড়ার সিধা দৌড়</t>
  </si>
  <si>
    <t>কানা ঘোড়ার সিধা দৌড়</t>
  </si>
  <si>
    <t>অন্ধের মতো একদিকে ছোটা; বিবেচনাহীন</t>
  </si>
  <si>
    <t>A blind horse's straight run—reckless charge.</t>
  </si>
  <si>
    <t>অন্ধবিশ্বাস</t>
  </si>
  <si>
    <t>কানাচোখে দিয়ে কাজল আপনরূপে আপনি পাগল</t>
  </si>
  <si>
    <t>কানা চোখে কাজল দিয়ে নিজের রূপে নিজেই পাগল</t>
  </si>
  <si>
    <t>নিজের দোষ ঢেকে আত্মমগ্ন</t>
  </si>
  <si>
    <t>Putting collyrium in blind eyes, crazy about one's own beauty—vanity.</t>
  </si>
  <si>
    <t>আত্মমুগ্ধতা</t>
  </si>
  <si>
    <t>কানাছেলের নানারোগ১</t>
  </si>
  <si>
    <t>কানা ছেলের নানা রোগ</t>
  </si>
  <si>
    <t>অযোগ্যের নানা অজুহাত; বা দুর্বলের আরও কষ্ট</t>
  </si>
  <si>
    <t>A blind boy has many diseases—trouble compounds.</t>
  </si>
  <si>
    <t>কানাছেলের নানারোগ২</t>
  </si>
  <si>
    <t>কানা ছেলের নানা রোগ (দ্বিতীয়)</t>
  </si>
  <si>
    <t>এক ত্রুটির সঙ্গে আরও ত্রুটি</t>
  </si>
  <si>
    <t>A blind boy, yet many ailments—problems multiply.</t>
  </si>
  <si>
    <t>কানাছেলের নাম পদ্মলোচন</t>
  </si>
  <si>
    <t>কানা ছেলের নাম পদ্মলোচন</t>
  </si>
  <si>
    <t>গুণহীনকে গুণবাচক নাম; ব্যঙ্গ</t>
  </si>
  <si>
    <t>A blind boy named Lotus-eyed—irony.</t>
  </si>
  <si>
    <t>কানামেঘের বৃষ্টি সর্বত্র নয় দৃষ্টি১</t>
  </si>
  <si>
    <t>কানা মেঘের বৃষ্টি সর্বত্র দেখা যায় না</t>
  </si>
  <si>
    <t>একতরফা বর্ষণ; যেখানে পড়ে না, সেখানে না</t>
  </si>
  <si>
    <t>Rain from a blind cloud falls unevenly—biased.</t>
  </si>
  <si>
    <t>কানামেঘের বৃষ্টি সর্বত্র নয় দৃষ্টি২</t>
  </si>
  <si>
    <t>কানা মেঘের বৃষ্টি সর্বত্র দৃষ্টি হয় না (দ্বিতীয়)</t>
  </si>
  <si>
    <t>সবার ভাগ্যে সমান হয় না</t>
  </si>
  <si>
    <t>Blind cloud's rain doesn't fall everywhere—unequal distribution.</t>
  </si>
  <si>
    <t>কানার মাঝে ঝাপসা ভালো</t>
  </si>
  <si>
    <t>কানার মধ্যে ঝাপসা (একটু দৃষ্টি) ভালো</t>
  </si>
  <si>
    <t>একেবারে না থাকার চেয়ে অল্প থাকা ভালো</t>
  </si>
  <si>
    <t>Among blind, the partially sighted is good—a little is better than none.</t>
  </si>
  <si>
    <t>কানুছাড়া গীত নাই রাধাছাড়া প্রীত নাই১</t>
  </si>
  <si>
    <t>কানু (কৃষ্ণ) ছাড়া গীত নেই, রাধা ছাড়া প্রীতি নেই</t>
  </si>
  <si>
    <t>কৃষ্ণ ও রাধার প্রেম অপরিহার্য</t>
  </si>
  <si>
    <t>No song without Kanu, no love without Radha.</t>
  </si>
  <si>
    <t>কৃষ্ণ-রাধা (দিব্য প্রেম)</t>
  </si>
  <si>
    <t>কানুছাড়া গীত নাই রাধাছাড়া প্রীত নাই২</t>
  </si>
  <si>
    <t>কানুছাড়া গীত নাই রাধাছাড়া প্রীত নাই (দ্বিতীয়)</t>
  </si>
  <si>
    <t>পরস্পর নির্ভরশীলতা</t>
  </si>
  <si>
    <t>No song without Kanu, no love without Radha—inseparable.</t>
  </si>
  <si>
    <t>কৃষ্ণ-রাধা</t>
  </si>
  <si>
    <t>কানুছাড়া গীত নাই রাধাছাড়া প্রীত নাই৩</t>
  </si>
  <si>
    <t>কানুছাড়া গীত নাই রাধাছাড়া প্রীত নাই (তৃতীয়)</t>
  </si>
  <si>
    <t>দুইয়ের মিলনে সুর</t>
  </si>
  <si>
    <t>No music without Kanu, no love without Radha.</t>
  </si>
  <si>
    <t>কানে কলম গুঁজে দুনিয়াভর খোঁজে</t>
  </si>
  <si>
    <t>কানে কলম গুঁজে গোটা দুনিয়া খোঁজে</t>
  </si>
  <si>
    <t>ভুল জিনিসের পেছনে ছোটা; যেমন কলম কানে গুঁজে অন্য কোথাও খোঁজা</t>
  </si>
  <si>
    <t>A pen tucked behind the ear, searching the whole world—absent-minded.</t>
  </si>
  <si>
    <t>কানে কানে কথা থাকে না গোপনে</t>
  </si>
  <si>
    <t>কানে কানে কথা গোপনে থাকে না</t>
  </si>
  <si>
    <t>গোপন কথা ছড়িয়ে পড়ে</t>
  </si>
  <si>
    <t>Whispered words don't stay secret.</t>
  </si>
  <si>
    <t>কানে দিয়েছি তুলো, পিঠে বেঁধেছি কুলো</t>
  </si>
  <si>
    <t>কানে তুলো দিয়েছি, পিঠে কুলো বেঁধেছি</t>
  </si>
  <si>
    <t>কাজে যাওয়ার জন্য প্রস্তুত; বা অদ্ভুত সাজ</t>
  </si>
  <si>
    <t>I've put cotton in my ears, tied a winnowing fan on my back—ready for anything.</t>
  </si>
  <si>
    <t>কানে হাত না দিয়েই বলে কান নিয়ে গেল চিলে</t>
  </si>
  <si>
    <t>কানে হাত না দিয়ে বলে কান নিয়ে গেল চিলে</t>
  </si>
  <si>
    <t>না দেখেই সিদ্ধান্ত; আগে থেকেই অভিযোগ</t>
  </si>
  <si>
    <t>Without touching the ear, she says the kite took it—premature.</t>
  </si>
  <si>
    <t>তাড়াহুড়ো</t>
  </si>
  <si>
    <t>কানের জল, জল দিলেই বেরোয়</t>
  </si>
  <si>
    <t>সহজে নিরাময়; অল্প চেষ্টায় কাজ</t>
  </si>
  <si>
    <t>Ear water comes out with just water—easy cure.</t>
  </si>
  <si>
    <t>কানের পিছনে উকুনের বাসা</t>
  </si>
  <si>
    <t>নোংরা ও অবহেলিত জায়গায় সমস্যা</t>
  </si>
  <si>
    <t>A lice nest behind the ear—filth in hidden places.</t>
  </si>
  <si>
    <t>নোংরামি</t>
  </si>
  <si>
    <t>কান্তা রূপবতী শত্রু</t>
  </si>
  <si>
    <t>রূপবতী স্ত্রী শত্রু</t>
  </si>
  <si>
    <t>চাণক্যনীতি: সুন্দরী স্ত্রী বিপদ ডেকে আনে</t>
  </si>
  <si>
    <t>A beautiful wife is an enemy.</t>
  </si>
  <si>
    <t>রূপবতী স্ত্রী (নারী)</t>
  </si>
  <si>
    <t>কাপ ও ঠোঁটের মধ্যে বিস্তর ফাঁক আছে১</t>
  </si>
  <si>
    <t>কাপ ও ঠোঁটের মধ্যে অনেক ফাঁক আছে</t>
  </si>
  <si>
    <t>কাজ শেষ হওয়ার আগেই নিশ্চিত মনে করা ঠিক নয়</t>
  </si>
  <si>
    <t>There's many a slip 'twixt the cup and the lip.</t>
  </si>
  <si>
    <t>কাপ ও ঠোঁটের মধ্যে বিস্তর ফাঁক আছে২</t>
  </si>
  <si>
    <t>কাপ ও ঠোঁটের মধ্যে বিস্তর ফাঁক (দ্বিতীয়)</t>
  </si>
  <si>
    <t>কাজ শেষ না হওয়া পর্যন্ত নিশ্চিত নয়</t>
  </si>
  <si>
    <t>Between cup and lip there's many a gap—don't count chickens.</t>
  </si>
  <si>
    <t>কাপড় বুঝে জামা কাটো</t>
  </si>
  <si>
    <t>আয় অনুযায়ী ব্যয় করো</t>
  </si>
  <si>
    <t>কাপড় হলে পচা, আঙ্গুল হয় খোঁচা১</t>
  </si>
  <si>
    <t>কাপড় হলে পচা, আঙুল হয় খোঁচা</t>
  </si>
  <si>
    <t>সবই খারাপ; কিছুই ভালো নয়</t>
  </si>
  <si>
    <t>The cloth is rotten, the finger pokes through—everything is flawed.</t>
  </si>
  <si>
    <t>খারাপ অবস্থা</t>
  </si>
  <si>
    <t>কাপড় হলে পচা, আঙ্গুল হয় খোঁচা২</t>
  </si>
  <si>
    <t>কাপড় হলে পচা, আঙুল হয় খোঁচা (দ্বিতীয়)</t>
  </si>
  <si>
    <t>সবদিক দিয়ে অক্ষম</t>
  </si>
  <si>
    <t>If cloth, it's rotten; if finger, it pokes—utterly useless.</t>
  </si>
  <si>
    <t>কাপড়ে আগুন ঢাকা যায় না১</t>
  </si>
  <si>
    <t>কাপড়ে আগুন ঢাকা যায় না</t>
  </si>
  <si>
    <t>সত্য গোপন থাকে না</t>
  </si>
  <si>
    <t>Fire cannot be hidden under cloth.</t>
  </si>
  <si>
    <t>কাপড়ে আগুন ঢাকা যায় না২</t>
  </si>
  <si>
    <t>কাপড়ে আগুন ঢাকা যায় না (দ্বিতীয়)</t>
  </si>
  <si>
    <t>গোপন জিনিস প্রকাশ হয়েই যায়</t>
  </si>
  <si>
    <t>You can't hide fire with cloth—secret comes out.</t>
  </si>
  <si>
    <t>কাপড়ের দাগ যায় ধুলে, মনের দাগ যায় মলে।</t>
  </si>
  <si>
    <t>কাপড়ের দাগ ধুলে যায়, মনের দাগ মরলেও যায় না</t>
  </si>
  <si>
    <t>মনের কালি অমোচনীয়</t>
  </si>
  <si>
    <t>Cloth stains wash out; mind stains go only with death.</t>
  </si>
  <si>
    <t>কাপুরুষ মৃত্যুর আগে বহুবার মরে- সেক্সপিয়ার</t>
  </si>
  <si>
    <t>কাপুরুষ মৃত্যুর আগে বহুবার মরে</t>
  </si>
  <si>
    <t>ভীরু বারবার ভয়ে মরে</t>
  </si>
  <si>
    <t>Cowards die many times before their deaths.</t>
  </si>
  <si>
    <t>কামড়াতে না পারো তো দাঁত দেখিয়েও না</t>
  </si>
  <si>
    <t>কামড়াতে না পারলে দাঁতও দেখিও না</t>
  </si>
  <si>
    <t>ক্ষমতা না থাকলে ভয় দেখাতে নেই</t>
  </si>
  <si>
    <t>If you can't bite, don't show your teeth.</t>
  </si>
  <si>
    <t>কামড়িয়ো না দাঁত দেখাও</t>
  </si>
  <si>
    <t>কামড়িও না, দাঁত দেখাও</t>
  </si>
  <si>
    <t>আঘাত কোরো না, শুধু ভয় দেখাও</t>
  </si>
  <si>
    <t>Don't bite, just show teeth—intimidate.</t>
  </si>
  <si>
    <t>হুঁশিয়ারি</t>
  </si>
  <si>
    <t>কাম নাই কামাইও নাই</t>
  </si>
  <si>
    <t>কাজ নেই, কামাই (ছুটি) নেই</t>
  </si>
  <si>
    <t>একটানা অনর্থক কাজ; বা বেকার</t>
  </si>
  <si>
    <t>No work, no holiday—limbo.</t>
  </si>
  <si>
    <t>বেকার</t>
  </si>
  <si>
    <t>কামলা (ন্যাবা রোগী) আপনি সামলা</t>
  </si>
  <si>
    <t>হে কামলা (জন্ডিস), নিজেকে সামলাও</t>
  </si>
  <si>
    <t>নিজের দোষ নিজে সংশোধন করো</t>
  </si>
  <si>
    <t>Jaundice patient, heal yourself—correct your own flaws first.</t>
  </si>
  <si>
    <t>আত্মসংশোধন</t>
  </si>
  <si>
    <t>কামলা সব শ্যামলা দেখে</t>
  </si>
  <si>
    <t>কামলা (রোগী) সব শ্যামলা (হলুদ) দেখে</t>
  </si>
  <si>
    <t>যে যেমন, সে সব তেমনই দেখে</t>
  </si>
  <si>
    <t>A jaundiced person sees everything yellow—biased perception.</t>
  </si>
  <si>
    <t>কামাতুরানাং ন ভয়ং ন লজ্জা</t>
  </si>
  <si>
    <t>কামাতুরের ভয় নেই, লজ্জা নেই</t>
  </si>
  <si>
    <t>কামার্ত লোকের ভয়-লজ্জা থাকে না</t>
  </si>
  <si>
    <t>The lustful have no fear or shame.</t>
  </si>
  <si>
    <t>কাম</t>
  </si>
  <si>
    <t>কামাতে না পারা নাপিতের ধামাভরা ক্ষুর</t>
  </si>
  <si>
    <t>কামাতে না পারা নাপিতের ধামাভর্তি ক্ষুর</t>
  </si>
  <si>
    <t>অক্ষমের সরঞ্জামের বাহুল্য</t>
  </si>
  <si>
    <t>An incompetent barber has a basket full of razors—all show.</t>
  </si>
  <si>
    <t>কামানো মাথায় ক্ষুর বোলায়</t>
  </si>
  <si>
    <t>কামানো মাথায় ক্ষুর বোলানো</t>
  </si>
  <si>
    <t>অকারণ ঝুঁকি; যেখানে প্রয়োজন নেই সেখানে আঘাত</t>
  </si>
  <si>
    <t>Running a razor on a shaven head—unnecessary risk.</t>
  </si>
  <si>
    <t>অনাবশ্যক</t>
  </si>
  <si>
    <t>কামার বুড়ুলে লোহা শক্ত হয়</t>
  </si>
  <si>
    <t>কামার বুড়ো হলে লোহা শক্ত হয়</t>
  </si>
  <si>
    <t>বয়সের সঙ্গে দৃঢ়তা বাড়ে</t>
  </si>
  <si>
    <t>As the blacksmith ages, the iron becomes harder—experience brings toughness.</t>
  </si>
  <si>
    <t>কামারের কাছে ছূঁচ বেচতে আসা</t>
  </si>
  <si>
    <t>কামারের কাছে সূঁচ বেচতে আসা</t>
  </si>
  <si>
    <t>ওস্তাদের কাছে ছোট জিনিস দেখানো; বোকামি</t>
  </si>
  <si>
    <t>Coming to sell a needle to a blacksmith—fool's errand.</t>
  </si>
  <si>
    <t>কামারের কাছে লোহা জব্দ</t>
  </si>
  <si>
    <t>শক্তিশালীর কাছে সব বশ</t>
  </si>
  <si>
    <t>Iron is subdued by the blacksmith—the strong dominate.</t>
  </si>
  <si>
    <t>কামারের কাজ কুমোরের সাজে না</t>
  </si>
  <si>
    <t>এক পেশার কাজ অন্য পেশার লোকে পারে না</t>
  </si>
  <si>
    <t>A blacksmith's work doesn't suit a potter—different skills.</t>
  </si>
  <si>
    <t>কামারের নেহাই হাতুড়িকে ভয় পায় না</t>
  </si>
  <si>
    <t>শক্ত ভিত সব আঘাত সয়</t>
  </si>
  <si>
    <t>The anvil doesn't fear the hammer—resilience.</t>
  </si>
  <si>
    <t>কামালে কুমালে বর লেপুলি পুছুলি ঘর</t>
  </si>
  <si>
    <t>কামালে কুমালে বর (জামাই), লেপুলি পুছুলি ঘর</t>
  </si>
  <si>
    <t>অদ্ভুত ও অপ্রাসঙ্গিক জিনিসের মিলন; অর্থহীন ছড়া</t>
  </si>
  <si>
    <t>A groom made of lotus and pumpkin, a house swept and cleaned—nonsense.</t>
  </si>
  <si>
    <t>কার কপালে/ভাগ্যে কেবা খায়</t>
  </si>
  <si>
    <t>কার ভাগ্যে কে খায়?</t>
  </si>
  <si>
    <t>ভাগ্যের উপর সব নির্ভর</t>
  </si>
  <si>
    <t>Who eats by whose luck?—fate decides.</t>
  </si>
  <si>
    <t>কার শ্রাদ্ধ কে বা করে, খোলা কেটে বামুন মরে</t>
  </si>
  <si>
    <t>কার শ্রাদ্ধ কে করে, খোলা কেটে ব্রাহ্মণ মরে</t>
  </si>
  <si>
    <t>ভুল আচারে বিপর্যয়; বিশৃঙ্খলা</t>
  </si>
  <si>
    <t>Whose funeral rites, who performs? The pot breaks, the Brahmin dies—chaos.</t>
  </si>
  <si>
    <t>কার সাধ্য মারে তারে, খোদা হেসে রাখে যারে</t>
  </si>
  <si>
    <t>কার সাধ্য তারে মারে, যাকে খোদা হেসে রাখে</t>
  </si>
  <si>
    <t>ঈশ্বর যাকে রক্ষা করেন, তাকে কেউ মারতে পারে না</t>
  </si>
  <si>
    <t>Who can kill the one God smiles upon?</t>
  </si>
  <si>
    <t>রক্ষা</t>
  </si>
  <si>
    <t>কারণ বই কার্য নাই</t>
  </si>
  <si>
    <t>কারণ ছাড়া কাজ হয় না</t>
  </si>
  <si>
    <t>সব কিছুর পেছনে কারণ আছে</t>
  </si>
  <si>
    <t>No effect without a cause.</t>
  </si>
  <si>
    <t>কারে পড়ে আল্লার নাম</t>
  </si>
  <si>
    <t>কোন বিপদে পড়ে আল্লার নাম নেওয়া</t>
  </si>
  <si>
    <t>বিপদে পড়লে ঈশ্বরকে ডাকা</t>
  </si>
  <si>
    <t>When in distress, one calls Allah's name.</t>
  </si>
  <si>
    <t>কারে পড়ে গঙ্গাস্নান</t>
  </si>
  <si>
    <t>কার বিপদে গঙ্গাস্নান</t>
  </si>
  <si>
    <t>প্রয়োজনে ধর্মকর্ম</t>
  </si>
  <si>
    <t>In some need, one takes a Ganga bath.</t>
  </si>
  <si>
    <t>কারে ভজে কার দাস</t>
  </si>
  <si>
    <t>কাকে ভজবে, কার দাস হবে?</t>
  </si>
  <si>
    <t>কোন উপাস্য সঠিক? সিদ্ধান্তহীনতা</t>
  </si>
  <si>
    <t>Whom to worship, whose servant to be?—confusion.</t>
  </si>
  <si>
    <t>কারো আগেও নয় কারো পাছেও নয়</t>
  </si>
  <si>
    <t>কারো আগেও নয়, কারো পেছনেও নয়</t>
  </si>
  <si>
    <t>নিরপেক্ষ; মাঝামাঝি</t>
  </si>
  <si>
    <t>Neither ahead nor behind—middle of the road.</t>
  </si>
  <si>
    <t>কারো উপকার করলে কখনো বলো না কেউ উপকার করলে কখনো ভুলো না</t>
  </si>
  <si>
    <t>কারো উপকার করলে বলো না, কেউ উপকার করলে কখনো ভুলো না</t>
  </si>
  <si>
    <t>দান গোপন রাখো, প্রাপ্তির কথা মনে রেখো</t>
  </si>
  <si>
    <t>Do good and forget; receive good and remember.</t>
  </si>
  <si>
    <t>কারো কড়ি/ধার ধারি না১</t>
  </si>
  <si>
    <t>কারো টাকা/ধার ধারি না</t>
  </si>
  <si>
    <t>স্বাধীন; কারো কাছে দায়ী নই</t>
  </si>
  <si>
    <t>I owe no one money—independent.</t>
  </si>
  <si>
    <t>কারো ঘর পোড়ে কেউ আগুন পোহায়</t>
  </si>
  <si>
    <t>কারো ঘর পোড়ে, কেউ আগুন পোহায়</t>
  </si>
  <si>
    <t>একজনের ক্ষতি, অন্যের লাভ</t>
  </si>
  <si>
    <t>One's house burns, another warms by the fire—inequity.</t>
  </si>
  <si>
    <t>কারো চাকর নই, কারো প্রভুও নই- এব্রাহাম লিঙ্কন</t>
  </si>
  <si>
    <t>কারো চাকর নই, কারো প্রভু নই</t>
  </si>
  <si>
    <t>সবার সমান, স্বাধীন</t>
  </si>
  <si>
    <t>I am neither a servant nor a master—equality.</t>
  </si>
  <si>
    <t>কারো দুধে চিনি কারো শাকে বালি</t>
  </si>
  <si>
    <t>কারো দুধে চিনি, কারো শাকে বালি</t>
  </si>
  <si>
    <t>একজনের সুখ, অন্যের কষ্ট</t>
  </si>
  <si>
    <t>Sugar in one's milk, sand in another's greens—inequality.</t>
  </si>
  <si>
    <t>কারো পৌষমাস কারো সর্বনাশ</t>
  </si>
  <si>
    <t>কারো পৌষমাস (শীতের আনন্দ), কারো সর্বনাশ</t>
  </si>
  <si>
    <t>কারো শীতকাল আনন্দের, কারো ধ্বংস; বৈষম্য</t>
  </si>
  <si>
    <t>One's winter festival, another's ruin—contrast.</t>
  </si>
  <si>
    <t>কারো প্রতি অটুট শ্রদ্ধা রাখার একমাত্র উপায় হল তার সাথে কখনো দেখা না করা</t>
  </si>
  <si>
    <t>কারো প্রতি অটুট শ্রদ্ধা রাখতে চাইলে তার সাথে কখনো দেখা করো না</t>
  </si>
  <si>
    <t>অন্তরঙ্গতা শ্রদ্ধা কমায়</t>
  </si>
  <si>
    <t>The only way to keep unbroken respect is never to meet.</t>
  </si>
  <si>
    <t>মানবিকতা</t>
  </si>
  <si>
    <t>কারো সাথে ভাগাভাগি করলে সমস্যা অর্ধেক হয়ে যায়</t>
  </si>
  <si>
    <t>কারো সাথে ভাগ করলে সমস্যা অর্ধেক হয়</t>
  </si>
  <si>
    <t>দুঃখ ভাগ করলে কমে</t>
  </si>
  <si>
    <t>A problem shared is a problem halved.</t>
  </si>
  <si>
    <t>কার্তিকের জল উনো, ধান জন্মে দুনো- খনা</t>
  </si>
  <si>
    <t>কার্তিক মাসের পানি উনো (পঁচা?) ধান দ্বিগুণ জন্মে</t>
  </si>
  <si>
    <t>কার্তিক মাসে বৃষ্টি ধানের জন্য ভালো</t>
  </si>
  <si>
    <t>Kartik's water, double the paddy—good for rice.</t>
  </si>
  <si>
    <t>কার্যকালে সমুৎপন্নে ন সা বিদ্যা ন তদ্ধনম্</t>
  </si>
  <si>
    <t>বিপদের সময় যে বিদ্যা কাজে আসে না, তা বিদ্যা নয়; যে ধন কাজে আসে না, তা ধন নয়</t>
  </si>
  <si>
    <t>সত্যিকারের জ্ঞান ও অর্থ বিপদে সাহায্য করে</t>
  </si>
  <si>
    <t>That which is useless in need is neither knowledge nor wealth.</t>
  </si>
  <si>
    <t>জ্ঞান/অর্থ</t>
  </si>
  <si>
    <t>কার্য থাকলে কারণ আছে</t>
  </si>
  <si>
    <t>কাজ থাকলে কারণ থাকে</t>
  </si>
  <si>
    <t>যেখানে কাজ, সেখানে কারণ লুকানো</t>
  </si>
  <si>
    <t>Where there's work, there's a reason.</t>
  </si>
  <si>
    <t>কাল ছিলাম বসে স্বর্ণপিঁড়ে আজ বসেছি আস্তাকুঁড়ে</t>
  </si>
  <si>
    <t>কাল ছিলাম সোনার পিঁড়িতে, আজ আস্তাকুঁড়ে</t>
  </si>
  <si>
    <t>ভাগ্যের নাটকীয় পতন</t>
  </si>
  <si>
    <t>Yesterday I sat on a golden seat, today on a garbage heap.</t>
  </si>
  <si>
    <t>কালনেমির লঙ্কাভাগ</t>
  </si>
  <si>
    <t>কালনেমির লঙ্কাভাগ্য</t>
  </si>
  <si>
    <t>দুরাত্মার শেষ পরিণতি; যেমন কালনেমি রাক্ষসের</t>
  </si>
  <si>
    <t>Kalnemi's share of Lanka—evil's portion.</t>
  </si>
  <si>
    <t>কাল যায় না জল যায়</t>
  </si>
  <si>
    <t>কাল যায় না, জল যায়</t>
  </si>
  <si>
    <t>অকারণ সময় নষ্ট না করে জল চলে যায়; সময় বয়ে যায়</t>
  </si>
  <si>
    <t>Time goes, water flows—nothing stops.</t>
  </si>
  <si>
    <t>কাল রাম রাজা হবে আজ তার বনবাস</t>
  </si>
  <si>
    <t>কাল রাম রাজা হবে, আজ বনবাস</t>
  </si>
  <si>
    <t>আজ কষ্ট, আগামী দিন ভালো হবে</t>
  </si>
  <si>
    <t>Today Ram is in exile, tomorrow he'll be king—hope.</t>
  </si>
  <si>
    <t>কালস্য কুটিলা গতিঃ</t>
  </si>
  <si>
    <t>কালের গতি কুটিল</t>
  </si>
  <si>
    <t>সময় বড় জটিল; কখন কি ঘটে বলা যায় না</t>
  </si>
  <si>
    <t>The course of time is crooked—unpredictable.</t>
  </si>
  <si>
    <t>কালা অক্ষর ভৈঁসা বরাবর</t>
  </si>
  <si>
    <t>কালো অক্ষর ভুঁইষা (মোষ) সমান</t>
  </si>
  <si>
    <t>অক্ষরজ্ঞানহীন; মূর্খ</t>
  </si>
  <si>
    <t>Black letters are like a buffalo to the illiterate.</t>
  </si>
  <si>
    <t>নিরক্ষরতা</t>
  </si>
  <si>
    <t>কালা জগতের আলা</t>
  </si>
  <si>
    <t>কালো জগতের আলো</t>
  </si>
  <si>
    <t>মূর্খের কাছে মূর্খতাই জ্ঞান</t>
  </si>
  <si>
    <t>Darkness is the light of the world—ignorance prevails.</t>
  </si>
  <si>
    <t>কালা কাজলের মাটি, তা'র লাগি ছ'মাস হাঁটি; সুন্দর ধুতুরার ফুল, তা'র নাই কড়ার মূল</t>
  </si>
  <si>
    <t>কালো কাজলের মাটি, তার জন্য ছয় মাস হাঁটি; সুন্দর ধুতুরা ফুল, তার কোনো মূল্য নেই</t>
  </si>
  <si>
    <t>বাইরের সৌন্দর্যের চেয়ে গুণের মূল্য বেশি</t>
  </si>
  <si>
    <t>Black collyrium clay is worth walking six months for; pretty datura flower has no value—substance over show.</t>
  </si>
  <si>
    <t>কালা ধুলে ধলা হয় না</t>
  </si>
  <si>
    <t>কালো ধুলে সাদা হয় না</t>
  </si>
  <si>
    <t>স্বভাব বদলায় না</t>
  </si>
  <si>
    <t>Black doesn't turn white by washing.</t>
  </si>
  <si>
    <t>কালা (কানে খাটো) পুরুত তোতলা যজমান</t>
  </si>
  <si>
    <t>কালা পুরোহিত, তোতলা যজমান</t>
  </si>
  <si>
    <t>দুইজনই অক্ষম; মিলে বিপত্তি</t>
  </si>
  <si>
    <t>Deaf priest and stammering host—both incompetent.</t>
  </si>
  <si>
    <t>কালা বলে গায় ভালো, কানা বলে নাচে ভালো</t>
  </si>
  <si>
    <t>কালা বলে গাইতে ভালো, কানা বলে নাচতে ভালো</t>
  </si>
  <si>
    <t>নিজের দোষ লুকিয়ে গুণ বাড়িয়ে বলা</t>
  </si>
  <si>
    <t>The deaf claims to sing well, the blind claims to dance well—self-praise.</t>
  </si>
  <si>
    <t>আত্মপ্রশংসা</t>
  </si>
  <si>
    <t>কালা শোনে ঢাকের বাদ্যি কালা বলে আমার বিয়েরর বাদ্যি</t>
  </si>
  <si>
    <t>কালা শোনে ঢাকের বাদ্য, বলে আমার বিয়ের বাদ্য</t>
  </si>
  <si>
    <t>সব কিছুতে নিজের স্বার্থ খোঁজা</t>
  </si>
  <si>
    <t>The deaf hears drumbeats and thinks it's his wedding music—wishful thinking.</t>
  </si>
  <si>
    <t>কালি কলম পাত, তবে লেখার হাত১</t>
  </si>
  <si>
    <t>কালি, কলম, পাতা—তবে লেখার হাত</t>
  </si>
  <si>
    <t>উপকরণ আগে, তারপর কাজ</t>
  </si>
  <si>
    <t>Ink, pen, paper—then the writing hand.</t>
  </si>
  <si>
    <t>কালি কলম পাত, তবে লেখার হাত২</t>
  </si>
  <si>
    <t>কালি, কলম, পাতা—তবে লেখার হাত (দ্বিতীয়)</t>
  </si>
  <si>
    <t>প্রস্তুতি সত্ত্বেও দক্ষতা চাই</t>
  </si>
  <si>
    <t>Ink, pen, paper, but need the writing skill.</t>
  </si>
  <si>
    <t>কালি কলম মন, লেখে তিন জন</t>
  </si>
  <si>
    <t>কালি, কলম, মন—এই তিনজনে লেখে</t>
  </si>
  <si>
    <t>লেখার পেছনে উপকরণ, কলম ও মনন</t>
  </si>
  <si>
    <t>Ink, pen, and mind—these three write.</t>
  </si>
  <si>
    <t>সৃজনশীলতা</t>
  </si>
  <si>
    <t>কালিদাস আর কি, যে ডালে বসে সেই ডাল কাটে</t>
  </si>
  <si>
    <t>কালিদাসও কি সেই ডাল কাটে যাতে বসে?</t>
  </si>
  <si>
    <t>জ্ঞানীও বোকামি করতে পারে?</t>
  </si>
  <si>
    <t>Is even Kalidasa so foolish to cut the branch he sits on?</t>
  </si>
  <si>
    <t>কালির অক্ষর/আঁচর নাইকো পেটে, চণ্ডী পড়ে কালীঘাটে</t>
  </si>
  <si>
    <t>পেটে কালির আঁচর নেই, চণ্ডী পড়ে কালীঘাটে</t>
  </si>
  <si>
    <t>নিরক্ষর লোকও কেতাব পড়ার ভান করে</t>
  </si>
  <si>
    <t>No trace of ink in his belly, yet he reads scripture at Kalighat—pretension.</t>
  </si>
  <si>
    <t>কালীঘাটের লোকের কালীদর্শন হয় না</t>
  </si>
  <si>
    <t>কালীঘাটের মানুষ কালী দর্শন পায় না</t>
  </si>
  <si>
    <t>নিজের অঞ্চলের জিনিস অবহেলিত</t>
  </si>
  <si>
    <t>People of Kalighat never see the goddess Kali—familiarity neglect.</t>
  </si>
  <si>
    <t>কালে কালে কতই হল পুলিচিঠের লেজ গজালো</t>
  </si>
  <si>
    <t>কালে কালে কত কী হল, পুলিচিঠের লেজ গজালো</t>
  </si>
  <si>
    <t>সময়ের সাথে অসম্ভব ঘটেও</t>
  </si>
  <si>
    <t>Over time, many things happened—even a lizard grew a tail!—anything is possible.</t>
  </si>
  <si>
    <t>কালেন ফলতে তীর্থং সদ্য বহুসাধুসমাগমঃ</t>
  </si>
  <si>
    <t>কালে তীর্থ ফল দেয়, সদ্য বহু সাধু সমাগম</t>
  </si>
  <si>
    <t>সময়ের সঙ্গে তীর্থের ফল, আর সাধুসঙ্গ দ্রুত ফল দেয়</t>
  </si>
  <si>
    <t>Pilgrimage yields fruit in time, but company of saints gives immediate result.</t>
  </si>
  <si>
    <t>সাধুসঙ্গ</t>
  </si>
  <si>
    <t>কালের আবার কালাকাল</t>
  </si>
  <si>
    <t>কালের (সময়ের) আবার কালাকাল (ভালো-মন্দ সময়)</t>
  </si>
  <si>
    <t>সময়েরও সময় আছে; সময় বদলায়</t>
  </si>
  <si>
    <t>Even time has its proper and improper moments.</t>
  </si>
  <si>
    <t>কালো আঙুর সাদা আঙুরের মত সমান মিষ্টি</t>
  </si>
  <si>
    <t>বাহ্যিক রঙ গুণ নির্ধারণ করে না</t>
  </si>
  <si>
    <t>Black grapes are as sweet as white—color doesn't matter.</t>
  </si>
  <si>
    <t>কালো আর কালোয় মিলে ধলো হয় না১</t>
  </si>
  <si>
    <t>কালো আর কালো মিলে সাদা হয় না</t>
  </si>
  <si>
    <t>মন্দের মিলনে ভালো কিছু হয় না</t>
  </si>
  <si>
    <t>Black and black together don't make white.</t>
  </si>
  <si>
    <t>কালো আর কালোয় মিলে ধলো হয় না২</t>
  </si>
  <si>
    <t>কালো আর কালো মিলে সাদা হয় না (দ্বিতীয়)</t>
  </si>
  <si>
    <t>কুপ্রকৃতির সংসর্গে উন্নতি নেই</t>
  </si>
  <si>
    <t>Two blacks don't become white—bad company won't produce good.</t>
  </si>
  <si>
    <t>কালো আর ধলো বাইরে কেবল, ভিতরে সবাই সমান রাঙা</t>
  </si>
  <si>
    <t>কালো আর সাদা কেবল বাইরে, ভেতরে সবাই সমান রাঙা (লাল)</t>
  </si>
  <si>
    <t>রক্তের রং সবাইয়ের এক; ভেদাভেদ শুধু বাহ্যিক</t>
  </si>
  <si>
    <t>Black and white only outside; inside all are equally red.</t>
  </si>
  <si>
    <t>কালোকাপড় রুক্ মাথা লক্ষ্মী বলেন যাবো কোথা</t>
  </si>
  <si>
    <t>কালো কাপড়, রুক্ষ মাথা—লক্ষ্মী বলেন কোথায় যাব</t>
  </si>
  <si>
    <t>অপরিচ্ছন্ন ও অশ্রী ঘরে লক্ষ্মী থাকেন না</t>
  </si>
  <si>
    <t>Dirty clothes, unkempt hair—Lakshmi says where to go?</t>
  </si>
  <si>
    <t>অপরিচ্ছন্নতা</t>
  </si>
  <si>
    <t>কালোছেলের নাম গৌরাঙ্গসুন্দর</t>
  </si>
  <si>
    <t>কালো ছেলের নাম গৌরাঙ্গসুন্দর</t>
  </si>
  <si>
    <t>বিপরীত নাম; যেমন কানাছেলের নাম পদ্মলোচন</t>
  </si>
  <si>
    <t>A dark boy named Fair-bodied—irony.</t>
  </si>
  <si>
    <t>কালোবামুন, কটাশুদ্র, বেঁটেমুসলমান, ঘরজামাই, পোষ্যপুত্র- পাঁচজনাই সমান</t>
  </si>
  <si>
    <t>কালো ব্রাহ্মণ, কটাশূদ্র, বেঁটে মুসলমান, ঘরজামাই, পোষ্যপুত্র—পাঁচজনই সমান</t>
  </si>
  <si>
    <t>এই পাঁচ শ্রেণি সমান অপদার্থ বা অবহেলিত</t>
  </si>
  <si>
    <t>Black Brahmin, degraded Shudra, short Muslim, live-in son-in-law, and foster son—all five are the same.</t>
  </si>
  <si>
    <t>বিভিন্ন বর্ণ ও লিঙ্গ</t>
  </si>
  <si>
    <t>কালো মুরগী সাদা ডিম পাড়ে</t>
  </si>
  <si>
    <t>কালো মুরগি সাদা ডিম পাড়ে</t>
  </si>
  <si>
    <t>বাইরের রং ভেতরের গুণ নির্ধারণ করে না</t>
  </si>
  <si>
    <t>কালো হাঁড়ি কেয়া পাত তবে দেখবি জগন্নাথ</t>
  </si>
  <si>
    <t>কালো হাঁড়ি, কেয়া পাতা—তবে দেখবে জগন্নাথ</t>
  </si>
  <si>
    <t>সাদামাটা উপকরণেও ঈশ্বর দর্শন; সরলতাই ভক্তি</t>
  </si>
  <si>
    <t>Black pot, keora leaves—then you'll see Jagannath (simplicity in worship).</t>
  </si>
  <si>
    <t>কাশীধাম ঘুরে কাঞ্চীপুরপম/কামাখ্যা যাত্রা</t>
  </si>
  <si>
    <t>কাশীধাম ঘুরে কাঞ্চীপুরম/কামাখ্যা যাওয়া</t>
  </si>
  <si>
    <t>ঘুরিয়ে দীর্ঘ পথে যাওয়া</t>
  </si>
  <si>
    <t>Going to Kanchipuram/Kamakhya by way of Kashi—roundabout.</t>
  </si>
  <si>
    <t>কাশীধামে কাক মরেছে কালীঘাটে/কুমিল্লাতে হাহাকার</t>
  </si>
  <si>
    <t>কাশীতে কাক মরেছে, কালীঘাটে/কুমিল্লায় হাহাকার</t>
  </si>
  <si>
    <t>এক জায়গার বিপদ অন্য জায়গায় আলোড়ন</t>
  </si>
  <si>
    <t>A crow died in Kashi, and there's mourning in Kalighat/Comilla—exaggeration.</t>
  </si>
  <si>
    <t>কাশীধামে ভূমিকম্প</t>
  </si>
  <si>
    <t>কাশীতে ভূমিকম্প</t>
  </si>
  <si>
    <t>অসম্ভব ঘটনা; বা সব জায়গায় ভূমিকম্প—সর্বত্র আলোড়ন</t>
  </si>
  <si>
    <t>Earthquake in Kashi—rare or everywhere.</t>
  </si>
  <si>
    <t>কাশ্মীরজস্য কটুতাপি নিতান্তরম্যা</t>
  </si>
  <si>
    <t>কাশ্মীরের কেশরের তিক্ততাও অত্যন্ত মনোরম</t>
  </si>
  <si>
    <t>ভালো জিনিসের সামান্য ত্রুটি গুণকে ঢাকে না</t>
  </si>
  <si>
    <t>Even the bitterness of Kashmir saffron is utterly pleasing.</t>
  </si>
  <si>
    <t>কাস্তে ভেঙে গড়ে করতাল</t>
  </si>
  <si>
    <t>কাস্তে ভেঙে করতাল তৈরি</t>
  </si>
  <si>
    <t>ক্ষতির মধ্যেও লাভ; বা ভেঙে আবার কিছু বানানো</t>
  </si>
  <si>
    <t>Broken sickle turned into a cymbal—making something out of loss.</t>
  </si>
  <si>
    <t>কি অপূর্ব সৃষ্টি মা তিতা ছা মিঠা</t>
  </si>
  <si>
    <t>কী অপূর্ব সৃষ্টি! মা তিতা, ছা মিঠা</t>
  </si>
  <si>
    <t>মা তিক্ত, সন্তান মিষ্টি; বিপরীত গুণ</t>
  </si>
  <si>
    <t>Wonderful creation! Mother bitter, child sweet—paradox.</t>
  </si>
  <si>
    <t>মা (নারী)</t>
  </si>
  <si>
    <t>সৃষ্টি</t>
  </si>
  <si>
    <t>কি দিব কি দিব খোঁটা গয়ায় মরেছে বাপবেটা</t>
  </si>
  <si>
    <t>কী দেব কী দেব, খোঁটা—গয়ায় মরেছে বাপ-বেটা</t>
  </si>
  <si>
    <t>কিছুই দেবার নেই, শুধু দোষারোপ</t>
  </si>
  <si>
    <t>What can I give? Just taunts—father and son died in Gaya!—making excuses.</t>
  </si>
  <si>
    <t>কিং করিষ্যন্তি বক্তারঃ শ্রোতা যত্র ন বিদ্যতে</t>
  </si>
  <si>
    <t>বক্তারা কী করবেন, যেখানে শ্রোতা নেই</t>
  </si>
  <si>
    <t>শ্রোতা না থাকলে বক্তৃতা বৃথা</t>
  </si>
  <si>
    <t>What can speakers do where there is no listener?</t>
  </si>
  <si>
    <t>শ্রোতা</t>
  </si>
  <si>
    <t>কিংকর্তব্যবিমূঢ়</t>
  </si>
  <si>
    <t>কী কর্তব্য স্থির করতে না পারা</t>
  </si>
  <si>
    <t>হতবুদ্ধি অবস্থা</t>
  </si>
  <si>
    <t>Bewildered, not knowing what to do.</t>
  </si>
  <si>
    <t>কিং কুর্বন্তি গ্রহা সর্ব্বৈ যস্য কেন্দ্রী বৃহস্পতিঃ</t>
  </si>
  <si>
    <t>যার কেন্দ্রে বৃহস্পতি, অন্যান্য গ্রহ কী করবে?</t>
  </si>
  <si>
    <t>মূল জিনিস ভালো হলে অপকারী কিছু ক্ষতি করে না</t>
  </si>
  <si>
    <t>What can planets do if Jupiter is at the center?</t>
  </si>
  <si>
    <t>কিং কুলেন বিশালেন গুণহীনস্তু যো নরঃ</t>
  </si>
  <si>
    <t>বড় কুলে কী হবে, যার গুণ নেই</t>
  </si>
  <si>
    <t>কুলের চেয়ে গুণ বড়</t>
  </si>
  <si>
    <t>What use is high lineage if one is without virtues?</t>
  </si>
  <si>
    <t>কিং জীবিতেন পুরুষস্য নিরিক্ষরেণ</t>
  </si>
  <si>
    <t>বেকার পুরুষের জীবন বৃথা</t>
  </si>
  <si>
    <t>কর্মহীন জীবন ব্যর্থ</t>
  </si>
  <si>
    <t>What is the use of a man's life without work?</t>
  </si>
  <si>
    <t>লিঙ্গ/কর্ম</t>
  </si>
  <si>
    <t>কিং দূরং ব্যবসায়িনাম্</t>
  </si>
  <si>
    <t>উদ্যোগীর কাছে কী দূর?</t>
  </si>
  <si>
    <t>পরিশ্রমীর কাছে কিছুই দূর নয়</t>
  </si>
  <si>
    <t>What is far for the industrious?</t>
  </si>
  <si>
    <t>কিংবা স্বয়ম্ভূ শিবশক্তিবিষ্ণুঃ কপালদুঃখং ন করোতি দূরম্</t>
  </si>
  <si>
    <t>স্বয়ম্ভূ, শিব, শক্তি, বিষ্ণুও কি কপালের দুঃখ দূর করতে পারেন না?</t>
  </si>
  <si>
    <t>ভাগ্যের ফের কেউ খণ্ডাতে পারে না</t>
  </si>
  <si>
    <t>Even Brahma, Shiva, Shakti, Vishnu cannot remove the misery of fate.</t>
  </si>
  <si>
    <t>কিছু এসে যায় না কত আস্তে তুমি হাঁটছো যদি না তুমি থেমে যাও</t>
  </si>
  <si>
    <t>কিছু যায় আসে না কত ধীরে হাঁটছ, যদি না থাম</t>
  </si>
  <si>
    <t>It doesn't matter how slow you walk, as long as you don't stop.</t>
  </si>
  <si>
    <t>কিছু করার আগে তিনবার ভাববে</t>
  </si>
  <si>
    <t>কাজ করার আগে তিনবার ভাববে</t>
  </si>
  <si>
    <t>ভেবেচিন্তে কাজ করবে</t>
  </si>
  <si>
    <t>Think thrice before you act.</t>
  </si>
  <si>
    <t>কিছু করারক্ষেত্রে যারা আগে উপস্থিত হয় তাদের শাস্তি দাও এবং যারা পরে উপস্থিত হয় তাদের বাধা দাও</t>
  </si>
  <si>
    <t>যারা আগে আসে তাদের শাস্তি দাও, যারা পরে আসে তাদের বাধা দাও</t>
  </si>
  <si>
    <t>উল্টো বিচার; বিভ্রান্তি</t>
  </si>
  <si>
    <t>Punish those who arrive early, obstruct those who arrive late—absurd.</t>
  </si>
  <si>
    <t>কিছু না' করলে কিছু হয় না</t>
  </si>
  <si>
    <t>কিছু না করলে কিছু হয় না</t>
  </si>
  <si>
    <t>কাজ করতে হবে, নইলে কিছু পাওয়া যাবে না</t>
  </si>
  <si>
    <t>Nothing ventured, nothing gained.</t>
  </si>
  <si>
    <t>কিছু না' করা কুকাজ করার সামিল</t>
  </si>
  <si>
    <t>কিছু না করা কুকাজের সমান</t>
  </si>
  <si>
    <t>নিষ্ক্রিয়তাও পাপ</t>
  </si>
  <si>
    <t>Doing nothing is as bad as doing evil.</t>
  </si>
  <si>
    <t>কিছু না' থাকার চেয়ে কিছু থাকা ভাল</t>
  </si>
  <si>
    <t>কিছু না থাকার চেয়ে কিছু থাকা ভালো</t>
  </si>
  <si>
    <t>অল্প হলেও কিছু থাকা ভালো</t>
  </si>
  <si>
    <t>Something is better than nothing.</t>
  </si>
  <si>
    <t>কিছু না' থাকার চেয়ে বাজে অজুহাত ভালো</t>
  </si>
  <si>
    <t>কিছু না থাকার চেয়ে বাজে অজুহাত ভালো</t>
  </si>
  <si>
    <t>কোনো অজুহাত অন্তত কিছু তো দেওয়া হয়</t>
  </si>
  <si>
    <t>কিছু না' শিখলে অকাজ করা শেখা হয়।</t>
  </si>
  <si>
    <t>কিছু না শিখলে অকাজ করা শেখা হয়</t>
  </si>
  <si>
    <t>কোনো শিক্ষা না থাকলে বাজে কাজ শেখা হয়</t>
  </si>
  <si>
    <t>If you learn nothing, you learn mischief.</t>
  </si>
  <si>
    <t>কিছু পেতে গেলে কিছু দিতে হয়</t>
  </si>
  <si>
    <t>ত্যাগ ছাড়া প্রাপ্তি নেই</t>
  </si>
  <si>
    <t>To get something, you have to give something.</t>
  </si>
  <si>
    <t>কিছুই শিখি নি' বলতে পারাটাই সব থেকে বড় শিক্ষা</t>
  </si>
  <si>
    <t>কিছুই শিখিনি বলতে পারাটাই সবচেয়ে বড় শিক্ষা</t>
  </si>
  <si>
    <t>নিজের অজ্ঞতা স্বীকার করাই বড় জ্ঞান</t>
  </si>
  <si>
    <t>To be able to say 'I have learned nothing' is the greatest learning.</t>
  </si>
  <si>
    <t>ব্যবসায় নির্বোধ; অতি লেনদেনে বিচলিত</t>
  </si>
  <si>
    <t>While buying, a goat; while selling, a madman—indecisive.</t>
  </si>
  <si>
    <t>কিবা জ্যেষ্ঠ কি কনিষ্ঠ, যেই বুঝে সেই শ্রেষ্ঠ</t>
  </si>
  <si>
    <t>জ্যেষ্ঠ বা কনিষ্ঠ নয়, যে বোঝে সেই শ্রেষ্ঠ</t>
  </si>
  <si>
    <t>বুদ্ধিমানই শ্রেষ্ঠ, বয়স বা পদমর্যাদায় নয়</t>
  </si>
  <si>
    <t>Neither eldest nor youngest matters; he who understands is best.</t>
  </si>
  <si>
    <t>কি, বাজার যাচ্ছেন? না, বাজার যাচ্ছি; ও আমি ভাবলাম বাজার যাচ্ছেন</t>
  </si>
  <si>
    <t>বাজার যাচ্ছেন?' 'না, বাজার যাচ্ছি'—হাস্যকর জবাব</t>
  </si>
  <si>
    <t>একই কথা ঘুরিয়ে বলা; বোকা সংলাপ</t>
  </si>
  <si>
    <t>Going to market?' 'No, I'm going to market.'—comical misunderstanding.</t>
  </si>
  <si>
    <t>কিমাশ্চর্য্যমতঃপরম্</t>
  </si>
  <si>
    <t>এর চেয়ে আশ্চর্যের কী আছে?</t>
  </si>
  <si>
    <t>সবচেয়ে আশ্চর্যের কথা</t>
  </si>
  <si>
    <t>What could be more astonishing than this?</t>
  </si>
  <si>
    <t>আশ্চর্য</t>
  </si>
  <si>
    <t>কিমাদ্রবণিজো বহিত্রচিন্তয়া</t>
  </si>
  <si>
    <t>তীরে বসে বণিকের জাহাজচিন্তা কী?</t>
  </si>
  <si>
    <t>যার যা কাজ, তার সেই চিন্তা; অপ্রাসঙ্গিক চিন্তা বৃথা</t>
  </si>
  <si>
    <t>Why should a merchant on shore worry about a distant ship?</t>
  </si>
  <si>
    <t>কি যাতনা বিষে বুঝিবে সে কিসে, কভু আশীবিষে (বিষধর সাপ) দংশেনি যারে- কৃষ্ণচন্দ্র মজুমদার</t>
  </si>
  <si>
    <t>বিষের যন্ত্রণা কেমন তা সে কী করে বুঝবে যাকে কখনো বিষধর সাপ কামড়ায়নি?</t>
  </si>
  <si>
    <t>অভিজ্ঞতা ছাড়া বোঝা যায় না</t>
  </si>
  <si>
    <t>How can one understand the pain of poison who has never been bitten by a venomous snake?</t>
  </si>
  <si>
    <t>কি হতে পারি' কথা নয়, কথা হল 'কি করতে পারি'</t>
  </si>
  <si>
    <t>কী হতে পারি' নয়, প্রশ্ন 'কী করতে পারি'</t>
  </si>
  <si>
    <t>অস্তিত্বের চেয়ে কর্ম বড়</t>
  </si>
  <si>
    <t>Not 'What can I be?' but 'What can I do?'</t>
  </si>
  <si>
    <t>কিল খেয়ে কিল চুরি/হজম১</t>
  </si>
  <si>
    <t>কিল খেয়ে কিল চুরি/হজম করা</t>
  </si>
  <si>
    <t>অপমান সহ্য করে চুপ থাকা</t>
  </si>
  <si>
    <t>Taking a blow and then hiding it—swallowing insult.</t>
  </si>
  <si>
    <t>কিল খেয়ে কিল চুরি/হজম২</t>
  </si>
  <si>
    <t>কিল খেয়ে কিল চুরি/হজম (দ্বিতীয়)</t>
  </si>
  <si>
    <t>আঘাত পেয়েও প্রতিকার না করা</t>
  </si>
  <si>
    <t>Eating a punch and digesting it—endurance.</t>
  </si>
  <si>
    <t>কিল মারার গোঁসাই</t>
  </si>
  <si>
    <t>কিল মারার গোঁসাই (ওস্তাদ)</t>
  </si>
  <si>
    <t>মারামারিতে পটু, কিন্তু কাজের নয়</t>
  </si>
  <si>
    <t>Master of throwing punches—all brawn, no work.</t>
  </si>
  <si>
    <t>অকর্মণ্য</t>
  </si>
  <si>
    <t>কিলিয়ে কাঁঠাল পাকানো</t>
  </si>
  <si>
    <t>কিল মেরে কাঁঠাল পাকানো</t>
  </si>
  <si>
    <t>জোর করে কোন কাজ করা; অসম্ভব কাজ</t>
  </si>
  <si>
    <t>Ripening jackfruit by punching—forcing the impossible.</t>
  </si>
  <si>
    <t>জোরাজুরি</t>
  </si>
  <si>
    <t>কিল্লা/কেল্লা ফতে</t>
  </si>
  <si>
    <t>কেল্লা জয় (হিন্দি)</t>
  </si>
  <si>
    <t>সফলতা, দুর্গ জয়</t>
  </si>
  <si>
    <t>The fort is won—success.</t>
  </si>
  <si>
    <t>কিসে আর কিসে সোনা আর সীসে</t>
  </si>
  <si>
    <t>কিসে আর কিসে? সোনা আর সীসে</t>
  </si>
  <si>
    <t>তুলনাই হয় না; আকাশ-পাতাল</t>
  </si>
  <si>
    <t>What's the comparison? Gold and lead—vast difference.</t>
  </si>
  <si>
    <t>কিসের মধ্যে কি পান্তা ভাতে ঘি</t>
  </si>
  <si>
    <t>কিসের মধ্যে কী! পান্তাভাতে ঘি</t>
  </si>
  <si>
    <t>অপ্রত্যাশিত সংমিশ্রণ; বা অমিল</t>
  </si>
  <si>
    <t>What goes with what? Ghee on stale rice—incongruous.</t>
  </si>
  <si>
    <t>কিসের মাসী কিসের পিসী, কিসের বৃন্দাবন; মরাগাছে ফুল ফুটেছে মা বড় ধন</t>
  </si>
  <si>
    <t>কিসের মাসী, পিসী, কিসের বৃন্দাবন? মরা গাছে ফুল ফুটেছে, মা বড় ধন</t>
  </si>
  <si>
    <t>অসম্ভব ঘটনা; শুকনো গাছে ফুল—মৃতপ্রায় অবস্থায় সম্পদ</t>
  </si>
  <si>
    <t>What aunt, what aunt, what Vrindavan? A dead tree has blossomed! Mother is great wealth—ironic joy.</t>
  </si>
  <si>
    <t>কীর্তির্যযস্য স জীবতি</t>
  </si>
  <si>
    <t>যার কীর্তি আছে, সে বেঁচে আছে</t>
  </si>
  <si>
    <t>কীর্তিমান ব্যক্তি মরেও অমর</t>
  </si>
  <si>
    <t>He lives who has fame.</t>
  </si>
  <si>
    <t>কীর্তিমান জনকের পুত্র হওয়া বৃথা</t>
  </si>
  <si>
    <t>কীর্তিমান পিতার সন্তান হওয়া বৃথা</t>
  </si>
  <si>
    <t>নিজের গুণ না থাকলে পিতার কীর্তি কোন কাজে আসে না</t>
  </si>
  <si>
    <t>Being the son of a famous father is useless without own merit.</t>
  </si>
  <si>
    <t>কুঁজী না ও খুঁজি</t>
  </si>
  <si>
    <t>কুঁজীকে খুঁজি, কিন্তু ও তো নেই</t>
  </si>
  <si>
    <t>বিপরীত বুদ্ধি; কুঁজী না থাকলে খুঁজি</t>
  </si>
  <si>
    <t>The hunchback is not there, yet I search—contradiction.</t>
  </si>
  <si>
    <t>কুঁজী না ঐ পুঁজি</t>
  </si>
  <si>
    <t>কুঁজী নয়, ঐ পুঁজি (ধন)</t>
  </si>
  <si>
    <t>প্রকৃত উদ্দেশ্য ভিন্ন; কুঁজী নয়, আসলে ধন খোঁজা</t>
  </si>
  <si>
    <t>It's not a hunchback, it's a treasure—true motive.</t>
  </si>
  <si>
    <t>কুঁজীর মন্ত্রণা</t>
  </si>
  <si>
    <t>কুৎসিত বা দুষ্ট বুদ্ধি; যেমন কুঁজী মন্থরার কুমন্ত্রণা</t>
  </si>
  <si>
    <t>The counsel of a hunchback—evil advice.</t>
  </si>
  <si>
    <t>কুঁজী/নারী (মন্থরা)</t>
  </si>
  <si>
    <t>লিঙ্গ/পরামর্শ</t>
  </si>
  <si>
    <t>কুঁজোর ইচ্ছা চিৎ হয়ে শোয়</t>
  </si>
  <si>
    <t>কুঁজোর ইচ্ছা চিৎ হয়ে শোবার</t>
  </si>
  <si>
    <t>অসম্ভব ইচ্ছা; কুঁজো পিঠে চিৎ হতে পারে না</t>
  </si>
  <si>
    <t>A hunchback wishes to lie on his back—impossible desire.</t>
  </si>
  <si>
    <t>কুঁড়ে কৃষাণ অমাবস্যা খোঁজে- খনা</t>
  </si>
  <si>
    <t>অলস কৃষক অমাবস্যা খোঁজে (ছুটির অজুহাত)</t>
  </si>
  <si>
    <t>কাজ এড়াতে ছুতা খোঁজা</t>
  </si>
  <si>
    <t>A lazy farmer looks for the new moon day (holiday).</t>
  </si>
  <si>
    <t>কুঁড়ে গরুর এঁটুলি সার১</t>
  </si>
  <si>
    <t>কুঁড়ে গরুর এঁটুলি (গোবর) সার</t>
  </si>
  <si>
    <t>অলস গরুর গোবরও সার হিসেবে খাটে? ব্যঙ্গ</t>
  </si>
  <si>
    <t>Even the lazy cow's dung is manure?—finding use for the useless.</t>
  </si>
  <si>
    <t>কুঁড়ে গরুর এঁটুলি সার২</t>
  </si>
  <si>
    <t>কুঁড়ে গরুর এঁটুলি সার (দ্বিতীয়)</t>
  </si>
  <si>
    <t>অলসের কাজেও সামান্য উপকার হতে পারে</t>
  </si>
  <si>
    <t>Even a lazy cow's dung is good for something.</t>
  </si>
  <si>
    <t>সামান্য ব্যবহার</t>
  </si>
  <si>
    <t>কুঁড়েঘরে বসে লাখটাকার স্বপ্ন দেখা</t>
  </si>
  <si>
    <t>কুঁড়ে ঘরে বসে লাখ টাকার স্বপ্ন</t>
  </si>
  <si>
    <t>অভাবী বড় বড় স্বপ্ন দেখে</t>
  </si>
  <si>
    <t>A hut-dweller dreams of millions—vain ambition.</t>
  </si>
  <si>
    <t>কুঁড়ের অন্ন জোটে না</t>
  </si>
  <si>
    <t>অলসের ভাত কপালে জোটে না</t>
  </si>
  <si>
    <t>The lazy get no food.</t>
  </si>
  <si>
    <t>কুঁড়ের বাক্যে পুড়ে মরি</t>
  </si>
  <si>
    <t>অলসের কথায় পুড়ে মরি</t>
  </si>
  <si>
    <t>অলসের কথায় অতিষ্ঠ হওয়া</t>
  </si>
  <si>
    <t>I die of the lazy man's words.</t>
  </si>
  <si>
    <t>কুঁড়ের বাথান বৈদ্যনাথ</t>
  </si>
  <si>
    <t>কুঁড়ের গোয়াল বৈদ্যনাথ (তীর্থ)</t>
  </si>
  <si>
    <t>অলস নিজের গোয়ালকেই তীর্থ মনে করে</t>
  </si>
  <si>
    <t>A lazy man's cowshed is his pilgrimage—never goes far.</t>
  </si>
  <si>
    <t>কুঁড়ের মুখে আঁটুনি</t>
  </si>
  <si>
    <t>অলসের মুখে আঁটুনি (ভাতের আঠা?)</t>
  </si>
  <si>
    <t>অলস লোক ভাত খেয়ে মুখে লেপ্টে রাখে; অপরিষ্কার</t>
  </si>
  <si>
    <t>The lazy man's mouth is sticky with starch—unclean.</t>
  </si>
  <si>
    <t>কুঁড়েরে কুঁড়ে কয়- আমি ঘুমাই, তুই দোর দে; কুঁড়েরে কুঁড়ে কয়- বাতাস বয়; দোরটা দিলে ভালো হয়</t>
  </si>
  <si>
    <t>এক অলস আরেককে বলে, আমি ঘুমাই তুই দরজা দে; ও বলে বাতাস বয়, দরজা দিলে ভালো হয়</t>
  </si>
  <si>
    <t>অলসতার চরম পরাকাষ্ঠা; কাজ এড়ানোর বাহান্না</t>
  </si>
  <si>
    <t>One lazy tells another: I'll sleep, you shut the door. Other says: Wind blows, better you shut it.</t>
  </si>
  <si>
    <t>কুঁদের মুখে বাঁক থাকে না১</t>
  </si>
  <si>
    <t>কুঁদের (ছুতোরের) কাছে বাঁক থাকে না</t>
  </si>
  <si>
    <t>দক্ষের কাছে সব সোজা</t>
  </si>
  <si>
    <t>A carpenter straightens all—expert leaves no crookedness.</t>
  </si>
  <si>
    <t>কুঁদের মুখে বাঁক থাকে না২</t>
  </si>
  <si>
    <t>কুঁদের মুখে বাঁক থাকে না (দ্বিতীয়)</t>
  </si>
  <si>
    <t>ওস্তাদের কাছে কোনো ত্রুটি থাকে না</t>
  </si>
  <si>
    <t>No crookedness before a skilled craftsman.</t>
  </si>
  <si>
    <t>কুকুরকে লাই দিলে কাঁধে চড়ে</t>
  </si>
  <si>
    <t>কুকুরকে প্রশ্রয় দিলে কাঁধে চড়ে</t>
  </si>
  <si>
    <t>প্রশ্রয়ে দুর্বৃত্তের মাত্রা বাড়ে</t>
  </si>
  <si>
    <t>Give a dog an inch, it will climb on your shoulder.</t>
  </si>
  <si>
    <t>প্রশ্রয়</t>
  </si>
  <si>
    <t>কুকুরের আড়াই পাক</t>
  </si>
  <si>
    <t>কুকুরের আড়াই পাক ঘোরা</t>
  </si>
  <si>
    <t>শোয়ার আগে কুকুর যেমন কয়েক পাক ঘুরে, তেমনি বাজে অভ্যাস</t>
  </si>
  <si>
    <t>A dog's two-and-a-half circles—meaningless habit.</t>
  </si>
  <si>
    <t>কুকুরের কাজ কুকুরে করেছে কামড় দিয়েছে পায়, তা বলে কি কুকুরের কামড় মানুষের শোভা পায়</t>
  </si>
  <si>
    <t>কুকুর কামড়ায়, কিন্তু মানুষ কি কুকুরকে কামড়ায়?</t>
  </si>
  <si>
    <t>নীচের আচরণ অনুসরণ করা উচিত নয়</t>
  </si>
  <si>
    <t>A dog bites; but it doesn't befit a man to bite back.</t>
  </si>
  <si>
    <t>কুকুরের কামড় হাঁটুর নীচে১</t>
  </si>
  <si>
    <t>কুকুরের কামড় হাঁটুর নিচে</t>
  </si>
  <si>
    <t>তুচ্ছ আঘাত; গুরুত্বহীন</t>
  </si>
  <si>
    <t>A dog bite below the knee—no big deal.</t>
  </si>
  <si>
    <t>কুকুরের দৌড় ছাড়া হাঁটা নেই</t>
  </si>
  <si>
    <t>কুকুর কখনো হাঁটে না, শুধু দৌড়ায়</t>
  </si>
  <si>
    <t>অস্থিরতা; বা কুকুরের স্বভাব</t>
  </si>
  <si>
    <t>A dog has no walk, only run—restless.</t>
  </si>
  <si>
    <t>কুকুরের পেটে ঘি সয় হয় না১</t>
  </si>
  <si>
    <t>কুকুরের পেটে ঘি সহ্য হয় না</t>
  </si>
  <si>
    <t>নীচ লোক উচ্চ জিনিস হজম করতে পারে না</t>
  </si>
  <si>
    <t>A dog's stomach cannot tolerate ghee—unworthy of good things.</t>
  </si>
  <si>
    <t>কুকুরের পেটে ঘি সয় হয় না২</t>
  </si>
  <si>
    <t>কুকুরের পেটে ঘি সয় হয় না (দ্বিতীয়)</t>
  </si>
  <si>
    <t>মন্দ স্বভাবের ভালো জিনিস সহ্য হয় না</t>
  </si>
  <si>
    <t>A dog can't digest ghee—base nature rejects good.</t>
  </si>
  <si>
    <t>কুকুরের লেজে ঘি মাখলেও সোজা হয় না</t>
  </si>
  <si>
    <t>মন্দের স্বভাব পরিবর্তন হয় না</t>
  </si>
  <si>
    <t>You can't straighten a dog's tail with ghee.</t>
  </si>
  <si>
    <t>কুকুরের স্থান পায়ের নীচে</t>
  </si>
  <si>
    <t>কুকুরের জায়গা পায়ের নীচে</t>
  </si>
  <si>
    <t>নীচের স্থান নীচেই</t>
  </si>
  <si>
    <t>A dog's place is under the feet.</t>
  </si>
  <si>
    <t>কুজন-পিরিত কাঁচ ভাঙিলে ফুরায়, সুজন-পিরিত সোনা ভেঙে গড়া যায়</t>
  </si>
  <si>
    <t>কুজনের প্রীতি কাঁচ, ভাঙলেই শেষ; সুজনের প্রীতি সোনা, ভেঙে আবার গড়া যায়</t>
  </si>
  <si>
    <t>ভালো মানুষ বন্ধুত্বে ভাঙলেও জোড়া লাগে; মন্দের সাথে ভাঙলে শেষ</t>
  </si>
  <si>
    <t>Friendship with a bad person is glass; with a good person, it's gold—repairable.</t>
  </si>
  <si>
    <t>কুজনের নেই লাজ নেই অপমান, সুজনের এককথা মরণ সমান</t>
  </si>
  <si>
    <t>কুজনের লাজ নেই, অপমান নেই; সুজনের কাছে একটি কথা মরণের সমান</t>
  </si>
  <si>
    <t>মন্দ লোক অপমান বোঝে না; ভালো লোক অপমান সহ্য করতে পারে না</t>
  </si>
  <si>
    <t>A bad man has no shame or disgrace; a good man's one word is like death.</t>
  </si>
  <si>
    <t>কুটুম্বের মধ্যে শালা, গয়নার মধ্যে বালা</t>
  </si>
  <si>
    <t>কুটুম্বের (আত্মীয়) মধ্যে শালা (বেশ্যা?), গহনার মধ্যে বালা</t>
  </si>
  <si>
    <t>আত্মীয়দের মধ্যে শালা ও গহনায় বালা বিশেষ গুরুত্ব বা খারাপ</t>
  </si>
  <si>
    <t>Among relatives, the sister-in-law; among ornaments, the bangle—key role.</t>
  </si>
  <si>
    <t>শালা/নারী?</t>
  </si>
  <si>
    <t>কুঠে মুরগির ঠোঁটে বল</t>
  </si>
  <si>
    <t>কুষ্ঠরোগী মুরগির ঠোঁটে বল (শক্তি)</t>
  </si>
  <si>
    <t>রোগাক্রান্তের অহংকার; দুর্বলের বড়াই</t>
  </si>
  <si>
    <t>A leprous hen has strength in its beak—false pride.</t>
  </si>
  <si>
    <t>কুড়ি হলেই বুড়ি</t>
  </si>
  <si>
    <t>কুড়ি বছরেই বুড়ি (বৃদ্ধা)</t>
  </si>
  <si>
    <t>অল্প বয়সেই বৃদ্ধা হওয়া; আকালের লক্ষণ</t>
  </si>
  <si>
    <t>At twenty, already an old woman—premature aging.</t>
  </si>
  <si>
    <t>নারী (বুড়ি)</t>
  </si>
  <si>
    <t>বয়স/লিঙ্গ</t>
  </si>
  <si>
    <t>কুৎসিত ছেলের নাম দিব্যসুন্দর</t>
  </si>
  <si>
    <t>বেমানান নাম; ব্যঙ্গ</t>
  </si>
  <si>
    <t>An ugly boy named Divinely Beautiful—irony.</t>
  </si>
  <si>
    <t>ছেলে (পুরুষ)</t>
  </si>
  <si>
    <t>কুতো বিদ্যার্থিন সুখম</t>
  </si>
  <si>
    <t>বিদ্যা চাচ্ছো, সুখ কোথা?</t>
  </si>
  <si>
    <t>জ্ঞান অর্জন কষ্টকর; আরামের কাজ নয়</t>
  </si>
  <si>
    <t>Where is pleasure for one who seeks knowledge?—hard work.</t>
  </si>
  <si>
    <t>কুপুত্রমাসাদ্য কুতো জলাঞ্জলি</t>
  </si>
  <si>
    <t>কুপুত্র পেলে কোথা জলাঞ্জলি (পিণ্ডদান)?</t>
  </si>
  <si>
    <t>খারাপ সন্তান পিতামাতার জন্য দুঃখের</t>
  </si>
  <si>
    <t>With a bad son, where is the water offering?—no peace after death.</t>
  </si>
  <si>
    <t>পুত্র (ছেলে)</t>
  </si>
  <si>
    <t>কুপুত্র যদ্যপি হয়, কুমাতা কখনো নয়</t>
  </si>
  <si>
    <t>খারাপ পুত্র হতে পারে, কিন্তু খারাপ মা কখনো নয়</t>
  </si>
  <si>
    <t>মা সর্বদা স্নেহময়ী</t>
  </si>
  <si>
    <t>There may be a bad son, but never a bad mother.</t>
  </si>
  <si>
    <t>কুপুত্রেণ কুলং যথা</t>
  </si>
  <si>
    <t>কুপুত্রের দ্বারা বংশ ধ্বংস হয়</t>
  </si>
  <si>
    <t>এক দুষ্ট সন্তান পুরো বংশ নষ্ট করে</t>
  </si>
  <si>
    <t>As a rotten tree burns the forest, a bad son destroys the family.</t>
  </si>
  <si>
    <t>কুবাক্যান্তং চ সৌহৃদম</t>
  </si>
  <si>
    <t>বন্ধুত্বের শেষ কুবাক্য</t>
  </si>
  <si>
    <t>বন্ধুত্ব নষ্ট হলে কটুকথা শুরু হয়</t>
  </si>
  <si>
    <t>The end of friendship is harsh words.</t>
  </si>
  <si>
    <t>কুবার্তা/সংবাদ বাতাসের আগে ছোটে/ধায়</t>
  </si>
  <si>
    <t>কুসংবাদ বাতাসের চেয়ে আগে যায়</t>
  </si>
  <si>
    <t>খারাপ খবর দ্রুত ছড়ায়</t>
  </si>
  <si>
    <t>Bad news travels faster than wind.</t>
  </si>
  <si>
    <t>কুব্জার মন্ত্রণা</t>
  </si>
  <si>
    <t>কুঁজীর মন্ত্রণা (পুনরুক্তি)</t>
  </si>
  <si>
    <t>কুপরামর্শ; যেমন মন্থরা কুঁজী কৈকেয়ীকে মন্ত্রণা দিয়েছিল</t>
  </si>
  <si>
    <t>The hunchback's counsel—evil advice.</t>
  </si>
  <si>
    <t>কুঁজী নারী</t>
  </si>
  <si>
    <t>লিঙ্গ/কুপরামর্শ</t>
  </si>
  <si>
    <t>কুভোজ্যেন দিনং নষ্টম</t>
  </si>
  <si>
    <t>কুখাদ্যে দিন নষ্ট</t>
  </si>
  <si>
    <t>বাজে খাবার খেলে সারা দিন খারাপ যায়</t>
  </si>
  <si>
    <t>A bad meal ruins the day.</t>
  </si>
  <si>
    <t>কুমির যখন জলে থাকে ডাঙায় ডিমে নজর রাখে</t>
  </si>
  <si>
    <t>কুমির জলে থাকলেও ডাঙার ডিমে নজর রাখে</t>
  </si>
  <si>
    <t>লোভী সর্বদা প্রাপ্তির দিকে চোখ রাখে</t>
  </si>
  <si>
    <t>A crocodile in water watches its eggs on land—always alert for gain.</t>
  </si>
  <si>
    <t>কুমিরের সঙ্গে বিবাদ করে জলে/পানিতে বাস</t>
  </si>
  <si>
    <t>কুমিরের সঙ্গে বিবাদ করে পানিতে বসবাস</t>
  </si>
  <si>
    <t>বিপজ্জনক পরিবেশে শত্রুতায় থাকা</t>
  </si>
  <si>
    <t>Disputing with a crocodile while living in water—suicidal.</t>
  </si>
  <si>
    <t>কুম্ভকর্ণ নিদ্রাগত</t>
  </si>
  <si>
    <t>কুম্ভকর্ণের নিদ্রায়</t>
  </si>
  <si>
    <t>গভীর ঘুম; সহজে জাগে না</t>
  </si>
  <si>
    <t>Sleeping like Kumbhakarna—deep slumber.</t>
  </si>
  <si>
    <t>ঘুম</t>
  </si>
  <si>
    <t>কুম্ভকর্ণের নিদ্রা</t>
  </si>
  <si>
    <t>ছয় মাসের ঘুম; অত্যন্ত দীর্ঘ ঘুম</t>
  </si>
  <si>
    <t>The sleep of Kumbhakarna—sleep for months.</t>
  </si>
  <si>
    <t>কুম্ভকর্ণের নিদ্রাভঙ্গ</t>
  </si>
  <si>
    <t>কুম্ভকর্ণের ঘুম ভাঙানো</t>
  </si>
  <si>
    <t>অত্যন্ত কষ্টে জাগানো; বা দীর্ঘ ঘুম শেষ</t>
  </si>
  <si>
    <t>Waking Kumbhakarna—extremely difficult.</t>
  </si>
  <si>
    <t>কুয়ো হয় আমের ভয়, তাল তেঁতুলের কিছুই নয়– খনা</t>
  </si>
  <si>
    <t>কুয়ো (কুয়াশা) হলে আমের ভয়, তাল-তেঁতুলের কিছুই নয়</t>
  </si>
  <si>
    <t>শীতের কুয়াশা আমের জন্য ক্ষতিকর, কিন্তু তাল-তেঁতুলের নয়</t>
  </si>
  <si>
    <t>Fog threatens mangoes, but palm and tamarind are unaffected.</t>
  </si>
  <si>
    <t>কুরূপা নারী পতিব্রতা</t>
  </si>
  <si>
    <t>চাণক্যনীতি: কুৎসিত নারী সতী হয়</t>
  </si>
  <si>
    <t>An ugly woman is chaste.</t>
  </si>
  <si>
    <t>কুরূপা নারী</t>
  </si>
  <si>
    <t>কুর্যাৎ ক্ষীরান্তরাহারম দধ্যন্তং ন কদাচন</t>
  </si>
  <si>
    <t>দুধ দিয়ে আহার শুরু করবে, দই দিয়ে শেষ করবে না কখনো</t>
  </si>
  <si>
    <t>স্বাস্থ্যবিধি: দুধ দিয়ে শুরু, দই দিয়ে শেষ নয়</t>
  </si>
  <si>
    <t>Begin food with milk, never end with curd.</t>
  </si>
  <si>
    <t>কুল রাখি না শ্যাম রাখি</t>
  </si>
  <si>
    <t>কুল রাখি না শ্যাম (প্রেমিক) রাখি</t>
  </si>
  <si>
    <t>দুই নৌকায় পা; দ্বিধা</t>
  </si>
  <si>
    <t>Shall I keep my family honor or my lover Shyam?</t>
  </si>
  <si>
    <t>নারী (কুল ও প্রেম)</t>
  </si>
  <si>
    <t>লিঙ্গ/দ্বন্দ্ব</t>
  </si>
  <si>
    <t>কুলায়/কুলোয় শুয়ে তুলায়/তুলোয় করে দুধ খায়</t>
  </si>
  <si>
    <t>কুলোয় শুয়ে তুলোয় দুধ খায়</t>
  </si>
  <si>
    <t>শিশুর মতো আদর পাওয়া; আরাম</t>
  </si>
  <si>
    <t>Lying on a winnowing fan, drinking milk from cotton—pampered.</t>
  </si>
  <si>
    <t>আরাম</t>
  </si>
  <si>
    <t>কুশিক্ষিত হওয়া থেকে অশিক্ষিত থাকা ভাল</t>
  </si>
  <si>
    <t>কুশিক্ষিত হওয়ার চেয়ে অশিক্ষিত থাকা ভালো</t>
  </si>
  <si>
    <t>ভুল শিক্ষা থেকে শিক্ষাহীনতা ভালো</t>
  </si>
  <si>
    <t>Better uneducated than miseducated.</t>
  </si>
  <si>
    <t>কুসংবাদ বাতাসের আগে ছোটে/ধায়</t>
  </si>
  <si>
    <t>কুসংবাদ বাতাসের আগে ছোটে (পুনরুক্তি)</t>
  </si>
  <si>
    <t>Bad news travels ahead of the wind.</t>
  </si>
  <si>
    <t>কুসঙ্গে থাকার চেয়ে একা/সঙ্গীহীন থাকা ভাল</t>
  </si>
  <si>
    <t>কুসঙ্গে থাকার চেয়ে একা থাকা ভালো</t>
  </si>
  <si>
    <t>মন্দ সঙ্গ থেকে নির্জনতা ভালো</t>
  </si>
  <si>
    <t>কূপোদকং বটচ্ছায়া শ্যামা স্ত্রী ইষ্টকালয়ম্। শীতকালে ভবেদুফ গ্রীষ্মকালে চ শীতলম্।। (চাণক্য)</t>
  </si>
  <si>
    <t>কূপের জল, বটের ছায়া, শ্যামা নারী, ইটের ঘর—শীতকালে গরম, গ্রীষ্মে ঠাণ্ডা</t>
  </si>
  <si>
    <t>এই চারটি জিনিস শীতে উষ্ণ ও গ্রীষ্মে শীতল</t>
  </si>
  <si>
    <t>Well water, banyan shade, a dark woman, and a brick house are warm in winter and cool in summer.</t>
  </si>
  <si>
    <t>নারী (শ্যামা)</t>
  </si>
  <si>
    <t>স্বাচ্ছন্দ্য</t>
  </si>
  <si>
    <t>কৃতং কর্ম শুভাশুভম</t>
  </si>
  <si>
    <t>ভালো-মন্দ কাজ করে ফেলেছি</t>
  </si>
  <si>
    <t>কৃতকর্মের ফল ভোগ করতে হবে</t>
  </si>
  <si>
    <t>Good or bad deeds are done—must face consequences.</t>
  </si>
  <si>
    <t>কৃতঘ্ন বিশ্বাসঘাতকের ইহকালও নেই পরকালও নেই</t>
  </si>
  <si>
    <t>কৃতঘ্ন ও বিশ্বাসঘাতকের ইহকাল-পরকাল কিছু নেই</t>
  </si>
  <si>
    <t>অকৃতজ্ঞের কোনো স্থান নেই</t>
  </si>
  <si>
    <t>The ungrateful and traitor have neither this world nor the next.</t>
  </si>
  <si>
    <t>কৃতজ্ঞ কুকুর অকৃতজ্ঞ মানুষ অপেক্ষা শ্রেয়</t>
  </si>
  <si>
    <t>কৃতজ্ঞ কুকুর অকৃতজ্ঞ মানুষের চেয়ে ভালো</t>
  </si>
  <si>
    <t>পশুও কৃতজ্ঞ হতে পারে, মানুষ নয়</t>
  </si>
  <si>
    <t>A grateful dog is better than an ungrateful man.</t>
  </si>
  <si>
    <t>কৃতস্য করণং নাস্তি, মৃতস্য মরণং যথা। গতস্য শোচনা নাস্তি ইতি বেদবিদ্যাং মতম॥ (চাণক্য)</t>
  </si>
  <si>
    <t>যা করা হয়েছে তা ফেরানো যায় না, যেমন মৃতের মরণ; যা গেছে তার জন্য শোক নেই—এটাই বেদের মত</t>
  </si>
  <si>
    <t>অতীত নিয়ে দুঃখ নেই</t>
  </si>
  <si>
    <t>What is done cannot be undone, as the dead cannot die again; do not grieve over the past—this is the Vedic view.</t>
  </si>
  <si>
    <t>কৃপণের মত দাতা নেই</t>
  </si>
  <si>
    <t>কৃপণের মতো দাতা নেই</t>
  </si>
  <si>
    <t>কৃপণ কখনো দেয় না, তাই তার মত দাতা কেউ নয়—ব্যঙ্গ</t>
  </si>
  <si>
    <t>There is no giver like a miser—sarcasm.</t>
  </si>
  <si>
    <t>কৃপণের ধন চোরে/বর্বরে/বাটপাড়ে খায়</t>
  </si>
  <si>
    <t>কৃপণের ধন চোরে বা বাটপাড়ে খায়</t>
  </si>
  <si>
    <t>কৃপণের সঞ্চয় অন্যে ভোগ করে</t>
  </si>
  <si>
    <t>A miser's wealth is enjoyed by thieves and robbers.</t>
  </si>
  <si>
    <t>কৃপণের সন্তান অমিতব্যয়ী হয</t>
  </si>
  <si>
    <t>কৃপণের সন্তান অমিতব্যয়ী হয়</t>
  </si>
  <si>
    <t>কৃপণের ছেলে অপব্যয়ী হয়</t>
  </si>
  <si>
    <t>A miser's son becomes a spendthrift.</t>
  </si>
  <si>
    <t>কেঁচো খুঁড়তে সাপ বেরুল</t>
  </si>
  <si>
    <t>কেঁচো খুঁড়তে সাপ বেরোল</t>
  </si>
  <si>
    <t>সামান্য কাজে ভয়ানক বিপদ</t>
  </si>
  <si>
    <t>Digging for earthworms, a snake came out.</t>
  </si>
  <si>
    <t>কেঁচো দিয়ে কাতলা ধরা১</t>
  </si>
  <si>
    <t>কেঁচো দিয়ে কাতলা মাছ ধরা</t>
  </si>
  <si>
    <t>সামান্য উপকরণে বিরাট লাভ</t>
  </si>
  <si>
    <t>Catching a big catla fish with an earthworm—small bait, big catch.</t>
  </si>
  <si>
    <t>কেঁচো দিয়ে কাতলা ধরা২</t>
  </si>
  <si>
    <t>কেঁচো দিয়ে কাতলা ধরা (দ্বিতীয়)</t>
  </si>
  <si>
    <t>অল্প চেষ্টায় অনেক পাওয়া</t>
  </si>
  <si>
    <t>Using an earthworm to catch a major fish.</t>
  </si>
  <si>
    <t>কে একবার আমার হাত মুচড়েছিল মনে রাখি; কে দশবার আমার হাত ধরেছিল ভুল যাই</t>
  </si>
  <si>
    <t>কেউ একবার হাত মোচড়ালে মনে রাখি, যে দশবার ধরেছে তাকে ভুলি</t>
  </si>
  <si>
    <t>উপকারের চেয়ে অপকার বেশি মনে থাকে</t>
  </si>
  <si>
    <t>I remember who twisted my arm once; I forget who held my hand ten times.</t>
  </si>
  <si>
    <t>কে কার ঝাড়ে বাঁশ কাটে</t>
  </si>
  <si>
    <t>কে কার ঝাড়ে বাঁশ কাটে?</t>
  </si>
  <si>
    <t>কে কোথায় কী করে, তার খবর রাখা দরকার</t>
  </si>
  <si>
    <t>Who cuts bamboo in whose thicket?—watch your interests.</t>
  </si>
  <si>
    <t>কে তুমি হরিদাস পাল?</t>
  </si>
  <si>
    <t>তুচ্ছ লোকের বড়াই; আমি কে?</t>
  </si>
  <si>
    <t>Who are you, Haridas Pal?—mockery of self-importance.</t>
  </si>
  <si>
    <t>পুরুষ (হরিদাস)</t>
  </si>
  <si>
    <t>কেউ কারো মিত্র নয় কেউ কারো শত্রু নয়, ব্যবহারে শত্রুমিত্র হয়</t>
  </si>
  <si>
    <t>কেউ কারো বন্ধু বা শত্রু নয়, ব্যবহারেই হয়</t>
  </si>
  <si>
    <t>স্বার্থই সম্পর্ক নির্ধারণ করে</t>
  </si>
  <si>
    <t>No one is friend or foe; by conduct they become so.</t>
  </si>
  <si>
    <t>কেউ মরে, কেউ হরি হরি বলে</t>
  </si>
  <si>
    <t>একজনের বিপদে অন্যজনের উদাসীনতা</t>
  </si>
  <si>
    <t>One dies, another chants 'Hari Hari'—indifference.</t>
  </si>
  <si>
    <t>কেউ মরে বিল ছেঁচে, কেউ খায় কৈ</t>
  </si>
  <si>
    <t>কেউ বিল নিংড়ে মরে, কেউ কই মাছ খায়</t>
  </si>
  <si>
    <t>একজন কষ্ট করে, অন্যজন ভোগ করে</t>
  </si>
  <si>
    <t>One drains the pond and dies, another eats the fish.</t>
  </si>
  <si>
    <t>কেউই জ্ঞানী হয়ে জন্মায় না।</t>
  </si>
  <si>
    <t>কেউ জ্ঞানী হয়ে জন্মায় না</t>
  </si>
  <si>
    <t>জ্ঞান অর্জন করতে হয়</t>
  </si>
  <si>
    <t>No one is born wise.</t>
  </si>
  <si>
    <t>কেনা চালে গোণা ভাত কম পড়লে যাবে জাত</t>
  </si>
  <si>
    <t>কেনা চালে গোণা ভাত, কম পড়লে জাত যাবে</t>
  </si>
  <si>
    <t>কৃপণতা করে হিসাবি জীবন; অল্প ঘাটতি হলেই বিপদ</t>
  </si>
  <si>
    <t>Counting rice grains bought; if short, one loses caste—obsession with accounting.</t>
  </si>
  <si>
    <t>কেন্দু (হলুদ রঙের ফল) গাছে কেন্নোটা (পোকা)</t>
  </si>
  <si>
    <t>কেন্দু গাছে কেন্নো পোকা</t>
  </si>
  <si>
    <t>একটা খারাপের সাথে আরেকটা খারাপের সংযোগ</t>
  </si>
  <si>
    <t>On a yellow fruit tree, a weevil—bad upon bad.</t>
  </si>
  <si>
    <t>কেবল মন দিয়েই মন জয় করা যায়</t>
  </si>
  <si>
    <t>ভালোবাসা দিয়েই মন পাওয়া যায়</t>
  </si>
  <si>
    <t>Only with heart can you win a heart.</t>
  </si>
  <si>
    <t>কেবলং শাস্ত্রমাশ্রিত্য ন কর্তব্যো বিবির্ণয়ঃ</t>
  </si>
  <si>
    <t>শুধু শাস্ত্রের আশ্রয় নিয়ে সিদ্ধান্ত নেওয়া উচিত নয়</t>
  </si>
  <si>
    <t>প্রায়োগিক জ্ঞান চাই</t>
  </si>
  <si>
    <t>One should not decide relying solely on scriptures.</t>
  </si>
  <si>
    <t>কেলেমাণিকের নাম গৌরাঙ্গসুন্দর</t>
  </si>
  <si>
    <t>কেলে (কালো) মাণিকের নাম গৌরাঙ্গসুন্দর</t>
  </si>
  <si>
    <t>কালো ছেলের ফরসা নাম; ব্যঙ্গ</t>
  </si>
  <si>
    <t>A dark gem named Fair-bodied—irony.</t>
  </si>
  <si>
    <t>কেশব, গোপাল, হরিহরি, হরহর</t>
  </si>
  <si>
    <t>অনেক নাম ধরে ডাকা; ভণ্ড ভক্তি</t>
  </si>
  <si>
    <t>Calling many names—Keshav, Gopal, Harihari, Harhar—pretending devotion.</t>
  </si>
  <si>
    <t>কোঁদলে জাত নষ্ট</t>
  </si>
  <si>
    <t>কোঁদল (বিবাদ) করলে জাতি নষ্ট</t>
  </si>
  <si>
    <t>ঝগড়া করলে সম্মান যায়</t>
  </si>
  <si>
    <t>Quarreling ruins one's caste.</t>
  </si>
  <si>
    <t>কোকিলানাং স্বরো রূপম্ নারীরূপং পতিব্রতম্। বিদ্যা রূপং কুরূপাণাং ক্ষমা রূপং তপস্বিনাম্॥ (চাণক্য)</t>
  </si>
  <si>
    <t>কোকিলের রূপ তার স্বর, নারীর রূপ তার পতিব্রতা; কুরূপের রূপ বিদ্যা, তপস্বীর রূপ ক্ষমা</t>
  </si>
  <si>
    <t>প্রত্যেকের সৌন্দর্যের মাপকাঠি ভিন্ন</t>
  </si>
  <si>
    <t>The beauty of cuckoo is its voice; of a woman, her chastity; of the ugly, knowledge; of the ascetic, forgiveness.</t>
  </si>
  <si>
    <t>নারী (পতিব্রতা)</t>
  </si>
  <si>
    <t>কোকিলা বধু ছেলে ধরতে জানে না</t>
  </si>
  <si>
    <t>কোকিলা (নাম?) বধূ ছেলে ধরতে জানে না</t>
  </si>
  <si>
    <t>অনভিজ্ঞ নারী শিশু সামলাতে পারে না</t>
  </si>
  <si>
    <t>The bride Kokila doesn't know how to hold a baby—inexperienced.</t>
  </si>
  <si>
    <t>লিঙ্গ/অনভিজ্ঞতা</t>
  </si>
  <si>
    <t>কোণঠাসা ইঁদুর বিড়ালকে কামড়ায়</t>
  </si>
  <si>
    <t>A cornered rat bites the cat.</t>
  </si>
  <si>
    <t>কোথাও কিছু নাই খালি ফপরদালালি</t>
  </si>
  <si>
    <t>কোথাও কিছু নেই, শুধু ফপরদালালি (বাড়াবাড়ি)</t>
  </si>
  <si>
    <t>সব ফাঁকা, শুধু দালালি</t>
  </si>
  <si>
    <t>Nothing anywhere, only middleman's noise.</t>
  </si>
  <si>
    <t>শূন্যতা</t>
  </si>
  <si>
    <t>কোথাকার জল কোথায় গড়ায়/মরে</t>
  </si>
  <si>
    <t>কোথাকার জল কোথায় গড়িয়ে পড়ে</t>
  </si>
  <si>
    <t>বিক্ষিপ্ত বিষয়; কোনো ঠিক নেই</t>
  </si>
  <si>
    <t>Where does water from where flow?—aimless.</t>
  </si>
  <si>
    <t>বিক্ষিপ্ততা</t>
  </si>
  <si>
    <t>কোথায় আগরতলা আর কোথায় চৌকিরতলা</t>
  </si>
  <si>
    <t>কোথায় আগরতলা, আর কোথায় চৌকির তলা</t>
  </si>
  <si>
    <t>প্রচণ্ড ব্যবধান</t>
  </si>
  <si>
    <t>What a distance between Agartala and under the chair!</t>
  </si>
  <si>
    <t>কোথায় রাম রাজা হবেন, না তার বনবাস</t>
  </si>
  <si>
    <t>কোথায় রাম রাজা হবেন, না তার বনবাস?</t>
  </si>
  <si>
    <t>আজ বনবাস, কাল রাজত্ব—অনিশ্চয়তা</t>
  </si>
  <si>
    <t>Where is Ram's coronation, and where his exile?—ups and downs.</t>
  </si>
  <si>
    <t>কোথায় স্বর্গ, কোথা‌য নরক কে বলে তাহা বহুদূর;মানুষেরই মাঝে স্বর্গ-নরক মানুষেতে সুরাসুর (রেজাউল করিম)</t>
  </si>
  <si>
    <t>স্বর্গ-নরক বহুদূরে নয়, মানুষের মধ্যেই; মানুষেই সুর-অসুর</t>
  </si>
  <si>
    <t>ভালো-মন্দ মানুষের নিজের মধ্যে</t>
  </si>
  <si>
    <t>Heaven and hell are not far; they are in humans—people are gods and demons.</t>
  </si>
  <si>
    <t>কোদাল পাড়লেই/মারলেই চাষ হয় না</t>
  </si>
  <si>
    <t>কোদাল মারলেই চাষ হয় না</t>
  </si>
  <si>
    <t>কাজের আয়োজন করলেই কাজ হয় না</t>
  </si>
  <si>
    <t>Just swinging a spade doesn't make farming.</t>
  </si>
  <si>
    <t>কোদালকে কোদাল বল১</t>
  </si>
  <si>
    <t>কোদালকে কোদাল বলে ডাকা</t>
  </si>
  <si>
    <t>স্পষ্ট কথা বলা; কপটতা না করা</t>
  </si>
  <si>
    <t>Call a spade a spade.</t>
  </si>
  <si>
    <t>কোদালে কুড়ুলে মেঘ দেখিলে চাষিকে বলে বাগাগে হাল- খনা</t>
  </si>
  <si>
    <t>কোদালে কুড়ুলে মেঘ দেখলে চাষিকে বলে হালে যাও</t>
  </si>
  <si>
    <t>বিশেষ মেঘ দেখলে হাল ধরতে হবে</t>
  </si>
  <si>
    <t>If you see a cloud shaped like a spade or axe, farmer, go ploughing.</t>
  </si>
  <si>
    <t>কোদালের শিয়র কুড়ুলের পাশ, যে যাবে তার সর্বনাশ</t>
  </si>
  <si>
    <t>কোদালের শিয়রে, কুড়ুলের পাশে, যে যাবে তার সর্বনাশ</t>
  </si>
  <si>
    <t>বিপজ্জনক অস্ত্রের কাছে যাওয়া বিপজ্জনক</t>
  </si>
  <si>
    <t>Near the head of a spade, beside an axe—whoever goes there is doomed.</t>
  </si>
  <si>
    <t>কোন কাজ অর্ধসমাপ্ত রাখা নেই</t>
  </si>
  <si>
    <t>কোনো কাজ অর্ধসমাপ্ত রেখো না</t>
  </si>
  <si>
    <t>কাজ শেষ না করে ছাড়বে না</t>
  </si>
  <si>
    <t>Never leave a job half done.</t>
  </si>
  <si>
    <t>কোন কাজের শুরুটা বাজে হলে শেষটাও বাজে হয়</t>
  </si>
  <si>
    <t>খারাপ শুরু ভালো শেষ আনে না</t>
  </si>
  <si>
    <t>কোন কাজের শেষ ফেলে রাখতে নেই</t>
  </si>
  <si>
    <t>কাজের শেষ ফেলে রেখো না</t>
  </si>
  <si>
    <t>শেষ টুকুও সম্পন্ন করো</t>
  </si>
  <si>
    <t>Don't put off the end of any work.</t>
  </si>
  <si>
    <t>কোনকালে নাইকো গাই চালুনি নিয়ে দুইতে যাই</t>
  </si>
  <si>
    <t>কোনো কালে গাই নেই, চালুনি নিয়ে দোয়াতে যাই</t>
  </si>
  <si>
    <t>অসম্ভব কাজ; গাই না থাকলে দোহন বৃথা</t>
  </si>
  <si>
    <t>Never had a cow, yet go to milk with a sieve—futility.</t>
  </si>
  <si>
    <t>কোনকালে নেই ষষ্ঠীপূজা একেবারে দশভুজা১</t>
  </si>
  <si>
    <t>কোনো কালে ষষ্ঠীপূজা নেই, একেবারে দশভুজা (দুর্গা) পূজা</t>
  </si>
  <si>
    <t>ছোট করে কিছু করি না, হঠাৎ বড় শুরু</t>
  </si>
  <si>
    <t>Never worshiped Shashti, but directly started Durga Puja—no small steps.</t>
  </si>
  <si>
    <t>কোনকালে নেই ষষ্ঠীপূজা একেবারে দশভুজা২</t>
  </si>
  <si>
    <t>কোনো কালে ষষ্ঠীপূজা নেই, একেবারে দশভুজা (দ্বিতীয়)</t>
  </si>
  <si>
    <t>একবারে বড় কাজে হাত দেওয়া</t>
  </si>
  <si>
    <t>Never did small ritual, but directly the grand one—overambitious.</t>
  </si>
  <si>
    <t>কোন খবর না-থাকাটাই সুখবর</t>
  </si>
  <si>
    <t>কোনো খবর না থাকাই সুখবর</t>
  </si>
  <si>
    <t>খারাপ খবরের চেয়ে কোনো খবর না আসা ভালো</t>
  </si>
  <si>
    <t>No news is good news.</t>
  </si>
  <si>
    <t>কোন জন্মে ছিল না ডুলি আগে দুই পা তুলি</t>
  </si>
  <si>
    <t>কোন জন্মে ডুলি ছিল না, এখন দুই পা তুলি</t>
  </si>
  <si>
    <t>হঠাৎ বড়লোক হলে অহংকারে পা তোলা</t>
  </si>
  <si>
    <t>Never had a palanquin before, now I lift both legs—airs.</t>
  </si>
  <si>
    <t>কোন্কালে/জন্মে হবে পো ন্যাকড়া-কানি তুলে থো</t>
  </si>
  <si>
    <t>কোন কালে হবে, বাছা, ন্যাকড়া-কানি তুলে রাখো</t>
  </si>
  <si>
    <t>অনিশ্চিত ভবিষ্যতের অপেক্ষায় নষ্ট না করে সঞ্চয়</t>
  </si>
  <si>
    <t>When will it happen? Keep the rags aside—save for uncertain future.</t>
  </si>
  <si>
    <t>কোন মানুষই পুর্ণাঙ্গ নয়</t>
  </si>
  <si>
    <t>কোনো মানুষই পূর্ণাঙ্গ নয়</t>
  </si>
  <si>
    <t>প্রত্যেকেরই ত্রুটি আছে</t>
  </si>
  <si>
    <t>No man is perfect.</t>
  </si>
  <si>
    <t>কোন সংবাদ সুসংবাদ নয়</t>
  </si>
  <si>
    <t>কোনো সংবাদই সুসংবাদ নয়</t>
  </si>
  <si>
    <t>কিছুই ভালো নয়; সবই খারাপ</t>
  </si>
  <si>
    <t>No news is good news?—Actually all news is bad.</t>
  </si>
  <si>
    <t>কোন্ বা বিয়ে তার দুপায়ে আলতা</t>
  </si>
  <si>
    <t>কোন বিয়ে? তার দুই পায়ে আলতা</t>
  </si>
  <si>
    <t>বিয়ে হবে, কিন্তু আড়ম্বর নেই; বা ব্যঙ্গ</t>
  </si>
  <si>
    <t>What marriage? She's got lac-dye on both feet—mockery.</t>
  </si>
  <si>
    <t>কোন্ বে-আক্কেলে কয় সংসার আমার নয়?</t>
  </si>
  <si>
    <t>কোন হতভাগা বলে সংসার আমার নয়?</t>
  </si>
  <si>
    <t>কেউ স্বীকার করতে চায় না যে সংসার তার নয়; ব্যঙ্গ</t>
  </si>
  <si>
    <t>Which wretch says the world is not mine?—everyone claims it.</t>
  </si>
  <si>
    <t>কোমল ব্যবহার সংঘর্ষ এড়ায়</t>
  </si>
  <si>
    <t>মিষ্টি ব্যবহারে ঝগড়া কম</t>
  </si>
  <si>
    <t>Soft manners avoid conflict.</t>
  </si>
  <si>
    <t>কোম্পানীকা মাল দরিয়ামে ডাল১</t>
  </si>
  <si>
    <t>কোম্পানির মাল সাগরে ফেলা (হিন্দি/বাংলা)</t>
  </si>
  <si>
    <t>অন্যায় বা অপচয়; বা পরের মালে অমিতব্যয়িতা</t>
  </si>
  <si>
    <t>Company goods thrown into the sea—waste.</t>
  </si>
  <si>
    <t>কোম্পানীকা মাল দরিয়ামে ডাল২</t>
  </si>
  <si>
    <t>কোম্পানির মাল সাগরে ফেলা (দ্বিতীয়)</t>
  </si>
  <si>
    <t>সরকারি জিনিসের অপচয়</t>
  </si>
  <si>
    <t>Wasting company goods—mismanagement.</t>
  </si>
  <si>
    <t>কোয়লাকা ময়লা ছুটে যব্ আগ্ করে পর্‌বেশ</t>
  </si>
  <si>
    <t>কয়লার ময়লা যায় যখন আগুনে দেওয়া হয় (হিন্দি)</t>
  </si>
  <si>
    <t>আগুনে পোড়ালে কয়লা পরিষ্কার হয়</t>
  </si>
  <si>
    <t>Coal's dirt goes when it enters fire.</t>
  </si>
  <si>
    <t>কোলটানা ছ</t>
  </si>
  <si>
    <t>কোলটানা ছয় (অর্থ?)</t>
  </si>
  <si>
    <t>সম্ভবত কোলের টানাই আসল</t>
  </si>
  <si>
    <t>Pull of the lap is the real bond.</t>
  </si>
  <si>
    <t>কোহতিভারঃ সমর্থানাং</t>
  </si>
  <si>
    <t>সক্ষমের কাছে অতিভার কী?</t>
  </si>
  <si>
    <t>দক্ষের কাছে কিছুই কঠিন নয়</t>
  </si>
  <si>
    <t>What is too heavy for the competent?</t>
  </si>
  <si>
    <t>ক্রশ/ক্রুশের পিছনেই শয়তানের আস্তানা</t>
  </si>
  <si>
    <t>ক্রুশের পিছনেই শয়তানের বাসা</t>
  </si>
  <si>
    <t>সাধুতার আড়ালে দুষ্টতা লুকানো</t>
  </si>
  <si>
    <t>Behind the cross lurks the devil.</t>
  </si>
  <si>
    <t>ক্রিয়া শব্দের চেয়ে বেশি জোরে কথা বলে</t>
  </si>
  <si>
    <t>কাজের আওয়াজ কথা থেকে বেশি</t>
  </si>
  <si>
    <t>Actions speak louder than words.</t>
  </si>
  <si>
    <t>ক্রোধ এবং ঘৃণা সুপরামর্শের পক্ষে বাধাস্বরূপ</t>
  </si>
  <si>
    <t>ক্রোধ ও ঘৃণা ভালো পরামর্শের বাধা</t>
  </si>
  <si>
    <t>রাগ থাকলে ভালো বুদ্ধি আসে না</t>
  </si>
  <si>
    <t>Anger and hatred hinder good counsel.</t>
  </si>
  <si>
    <t>ক্রোধো বৈবস্বতো রাজা</t>
  </si>
  <si>
    <t>ক্রোধই বৈবস্বত (যম) রাজা</t>
  </si>
  <si>
    <t>ক্রোধ সর্বনাশ করে</t>
  </si>
  <si>
    <t>Anger is king of destruction.</t>
  </si>
  <si>
    <t>ক্ষতে প্রহারা নিপতন্তি</t>
  </si>
  <si>
    <t>ক্ষতে আরও আঘাত পড়ে</t>
  </si>
  <si>
    <t>দুর্বলের ওপর আরও অত্যাচার</t>
  </si>
  <si>
    <t>On a wound, blows fall—more trouble on the weak.</t>
  </si>
  <si>
    <t>ক্ষমা পরমোধর্মঃ</t>
  </si>
  <si>
    <t>ক্ষমাই পরম ধর্ম</t>
  </si>
  <si>
    <t>ক্ষমা করাই শ্রেষ্ঠ ধর্ম</t>
  </si>
  <si>
    <t>Forgiveness is the supreme duty.</t>
  </si>
  <si>
    <t>ক্ষমাই যদি করতে না পার, তবে তাকে ভালোবাস কেন? (রবীন্দ্রনাথ)</t>
  </si>
  <si>
    <t>ক্ষমা করতে না পারলে তাকে ভালোবাস কেন?</t>
  </si>
  <si>
    <t>প্রেম ক্ষমার ভিত্তিতে</t>
  </si>
  <si>
    <t>If you cannot forgive, why love?</t>
  </si>
  <si>
    <t>ক্ষমার বড় গুণ নাই, দানের বড় পূণ্য নাই</t>
  </si>
  <si>
    <t>ক্ষমার চেয়ে বড় গুণ নেই, দানের চেয়ে বড় পুণ্য নেই</t>
  </si>
  <si>
    <t>ক্ষমা ও দান সর্বোত্তম</t>
  </si>
  <si>
    <t>No virtue greater than forgiveness, no merit greater than charity.</t>
  </si>
  <si>
    <t>ক্ষিপ্রতা শয়তানের পছন্দ, করুণাময় ঈশ্বরের পছন্দ ধৈর্য</t>
  </si>
  <si>
    <t>তাড়াহুড়ো শয়তানের, ধৈর্য ঈশ্বরের</t>
  </si>
  <si>
    <t>Haste is the devil's; patience is the merciful God's.</t>
  </si>
  <si>
    <t>ক্ষীণে কস্যাস্তি গৌরবম্‌</t>
  </si>
  <si>
    <t>দুর্বলের কে গৌরব আছে?</t>
  </si>
  <si>
    <t>গরিবের বা দুর্বলের সম্মান নেই</t>
  </si>
  <si>
    <t>Who respects the weak?</t>
  </si>
  <si>
    <t>গৌরব</t>
  </si>
  <si>
    <t>ক্ষুদ খেয়ে পুঁজি করে দুপুরুষে খরচ করে</t>
  </si>
  <si>
    <t>খুদ (ছোট শস্য) খেয়ে সঞ্চয় করে, আর অপাত্রে ব্যয় করে</t>
  </si>
  <si>
    <t>কষ্ট করে জমিয়ে বাজে খরচ</t>
  </si>
  <si>
    <t>Eating coarse grain to save, then spending on a scoundrel.</t>
  </si>
  <si>
    <t>ক্ষুদ্র ক্ষুদ্র বালিকণা বিন্দু বিন্দু জল গড়ে তোলে মহাদেশ সাগর অতল</t>
  </si>
  <si>
    <t>ছোট ছোট বালি, ফোঁটা ফোঁটা জল গড়ে মহাদেশ ও সাগর</t>
  </si>
  <si>
    <t>ক্ষুদ্রের সমষ্টি বিরাট</t>
  </si>
  <si>
    <t>Tiny grains, drops of water build continents and oceans.</t>
  </si>
  <si>
    <t>ক্রমিক</t>
  </si>
  <si>
    <t>ক্ষুদ্র শরীরে একটি বিরাট আত্মা বাস করে</t>
  </si>
  <si>
    <t>ক্ষুদ্র দেহে মহান আত্মা বাস করে</t>
  </si>
  <si>
    <t>ছোট মানুষ বড় মনের হয়</t>
  </si>
  <si>
    <t>A great soul may dwell in a small body.</t>
  </si>
  <si>
    <t>আত্মা</t>
  </si>
  <si>
    <t>ক্ষুধা/ক্ষিদে থাকলে নূন দিয়েও ভাত খাওয়া যায়</t>
  </si>
  <si>
    <t>ক্ষুধা থাকলে লবণ দিয়েও ভাত খাওয়া যায়</t>
  </si>
  <si>
    <t>অভাবে যা পায় তাই চলে</t>
  </si>
  <si>
    <t>When hungry, even rice with just salt can be eaten.</t>
  </si>
  <si>
    <t>ক্ষুধা/ক্ষিদে পেলে দুহাতে খেতে চায়</t>
  </si>
  <si>
    <t>ক্ষুধা পেলে দুই হাতে খেতে ইচ্ছা করে</t>
  </si>
  <si>
    <t>তীব্র ক্ষুধায় ভদ্রতা থাকে না</t>
  </si>
  <si>
    <t>When really hungry, one wants to eat with both hands.</t>
  </si>
  <si>
    <t>ক্ষুধার/ক্ষিদের কোন জাত নেই</t>
  </si>
  <si>
    <t>ক্ষুধার কোনো জাতি নেই</t>
  </si>
  <si>
    <t>ক্ষুধার্তের কাছে খাবারে বৈষম্য থাকে না</t>
  </si>
  <si>
    <t>Hunger has no caste.</t>
  </si>
  <si>
    <t>ক্ষুধার/ক্ষিদের চোটে পাটকেল কামড়ায়১</t>
  </si>
  <si>
    <t>ক্ষুধার তাড়নায় পাটকেল (ইটের টুকরো) কামড়ায়</t>
  </si>
  <si>
    <t>প্রচণ্ড ক্ষুধায় অখাদ্যও খাবার মনে হয়</t>
  </si>
  <si>
    <t>In hunger's grip, one bites a brick—so desperate.</t>
  </si>
  <si>
    <t>ক্ষুধার/ক্ষিদের চোটে পাটকেল কামড়ায়২</t>
  </si>
  <si>
    <t>ক্ষুধার চোটে পাটকেল কামড়ায় (দ্বিতীয়)</t>
  </si>
  <si>
    <t>ক্ষুধার জ্বালায় সব ভুল</t>
  </si>
  <si>
    <t>Hunger makes one chew even a brick.</t>
  </si>
  <si>
    <t>ক্ষুধার্ত পাকস্থলীর জিভ থাকে না</t>
  </si>
  <si>
    <t>খিদে পেলে পেটের জিভ থাকে না</t>
  </si>
  <si>
    <t>ক্ষুধার্ত ব্যক্তি উপাদেয়তা বোঝে না</t>
  </si>
  <si>
    <t>A hungry stomach has no tongue.</t>
  </si>
  <si>
    <t>ক্ষুধার্ত পেটের কান নেই</t>
  </si>
  <si>
    <t>ক্ষুধার্ত পেট কান পাতে না</t>
  </si>
  <si>
    <t>ক্ষুধার্ত যুক্তি শোনে না</t>
  </si>
  <si>
    <t>A hungry belly has no ears.</t>
  </si>
  <si>
    <t>ক্ষুরে ক্ষুরে দণ্ডবৎ</t>
  </si>
  <si>
    <t>ক্ষুর দিয়ে ক্ষুরের মতো দণ্ডবৎ (কাটাকাটি)</t>
  </si>
  <si>
    <t>নিখুঁত বিচার; অতি সূক্ষ্ম</t>
  </si>
  <si>
    <t>Sharp as razor; precise.</t>
  </si>
  <si>
    <t>ক্ষুরের ধার ছুঁতে কাটে</t>
  </si>
  <si>
    <t>ক্ষুরের ধার ছোঁলেই কেটে যায়</t>
  </si>
  <si>
    <t>অতি তীক্ষ্ণ; স্পর্শমাত্রই ক্ষতি</t>
  </si>
  <si>
    <t>The razor's edge cuts at a touch.</t>
  </si>
  <si>
    <t>তীক্ষ্ণতা</t>
  </si>
  <si>
    <t>ক্ষেত্রে কর্ম বিধিয়তে</t>
  </si>
  <si>
    <t>ক্ষেত্রে কর্ম নির্ধারিত হয় (গীতা?)</t>
  </si>
  <si>
    <t>পরিবেশ অনুযায়ী কাজ</t>
  </si>
  <si>
    <t>In the field, action is determined.</t>
  </si>
  <si>
    <t>ক্ষেপই হারে, জনম হারে না</t>
  </si>
  <si>
    <t>ক্ষেপ (নৌকার গুণ টানা) হারে, কিন্তু জন্ম হারায় না</t>
  </si>
  <si>
    <t>পরিশ্রম হারলেও জীবন হারায় না; বা বারবার চেষ্টা</t>
  </si>
  <si>
    <t>The tow-rope loses, but life doesn't—keep trying.</t>
  </si>
  <si>
    <t>চেষ্টা</t>
  </si>
  <si>
    <t>খইয়ের বন্ধনে পড়া</t>
  </si>
  <si>
    <t>সামান্য লোভে ফেঁসে যাওয়া</t>
  </si>
  <si>
    <t>Getting trapped by a binding of puffed rice—trivial greed.</t>
  </si>
  <si>
    <t>খঞ্জনের নাচ দেখে চড়ুইয়ের নাচ</t>
  </si>
  <si>
    <t>খঞ্জনের নাচ দেখে চড়ুই পাখির নাচ</t>
  </si>
  <si>
    <t>অনুকরণপ্রিয়তা; যোগ্যের দেখাদেখি অযোগ্যের নাচ</t>
  </si>
  <si>
    <t>The wagtail dances, and the sparrow tries to dance—imitation.</t>
  </si>
  <si>
    <t>খড় কেটে বন উজাড়</t>
  </si>
  <si>
    <t>খড় কেটে বন সাফ</t>
  </si>
  <si>
    <t>ছোট কাজ করতে গিয়ে বড় ধ্বংস</t>
  </si>
  <si>
    <t>Cutting grass to clear a forest—overkill.</t>
  </si>
  <si>
    <t>খড়ম পায়ে দিয়ে গঙ্গা পার</t>
  </si>
  <si>
    <t>খড়ম পায়ে দিয়ে গঙ্গা পার হওয়া</t>
  </si>
  <si>
    <t>সামান্য উপায়ে বিরাট কাজ</t>
  </si>
  <si>
    <t>Crossing the Ganga with wooden sandals—impossible.</t>
  </si>
  <si>
    <t>খড়ের আগুন যেমনি জ্বলে তেমনি নেভে</t>
  </si>
  <si>
    <t>খড়ের আগুন যেমন জ্বলে তেমন নেভে</t>
  </si>
  <si>
    <t>ক্ষণিক রাগ বা উৎসাহ চট করে জ্বলে ও নেভে</t>
  </si>
  <si>
    <t>Straw fire flames up and dies out quickly.</t>
  </si>
  <si>
    <t>খনা ডেকে বলে যান, রোদে ধান ছায়ায় পান</t>
  </si>
  <si>
    <t>খনা ডেকে বলে গেছেন, রোদে ধান ছায়ায় পানের চাষ</t>
  </si>
  <si>
    <t>ধান রোদে, পান ছায়ায় ভালো হয়</t>
  </si>
  <si>
    <t>Khana says: paddy in sun, betel in shade.</t>
  </si>
  <si>
    <t>খয়রাত ঘর থেকে শুরু হয়</t>
  </si>
  <si>
    <t>দান-খয়রাত ঘর থেকে শুরু হয়</t>
  </si>
  <si>
    <t>প্রথমে পরিবারের সেবা করো, তারপর পরের</t>
  </si>
  <si>
    <t>Charity begins at home.</t>
  </si>
  <si>
    <t>খয়ের খাঁ</t>
  </si>
  <si>
    <t>খয়ের খাঁ (চাটুকার)</t>
  </si>
  <si>
    <t>চাটুকার, যে অন্যের জুতা পায়ের খয়ের (মল) চেটে খায়</t>
  </si>
  <si>
    <t>A bootlicker—one who sucks up.</t>
  </si>
  <si>
    <t>খরনদীতে চর পড়ে না</t>
  </si>
  <si>
    <t>খর নদীতে চর পড়ে না</t>
  </si>
  <si>
    <t>তীব্র গতির কারণে পলি জমে না; দ্রুতগতি</t>
  </si>
  <si>
    <t>A swift river doesn't form sandbars—fast pace.</t>
  </si>
  <si>
    <t>খরচের আঁকে আনতে জমার আঁকে কুলায় না</t>
  </si>
  <si>
    <t>খরচের অঙ্ক আনতে গিয়ে জমার অঙ্ক কুলায় না</t>
  </si>
  <si>
    <t>আয়ের চেয়ে ব্যয় বেশি</t>
  </si>
  <si>
    <t>The expense account doesn't match the income account—deficit.</t>
  </si>
  <si>
    <t>খল যায় রসাতল</t>
  </si>
  <si>
    <t>খল লোক রসাতলে যায়</t>
  </si>
  <si>
    <t>দুষ্ট লোক ধ্বংস হয়</t>
  </si>
  <si>
    <t>The wicked goes to the abyss.</t>
  </si>
  <si>
    <t>খলঃ করোতি দুর্বৃত্তং, নূনং ফলতি সাধুষু</t>
  </si>
  <si>
    <t>খল দুর্বৃত্তি করে, কিন্তু তা সাধুদের ওপর ফলপ্রদ হয়?</t>
  </si>
  <si>
    <t>খলের অপকর্ম ভালো লোককে আরও উন্নত করে</t>
  </si>
  <si>
    <t>The wicked does evil, but it bears fruit for the virtuous.</t>
  </si>
  <si>
    <t>খলঃ কেন নিবার্যতে</t>
  </si>
  <si>
    <t>খলকে কে নিবারণ করবে?</t>
  </si>
  <si>
    <t>দুষ্টকে থামানো কঠিন</t>
  </si>
  <si>
    <t>Who can restrain the wicked?</t>
  </si>
  <si>
    <t>খলের ছলের অভাব হয় না</t>
  </si>
  <si>
    <t>দুষ্টের ছলনার অভাব নেই</t>
  </si>
  <si>
    <t>ধূর্তের অজুহাতের শেষ নেই</t>
  </si>
  <si>
    <t>The wicked never run out of tricks.</t>
  </si>
  <si>
    <t>খাঁচায় পুরে খোঁচা মারে</t>
  </si>
  <si>
    <t>নিরাপদ দূরত্ব থেকে আঘাত</t>
  </si>
  <si>
    <t>Caged and then poked—tormenting the helpless.</t>
  </si>
  <si>
    <t>খাঁচার পাখি গান গায় না</t>
  </si>
  <si>
    <t>বন্দী জীবনে সুখ নেই; স্বাধীনতা না থাকলে সৃষ্টিশীলতা হারায়।</t>
  </si>
  <si>
    <t>A caged bird doesn't sing.</t>
  </si>
  <si>
    <t>বন্দী/স্বাধীনতাহীন ব্যক্তি</t>
  </si>
  <si>
    <t>খাঁদা নাকে নথ গোদা পায়ে মল</t>
  </si>
  <si>
    <t>খাঁদা নাকে নথ, গোদা পায়ে মল</t>
  </si>
  <si>
    <t>কুৎসিত নাকে নাকফুল আর গোদা পায়ে পায়ের অলংকার—হাস্যকর।</t>
  </si>
  <si>
    <t>A flat nose with a nose ring, gout-ridden feet with anklets—incongruous.</t>
  </si>
  <si>
    <t>কুৎসিত/বেমানান সাজ</t>
  </si>
  <si>
    <t>খাই দাই কাঁসি/বাঁশি বাজাই কারো খবর রাখি না</t>
  </si>
  <si>
    <t>খাই দাই, কাঁসি/বাঁশি বাজাই, কারো খবর রাখি না</t>
  </si>
  <si>
    <t>নিজের ভোগেই ব্যস্ত, পরের খোঁজ নেই—স্বার্থপর।</t>
  </si>
  <si>
    <t>I eat, drink, and play the flute; I care for nobody.</t>
  </si>
  <si>
    <t>খাই দাই তবলা বাজাই দুদিন বইতো নয়</t>
  </si>
  <si>
    <t>খাই দাই তবলা বাজাই, দুদিনের বেশি নয়</t>
  </si>
  <si>
    <t>ক্ষণস্থায়ী সুখভোগ; জীবন ছোট।</t>
  </si>
  <si>
    <t>I eat, drink, play tabla; it's only for a couple of days.</t>
  </si>
  <si>
    <t>খাই দাই ভুলি না তত্বকথা ছাড়ি না১</t>
  </si>
  <si>
    <t>খাই দাই ভুলি না, তত্ত্বকথা ছাড়ি না</t>
  </si>
  <si>
    <t>ভোগ করেও জ্ঞানচর্চা ছাড়ে না; আদর্শবাদী।</t>
  </si>
  <si>
    <t>I eat, drink, but don't forget truth or abandon philosophy.</t>
  </si>
  <si>
    <t>ভোগী কিন্তু জ্ঞানী</t>
  </si>
  <si>
    <t>খাই দাই ভুলি না তত্বকথা ছাড়ি না২</t>
  </si>
  <si>
    <t>খাই দাই ভুলি না, তত্ত্বকথা ছাড়ি না (দ্বিতীয়)</t>
  </si>
  <si>
    <t>জাগতিক কর্তব্য করেও আধ্যাত্মিকতা বজায়।</t>
  </si>
  <si>
    <t>Even while indulging, I don't forget spiritual discourse.</t>
  </si>
  <si>
    <t>জ্ঞানপিপাসু</t>
  </si>
  <si>
    <t>আধ্যাত্মিক</t>
  </si>
  <si>
    <t>খাই না-খাই আছি ভালো ভাঙাঘরে চাঁদের আলো</t>
  </si>
  <si>
    <t>খাই না খাই আছি ভালো, ভাঙা ঘরে চাঁদের আলো</t>
  </si>
  <si>
    <t>অভাবেও সন্তুষ্টি; রূপক—গরিবের ঘরে চাঁদের আলোই সান্ত্বনা।</t>
  </si>
  <si>
    <t>Whether I eat or not, I'm fine with moonlight in my broken hut.</t>
  </si>
  <si>
    <t>অভাবী কিন্তু সন্তুষ্ট</t>
  </si>
  <si>
    <t>খাওয়ার বেলায় আগে কাজের বেলায় ভাগে</t>
  </si>
  <si>
    <t>খাওয়ার সময় আগে, কাজের সময় ভাগে</t>
  </si>
  <si>
    <t>অলস ও স্বার্থপর; খেতে উৎসাহী, কাজ এড়ায়।</t>
  </si>
  <si>
    <t>First in eating, retreats from work.</t>
  </si>
  <si>
    <t>অলস/স্বার্থপর</t>
  </si>
  <si>
    <t>খাওয়ার সাথে খিদে আসে</t>
  </si>
  <si>
    <t>খাওয়ার সাথে ক্ষুধা আসে</t>
  </si>
  <si>
    <t>ভোগ বাড়লে লোভও বাড়ে।</t>
  </si>
  <si>
    <t>Appetite comes with eating.</t>
  </si>
  <si>
    <t>খাওয়াবে হাতির ভোগে দেখবে বাঘের চোখে</t>
  </si>
  <si>
    <t>খাওয়াবে হাতির ভোগে, দেখবে বাঘের চোখে</t>
  </si>
  <si>
    <t>প্রচুর দেওয়ার ভান, কিন্তু নজরদারি।</t>
  </si>
  <si>
    <t>Feed like an elephant, but watch with tiger's eyes—suspicious generosity.</t>
  </si>
  <si>
    <t>কপট দাতা</t>
  </si>
  <si>
    <t>খাচ্ছিল জেলে জাল বুনে কাল হল তার হালের গরু কিনে১</t>
  </si>
  <si>
    <t>জেলে জাল বুনছিল, কাল হল হালের গরু কিনে</t>
  </si>
  <si>
    <t>নিজের কাজ ছেড়ে অপর কাজে লোভে পড়ে সর্বনাশ।</t>
  </si>
  <si>
    <t>The fisherman was weaving nets; trouble came when he bought a plough ox.</t>
  </si>
  <si>
    <t>খাচ্ছিল জেলে জাল বুনে, কাল হল তার হালের গরু কিনে২</t>
  </si>
  <si>
    <t>জেলে জাল বুনছিল, হালের গরু কিনে কাল হল (দ্বিতীয়)</t>
  </si>
  <si>
    <t>মূল পেশা ছেড়ে ফুস লাভে গিয়ে সর্বনাশ।</t>
  </si>
  <si>
    <t>The fisherman left net-making to buy an ox and was ruined.</t>
  </si>
  <si>
    <t>খাজনার চেয়ে বাজনা বেশি</t>
  </si>
  <si>
    <t>খাজনার চেয়ে বাজনা (মিছিলের শব্দ) বেশি</t>
  </si>
  <si>
    <t>আসল কাজের চেয়ে আড়ম্বর বেশি।</t>
  </si>
  <si>
    <t>More noise than the tax itself—much ado.</t>
  </si>
  <si>
    <t>খাট ভাঙ্গলে ভূমিশয্যা</t>
  </si>
  <si>
    <t>খাট ভাঙলে মাটিতেই শোয়া</t>
  </si>
  <si>
    <t>সব হারালে যা থাকে তাই দিয়েই চলে।</t>
  </si>
  <si>
    <t>When the bed breaks, the floor is your bed—make do.</t>
  </si>
  <si>
    <t>খাটে খাটায় লাভের গাঁতি, তার অর্ধেক মাথার ছাতি; ঘরে বসে পুছে বাত তার ঘরে হা-ভাত (খনা)</t>
  </si>
  <si>
    <t>খাটে যে লাভের গাঁতি, তার অর্ধেক মাথার ছাতি; ঘরে বসে বাত পোছে তার ঘরে অন্নাভাব</t>
  </si>
  <si>
    <t>যে পরিশ্রম করে সে লাভবান হয়, অলস ঘরে বসে বাতাস পুঁছে অভাবী।</t>
  </si>
  <si>
    <t>The diligent farmer profits; the lazy one wipes the wind and starves.</t>
  </si>
  <si>
    <t>অলস/কৃষক</t>
  </si>
  <si>
    <t>খাড়া-বড়ি-থোর থোর-বড়ি-খাড়া</t>
  </si>
  <si>
    <t>খাড়া-বড়ি-থোর, থোর-বড়ি-খাড়া (একই কথা ঘুরিয়ে বলা)</t>
  </si>
  <si>
    <t>একই অর্থের পুনরাবৃত্তি; কোনো পার্থক্য নেই।</t>
  </si>
  <si>
    <t>Upright-lentil-thor, thor-lentil-upright—same thing.</t>
  </si>
  <si>
    <t>পুনরাবৃত্তি</t>
  </si>
  <si>
    <t>খাণ্ডারের যোগ্য খাণ্ডারনী</t>
  </si>
  <si>
    <t>খাণ্ডার (দুষ্ট) লোকের যোগ্য স্ত্রী খাণ্ডারনী (দুষ্টা)</t>
  </si>
  <si>
    <t>যেমন স্বামী তেমন স্ত্রী; দুষ্টের সাথে দুষ্টা।</t>
  </si>
  <si>
    <t>A wicked husband deserves a wicked wife.</t>
  </si>
  <si>
    <t>দম্পতি (স্বামী-স্ত্রী)</t>
  </si>
  <si>
    <t>খানায় পড়লে হাতি চামচিকেতে মারে লাথি</t>
  </si>
  <si>
    <t>খানায়/গর্তে পড়লে হাতিকে চামচিকেও লাথি মারে</t>
  </si>
  <si>
    <t>বিপদে পড়লে বড়কেও নগণ্য আক্রমণ করে।</t>
  </si>
  <si>
    <t>When an elephant falls into a ditch, even a bat can kick it.</t>
  </si>
  <si>
    <t>বিপদগ্রস্ত</t>
  </si>
  <si>
    <t>খানে কে দাঁত অঔর, দিখানে কা দাঁত অঔর- হিন্দি প্রবাদ</t>
  </si>
  <si>
    <t>খানেও দাঁত অন্য, দেখানোর দাঁত অন্য</t>
  </si>
  <si>
    <t>ভিতরে এক রকম, বাইরে অন্য রকম; ভণ্ড।</t>
  </si>
  <si>
    <t>Teeth for eating are different from teeth for showing—hypocrisy.</t>
  </si>
  <si>
    <t>ভণ্ড ব্যক্তি</t>
  </si>
  <si>
    <t>খাব না খাব না অনিচ্ছে,  তিন রেক চাল একটা উচ্চে</t>
  </si>
  <si>
    <t>খাব না খাব না বলে তিন রেক চাল একটা উচ্ছে</t>
  </si>
  <si>
    <t>না খাওয়ার ভান করে বেশি খাওয়া।</t>
  </si>
  <si>
    <t>Saying 'I won't eat', yet cooking three measures of rice with a bitter gourd—pretence.</t>
  </si>
  <si>
    <t>খাবার আগে/সময় শোবার চিন্তা</t>
  </si>
  <si>
    <t>খাবার সময় ঘুমানোর চিন্তা</t>
  </si>
  <si>
    <t>অলসতা; খাওয়ার চেয়ে ঘুম বড়।</t>
  </si>
  <si>
    <t>Thinking of sleep even while eating—lazy.</t>
  </si>
  <si>
    <t>খাবার আছে চা'বার নেই, দেবার আছে নেবার নেই</t>
  </si>
  <si>
    <t>খাবার আছে চাওয়ার নেই, দেওয়ার আছে নেওয়ার নেই</t>
  </si>
  <si>
    <t>অভাব; যা প্রয়োজন তা নেই, যা আছে তা অপ্রয়োজনীয়।</t>
  </si>
  <si>
    <t>Have food but no appetite; have things to give but no one to take—imbalance.</t>
  </si>
  <si>
    <t>খাবার বেলায় আগে কাজের বেলায় ভাগে</t>
  </si>
  <si>
    <t>খাওয়ার সময় আগে, কাজের সময় পিছিয়ে</t>
  </si>
  <si>
    <t>অলস ও ভোজনপ্রিয়।</t>
  </si>
  <si>
    <t>First at meals, last at work.</t>
  </si>
  <si>
    <t>খায় না খায় সকালে নায়; হয় না হয় দুবার যায় তার কড়ি বদ্যি না খায়</t>
  </si>
  <si>
    <t>খায় না খায় সকালে স্নান করে; হয় না হয় দু'বার যায়, তার টাকা বদ্যি না খায়</t>
  </si>
  <si>
    <t>নিয়মিত অভ্যাসে অটল; নিয়মিততার প্রতি গুরুত্ব।</t>
  </si>
  <si>
    <t>Whether he eats or not, he bathes in the morning; come what may, he goes twice; his money, the doctor doesn't get.</t>
  </si>
  <si>
    <t>নিয়মানুবর্তী</t>
  </si>
  <si>
    <t>খায় মালকোঁচা মেরে, ওঠে হাঁটু ধরে</t>
  </si>
  <si>
    <t>খায় মালকোঁচা মেরে (পেট ভরে), উঠতে হাঁটু ধরে</t>
  </si>
  <si>
    <t>পেটুক; এত খায় যে উঠতে কষ্ট হয়।</t>
  </si>
  <si>
    <t>He eats with his waistcloth tight, then gets up holding his knees—overeating.</t>
  </si>
  <si>
    <t>খারাপ অজুহাত 'কিছু না'-এর চেয়ে ভাল</t>
  </si>
  <si>
    <t>খারাপ অজুহাতও কিছু না হওয়ার চেয়ে ভালো</t>
  </si>
  <si>
    <t>কোনো কারণ দেখানো না দেখানোর চেয়ে ভালো।</t>
  </si>
  <si>
    <t>খারাপ আপোস ভালো মামলা থেকে ভালো</t>
  </si>
  <si>
    <t>ঝগড়ার চেয়ে মিটমাট ভালো।</t>
  </si>
  <si>
    <t>খারাপ লোক খারাপ নামের চেয়ে ভাল</t>
  </si>
  <si>
    <t>খারাপ লোক খারাপ নামের চেয়ে ভালো</t>
  </si>
  <si>
    <t>কুৎসিত চরিত্র বদনামের থেকেও খারাপ।</t>
  </si>
  <si>
    <t>খারাপ শুরু খারাপভাবে শেষ হয়</t>
  </si>
  <si>
    <t>কাজের সূচনা খারাপ হলে ফলও খারাপ হয়।</t>
  </si>
  <si>
    <t>খাল কেটে কুমির আনা // খাল কেটে বেনো জল ঢোকানো</t>
  </si>
  <si>
    <t>খাল কেটে কুমির ডেকে আনা</t>
  </si>
  <si>
    <t>নিজের বিপদ নিজেই ডেকে আনা।</t>
  </si>
  <si>
    <t>Digging a canal to bring in a crocodile—inviting trouble.</t>
  </si>
  <si>
    <t>খাল পার হলে কুমিরকে কলা</t>
  </si>
  <si>
    <t>খাল পার হয়ে গেলে কুমিরকে কলা দেওয়া</t>
  </si>
  <si>
    <t>বিপদ কেটে গেলে তুচ্ছ জ্ঞান করা।</t>
  </si>
  <si>
    <t>After crossing the canal, offering a banana to the crocodile—safe distance bravado.</t>
  </si>
  <si>
    <t>খালি কলসি বাজে বেশি</t>
  </si>
  <si>
    <t>অল্পজ্ঞানী বেশি কথা বলে।</t>
  </si>
  <si>
    <t>খালি কলসি বাজে বেশি ভরা কলসি বাজে না, রূপ নাই কইন্যার সাজন বেশি রূপের কইন্যা সাজে না</t>
  </si>
  <si>
    <t>খালি কলসি বাজে বেশি, ভরা কলসি বাজে না; রূপহীনা কনে বেশি সাজে, রূপবতী সাজে না</t>
  </si>
  <si>
    <t>গুণহীনের বাহার, গুণবানের সংযম।</t>
  </si>
  <si>
    <t>Empty pot sounds more; a plain bride adorns more, a beautiful one needs no adornment.</t>
  </si>
  <si>
    <t>কইন্যা (নারী)</t>
  </si>
  <si>
    <t>সৌন্দর্য/গুণ</t>
  </si>
  <si>
    <t>খালি দুয়া (দোয়া) করলে পুয়া (ছেলে) অয় (হয়) না</t>
  </si>
  <si>
    <t>শুধু দোয়া করলে ছেলে হয় না</t>
  </si>
  <si>
    <t>কাজ ছাড়া শুধু প্রার্থনায় কিছু হয় না।</t>
  </si>
  <si>
    <t>Just praying doesn't produce a son—action needed.</t>
  </si>
  <si>
    <t>অলস/ভক্ত</t>
  </si>
  <si>
    <t>খালি পেটে জল, ভরা পেটে ফল</t>
  </si>
  <si>
    <t>খিদে পেলে জলও উপকারী, ভরা পেটে ফল ভালো।</t>
  </si>
  <si>
    <t>Water on an empty stomach, fruit on a full one—context matters.</t>
  </si>
  <si>
    <t>খালি বস্তা খাড়া থাকে না</t>
  </si>
  <si>
    <t>খালি বস্তা দাঁড়িয়ে থাকে না</t>
  </si>
  <si>
    <t>অভাবী লোক সমর্থ হয় না; বা অলসের পতন।</t>
  </si>
  <si>
    <t>An empty sack cannot stand upright.</t>
  </si>
  <si>
    <t>দরিদ্র/অক্ষম</t>
  </si>
  <si>
    <t>খালি হাত চিলকে প্রলুব্ধ করে না১</t>
  </si>
  <si>
    <t>খালি হাত চিলকে প্রলুব্ধ করে না</t>
  </si>
  <si>
    <t>কিছু না থাকলে কেউ আকৃষ্ট হয় না।</t>
  </si>
  <si>
    <t>Empty hands don't tempt a kite.</t>
  </si>
  <si>
    <t>খালি হাত চিলকে প্রলুব্ধ করে না২</t>
  </si>
  <si>
    <t>খালি হাত চিলকে প্রলুব্ধ করে না (দ্বিতীয়)</t>
  </si>
  <si>
    <t>সম্পদ ছাড়া কিছুই ধরা যায় না।</t>
  </si>
  <si>
    <t>Empty hands can't lure a kite.</t>
  </si>
  <si>
    <t>খালি হাত চিলকে প্রলুব্ধ করে না৩</t>
  </si>
  <si>
    <t>খালি হাত চিলকে প্রলুব্ধ করে না (তৃতীয়)</t>
  </si>
  <si>
    <t>অর্থ ছাড়া কিছু হয় না।</t>
  </si>
  <si>
    <t>Empty hands attract no kite.</t>
  </si>
  <si>
    <t>খিচুড়ি পাকানো</t>
  </si>
  <si>
    <t>বিশৃঙ্খলা সৃষ্টি করা; গোলমাল বাঁধানো।</t>
  </si>
  <si>
    <t>Cooking khichuri—making a mess.</t>
  </si>
  <si>
    <t>বিশৃঙ্খল ব্যক্তি</t>
  </si>
  <si>
    <t>খিড়কি দিয়ে হাতি গলে, সদরে দিয়ে ছুঁচ গলে না১</t>
  </si>
  <si>
    <t>খিড়কি দরজা দিয়ে হাতি গলে, সদর দিয়ে সূঁচ গলে না</t>
  </si>
  <si>
    <t>এক দিকে বড় অপচয়, অন্য দিকে ছোটতেও কার্পণ্য।</t>
  </si>
  <si>
    <t>An elephant passes through the back door, but a needle can't pass through the front—imbalance.</t>
  </si>
  <si>
    <t>খিড়কি দিয়ে হাতি গলে, দরে দিয়ে ছুঁচ গলে না২</t>
  </si>
  <si>
    <t>খিড়কি দিয়ে হাতি গলে, দরজা দিয়ে সূঁচ গলে না (দ্বিতীয়)</t>
  </si>
  <si>
    <t>ব্যয়ভার কমাতে না পারা, আবার ছোটখাটোতে বাধা।</t>
  </si>
  <si>
    <t>An elephant passes through the back gate, but a needle can't through the front—irony.</t>
  </si>
  <si>
    <t>খিদে থাকলে নূন দিয়েও ভাত খাওয়া যায়</t>
  </si>
  <si>
    <t>খিদে থাকলে নুন দিয়েও ভাত খাওয়া যায়</t>
  </si>
  <si>
    <t>প্রচণ্ড ক্ষুধায় তৃপ্তি সহজ।</t>
  </si>
  <si>
    <t>When hungry, even rice with salt tastes good.</t>
  </si>
  <si>
    <t>খিদে পেলে বাঘ ধানও খায</t>
  </si>
  <si>
    <t>খিদে পেলে বাঘও ধান খায়</t>
  </si>
  <si>
    <t>প্রচণ্ড অভাব হলে স্বভাব বদলায়।</t>
  </si>
  <si>
    <t>When hungry, even a tiger eats paddy.</t>
  </si>
  <si>
    <t>খিদে পেলে দুহাতে খায়</t>
  </si>
  <si>
    <t>খিদে পেলে দুই হাতে খায়</t>
  </si>
  <si>
    <t>প্রবল ক্ষুধায় ভদ্রতা ভুলে যায়।</t>
  </si>
  <si>
    <t>When very hungry, one eats with both hands.</t>
  </si>
  <si>
    <t>খিদেয় বাঘ লোকালয়ে</t>
  </si>
  <si>
    <t>প্রচণ্ড ক্ষুধা বাঘকে গ্রামে নিয়ে আসে; প্রয়োজন বড় বাধ্য।</t>
  </si>
  <si>
    <t>Hunger drives a tiger to the village—necessity forces.</t>
  </si>
  <si>
    <t>খিদের কোন বাচ-বিচার নেই</t>
  </si>
  <si>
    <t>ক্ষুধার কোনো বাছ-বিচার নেই</t>
  </si>
  <si>
    <t>খিদে পেলে খাদ্য ভালো-মন্দ বিচার হয় না।</t>
  </si>
  <si>
    <t>Hunger knows no choice.</t>
  </si>
  <si>
    <t>খিদের চোটে পাটকেলে কামড়</t>
  </si>
  <si>
    <t>ক্ষুধার তাড়নায় পাটকেল কামড়ানো</t>
  </si>
  <si>
    <t>প্রচণ্ড ক্ষুধায় অখাদ্যও খেতে ইচ্ছা করে।</t>
  </si>
  <si>
    <t>In extreme hunger, one bites bricks.</t>
  </si>
  <si>
    <t>খুঁট-আঁখুরে দেশের বালাই</t>
  </si>
  <si>
    <t>খুঁট আঁখুরে দেশের বালাই</t>
  </si>
  <si>
    <t>যেখানে দুষ্ট লোকের প্রভাব, সেখানে সর্বনাশ।</t>
  </si>
  <si>
    <t>A land plagued by the wicked is cursed.</t>
  </si>
  <si>
    <t>খুঁট আখুরে বরাখুরে</t>
  </si>
  <si>
    <t>খুঁট আখুরে (অর্থ?) বরাখুরে (বেখাপ্পা)</t>
  </si>
  <si>
    <t>অর্থহীন বা বেমানান কিছু।</t>
  </si>
  <si>
    <t>Nonsensical, odd.</t>
  </si>
  <si>
    <t>খুঁটি না থাকলে ঘর আপনি পড়ে১</t>
  </si>
  <si>
    <t>খুঁটি না থাকলে ঘর নিজেই পড়ে যায়</t>
  </si>
  <si>
    <t>ভিত্তিহীন কিছু টেকে না।</t>
  </si>
  <si>
    <t>Without pillars, a house collapses by itself.</t>
  </si>
  <si>
    <t>খুঁটি না থাকলে ঘর আপনি পড়ে২</t>
  </si>
  <si>
    <t>খুঁটি না থাকলে ঘর আপনি পড়ে (দ্বিতীয়)</t>
  </si>
  <si>
    <t>সাহায্যকারী ছাড়া কিছু চলে না।</t>
  </si>
  <si>
    <t>Without support, a house falls.</t>
  </si>
  <si>
    <t>খুঁটির গোড়ায় নেইকো মাটি, কিসে ঘর রবে খাঁটি- লালন</t>
  </si>
  <si>
    <t>খুঁটির গোড়ায় মাটি নেই, ঘর কী করে খাঁটি থাকবে?</t>
  </si>
  <si>
    <t>ভিত্তি দুর্বল হলে সব অস্থির।</t>
  </si>
  <si>
    <t>If the pillar has no soil at its base, how can the house stand firm?—Lalon.</t>
  </si>
  <si>
    <t>খুঁটির জোরে ভেড়া নাচে/লড়ে১</t>
  </si>
  <si>
    <t>খুঁটির জোরে ভেড়া নাচে/লড়ে</t>
  </si>
  <si>
    <t>অন্যের শক্তিতে দুর্বলের আস্ফালন।</t>
  </si>
  <si>
    <t>The sheep dances/fights by the strength of the post—relying on others.</t>
  </si>
  <si>
    <t>নির্ভরশীল/দুর্বল</t>
  </si>
  <si>
    <t>খুঁটির জোরে ভেড়া নাচে/লড়ে২</t>
  </si>
  <si>
    <t>খুঁটির জোরে ভেড়া লড়ে (দ্বিতীয়)</t>
  </si>
  <si>
    <t>পরের ভরসায় বাহাদুরি।</t>
  </si>
  <si>
    <t>A sheep fights by the power of the stake—borrowed courage.</t>
  </si>
  <si>
    <t>খুঁড়িয়ে বড় হওয়া</t>
  </si>
  <si>
    <t>প্রতিবন্ধকতা কাটিয়ে ধীরে অগ্রসর হওয়া।</t>
  </si>
  <si>
    <t>Growing up with a limp—overcoming obstacles slowly.</t>
  </si>
  <si>
    <t>উন্নতি</t>
  </si>
  <si>
    <t>খুচরো কাজের মুজরো নেই</t>
  </si>
  <si>
    <t>খুচরো কাজের কোনো মজুরি নেই</t>
  </si>
  <si>
    <t>ছোটখাটো কাজের মূল্য নেই।</t>
  </si>
  <si>
    <t>There's no wage for petty work.</t>
  </si>
  <si>
    <t>খুদের জাউ পায় না ক্ষীরের জন্য কাঁদে১</t>
  </si>
  <si>
    <t>খুদের জাউ পায় না, ক্ষীরের জন্য কাঁদে</t>
  </si>
  <si>
    <t>অল্প না পেয়েও বেশি আকাঙ্ক্ষা।</t>
  </si>
  <si>
    <t>Doesn't get rice gruel, yet cries for kheer—unreasonable demand.</t>
  </si>
  <si>
    <t>অতৃপ্ত/অভাবী</t>
  </si>
  <si>
    <t>খুব কাছে ভালো নয়; খুব দূরে নিস্ফলা</t>
  </si>
  <si>
    <t>খুব কাছে ভালো নয়, খুব দূরে নিস্ফলা</t>
  </si>
  <si>
    <t>অতিনিকটেও সমস্যা, অতিদূরেও ফল নেই।</t>
  </si>
  <si>
    <t>Too close isn't good; too far is barren—moderation.</t>
  </si>
  <si>
    <t>খুরে খুরে দণ্ডবৎ</t>
  </si>
  <si>
    <t>ক্ষুরে ক্ষুরে দণ্ডবৎ (অতি সূক্ষ্ম)</t>
  </si>
  <si>
    <t>নিখুঁতভাবে কাজ সম্পন্ন।</t>
  </si>
  <si>
    <t>Razor-sharp precision.</t>
  </si>
  <si>
    <t>নির্ভুলতা</t>
  </si>
  <si>
    <t>খুশখবরের ঝুটাও ভাল</t>
  </si>
  <si>
    <t>সুখবরের মিথ্যাও ভালো</t>
  </si>
  <si>
    <t>দুঃখের চেয়ে মিথ্যা সুখবরও কাম্য।</t>
  </si>
  <si>
    <t>Even a false good news is better than bad news.</t>
  </si>
  <si>
    <t>খেঁকিকুকুরের ঘেউ ঘেউ সার</t>
  </si>
  <si>
    <t>খেঁকি কুকুরের ঘেউ ঘেউই শেষ</t>
  </si>
  <si>
    <t>অক্ষম লোকের হাঁকডাকই শেষ কথা।</t>
  </si>
  <si>
    <t>The yapping dog's bark is its only power—all show.</t>
  </si>
  <si>
    <t>খেতে দিলে/পেলে শুতে চায়</t>
  </si>
  <si>
    <t>খেতে দিলে শুতে চায়</t>
  </si>
  <si>
    <t>সুযোগ পেলে আরও বেশি চায়; প্রশ্রয়ে অলসতা বাড়ে।</t>
  </si>
  <si>
    <t>If you give him food, he wants to sleep—lazy.</t>
  </si>
  <si>
    <t>খেতে দেবার মুরোদ নেই, কিল মারার গোঁসাই</t>
  </si>
  <si>
    <t>খেতে দেওয়ার ক্ষমতা নেই, কিল মারার ওস্তাদ</t>
  </si>
  <si>
    <t>অক্ষম, কিন্তু অত্যাচারে দক্ষ।</t>
  </si>
  <si>
    <t>Can't provide food, but is a master of blows—useless tyrant.</t>
  </si>
  <si>
    <t>অক্ষম/দুর্বল</t>
  </si>
  <si>
    <t>খেতে পায় না পুঁটি হাতে পরে আংটি</t>
  </si>
  <si>
    <t>খেতে পায় না পুঁটি (ছোট মাছ), হাতে পরে আংটি</t>
  </si>
  <si>
    <t>অভাব সত্ত্বেও বাহ্যিক আড়ম্বর।</t>
  </si>
  <si>
    <t>Can't afford a small fish, yet wears a ring—vain.</t>
  </si>
  <si>
    <t>গরিব/বাহ্যিকপ্রেমী</t>
  </si>
  <si>
    <t>খেতে পারি দিতে পারিনা</t>
  </si>
  <si>
    <t>খেতে পারি, দিতে পারি না</t>
  </si>
  <si>
    <t>স্বার্থপর; নিতে জানে, দিতে জানে না।</t>
  </si>
  <si>
    <t>I can eat, but cannot give—selfish.</t>
  </si>
  <si>
    <t>খেতে ভাল ভাজা-চাল, দেখতে ভাল মুড়ি; রসে ভাল একছেলের মা, দেখতে ভাল ছুঁড়ি</t>
  </si>
  <si>
    <t>খেতে ভালো ভাজা চাল, দেখতে ভালো মুড়ি; রসে ভালো এক ছেলের মা, দেখতে ভালো তরুণী</t>
  </si>
  <si>
    <t>প্রত্যেকের নিজস্ব গুণ; ভাজাচাল খেতে ভালো, মুড়ি দেখতে; এক ছেলের মা রসিক, তরুণী দেখতে।</t>
  </si>
  <si>
    <t>Fried rice tastes good, puffed rice looks good; the mother of an only son has humor, a lass looks good.</t>
  </si>
  <si>
    <t>নারী (এক ছেলের মা/তরুণী)</t>
  </si>
  <si>
    <t>খেদাই না তোর উঠান চষি১</t>
  </si>
  <si>
    <t>খেদাই না তোর উঠোন চষি</t>
  </si>
  <si>
    <t>তোর উঠান চষে দিই না—অর্থাৎ তোর ক্ষতি করতে চাই না।</t>
  </si>
  <si>
    <t>I don't come to plow your courtyard—I mean no harm.</t>
  </si>
  <si>
    <t>নিরীহতা</t>
  </si>
  <si>
    <t>খেদাই না তোর উঠান চষি২</t>
  </si>
  <si>
    <t>খেদাই না তোর উঠান চষি (দ্বিতীয়)</t>
  </si>
  <si>
    <t>অকারণে ভয় পেয়ো না।</t>
  </si>
  <si>
    <t>I'm not here to plow your yard—don't be afraid.</t>
  </si>
  <si>
    <t>খেয়ার কড়ি গুণে দিয়ে সাঁতরে নদী পার</t>
  </si>
  <si>
    <t>খেয়ার পয়সা গুণে দিয়ে সাঁতরে নদী পার</t>
  </si>
  <si>
    <t>নির্বুদ্ধিতা; পয়সা খরচ করেও কষ্ট।</t>
  </si>
  <si>
    <t>Paying the ferryman and then swimming across—foolish.</t>
  </si>
  <si>
    <t>খেয়ে দেয়ে একাদশী</t>
  </si>
  <si>
    <t>খেয়ে দেয়ে একাদশী (উপোস পালন করা)</t>
  </si>
  <si>
    <t>ভোগ করে তারপর তপস্যার ভান।</t>
  </si>
  <si>
    <t>Feasting and then observing the fast—hypocrisy.</t>
  </si>
  <si>
    <t>খেয়ে যার হজম হয়, ব্যাধি তার দূরে রয়</t>
  </si>
  <si>
    <t>খেয়ে যার হজম হয়, রোগ তার থেকে দূরে</t>
  </si>
  <si>
    <t>পরিমিত আহার ও হজম স্বাস্থ্যকর।</t>
  </si>
  <si>
    <t>He who digests well keeps disease away.</t>
  </si>
  <si>
    <t>খেলতে জানলে কানা কড়ি দিয়েও খেলা যায়</t>
  </si>
  <si>
    <t>খেলতে জানলে কানা কড়ি (এক প্রকার কড়ি) দিয়েও খেলা যায়</t>
  </si>
  <si>
    <t>দক্ষ হলে সামান্য উপকরণেই কাজ হয়।</t>
  </si>
  <si>
    <t>If you know how to play, you can even play with blind cowries.</t>
  </si>
  <si>
    <t>খেল খতম পয়সা হজম</t>
  </si>
  <si>
    <t>খেলা শেষ, পয়সা হজম</t>
  </si>
  <si>
    <t>লেনদেন শেষ, হিসাব চুক।</t>
  </si>
  <si>
    <t>Game over, money gone—settled.</t>
  </si>
  <si>
    <t>খেলোয়াড়দের চেয়ে দর্শকেরা বেশি খেলা দেখে- চীনা প্রবাদ</t>
  </si>
  <si>
    <t>খেলোয়াড়দের চেয়ে দর্শকেরা বেশি খেলা দেখে</t>
  </si>
  <si>
    <t>দূর থেকে বিশ্লেষণ সহজ।</t>
  </si>
  <si>
    <t>Spectators see more of the game than the players.</t>
  </si>
  <si>
    <t>খৈয়ের বন্ধনে পড়া১</t>
  </si>
  <si>
    <t>সামান্য লোভে জড়িয়ে পড়া।</t>
  </si>
  <si>
    <t>Getting caught in a bond of puffed rice—trivial trap.</t>
  </si>
  <si>
    <t>খৈয়ের বন্ধনে পড়া২</t>
  </si>
  <si>
    <t>খইয়ের বন্ধনে পড়া (দ্বিতীয়)</t>
  </si>
  <si>
    <t>তুচ্ছ কারণে বিপদে পড়া।</t>
  </si>
  <si>
    <t>Falling into a binding of puffed rice—easily trapped.</t>
  </si>
  <si>
    <t>খোঁড়ার পা গর্তে পড়ে</t>
  </si>
  <si>
    <t>দুর্বলতার জায়গায় বিপদ বেশি।</t>
  </si>
  <si>
    <t>A lame man's foot falls into a hole—weak spot attracts trouble.</t>
  </si>
  <si>
    <t>খোদা পহাড় নিকলী চুহিয়া</t>
  </si>
  <si>
    <t>খোদা পাহাড় থেকে বেরোল ইঁদুর (হিন্দি/উর্দু)</t>
  </si>
  <si>
    <t>অনেক আড়ম্বরের পর সামান্য ফল।</t>
  </si>
  <si>
    <t>The mountain labored and brought forth a mouse.</t>
  </si>
  <si>
    <t>প্রত্যাশাভঙ্গ</t>
  </si>
  <si>
    <t>খোদা যারে দেয় ছাদ ফুঁইড়াই দেয়</t>
  </si>
  <si>
    <t>আল্লাহ যাকে দেন ছাদ ফুঁড়ে দেন</t>
  </si>
  <si>
    <t>ঈশ্বর যখন দেন প্রচুরই দেন।</t>
  </si>
  <si>
    <t>When God gives, He pours through the roof.</t>
  </si>
  <si>
    <t>খোদায় মারে দোহাই দেবো কার</t>
  </si>
  <si>
    <t>ঈশ্বর মারলে কার কাছে নালিশ করব?</t>
  </si>
  <si>
    <t>যেখানে ঈশ্বরই বিরুদ্ধ, সেখানে বিচার নেই।</t>
  </si>
  <si>
    <t>If God strikes, to whom shall I complain?</t>
  </si>
  <si>
    <t>খোদার উপর খোদকারী</t>
  </si>
  <si>
    <t>ঈশ্বরের উপর ঈশ্বরত্ব করা</t>
  </si>
  <si>
    <t>উর্ধ্বতনের উপর কর্তৃত্ব ফলানো; বেয়াদবি।</t>
  </si>
  <si>
    <t>Trying to be God over God—insolence.</t>
  </si>
  <si>
    <t>উদ্ধত ব্যক্তি</t>
  </si>
  <si>
    <t>খোদার খাসি</t>
  </si>
  <si>
    <t>ঈশ্বরের খাসি (নপুংসক পশু)</t>
  </si>
  <si>
    <t>ভাগ্যের পরিহাসে অবলা; যে পালাতে পারে না।</t>
  </si>
  <si>
    <t>God's castrated ram—helpless.</t>
  </si>
  <si>
    <t>অসহায়</t>
  </si>
  <si>
    <t>খোদার মার দুনিয়ার বার</t>
  </si>
  <si>
    <t>প্রকৃতির শাস্তি থেকে রক্ষা নেই।</t>
  </si>
  <si>
    <t>God's blow, the world's remedy—no escape.</t>
  </si>
  <si>
    <t>খোদার নাও দোয়ায় চলে</t>
  </si>
  <si>
    <t>ঈশ্বরের নৌকা দোয়ার ওপর চলে</t>
  </si>
  <si>
    <t>প্রার্থনার ওপর ভবিতব্য নির্ভর করে।</t>
  </si>
  <si>
    <t>God's boat moves by prayer.</t>
  </si>
  <si>
    <t>খোলা দরজা সাধুকেও প্রলুব্ধ করে</t>
  </si>
  <si>
    <t>সুযোগ পেলে সবাই লোভী হয়।</t>
  </si>
  <si>
    <t>An open door tempts even a saint.</t>
  </si>
  <si>
    <t>খোলা মুখে মাছি ঢোকে</t>
  </si>
  <si>
    <t>অসতর্কতায় বিপদ।</t>
  </si>
  <si>
    <t>A fly enters an open mouth—carelessness invites trouble.</t>
  </si>
  <si>
    <t>খোলা শত্রুতার চেয়ে কপট বন্ধুত্ব বেশি খারাপ</t>
  </si>
  <si>
    <t>প্রকাশ্য শত্রুতার চেয়ে কপট বন্ধুত্ব বেশি খারাপ</t>
  </si>
  <si>
    <t>ভণ্ড বন্ধু প্রকাশ্য শত্রুর চেয়েও বিপজ্জনক।</t>
  </si>
  <si>
    <t>কপট মিত্র</t>
  </si>
  <si>
    <t>খোশখবরের ঝুটাও ভাল</t>
  </si>
  <si>
    <t>সুখবরের মিথ্যাও ভালো (পুনরুক্তি)</t>
  </si>
  <si>
    <t>মিথ্যা হলেও সুখবরই কাম্য।</t>
  </si>
  <si>
    <t>Even false good news is welcome.</t>
  </si>
  <si>
    <t>খোষে তৈল নাই কলাবড়ার সাধ</t>
  </si>
  <si>
    <t>খোসায় (নারকেলের খোল) তেল নেই, কলাবড়া (খাবার) খাওয়ার সাধ</t>
  </si>
  <si>
    <t>উপকরণ ছাড়া বড় ইচ্ছা।</t>
  </si>
  <si>
    <t>No oil in the coconut shell, yet a desire for kalabara—vain wish.</t>
  </si>
  <si>
    <t>অভাবী/ইচ্ছুক</t>
  </si>
  <si>
    <t>খ্যাপা শেয়াল, ভাঙা দেয়াল আর বড়লোকের খেয়াল- তিনই সমান</t>
  </si>
  <si>
    <t>খ্যাপা শিয়াল, ভাঙা দেওয়াল আর বড়লোকের খেয়াল—তিনই সমান</t>
  </si>
  <si>
    <t>তিনটিই অপ্রত্যাশিত ও বিপজ্জনক।</t>
  </si>
  <si>
    <t>A mad jackal, a broken wall, and a rich man's whim—all three are the same.</t>
  </si>
  <si>
    <t>গঙ্গা গঙ্গা না জানি কত রঙ্গা চঙ্গা</t>
  </si>
  <si>
    <t>গঙ্গা গঙ্গা করে কত রঙিন হলাম</t>
  </si>
  <si>
    <t>না জেনে অনেক আশা করা হয়; অজ্ঞানের কল্পনা।</t>
  </si>
  <si>
    <t>Chanting 'Ganga, Ganga', how colorful we became—unknown illusion.</t>
  </si>
  <si>
    <t>গঙ্গাজলে গঙ্গাপূজা১</t>
  </si>
  <si>
    <t>গঙ্গাজলে গঙ্গার পূজা</t>
  </si>
  <si>
    <t>নিজের সম্পদ দিয়ে নিজের কাজ।</t>
  </si>
  <si>
    <t>Worshiping the Ganga with Ganga water—using own resources.</t>
  </si>
  <si>
    <t>গঙ্গাজলে গঙ্গাপূজা২</t>
  </si>
  <si>
    <t>গঙ্গাজলে গঙ্গাপূজা (দ্বিতীয়)</t>
  </si>
  <si>
    <t>অন্যের দানে নিজের প্রতিপত্তি।</t>
  </si>
  <si>
    <t>Honoring the Ganga with Ganga water—self-sustaining.</t>
  </si>
  <si>
    <t>গঙ্গাজলে গঙ্গাপূজা৩</t>
  </si>
  <si>
    <t>গঙ্গাজলে গঙ্গাপূজা (তৃতীয়)</t>
  </si>
  <si>
    <t>নিজের জিনিসে নিজেই পূজা—কোন বাড়তি খরচ নেই।</t>
  </si>
  <si>
    <t>Ganga worship with Ganga water—cost-effective.</t>
  </si>
  <si>
    <t>গঙ্গাজলে ধুলেও কলঙ্ক যায় না</t>
  </si>
  <si>
    <t>কলঙ্ক কখনো মোছে না।</t>
  </si>
  <si>
    <t>Even Ganga water cannot wash away a stain.</t>
  </si>
  <si>
    <t>গঙ্গা মড়া আলেন না১</t>
  </si>
  <si>
    <t>গঙ্গা মড়া আসেন না (গঙ্গাজলে ভাসা মড়া?)</t>
  </si>
  <si>
    <t>গঙ্গা মৃতদেহ আনে না, অর্থাৎ পবিত্রতা বজায় রাখে?</t>
  </si>
  <si>
    <t>The Ganga doesn't bring corpses—purity preserved.</t>
  </si>
  <si>
    <t>গঙ্গা মড়া আলেন না২</t>
  </si>
  <si>
    <t>গঙ্গা মড়া আলেন না (দ্বিতীয়)</t>
  </si>
  <si>
    <t>পবিত্র স্থান অপবিত্র হয় না।</t>
  </si>
  <si>
    <t>Ganga doesn't carry dead bodies—keeps sanctity.</t>
  </si>
  <si>
    <t>গঙ্গায় ময়লা ফেললে গঙ্গার মাহাত্য যায় না</t>
  </si>
  <si>
    <t>গঙ্গায় আবর্জনা ফেললে গঙ্গার মহত্ব নষ্ট হয় না</t>
  </si>
  <si>
    <t>মহত্ব অবিনশ্বর।</t>
  </si>
  <si>
    <t>Dumping filth in the Ganga doesn't diminish its glory.</t>
  </si>
  <si>
    <t>মহত্ব</t>
  </si>
  <si>
    <t>গঙ্গার জল গঙ্গায় রইল, পিতৃপুরুষ উদ্ধার হল</t>
  </si>
  <si>
    <t>গঙ্গার জল গঙ্গায় থাকল, পিতৃপুরুষ উদ্ধার পেল</t>
  </si>
  <si>
    <t>বিনা পরিশ্রমে লাভ।</t>
  </si>
  <si>
    <t>The Ganga's water stayed in the Ganga, yet the ancestors were saved—effortless gain.</t>
  </si>
  <si>
    <t>গঙ্গার দুকূল ভাঙে না</t>
  </si>
  <si>
    <t>গঙ্গার দুই কূল ভাঙে না</t>
  </si>
  <si>
    <t>প্রচুর সম্পদ কোন দিক দিয়ে শেষ হয় না।</t>
  </si>
  <si>
    <t>Both banks of the Ganga never break—inexhaustible.</t>
  </si>
  <si>
    <t>গচ্ছন্‌ পিপীলকো যাতি যোজনানাং শতান্যপি। অগচ্ছন্</t>
  </si>
  <si>
    <t>চলতে থাকলে পিঁপড়েও শত যোজন যায়; না চললে নয়</t>
  </si>
  <si>
    <t>ধীরে চললেও লক্ষ্যে পৌঁছানো যায়।</t>
  </si>
  <si>
    <t>Moving, an ant covers a hundred leagues; unmoving, nothing.</t>
  </si>
  <si>
    <t>গজকচ্ছপী/ গজকচ্ছপের লড়াই</t>
  </si>
  <si>
    <t>হাতি আর কচ্ছপের লড়াই</t>
  </si>
  <si>
    <t>দুই বলবানের যুদ্ধ; বা পৌরাণিক।</t>
  </si>
  <si>
    <t>The elephant and the tortoise fight—clash of titans.</t>
  </si>
  <si>
    <t>গজভুক্তকপিত্থবৎ১</t>
  </si>
  <si>
    <t>হাতির খাওয়া কয়েৎ বেলের মতো</t>
  </si>
  <si>
    <t>অল্প পরিমাণে পেয়ে অসন্তুষ্টি।</t>
  </si>
  <si>
    <t>Like a wood apple eaten by an elephant—insufficient.</t>
  </si>
  <si>
    <t>গজভুক্তকপিত্থবৎ২</t>
  </si>
  <si>
    <t>হাতির খাওয়া কয়েৎ বেল (দ্বিতীয়)</t>
  </si>
  <si>
    <t>বৃহৎ প্রাণীর কাছে ছোট জিনিস তুচ্ছ।</t>
  </si>
  <si>
    <t>A wood apple swallowed by an elephant—barely a bite.</t>
  </si>
  <si>
    <t>গজমাত্রেই মোতি থাকে না</t>
  </si>
  <si>
    <t>সব হাতির মাথায় মুক্তা (মোতি) থাকে না</t>
  </si>
  <si>
    <t>সবাই সমান গুণী হয় না।</t>
  </si>
  <si>
    <t>Not every elephant carries a pearl.</t>
  </si>
  <si>
    <t>গড্ডলিকা প্রবাহ১</t>
  </si>
  <si>
    <t>গড্ডলিকা প্রবাহ (ভেড়ার পালের মত চলা)</t>
  </si>
  <si>
    <t>অন্ধ অনুকরণ; চিন্তা না করে দলে ভিড়া।</t>
  </si>
  <si>
    <t>Herd mentality—following the flock.</t>
  </si>
  <si>
    <t>অন্ধ অনুকরণকারী</t>
  </si>
  <si>
    <t>গড্ডলিকা প্রবাহ২</t>
  </si>
  <si>
    <t>গড্ডলিকা প্রবাহ (দ্বিতীয়)</t>
  </si>
  <si>
    <t>স্রোতে গা ভাসানো।</t>
  </si>
  <si>
    <t>Going with the tide—conformity.</t>
  </si>
  <si>
    <t>গড়তে চায় ঠাকুর হয়ে যায় কুকুর</t>
  </si>
  <si>
    <t>গড়তে চায় ঠাকুর (দেবতা), হয়ে যায় কুকুর</t>
  </si>
  <si>
    <t>ভালো করতে গিয়ে মন্দ হয়।</t>
  </si>
  <si>
    <t>Trying to sculpt a god, ends up making a dog—good intentions, bad outcome.</t>
  </si>
  <si>
    <t>গড়তে যত সময় লাগে ভাঙ্গতে তত সময় লাগে না</t>
  </si>
  <si>
    <t>গড়তে যত সময়, ভাঙতে তত লাগে না</t>
  </si>
  <si>
    <t>সৃষ্টি ধীর, ধ্বংস দ্রুত।</t>
  </si>
  <si>
    <t>It takes time to build, but breaking is quick.</t>
  </si>
  <si>
    <t>গড়ানো পাথরে শ্যাওলা ধরে না১</t>
  </si>
  <si>
    <t>গড়িয়ে যাওয়া পাথরে শ্যাওলা জমে না</t>
  </si>
  <si>
    <t>সচল ব্যক্তি নিষ্ক্রিয় হয় না; অগ্রসর থাকলে মরিচা পড়ে না।</t>
  </si>
  <si>
    <t>A rolling stone gathers no moss.</t>
  </si>
  <si>
    <t>গড়ানো পাথরে শ্যাওলা ধরে না২</t>
  </si>
  <si>
    <t>গড়ানো পাথরে শ্যাওলা ধরে না (দ্বিতীয়)</t>
  </si>
  <si>
    <t>চলমান জীবন স্থবিরতা এড়ায়।</t>
  </si>
  <si>
    <t>গড়ানো পাথরে শ্যাওলা ধরে না৩</t>
  </si>
  <si>
    <t>গড়ানো পাথরে শ্যাওলা ধরে না (তৃতীয়)</t>
  </si>
  <si>
    <t>যারা একস্থানে থাকে না, তারা মোহ জমাতে পারে না।</t>
  </si>
  <si>
    <t>A stone that rolls gathers no moss—no attachment.</t>
  </si>
  <si>
    <t>গড়িমসিতে সময় চুরি যায়</t>
  </si>
  <si>
    <t>অলসতায় সময় নষ্ট।</t>
  </si>
  <si>
    <t>Time slips away in laziness.</t>
  </si>
  <si>
    <t>গণ্ডূষজলমাত্রেণ সফরী ফর্ফরায়তে১</t>
  </si>
  <si>
    <t>গণ্ডুষ জলের (এক চুমুক) ভেতর পুঁটিমাছ ফরফর করে</t>
  </si>
  <si>
    <t>অল্পজ্ঞানে অহংকার।</t>
  </si>
  <si>
    <t>In a mouthful of water, the small fish flutters—shallow knowledge boasts.</t>
  </si>
  <si>
    <t>গণ্ডূষজলমাত্রেণ সফরী ফর্ফরায়তে২</t>
  </si>
  <si>
    <t>গণ্ডুষ জলে পুঁটিমাছ ফরফর করে (দ্বিতীয়)</t>
  </si>
  <si>
    <t>অল্প পেয়েই বড়াই।</t>
  </si>
  <si>
    <t>A little fish flutters in a sip of water.</t>
  </si>
  <si>
    <t>গতর নেই চোপায় দড়, মেঙ্গে খায় তার পালি (পঙ্‌ক্তি) বড়</t>
  </si>
  <si>
    <t>গা নেই, কিন্তু চোপায় (কথায়) পটু; ভিক্ষা করে খায়, তার পঙ্ক্তি বড়</t>
  </si>
  <si>
    <t>দুর্বল কিন্তু বাচাল; ভিক্ষুকের বড়াই।</t>
  </si>
  <si>
    <t>No body strength, but sharp-tongued; begs for food, yet boasts of rank.</t>
  </si>
  <si>
    <t>দুর্বল/বাচাল</t>
  </si>
  <si>
    <t>গত্র পোষা</t>
  </si>
  <si>
    <t>গতর পোষা (শরীর চালনা করা)</t>
  </si>
  <si>
    <t>বিনা পরিশ্রমে দিন কাটানো।</t>
  </si>
  <si>
    <t>Just dragging the body—idle living.</t>
  </si>
  <si>
    <t>গতস্য শোচনা নাস্তি</t>
  </si>
  <si>
    <t>যা গেছে তার জন্য শোক নেই</t>
  </si>
  <si>
    <t>অতীত নিয়ে দুঃখ নেই।</t>
  </si>
  <si>
    <t>There is no mourning for the past.</t>
  </si>
  <si>
    <t>গদাইলস্করী চাল এক</t>
  </si>
  <si>
    <t>গদাইলস্করী (একটিমাত্র) চাল—একই রকম</t>
  </si>
  <si>
    <t>সবাই একই রকম আচরণ।</t>
  </si>
  <si>
    <t>One single gait—all the same.</t>
  </si>
  <si>
    <t>একঘেয়েমি</t>
  </si>
  <si>
    <t>গন্ধবিহীন শিমুলফুল সুন্দর হ'লেও আদরণীয় নয়</t>
  </si>
  <si>
    <t>গন্ধহীন শিমুল ফুল সুন্দর হলেও আদরণীয় নয়</t>
  </si>
  <si>
    <t>গুণহীন সৌন্দর্য মূল্যহীন।</t>
  </si>
  <si>
    <t>A scentless silk-cotton flower, though beautiful, is not desirable.</t>
  </si>
  <si>
    <t>গন্ধমাদন বয়ে আনা</t>
  </si>
  <si>
    <t>গন্ধমাদন (পর্বত) বয়ে আনা</t>
  </si>
  <si>
    <t>অসম্ভব কাজের চেষ্টা।</t>
  </si>
  <si>
    <t>Bringing the Gandhamadan mountain—impossible.</t>
  </si>
  <si>
    <t>গব্য থাকলে আগে পাছে কী করবে তার শাকে-মাছে?</t>
  </si>
  <si>
    <t>গরু থাকলে শাক-মাছ নিয়ে কী হবে?</t>
  </si>
  <si>
    <t>মূল্যবান জিনিস থাকলে তুচ্ছ নিয়ে ভাবনা নেই।</t>
  </si>
  <si>
    <t>If you have a cow, what worry about greens and fish?</t>
  </si>
  <si>
    <t>গভীর জলে কাৎলা নিঃসাড়ে চলে; অল্প জলে সফরী ফরফরায়</t>
  </si>
  <si>
    <t>গভীর জলে কাৎলা মাছ নিঃশব্দে চলে, অল্প জলে পুঁটি ফরফর করে</t>
  </si>
  <si>
    <t>জ্ঞানীরা নীরব, অল্পজ্ঞানীরা শোরগোল করে।</t>
  </si>
  <si>
    <t>A catla moves silently in deep water; a small fish flutters in shallow water.</t>
  </si>
  <si>
    <t>গভীর জলের মাছ</t>
  </si>
  <si>
    <t>গম্ভীর প্রকৃতির ব্যক্তি; সহজে বোঝা যায় না।</t>
  </si>
  <si>
    <t>A fish of deep waters—profound person.</t>
  </si>
  <si>
    <t>গম্ভীর ব্যক্তি</t>
  </si>
  <si>
    <t>গভীর নদী ধীরে/নিঃসারে বয়</t>
  </si>
  <si>
    <t>গভীর নদী ধীরে/নিঃশব্দে বয়</t>
  </si>
  <si>
    <t>গুণী লোক আড়ম্বরহীন।</t>
  </si>
  <si>
    <t>A deep river flows quietly.</t>
  </si>
  <si>
    <t>গয়ার পাপ/ভূত বিদায় করা</t>
  </si>
  <si>
    <t>চিরতরে দূর করে দেওয়া।</t>
  </si>
  <si>
    <t>Sending away Gaya's sin/ghost—permanently removing.</t>
  </si>
  <si>
    <t>দূরীকরণ</t>
  </si>
  <si>
    <t>গরজ বড় বালাই১</t>
  </si>
  <si>
    <t>গরজ (প্রয়োজন) বড় বিপদ</t>
  </si>
  <si>
    <t>প্রয়োজনের চাপে সব করতে হয়।</t>
  </si>
  <si>
    <t>Necessity is a great trouble—forces action.</t>
  </si>
  <si>
    <t>গরজ বড় বালাই২</t>
  </si>
  <si>
    <t>গরজ বড় বালাই (দ্বিতীয়)</t>
  </si>
  <si>
    <t>প্রয়োজনই বাধ্য করে।</t>
  </si>
  <si>
    <t>Necessity is a mighty affliction.</t>
  </si>
  <si>
    <t>গরজে গঙ্গাস্নান</t>
  </si>
  <si>
    <t>প্রয়োজনে গঙ্গাস্নান</t>
  </si>
  <si>
    <t>কাজের তাগিদেই ধর্মাচরণ।</t>
  </si>
  <si>
    <t>In need, one takes a Ganga bath—forced piety.</t>
  </si>
  <si>
    <t>গরজে গয়লা ঢেলা বয়</t>
  </si>
  <si>
    <t>প্রয়োজনে গয়লা (দুধওয়ালা) ঢেলা (মাটির চাঙড়) বহন করে</t>
  </si>
  <si>
    <t>প্রয়োজন বড় বোঝা বইয়ে দেয়।</t>
  </si>
  <si>
    <t>In need, a milkman carries a heavy basket—necessity drives.</t>
  </si>
  <si>
    <t>গরব কর যৌবনভরে, কাঁদিতে হবে অঝোর ঝরে</t>
  </si>
  <si>
    <t>যৌবনের গরবে অহংকার করো, পরে কাঁদতে হবে</t>
  </si>
  <si>
    <t>যৌবনের অহংকার পরে দুঃখ আনে।</t>
  </si>
  <si>
    <t>Pride in youth, but you'll weep later.</t>
  </si>
  <si>
    <t>গরম অম্বল ঠাণ্ডা দুধ যে খায় সে নির্বোধ</t>
  </si>
  <si>
    <t>গরম টক, ঠাণ্ডা দুধ—যে খায় সে বোকা</t>
  </si>
  <si>
    <t>পরস্পরবিরোধী খাবার খাওয়া বোকামি।</t>
  </si>
  <si>
    <t>He who eats hot sour soup with cold milk is a fool.</t>
  </si>
  <si>
    <t>গরমজলে ছ্যাঁকা খাওয়া কুকুর জল দেখলে ভয় পায়</t>
  </si>
  <si>
    <t>গরম জলে চ্যাঁকা খাওয়া কুকুর জল দেখলে ভয় পায়</t>
  </si>
  <si>
    <t>একবার ঠকলে সতর্ক।</t>
  </si>
  <si>
    <t>A dog scalded by hot water fears even cold water—once bitten, twice shy.</t>
  </si>
  <si>
    <t>গরম দুধ অমেয় মিঠা</t>
  </si>
  <si>
    <t>গরম দুধ অমেয় মিষ্টি</t>
  </si>
  <si>
    <t>গরম দুধ খুব মিষ্টি ও উপাদেয়।</t>
  </si>
  <si>
    <t>Hot milk is immeasurably sweet.</t>
  </si>
  <si>
    <t>গরমদুধে যার মুখ পুড়েছে সে ফুঁ দিয়ে ঘোল খায়</t>
  </si>
  <si>
    <t>গরম দুধে যার মুখ পুড়েছে, সে ফুঁ দিয়ে ঘোল খায়</t>
  </si>
  <si>
    <t>অতিরিক্ত সতর্কতা।</t>
  </si>
  <si>
    <t>One who burnt his mouth on hot milk blows on even buttermilk—overcautious.</t>
  </si>
  <si>
    <t>গরমভাতে ঘি ঢালা</t>
  </si>
  <si>
    <t>গরম ভাতে ঘি ঢালা</t>
  </si>
  <si>
    <t>সৌভাগ্য আরও বাড়ানো।</t>
  </si>
  <si>
    <t>Pouring ghee on hot rice—adding blessing to blessing.</t>
  </si>
  <si>
    <t>গরমভাতে বিড়াল বেজার, উচিৎকথায় বন্ধু বেজার</t>
  </si>
  <si>
    <t>গরম ভাতে বিড়াল বিরক্ত, ন্যায্য কথায় বন্ধু বিরক্ত</t>
  </si>
  <si>
    <t>সত্য কথা কেউ শুনতে চায় না, যেমন বিড়াল গরম ভাতে বিরক্ত।</t>
  </si>
  <si>
    <t>A cat dislikes hot rice; a friend dislikes good advice.</t>
  </si>
  <si>
    <t>বন্ধু/সত্যভাষী</t>
  </si>
  <si>
    <t>গরানো পাথরে শ্যাওলা জমে/ধরে না</t>
  </si>
  <si>
    <t>গড়ানো পাথরে শ্যাওলা জমে না (পুনরুক্তি)</t>
  </si>
  <si>
    <t>সচলতা জড়তা রোধ করে।</t>
  </si>
  <si>
    <t>গরিব খোঁজে খাদ্য, ধনী খোঁজে খিদে</t>
  </si>
  <si>
    <t>গরিব খোঁজে খাবার, ধনী খোঁজে ক্ষুধা</t>
  </si>
  <si>
    <t>অভাবীর প্রয়োজন খাদ্য, ধনীর প্রয়োজন খিদে।</t>
  </si>
  <si>
    <t>The poor seek food; the rich seek appetite.</t>
  </si>
  <si>
    <t>গরিবের কথা বাসি হলে ফলে/ সত্য হয়</t>
  </si>
  <si>
    <t>গরিবের কথা বাসি হলে (পরে) সত্য হয়</t>
  </si>
  <si>
    <t>অভাবীর ভবিষ্যদ্বাণী পরে ফলে।</t>
  </si>
  <si>
    <t>গরিব মানুষ ফড়িং খায় ঘোড়ায় চেপে বাহ্যি যায়</t>
  </si>
  <si>
    <t>গরিব মানুষ ফড়িং (পতঙ্গ) খায়, ঘোড়ায় চড়ে বেড়াতে যায়</t>
  </si>
  <si>
    <t>অভাব সত্ত্বেও বড়াই।</t>
  </si>
  <si>
    <t>A poor man eats locusts but rides a horse—pretension.</t>
  </si>
  <si>
    <t>গরিব/বড়াইকারী</t>
  </si>
  <si>
    <t>গরিবের ঘোড়ারোগ</t>
  </si>
  <si>
    <t>অভাবীর বড় শখ; অসাধ্য সাধের আকাঙ্ক্ষা।</t>
  </si>
  <si>
    <t>A poor man's horse-disease—impossible desire.</t>
  </si>
  <si>
    <t>গরিবের ঠাকুরব্যাধি</t>
  </si>
  <si>
    <t>অভাবীর ভগবানের প্রতি বাড়াবাড়ি; ভন্ডামি।</t>
  </si>
  <si>
    <t>A poor man's obsession with the deity—pretence.</t>
  </si>
  <si>
    <t>গরিব/ভণ্ড</t>
  </si>
  <si>
    <t>গরিবের বৌ সবার ভাবি১</t>
  </si>
  <si>
    <t>গরিবের বউ সবার ভাবি (বধূ/সম্পর্ক)</t>
  </si>
  <si>
    <t>গরিবের স্ত্রী সবাই আত্মীয়; অসম্মান।</t>
  </si>
  <si>
    <t>A poor man's wife is everyone's sister-in-law—public property.</t>
  </si>
  <si>
    <t>গরিবের স্ত্রী (নারী)</t>
  </si>
  <si>
    <t>গরিবের বৌ সবার ভাবি২</t>
  </si>
  <si>
    <t>গরিবের বউ সবার ভাবি (দ্বিতীয়)</t>
  </si>
  <si>
    <t>গরিবের ঘরের নারীর ইজ্জত কম।</t>
  </si>
  <si>
    <t>The poor man's wife is called 'sister-in-law' by all—disrespect.</t>
  </si>
  <si>
    <t>গরিবের মরণ বিটকেল</t>
  </si>
  <si>
    <t>গরিবের মরণ বিটকেল (কষ্টকর)</t>
  </si>
  <si>
    <t>গরিবের মৃত্যুও দুঃখজনক।</t>
  </si>
  <si>
    <t>গরিবের মুড়কিই সন্দেশ</t>
  </si>
  <si>
    <t>গরিবের কাছে মুড়ি (চিঁড়া ভাজা?) সন্দেশ</t>
  </si>
  <si>
    <t>গরিবের কাছে অল্পই অনেক।</t>
  </si>
  <si>
    <t>To a poor man, puffed rice is like a sweetmeat.</t>
  </si>
  <si>
    <t>গরিবের রাঙ/রাঙ্‌তাই সোনা১</t>
  </si>
  <si>
    <t>গরিবের রাঙ (তামা/পিতল) সোনা</t>
  </si>
  <si>
    <t>গরিবের কাছে নকলই আসল।</t>
  </si>
  <si>
    <t>The poor man's brass is gold.</t>
  </si>
  <si>
    <t>মূল্যবোধ</t>
  </si>
  <si>
    <t>গরিবের রাঙ/রাঙ্‌তাই সোনা২</t>
  </si>
  <si>
    <t>গরিবের রাঙ সোনা (দ্বিতীয়)</t>
  </si>
  <si>
    <t>অভাবী যা পায় তাই মূল্যবান।</t>
  </si>
  <si>
    <t>The poor man's copper is gold to him.</t>
  </si>
  <si>
    <t>গরু গামলার ঘাস খায় না</t>
  </si>
  <si>
    <t>গরু গামলার (পাত্র) ঘাস খায় না</t>
  </si>
  <si>
    <t>নিজের জিনিসে তৃপ্তি হয় না; বা পরিচিতের প্রতি অনীহা।</t>
  </si>
  <si>
    <t>A cow doesn't eat the grass in its manger—familiarity breeds neglect.</t>
  </si>
  <si>
    <t>গরু ছাগলের মুখে বিষ১</t>
  </si>
  <si>
    <t>গরু ছাগলের মুখে বিষ (শুরু)</t>
  </si>
  <si>
    <t>নিরীহ প্রাণীর মুখে বিষ—অস্বাভাবিক।</t>
  </si>
  <si>
    <t>Poison in the mouth of a cow or goat—incongruous.</t>
  </si>
  <si>
    <t>অস্বাভাবিকতা</t>
  </si>
  <si>
    <t>গরু ছাগলের মুখে বিষ২</t>
  </si>
  <si>
    <t>গরু ছাগলের মুখে বিষ</t>
  </si>
  <si>
    <t>নিরীহ প্রাণীর মুখে বিষ—অস্বাভাবিক; হিংস্রতা নয়</t>
  </si>
  <si>
    <t>Poison in a cow's or goat's mouth—incongruous</t>
  </si>
  <si>
    <t>গরু বাছুরে মিল থাকলে মাঠে গিয়ে দুধ দেয়১</t>
  </si>
  <si>
    <t>গরু-বাছুরে মিল থাকলে মাঠেই দুধ দেয়</t>
  </si>
  <si>
    <t>ভালোবাসা ও বোঝাপড়া থাকলে যে কোনো স্থানেই মঙ্গল হয়</t>
  </si>
  <si>
    <t>If the cow and calf are in harmony, she gives milk even in the field</t>
  </si>
  <si>
    <t>গরু-বাছুরে মিল থাকলে মাঠে গিয়ে দুধ দেয়২</t>
  </si>
  <si>
    <t>গরু-বাছুরে মিল থাকলে মাঠেই দুধ দেয় (দ্বিতীয়)</t>
  </si>
  <si>
    <t>পারস্পরিক বোঝাপড়া থাকলে প্রতিকূল পরিবেশেও কল্যাণ হয়</t>
  </si>
  <si>
    <t>With mutual understanding, milk flows even in the field</t>
  </si>
  <si>
    <t>গরু জরু ধান রাখো বিদ্যমান</t>
  </si>
  <si>
    <t>গরু, জরু (স্ত্রী), ধান—রাখো বিদ্যমান</t>
  </si>
  <si>
    <t>এই তিনটি সম্পদ যত্নে রাখবে; গরু, স্ত্রী ও ধান সংসারের মূল</t>
  </si>
  <si>
    <t>Preserve cow, wife, and paddy—keep them at hand</t>
  </si>
  <si>
    <t>স্ত্রী (সম্পত্তি হিসেবে)</t>
  </si>
  <si>
    <t>লিঙ্গ/সংসার</t>
  </si>
  <si>
    <t>গরু মেরে জুতো দান১</t>
  </si>
  <si>
    <t>গরু মেরে জুতো দান</t>
  </si>
  <si>
    <t>বড় ক্ষতি করে সামান্য প্রতিদান; মহাপাপ</t>
  </si>
  <si>
    <t>Killing a cow and donating shoes—mocking charity</t>
  </si>
  <si>
    <t>দাতা (কপট)</t>
  </si>
  <si>
    <t>গরু মেরে জুতো দান২</t>
  </si>
  <si>
    <t>গরু মেরে জুতো দান (দ্বিতীয়)</t>
  </si>
  <si>
    <t>অনেক অনিষ্ট করার পর সামান্য উপকারের ভান</t>
  </si>
  <si>
    <t>After slaughtering the cow, donating its hide as shoes</t>
  </si>
  <si>
    <t>গরু মেরে জুতো দান৩</t>
  </si>
  <si>
    <t>গরু মেরে জুতো দান (তৃতীয়)</t>
  </si>
  <si>
    <t>মহাপাপ করে তুচ্ছ পুণ্যের চেষ্টা</t>
  </si>
  <si>
    <t>Killing a cow then giving shoes in charity—hypocrisy</t>
  </si>
  <si>
    <t>গরু যার গোবর তার</t>
  </si>
  <si>
    <t>গরু যার, গোবর তার</t>
  </si>
  <si>
    <t>মালিক সমস্ত কিছুর অধিকারী; সম্পত্তির অংশ সবই তার</t>
  </si>
  <si>
    <t>Who owns the cow, owns its dung—ownership includes all</t>
  </si>
  <si>
    <t>গরুড়শয়ন</t>
  </si>
  <si>
    <t>গরুড়শয়ন (শায়িত গরুড়ের ভঙ্গি)</t>
  </si>
  <si>
    <t>শয়নের বিশেষ ভঙ্গি; অলস বা আরামপ্রিয় অবস্থা</t>
  </si>
  <si>
    <t>Reclining like Garuda—a relaxed posture</t>
  </si>
  <si>
    <t>গর্জনওয়ালে বরষাতে নহীঁ</t>
  </si>
  <si>
    <t>গর্জনকারী বর্ষায় না (হিন্দি)</t>
  </si>
  <si>
    <t>যে বেশি গর্জায়, সে বৃষ্টি দেয় না; আড়ম্বরকারী কাজের নয়</t>
  </si>
  <si>
    <t>The thunderer does not rain—loudmouths don't act</t>
  </si>
  <si>
    <t>গর্জায় কিন্তু বর্ষায় না</t>
  </si>
  <si>
    <t>যে বেশি হাঁকডাক করে, সে কাজে ফাঁকি দেয়</t>
  </si>
  <si>
    <t>He thunders but does not rain—all bark, no bite</t>
  </si>
  <si>
    <t>গর্তে পড়লে বুদ্ধি গজায়</t>
  </si>
  <si>
    <t>বিপদে পড়লে উপায় ভাবতে হয়; বুদ্ধি আসে</t>
  </si>
  <si>
    <t>When you fall into a hole, wisdom sprouts—necessity sharpens wit</t>
  </si>
  <si>
    <t>গর্তের সাপ খুঁচিয়ে বার করা</t>
  </si>
  <si>
    <t>গর্তের সাপ খুঁচিয়ে বের করা</t>
  </si>
  <si>
    <t>শান্ত অবস্থায় অকারণে বিপদ ডেকে আনা</t>
  </si>
  <si>
    <t>Poking a snake out of its hole—inviting trouble</t>
  </si>
  <si>
    <t>দুঃসাহসী ব্যক্তি</t>
  </si>
  <si>
    <t>গলা টিপলে দুধ বেরোয়</t>
  </si>
  <si>
    <t>সামান্য চাপ দিলেই আসল সত্য বা দুর্বলতা প্রকাশ পায়</t>
  </si>
  <si>
    <t>Squeeze the throat, milk comes out—pressure reveals truth</t>
  </si>
  <si>
    <t>গলা ধরে কাঁদবে তবু মালা ছুঁতে দেবে না</t>
  </si>
  <si>
    <t>গলা ধরে কাঁদবে, তবু মালা ছুঁতে দেবে না</t>
  </si>
  <si>
    <t>নিজের জিনিসে অতিরিক্ত মায়া; কৃপণতা</t>
  </si>
  <si>
    <t>Will cry holding the neck but won't let you touch the garland—miserly</t>
  </si>
  <si>
    <t>কৃপণ ব্যক্তি</t>
  </si>
  <si>
    <t>গলায় কাঁটা ফুটলে বেড়ালের পায়ে ধরে/পড়ে</t>
  </si>
  <si>
    <t>গলায় কাঁটা ফুটলে বেড়ালের পায়ে ধরে</t>
  </si>
  <si>
    <t>মূল সমস্যা না বুঝে অপ্রাসঙ্গিক সমাধান খোঁজা</t>
  </si>
  <si>
    <t>With a thorn in the throat, one grabs a cat's leg—wrong remedy</t>
  </si>
  <si>
    <t>গলায় গলায় পীড়িত</t>
  </si>
  <si>
    <t>গলায় গলায় পীড়িত (পরস্পরের গলায় গলায়)</t>
  </si>
  <si>
    <t>চরম ঘনিষ্ঠতা; বা অতিরিক্ত ঘনিষ্ঠতায় বিরোধ</t>
  </si>
  <si>
    <t>Throat to throat—too close for comfort</t>
  </si>
  <si>
    <t>গলার নীচে গেলে আর কিছু মনে থাকে না</t>
  </si>
  <si>
    <t>গলার নিচে নামলে আর কিছু মনে থাকে না</t>
  </si>
  <si>
    <t>পেট ভরলে সব ভুলে যায়; ভোজনই প্রধান</t>
  </si>
  <si>
    <t>Once below the throat, nothing else is remembered—food over all</t>
  </si>
  <si>
    <t>গল্প থেকে বাস্তবঘটনা বেশি বিস্ময়কর</t>
  </si>
  <si>
    <t>গল্প থেকে বাস্তব ঘটনা বেশি বিস্ময়কর</t>
  </si>
  <si>
    <t>বাস্তব জীবনের ঘটনা কল্পনার চেয়েও অদ্ভুত</t>
  </si>
  <si>
    <t>Reality is stranger than fiction</t>
  </si>
  <si>
    <t>গল্প শেষ</t>
  </si>
  <si>
    <t>ব্যঙ্গ করে বলা যে ব্যাপারটা এখানেই শেষ; আর কিছু করার নেই</t>
  </si>
  <si>
    <t>End of story—nothing more to say</t>
  </si>
  <si>
    <t>গল্পের গরু গাছে চড়ে১</t>
  </si>
  <si>
    <t>গল্পের গরু গাছে চড়ে</t>
  </si>
  <si>
    <t>অসম্ভব কল্পনা; আজগুবি গল্প</t>
  </si>
  <si>
    <t>In stories, cows climb trees—fantasy</t>
  </si>
  <si>
    <t>গল্পের গরু গাছে চড়ে২</t>
  </si>
  <si>
    <t>গল্পের গরু গাছে চড়ে (দ্বিতীয়)</t>
  </si>
  <si>
    <t>অসম্ভব ঘটনা গল্পেই সম্ভব</t>
  </si>
  <si>
    <t>Only in tales, cows climb trees</t>
  </si>
  <si>
    <t>গাই ছিল না হলো গাই চালুনি নিয়ে দুইতে যাই</t>
  </si>
  <si>
    <t>গাই ছিল না, হলো গাই, চালুনি নিয়ে দোয়াতে যাই</t>
  </si>
  <si>
    <t>অভাবী হঠাৎ সম্পদ পেয়ে বাড়াবাড়ি</t>
  </si>
  <si>
    <t>Never had a cow, now goes to milk with a sieve—exaggeration</t>
  </si>
  <si>
    <t>গরিব/আত্মবড়াই</t>
  </si>
  <si>
    <t>গাই নাই তো বলদ দুয়ে দে</t>
  </si>
  <si>
    <t>গাই নেই তো বলদ দোহাও</t>
  </si>
  <si>
    <t>অসম্ভবকে সম্ভব করতে বলা; বাজে পরামর্শ</t>
  </si>
  <si>
    <t>If there's no cow, milk the bull—absurd advice</t>
  </si>
  <si>
    <t>মূর্খ উপদেষ্টা</t>
  </si>
  <si>
    <t>গাই নেবে দুইয়ে বলদ নেবে বেয়ে</t>
  </si>
  <si>
    <t>গাই নেবে দোহনের জন্য, বলদ নেবে বহনের জন্য</t>
  </si>
  <si>
    <t>সঠিক কাজের জন্য সঠিক জিনিস নির্বাচন করা উচিত</t>
  </si>
  <si>
    <t>Take a cow for milking, a bull for carrying—right tool for right job</t>
  </si>
  <si>
    <t>গাই বাছুরে পীরিত থাকলে মাঠে গিয়ে দুধ দেয</t>
  </si>
  <si>
    <t>গাই-বাছুরে প্রীতি থাকলে মাঠেই দুধ দেয়</t>
  </si>
  <si>
    <t>ভালোবাসার সম্পর্ক অটুট থাকলে যে-কোনো স্থানে কল্যাণ</t>
  </si>
  <si>
    <t>If the cow loves its calf, it gives milk even in the field</t>
  </si>
  <si>
    <t>চর্চার মাধ্যমেই দক্ষতা আসে; নিয়মিত অনুশীলনে গুণী</t>
  </si>
  <si>
    <t>Singing makes a singer, playing makes a musician—practice makes perfect</t>
  </si>
  <si>
    <t>চর্চা</t>
  </si>
  <si>
    <t>গাইতে চাইলে বলতে শেখো</t>
  </si>
  <si>
    <t>গাইতে চাইলে আগে বলতে শেখো</t>
  </si>
  <si>
    <t>মৌলিক বিষয় আগে রপ্ত কর, তারপর উন্নত কাজ</t>
  </si>
  <si>
    <t>If you want to sing, first learn to speak—basics first</t>
  </si>
  <si>
    <t>গাঁ নাই তার সীমানা</t>
  </si>
  <si>
    <t>গাঁ নেই, তার সীমানা</t>
  </si>
  <si>
    <t>অস্তিত্বহীন বস্তুর গৌণ কিছু নিয়ে ভাবনা বৃথা</t>
  </si>
  <si>
    <t>No village, yet its boundary—non-existent entity</t>
  </si>
  <si>
    <t>গাঁ বড় তার মাঝের পাড়া; নাক নেই তার নাক নাড়া১</t>
  </si>
  <si>
    <t>গাঁ বড় তার মাঝের পাড়া, নাক নেই তার নাক নাড়া</t>
  </si>
  <si>
    <t>তুচ্ছ বস্তুর বড়াই; অস্তিত্বহীনের ভান</t>
  </si>
  <si>
    <t>A big village for its center; no nose, yet nose-wiggling—empty pretension</t>
  </si>
  <si>
    <t>গাঁ বড় তার মাঝের পাড়া; নাক নেই তার নাক নাড়া২</t>
  </si>
  <si>
    <t>গাঁ বড় তার মাঝের পাড়া, নাক নেই তার নাক নাড়া (দ্বিতীয়)</t>
  </si>
  <si>
    <t>আসল জিনিস না থাকা সত্ত্বেও বাহ্যিক প্রদর্শন</t>
  </si>
  <si>
    <t>No nose, but wiggles it—sham</t>
  </si>
  <si>
    <t>গাঁ বড় তার মাঝের পাড়া; নাক নেই তার নাক নাড়া৩</t>
  </si>
  <si>
    <t>গাঁ বড় তার মাঝের পাড়া, নাক নেই তার নাক নাড়া (তৃতীয়)</t>
  </si>
  <si>
    <t>গুণহীনের গুণ প্রকাশের চেষ্টা</t>
  </si>
  <si>
    <t>A village boasts of its center; no nose, yet nose-twitching</t>
  </si>
  <si>
    <t>গাঁয়ে মানে না আপনি মোড়ল</t>
  </si>
  <si>
    <t>গাঁয়ে মানে না, আপনি মোড়ল</t>
  </si>
  <si>
    <t>নিজের এলাকায় কেউ মূল্য না দিলেও নিজেকে বড় ভাবা</t>
  </si>
  <si>
    <t>Not respected in the village, yet self-styled headman</t>
  </si>
  <si>
    <t>আত্মম্ভরী</t>
  </si>
  <si>
    <t>গাঁয়ের গুণে গড়ে (অলস) গরু বিকোয়</t>
  </si>
  <si>
    <t>গাঁয়ের সুনামে অলস গরুও বিক্রি হয়</t>
  </si>
  <si>
    <t>স্থানের সুনামে খারাপ জিনিসও ভালো দামে বিকোয়</t>
  </si>
  <si>
    <t>By the village's reputation, even a lazy cow sells</t>
  </si>
  <si>
    <t>সুনাম</t>
  </si>
  <si>
    <t>গাঁয়ের নাম তেঘরা, তার আবার উত্তরপাড়া, দক্ষিণপাড়া</t>
  </si>
  <si>
    <t>গ্রামের নাম তেঘরা, তার আবার উত্তরপাড়া, দক্ষিণপাড়া</t>
  </si>
  <si>
    <t>অতি ক্ষুদ্র জিনিসেরও আবার বিভাজন</t>
  </si>
  <si>
    <t>A tiny village named Teghra, yet has north and south quarters—excessive division</t>
  </si>
  <si>
    <t>বহুধাবিভাগ</t>
  </si>
  <si>
    <t>গাঙ পেরুলেই কুমীরকে কলা১</t>
  </si>
  <si>
    <t>গাঙ পার হলেই কুমিরকে কলা দেওয়া</t>
  </si>
  <si>
    <t>বিপদ কেটে গেলে তুচ্ছ জ্ঞান করা</t>
  </si>
  <si>
    <t>After crossing the river, offer banana to the croc—bravado after safety</t>
  </si>
  <si>
    <t>গাঙ পেরুলেই কুমীরকে কলা২</t>
  </si>
  <si>
    <t>গাঙ পার হলেই কুমিরকে কলা (দ্বিতীয়)</t>
  </si>
  <si>
    <t>বিপদমুক্ত হয়ে অহংকার</t>
  </si>
  <si>
    <t>Once across, you taunt the croc</t>
  </si>
  <si>
    <t>গাঙে গাঙে দেখা হয়, বোনে বোনে দেখা নেই</t>
  </si>
  <si>
    <t>নদীতে নদীতে মেশে, কিন্তু বোনে বোনে দেখা নেই</t>
  </si>
  <si>
    <t>স্বার্থহীনভাবে প্রকৃতি মেশে, কিন্তু মানুষের সম্পর্ক দূরত্ব</t>
  </si>
  <si>
    <t>Rivers meet rivers, but sisters may never meet—estrangement</t>
  </si>
  <si>
    <t>নারী (বোন)</t>
  </si>
  <si>
    <t>গাছ গুণে গোটা, গাই গুণে ঘি, বাপ গুণে বেটা মা গুণে ঝি</t>
  </si>
  <si>
    <t>গাছ পরিচয় ফলে, গাই পরিচয় ঘিয়ে, বাবা পরিচয় ছেলেতে, মা পরিচয় মেয়েতে</t>
  </si>
  <si>
    <t>পিতামাতার গুণ সন্তানে প্রকাশ পায়</t>
  </si>
  <si>
    <t>A tree is known by its fruit, a cow by its ghee; a father by his son, a mother by her daughter</t>
  </si>
  <si>
    <t>মা/বাবা (গুণান্বিত)</t>
  </si>
  <si>
    <t>গাছ থেকে পড়ে গেল জন পাঁচ সাত, যার যেখানে ব্যথা তার সেখানে হাত</t>
  </si>
  <si>
    <t>গাছ থেকে সবাই পড়ল, যার যেখানে ব্যথা তার সেখানে হাত</t>
  </si>
  <si>
    <t>নিজের কষ্ট নিজে বোঝে, অন্যেরটা নয়</t>
  </si>
  <si>
    <t>When many fall from a tree, each feels only their own pain</t>
  </si>
  <si>
    <t>গাছ থেকে ফল ভারি নয়</t>
  </si>
  <si>
    <t>গাছ থেকে ফল ভারী নয়</t>
  </si>
  <si>
    <t>নিজের লোকের জন্য কিছুই কষ্টকর নয়</t>
  </si>
  <si>
    <t>Fruit is not heavy for the tree—one's own burden is light</t>
  </si>
  <si>
    <t>স্বজন</t>
  </si>
  <si>
    <t>গাছগাছালি ঘন রোবে না; গাছ হবে তার ফল হবে না- খনা</t>
  </si>
  <si>
    <t>গাছপালা ঘন করে লাগাবে না; গাছ হবে কিন্তু ফল হবে না</t>
  </si>
  <si>
    <t>অতিরিক্ত ঘনত্বে ফলন কম; পরিমিতি দরকার</t>
  </si>
  <si>
    <t>Don't plant too thick; trees will grow but won't bear fruit</t>
  </si>
  <si>
    <t>গাছে উঠে পড়তে, জামিন হয় মরতে</t>
  </si>
  <si>
    <t>গাছে ওঠা আর পড়া, জামিন হয় মরতে</t>
  </si>
  <si>
    <t>কাজ আর তার পরিণতি, মাঝখানে জামিনদার বিপদে পড়ে</t>
  </si>
  <si>
    <t>Climbing and falling; the guarantor dies—innocent suffers</t>
  </si>
  <si>
    <t>জামিনদার (মধ্যস্থ)</t>
  </si>
  <si>
    <t>গাছে কাঁঠাল গোঁফে তেল১</t>
  </si>
  <si>
    <t>ভবিষ্যতের প্রাচুর্যের আগাম আয়োজন</t>
  </si>
  <si>
    <t>Jackfruit on the tree, oil on the mustache—preparing for a feast not yet yours</t>
  </si>
  <si>
    <t>গাছে কাঁঠাল গোঁফে তেল২</t>
  </si>
  <si>
    <t>গাছে কাঁঠাল, গোঁফে তেল (দ্বিতীয়)</t>
  </si>
  <si>
    <t>না পাওয়ার আগেই ভোগের পরিকল্পনা</t>
  </si>
  <si>
    <t>Oil on the mustache while the jackfruit is still on the tree—counting chickens before they hatch</t>
  </si>
  <si>
    <t>আশাবাদী</t>
  </si>
  <si>
    <t>গাছে গাছে আগুন জ্বলে, বৃষ্টি হবে খনায় বলে- খনা</t>
  </si>
  <si>
    <t>গাছে গাছে আগুন জ্বললে বৃষ্টি হবে—খনার বচন</t>
  </si>
  <si>
    <t>প্রকৃতির লক্ষণ: যদি গাছের পাতা লালচে/আগুনের মতো দেখায়, তবে বৃষ্টি হবে</t>
  </si>
  <si>
    <t>When trees look aflame, rain will come—Khana's saying</t>
  </si>
  <si>
    <t>কৃষি/আবহাওয়া</t>
  </si>
  <si>
    <t>গাছে চড়ানো</t>
  </si>
  <si>
    <t>অতিরিক্ত প্রশংসায় অহংকারী করা</t>
  </si>
  <si>
    <t>Putting someone up a tree—inflating ego</t>
  </si>
  <si>
    <t>গাছে তুলতে সবাই আছে, নামাতে কেউ নেই</t>
  </si>
  <si>
    <t>গাছে তুলতে সবাই আসে, নামাতে কেউ আসে না</t>
  </si>
  <si>
    <t>বিপদে ফেলতে সকলে তৎপর, উদ্ধারে কেউ নাই</t>
  </si>
  <si>
    <t>Everyone helps you climb, no one helps you down—fair-weather friends</t>
  </si>
  <si>
    <t>মিত্র (সুসময়ের)</t>
  </si>
  <si>
    <t>গাছে তুলে সিঁড়ি সরিয়ে নেওয়া</t>
  </si>
  <si>
    <t>উপায় করে বিপদে ফেলে আর সাহায্য না করা</t>
  </si>
  <si>
    <t>Lifting someone up a tree and taking away the ladder—sabotage</t>
  </si>
  <si>
    <t>গাছে না উঠতেই এক কাঁদি১</t>
  </si>
  <si>
    <t>গাছে না উঠতেই এক কাঁদি (কলা/আম)</t>
  </si>
  <si>
    <t>কাজ শুরু না করেই ফলের আশা</t>
  </si>
  <si>
    <t>Before climbing, a bunch already claimed—premature expectation</t>
  </si>
  <si>
    <t>গাছে না উঠতেই এক কাঁদি২</t>
  </si>
  <si>
    <t>গাছে না উঠতেই এক কাঁদি (দ্বিতীয়)</t>
  </si>
  <si>
    <t>কাজ শেষ না হতেই পুরস্কারের দাবি</t>
  </si>
  <si>
    <t>Counting a bunch before climbing the tree</t>
  </si>
  <si>
    <t>গাছের পরিচয় ফলে</t>
  </si>
  <si>
    <t>মানুষের পরিচয় তার কাজে/ফলে</t>
  </si>
  <si>
    <t>A tree is known by its fruit—a person by deeds</t>
  </si>
  <si>
    <t>গাছের ভয় বাতাসে, পদ্মের ভয় শিশিরে, সজ্জনের ভয় দুর্জনে</t>
  </si>
  <si>
    <t>প্রত্যেকের নির্দিষ্ট শত্রু থাকে; ভালো লোক দুষ্টকে ভয় পায়</t>
  </si>
  <si>
    <t>Tree fears wind, lotus fears dew, the good fear the wicked</t>
  </si>
  <si>
    <t>সজ্জন</t>
  </si>
  <si>
    <t>গাছেরও খায় তলারও কুড়ায়১</t>
  </si>
  <si>
    <t>গাছের ফল খায়, তলায় পড়া কুড়ায়</t>
  </si>
  <si>
    <t>প্রচুর ভোগ করে এবং তুচ্ছটুকুও নেয়—লোভী</t>
  </si>
  <si>
    <t>Eats from the tree and also picks from the ground—grabbing all</t>
  </si>
  <si>
    <t>গাছের দশটা থেকে পাতের একটাই ভাল</t>
  </si>
  <si>
    <t>গাছের দশটা ফল থেকে পাতের একটা ফলই ভালো</t>
  </si>
  <si>
    <t>অনেক পাওয়ার চেয়ে একটু নির্বাচিত পাওয়া ভালো</t>
  </si>
  <si>
    <t>One chosen fruit on the plate is better than ten on the tree—quality over quantity</t>
  </si>
  <si>
    <t>গাজনের নেই ঠিকানা, ডেকে/শুধু বলে ঢাক/বাজনা বাজা না</t>
  </si>
  <si>
    <t>গাজনের ঠিকানা নেই, শুধু বলে বাজনা বাজাও</t>
  </si>
  <si>
    <t>অনিশ্চিত বিষয়ে আড়ম্বর নিষ্প্রয়োজন</t>
  </si>
  <si>
    <t>No certainty of Gajan, yet says 'play the drums'—empty preparation</t>
  </si>
  <si>
    <t>গাজীসাহেবের মোরগ, পেটে গেলেও ডাক দেয়</t>
  </si>
  <si>
    <t>গাজীসাহেবের মোরগ পেটে গেলেও ডাক দেয়</t>
  </si>
  <si>
    <t>অসাধারণ ক্ষমতাসম্পন্ন জিনিস; প্রতিকূলতায়ও নিজস্বতা বজায়</t>
  </si>
  <si>
    <t>The saint's rooster crows even after being eaten—indomitable spirit</t>
  </si>
  <si>
    <t>গাড়িপর লা (নৌকা) লাপর গাড়ি</t>
  </si>
  <si>
    <t>গাড়ির পর লা (নৌকা), নৌকার পর গাড়ি</t>
  </si>
  <si>
    <t>পরস্পরের বোঝা আদান-প্রদান</t>
  </si>
  <si>
    <t>Boat after cart, cart after boat—mutual help</t>
  </si>
  <si>
    <t>গাড়ী কিনতে গিয়ে বাড়ী বিক্রি</t>
  </si>
  <si>
    <t>গাড়ি কিনতে গিয়ে বাড়ি বিক্রি</t>
  </si>
  <si>
    <t>এক জিনিস পেতে গিয়ে মূল সম্পত্তি হারানো</t>
  </si>
  <si>
    <t>Selling the house to buy a carriage—foolish trade</t>
  </si>
  <si>
    <t>গাড়োয়ানের চুমকুড়ি গরুতে চেনে</t>
  </si>
  <si>
    <t>গাড়োয়ানের চুমকুড়ি গরু চেনে</t>
  </si>
  <si>
    <t>সেই চেনে যে তার কাছের; ঘনিষ্ঠ পরিচিতি</t>
  </si>
  <si>
    <t>A carter's whip knows the ox—familiarity</t>
  </si>
  <si>
    <t>পরিচিতি</t>
  </si>
  <si>
    <t>গাধা কি জানে কুসুমের গন্ধ/মধুর স্বাদ</t>
  </si>
  <si>
    <t>গাধা কী জানে কুসুমের গন্ধ</t>
  </si>
  <si>
    <t>মূর্খ গুণের কদর বোঝে না</t>
  </si>
  <si>
    <t>What does a donkey know of saffron's scent?—a fool can't appreciate quality</t>
  </si>
  <si>
    <t>মূর্খ অশান্তি সৃষ্টি করেই কাজ করে</t>
  </si>
  <si>
    <t>A donkey muddies water before drinking—foolishness</t>
  </si>
  <si>
    <t>গাধা পিটিয়ে ঘোড়া করা</t>
  </si>
  <si>
    <t>গাধাকে পিটিয়ে ঘোড়া করা যায় না</t>
  </si>
  <si>
    <t>প্রহারে মূর্খকে জ্ঞানী করা অসম্ভব</t>
  </si>
  <si>
    <t>You can't make a horse by beating a donkey—nature won't change</t>
  </si>
  <si>
    <t>গাধা পেটালে ঘোড়া হয় না</t>
  </si>
  <si>
    <t>জোর করে গুণ ফুটানো যায় না</t>
  </si>
  <si>
    <t>Beating a donkey won't turn it into a horse</t>
  </si>
  <si>
    <t>গাধা সকল বইতে পারে ভাতের কাঠি বইতে নারে</t>
  </si>
  <si>
    <t>গাধা সব বহন করতে পারে, ভাতের কাঠি (নরম) বহন করতে পারে না</t>
  </si>
  <si>
    <t>পারদর্শী হলেও অতি সহজ জিনিসে অনীহা বা অক্ষমতা</t>
  </si>
  <si>
    <t>A donkey can carry heavy loads but not a soft rice-stick—stubbornness</t>
  </si>
  <si>
    <t>মূর্খ/একরোখা</t>
  </si>
  <si>
    <t>গাধা সিংহের ছাল পড়লে সিংহ হয় না</t>
  </si>
  <si>
    <t>গাধা সিংহের চামড়া পরলে সিংহ হয় না</t>
  </si>
  <si>
    <t>বাহ্যিক সাজে জাত পরিবর্তন হয় না</t>
  </si>
  <si>
    <t>A donkey in a lion's skin is still a donkey—disguise doesn't change nature</t>
  </si>
  <si>
    <t>মূর্খ/ভণ্ড</t>
  </si>
  <si>
    <t>গাধাকে প্রশ্ন করো না সে মোট বইবে কিনা</t>
  </si>
  <si>
    <t>গাধাকে জিজ্ঞাসা করো না সে বোঝা বইবে কিনা</t>
  </si>
  <si>
    <t>গাধা তো বইবেই; যে কাজ তার নিয়তি, তাতে প্রশ্ন করা অর্থহীন</t>
  </si>
  <si>
    <t>Don't ask a donkey if it will carry a load—it's its nature</t>
  </si>
  <si>
    <t>গাধার পিঠে ওজন চাপে</t>
  </si>
  <si>
    <t>অক্ষমের ওপর সব দায়িত্ব চাপানো হয়</t>
  </si>
  <si>
    <t>Weight falls on the donkey's back—the weak bear burdens</t>
  </si>
  <si>
    <t>দুর্বল/গরিব</t>
  </si>
  <si>
    <t>গাধার পিঠে সোনার বোঝা চাপালেও সে গাধাই থাকে</t>
  </si>
  <si>
    <t>মূল্যবান জিনিস বহন করলেও তার কদর বোঝে না</t>
  </si>
  <si>
    <t>Even with a golden load, a donkey remains a donkey—fool can't value</t>
  </si>
  <si>
    <t>গাবতলা দিয়ে যাবনা, আর গাব খাবনা, গাব খাব না তো খাবো কি, গাবের মত আছে কি</t>
  </si>
  <si>
    <t>গাবতলা দিয়ে যাব না, গাব খাব না; খাব না তো কী খাব, গাবের মতো আছে কি?</t>
  </si>
  <si>
    <t>পুরনো অভ্যাস ত্যাগের প্রতিজ্ঞা ভঙ্গ</t>
  </si>
  <si>
    <t>I won't pass the gab tree or eat gab, but what else is like gab?—backsliding</t>
  </si>
  <si>
    <t>গায়ে ওড়ে খড়ি, কলপ দেওয়া দাড়ি</t>
  </si>
  <si>
    <t>গায়ে খড়ি ওড়ে, দাড়িতে কলপ</t>
  </si>
  <si>
    <t>বাহ্যিক সাজে বয়স লুকানোর চেষ্টা</t>
  </si>
  <si>
    <t>Powder on body, dyed beard—hiding age</t>
  </si>
  <si>
    <t>বৃদ্ধ/ভণ্ড</t>
  </si>
  <si>
    <t>গায়ে গণ্ডারের চামড়া</t>
  </si>
  <si>
    <t>নির্লজ্জ; সমালোচনায় প্রভাবিত হয় না</t>
  </si>
  <si>
    <t>Rhinoceros hide—thick-skinned, shameless</t>
  </si>
  <si>
    <t>গায়ে গু মাখলে যমেও ছাড়ে না</t>
  </si>
  <si>
    <t>গায়ে গোবর মাখলে যমও ছাড়ে না</t>
  </si>
  <si>
    <t>নোংরামি করলে কেউ কাছে ঘেঁষে না; নির্বুদ্ধিতা</t>
  </si>
  <si>
    <t>If you smear yourself with dung, even Death won't touch you—foolishness repels</t>
  </si>
  <si>
    <t>গায়ে ফুঁ দিয়ে বেড়ানো</t>
  </si>
  <si>
    <t>কোনো কাজ না করে আরামে দিন কাটানো; অতি সতর্কতা</t>
  </si>
  <si>
    <t>Blowing on one's body—idly pampering oneself</t>
  </si>
  <si>
    <t>অলস/আত্মমগ্ন</t>
  </si>
  <si>
    <t>গায়ে ফোসকা পড়া</t>
  </si>
  <si>
    <t>অল্পতে কষ্ট পাওয়া; অতিসংবেদনশীল</t>
  </si>
  <si>
    <t>Getting blisters easily—over-sensitive</t>
  </si>
  <si>
    <t>সংবেদনশীল ব্যক্তি</t>
  </si>
  <si>
    <t>গায়ের কালি ধুলে যায়, মনের কালি ম'লে যায়</t>
  </si>
  <si>
    <t>গায়ের কালি ধুলে যায়, মনের কালি মরলেও যায় না</t>
  </si>
  <si>
    <t>শরীরের ময়লা ধোয়, মনের কালিমা মৃত্যু ছাড়া যায় না</t>
  </si>
  <si>
    <t>Body dirt washes off; mind's stain goes only with death</t>
  </si>
  <si>
    <t>গায়ের গন্ধে ভূত পালায়, মাথায় মাখে খুসবু/ফুলেল তেল</t>
  </si>
  <si>
    <t>গায়ের দুর্গন্ধে ভূত পালায়, অথচ মাথায় সুগন্ধি তেল মাখে</t>
  </si>
  <si>
    <t>নিজের বড় দোষ ঢেকে ছোট সাজে মনোযোগ</t>
  </si>
  <si>
    <t>Body stench drives ghosts away, yet perfumed oil on head—misplaced effort</t>
  </si>
  <si>
    <t>গাল টিপলে দুধ বেরোয়</t>
  </si>
  <si>
    <t>সামান্য চাপেই আসল রূপ প্রকাশ পায়; শিশুসুলভ</t>
  </si>
  <si>
    <t>Squeeze the cheek, milk comes out—childish innocence</t>
  </si>
  <si>
    <t>শিশু/সরল</t>
  </si>
  <si>
    <t>গাল বাড়িয়ে চড় খাওয়া১</t>
  </si>
  <si>
    <t>গাল বাড়িয়ে চড় খাওয়া</t>
  </si>
  <si>
    <t>স্বেচ্ছায় অপমান বা বিপদ ডেকে আনা</t>
  </si>
  <si>
    <t>Sticking out your cheek to be slapped—inviting insult</t>
  </si>
  <si>
    <t>গাল বাড়িয়ে চড় খাওয়া২</t>
  </si>
  <si>
    <t>গাল বাড়িয়ে চড় খাওয়া (দ্বিতীয়)</t>
  </si>
  <si>
    <t>নিজের দোষে বিপদ বরণ</t>
  </si>
  <si>
    <t>Offering cheek for a slap—asking for trouble</t>
  </si>
  <si>
    <t>গালে চুনকালি দেওয়া১</t>
  </si>
  <si>
    <t>গালে চুনকালি মাখানো</t>
  </si>
  <si>
    <t>অপমান করা; লজ্জায় ফেলা</t>
  </si>
  <si>
    <t>Smearing lime and ink on cheeks—humiliating</t>
  </si>
  <si>
    <t>গালে চুনকালি দেওয়া২</t>
  </si>
  <si>
    <t>গালে চুনকালি দেওয়া (দ্বিতীয়)</t>
  </si>
  <si>
    <t>সবার সামনে অপদস্থ করা</t>
  </si>
  <si>
    <t>Blacken the face—public disgrace</t>
  </si>
  <si>
    <t>গিন্নি ভাঙলে হাঁড়ি হয় খলা (পোড়া) বউ ভাঙলে হাঁড়ি হয় খোলামকুচি (ভাঙা হাঁড়ির টুকরা)</t>
  </si>
  <si>
    <t>গিন্নি ভাঙলে হাঁড়ি পোড়া, বউ ভাঙলে হাঁড়ি ভাঙা টুকরা</t>
  </si>
  <si>
    <t>একই দোষ গিন্নির হলে মানা যায়, বউয়ের হলে কঠোর সমালোচনা</t>
  </si>
  <si>
    <t>If the matriarch breaks a pot, it's burnt; if the bride does, it's shattered—double standard</t>
  </si>
  <si>
    <t>গিন্নি বনাম বউ (নারী)</t>
  </si>
  <si>
    <t>লিঙ্গ/বৈষম্য</t>
  </si>
  <si>
    <t>গিন্নির উপর গিন্নিপনা ভাঙা পিঁড়েয় আলপনা১</t>
  </si>
  <si>
    <t>গিন্নির ওপর গিন্নিপনা, ভাঙা পিঁড়িতে আলপনা</t>
  </si>
  <si>
    <t>অযোগ্য স্থানে গুণ প্রকাশের চেষ্টা; বেমানান</t>
  </si>
  <si>
    <t>Trying to be bossy over the matriarch, and drawing alpona on a broken stool—out of place</t>
  </si>
  <si>
    <t>নারী (গিন্নি/বউ)</t>
  </si>
  <si>
    <t>গিন্নির উপর গিন্নিপনা ভাঙা পিঁড়েয় আলপনা২</t>
  </si>
  <si>
    <t>গিন্নির ওপর গিন্নিপনা, ভাঙা পিঁড়িতে আলপনা (দ্বিতীয়)</t>
  </si>
  <si>
    <t>উর্ধ্বতনের ওপর কর্তৃত্ব করা অনুচিত</t>
  </si>
  <si>
    <t>Asserting authority over the mistress on a broken seat—improper</t>
  </si>
  <si>
    <t>নারী (গিন্নি)</t>
  </si>
  <si>
    <t>লিঙ্গ/সম্মান</t>
  </si>
  <si>
    <t>গিন্নির দোষে/পাপে গৃহস্থ নষ্ট</t>
  </si>
  <si>
    <t>গিন্নির দোষে/পাপে ঘর নষ্ট</t>
  </si>
  <si>
    <t>গৃহিণী খারাপ হলে সংসার ধ্বংস হয়</t>
  </si>
  <si>
    <t>A house is ruined by the mistress's fault—bad wife ruins home</t>
  </si>
  <si>
    <t>গিন্নি/স্ত্রী (নারী)</t>
  </si>
  <si>
    <t>গিন্নির হাতে রাঙা পলা বউয়ের হাতে সোনার বালা</t>
  </si>
  <si>
    <t>গিন্নির হাতে রাঙা পলা (কাঁচের চুড়ি), বউয়ের হাতে সোনার বালা</t>
  </si>
  <si>
    <t>অবস্থা বিপরীত; ছোটকে বড় সম্মান</t>
  </si>
  <si>
    <t>The matriarch wears glass bangles, the bride gold ones—inverted status</t>
  </si>
  <si>
    <t>গিন্নি ও বউ (নারী)</t>
  </si>
  <si>
    <t>লিঙ্গ/পদমর্যাদা</t>
  </si>
  <si>
    <t>গিন্নি হলোে চুন্নি হতে হয়</t>
  </si>
  <si>
    <t>গিন্নি হলে চুন্নি (চতুর?) হতে হয়</t>
  </si>
  <si>
    <t>গৃহিণী হতে গেলে বুদ্ধিমতী ও কৌশলী হতে হয়</t>
  </si>
  <si>
    <t>To be a housewife, one must be shrewd—mistress needs cunning</t>
  </si>
  <si>
    <t>গিন্নি (নারী)</t>
  </si>
  <si>
    <t>গির্জার পাশের লোক গির্জায় যায় না১</t>
  </si>
  <si>
    <t>গির্জার পাশের মানুষ গির্জায় যায় না</t>
  </si>
  <si>
    <t>অতি নিকটের জিনিসের প্রতি অবহেলা</t>
  </si>
  <si>
    <t>The person next to the church never attends—familiarity breeds neglect</t>
  </si>
  <si>
    <t>গির্জার পাশের লোক গির্জায় যায় না২</t>
  </si>
  <si>
    <t>গির্জার পাশের লোক গির্জায় যায় না (দ্বিতীয়)</t>
  </si>
  <si>
    <t>নিজের এলাকার জিনিসের কদর নেই</t>
  </si>
  <si>
    <t>Those near the church skip service</t>
  </si>
  <si>
    <t>গুজব বাতাসে ওড়ে</t>
  </si>
  <si>
    <t>গুজব বাতাসে উড়ে</t>
  </si>
  <si>
    <t>গুজব দ্রুত ছড়ায়</t>
  </si>
  <si>
    <t>Rumors fly in the wind—fast spread</t>
  </si>
  <si>
    <t>গুটিপোকা গুটি করে নিজের ফাঁদ নিজে গড়ে</t>
  </si>
  <si>
    <t>গুটিপোকা (রেশমকীট) গুটি বানিয়ে নিজেই ফাঁদ তৈরি করে</t>
  </si>
  <si>
    <t>লোভে পড়ে নিজেই বিপদ ডেকে আনে</t>
  </si>
  <si>
    <t>The silkworm spins a cocoon, trapping itself—self-made prison</t>
  </si>
  <si>
    <t>গুড় অন্ধকারেও মিষ্টি লাগে</t>
  </si>
  <si>
    <t>গুড় অন্ধকারেও মিষ্টি</t>
  </si>
  <si>
    <t>গুণ চিরকাল গুণই; অবস্থা পরিবর্তনে গুণ বদলায় না</t>
  </si>
  <si>
    <t>Jaggery tastes sweet even in the dark—virtue is constant</t>
  </si>
  <si>
    <t>গুড় দিয়ে খেলে গুণচটও (থলি) মিষ্টি লাগে</t>
  </si>
  <si>
    <t>গুড় দিয়ে খেলে গুণচট (মোটা থলি) মিষ্টি লাগে</t>
  </si>
  <si>
    <t>মিষ্টির সঙ্গে সঙ্গে অখাদ্যও ভালো লাগে</t>
  </si>
  <si>
    <t>With jaggery, even a coarse sack tastes sweet—good company makes everything better</t>
  </si>
  <si>
    <t>গুড় না দিলে মালপো তৈরী হয় না১</t>
  </si>
  <si>
    <t>গুড় না দিলে মালপো তৈরি হয় না</t>
  </si>
  <si>
    <t>বিনা উপকরণে কাজ হয় না</t>
  </si>
  <si>
    <t>Without jaggery, you can't make malpo—resources needed</t>
  </si>
  <si>
    <t>গুড় না দিলে মালপো তৈরী হয় না২</t>
  </si>
  <si>
    <t>গুড় না দিলে মালপো তৈরি হয় না (দ্বিতীয়)</t>
  </si>
  <si>
    <t>মূল জিনিস ছাড়া কিছু হয় না</t>
  </si>
  <si>
    <t>No sweet, no dessert—essentials first</t>
  </si>
  <si>
    <t>(রেকো) গুণঃ খলু নিহন্তি সমস্ত দোষান</t>
  </si>
  <si>
    <t>গুণই সমস্ত দোষ নাশ করে</t>
  </si>
  <si>
    <t>একটি গুণ অনেক দোষকে ঢেকে দেয়</t>
  </si>
  <si>
    <t>A single virtue destroys all faults—quality outweighs flaws</t>
  </si>
  <si>
    <t>গুণ থাকলে দোষের ভয়</t>
  </si>
  <si>
    <t>গুণের কাছে দোষ টেকে না</t>
  </si>
  <si>
    <t>Where there is virtue, faults fear</t>
  </si>
  <si>
    <t>গুণবানের আশ্রয়ে নির্গুণও গুণী হয়</t>
  </si>
  <si>
    <t>গুণীর সান্নিধ্যে নির্গুণও গুণী হয়</t>
  </si>
  <si>
    <t>সৎসঙ্গে গুণ আসে</t>
  </si>
  <si>
    <t>In the shelter of the virtuous, even the virtueless gain merit</t>
  </si>
  <si>
    <t>গুণলুব্ধা স্বয়মেব সম্পদ</t>
  </si>
  <si>
    <t>গুণলুব্ধা (গুণের প্রতি লোভ) নিজেই সম্পদ</t>
  </si>
  <si>
    <t>গুণের প্রতি আসক্তিই শ্রেষ্ঠ সম্পদ</t>
  </si>
  <si>
    <t>Craving for virtues is itself a treasure</t>
  </si>
  <si>
    <t>গুণী গুণং বেত্তি, ন বেত্তি নির্গুণঃ</t>
  </si>
  <si>
    <t>গুণী গুণ বোঝে, নির্গুণ বোঝে না</t>
  </si>
  <si>
    <t>গুণের কদর গুণীই জানে</t>
  </si>
  <si>
    <t>The virtuous knows virtue, the virtueless does not</t>
  </si>
  <si>
    <t>নির্গুণ/মূর্খ</t>
  </si>
  <si>
    <t>গুণী গুণং বেত্তি, ন বেত্তি নির্গুণো বলী বলং বেত্তি ন বেত্তি নির্বলঃ</t>
  </si>
  <si>
    <t>গুণী গুণ বোঝে, নির্গুণ বোঝে না; বলী বল বোঝে, দুর্বল বোঝে না</t>
  </si>
  <si>
    <t>প্রত্যেকে নিজ গুণ বোঝে</t>
  </si>
  <si>
    <t>The virtuous knows virtue, the strong knows strength; the opposite doesn't</t>
  </si>
  <si>
    <t>নির্গুণ/নির্বল</t>
  </si>
  <si>
    <t>গুণে কড়ি জলে ফেলি সেও ভাল</t>
  </si>
  <si>
    <t>গুণ থাকলে কড়ি জলে ফেলাও ভালো</t>
  </si>
  <si>
    <t>গুণবানের অপচয়ও মেনে নেওয়া যায়</t>
  </si>
  <si>
    <t>Even a virtuous man's waste is acceptable—quality forgives</t>
  </si>
  <si>
    <t>গুণে নুন দিতে নেই</t>
  </si>
  <si>
    <t>ভালো জিনিসে বাড়তি কিছু দেওয়ার প্রয়োজন নেই</t>
  </si>
  <si>
    <t>Don't add salt to a virtue—don't overdo</t>
  </si>
  <si>
    <t>গুণেতে হইলে বড়, বড় বলে সবে, বড় যদি হতে চাও, ছোট হও তবে- হরিশ্চন্দ্র মিত্র</t>
  </si>
  <si>
    <t>গুণেতে বড় হলে লোকে বলে; বড় হতে চাইলে আগে ছোট হও</t>
  </si>
  <si>
    <t>বিনয়ী হলে সম্মান বাড়ে</t>
  </si>
  <si>
    <t>If you become great by virtue, all call you great; if you wish to be great, first be humble</t>
  </si>
  <si>
    <t>গুণের ঘাট (ঘাটতি) নেই১</t>
  </si>
  <si>
    <t>গুণের ঘাটতি নেই</t>
  </si>
  <si>
    <t>গুণের কোনো শেষ নেই, অফুরন্ত</t>
  </si>
  <si>
    <t>No scarcity of virtues—unlimited</t>
  </si>
  <si>
    <t>গুণের বালাই দেখে মরি</t>
  </si>
  <si>
    <t>এত গুণ যে অসহ্য; ব্যঙ্গ</t>
  </si>
  <si>
    <t>Dying of too many virtues—sarcasm</t>
  </si>
  <si>
    <t>গুণের বালাই নেই</t>
  </si>
  <si>
    <t>গুণের কোনো বালাই (অস্তিত্ব) নেই</t>
  </si>
  <si>
    <t>কোনো গুণই নেই; নির্গুণ</t>
  </si>
  <si>
    <t>No trace of virtue—utterly worthless</t>
  </si>
  <si>
    <t>নির্গুণ</t>
  </si>
  <si>
    <t>গুণে সরস্বতী রূপে লক্ষ্মী</t>
  </si>
  <si>
    <t>গুণে সরস্বতী, রূপে লক্ষ্মী</t>
  </si>
  <si>
    <t>জ্ঞান ও সৌন্দর্যের সমন্বয়</t>
  </si>
  <si>
    <t>Saraswati in merit, Lakshmi in beauty—perfect</t>
  </si>
  <si>
    <t>নারী (আদর্শ)</t>
  </si>
  <si>
    <t>গুবরেপোকার পদ্মমধু খাবার সাধ</t>
  </si>
  <si>
    <t>গোবরে পোকার পদ্মমধু খেতে সাধ</t>
  </si>
  <si>
    <t>নীচের বড় আশা; অযোগ্যের উচ্চাকাঙ্ক্ষা</t>
  </si>
  <si>
    <t>A dung beetle yearning for lotus honey—lowly desire for the sublime</t>
  </si>
  <si>
    <t>নীচ/অযোগ্য</t>
  </si>
  <si>
    <t>গুমরে মাটিতে পা পড়ে না</t>
  </si>
  <si>
    <t>অহংকারে মাটিতে পা পড়ে না</t>
  </si>
  <si>
    <t>অহংকারী নিজেকে এত বড় ভাবে যে সাধারণের সঙ্গে মেশে না</t>
  </si>
  <si>
    <t>So proud, his feet don't touch the ground—swollen with pride</t>
  </si>
  <si>
    <t>গুয়ের এপিঠ আর ওপিঠ, দু'পিঠই সমান</t>
  </si>
  <si>
    <t>গোবরের এপিঠ-ওপিঠ দু'পিঠই সমান</t>
  </si>
  <si>
    <t>দুই দিকই সমান খারাপ</t>
  </si>
  <si>
    <t>Both sides of the dung are the same—equally bad</t>
  </si>
  <si>
    <t>গুয়ে বলে গোবরদাদা তোর গায়ে গন্ধ</t>
  </si>
  <si>
    <t>গোবর বলে গোবরদাদা, 'তোর গায়ে গন্ধ'</t>
  </si>
  <si>
    <t>নিজের দোষ না দেখে পরের দোষ ধরা</t>
  </si>
  <si>
    <t>One dung calling another 'stinky'—pot calling kettle black</t>
  </si>
  <si>
    <t>গুরু ছেড়ে গোবিন্দ ভজে, সে জন নরকে মজে</t>
  </si>
  <si>
    <t>গুরু ছেড়ে গোবিন্দ ভজে, সে নরকে মজে</t>
  </si>
  <si>
    <t>আগে গুরুর স্থান, পরে ঈশ্বর; গুরুর অপমান নরকে নিয়ে যায়</t>
  </si>
  <si>
    <t>Leaving the guru and worshiping Govinda leads to hell—order matters</t>
  </si>
  <si>
    <t>গুরুভক্ত</t>
  </si>
  <si>
    <t>গুরু বোবা শিষ্য কালা, যেমন গুরু তেমন চেলা</t>
  </si>
  <si>
    <t>গুরু বোবা, শিষ্য কালা; যেমন গুরু তেমন চেলা</t>
  </si>
  <si>
    <t>দুইজনেই অক্ষম; উপমা</t>
  </si>
  <si>
    <t>A dumb guru, a deaf disciple—like guru, like disciple</t>
  </si>
  <si>
    <t>অক্ষম গুরুকুল</t>
  </si>
  <si>
    <t>গুরুমারা বিদ্যা১</t>
  </si>
  <si>
    <t>গুরুকে মারা বিদ্যা</t>
  </si>
  <si>
    <t>শিখে গুরুরই ক্ষতি করা; অকৃতজ্ঞতা</t>
  </si>
  <si>
    <t>Knowledge used to harm the guru—treachery</t>
  </si>
  <si>
    <t>অকৃতজ্ঞ শিষ্য</t>
  </si>
  <si>
    <t>গুরুমারা বিদ্যা২</t>
  </si>
  <si>
    <t>গুরুমারা বিদ্যা (দ্বিতীয়)</t>
  </si>
  <si>
    <t>শিক্ষা নিয়ে শিক্ষকের অহিত</t>
  </si>
  <si>
    <t>Killing the master with his own teaching</t>
  </si>
  <si>
    <t>শিষ্য (বিশ্বাসঘাতক)</t>
  </si>
  <si>
    <t>গুরু মোতে দাঁড়িয়ে তো শিষ্য মোতে পাক দিয়ে</t>
  </si>
  <si>
    <t>গুরু মোটা দাঁড়িয়ে, শিষ্য মোটা পাক দিয়ে</t>
  </si>
  <si>
    <t>গুরু-শিষ্য উভয়েই একই স্বভাব; বা নকল</t>
  </si>
  <si>
    <t>Guru stands fat, disciple whirls fat—both alike</t>
  </si>
  <si>
    <t>গুরুর কথা শোনে না কানে প্রাণ যায় তার হেঁচকা টানে</t>
  </si>
  <si>
    <t>গুরুর কথা কানে না নিলে প্রাণ যায় হেঁচকা টানে</t>
  </si>
  <si>
    <t>উপদেশ না শুনলে জীবনে দুঃখ ভোগ</t>
  </si>
  <si>
    <t>Those who ignore guru's words die in agony—consequences</t>
  </si>
  <si>
    <t>অবাধ্য শিষ্য</t>
  </si>
  <si>
    <t>গুরুর দোষগুলি ব্যক্ত করবে</t>
  </si>
  <si>
    <t>গুরুর দোষ ব্যক্ত করবে না</t>
  </si>
  <si>
    <t>গুরুর দোষ গোপন রাখবে</t>
  </si>
  <si>
    <t>Never expose the guru's faults—respect</t>
  </si>
  <si>
    <t>শিষ্য</t>
  </si>
  <si>
    <t>গৃহ স্থির আগে কর্‌ গৃহিণী স্থির তারপর</t>
  </si>
  <si>
    <t>আগে ঘর ঠিক কর, তারপর গৃহিণী</t>
  </si>
  <si>
    <t>বিয়ের আগে সংসারের বন্দোবস্ত করো</t>
  </si>
  <si>
    <t>First secure a home, then choose a wife—practicality</t>
  </si>
  <si>
    <t>গৃহিণী/স্ত্রী</t>
  </si>
  <si>
    <t>গৃহিণী গৃহমুচ্যতে</t>
  </si>
  <si>
    <t>গৃহিণীর দ্বারাই গৃহ (গৃহ হয়)</t>
  </si>
  <si>
    <t>স্ত্রীই গৃহকে গৃহ করে তোলে</t>
  </si>
  <si>
    <t>The housewife makes the home</t>
  </si>
  <si>
    <t>স্ত্রী (গৃহিণী)</t>
  </si>
  <si>
    <t>নারী/গৃহস্থালি</t>
  </si>
  <si>
    <t>গৃহীত ইব কেশেষু মৃত্যুনা ধর্মমাচরেৎ</t>
  </si>
  <si>
    <t>যেন মৃত্যু চুল চেপে ধরেছে, সেইভাবে ধর্মাচরণ করবে</t>
  </si>
  <si>
    <t>যে কোন মুহূর্তে মৃত্যু হতে পারে ভেবে ধর্ম পালন করবে</t>
  </si>
  <si>
    <t>As if death has grabbed you by the hair, practice righteousness—urgency</t>
  </si>
  <si>
    <t>গেঁয়ো যোগী কল্কে/ভিখ পায় না</t>
  </si>
  <si>
    <t>গেঁয়ো যোগী ভিক্ষা পায় না</t>
  </si>
  <si>
    <t>নিজের এলাকায় গুণীর কদর নেই</t>
  </si>
  <si>
    <t>A village yogi gets no alms—local hero unrecognized</t>
  </si>
  <si>
    <t>যোগী/গুণী</t>
  </si>
  <si>
    <t>গেরস্ত কাওরা (অনুন্নত হিন্দু সম্প্রদায়) শোরে কড়ি</t>
  </si>
  <si>
    <t>গেরস্ত কাওরার কাছে কড়ি</t>
  </si>
  <si>
    <t>অভাবী সম্প্রদায়ের হাতে অর্থ</t>
  </si>
  <si>
    <t>A poor household (Kaora) now has money—sudden wealth</t>
  </si>
  <si>
    <t>দরিদ্র/কাওরা</t>
  </si>
  <si>
    <t>গেরস্তেরে ভূতে পায়, চাল কুটে পিঠে খায়</t>
  </si>
  <si>
    <t>গেরস্তকে ভূতে পেলে চাল কুটে পিঠে খায়</t>
  </si>
  <si>
    <t>অলসকে ভূতে পেলে পরিশ্রমী হয়; ভয় দিয়ে কাজ আদায়</t>
  </si>
  <si>
    <t>If a lazy man gets possessed, he grinds rice and makes cakes—fear compels work</t>
  </si>
  <si>
    <t>গৈর্‌ গুড় পুয়া নহী বনতে হৈ</t>
  </si>
  <si>
    <t>গৈর্ (গুড় নয়) গুড় ছাড়া পুয়া তৈরি হয় না (হিন্দি)</t>
  </si>
  <si>
    <t>মূল উপকরণ ছাড়া কিছু হয় না</t>
  </si>
  <si>
    <t>Without jaggery, no puwa (sweet) can be made—essentials</t>
  </si>
  <si>
    <t>গোঁফ খেজুরে</t>
  </si>
  <si>
    <t>গোঁফ খেজুরে (খেজুরের মতো)</t>
  </si>
  <si>
    <t>বাঁকানো গোঁফ; বা গোঁফওয়ালা লোক</t>
  </si>
  <si>
    <t>Date-palm-like mustache—showy man</t>
  </si>
  <si>
    <t>বাবু/ফুর্তিবাজ</t>
  </si>
  <si>
    <t>আকৃতি</t>
  </si>
  <si>
    <t>গোঁফ দেখলে শিকারী বেড়াল চেনা যায়</t>
  </si>
  <si>
    <t>গোঁফ দেখলে শিকারী বিড়াল চেনা যায়</t>
  </si>
  <si>
    <t>লক্ষণ দেখে গুণী চেনা যায়</t>
  </si>
  <si>
    <t>A hunter cat is known by its whiskers—appearance reveals character</t>
  </si>
  <si>
    <t>গোঁফ নাইকো কোনকালে দাড়ি রেখেছেন তোবড়াগালে</t>
  </si>
  <si>
    <t>কখনো গোঁফ ছিল না, তোবড়া গালে দাড়ি রেখেছেন</t>
  </si>
  <si>
    <t>বেমানান সাজ; অযোগ্যের অনুকরণ</t>
  </si>
  <si>
    <t>Never had a mustache, yet sports a beard on fat cheeks—incongruous</t>
  </si>
  <si>
    <t>বেমানান ব্যক্তি</t>
  </si>
  <si>
    <t>গোঁয়ারের মরণ খোঁয়ারে</t>
  </si>
  <si>
    <t>গোঁয়ার (একরোখা) লোকের মরণ খোঁয়ারে (গর্তে?)</t>
  </si>
  <si>
    <t>একরোখা লোকের পতন হঠাৎ হয়</t>
  </si>
  <si>
    <t>An obstinate man dies in a pit—stubbornness leads to ruin</t>
  </si>
  <si>
    <t>গোকুলের ষাঁড়</t>
  </si>
  <si>
    <t>স্বাধীনচেতা ও স্বেচ্ছাচারী ব্যক্তি</t>
  </si>
  <si>
    <t>The bull of Gokul—free and unruly</t>
  </si>
  <si>
    <t>স্বাধীন/অবাধ্য</t>
  </si>
  <si>
    <t>গোঙ্গা ছেলের নাম তর্কবাগীশ</t>
  </si>
  <si>
    <t>বিপরীত নাম; ব্যঙ্গ</t>
  </si>
  <si>
    <t>A mute boy named 'Debater'—irony</t>
  </si>
  <si>
    <t>অক্ষম/ব্যঙ্গ</t>
  </si>
  <si>
    <t>গোজন্ম ঘুচে গন্ধর্বজন্ম হল</t>
  </si>
  <si>
    <t>নীচ অবস্থা থেকে উচ্চ অবস্থায় উন্নতি</t>
  </si>
  <si>
    <t>From cow-birth to divine birth—ascension</t>
  </si>
  <si>
    <t>উন্নত ব্যক্তি</t>
  </si>
  <si>
    <t>গোড়া কেটে আগায় জল/পানি দেওয়া১</t>
  </si>
  <si>
    <t>মূলে আঘাত করে ডালে পানি—অর্থহীন</t>
  </si>
  <si>
    <t>Cutting the root and watering the top—futile</t>
  </si>
  <si>
    <t>গোড়া কেটে আগায় জল/পানি দেওয়া২</t>
  </si>
  <si>
    <t>গোড়া কেটে আগায় জল দেওয়া (দ্বিতীয়)</t>
  </si>
  <si>
    <t>নষ্টের গোড়া নষ্ট করে সাময়িক উপশম</t>
  </si>
  <si>
    <t>Destroying base and feeding crown—wrong approach</t>
  </si>
  <si>
    <t>গোদা পায়ে আলতা</t>
  </si>
  <si>
    <t>গোদা পায়ে আলতা (লাক্ষার রঙ)</t>
  </si>
  <si>
    <t>কুৎসিত পায়ে সাজ—বেমানান</t>
  </si>
  <si>
    <t>Alta on gouty feet—incongruous adornment</t>
  </si>
  <si>
    <t>কুৎসিত/বেমানান</t>
  </si>
  <si>
    <t>সাজ</t>
  </si>
  <si>
    <t>গোদা পায়ে লাথি১</t>
  </si>
  <si>
    <t>গোদা পায়ে লাথি</t>
  </si>
  <si>
    <t>দুর্বলের উপর অতিরিক্ত আঘাত</t>
  </si>
  <si>
    <t>A kick on a gouty leg—adding pain</t>
  </si>
  <si>
    <t>গোদা বাড়ি, ছাদন দড়ি এখন তুমি কার, যখন যার কাছে থাকি তখন আমি তার</t>
  </si>
  <si>
    <t>গোদা বাড়ি, ছাদন দড়ি; এখন তুমি কার, আমি যার কাছে থাকি আমি তার</t>
  </si>
  <si>
    <t>সুবিধাবাদী; যে আশ্রয় দেয় তার অনুগত</t>
  </si>
  <si>
    <t>Where I stay, I belong—opportunist</t>
  </si>
  <si>
    <t>গোদের ওপর বিষফোঁড়া</t>
  </si>
  <si>
    <t>দুর্ভাগ্যের ওপর আরেক দুর্ভাগ্য</t>
  </si>
  <si>
    <t>A boil on a gout—added misery</t>
  </si>
  <si>
    <t>গোনা গরু বাঘে নেয় না</t>
  </si>
  <si>
    <t>গোনা (নির্দিষ্ট সংখ্যক) গরু বাঘে ধরে না</t>
  </si>
  <si>
    <t>সীমিত সম্পদ বাঘ/বিপদ এড়াতে পারে; হিসাবি জিনিস নিরাপদ</t>
  </si>
  <si>
    <t>A counted cow is not taken by the tiger—tracked assets are safe</t>
  </si>
  <si>
    <t>গোপন কথা গোপন থাকে না</t>
  </si>
  <si>
    <t>কোনো গোপনীয়তা চিরকাল গোপন থাকে না</t>
  </si>
  <si>
    <t>A secret doesn't remain secret—it leaks</t>
  </si>
  <si>
    <t>গোপনকথা তোমার গোলাম; ফাঁস করলে তুমি গোলাম</t>
  </si>
  <si>
    <t>গোপন কথা তোমার গোলাম, ফাঁস করলে তুমি গোলাম</t>
  </si>
  <si>
    <t>গোপন কথা তোমার দাস; প্রকাশ করলে তুমি তার দাস</t>
  </si>
  <si>
    <t>A secret is your slave; if you reveal it, you become its slave</t>
  </si>
  <si>
    <t>গোবর গ্ণেশ</t>
  </si>
  <si>
    <t>গোবর গণেশ</t>
  </si>
  <si>
    <t>নোংরা বা অকেজো ব্যক্তি; গোবরের তৈরি গণেশ মূর্তি</t>
  </si>
  <si>
    <t>Dung Ganesh—a worthless idol or person</t>
  </si>
  <si>
    <t>প্রতিকূল পরিবেশে গুণীর জন্ম; বা নোংরায় সুন্দর</t>
  </si>
  <si>
    <t>Lotus on dung—beauty amidst filth</t>
  </si>
  <si>
    <t>গোবর দিয়ে ঘাস এলানো</t>
  </si>
  <si>
    <t>সার দিয়ে ঘাস চাপা দেওয়া; নোংরা কাজ</t>
  </si>
  <si>
    <t>Covering grass with dung—spreading filth</t>
  </si>
  <si>
    <t>নীচের উচ্চ আশা; অযোগ্যের অভিলাষ</t>
  </si>
  <si>
    <t>A dung beetle craving lotus honey—low desire</t>
  </si>
  <si>
    <t>গোভাগ্য নেই এঁটুলি ভাগ্য আছে</t>
  </si>
  <si>
    <t>গরু ভাগ্য নেই, গোবরের ভাগ্য আছে</t>
  </si>
  <si>
    <t>আসল জিনিস নেই, নকল বা তুচ্ছের ভাগ্য</t>
  </si>
  <si>
    <t>No luck for a cow, but luck for its dung—irony</t>
  </si>
  <si>
    <t>গো-মড়কে মুচির পার্বণ</t>
  </si>
  <si>
    <t>গরু মড়কে মুচির উৎসব</t>
  </si>
  <si>
    <t>একজনের ক্ষতি আরেকজনের লাভ</t>
  </si>
  <si>
    <t>Cattle plague is a festival for the cobbler—one's loss, another's gain</t>
  </si>
  <si>
    <t>মুচি/সুবিধাভোগী</t>
  </si>
  <si>
    <t>গোয়ায় নাই ছাল চামড়া খোদার নামে দেয় সাত দামড়া</t>
  </si>
  <si>
    <t>গোয়ায় (গর্তে) নেই ছাল-চামড়া, খোদার নামে দেয় সাত দামড়া</t>
  </si>
  <si>
    <t>নিজের কিছু নেই, অথচ ভগবানের নামে বড় ভক্তি দেখায়</t>
  </si>
  <si>
    <t>No skin or hide, yet offers seven calves in God's name—empty devotion</t>
  </si>
  <si>
    <t>গোল গর্তে চৌকো পেরেক</t>
  </si>
  <si>
    <t>বেখাপ্পা জিনিস; অমিল</t>
  </si>
  <si>
    <t>A square peg in a round hole—misfit</t>
  </si>
  <si>
    <t>গোলাপ/পদ্ম তুলতে গেলে কাঁটা সইতে হয়</t>
  </si>
  <si>
    <t>গোলাপ তুলতে কাঁটা সইতে হয়</t>
  </si>
  <si>
    <t>সুখ পেতে কষ্ট স্বীকার করতে হয়</t>
  </si>
  <si>
    <t>To pluck a rose, one must bear thorns—no gain without pain</t>
  </si>
  <si>
    <t>গোলাপে আছে কণ্টক, চাঁদে আছে কলঙ্ক</t>
  </si>
  <si>
    <t>গোলাপে কাঁটা, চাঁদে কলঙ্ক</t>
  </si>
  <si>
    <t>কোনো কিছুই নিখুঁত নয়</t>
  </si>
  <si>
    <t>Roses have thorns, the moon has spots—nothing is flawless</t>
  </si>
  <si>
    <t>গোলাপের জাহির নেই</t>
  </si>
  <si>
    <t>গোলাপের জাহির (বাহার) নেই</t>
  </si>
  <si>
    <t>গুণের বাহ্যিক প্রচারের প্রয়োজন হয় না; গুণ আপনা-আপনি প্রকাশ পায়</t>
  </si>
  <si>
    <t>A rose needs no advertisement—virtue speaks for itself</t>
  </si>
  <si>
    <t>গোলেমালে চণ্ডীপাঠ১</t>
  </si>
  <si>
    <t>গোলমালে চণ্ডীপাঠ</t>
  </si>
  <si>
    <t>বিশৃঙ্খলার মধ্যে গুরুতর কাজ; অবহেলা</t>
  </si>
  <si>
    <t>Chandi recitation amid chaos—disorderly</t>
  </si>
  <si>
    <t>গোলেমালে চণ্ডীপাঠ২</t>
  </si>
  <si>
    <t>গোলমালে চণ্ডীপাঠ (দ্বিতীয়)</t>
  </si>
  <si>
    <t>অগোছালো অবস্থায় বড় কাজ</t>
  </si>
  <si>
    <t>Reciting scripture in a mess—inappropriate</t>
  </si>
  <si>
    <t>গৌর হতে বাকি অনেকদিন</t>
  </si>
  <si>
    <t>গৌর (গৌরাঙ্গ) হতে অনেকদিন বাকি</t>
  </si>
  <si>
    <t>কাজ শেষ হতে ঢের দেরি; অথবা চৈতন্য মহাপ্রভুর আবির্ভাবের এখনো বিলম্ব</t>
  </si>
  <si>
    <t>A long way to become Gauranga—much time left</t>
  </si>
  <si>
    <t>গ্রহণ হলে সবাই দেখে</t>
  </si>
  <si>
    <t>অলৌকিক কিছু ঘটলে সবাই দৃষ্টি দেয়</t>
  </si>
  <si>
    <t>When there's an eclipse, everyone watches—rare event attracts attention</t>
  </si>
  <si>
    <t>গ্রহণের চাঁদ</t>
  </si>
  <si>
    <t>অসুন্দর বা ম্লান চেহারা; গ্রহণকালে চাঁদ যেমন কলঙ্কিত</t>
  </si>
  <si>
    <t>An eclipsed moon—ugly or dim face</t>
  </si>
  <si>
    <t>গ্রাম নেই তার আবার সীমানা</t>
  </si>
  <si>
    <t>গ্রাম নেই, তার সীমানা</t>
  </si>
  <si>
    <t>অস্তিত্বহীনের বিভাজন অর্থহীন</t>
  </si>
  <si>
    <t>No village, yet its boundary—non-existent</t>
  </si>
  <si>
    <t>গ্রাম বড় তার মাঝের পাড়া</t>
  </si>
  <si>
    <t>ক্ষুদ্রের মধ্যে বিভাগ; অতিরিক্ত বিভক্তির প্রতি ব্যঙ্গ</t>
  </si>
  <si>
    <t>A big village just for its center—futility</t>
  </si>
  <si>
    <t>গ্রাম তেঘরা, তার উত্তর-দক্ষিণ পাড়া</t>
  </si>
  <si>
    <t>ক্ষুদ্র গ্রামেরও আবার দিগ্বিভাগ—বাড়াবাড়ি</t>
  </si>
  <si>
    <t>Tiny Teghra has north and south quarters—excessive division</t>
  </si>
  <si>
    <t>ঘটকালি করতে গিয়ে বিয়ে করে আসা১</t>
  </si>
  <si>
    <t>ঘটকালি করতে গিয়ে নিজেই বিয়ে করে আসা</t>
  </si>
  <si>
    <t>পরের কাজ করতে গিয়ে নিজেই জড়িয়ে পড়া</t>
  </si>
  <si>
    <t>Went to arrange a match, ended up marrying himself—meddling</t>
  </si>
  <si>
    <t>ঘটক/মধ্যস্থ</t>
  </si>
  <si>
    <t>ঘটকালি করতে গিয়ে বিয়ে করে আসা২</t>
  </si>
  <si>
    <t>ঘটকালি করতে গিয়ে বিয়ে (দ্বিতীয়)</t>
  </si>
  <si>
    <t>অন্যকে সাহায্য করতে গিয়ে বিপদে পড়া</t>
  </si>
  <si>
    <t>Matchmaking led to own marriage—unintended outcome</t>
  </si>
  <si>
    <t>ঘটক</t>
  </si>
  <si>
    <t>ঘট গড়তে পারে না, মেটের/জালার বায়না নেয়১</t>
  </si>
  <si>
    <t>ঘট গড়তে পারে না, মেটের বায়না নেয়</t>
  </si>
  <si>
    <t>অযোগ্য লোক বড় কাজের দায়িত্ব নেয়</t>
  </si>
  <si>
    <t>Cannot make a pot, but takes orders for jars—overpromising</t>
  </si>
  <si>
    <t>অক্ষম/বড়াই</t>
  </si>
  <si>
    <t>ঘট গড়তে পারে না, মেটের/জালার বায়না নেয়২</t>
  </si>
  <si>
    <t>ঘট গড়তে পারে না, জালার বায়না নেয় (দ্বিতীয়)</t>
  </si>
  <si>
    <t>ছোট কাজ অক্ষম, বড় কাজের বরাত</t>
  </si>
  <si>
    <t>Can't shape a pitcher, yet accepts orders for large jars</t>
  </si>
  <si>
    <t>ঘটি কেনা গঙ্গাস্নান</t>
  </si>
  <si>
    <t>একসঙ্গে দুই কাজ; ঘটিও কেনা হলো, গঙ্গাস্নানও হলো</t>
  </si>
  <si>
    <t>Buying a waterpot along with Ganga bath—two tasks at once</t>
  </si>
  <si>
    <t>ঘটি ডোবে না, নামে তালপুকুর</t>
  </si>
  <si>
    <t>অক্ষম জিনিসের বড়াই</t>
  </si>
  <si>
    <t>Pot doesn't sink, yet named 'Talpukur' (deep pond)—grand name</t>
  </si>
  <si>
    <t>ঘটির তলায় দিয়ে আঠা যোগেযাগে কাল কাটা</t>
  </si>
  <si>
    <t>ঘটির তলায় আঠা দিয়ে যোগাযোগে কাল কাটানো</t>
  </si>
  <si>
    <t>ফাঁকি দিয়ে কাজ চালানো; আঠা দিয়ে তলা জোড়া</t>
  </si>
  <si>
    <t>Patching the pot bottom with glue—makeshift repair</t>
  </si>
  <si>
    <t>ফাঁকি</t>
  </si>
  <si>
    <t>ঘটিরাম ডেপুটি</t>
  </si>
  <si>
    <t>অযোগ্য ব্যক্তিকে বড় পদ দেওয়া; উপহাস</t>
  </si>
  <si>
    <t>Ghatiram the Deputy—incompetent promoted</t>
  </si>
  <si>
    <t>অযোগ্য কর্মচারী</t>
  </si>
  <si>
    <t>পদ</t>
  </si>
  <si>
    <t>ঘটে বুদ্ধি নাই</t>
  </si>
  <si>
    <t>ঘটে (মাথায়) বুদ্ধি নেই</t>
  </si>
  <si>
    <t>নির্বোধ; বুদ্ধিহীন</t>
  </si>
  <si>
    <t>No brains in the skull—fool</t>
  </si>
  <si>
    <t>ঘড়িক্‌কে ঘোড়া ছোটা১</t>
  </si>
  <si>
    <t>ঘড়িকে (ঘড়ির কাঁটার মতো) ঘোড়া ছোটা</t>
  </si>
  <si>
    <t>একটানা দৌড়; নিরন্তর পরিশ্রম</t>
  </si>
  <si>
    <t>Running like clockwork—incessant</t>
  </si>
  <si>
    <t>ঘনাম্বুনা রাজপথে হি পিচ্ছিলে ক্বচিদ্‌ বুধৈরপ্যপথেন গম্যতে১</t>
  </si>
  <si>
    <t>ঘন বর্ষায় রাজপথ পিচ্ছিল হলে বুদ্ধিমানেরাও কখনো অপথে যায়</t>
  </si>
  <si>
    <t>বিপদে জ্ঞানীরাও কখনো অসৎ পথ নেয়</t>
  </si>
  <si>
    <t>In heavy rain, even the wise may slip on the royal road—circumstances force</t>
  </si>
  <si>
    <t>জ্ঞানী/বিপদগ্রস্ত</t>
  </si>
  <si>
    <t>ঘনাম্বুনা রাজপথে হি পিচ্ছিলে ক্বচিদ্‌ বুধৈরপ্যপথেন গম্যতে২</t>
  </si>
  <si>
    <t>ঘন বর্ষায় রাজপথ পিচ্ছিল... (দ্বিতীয়)</t>
  </si>
  <si>
    <t>প্রতিকূলতা সৎপথ ছাড়াতে বাধ্য করে</t>
  </si>
  <si>
    <t>Even the wise may stray when the path is slippery</t>
  </si>
  <si>
    <t>ঘন্টা বাজিয়ে দুর্গোৎসব, ইতু পূজায় ঢাক</t>
  </si>
  <si>
    <t>বড় কাজে ছোট আয়োজন; বিপরীত</t>
  </si>
  <si>
    <t>Durga Puja with bells, but Itu puja with drums—mismatched</t>
  </si>
  <si>
    <t>ঘনদুধের ফোঁটা, বড়মাছের কাঁটা</t>
  </si>
  <si>
    <t>ঘন দুধের ফোঁটা, বড় মাছের কাঁটা</t>
  </si>
  <si>
    <t>ভালো জিনিসেরও কিছু অসুবিধা আছে</t>
  </si>
  <si>
    <t>Drops of thick milk, bones of big fish—good things have flaws</t>
  </si>
  <si>
    <t>ঘরও ঢোকে, পাও কাঁপে</t>
  </si>
  <si>
    <t>ঘরে ঢোকে, পা কাঁপে</t>
  </si>
  <si>
    <t>ভয়ে বা দ্বিধায় কাজ শুরু করতে ভয়</t>
  </si>
  <si>
    <t>Enters the house, but legs tremble—hesitation</t>
  </si>
  <si>
    <t>ভীতু</t>
  </si>
  <si>
    <t>ঘরকন্না করতে গেলে ঘটিবাটিতে ঝগড়া/ঠোকাঠুকি হয়</t>
  </si>
  <si>
    <t>ঘরকন্না করতে গেলে ঘটিবাটিতে ঠোকাঠুকি হয়</t>
  </si>
  <si>
    <t>সংসার করলে ছোটখাটো অশান্তি হবেই</t>
  </si>
  <si>
    <t>In household life, pots and pans will clatter—small disputes</t>
  </si>
  <si>
    <t>ঘরকুনোর বিদ্যা হয় না</t>
  </si>
  <si>
    <t>ঘরকুনো (ঘরে বসে থাকা) লোকের বিদ্যা হয় না</t>
  </si>
  <si>
    <t>অভিজ্ঞতা ছাড়া জ্ঞান হয় না</t>
  </si>
  <si>
    <t>A homebody gains no learning—experience needed</t>
  </si>
  <si>
    <t>অলস/গৃহী</t>
  </si>
  <si>
    <t>ঘরকা ভেদী লংকা ঢায়ে</t>
  </si>
  <si>
    <t>ঘরের ভেদী (গোপন তথ্য ফাঁসকারী) লঙ্কা দহন করে</t>
  </si>
  <si>
    <t>ঘরের শত্রু সবচেয়ে বিপজ্জনক; বিভীষণের মতো</t>
  </si>
  <si>
    <t>The insider spy burns Lanka—betrayal from within</t>
  </si>
  <si>
    <t>ঘরকা/কী মুরগী দাল বরাবর</t>
  </si>
  <si>
    <t>ঘরের মুরগি ডালের সমান (হিন্দি)</t>
  </si>
  <si>
    <t>নিজের জিনিসকে তুচ্ছ মনে করা</t>
  </si>
  <si>
    <t>Home chicken equals lentil soup—familiarity makes it ordinary</t>
  </si>
  <si>
    <t>ঘরচোরকে পেরে ওঠা দায়</t>
  </si>
  <si>
    <t>ঘরের চোরকে সামলানো কঠিন</t>
  </si>
  <si>
    <t>অন্তরঙ্গ শত্রুকে বশ করা সহজ নয়</t>
  </si>
  <si>
    <t>The thief within the house is hard to catch—internal enemy</t>
  </si>
  <si>
    <t>অভ্যন্তরীণ শত্রু</t>
  </si>
  <si>
    <t>ঘরচোরের পার নেই</t>
  </si>
  <si>
    <t>ঘরের চোরের কূল নেই</t>
  </si>
  <si>
    <t>যে নিজের ঘর চুরি করে, তার কোনো নীতি নেই</t>
  </si>
  <si>
    <t>A domestic thief has no limit—utterly corrupt</t>
  </si>
  <si>
    <t>ঘরচোর</t>
  </si>
  <si>
    <t>ঘর জামাইয়ের পোড়া মুখ, মরা-বাঁচা সমান সুখ</t>
  </si>
  <si>
    <t>ঘরজামাইয়ের পোড়া মুখ, মরা-বাঁচা সমান</t>
  </si>
  <si>
    <t>ঘরজামাই চির অপমানিত; তার জীবন দুঃখের</t>
  </si>
  <si>
    <t>A live-in son-in-law's burnt face; dead or alive, same misery</t>
  </si>
  <si>
    <t>ঘরজামাই (পুরুষ)</t>
  </si>
  <si>
    <t>ঘর জ্বালানে/নো পর ভুলানে/ভুলানো</t>
  </si>
  <si>
    <t>ঘর জ্বালানো, পর ভুলানো</t>
  </si>
  <si>
    <t>নিজের ঘর নষ্ট করে অপরকে ঠকানো</t>
  </si>
  <si>
    <t>Burning own home to deceive others—self-destructive</t>
  </si>
  <si>
    <t>আত্মঘাতী/প্রতারক</t>
  </si>
  <si>
    <t>ঘরণীীর কাজ কখনও শেষ হয় না</t>
  </si>
  <si>
    <t>গৃহিণীর কাজ কখনো শেষ হয় না</t>
  </si>
  <si>
    <t>নারীর গৃহস্থালির কাজ অন্তহীন</t>
  </si>
  <si>
    <t>A housewife's work is never done</t>
  </si>
  <si>
    <t>লিঙ্গ/শ্রম</t>
  </si>
  <si>
    <t>ঘর থাকতে বাবুই ভেজা</t>
  </si>
  <si>
    <t>ঘর থাকতে বাবুই পাখি ভেজে</t>
  </si>
  <si>
    <t>সুযোগ থাকা সত্ত্বেও কষ্ট ভোগ করা; বোকার মতো</t>
  </si>
  <si>
    <t>Despite having a nest, the weaver bird gets wet—foolish choice</t>
  </si>
  <si>
    <t>ঘরদোর নেইকো যার, আগুনে ভয় কি তার</t>
  </si>
  <si>
    <t>ঘরদোর নেই যার, আগুনে ভয় কী</t>
  </si>
  <si>
    <t>যার কিছু নেই তার হারানোর ভয় নেই</t>
  </si>
  <si>
    <t>One with no house fears no fire—nothing to lose</t>
  </si>
  <si>
    <t>দরিদ্র/নির্ভীক</t>
  </si>
  <si>
    <t>ঘর নেই দোর বাঁধে, বৌ নেই ছেলের জন্য কাঁদে</t>
  </si>
  <si>
    <t>ঘর নেই দরজা বাঁধে, বউ নেই ছেলের জন্য কাঁদে</t>
  </si>
  <si>
    <t>অস্তিত্বহীন বস্তুর জন্য চিন্তা</t>
  </si>
  <si>
    <t>No house but fixes a door; no wife but cries for a son—absurd</t>
  </si>
  <si>
    <t>ঘরপোড়া গরু সিঁদুরে মেঘ দেখলে ভয় পায়</t>
  </si>
  <si>
    <t>পূর্ব অভিজ্ঞতায় ভীত; আতঙ্কিত</t>
  </si>
  <si>
    <t>A burnt cow fears even red clouds—once bitten, twice shy</t>
  </si>
  <si>
    <t>ভীত/অতীতজর্জর</t>
  </si>
  <si>
    <t>ঘর পোড়ার কাঠ</t>
  </si>
  <si>
    <t>যে অপরের ক্ষতি করে, বা গৃহবিবাদ সৃষ্টিকারী</t>
  </si>
  <si>
    <t>Fuel for burning the house—one who brings ruin</t>
  </si>
  <si>
    <t>ধ্বংসকারী</t>
  </si>
  <si>
    <t>ঘর ফাঁদতে দড়ি ঘর বাঁধতে কড়ি</t>
  </si>
  <si>
    <t>ঘর ফাঁদতে দড়ি, ঘর বাঁধতে কড়ি</t>
  </si>
  <si>
    <t>কাজ শুরুতে অল্প, শেষ করতে বেশি ব্যয়</t>
  </si>
  <si>
    <t>To start a house, just a rope; to finish, lots of money—underestimation</t>
  </si>
  <si>
    <t>ঘর বাঁধে ছায় না, ধার দেয় চায় না</t>
  </si>
  <si>
    <t>ঘর বাঁধে কিন্তু ছায়া দেয় না, ধার দেয় কিন্তু ফেরত চায় না</t>
  </si>
  <si>
    <t>যে দোষ লুকায় না বা উপকারীর প্রতিদান চায় না</t>
  </si>
  <si>
    <t>A house that gives no shade, a loan that doesn't ask back—useless</t>
  </si>
  <si>
    <t>ঘরভেদী/শত্রু/সন্ধানী বিভীষণ</t>
  </si>
  <si>
    <t>ঘরভেদী বিভীষণ</t>
  </si>
  <si>
    <t>পরিবারের গোপন তথ্য শত্রুকে জানানো; বিশ্বাসঘাতক</t>
  </si>
  <si>
    <t>Bibhishan the house-spy—traitor within</t>
  </si>
  <si>
    <t>ঘরমুখো বাঙালি, রণমুখো সেপাই</t>
  </si>
  <si>
    <t>বাঙালি ঘরের দিকে, সিপাহি রণের দিকে</t>
  </si>
  <si>
    <t>স্বভাবগত ভিন্নতা; বাঙালি গৃহপ্রিয়, সৈনিক যুদ্ধপ্রিয়</t>
  </si>
  <si>
    <t>Bengali faces home, sepoy faces battle—different natures</t>
  </si>
  <si>
    <t>বাঙালি/সিপাহি</t>
  </si>
  <si>
    <t>ঘরামির ঘর ছেঁদা</t>
  </si>
  <si>
    <t>ঘরামির (রাজমিস্ত্রি) ঘর ছেঁদা</t>
  </si>
  <si>
    <t>নিজের কাজ নিজের বেলায় অবহেলিত; পরেরটা করে</t>
  </si>
  <si>
    <t>The mason's own house leaks—cobbler's children are worst shod</t>
  </si>
  <si>
    <t>কারিগর</t>
  </si>
  <si>
    <t>ঘরে আওয়ে অন্‌ঘেরী বাত কহে বনায়, জানিও পুরৌ বৈরী</t>
  </si>
  <si>
    <t>ঘরে আসে অন্ধকার, বাতাস বলে চেনো; জেনো পুরনো শত্রু</t>
  </si>
  <si>
    <t>লক্ষণ দেখে সতর্ক হও; পুরনো শত্রু বিপদ ডেকে আনে</t>
  </si>
  <si>
    <t>Darkness enters the house; know it as an old enemy—warning signs</t>
  </si>
  <si>
    <t>ঘরে চাল নেই ভাতে ভাত রাঁধো</t>
  </si>
  <si>
    <t>ঘরে চাল নেই, ভাতে ভাত রাঁধো</t>
  </si>
  <si>
    <t>যে উপকরণ নেই তা দিয়ে কাজ করার আজ্ঞা—অবাস্তব</t>
  </si>
  <si>
    <t>No rice at home, yet cook rice with rice—impossible</t>
  </si>
  <si>
    <t>মূর্খ/পাগল</t>
  </si>
  <si>
    <t>অবাস্তব</t>
  </si>
  <si>
    <t>ঘরে ছুঁচোর কেত্তন, বাইরে কোঁচার পত্তন</t>
  </si>
  <si>
    <t>ঘরে ছুঁচোর কীর্তন, বাইরে কোঁচার পত্তন</t>
  </si>
  <si>
    <t>ঘরে অশান্তি, বাইরে আড়ম্বর</t>
  </si>
  <si>
    <t>Inside, a mouse's uproar; outside, grand preparations—false show</t>
  </si>
  <si>
    <t>ঘরে নেই দশটি পথেপথে কষ্টি১</t>
  </si>
  <si>
    <t>ঘরে নেই দশটা, পথে পথে কষ্টি (টাকা?)</t>
  </si>
  <si>
    <t>ঘরে অন্ন নেই, কিন্তু বাইরে বড়াই</t>
  </si>
  <si>
    <t>No ten at home, but stones on the road—destitute yet proud</t>
  </si>
  <si>
    <t>গরিব/বড়াই</t>
  </si>
  <si>
    <t>ঘরে নেই ভাজাভুজা, নিত্য করেন গোঁসাই পূজা</t>
  </si>
  <si>
    <t>ঘরে নেই ভাজাভুজা (খাবার), নিত্য গোঁসাই পূজা</t>
  </si>
  <si>
    <t>অন্নাভাবেও ভগবানের আরাধনা; ভক্তির বাড়াবাড়ি</t>
  </si>
  <si>
    <t>No fried food at home, yet daily worship—empty devotion</t>
  </si>
  <si>
    <t>ঘরে নেই যা, বাছা মাগে তা।</t>
  </si>
  <si>
    <t>ঘরে যা নেই, সন্তান তাই চায়</t>
  </si>
  <si>
    <t>সন্তান বাস্তবতা বোঝে না; অসম্ভব আবদার</t>
  </si>
  <si>
    <t>What's not at home, the child demands—unreasonable</t>
  </si>
  <si>
    <t>শিশু/সন্তান</t>
  </si>
  <si>
    <t>ঘরে বসে কেল্লামারা</t>
  </si>
  <si>
    <t>ঘরে বসে কেল্লা মারা</t>
  </si>
  <si>
    <t>ঘরে বসে বিরাট কাজ করার দাবি; অলসের বড়াই</t>
  </si>
  <si>
    <t>Capturing a fort while sitting at home—idle boast</t>
  </si>
  <si>
    <t>অলস/বড়াই</t>
  </si>
  <si>
    <t>ঘরে বসে পুছে বাত তার ঘরে হা ভাত- খনা</t>
  </si>
  <si>
    <t>ঘরে বসে বাতাস মুছে, তার ঘরে অভাব</t>
  </si>
  <si>
    <t>অলস ঘরে বসে কিছু না করে, ফলে দারিদ্র্য</t>
  </si>
  <si>
    <t>Wiping the wind at home, and starving—idleness breeds poverty</t>
  </si>
  <si>
    <t>ঘরে বসে কেল্লা মারা (পুনরুক্তি)</t>
  </si>
  <si>
    <t>কাজ না করে বড়াই</t>
  </si>
  <si>
    <t>Capturing fort from home—talk big</t>
  </si>
  <si>
    <t>ঘরে বসে রাজা উজির মারা</t>
  </si>
  <si>
    <t>ঘরে বসে রাজা উজির মারেন</t>
  </si>
  <si>
    <t>কাজ না করে কথায় বীরত্ব</t>
  </si>
  <si>
    <t>Killing kings and ministers while sitting at home—armchair warrior</t>
  </si>
  <si>
    <t>বাচাল/অলস</t>
  </si>
  <si>
    <t>ঘরে ভাত নেই, দ্বারে বাহারী পর্দা</t>
  </si>
  <si>
    <t>ঘরে ভাত নেই, দরজায় জমকালো পর্দা</t>
  </si>
  <si>
    <t>অভাব ঢাকতে বাহ্যিক আড়ম্বর</t>
  </si>
  <si>
    <t>No food inside, but a fancy curtain at the door—sham</t>
  </si>
  <si>
    <t>দরিদ্র/ভান</t>
  </si>
  <si>
    <t>ঘরে ভাত না থাকলে শালগ্রামের সোনা বেচে খায়</t>
  </si>
  <si>
    <t>ঘরে ভাত না থাকলে শালগ্রামের সোনা বিক্রি করে খায়</t>
  </si>
  <si>
    <t>প্রচণ্ড অভাবে পবিত্র বস্তুও বেচতে বাধ্য</t>
  </si>
  <si>
    <t>If there's no rice, one sells the sacred Shaligram's gold—desperation</t>
  </si>
  <si>
    <t>ঘরের ইঁদুর বাঁশ কাটলে ধরে রাখে কে?</t>
  </si>
  <si>
    <t>ঘরের ইঁদুর বাঁশ কাটলে কে আটকাবে?</t>
  </si>
  <si>
    <t>অভ্যন্তরীণ শত্রুই সবচেয়ে ক্ষতিকর; তাকে থামানো দায়</t>
  </si>
  <si>
    <t>If the house rat chews the bamboo, who can stop it?—internal damage</t>
  </si>
  <si>
    <t>ঘরের খেয়ে বনের মোষ তাড়ায়</t>
  </si>
  <si>
    <t>নিজের ভরণপোষণ নিয়ে পরের কাজ করে</t>
  </si>
  <si>
    <t>Eating at home and chasing wild buffalo—serving others at own cost</t>
  </si>
  <si>
    <t>পরার্থপর</t>
  </si>
  <si>
    <t>ঘরের দরজা খোলা পেলে সাধুও চোর হয়</t>
  </si>
  <si>
    <t>সুযোগ পেলে সবাই লোভী হয়</t>
  </si>
  <si>
    <t>If the door is open, even a saint turns thief—opportunity makes the thief</t>
  </si>
  <si>
    <t>ঘরের ঢেঁকির কুমির হওয়া</t>
  </si>
  <si>
    <t>ঘরের লোক হয়েই শত্রুতা করা; বিপজ্জনক হওয়া</t>
  </si>
  <si>
    <t>Becoming a crocodile in one's own homestead—domestic tyrant</t>
  </si>
  <si>
    <t>গৃহশত্রু</t>
  </si>
  <si>
    <t>ঘরের মধ্যে ঘর, সবাই মাতব্বর/হাওলাদার</t>
  </si>
  <si>
    <t>ঘরের মধ্যে ঘর, সবাই মাতব্বর</t>
  </si>
  <si>
    <t>ছোট জায়গায় বহু কর্তা; বিশৃঙ্খলা</t>
  </si>
  <si>
    <t>Rooms within room, all are headmen—too many chiefs</t>
  </si>
  <si>
    <t>অনেক কর্তা</t>
  </si>
  <si>
    <t>ঘরের মা ভাত পায় না, পরের জন্য মাথাব্যথা</t>
  </si>
  <si>
    <t>নিজের অভাব থাকতেও পরের চিন্তা</t>
  </si>
  <si>
    <t>Own mother starves, yet worry for strangers—misplaced priority</t>
  </si>
  <si>
    <t>ঘরের লক্ষ্মী পায়ে ঠেলা</t>
  </si>
  <si>
    <t>ঘরের লক্ষ্মীকে পায়ে ঠেলা</t>
  </si>
  <si>
    <t>নিজের স্ত্রী বা সম্মানীয় নারীকে অপমান করা</t>
  </si>
  <si>
    <t>Kicking the household Lakshmi—disrespecting own wife</t>
  </si>
  <si>
    <t>লক্ষ্মী (স্ত্রী)</t>
  </si>
  <si>
    <t>ঘরের শত্রু বরযাত্র</t>
  </si>
  <si>
    <t>ঘরের শত্রু বরযাত্র (বরপক্ষ)</t>
  </si>
  <si>
    <t>আত্মীয় হয়েও শত্রুর মতো আচরণ; বরযাত্রীরা আদর পেয়েও বাড়াবাড়ি করে</t>
  </si>
  <si>
    <t>The wedding party is the house's enemy—guests turn foes</t>
  </si>
  <si>
    <t>ঘরের ষাঁড়ে পেট ফাঁড়ে</t>
  </si>
  <si>
    <t>নিজের লোকই বেশি ক্ষতি করে</t>
  </si>
  <si>
    <t>The home bull rips the stomach—internal threat</t>
  </si>
  <si>
    <t>আত্মীয়/বিশ্বাসঘাতক</t>
  </si>
  <si>
    <t>ঘর্ষণবিনা রত্ন উজ্বল হয় হয় না, কষ্টবিনা মানুষ সম্পূর্ণ হয় না। কনফুসিয়াস</t>
  </si>
  <si>
    <t>ঘর্ষণ ছাড়া রত্ন উজ্জ্বল হয় না, কষ্ট ছাড়া মানুষ পূর্ণ হয় না</t>
  </si>
  <si>
    <t>কষ্টই মানুষকে গড়ে</t>
  </si>
  <si>
    <t>Without friction, a gem doesn't shine; without hardship, man isn't perfected</t>
  </si>
  <si>
    <t>ঘষতে ঘষতে পাথরও ক্ষয় হয়</t>
  </si>
  <si>
    <t>অনুশীলনে কঠিনও নরম হয়; অধ্যবসায়ে সফলতা</t>
  </si>
  <si>
    <t>Even stone erodes by constant rubbing—persistence</t>
  </si>
  <si>
    <t>অধ্যয়ন</t>
  </si>
  <si>
    <t>ঘষে মেজে রূপ ধরে বেঁধে সোহাগ</t>
  </si>
  <si>
    <t>ঘষে মেজে রূপ ধরে, বেঁধে সোহাগ</t>
  </si>
  <si>
    <t>পরিশ্রম করে সৌন্দর্য বাড়িয়ে ভালোবাসা পাওয়া</t>
  </si>
  <si>
    <t>Polishing to shine and binding love—effort to please</t>
  </si>
  <si>
    <t>ঘাট পার হলে খেওয়ানি শালা</t>
  </si>
  <si>
    <t>ঘাট পার হলে খেওয়ানি (মাঝি) শালা</t>
  </si>
  <si>
    <t>বিপদ কেটে গেলে উপকারীকে তুচ্ছ জ্ঞান</t>
  </si>
  <si>
    <t>After crossing the river, call the boatman 'brother-in-law'—insult</t>
  </si>
  <si>
    <t>ঘাড়ে ভূত চেপেছে</t>
  </si>
  <si>
    <t>অত্যধিক জেদ বা বাতিক চেপেছে</t>
  </si>
  <si>
    <t>A ghost riding on the neck—obsessed</t>
  </si>
  <si>
    <t>জেদী</t>
  </si>
  <si>
    <t>ঘাম দিয়ে জ্বর ছাড়া</t>
  </si>
  <si>
    <t>প্রচুর পরিশ্রম করে বিপদ কাটানো; জ্বর ঘাম দিয়ে ছাড়ে</t>
  </si>
  <si>
    <t>Breaking a fever by sweating—effort cures</t>
  </si>
  <si>
    <t>ঘা শুকালেও চিহ্ন থাকে</t>
  </si>
  <si>
    <t>ক্ষত শুকালেও দাগ থাকে</t>
  </si>
  <si>
    <t>দুঃখের চিহ্ন সহজে মুছে না</t>
  </si>
  <si>
    <t>Even after healing, a wound leaves a scar</t>
  </si>
  <si>
    <t>ঘায়েই মাছি বসে</t>
  </si>
  <si>
    <t>ঘায়ে মাছি বসে</t>
  </si>
  <si>
    <t>দুর্বলতার জায়গায় আঘাত আসে</t>
  </si>
  <si>
    <t>Flies settle on the wound—weakness attracts trouble</t>
  </si>
  <si>
    <t>ঘি আদুড়/আদুল ঘোল ঢাকা</t>
  </si>
  <si>
    <t>ঘি আদুল (ঢাকা?) ঘোল ঢাকা</t>
  </si>
  <si>
    <t>মূল্যবান জিনিস তুচ্ছের আড়ালে লুকানো</t>
  </si>
  <si>
    <t>Ghee hidden under buttermilk—treasure concealed</t>
  </si>
  <si>
    <t>ঘি ঢাললেও/মালিশ করলেও কুকুরের লেজ সোজা হয় না</t>
  </si>
  <si>
    <t>ঘি ঢাললেও কুকুরের লেজ সোজা হয় না</t>
  </si>
  <si>
    <t>মন্দ স্বভাব বদলানো যায় না</t>
  </si>
  <si>
    <t>Even ghee cannot straighten a dog's tail—nature unchanging</t>
  </si>
  <si>
    <t>মন্দ স্বভাব</t>
  </si>
  <si>
    <t>ঘি দিয়ে ভাজো নিমের পাতা, তবু যায় না জাতের জাতা</t>
  </si>
  <si>
    <t>ঘি দিয়ে ভাজলেও নিম পাতার তিক্ততা যায় না</t>
  </si>
  <si>
    <t>স্বভাবগত দোষ যায় না</t>
  </si>
  <si>
    <t>Fry neem leaves in ghee, still bitterness stays—inherent nature</t>
  </si>
  <si>
    <t>ঘি-ঘাত খেয়ে মুখ পুড়লো</t>
  </si>
  <si>
    <t>ঘি-ঘাত (গরম ঘি) খেয়ে মুখ পুড়ল</t>
  </si>
  <si>
    <t>সতর্ক না হলে সুখও কষ্ট দেয়</t>
  </si>
  <si>
    <t>Burned mouth by hot ghee—even good things harm if careless</t>
  </si>
  <si>
    <t>ঘুঁটেকুড়ুনির ছেলের নাম চন্দনবিলাস/পদ্মপলাশ</t>
  </si>
  <si>
    <t>ঘুঁটে কুড়ানির ছেলের নাম চন্দনবিলাস/পদ্মপলাশ</t>
  </si>
  <si>
    <t>অবস্থার সাথে নামের অসামঞ্জস্য; ব্যঙ্গ</t>
  </si>
  <si>
    <t>A dung-gatherer's son named Sandalwood or Lotus—irony</t>
  </si>
  <si>
    <t>ঘুঁটে পোড়ে গোবর হাসে; তোমার একদিন আছে শেষে</t>
  </si>
  <si>
    <t>ঘুঁটে (গোবর শুকনো) পোড়ে, গোবর হাসে; তোমারও একদিন শেষ আছে</t>
  </si>
  <si>
    <t>একে অপরকে উপহাস; সবার একদিন পতন হবে</t>
  </si>
  <si>
    <t>Dried dung burns, fresh dung laughs—your turn will come</t>
  </si>
  <si>
    <t>ঘুঘু দেখেছ ফাঁদ দেখনি১</t>
  </si>
  <si>
    <t>ঘুঘু (পাখি) দেখেছ, ফাঁদ দেখনি</t>
  </si>
  <si>
    <t>শুধু লাভ দেখে, বিপদ বোঝো নি</t>
  </si>
  <si>
    <t>You've seen the dove, not the trap—only the reward</t>
  </si>
  <si>
    <t>অসতর্কতা</t>
  </si>
  <si>
    <t>ঘুঘু দেখেছ ফাঁদ দেখনি২</t>
  </si>
  <si>
    <t>ঘুঘু দেখেছ ফাঁদ দেখনি (দ্বিতীয়)</t>
  </si>
  <si>
    <t>পরিণতি না ভেবে লোভ</t>
  </si>
  <si>
    <t>Seen the bird, not the snare</t>
  </si>
  <si>
    <t>ঘুঘু দেখেছ ফাঁদ দেখনি৩</t>
  </si>
  <si>
    <t>ঘুঘু দেখেছ ফাঁদ দেখনি (তৃতীয়)</t>
  </si>
  <si>
    <t>ফল পাবার আগে বিপদ</t>
  </si>
  <si>
    <t>Dove seen, trap unseen</t>
  </si>
  <si>
    <t>ঘুম নাই যোগীর আর রোগীর</t>
  </si>
  <si>
    <t>ঘুম নেই যোগীর আর রোগীর</t>
  </si>
  <si>
    <t>জাগ্রত অবস্থায় থাকতে হয়; যোগী ও রোগী নির্ঘুম</t>
  </si>
  <si>
    <t>No sleep for a yogi or a patient—both restless</t>
  </si>
  <si>
    <t>যোগী/রোগী</t>
  </si>
  <si>
    <t>ঘুমন্ত কুকুরকে জাগিয়ো না</t>
  </si>
  <si>
    <t>পুরনো সমস্যাকে চাঙা করো না</t>
  </si>
  <si>
    <t>Don't wake a sleeping dog—let sleeping dogs lie</t>
  </si>
  <si>
    <t>ঘুমন্ত বাঘ শিকার ধরে না</t>
  </si>
  <si>
    <t>অলস বা নিষ্ক্রিয় ব্যক্তি কিছু অর্জন করতে পারে না</t>
  </si>
  <si>
    <t>A sleeping tiger catches no prey</t>
  </si>
  <si>
    <t>ঘুমিয়ে আছে শিশুর পিতা সব শিশুদের অন্তরে -সেক্সপিয়ার</t>
  </si>
  <si>
    <t>শিশুর পিতা সব শিশুর অন্তরে ঘুমিয়ে আছে</t>
  </si>
  <si>
    <t>প্রত্যেক শিশুর মধ্যে তার পিতার গুণাবলী সুপ্ত</t>
  </si>
  <si>
    <t>The father sleeps within every child</t>
  </si>
  <si>
    <t>পিতা/শিশু</t>
  </si>
  <si>
    <t>ঘুষ পেলে আমলা/পুলিশ তুষ্ট</t>
  </si>
  <si>
    <t>ঘুষ পেলে আমলা/পুলিশ সন্তুষ্ট</t>
  </si>
  <si>
    <t>অর্থ দিলে সরকারি কর্মচারী বশ</t>
  </si>
  <si>
    <t>Bribe makes the official/police happy—corruption</t>
  </si>
  <si>
    <t>আমলা/পুলিশ</t>
  </si>
  <si>
    <t>দুর্নীতি</t>
  </si>
  <si>
    <t>ঘৃণায় ঘৃণা বাড়ে</t>
  </si>
  <si>
    <t>বিদ্বেষে বিদ্বেষ বাড়ে; মন্দের প্রতিক্রিয়া মন্দ</t>
  </si>
  <si>
    <t>Hatred breeds hatred</t>
  </si>
  <si>
    <t>ঘৃতকুম্ভ সমা নারী তপ্তাঙ্গারসমঃ পুমান্</t>
  </si>
  <si>
    <t>ঘৃতের কলসির মতো নারী, জ্বলন্ত অঙ্গারের মতো পুরুষ</t>
  </si>
  <si>
    <t>স্ত্রী শীতল ও কোমল, পুরুষ উগ্র ও তেজস্বী</t>
  </si>
  <si>
    <t>Woman is like a pot of ghee, man like burning charcoal—cool vs hot</t>
  </si>
  <si>
    <t>ঘেউ-ঘেউ করা কুকুর কামড়ায় না বা কদাচিৎ কামড়ায়</t>
  </si>
  <si>
    <t>ঘেউ ঘেউ করা কুকুর কামড়ায় না</t>
  </si>
  <si>
    <t>যে বেশি শোরগোল করে সে কাজে অক্ষম</t>
  </si>
  <si>
    <t>A barking dog seldom bites</t>
  </si>
  <si>
    <t>ঘেয়ো কাঁঠালের মুচি খদ্দের</t>
  </si>
  <si>
    <t>ঘেয়ো (গন্ধযুক্ত) কাঁঠালের মুচি (জুতো বিক্রেতা) খদ্দের</t>
  </si>
  <si>
    <t>খারাপ জিনিসেরও ক্রেতা আছে; পছন্দ ভিন্ন</t>
  </si>
  <si>
    <t>Even a smelly jackfruit has a cobbler customer—every product has a buyer</t>
  </si>
  <si>
    <t>চাহিদা</t>
  </si>
  <si>
    <t>ঘোড়া চিনি কানে, ছাগল চিনি বিয়ানে; যোগী চিনি ধ্যানে আর নাপতের পুত রাজা হইছেন হলে তার চিনি দানে</t>
  </si>
  <si>
    <t>ঘোড়া চিনি কানে, ছাগল চিনি বিয়ানে; যোগী ধ্যানে, নাপিতের পুত রাজা হলে দানে</t>
  </si>
  <si>
    <t>প্রত্যেকের পরিচয়ের নিজস্ব উপায়</t>
  </si>
  <si>
    <t>Know a horse by its ear, a goat by its kid; a yogi by meditation, a barber's son turned king by his charity</t>
  </si>
  <si>
    <t>ঘোড়া চিনি কানে, দাতা চিনি দানে; মানুষ চিনি হালে, মণি চিনি জলে</t>
  </si>
  <si>
    <t>ঘোড়া চিনি কানে, দাতা দানে; মানুষ চিনি স্বভাবে, মণি জলে</t>
  </si>
  <si>
    <t>প্রকৃত পরিচয়ের নির্দিষ্ট পদ্ধতি</t>
  </si>
  <si>
    <t>Horse by ear, giver by gift; man by nature, gem by water</t>
  </si>
  <si>
    <t>ঘোড়া ডিঙিয়ে ঘাস খাওয়া</t>
  </si>
  <si>
    <t>মধ্যস্থতাকারীকে অতিক্রম করে সরাসরি কাজ; নিয়ম লঙ্ঘন</t>
  </si>
  <si>
    <t>Eating grass by bypassing the horse—ignoring the intermediary</t>
  </si>
  <si>
    <t>নিয়মভঙ্গ</t>
  </si>
  <si>
    <t>ঘোড়া থাকলে চাবুকের ভাবনা</t>
  </si>
  <si>
    <t>ঘোড়া থাকলে চাবুকের চিন্তা</t>
  </si>
  <si>
    <t>মূল জিনিস থাকলে সহায়ক জিনিসের ভাবনা পরে</t>
  </si>
  <si>
    <t>If you have a horse, think of the whip—accessories later</t>
  </si>
  <si>
    <t>ঘোড়া দেখে খোঁড়া</t>
  </si>
  <si>
    <t>ঘোড়া দেখে খোঁড়া (ঠোঁড়া?)</t>
  </si>
  <si>
    <t>সুযোগ বুঝে চলা; বা পরের সম্পদ দেখে নিজেকে হীন ভাবা</t>
  </si>
  <si>
    <t>Seeing a horse, the lame man feels inferior—envy</t>
  </si>
  <si>
    <t>ঈর্ষাপরায়ণ</t>
  </si>
  <si>
    <t>ঘোড়া ভেড়ার একদর</t>
  </si>
  <si>
    <t>ঘোড়া আর ভেড়ার সমান দাম</t>
  </si>
  <si>
    <t>Horse and sheep at the same price—no discrimination</t>
  </si>
  <si>
    <t>ঘোড়ার আগে গাড়ী জুতা</t>
  </si>
  <si>
    <t>ঘোড়ার আগে গাড়ি জোতা</t>
  </si>
  <si>
    <t>উল্টো কাজ; গাড়ির আগে ঘোড়া জোতা হয় না</t>
  </si>
  <si>
    <t>Putting the cart before the horse—reversed order</t>
  </si>
  <si>
    <t>ঘোড়ার আস্তাবলে ভেড়া ঢোকা</t>
  </si>
  <si>
    <t>বেখাপ্পা জিনিসের অনুপ্রবেশ</t>
  </si>
  <si>
    <t>A sheep entering a horse stable—out of place</t>
  </si>
  <si>
    <t>বেখাপ্পা</t>
  </si>
  <si>
    <t>ঘোড়ার ঘাস কাটা</t>
  </si>
  <si>
    <t>নিরর্থক কাজ; বা বাহুল্য</t>
  </si>
  <si>
    <t>Cutting grass for a horse—endless chore</t>
  </si>
  <si>
    <t>ঘোড়ার পেট, গাধার পিঠ, খালি থাকে কদাচিৎ</t>
  </si>
  <si>
    <t>ঘোড়ার পেট, গাধার পিঠ—খালি থাকে না</t>
  </si>
  <si>
    <t>পরিশ্রমী প্রাণীর সব সময় কাজ থাকে; অলস নয়</t>
  </si>
  <si>
    <t>Horse's belly, donkey's back—rarely empty</t>
  </si>
  <si>
    <t>ঘোমটার নীচে খেমটা নাচ১</t>
  </si>
  <si>
    <t>ঘোমটার নীচে খেমটা নাচ</t>
  </si>
  <si>
    <t>লুকিয়ে বাজে কাজ করা; বাহ্যিক সাধুতার ভান</t>
  </si>
  <si>
    <t>Dancing khemta behind the veil—secret vice</t>
  </si>
  <si>
    <t>নারী (ঘোমটাওয়ালি)</t>
  </si>
  <si>
    <t>ঘোমটার নীচে খেমটা নাচ২</t>
  </si>
  <si>
    <t>ঘোমটার নীচে খেমটা নাচ (দ্বিতীয়)</t>
  </si>
  <si>
    <t>সতীত্বের আড়ালে অসৎ কাজ</t>
  </si>
  <si>
    <t>Khemta dance under the veil—hypocrisy</t>
  </si>
  <si>
    <t>ঘোর কলিকাল</t>
  </si>
  <si>
    <t>ঘোর কলিকাল (ভয়ানক কলিযুগ)</t>
  </si>
  <si>
    <t>খারাপ সময়; অধর্মের প্রাধান্য</t>
  </si>
  <si>
    <t>Terrible Kali Yuga—dark times</t>
  </si>
  <si>
    <t>ঘোল, কুল, কলা- তিনে নাশে গলা</t>
  </si>
  <si>
    <t>ঘোল, কুল, কলা—এই তিনে গলা নষ্ট</t>
  </si>
  <si>
    <t>এই তিন জিনিস গলার জন্য ক্ষতিকর</t>
  </si>
  <si>
    <t>Buttermilk, jujube, banana—three ruin the throat</t>
  </si>
  <si>
    <t>ঘোল খাবে রামা কড়ি দেবে শ্যামা</t>
  </si>
  <si>
    <t>ঘোল খাবে রামা, কড়ি দেবে শ্যামা</t>
  </si>
  <si>
    <t>একজন ভোগ করে, অন্যজন মূল্য দেয়; অবিচার</t>
  </si>
  <si>
    <t>Rama drinks the buttermilk, Shyama pays—one enjoys, other pays</t>
  </si>
  <si>
    <t>ঘোল চাইতে গিয়ে পিছনে ভাঁড়</t>
  </si>
  <si>
    <t>ঘোল চাইতে গিয়ে পিছনে ভাঁড় (পাত্র)</t>
  </si>
  <si>
    <t>সামান্য চাইতে গিয়ে বড় জিনিস হারানো</t>
  </si>
  <si>
    <t>Asking for buttermilk and losing the pot—misfortune</t>
  </si>
  <si>
    <t>ঘোলা জলে মাছ ধরা</t>
  </si>
  <si>
    <t>বিশৃঙ্খলার সুযোগে লাভ তোলা</t>
  </si>
  <si>
    <t>Fishing in muddy water—profiting from chaos</t>
  </si>
  <si>
    <t>ঘোলা জলে মাছ ধরাটা মুখ্য যাদের ধর্ম, তারা পারে না করতে, নেইকো এমন কর্ম।</t>
  </si>
  <si>
    <t>ঘোলা জলে মাছ ধরা যাদের ধর্ম, তারা পারে না করতে, এমন কর্ম নেই</t>
  </si>
  <si>
    <t>যারা অসাধু, তারা সব কিছুই করতে পারে</t>
  </si>
  <si>
    <t>Those whose religion is to fish in troubled water, there is nothing they can't do</t>
  </si>
  <si>
    <t>অসাধু</t>
  </si>
  <si>
    <t>বাহ্যিক রূপ দেখে গুণ বিচার করা যায় না</t>
  </si>
  <si>
    <t>চক্রবৎ পরিবর্তন্তে সুখানি চ দুঃখানি চ</t>
  </si>
  <si>
    <t>সুখ-দুঃখ চক্রের মতো ঘুরতে থাকে</t>
  </si>
  <si>
    <t>ভাগ্য চিরস্থায়ী নয়</t>
  </si>
  <si>
    <t>Pleasure and pain revolve like a wheel—cyclical</t>
  </si>
  <si>
    <t>চক্ষুকর্ণের বিবাদভঞ্জন</t>
  </si>
  <si>
    <t>চোখ ও কানের বিবাদ ভঞ্জন</t>
  </si>
  <si>
    <t>পরস্পর বিরোধ মীমাংসা; একটি ঘটনার দুই রকম দেখা</t>
  </si>
  <si>
    <t>Settling the dispute between eye and ear—reconciling</t>
  </si>
  <si>
    <t>চক্ষু থাকতে কানা</t>
  </si>
  <si>
    <t>চোখ থাকতে অন্ধ</t>
  </si>
  <si>
    <t>জেনেশুনে অবহেলা করা; ইচ্ছাকৃত অজ্ঞতা</t>
  </si>
  <si>
    <t>Blind despite having eyes—willful ignorance</t>
  </si>
  <si>
    <t>চক্ষুদোষে সব হলদে</t>
  </si>
  <si>
    <t>চক্ষুর দোষে সব হলুদ দেখা</t>
  </si>
  <si>
    <t>নিজের দৃষ্টিদোষে জগৎকে দোষী ভাবা</t>
  </si>
  <si>
    <t>With jaundiced eye, all appears yellow—biased view</t>
  </si>
  <si>
    <t>চক্ষু বুজলেই অন্ধকার</t>
  </si>
  <si>
    <t>চোখ বন্ধ করলেই অন্ধকার</t>
  </si>
  <si>
    <t>সত্য ঢাকলেও সত্য থেকে যায়; না দেখলে অন্ধকার</t>
  </si>
  <si>
    <t>Closing eyes brings darkness—reality doesn't change</t>
  </si>
  <si>
    <t>চক্ষু বুজলেই/মুদলেই প্রলয় বন্ধ হয় না১</t>
  </si>
  <si>
    <t>চোখ বুজলেই প্রলয় থামে না</t>
  </si>
  <si>
    <t>বিপদ উপেক্ষা করলে থামে না</t>
  </si>
  <si>
    <t>Shutting eyes doesn't stop the cataclysm</t>
  </si>
  <si>
    <t>চক্ষু বুজলেই/মুদলেই প্রলয় বন্ধ হয় না২</t>
  </si>
  <si>
    <t>চোখ বুজলেই প্রলয় থামে না (দ্বিতীয়)</t>
  </si>
  <si>
    <t>অস্বীকার করলে বিপদ যায় না</t>
  </si>
  <si>
    <t>Closing eyes won't halt the apocalypse</t>
  </si>
  <si>
    <t>চক্ষুলজ্জার মাথা খাওয়া</t>
  </si>
  <si>
    <t>চক্ষুলজ্জা (লজ্জার চোখ) মাথা খাওয়া</t>
  </si>
  <si>
    <t>নির্লজ্জ; লজ্জাহীন</t>
  </si>
  <si>
    <t>Eating the head of modesty—shameless</t>
  </si>
  <si>
    <t>চক্ষু সবকিছু দেখে শুধু নিজেকে দেখতে পায় না১</t>
  </si>
  <si>
    <t>চোখ সব দেখে, কিন্তু নিজেকে দেখতে পায় না</t>
  </si>
  <si>
    <t>নিজের দোষ দেখা যায় না</t>
  </si>
  <si>
    <t>Eyes see everything but themselves—lack of self-awareness</t>
  </si>
  <si>
    <t>চক্ষু সবকিছু দেখে শুধু নিজেকে দেখতে পায় না২</t>
  </si>
  <si>
    <t>চোখ নিজেকে দেখতে পায় না (দ্বিতীয়)</t>
  </si>
  <si>
    <t>আত্মসমালোচনা কঠিন</t>
  </si>
  <si>
    <t>The eye cannot see itself</t>
  </si>
  <si>
    <t>চক্ষে চক্ষে যতক্ষণ প্রাণ পোড়ে ততক্ষণ</t>
  </si>
  <si>
    <t>চোখে চোখে যতক্ষণ, প্রাণ জ্বলে ততক্ষণ</t>
  </si>
  <si>
    <t>প্রিয়জনের সামনে থাকলে হৃদয় জ্বলে</t>
  </si>
  <si>
    <t>As long as eye meets eye, the heart burns—passion</t>
  </si>
  <si>
    <t>চক্ষে দেখলে শুনতে চায় এমন নির্বোধ আছে কোথায়?</t>
  </si>
  <si>
    <t>চোখে দেখেও শুনতে চায়, এমন বোকা কোথায়?</t>
  </si>
  <si>
    <t>প্রত্যক্ষ প্রমাণ উপেক্ষা করে অন্য প্রমাণ চাওয়া নির্বুদ্ধিতা</t>
  </si>
  <si>
    <t>Who is the fool that wants to hear after seeing?—disbelieving evidence</t>
  </si>
  <si>
    <t>চক্ষে সরষে ফুল দেখা</t>
  </si>
  <si>
    <t>চোখে সরষে ফুল দেখা</t>
  </si>
  <si>
    <t>মাথা খারাপ হওয়া; বিভ্রান্তি</t>
  </si>
  <si>
    <t>Seeing mustard flowers in the eye—hallucinating</t>
  </si>
  <si>
    <t>বিভ্রম</t>
  </si>
  <si>
    <t>চটকস্য মাংসং ভাগ শতকং</t>
  </si>
  <si>
    <t>চড়াই পাখির মাংস শত ভাগ</t>
  </si>
  <si>
    <t>তুচ্ছ জিনিসের অনেক ভাগ; নগণ্য লাভ</t>
  </si>
  <si>
    <t>A sparrow's flesh divided into a hundred shares—miserable portion</t>
  </si>
  <si>
    <t>চড় মারলে চড় খেতে হয়</t>
  </si>
  <si>
    <t>আঘাত করলে পাল্টা আঘাত আসে</t>
  </si>
  <si>
    <t>If you slap, you'll be slapped back</t>
  </si>
  <si>
    <t>চড় মেরে চড় খাওয়া</t>
  </si>
  <si>
    <t>নিজের কৃতকর্মের ফল ভোগ</t>
  </si>
  <si>
    <t>Slap and be slapped—reap what you sow</t>
  </si>
  <si>
    <t>চড় মেরে গড় করা</t>
  </si>
  <si>
    <t>চড় মেরে গড় (পায়ে ধরা) করা</t>
  </si>
  <si>
    <t>প্রহার করে পরে বিনয় দেখানো; ভণ্ডামি</t>
  </si>
  <si>
    <t>Slap and then bow—hypocrisy</t>
  </si>
  <si>
    <t>চড়াই পাখির প্রাণ অল্পেতেই যান</t>
  </si>
  <si>
    <t>চড়াই পাখির প্রাণ অল্পতে যায়</t>
  </si>
  <si>
    <t>ক্ষুদ্র প্রাণী অল্পেই মারা যায়; ভীতু</t>
  </si>
  <si>
    <t>A sparrow dies easily—fragile</t>
  </si>
  <si>
    <t>ক্ষুদ্রতা</t>
  </si>
  <si>
    <t>চড়ুকে বাতিক</t>
  </si>
  <si>
    <t>চড়ুকে বাতিক (পাগলামি)</t>
  </si>
  <si>
    <t>ছোটখাটো বিষয়ে আসক্তি বা পাগলামি</t>
  </si>
  <si>
    <t>A sparrow's mania—petty obsession</t>
  </si>
  <si>
    <t>চড়ুকে হাসি</t>
  </si>
  <si>
    <t>হালকা হাসি; বা অকারণ হাসি</t>
  </si>
  <si>
    <t>A sparrow's laugh—light giggle</t>
  </si>
  <si>
    <t>চণ্ডালোহপি নরঃ পূজ্য যস্যাস্তি বিপুলং ধনম</t>
  </si>
  <si>
    <t>চণ্ডালও পূজনীয়, যার প্রচুর ধন আছে</t>
  </si>
  <si>
    <t>অর্থই সব; ধন থাকলে নীচও সম্মানিত</t>
  </si>
  <si>
    <t>Even a chandala is worshipped if he has vast wealth</t>
  </si>
  <si>
    <t>চণ্ডীচরণ ঘুঁটে কুড়োয় রামা চড়ে ঘোড়া</t>
  </si>
  <si>
    <t>চণ্ডীচরণ ঘুঁটে কুড়োয়, রামা ঘোড়ায় চড়ে</t>
  </si>
  <si>
    <t>ভাই বোনের বৈষম্য; একই পরিবারে ভিন্ন ভাগ্য</t>
  </si>
  <si>
    <t>Chandicharan gathers dung, Rama rides a horse—inequality</t>
  </si>
  <si>
    <t>ভাই-বোন (লিঙ্গ)</t>
  </si>
  <si>
    <t>চণ্ডীপাঠ ইস্তক/থেকে জুতো সেলাই</t>
  </si>
  <si>
    <t>চণ্ডীপাঠ থেকে জুতো সেলাই</t>
  </si>
  <si>
    <t>সব ধরণের কাজ; ছোটবড় মিলিয়ে</t>
  </si>
  <si>
    <t>From scripture reading to shoe mending—all kinds of work</t>
  </si>
  <si>
    <t>চঞ্চলা নদীর গভীরতা কম</t>
  </si>
  <si>
    <t>যে বেশি চঞ্চল, তার জ্ঞান কম</t>
  </si>
  <si>
    <t>A restless river is shallow—volatile means shallow</t>
  </si>
  <si>
    <t>চতুরের ফতুর হওয়া</t>
  </si>
  <si>
    <t>চতুর ব্যক্তি ফতুর (দেউলিয়া) হয়</t>
  </si>
  <si>
    <t>বেশি চালাকি করলে শেষে সর্বনাশ</t>
  </si>
  <si>
    <t>The cunning one goes bankrupt—too clever by half</t>
  </si>
  <si>
    <t>চতুরের সাথে চতুরালি</t>
  </si>
  <si>
    <t>চতুরের সাথে চাতুরী</t>
  </si>
  <si>
    <t>যেমন বুনো তেমন চাল; দুষ্টের সাথে দুষ্টামি</t>
  </si>
  <si>
    <t>Play cunning with the cunning—trick for trick</t>
  </si>
  <si>
    <t>চ'তে গুরু 'ম'তে শিষ্য</t>
  </si>
  <si>
    <t>চ-তে গুরু, ম-তে শিষ্য</t>
  </si>
  <si>
    <t>অক্ষরজ্ঞানহীন অবস্থা; অল্পবিদ্যা</t>
  </si>
  <si>
    <t>Guru on 'cha', disciple on 'ma'—illiteracy</t>
  </si>
  <si>
    <t>নিরক্ষর</t>
  </si>
  <si>
    <t>চন্দনগাছ ছেদন করলেও সুগন্ধ ত্যাগ করে না</t>
  </si>
  <si>
    <t>চন্দন কাটলেও সুগন্ধ ছাড়ে না</t>
  </si>
  <si>
    <t>গুণী ব্যক্তি বিপদেও নিজ গুণ বজায় রাখে</t>
  </si>
  <si>
    <t>Sandalwood, even cut, emits fragrance—virtue persists</t>
  </si>
  <si>
    <t>চন্দনগাছের সংসর্গে এসে বাঁশগাছ চন্দন হয় না১</t>
  </si>
  <si>
    <t>চন্দনের সংসর্গে বাঁশ চন্দন হয় না</t>
  </si>
  <si>
    <t>মন্দ কখনো ভালো হয় না; স্বভাব অপরিবর্তনীয়</t>
  </si>
  <si>
    <t>Bamboo near sandalwood doesn't become sandalwood—nature stays</t>
  </si>
  <si>
    <t>মন্দ প্রকৃতি</t>
  </si>
  <si>
    <t>চন্দনগাছের সংসর্গে এসে বাঁশগাছ চন্দন হয় না২</t>
  </si>
  <si>
    <t>চন্দনের সংসর্গে বাঁশ চন্দন হয় না (দ্বিতীয়)</t>
  </si>
  <si>
    <t>কুসঙ্গে থেকে গুণ আসে না</t>
  </si>
  <si>
    <t>Even near sandalwood, bamboo remains bamboo</t>
  </si>
  <si>
    <t>মন্দ</t>
  </si>
  <si>
    <t>চন্দনগাছের সংস্পর্শে এসে শেওড়াগাছও সুগন্ধ পায়</t>
  </si>
  <si>
    <t>চন্দনের সংস্পর্শে শেওড়াও সুগন্ধ পায়</t>
  </si>
  <si>
    <t>সৎসঙ্গে অধমও গুণী হয়</t>
  </si>
  <si>
    <t>Even a sheora tree picks up fragrance from sandalwood—good company uplifts</t>
  </si>
  <si>
    <t>চন্দনং ন বনে বনে</t>
  </si>
  <si>
    <t>গুণী সর্বত্র পাওয়া যায় না</t>
  </si>
  <si>
    <t>Sandalwood doesn't grow in every forest—rara avis</t>
  </si>
  <si>
    <t>চন্দ্র সূর্য অস্ত গেল জোনাকি ধরে বাতি; বাঘ পালালো বিড়াল এলো শিকার করতে হাতি;</t>
  </si>
  <si>
    <t>চন্দ্র-সূর্য ডুবল, জোনাকি ধরে বাতি; বাঘ পালালো, বিড়াল এসে হাতি শিকার</t>
  </si>
  <si>
    <t>অযোগ্যের হাতে গুরুত্বপূর্ণ কাজ; ব্যঙ্গ</t>
  </si>
  <si>
    <t>Sun and moon set, firefly holds the lamp; tiger flees, cat hunts elephant—absurd</t>
  </si>
  <si>
    <t>চমড়ী যায়ে পর দমড়ী না যায়</t>
  </si>
  <si>
    <t>চামড়া যায়, কিন্তু দমড়ি (পয়সা) যায় না</t>
  </si>
  <si>
    <t>প্রাণ যায় তবু অর্থ ব্যয় হয় না; কৃপণ</t>
  </si>
  <si>
    <t>Skin can go, but not a penny—extreme miser</t>
  </si>
  <si>
    <t>চরণামৃত চরণামৃত না জানি কি অমৃত, খেয়ে দেখি জল১</t>
  </si>
  <si>
    <t>চরণামৃত কী অমৃত না জেনে খেয়ে দেখি জল</t>
  </si>
  <si>
    <t>অভিজ্ঞতার আগে গুণাগুণ বোঝা যায় না; অমৃত ভেবে জল</t>
  </si>
  <si>
    <t>Is foot-nectar really nectar? Tasted, it's water—expectation vs reality</t>
  </si>
  <si>
    <t>চরণামৃত চরণামৃত না জানি কি অমৃত, খেয়ে দেখি জল২</t>
  </si>
  <si>
    <t>চরণামৃত খেয়ে দেখি জল (দ্বিতীয়)</t>
  </si>
  <si>
    <t>গুরুত্বহীন জিনিসকে গুরুত্ব দেওয়া</t>
  </si>
  <si>
    <t>Foot-nectar turned out to be water—disillusion</t>
  </si>
  <si>
    <t>চরিত্রের গুণে মানুষ সবার চোখে বাসে</t>
  </si>
  <si>
    <t>চরিত্রের গুণে মানুষ সবার চোখে ভালো লাগে</t>
  </si>
  <si>
    <t>সচ্চরিত্রই সম্মানের কারণ</t>
  </si>
  <si>
    <t>Virtue makes one beloved to all</t>
  </si>
  <si>
    <t>চরিত্র সৎলোকের অনেক দোষ ঢেকে দেয়, চরিত্র অসৎলোকের গুণ ঢেকে দেয়</t>
  </si>
  <si>
    <t>চরিত্র সৎলোকের দোষ ঢাকে, অসৎলোকের গুণ ঢাকে</t>
  </si>
  <si>
    <t>চরিত্রই বড়; ভালো লোকের দোষ ক্ষমা, মন্দের গুণ অগ্রাহ্য</t>
  </si>
  <si>
    <t>A good character hides many faults; a bad one hides virtues</t>
  </si>
  <si>
    <t>সৎ/অসৎ</t>
  </si>
  <si>
    <t>চরৈবেতি চরৈবেতি</t>
  </si>
  <si>
    <t>চর, চর, চর; চলতে থাকো</t>
  </si>
  <si>
    <t>অগ্রসর হও; থেমো না</t>
  </si>
  <si>
    <t>Move on, move on—keep going</t>
  </si>
  <si>
    <t>চর্চায় সিদ্ধিলাভ হয়</t>
  </si>
  <si>
    <t>চর্চায় সিদ্ধি লাভ হয়</t>
  </si>
  <si>
    <t>নিয়মিত অনুশীলনে উন্নতি</t>
  </si>
  <si>
    <t>Practice makes perfect</t>
  </si>
  <si>
    <t>অনুশীলন</t>
  </si>
  <si>
    <t>চলচ্চিত্তং; চলদ্বিত্তং চলজ্জীবনযৌবনম্</t>
  </si>
  <si>
    <t>চঞ্চল চিত্ত, চঞ্চল ধন, চঞ্চল জীবন ও যৌবন</t>
  </si>
  <si>
    <t>মন, ধন, জীবন, যৌবন—কিছুই স্থায়ী নয়</t>
  </si>
  <si>
    <t>Fickle mind, fleeting wealth, transient life and youth</t>
  </si>
  <si>
    <t>চলছো যদি বঙ্গে, কপাল যাবে সঙ্গে</t>
  </si>
  <si>
    <t>বঙ্গে চললে কপাল সঙ্গেই যায়</t>
  </si>
  <si>
    <t>ভাগ্য কখনো ছাড়ে না</t>
  </si>
  <si>
    <t>If you go to Bengal, your fate goes with you</t>
  </si>
  <si>
    <t>চলতে চাইলে দাঁড়াতে শেখো</t>
  </si>
  <si>
    <t>হাঁটতে চাইলে আগে দাঁড়াতে শেখো</t>
  </si>
  <si>
    <t>কাজ শুরুর আগে প্রস্তুতি নাও</t>
  </si>
  <si>
    <t>If you want to walk, first learn to stand—basics first</t>
  </si>
  <si>
    <t>চলতে না পারলে উঠোন বাঁকা</t>
  </si>
  <si>
    <t>হাঁটতে না পারলে উঠোন বাঁকা বলে দোষ দেওয়া</t>
  </si>
  <si>
    <t>নিজের অক্ষমতা লুকিয়ে পরের দোষ</t>
  </si>
  <si>
    <t>If you can't walk, blame the courtyard—lame excuse</t>
  </si>
  <si>
    <t>চলতে পারে না বন্দুক ঘাড়ে</t>
  </si>
  <si>
    <t>হাঁটতে পারে না, বন্দুক ঘাড়ে</t>
  </si>
  <si>
    <t>অক্ষমের বড় অস্ত্র; বেমানান</t>
  </si>
  <si>
    <t>Can't walk, but carries a gun on shoulder—incongruous</t>
  </si>
  <si>
    <t>চলতে শিখলে পড়তে হয় না</t>
  </si>
  <si>
    <t>হাঁটতে শিখলে পড়তে হয় না</t>
  </si>
  <si>
    <t>দক্ষতা অর্জন করলে ব্যর্থতা নেই</t>
  </si>
  <si>
    <t>Once you learn to walk, you don't fall</t>
  </si>
  <si>
    <t>চলত্যেকেন পাদেন তিষ্ঠত্যেকেন বুদ্ধিমান্</t>
  </si>
  <si>
    <t>বুদ্ধিমান এক পা চালায়, এক পা স্থির রাখে</t>
  </si>
  <si>
    <t>বিচক্ষণ ব্যক্তি ভেবেচিন্তে পদক্ষেপ ফেলে</t>
  </si>
  <si>
    <t>The wise advance one foot while standing on the other—cautious</t>
  </si>
  <si>
    <t>চললে পোয়া, বসলে ক্রোশ, পথ বলে মোর কিসের দোষ?</t>
  </si>
  <si>
    <t>চললে পোয়া (দূরত্ব), বসলে ক্রোশ; পথ বলে আমার দোষ কী?</t>
  </si>
  <si>
    <t>আপনার চেষ্টাতেই অগ্রগতি; পথের দোষ নয়</t>
  </si>
  <si>
    <t>If you walk, a mile; if you sit, a league—why blame the road?</t>
  </si>
  <si>
    <t>চলতে থাকলে চল্লিশ বুদ্ধি আসে, থামলে হতবুদ্ধি</t>
  </si>
  <si>
    <t>কাজ করতে থাকলে উপায় আসে, নিষ্ক্রিয়তায় হতভম্ব</t>
  </si>
  <si>
    <t>Move and forty wits appear; stop and you're dumbfounded</t>
  </si>
  <si>
    <t>চলার পথ আর বলার মুখ কেউ আটকাতে পারে না</t>
  </si>
  <si>
    <t>চলার পথ ও বলার মুখ কেউ আটকাতে পারে না</t>
  </si>
  <si>
    <t>স্বাধীনতা ও বাক্প্রবণতা অপ্রতিরোধ্য</t>
  </si>
  <si>
    <t>No one can block the road or shut the mouth—freedom</t>
  </si>
  <si>
    <t>চশমে বদ তু</t>
  </si>
  <si>
    <t>তোর চশমা (দৃষ্টি) খারাপ</t>
  </si>
  <si>
    <t>নিজের দৃষ্টিভঙ্গি দোষালু</t>
  </si>
  <si>
    <t>Your spectacles are bad—your view is flawed</t>
  </si>
  <si>
    <t>চাঁদে আছে কলঙ্ক, গোলাপে কণ্টক</t>
  </si>
  <si>
    <t>চাঁদে কলঙ্ক, গোলাপে কাঁটা</t>
  </si>
  <si>
    <t>The moon has spots, the rose has thorns—imperfection</t>
  </si>
  <si>
    <t>চাঁদের কাছে জোনাকি, ঢাকের কাছে টেমটেমি</t>
  </si>
  <si>
    <t>চাঁদের কাছে জোনাকি, ঢাকের কাছে টেমটেমি (ছোট ঢাক)</t>
  </si>
  <si>
    <t>বড়র পাশে ছোটর তুলনা অর্থহীন</t>
  </si>
  <si>
    <t>A firefly near the moon, a tiny drum near a big drum—dwarfed</t>
  </si>
  <si>
    <t>চাঁদের সভার মাঝে তারা বর্ষে বারি মুষলধারা- খনা</t>
  </si>
  <si>
    <t>চাঁদের সভায় (চৈত্রের শেষে?) তারা বর্ষায় জল মুষলধারে</t>
  </si>
  <si>
    <t>জ্যোতিষ/কৃষি সংক্রান্ত ভবিষ্যদ্বাণী; চাঁদের নির্দিষ্ট অবস্থানে বৃষ্টি</t>
  </si>
  <si>
    <t>In the moon's assembly, stars rain heavily—astrological sign of rain</t>
  </si>
  <si>
    <t>চাইলেন জিরা পাইলেন হীরা</t>
  </si>
  <si>
    <t>চেয়েছিলেন জিরা, পেয়েছেন হীরা</t>
  </si>
  <si>
    <t>অল্প প্রত্যাশায় অনেক পাওয়া</t>
  </si>
  <si>
    <t>Asked for cumin, got diamonds—unexpected gain</t>
  </si>
  <si>
    <t>চাকরি মেঘের ছায়া মিথ্যা কর মায়া</t>
  </si>
  <si>
    <t>চাকরি মেঘের ছায়া, মিথ্যা মায়া কোরো না</t>
  </si>
  <si>
    <t>চাকরি অনিত্য; তার উপর নির্ভর করা ঠিক নয়</t>
  </si>
  <si>
    <t>A job is like a cloud's shadow—don't be deluded</t>
  </si>
  <si>
    <t>অনিত্যতা</t>
  </si>
  <si>
    <t>চাচা আপন চাচী পর, চাচীর মেয়ে বিয়ে কর</t>
  </si>
  <si>
    <t>চাচা আপন, চাচী পর; চাচীর মেয়েকে বিয়ে কর</t>
  </si>
  <si>
    <t>সম্পর্কের জটিলতা; চাচাতো বোনকে বিয়ে</t>
  </si>
  <si>
    <t>Uncle is own, aunt is stranger; marry the aunt's daughter—complex kinship</t>
  </si>
  <si>
    <t>নারী (চাচী, মেয়ে)</t>
  </si>
  <si>
    <t>চাচা আপন প্রাণ বাঁচা</t>
  </si>
  <si>
    <t>চাচা আপন, প্রাণ বাঁচাও</t>
  </si>
  <si>
    <t>নিজের স্বার্থ আগে; বিপদে আত্মরক্ষা</t>
  </si>
  <si>
    <t>Uncle is dear, but save your own life first—self-preservation</t>
  </si>
  <si>
    <t>চাচা বল কাকা বল কলার জোড়া দশটাকা</t>
  </si>
  <si>
    <t>চাচা বল কাকা বল, কলার জোড়া দশ টাকা</t>
  </si>
  <si>
    <t>সম্পর্ক দামি, কিন্তু ফসল সস্তা; হাস্যরস</t>
  </si>
  <si>
    <t>Call him uncle or whatever, a pair of bananas costs ten rupees—irony</t>
  </si>
  <si>
    <t>চাটাইয়ে/ ছেঁড়া কাঁথায় শুয়ে লাখ টাকার স্বপ্ন দেখা</t>
  </si>
  <si>
    <t>চাটাইয়ে/ছেঁড়া কাঁথায় শুয়ে লাখ টাকার স্বপ্ন</t>
  </si>
  <si>
    <t>দরিদ্রের উঁচু আশা; অবাস্তব</t>
  </si>
  <si>
    <t>Sleeping on a mat, dreaming of lakhs—vain hopes</t>
  </si>
  <si>
    <t>চাটুকারিতা ততক্ষণ পর্যন্ত ঠিক যতক্ষণ না তুমি তা গিলছো</t>
  </si>
  <si>
    <t>চাটুকারিতা ততক্ষণ ভালো যতক্ষণ তুমি তা গিলতে পার</t>
  </si>
  <si>
    <t>চাটুকারিতা উপভোগ করতে পারলে ভালো; নইলে অপ্রিয়</t>
  </si>
  <si>
    <t>Flattery is fine as long as you swallow it—accepting praise</t>
  </si>
  <si>
    <t>চাদরে যতটা পা ঢাকে ততটা পা মেলো</t>
  </si>
  <si>
    <t>চাদরে যতটা পা ঢাকে, ততটাই পা মেলো</t>
  </si>
  <si>
    <t>আয় বুঝে ব্যয় করো; সীমার মধ্যে থাকো</t>
  </si>
  <si>
    <t>Stretch your legs only as far as the sheet covers—live within means</t>
  </si>
  <si>
    <t>চাপ পড়লেই বাপ</t>
  </si>
  <si>
    <t>চাপ পড়লেই বাবা বলে ডাকা</t>
  </si>
  <si>
    <t>বিপদে পড়লেই তোষণ; সুযোগসন্ধানী</t>
  </si>
  <si>
    <t>When pressure comes, you call him father—opportunist</t>
  </si>
  <si>
    <t>চাপানো বোঝার ভার বেশি মনে হয়</t>
  </si>
  <si>
    <t>চাপানো বোঝা ভারী মনে হয়</t>
  </si>
  <si>
    <t>অনিচ্ছায় নেওয়া দায়িত্ব বেশি কষ্টকর</t>
  </si>
  <si>
    <t>An imposed burden feels heavier</t>
  </si>
  <si>
    <t>চামচিকে আবার পাখি</t>
  </si>
  <si>
    <t>চামচিকে আবার পাখি?</t>
  </si>
  <si>
    <t>পাখি নয়, অথচ পাখি বলে উড়ে; অসম্ভব দাবি</t>
  </si>
  <si>
    <t>A bat is again a bird?—false claim</t>
  </si>
  <si>
    <t>চামচিকেতে লাথি মারে</t>
  </si>
  <si>
    <t>অক্ষম লোকও কখনো আঘাত হানে; বা ছোটরাও বড়কে আক্রমণ করে</t>
  </si>
  <si>
    <t>Even a bat kicks—the lowly strike back</t>
  </si>
  <si>
    <t>অক্ষম/নিচু</t>
  </si>
  <si>
    <t>চায়ের পেয়ালা ও ঠোঁটের মধ্যে বিস্তর ফাঁক</t>
  </si>
  <si>
    <t>কাজ শেষ হতে এখনো অনেক বাকি</t>
  </si>
  <si>
    <t>There's many a slip 'twixt cup and lip</t>
  </si>
  <si>
    <t>চায়ের পেয়ালায় তুফান১</t>
  </si>
  <si>
    <t>চায়ের পেয়ালায় তুফান</t>
  </si>
  <si>
    <t>তুচ্ছ বিষয় নিয়ে বড় কাণ্ড; ঝড়</t>
  </si>
  <si>
    <t>A storm in a teacup—fuss over nothing</t>
  </si>
  <si>
    <t>চায়ের পেয়ালায় তুফান২</t>
  </si>
  <si>
    <t>চায়ের পেয়ালায় তুফান (দ্বিতীয়)</t>
  </si>
  <si>
    <t>ছোট জায়গায় বড় বিপ্লব</t>
  </si>
  <si>
    <t>Tempest in a teacup</t>
  </si>
  <si>
    <t>চার দিনকা চাঁদনী ফির আঁধেরি রাত</t>
  </si>
  <si>
    <t>চার দিনের চাঁদনি, তারপর আঁধার রাত</t>
  </si>
  <si>
    <t>সুখ ক্ষণস্থায়ী</t>
  </si>
  <si>
    <t>Four days of moonlight, then dark night—short-lived joy</t>
  </si>
  <si>
    <t>চাল না চুলো, ঢেঁকি না কুলো বিধাতা করেছে দোর বুলো বুলো</t>
  </si>
  <si>
    <t>চাল নেই চুলো নেই, ঢেঁকি কুলো নেই; বিধাতা করেছে দোর বুলো বুলো</t>
  </si>
  <si>
    <t>কিছু না থাকা সত্ত্বেও ভাগ্যের পরিহাসে ঘুরতে হবে</t>
  </si>
  <si>
    <t>No rice, no stove, no husking pedal; yet fate makes you wander—irony</t>
  </si>
  <si>
    <t>চাল নেই ধান নেই গোলাভরা ইঁদুর</t>
  </si>
  <si>
    <t>চাল নেই ধান নেই, গোলাভরা ইঁদুর</t>
  </si>
  <si>
    <t>উপকরণ নেই, কিন্তু বাজে জিনিসে ভরা</t>
  </si>
  <si>
    <t>No rice, no paddy, but barn full of rats—worthless</t>
  </si>
  <si>
    <t>চাল নাই তবে ভাতে ভাত রাঁধো</t>
  </si>
  <si>
    <t>চাল নেই তবু ভাতে ভাত রাঁধো</t>
  </si>
  <si>
    <t>অসম্ভব কাজের আদেশ</t>
  </si>
  <si>
    <t>No rice, yet cook rice with rice—impossible command</t>
  </si>
  <si>
    <t>মূর্খ/অবাস্তব</t>
  </si>
  <si>
    <t>চাল নেই তার ধুচুনি নাড়া</t>
  </si>
  <si>
    <t>চাল নেই, তার ধুচুনি (চাল ভাজার চাটু) নাড়া</t>
  </si>
  <si>
    <t>মূল জিনিস নেই, কিন্তু আনুষঙ্গিক নিয়ে ব্যস্ততা</t>
  </si>
  <si>
    <t>No rice, yet shaking the frying pan—futile</t>
  </si>
  <si>
    <t>চালাকি করো না ফাঁদে পড়ো না</t>
  </si>
  <si>
    <t>চালাকি করো না, ফাঁদে পড়ো না</t>
  </si>
  <si>
    <t>বেশি চালাকির পরিণাম খারাপ</t>
  </si>
  <si>
    <t>Don't be too clever, lest you fall into a trap</t>
  </si>
  <si>
    <t>চালাকিদ্বারা মহৎকার্য হয় না</t>
  </si>
  <si>
    <t>চালাকি দিয়ে মহৎ কাজ হয় না</t>
  </si>
  <si>
    <t>প্রতারণায় বড় কাজ হয় না</t>
  </si>
  <si>
    <t>Great things are not achieved by cunning</t>
  </si>
  <si>
    <t>চালাকের ঠোঁটে তৎক্ষণাৎ উত্তর সাজানো থাকে</t>
  </si>
  <si>
    <t>বুদ্ধিমান যে কোনো প্রশ্নের জবাব দিতে প্রস্তুত</t>
  </si>
  <si>
    <t>A clever man always has a ready answer on his lips</t>
  </si>
  <si>
    <t>চালুনি করে ঘোল বিলানো</t>
  </si>
  <si>
    <t>চালুনি দিয়ে ঘোল বিলানো</t>
  </si>
  <si>
    <t>বাজে উপায়ে কাজ; অপচয়</t>
  </si>
  <si>
    <t>Distributing buttermilk with a sieve—wasteful</t>
  </si>
  <si>
    <t>চালুনি করে ছুঁচের বিচার</t>
  </si>
  <si>
    <t>চালুনি দিয়ে সূঁচের বিচার</t>
  </si>
  <si>
    <t>অসম্ভব কাজ; ফুটো দিয়ে ছুঁচ আটকানো</t>
  </si>
  <si>
    <t>Trying a needle with a sieve—impossible</t>
  </si>
  <si>
    <t>চালে খড় নেই ঘরে বাতি</t>
  </si>
  <si>
    <t>চালে খড় নেই, ঘরে বাতি</t>
  </si>
  <si>
    <t>খাওয়ার নেই, অথচ ঘরে আলো—বাহ্যিক আড়ম্বর</t>
  </si>
  <si>
    <t>No thatch on the roof, but a lamp inside—false show</t>
  </si>
  <si>
    <t>চালের কি দর? না মামার ভাতে আছি</t>
  </si>
  <si>
    <t>চালের দর কী? না, মামার ভাতে আছি</t>
  </si>
  <si>
    <t>অপরের উপর নির্ভরশীল; বিনা পরিশ্রমে খাওয়া</t>
  </si>
  <si>
    <t>What's the price of rice? I'm on uncle's meals—dependent</t>
  </si>
  <si>
    <t>চালের বাতায় মাণিক থুয়ে উলুবনে হাতড়ানো</t>
  </si>
  <si>
    <t>চালের বাতায় মাণিক রেখে উলুবনে হাতড়ানো</t>
  </si>
  <si>
    <t>মূল্যবান জিনিস ঘরে রেখে তুচ্ছ স্থানে খোঁজা</t>
  </si>
  <si>
    <t>Leaving a gem in the rice bin and searching the reeds—foolish</t>
  </si>
  <si>
    <t>চাষা কি জানে মদের স্বাদ</t>
  </si>
  <si>
    <t>চাষা (কৃষক) কী জানে মদের স্বাদ?</t>
  </si>
  <si>
    <t>সাধারণ লোক উচ্চ জিনিসের কদর বোঝে না</t>
  </si>
  <si>
    <t>What does a farmer know of wine's taste?—uncultured</t>
  </si>
  <si>
    <t>কৃষক/নিম্নবর্গ</t>
  </si>
  <si>
    <t>শ্রেণী</t>
  </si>
  <si>
    <t>চাষার গদ্দী কাস্তের ঠোকর</t>
  </si>
  <si>
    <t>চাষার পদ কাস্তের ঠোকর</t>
  </si>
  <si>
    <t>শ্রমিকের মর্যাদা তার কাজের যন্ত্রই</t>
  </si>
  <si>
    <t>A farmer's seat is the sickle's stroke—dignity of labor</t>
  </si>
  <si>
    <t>চাষা/শ্রমিক</t>
  </si>
  <si>
    <t>চাষী আর চষা মাটি, এই দুইয়ে দেশ খাঁটি (খনা)</t>
  </si>
  <si>
    <t>চাষী ও চাষের জমি—এই দুইয়ে দেশ সত্যিকারের</t>
  </si>
  <si>
    <t>কৃষক ও কৃষিজমিই দেশের ভিত্তি</t>
  </si>
  <si>
    <t>The farmer and the ploughed land make the true country</t>
  </si>
  <si>
    <t>কৃষক/কৃষি</t>
  </si>
  <si>
    <t>চাষী করে চাষ, ফড়ে খায় ফসল</t>
  </si>
  <si>
    <t>চাষী চাষ করে, ফড়িং খায় ফসল</t>
  </si>
  <si>
    <t>একজনের পরিশ্রম, আরেকজন ভোগ করে</t>
  </si>
  <si>
    <t>The farmer tills, the locust eats the crop—others reap</t>
  </si>
  <si>
    <t>শোষক</t>
  </si>
  <si>
    <t>চাষীর গরু অমাবস্যা খোঁজে</t>
  </si>
  <si>
    <t>অলস অজুহাত খোঁজে</t>
  </si>
  <si>
    <t>The farmer's bull looks for the new-moon day—excuse</t>
  </si>
  <si>
    <t>চাষীর চাষ দেখে চাষ করলো গোয়াল; ধানের সঙ্গে খোঁজ নেই রাশিরাশি পোয়াল (খড়)</t>
  </si>
  <si>
    <t>চাষীর চাষ দেখে গোয়াল চাষ করল; ধান নেই, রাশি রাশি খড়</t>
  </si>
  <si>
    <t>হাস্যকর অনুকরণ; ফল না পেয়ে তুচ্ছ পাওয়া</t>
  </si>
  <si>
    <t>Mimicking the farmer, the milkman ploughed; no rice, only heaps of straw</t>
  </si>
  <si>
    <t>চাহিলেন জিরা পাইলেন হীরা</t>
  </si>
  <si>
    <t>চেয়েছিলেন জিরা, পেলেন হীরা (পুনরুক্তি)</t>
  </si>
  <si>
    <t>অল্প চেষ্টায় বিরাট লাভ</t>
  </si>
  <si>
    <t>Asked for cumin, got diamonds</t>
  </si>
  <si>
    <t>চিঁড়া কাঁচকলার যোগ</t>
  </si>
  <si>
    <t>চিঁড়া আর কাঁচকলার যোগ (বেমানান)</t>
  </si>
  <si>
    <t>বেখাপ্পা মিলন; যেমন আদা-কাঁচকলা</t>
  </si>
  <si>
    <t>Flattened rice and green banana—incongruous pair</t>
  </si>
  <si>
    <t>চিঁড়ার বাইশ ফের</t>
  </si>
  <si>
    <t>চিঁড়ার বাইশ ফের (পাক)</t>
  </si>
  <si>
    <t>অনেক কূটকৌশল; জটিলতা</t>
  </si>
  <si>
    <t>Twenty-two twists of flattened rice—complicated</t>
  </si>
  <si>
    <t>চিকিৎসা অপেক্ষা প্রতিষেধ ভাল</t>
  </si>
  <si>
    <t>চিকিৎসার চেয়ে প্রতিরোধ ভালো</t>
  </si>
  <si>
    <t>রোগ হওয়ার আগেই সতর্কতা</t>
  </si>
  <si>
    <t>চিৎকারে চাকা তেল পায়</t>
  </si>
  <si>
    <t>চিৎকারে গাড়ির চাকা তেল পায়</t>
  </si>
  <si>
    <t>হৈ চৈ করলে কাজ আদায় হয়? বা চিৎকারে সমাধান মেলে?</t>
  </si>
  <si>
    <t>Shouting oils the wheels—noise helps?</t>
  </si>
  <si>
    <t>চিৎপাতের কড়ি উৎপাতে যায়</t>
  </si>
  <si>
    <t>উৎপাতের (অসৎ) কড়ি চিৎপাতে (ধ্বংসে) যায়</t>
  </si>
  <si>
    <t>অসৎ উপার্জন ধ্বংসেই শেষ হয়</t>
  </si>
  <si>
    <t>Ill-gotten gains go up in flames</t>
  </si>
  <si>
    <t>চিত্তে বাচি ক্রিয়ায়াং চ সাধুনামেকরূপতা</t>
  </si>
  <si>
    <t>মনে-বাক্যে-কাজে সাধুদের একরূপতা</t>
  </si>
  <si>
    <t>ভালো মানুষ মন, কথা ও কাজে সমান</t>
  </si>
  <si>
    <t>In mind, word, and deed, the righteous are consistent</t>
  </si>
  <si>
    <t>চিনি খেয়ে জলকে টান তেমনি বোনের ভাইকে টান</t>
  </si>
  <si>
    <t>চিনি খেলে জলের তৃষ্ণা, তেমন বোনের ভাইয়ের প্রতি টান</t>
  </si>
  <si>
    <t>স্বাভাবিক আকর্ষণ</t>
  </si>
  <si>
    <t>As sugar makes you crave water, so a sister longs for her brother</t>
  </si>
  <si>
    <t>চিনির পুতুল</t>
  </si>
  <si>
    <t>অতিশয় সুন্দর কিন্তু ভঙ্গুর; নষ্ট হয় শীঘ্র</t>
  </si>
  <si>
    <t>A sugar doll—beautiful but fragile</t>
  </si>
  <si>
    <t>চিনির বলদ</t>
  </si>
  <si>
    <t>চিনির বলদ (গুড় খাওয়া বলদ)</t>
  </si>
  <si>
    <t>শুধু খেতে পারে, কাজের নয়; নিষ্কর্মা</t>
  </si>
  <si>
    <t>A sugar bull—only eats, no work</t>
  </si>
  <si>
    <t>চিন্তা করো না যে কেউ তোমায় জানে না, শুধু চেষ্টা কর জানার যোগ্য হতে- কনফুসিয়াস</t>
  </si>
  <si>
    <t>চিন্তা করো না কেউ তোমায় জানে না, চেষ্টা কর জানার যোগ্য হতে</t>
  </si>
  <si>
    <t>খ্যাতি নয়, যোগ্যতা অর্জন করাই মুখ্য</t>
  </si>
  <si>
    <t>Don't worry that no one knows you; strive to be worth knowing</t>
  </si>
  <si>
    <t>চিন্তা জ্বরো মনুষ্যাণাং</t>
  </si>
  <si>
    <t>চিন্তা মানুষের জ্বর</t>
  </si>
  <si>
    <t>চিন্তা মনের জ্বর; মানুষকে কষ্ট দেয়</t>
  </si>
  <si>
    <t>Worry is the fever of mankind</t>
  </si>
  <si>
    <t>চিন্তাবিদেরা নাস্তিক হয়</t>
  </si>
  <si>
    <t>অতিরিক্ত চিন্তাবিদেরা নাস্তিক হয়ে যায়</t>
  </si>
  <si>
    <t>বেশি ভাবলে বিশ্বাস নষ্ট হয়</t>
  </si>
  <si>
    <t>Deep thinkers become atheists—overthinking kills faith</t>
  </si>
  <si>
    <t>চিন্তাশীল</t>
  </si>
  <si>
    <t>চিন্তায় চিন্তা বাড়ে</t>
  </si>
  <si>
    <t>উদ্বেগে উদ্বেগ বাড়ে; চিন্তা কখনো কমে না</t>
  </si>
  <si>
    <t>Worry begets worry</t>
  </si>
  <si>
    <t>চিন্তায় পোড়ে মন চিতায় পোড়ে দেহ</t>
  </si>
  <si>
    <t>চিন্তায় মন পোড়ে, চিতায় দেহ পোড়ে</t>
  </si>
  <si>
    <t>মানসিক কষ্ট শারীরিক কষ্টের সমান</t>
  </si>
  <si>
    <t>Mind burns in worry, body burns on pyre</t>
  </si>
  <si>
    <t>চিন্তার মায়ের বড় চিন্তা, হাটের লোক শোয় কোথা?</t>
  </si>
  <si>
    <t>চিন্তার মায়ের বড় চিন্তা—হাটের লোক কোথায় শোবে?</t>
  </si>
  <si>
    <t>অযথা দুশ্চিন্তা; যে দায়িত্বে নয় তার জন্য ভাবনা</t>
  </si>
  <si>
    <t>The mother of worries frets about where market-goers sleep—unnecessary</t>
  </si>
  <si>
    <t>উদ্বিগ্ন ব্যক্তি</t>
  </si>
  <si>
    <t>চিন্তাহীন শিক্ষা পণ্ডশ্রম, শিক্ষাহীন চিন্তা বিপজ্জনক</t>
  </si>
  <si>
    <t>শিক্ষা ও চিন্তার সমন্বয় দরকার</t>
  </si>
  <si>
    <t>Learning without thought is labor lost; thought without learning is perilous</t>
  </si>
  <si>
    <t>চিরদিন কারো সমান নাহি যায়- নজরুল</t>
  </si>
  <si>
    <t>চিরকাল কারো সমান যায় না</t>
  </si>
  <si>
    <t>সুখ-দুঃখ চিরস্থায়ী নয়</t>
  </si>
  <si>
    <t>Nothing remains the same forever</t>
  </si>
  <si>
    <t>চিরসুখীজন ভ্রমে কি কখন ব্যথিতবেদন বুঝিতে কি পারে, কী যাতনা বিষে, বুঝিবে সে কিসে কভু আশীবিষে দংশেনি যারে'- কৃষ্ণচন্দ্র মজুমদার</t>
  </si>
  <si>
    <t>চিরসুখী কি ব্যথা বোঝে? যে কখনো বিষাক্ত সাপের দংশন পায়নি, সে কী জানে বিষযন্ত্রণা?</t>
  </si>
  <si>
    <t>সুখী মানুষ দুঃখীর কষ্ট বোঝে না</t>
  </si>
  <si>
    <t>Can the ever-happy ever understand pain? One never bitten by a venomous snake knows not poison</t>
  </si>
  <si>
    <t>চিরাগের/চেরাগের নীচেই অন্ধকার১</t>
  </si>
  <si>
    <t>প্রদীপের নীচেই অন্ধকার</t>
  </si>
  <si>
    <t>যেখানে আলো, ঠিক সেখানেই অন্ধকার; কাছের জিনিস অবহেলিত</t>
  </si>
  <si>
    <t>Right under the lamp lies the darkness—familiarity neglect</t>
  </si>
  <si>
    <t>চিরাগের/চেরাগের নীচেই অন্ধকার২</t>
  </si>
  <si>
    <t>প্রদীপের নীচে অন্ধকার (দ্বিতীয়)</t>
  </si>
  <si>
    <t>নিজের গুণ লুকানো বা অদেখা</t>
  </si>
  <si>
    <t>Under the candle is dark—one's own merits go unnoticed</t>
  </si>
  <si>
    <t>চিল চিনে উচু ডাল; মাছ চিনে গভীর জল</t>
  </si>
  <si>
    <t>চিল জানে উঁচু ডাল, মাছ জানে গভীর জল</t>
  </si>
  <si>
    <t>প্রত্যেকে নিজের জায়গা চেনে</t>
  </si>
  <si>
    <t>A kite knows the high branch, a fish the deep water—know your place</t>
  </si>
  <si>
    <t>চিল পড়লে কুটোটাও নিয়ে ওঠে১</t>
  </si>
  <si>
    <t>চিল পড়লে কুটো (খড়) ও নিয়ে ওঠে</t>
  </si>
  <si>
    <t>যেখানে যায়, কিছু না কিছু নিয়ে যায়; সুযোগসন্ধানী</t>
  </si>
  <si>
    <t>When a kite swoops, it picks up even a straw—opportunist</t>
  </si>
  <si>
    <t>চিল পড়লে কুটোটাও নিয়ে ওঠে২</t>
  </si>
  <si>
    <t>চিল পড়লে কুটো নিয়ে ওঠে (দ্বিতীয়)</t>
  </si>
  <si>
    <t>প্রত্যেক আক্রমণে কিছু না কিছু লাভ</t>
  </si>
  <si>
    <t>Every dive yields something</t>
  </si>
  <si>
    <t>চিলকে বিল দেখানো</t>
  </si>
  <si>
    <t>চিলকে বিল (জলাভূমি) দেখানো</t>
  </si>
  <si>
    <t>অসম্ভব প্রলোভন দেখানো; চিল মাছ খায়, বিল দেখানো অর্থহীন</t>
  </si>
  <si>
    <t>Showing a wetland to a kite—futility</t>
  </si>
  <si>
    <t>চিলে কান নিয়ে গেল</t>
  </si>
  <si>
    <t>চিলে কান নিয়ে গেছে</t>
  </si>
  <si>
    <t>হঠাৎ কিছু হারানো; বিভ্রান্তি</t>
  </si>
  <si>
    <t>The kite took away the ear—sudden loss</t>
  </si>
  <si>
    <t>চিল্লানে কুকুর কদাচিৎ কামড়ায়</t>
  </si>
  <si>
    <t>চিৎকার করা কুকুর কদাচিৎ কামড়ায়</t>
  </si>
  <si>
    <t>যে বেশি হুমকি দেয় সে কাজে অক্ষম</t>
  </si>
  <si>
    <t>চুরিবিদ্যা বড়/মহাবিদ্যা যদি না পড়ে/পড়ো ধরা</t>
  </si>
  <si>
    <t>চুরিবিদ্যা মহাবিদ্যা, যদি না ধরা পড়ো</t>
  </si>
  <si>
    <t>প্রতারণা করে ধরা না পড়লে তাকে বাহাদুরি বলে</t>
  </si>
  <si>
    <t>Thievery is a great art, if you're not caught—cynical</t>
  </si>
  <si>
    <t>চুল থাকে তো বাঁধি, গুণ থাকে তো কাঁদি</t>
  </si>
  <si>
    <t>চুল থাকলে বাঁধি, গুণ থাকলে কাঁদি</t>
  </si>
  <si>
    <t>রূপ বা গুণ থাকলে তার প্রকাশ করাই স্বাভাবিক</t>
  </si>
  <si>
    <t>If I had hair, I'd braid; if I had merit, I'd weep—if I had, I'd show</t>
  </si>
  <si>
    <t>চুলকে ঘা করা</t>
  </si>
  <si>
    <t>সামান্য সমস্যা বাড়িয়ে তোলা</t>
  </si>
  <si>
    <t>Scratching to make a sore—creating trouble</t>
  </si>
  <si>
    <t>চুলোমুখো দেবতার ঘুঁটের ছাই নৈবদ্য</t>
  </si>
  <si>
    <t>চুলোমুখো দেবতার ঘুঁটের ছাই নৈবেদ্য</t>
  </si>
  <si>
    <t>যেমন দেবতা তেমনই নৈবেদ্য; অযোগ্যের অযোগ্য ভোগ</t>
  </si>
  <si>
    <t>A sooty-faced god gets dung ash as offering—matching</t>
  </si>
  <si>
    <t>চুলোর উপর ক্ষীর, মনে নহে স্থির</t>
  </si>
  <si>
    <t>চুলার উপর ক্ষীর, মনে স্থির নেই</t>
  </si>
  <si>
    <t>মূল্যবান জিনিস থাকলে মনে ভয়; অস্থিরতা</t>
  </si>
  <si>
    <t>Kheer on the stove, mind restless—anxiety over treasure</t>
  </si>
  <si>
    <t>চূড়ার উপর ময়ূরপাখা</t>
  </si>
  <si>
    <t>ইতিমধ্যে সৌন্দর্যের বাড়াবাড়ি; আরো শোভা</t>
  </si>
  <si>
    <t>A peacock feather atop the crest—extra adornment</t>
  </si>
  <si>
    <t>শোভা</t>
  </si>
  <si>
    <t>চূন খেয়ে গাল পুড়েছে, দই দেখলে ভয় করে</t>
  </si>
  <si>
    <t>চুন খেয়ে গাল পুড়েছে, দই দেখলে ভয়</t>
  </si>
  <si>
    <t>পূর্ব অভিজ্ঞতায় ভীত; গরম দুধের ফুঁ</t>
  </si>
  <si>
    <t>Burned by lime, now fears even yogurt—once bitten twice shy</t>
  </si>
  <si>
    <t>চেতনে অবচেতন১</t>
  </si>
  <si>
    <t>চেতনে অবচেতন (চেতনায় চেতন নয়)</t>
  </si>
  <si>
    <t>সজাগ থেকেও অসতর্ক; অজ্ঞানে</t>
  </si>
  <si>
    <t>Awake yet unaware—absent-minded</t>
  </si>
  <si>
    <t>চেতনে অবচেতন২</t>
  </si>
  <si>
    <t>চেতনে অবচেতন (দ্বিতীয়)</t>
  </si>
  <si>
    <t>জেনেও না জানার ভান</t>
  </si>
  <si>
    <t>Conscious yet unconscious—feigning ignorance</t>
  </si>
  <si>
    <t>চেনা বামুনের পৈতে লাগে না</t>
  </si>
  <si>
    <t>চেনা বামুনের পৈতা (উপবীত) লাগে না</t>
  </si>
  <si>
    <t>পরিচিত ব্যক্তির ভূমিকা প্রমাণের প্রয়োজন হয় না</t>
  </si>
  <si>
    <t>A known Brahmin needs no sacred thread—familiarity suffices</t>
  </si>
  <si>
    <t>চেরাগের নীচেই অন্ধকার</t>
  </si>
  <si>
    <t>প্রদীপের নিচেই অন্ধকার (সংক্ষেপ)</t>
  </si>
  <si>
    <t>নিজের কাছেই অবহেলা</t>
  </si>
  <si>
    <t>Under the lamp is darkness</t>
  </si>
  <si>
    <t>চেলা-চামুণ্ডা১</t>
  </si>
  <si>
    <t>চেলা চামুণ্ডা (শিষ্য ও দেবী)</t>
  </si>
  <si>
    <t>শিষ্যরা গুরুর নাম করে বড়াই; অনুগামী</t>
  </si>
  <si>
    <t>Disciple becomes Chamunda—overzealous follower</t>
  </si>
  <si>
    <t>শিষ্য/অনুগত</t>
  </si>
  <si>
    <t>অতিশক্তি</t>
  </si>
  <si>
    <t>চেলা-চামুণ্ডা২</t>
  </si>
  <si>
    <t>চেলা চামুণ্ডা (দ্বিতীয়)</t>
  </si>
  <si>
    <t>অনুসরণে বাড়াবাড়ি</t>
  </si>
  <si>
    <t>Disciple turns fierce like Chamunda—excess</t>
  </si>
  <si>
    <t>চেষ্টাবিনা কেষ্টা নেই</t>
  </si>
  <si>
    <t>চেষ্টা ছাড়া কেষ্ট (কৃষ্ণ/ফল) নেই</t>
  </si>
  <si>
    <t>পরিশ্রম ছাড়া কিছু পাওয়া যায় না</t>
  </si>
  <si>
    <t>Without effort, no Krishna (success)</t>
  </si>
  <si>
    <t>চেষ্টার অসাধ্য কোন কাজ নেই।</t>
  </si>
  <si>
    <t>চেষ্টার অসাধ্য কোনো কাজ নেই</t>
  </si>
  <si>
    <t>প্রচেষ্টায় সব সম্ভব</t>
  </si>
  <si>
    <t>Nothing is impossible to effort</t>
  </si>
  <si>
    <t>চেষ্টার শেষ নেই</t>
  </si>
  <si>
    <t>সর্বদা পরিশ্রম চলতে থাকে; চেষ্টার কোনো অন্ত নেই</t>
  </si>
  <si>
    <t>Effort has no end—constant striving</t>
  </si>
  <si>
    <t>চেহারা দেখে মানুষ চেনা যায় না</t>
  </si>
  <si>
    <t>বাহ্যিক রূপে গুণ বোঝা যায় না</t>
  </si>
  <si>
    <t>You can't judge a person by appearance</t>
  </si>
  <si>
    <t>চৈতের কুয়ায় (কুয়াশা) আমের ক্ষয়- খনা</t>
  </si>
  <si>
    <t>চৈত্রের কুয়াশায় আমের ক্ষয়</t>
  </si>
  <si>
    <t>চৈত্র মাসের কুয়াশা আমের ফল নষ্ট করে</t>
  </si>
  <si>
    <t>Chaitra's fog ruins mangoes—seasonal warning</t>
  </si>
  <si>
    <t>চৈতের কুয়ো (কুয়াশা) ভাদ্রে বান, নরের মুণ্ড গড়াগড়ি যান- খনা</t>
  </si>
  <si>
    <t>চৈত্রের কুয়াশা, ভাদ্রে বন্যা, মানুষের মাথা গড়াগড়ি যায়</t>
  </si>
  <si>
    <t>এই দুই প্রাকৃতিক বিপর্যয়ে মানুষের মৃত্যু</t>
  </si>
  <si>
    <t>Fog in Chaitra, flood in Bhadra—human heads roll</t>
  </si>
  <si>
    <t>চৈতের গীত বৈশাখে গায় তারে পুছে কোন শালায়/হালায়</t>
  </si>
  <si>
    <t>চৈত্রের গীত বৈশাখে গায়, কে তা জিজ্ঞাসে?</t>
  </si>
  <si>
    <t>অসময়ে কাজ; সময়ের কাজ সময়ে নয়</t>
  </si>
  <si>
    <t>Singing Chaitra's song in Baishakh—who cares?</t>
  </si>
  <si>
    <t>চৈত্রে কাঁপে থর থর, বৈশাখে ঝড়পাথর, জৈষ্ঠ্যেতে তারা ফোটে তবেই জানবে বর্ষা বটে- খনা</t>
  </si>
  <si>
    <t>চৈত্রে কাঁপুনি, বৈশাখে ঝড়, জ্যৈষ্ঠে তারা ফুটলে জানবে বর্ষা এল</t>
  </si>
  <si>
    <t>প্রকৃতির পূর্বাভাসে বর্ষা চেনা</t>
  </si>
  <si>
    <t>Shiver in Chaitra, storm in Baishakh, stars appear in Jyaistha—then know rains are here</t>
  </si>
  <si>
    <t>চোখ বুজলেই সব অন্ধকার</t>
  </si>
  <si>
    <t>চোখ বুজলেই সব অন্ধকার (পুনরুক্তি)</t>
  </si>
  <si>
    <t>অস্বীকার করলে সত্য ঢাকা পড়ে না</t>
  </si>
  <si>
    <t>Closing eyes makes everything dark—ignoring doesn't change reality</t>
  </si>
  <si>
    <t>চোখ থাকতে কানা</t>
  </si>
  <si>
    <t>চোখ থাকতে কানা (পুনরুক্তি)</t>
  </si>
  <si>
    <t>জেনেশুনে অজ্ঞতার ভান</t>
  </si>
  <si>
    <t>Blind with eyes—willful ignorance</t>
  </si>
  <si>
    <t>চোখ বন্ধ করলে প্রলয় বন্ধ হয় না১</t>
  </si>
  <si>
    <t>চোখ বন্ধ করলে প্রলয় থামে না (পুনরুক্তি)</t>
  </si>
  <si>
    <t>Shutting eyes won't stop the apocalypse</t>
  </si>
  <si>
    <t>চোখ বন্ধ করলে প্রলয় বন্ধ হয় না২</t>
  </si>
  <si>
    <t>চোখ বন্ধ করলে প্রলয় থামে না (দ্বিতীয়)</t>
  </si>
  <si>
    <t>অস্বীকারে সমস্যা মিটে না</t>
  </si>
  <si>
    <t>Closing eyes doesn't end the cataclysm</t>
  </si>
  <si>
    <t>চোখ মনের আয়না</t>
  </si>
  <si>
    <t>চোখ দিয়ে মনের ভাব প্রকাশ পায়</t>
  </si>
  <si>
    <t>Eyes are the mirror of the mind</t>
  </si>
  <si>
    <t>চোখ সব দেখে কেবল নিজেকে দেখে না১</t>
  </si>
  <si>
    <t>চোখ সব দেখে, শুধু নিজেকে দেখতে পায় না (পুনরুক্তি)</t>
  </si>
  <si>
    <t>The eye sees everything but itself</t>
  </si>
  <si>
    <t>চোখে ঠুলি পরা</t>
  </si>
  <si>
    <t>ইচ্ছাকৃত অজ্ঞতা; সত্য না দেখা</t>
  </si>
  <si>
    <t>Wearing blinkers—deliberate blindness</t>
  </si>
  <si>
    <t>চোখে দেখে শুনতে চায়, এমন বোকা আছে কোথায়?</t>
  </si>
  <si>
    <t>চোখে দেখেও শুনতে চায়, এমন বোকা কোথায়? (পুনরুক্তি)</t>
  </si>
  <si>
    <t>প্রত্যক্ষ প্রমাণ অস্বীকার</t>
  </si>
  <si>
    <t>Who's the fool that wants to hear after seeing?</t>
  </si>
  <si>
    <t>চোখে ধূলা দেওয়া</t>
  </si>
  <si>
    <t>চোখে ধুলো দেওয়া</t>
  </si>
  <si>
    <t>প্রতারণা করা; ঠকানো</t>
  </si>
  <si>
    <t>Blowing dust in the eyes—deceiving</t>
  </si>
  <si>
    <t>চোখে ভেলকি লাগা</t>
  </si>
  <si>
    <t>চোখে ভেলকি (জাদু) লাগা</t>
  </si>
  <si>
    <t>বিভ্রান্তি; মোহ</t>
  </si>
  <si>
    <t>Eyes bewitched—illusion</t>
  </si>
  <si>
    <t>ভ্রম</t>
  </si>
  <si>
    <t>চোখে সর্ষে ফুল দেখা</t>
  </si>
  <si>
    <t>চোখে সর্ষে ফুল দেখা (পুনরুক্তি)</t>
  </si>
  <si>
    <t>মাথা খারাপ হওয়া</t>
  </si>
  <si>
    <t>Seeing mustard flowers in the eyes—hallucinating</t>
  </si>
  <si>
    <t>চোখের আড়াল হলে মনের/স্মৃতির আড়াল হয়</t>
  </si>
  <si>
    <t>চোখের আড়াল হলে মনের আড়াল হয়</t>
  </si>
  <si>
    <t>সামনে না থাকলে ভুলে যায়</t>
  </si>
  <si>
    <t>চোখের আড়াল তো মনের আড়াল নয়</t>
  </si>
  <si>
    <t>চোখের আড়াল হলেও মনের আড়াল নয়</t>
  </si>
  <si>
    <t>সামনে না থাকলেও মনে থাকে</t>
  </si>
  <si>
    <t>Out of sight, but not out of mind</t>
  </si>
  <si>
    <t>চোখের জল নারীর বল</t>
  </si>
  <si>
    <t>চোখের জল নারীর বল (অস্ত্র)</t>
  </si>
  <si>
    <t>নারীর কান্না তার শক্তি</t>
  </si>
  <si>
    <t>Tears are a woman's strength</t>
  </si>
  <si>
    <t>চোখের জলের মত কিছুই দ্রুত শুকায় না</t>
  </si>
  <si>
    <t>চোখের জলের মতো কিছু দ্রুত শুকায় না</t>
  </si>
  <si>
    <t>দুঃখ সহজে ভোলা যায় না</t>
  </si>
  <si>
    <t>Nothing dries faster than tears—sorrow fades</t>
  </si>
  <si>
    <t>চোখের দোষে সব হলদে</t>
  </si>
  <si>
    <t>চোখের দোষে সব হলুদ (পুনরুক্তি)</t>
  </si>
  <si>
    <t>নিজের দোষে সব দোষী</t>
  </si>
  <si>
    <t>Jaundiced eyes see all yellow</t>
  </si>
  <si>
    <t>চোখের বদলে চোখ, দাঁতের বদলে দাঁত১</t>
  </si>
  <si>
    <t>চোখের বদলে চোখ, দাঁতের বদলে দাঁত</t>
  </si>
  <si>
    <t>প্রতিশোধ; সমান আঘাত</t>
  </si>
  <si>
    <t>An eye for an eye, a tooth for a tooth</t>
  </si>
  <si>
    <t>চোখের বদলে চোখ, দাঁতের বদলে দাঁত২</t>
  </si>
  <si>
    <t>চোখের বদলে চোখ, দাঁতের বদলে দাঁত (দ্বিতীয়)</t>
  </si>
  <si>
    <t>কঠোর প্রতিশোধ নীতি</t>
  </si>
  <si>
    <t>Equal retaliation</t>
  </si>
  <si>
    <t>চোদ্দশাকের মধ্যে ওল পরামাণিক</t>
  </si>
  <si>
    <t>চৌদ্দ শাকের মধ্যে ওল পরামাণিক (প্রমাণিক)</t>
  </si>
  <si>
    <t>সব কিছুর মধ্যে বিশেষ গুরুত্বপূর্ণ ব্যক্তি; অথবা বাজে দলের মধ্যে সেরা</t>
  </si>
  <si>
    <t>Among fourteen leafy greens, the ol is the proof—best of the lot</t>
  </si>
  <si>
    <t>চোর খোঁজে অন্ধকার</t>
  </si>
  <si>
    <t>চোর অন্ধকার খোঁজে</t>
  </si>
  <si>
    <t>দুষ্ট লোক গোপনীয়তা চায়</t>
  </si>
  <si>
    <t>A thief seeks darkness—evil loves secrecy</t>
  </si>
  <si>
    <t>চোর চায় ছেঁচা বেড়া</t>
  </si>
  <si>
    <t>চোর চায় ভাঙা বেড়া</t>
  </si>
  <si>
    <t>দুর্বলতা বা ফাঁকফোকর চায়</t>
  </si>
  <si>
    <t>A thief likes a broken fence—vulnerability</t>
  </si>
  <si>
    <t>চোর চুরি না করতে পারলে সাধু হয়১</t>
  </si>
  <si>
    <t>চোর চুরি না করতে পারলে সাধু হয়</t>
  </si>
  <si>
    <t>অক্ষমতার জন্যই ধার্মিকতা</t>
  </si>
  <si>
    <t>A thief becomes a saint when he can't steal—enforced virtue</t>
  </si>
  <si>
    <t>চোর/ভণ্ড</t>
  </si>
  <si>
    <t>চোর ছেঁচড় চোপায় দড়, আগে দৌড়ায় ঠাকুর ঘর</t>
  </si>
  <si>
    <t>চোর ছ্যাঁচড় কথা বলায় পটু, কিন্তু আগে ছোটে ঠাকুরঘরে</t>
  </si>
  <si>
    <t>ভণ্ড বাহ্যিক সাধুতা দেখায়</t>
  </si>
  <si>
    <t>A rogue is glib, yet rushes first to the prayer room—hypocrite</t>
  </si>
  <si>
    <t>ভণ্ড/চোর</t>
  </si>
  <si>
    <t>চোর ধনী হলে সজ্জন হয়</t>
  </si>
  <si>
    <t>চোর ধনী হলে সাধু হয়</t>
  </si>
  <si>
    <t>অর্থ থাকলে কেউ দোষ দেখে না; অবস্থা ভদ্র হয়</t>
  </si>
  <si>
    <t>If a thief becomes rich, he turns gentleman</t>
  </si>
  <si>
    <t>চোর/ধনী</t>
  </si>
  <si>
    <t>চোর চলে গেলে চৌকিদার আসে</t>
  </si>
  <si>
    <t>চোর চলে গেলে প্রহরী আসে</t>
  </si>
  <si>
    <t>ক্ষতি হয়ে যাওয়ার পর প্রতিকার আসে</t>
  </si>
  <si>
    <t>After the thief leaves, the guard arrives—too late</t>
  </si>
  <si>
    <t>চোর ধরতে চোর লাগে</t>
  </si>
  <si>
    <t>দুষ্টকে ধরতে দুষ্টের প্রয়োজন</t>
  </si>
  <si>
    <t>It takes a thief to catch a thief</t>
  </si>
  <si>
    <t>চোর পর মোর১</t>
  </si>
  <si>
    <t>চোর পর মোর (পর পর আমার)</t>
  </si>
  <si>
    <t>চোরের পিছনে ঘুরে বেড়ানো; বা চোরের সাথে আঁতাত</t>
  </si>
  <si>
    <t>Thief after thief, mine—colluding</t>
  </si>
  <si>
    <t>চোর পর মোর২</t>
  </si>
  <si>
    <t>চোর পর মোর (দ্বিতীয়)</t>
  </si>
  <si>
    <t>একের পর এক চোর আসা</t>
  </si>
  <si>
    <t>Thief after thief, all mine—chain</t>
  </si>
  <si>
    <t>বিপদ কেটে গেলে বুদ্ধি আসে</t>
  </si>
  <si>
    <t>When the thief escapes, wits sharpen—hindsight</t>
  </si>
  <si>
    <t>চোর ভাল তো বেকুব ভালো না</t>
  </si>
  <si>
    <t>চোর ভালো, কিন্তু বোকা ভালো না</t>
  </si>
  <si>
    <t>চোর ঠকাতে পারে, কিন্তু বোকা সবার কাছে ধরা পড়ে</t>
  </si>
  <si>
    <t>A thief is fine, but a fool is not—foolishness is worse</t>
  </si>
  <si>
    <t>বোকা</t>
  </si>
  <si>
    <t>চোর মচায়ে শোর</t>
  </si>
  <si>
    <t>চোর নিজেই শোরগোল করে</t>
  </si>
  <si>
    <t>অপরাধী চিৎকার করে নির্দোষিতা প্রমাণ করতে চায়</t>
  </si>
  <si>
    <t>The thief makes the loudest noise—hiding guilt</t>
  </si>
  <si>
    <t>চোর মজে সাতঘর মজায়ে১</t>
  </si>
  <si>
    <t>চোর মজে সাত ঘর মজায়</t>
  </si>
  <si>
    <t>একজন দুষ্ট অনেক পরিবার ধ্বংস করে</t>
  </si>
  <si>
    <t>One thief ruins seven households—corruption spreads</t>
  </si>
  <si>
    <t>চোর মজে সাতঘর মজায়ে২</t>
  </si>
  <si>
    <t>চোর মজে সাত ঘর মজায় (দ্বিতীয়)</t>
  </si>
  <si>
    <t>দুষ্টের প্রভাব ভয়াবহ</t>
  </si>
  <si>
    <t>A thief drowns and takes seven homes down</t>
  </si>
  <si>
    <t>চোর সাধুতে তফাৎ নেই</t>
  </si>
  <si>
    <t>চোর আর সাধুতে কোনো পার্থক্য নেই</t>
  </si>
  <si>
    <t>সবাই এক রকম; পাপী-পুণ্যবান সমান</t>
  </si>
  <si>
    <t>No difference between a thief and a saint—cynicism</t>
  </si>
  <si>
    <t>চোরকে বলে চুরি কর, গেরস্তকে বলে সজাগ থাকো</t>
  </si>
  <si>
    <t>চোরকে চুরি করতে বলে, গৃহস্থকে বলে সাবধান থাকো</t>
  </si>
  <si>
    <t>দুই পক্ষকে উস্কিয়ে দেওয়া; দালালি</t>
  </si>
  <si>
    <t>Telling the thief to steal and the householder to beware—double-dealing</t>
  </si>
  <si>
    <t>দালাল/কুটনী</t>
  </si>
  <si>
    <t>চোরকে ধর্মের কাহিনী শুনানো আর উলুবনে মুক্তা ছড়ানো একই কথা</t>
  </si>
  <si>
    <t>চোরকে ধর্মকথা শোনানো, উলুবনে মুক্তা ছড়ানো—একই</t>
  </si>
  <si>
    <t>দুর্বৃত্তকে উপদেশ দেওয়া বৃথা</t>
  </si>
  <si>
    <t>Preaching to a thief is like scattering pearls in reeds—futility</t>
  </si>
  <si>
    <t>দুর্বৃত্ত</t>
  </si>
  <si>
    <t>চোরা গরুর সাথে কপিলার বন্ধন</t>
  </si>
  <si>
    <t>চোরা (চুরি করা) গরুর সাথে কপিলা (সাদা?) গরুর বন্ধন</t>
  </si>
  <si>
    <t>ভালো-মন্দ একসাথে বাঁধা; অবিচার</t>
  </si>
  <si>
    <t>Tying a stolen cow with a white one—guilt by association</t>
  </si>
  <si>
    <t>চোরা না শোনে ধর্মের কাহিনী- কাশীরাম দাস</t>
  </si>
  <si>
    <t>চোর ধর্মকথা শোনে না</t>
  </si>
  <si>
    <t>দুষ্ট লোক উপদেশে কান দেয় না</t>
  </si>
  <si>
    <t>A thief doesn't listen to scriptures</t>
  </si>
  <si>
    <t>চোর/দুষ্ট</t>
  </si>
  <si>
    <t>চোরে কামারে দেখা নেই সিঁধকাঠি গড়া</t>
  </si>
  <si>
    <t>চোর আর কামারের দেখা নেই, সিঁধকাঠি তৈরি</t>
  </si>
  <si>
    <t>চোর আর কামার যোগসাজশে কাজ সারে; মিলে কাজ</t>
  </si>
  <si>
    <t>Thief and blacksmith never meet, yet the lockpick is made—hidden collaboration</t>
  </si>
  <si>
    <t>যোগসাজশ</t>
  </si>
  <si>
    <t>চোরে চায় ভাঙা বেড়া</t>
  </si>
  <si>
    <t>চোর ভাঙা বেড়া চায় (পুনরুক্তি)</t>
  </si>
  <si>
    <t>দুর্বল জায়গা খোঁজে</t>
  </si>
  <si>
    <t>A thief likes a broken fence</t>
  </si>
  <si>
    <t>চোরে চোরে আলি (আত্মীয়তা) এক চোরে বিয়ে করে আরেক চোরের শালী</t>
  </si>
  <si>
    <t>চোরে চোরে আত্মীয়তা; এক চোর বিয়ে করে আরেক চোরের শালীকে</t>
  </si>
  <si>
    <t>দুই দুষ্টের মধ্যে বন্ধুত্ব ও বৈবাহিক সম্পর্ক</t>
  </si>
  <si>
    <t>Thieves are relatives; one marries the sister-in-law of another—bond among rogues</t>
  </si>
  <si>
    <t>চোরের উপর বাটপাড়ি (ডাকাতি)</t>
  </si>
  <si>
    <t>এক শয়তানের উপর আরেক শয়তানি</t>
  </si>
  <si>
    <t>Robbery upon a thief—double evil</t>
  </si>
  <si>
    <t>অপরের উপর রাগ করে নিজের ক্ষতি করা</t>
  </si>
  <si>
    <t>Angry at the thief, eating rice on the ground—hurting oneself</t>
  </si>
  <si>
    <t>চোরের দশদিন, গৃহস্থের একদিন১</t>
  </si>
  <si>
    <t>চোরের দশদিন, গৃহস্থের একদিন</t>
  </si>
  <si>
    <t>পাপীর অনেক সময় সুখ, কিন্তু শেষে ধরা</t>
  </si>
  <si>
    <t>Ten days for the thief, one day for the householder—evil's brief reign</t>
  </si>
  <si>
    <t>চোর/গৃহস্থ</t>
  </si>
  <si>
    <t>চোরের দশদিন, গৃহস্থের একদিন২</t>
  </si>
  <si>
    <t>চোরের দশদিন, গৃহস্থের একদিন (দ্বিতীয়)</t>
  </si>
  <si>
    <t>পাপের ফল একদিন ভোগ করতেই হবে</t>
  </si>
  <si>
    <t>Thief's ten days, honest man's one day—retribution</t>
  </si>
  <si>
    <t>চোরের ধন বাটপাড়ে খায়/লয়</t>
  </si>
  <si>
    <t>চোরের ধন বাটপাড়ে নেয়</t>
  </si>
  <si>
    <t>এক অসৎ আরেক অসৎকে ঠকায়</t>
  </si>
  <si>
    <t>A thief's wealth is taken by a robber—evil preys on evil</t>
  </si>
  <si>
    <t>চোর/বাটপাড়</t>
  </si>
  <si>
    <t>চোরের বল মিথ্যায় আশ্রয়</t>
  </si>
  <si>
    <t>চোরের বল মিথ্যার উপর নির্ভর</t>
  </si>
  <si>
    <t>চোর মিথ্যা কথা বলেই বাঁচে</t>
  </si>
  <si>
    <t>A thief's strength lies in lies</t>
  </si>
  <si>
    <t>চোরের মন চৌকিদারে</t>
  </si>
  <si>
    <t>চোরের মন চৌকিদারের দিকে</t>
  </si>
  <si>
    <t>অপরাধী সর্বদা সতর্ক থাকে; পাহারাদারকে ভয়</t>
  </si>
  <si>
    <t>A thief's mind is on the guard—watchful</t>
  </si>
  <si>
    <t>চোরের মন পুঁই আদাড়ে/বোঁচকার দিকে</t>
  </si>
  <si>
    <t>চোরের মন পুঁই (মাল) বা বোঁচকার দিকে</t>
  </si>
  <si>
    <t>চোর লুকানো জিনিসের দিকে তাকায়</t>
  </si>
  <si>
    <t>A thief's mind is on the bundle—looking for loot</t>
  </si>
  <si>
    <t>চোরের মায়ের কান্না</t>
  </si>
  <si>
    <t>গোপনে কান্না; প্রকাশ্যে ধরা পড়লে কাঁদে না</t>
  </si>
  <si>
    <t>A thief's mother's tears—secret weeping</t>
  </si>
  <si>
    <t>চোরের মা (নারী)</t>
  </si>
  <si>
    <t>চোরের মায়ের বড় গলা</t>
  </si>
  <si>
    <t>চোরের মায়ের বড় গলা (চিৎকার)</t>
  </si>
  <si>
    <t>দোষী হয়েও উল্টে চেঁচানো</t>
  </si>
  <si>
    <t>A thief's mother has a loud voice—defending the guilty</t>
  </si>
  <si>
    <t>চোরের সাক্ষী গাঁটকাটা</t>
  </si>
  <si>
    <t>চোরের সাক্ষী গাঁটকাটা (পকেটমার)</t>
  </si>
  <si>
    <t>দুষ্টের সাক্ষী আরেক দুষ্ট; সঙ্গী দোষী</t>
  </si>
  <si>
    <t>A thief's witness is a pickpocket—accomplice</t>
  </si>
  <si>
    <t>চোর/গাঁটকাটা</t>
  </si>
  <si>
    <t>চৌকিদারি কি ঝকমারি</t>
  </si>
  <si>
    <t>চৌকিদারি কি ঝকমারি (ঝামেলা)</t>
  </si>
  <si>
    <t>প্রহরার কাজ ঝামেলাপূর্ণ; বিনা লাভ</t>
  </si>
  <si>
    <t>Guarding is a hassle—thankless job</t>
  </si>
  <si>
    <t>চৌকিদার</t>
  </si>
  <si>
    <t>চৌঘরি মাত দেখানো</t>
  </si>
  <si>
    <t>চৌঘরি (বহু রঙের) মাত (পাগলামি) দেখানো</t>
  </si>
  <si>
    <t>নানা রকমের চালাকি বা কাণ্ড করা</t>
  </si>
  <si>
    <t>Showing multicolored madness—varied antics</t>
  </si>
  <si>
    <t>চৌরে গতে বা কিমু সাবাধানম</t>
  </si>
  <si>
    <t>চোর গেলে বা কী সাবধানতা?</t>
  </si>
  <si>
    <t>চোর চলে গেলে সাবধানতা বৃথা</t>
  </si>
  <si>
    <t>What caution after the thief has gone?—futility</t>
  </si>
  <si>
    <t>ছ-আনার কাপড়ে ন-আনার পাড়</t>
  </si>
  <si>
    <t>ছয় আনার কাপড়ে নয় আনার পাড় (পট্টি)</t>
  </si>
  <si>
    <t>মূলের চেয়ে সাজ বেশি দামি</t>
  </si>
  <si>
    <t>Six-anna cloth with nine-anna border—trim costlier than cloth</t>
  </si>
  <si>
    <t>ছকড়া নকড়া করা</t>
  </si>
  <si>
    <t>ছকড়া নকড়া (টুকরো টুকরো) করা</t>
  </si>
  <si>
    <t>ভেঙেচুরে দেওয়া; ধ্বংস</t>
  </si>
  <si>
    <t>Shattering to pieces—destroy</t>
  </si>
  <si>
    <t>ছড়ায় যে জন পথের কাঁটা তার যেন থাকে জুতা আঁটা</t>
  </si>
  <si>
    <t>যে পথের কাঁটা সরায়, তার জুতা যেন ঠিক থাকে</t>
  </si>
  <si>
    <t>পরোপকারীর রক্ষা কামনা</t>
  </si>
  <si>
    <t>He who clears road thorns, may his shoes stay intact—bless the do-gooder</t>
  </si>
  <si>
    <t>পরোপকার</t>
  </si>
  <si>
    <t>ছল করে জল আনা</t>
  </si>
  <si>
    <t>ছলনা করে জল আনা</t>
  </si>
  <si>
    <t>কৌশলে কাজ আদায়; ফাঁকি</t>
  </si>
  <si>
    <t>Fetching water by trickery—deceit</t>
  </si>
  <si>
    <t>ছাঁচের জলে খাবি খায়, সমুদ্রপার হতে চায়/যায়।</t>
  </si>
  <si>
    <t>ছাঁচের জলে ডুবে, সমুদ্র পার হতে চায়</t>
  </si>
  <si>
    <t>ছোটতে অক্ষম, অথচ বড় আশা</t>
  </si>
  <si>
    <t>Drowning in a puddle, yet wants to cross the ocean—overambitious</t>
  </si>
  <si>
    <t>ছাঁদনদড়ি গোদাবাড়ী যে আমার আমি তারি</t>
  </si>
  <si>
    <t>ছাঁদন দড়ি, গোদা বাড়ি; যে আমার, আমি তারই</t>
  </si>
  <si>
    <t>পরনির্ভরশীল; যে আশ্রয় দেয় তার অনুগত</t>
  </si>
  <si>
    <t>Whose roof and rope, I belong to them—dependency</t>
  </si>
  <si>
    <t>ছাইচাপা আগুন১</t>
  </si>
  <si>
    <t>ছাইচাপা আগুন</t>
  </si>
  <si>
    <t>দমন করা সত্ত্বেও বিপদ ফের জাগতে পারে</t>
  </si>
  <si>
    <t>Fire under ash—smoldering danger</t>
  </si>
  <si>
    <t>ছাইচাপা আগুন২</t>
  </si>
  <si>
    <t>ছাইচাপা আগুন (দ্বিতীয়)</t>
  </si>
  <si>
    <t>লুকানো শক্তি বা বিদ্বেষ</t>
  </si>
  <si>
    <t>Hidden fire—dormant threat</t>
  </si>
  <si>
    <t>ছাইতে জানিনে গোড় চিনি</t>
  </si>
  <si>
    <t>ছাইতে জানি না, গোড়া চিনি</t>
  </si>
  <si>
    <t>উপেক্ষা করে মূল কারণ দেখতে চাই</t>
  </si>
  <si>
    <t>Not knowing the ash, I recognize the root—confused priority</t>
  </si>
  <si>
    <t>ছাই পায় না মুড়কি জলপান</t>
  </si>
  <si>
    <t>ছাই পায় না, মুড়কি জলপান (পানীয়)</t>
  </si>
  <si>
    <t>সাধারণও জোটে না, অথচ বিশেষ চায়</t>
  </si>
  <si>
    <t>Not even ash, but wants puffed rice and drink—unreasonable</t>
  </si>
  <si>
    <t>ছাই পেতে কাটা</t>
  </si>
  <si>
    <t>ছাই পেতে কাঁটা</t>
  </si>
  <si>
    <t>সামান্য কাজেও বাধা</t>
  </si>
  <si>
    <t>Even spreading ash gets a thorn—hindrance in small tasks</t>
  </si>
  <si>
    <t>ছাই ফেলতে ভাঙা কুলো১</t>
  </si>
  <si>
    <t>ছাই ফেলতে ভাঙা কুলো</t>
  </si>
  <si>
    <t>অক্ষমের হাতে দুর্বল উপকরণ; বাজে অবস্থা</t>
  </si>
  <si>
    <t>A broken winnowing fan to throw ash—inefficient tool</t>
  </si>
  <si>
    <t>ছাই ফেলতে ভাঙা কুলো২</t>
  </si>
  <si>
    <t>ছাই ফেলতে ভাঙা কুলো (দ্বিতীয়)</t>
  </si>
  <si>
    <t>কাজের নয় জিনিস</t>
  </si>
  <si>
    <t>Using broken fan for ash—useless</t>
  </si>
  <si>
    <t>ছাই মাখলেই সন্ন্যাসী হয় না১</t>
  </si>
  <si>
    <t>ছাই মাখলেই সন্ন্যাসী হয় না</t>
  </si>
  <si>
    <t>বাহ্যিক সাজে ধার্মিক হওয়া যায় না</t>
  </si>
  <si>
    <t>Smearing ash doesn't make one a monk—disguise isn't enough</t>
  </si>
  <si>
    <t>ছাই মাখলেই সন্ন্যাসী হয় না২</t>
  </si>
  <si>
    <t>ছাই মাখলেই সন্ন্যাসী হয় না (দ্বিতীয়)</t>
  </si>
  <si>
    <t>ভেক ধরে সাধু হওয়া যায় না</t>
  </si>
  <si>
    <t>Ash on body doesn't make a saint</t>
  </si>
  <si>
    <t>ছাইমুঠো ধরলে সোনামুঠো হয়</t>
  </si>
  <si>
    <t>সৌভাগ্যবান হাত; ছাইও সোনা হয়ে যায়</t>
  </si>
  <si>
    <t>If lucky, even a handful of ash turns gold</t>
  </si>
  <si>
    <t>ছাগল দিয়ে ধান চাষ</t>
  </si>
  <si>
    <t>অযোগ্য দিয়ে কাজ করানো; ছাগল দিয়ে চাষ অসম্ভব</t>
  </si>
  <si>
    <t>Ploughing paddy with a goat—impossible</t>
  </si>
  <si>
    <t>ছাগল বলে আলুনি খেলাম; গেরস্ত বলে প্রাণে ম'লাম</t>
  </si>
  <si>
    <t>ছাগল বলে নুন ছাড়া খেয়েছি, গৃহস্থ বলে প্রাণে মরেছি</t>
  </si>
  <si>
    <t>ছাগল বলছে লবণহীন ভাত খেয়েছে, গৃহস্থ বলছে তার প্রাণ যায়—দুই পক্ষের অভিযোগ</t>
  </si>
  <si>
    <t>Goat says it ate unsalted; master says he's dying—both complain</t>
  </si>
  <si>
    <t>অভিযোগ</t>
  </si>
  <si>
    <t>ছাগলকে ভাঙা বেড়া দেখাতে নেই</t>
  </si>
  <si>
    <t>দুর্বল স্থান দেখালে সে সুযোগ নেয়</t>
  </si>
  <si>
    <t>Don't show a goat a broken fence—it will escape</t>
  </si>
  <si>
    <t>ছাগলে কিনা খায়, পাগলে কিনা বলে</t>
  </si>
  <si>
    <t>ছাগল কী না খায়, পাগলে কী না বলে</t>
  </si>
  <si>
    <t>ছাগল সব খায়, পাগল যা ইচ্ছা বলে</t>
  </si>
  <si>
    <t>A goat eats anything, a madman says anything—no limits</t>
  </si>
  <si>
    <t>ছাগলের লোমে পশম হয় না</t>
  </si>
  <si>
    <t>নীচ জিনিস দিয়ে ভালো কিছু হয় না</t>
  </si>
  <si>
    <t>Goat hair doesn't make wool—inferior can't yield superior</t>
  </si>
  <si>
    <t>ছাড়া পাখী ফিরে আসে বলা কথা ফেরে না</t>
  </si>
  <si>
    <t>ছাড়া পাখি ফেরে, বলা কথা ফেরে না</t>
  </si>
  <si>
    <t>কথা একবার বললে ফেরানো যায় না</t>
  </si>
  <si>
    <t>A released bird may return; spoken words never—irreversible</t>
  </si>
  <si>
    <t>ছাতা দিয়ে মাথা রাখা</t>
  </si>
  <si>
    <t>বিপদে সামান্য রক্ষা; বাঁচার চেষ্টা</t>
  </si>
  <si>
    <t>Keeping head under an umbrella—sheltering</t>
  </si>
  <si>
    <t>ছাতার (পাখি) বলে গাঁ আমার</t>
  </si>
  <si>
    <t>ছাতার (চিল?) পাখি বলে গ্রাম আমার</t>
  </si>
  <si>
    <t>দুর্বলও নিজের এলাকা দাবি করে</t>
  </si>
  <si>
    <t>The kite claims the village—ownership</t>
  </si>
  <si>
    <t>দাবি</t>
  </si>
  <si>
    <t>ছাতারে কীর্তন চলছে</t>
  </si>
  <si>
    <t>ছাতায় কীর্তন চলছে</t>
  </si>
  <si>
    <t>ছাদের নীচে ধর্মীয় গান; বা প্রহসন</t>
  </si>
  <si>
    <t>Kirtan under the umbrella—makeshift</t>
  </si>
  <si>
    <t>ছাতুর হাঁড়িতে বাড়ি পড়া১</t>
  </si>
  <si>
    <t>ছাতু (ছোলার গুঁড়ো) ভর্তি হাঁড়িতে বাড়ি পড়া</t>
  </si>
  <si>
    <t>সামান্য জিনিস নিয়ে বিপদ</t>
  </si>
  <si>
    <t>A blow on a pot of roasted gram flour—disaster</t>
  </si>
  <si>
    <t>ছাতুর হাঁড়িতে বাড়ি পড়া২</t>
  </si>
  <si>
    <t>ছাতুর হাঁড়িতে বাড়ি পড়া (দ্বিতীয়)</t>
  </si>
  <si>
    <t>তুচ্ছ জিনিস নাশ</t>
  </si>
  <si>
    <t>Hitting the gram pot—misfortune</t>
  </si>
  <si>
    <t>ছাত্রানাং অধ্যয়নং তপঃ</t>
  </si>
  <si>
    <t>ছাত্রদের অধ্যয়নই তপস্যা</t>
  </si>
  <si>
    <t>ছাত্রের পড়াশোনা তপস্যার সমান</t>
  </si>
  <si>
    <t>Students' study is penance</t>
  </si>
  <si>
    <t>ছায়া আর কায়া</t>
  </si>
  <si>
    <t>ছায়া আর কায়া (দেহ)</t>
  </si>
  <si>
    <t>অবিচ্ছেদ্য সম্পর্ক; ছায়ার মতো সঙ্গে</t>
  </si>
  <si>
    <t>Shadow and body—inseparable</t>
  </si>
  <si>
    <t>ছায়া চাইলে বড়গাছের তলায় নিও</t>
  </si>
  <si>
    <t>ছায়া চাইলে বড় গাছের তলায় নিও</t>
  </si>
  <si>
    <t>মহতের আশ্রয় নিলে উপকার পাওয়া যায়</t>
  </si>
  <si>
    <t>If you want shade, seek a big tree—patronage of the great</t>
  </si>
  <si>
    <t>ছায়া ভালো ছাতার তল; বল ভালো নিজের বল- খনা</t>
  </si>
  <si>
    <t>ছায়া ভালো ছাতার তল, বল ভালো নিজের বল</t>
  </si>
  <si>
    <t>নিজের শক্তি ও আশ্রয়ই শ্রেষ্ঠ; পরনির্ভরতা নয়</t>
  </si>
  <si>
    <t>Shade is best under one's own umbrella; strength is best one's own.</t>
  </si>
  <si>
    <t>ছায়াতে ভূত দেখা</t>
  </si>
  <si>
    <t>অকারণে ভয় পাওয়া; ভুল দেখা</t>
  </si>
  <si>
    <t>Seeing ghosts in shadows—imaginary fear.</t>
  </si>
  <si>
    <t>ছায়ার পিছনে ছুটে ছায়া ধরা যায় না</t>
  </si>
  <si>
    <t>ছায়ার পিছনে দৌড়ে ছায়া ধরা যায় না</t>
  </si>
  <si>
    <t>অসম্ভবের পিছনে ছোটা বৃথা</t>
  </si>
  <si>
    <t>You can't catch a shadow by chasing it.</t>
  </si>
  <si>
    <t>ছাল নেই কুত্তা, নাম তার বাঘা</t>
  </si>
  <si>
    <t>ছাল নেই কুকুর, নাম তার বাঘা</t>
  </si>
  <si>
    <t>অযোগ্যের বড় নাম; বেমানান</t>
  </si>
  <si>
    <t>A skinless dog named Tiger—incongruous.</t>
  </si>
  <si>
    <t>অযোগ্য/বড়াই</t>
  </si>
  <si>
    <t>ছিঁড়লো দড়া তো ছুটলো ঘোড়া১</t>
  </si>
  <si>
    <t>ছিঁড়ল দড়ি তো ছুটল ঘোড়া</t>
  </si>
  <si>
    <t>বন্ধন ছিঁড়লে স্বাধীনতা; দায়মুক্তি</t>
  </si>
  <si>
    <t>If the rope snaps, the horse runs free—release.</t>
  </si>
  <si>
    <t>ছিঁড়েছিঁড়ে কাটুনী, পুড়েপুড়ে রাঁধুনী</t>
  </si>
  <si>
    <t>ছিঁড়ে ছিঁড়ে কাটুনী, পুড়ে পুড়ে রাঁধুনী</t>
  </si>
  <si>
    <t>অদক্ষ লোক জিনিস নষ্ট করে</t>
  </si>
  <si>
    <t>A cutter who tears, a cook who burns—incompetent.</t>
  </si>
  <si>
    <t>অদক্ষ</t>
  </si>
  <si>
    <t>ছিকলি কাটা টিয়ে</t>
  </si>
  <si>
    <t>বন্ধনমুক্ত; স্বাধীন</t>
  </si>
  <si>
    <t>A parrot freed from its chain—unrestrained.</t>
  </si>
  <si>
    <t>ছিদ্রেস্বনর্থা বহুলী ভবন্তী</t>
  </si>
  <si>
    <t>ছিদ্রে অনর্থ বহুল হয়</t>
  </si>
  <si>
    <t>একটি ত্রুটি থেকে অনেক বিপদ আসে</t>
  </si>
  <si>
    <t>Through a hole, many troubles multiply.</t>
  </si>
  <si>
    <t>ছিল ঢেঁকি হল শূল কাটতে কাটতে নির্মূল</t>
  </si>
  <si>
    <t>ছিল ঢেঁকি, হল শূল, কাটতে কাটতে নির্মূল</t>
  </si>
  <si>
    <t>একটা জিনিস ক্ষয়ে গিয়ে ধ্বংস</t>
  </si>
  <si>
    <t>The husking pedal became a spike and was cut down to nothing.</t>
  </si>
  <si>
    <t>ছিল না কথা দিল গাল আজ না হয় হবে কাল</t>
  </si>
  <si>
    <t>ছিল না কথা, দিল গাল; আজ না হয় হবে কাল</t>
  </si>
  <si>
    <t>অপেক্ষা করা; যা হবে পরে হবে</t>
  </si>
  <si>
    <t>No words, but abuse; if not today, then tomorrow.</t>
  </si>
  <si>
    <t>অপেক্ষা</t>
  </si>
  <si>
    <t>ছিল যত নাড়াবুনে সব হলো কীর্তুনে</t>
  </si>
  <si>
    <t>ছিল যত নাড়াবুনে, সব হলো কীর্তুনে</t>
  </si>
  <si>
    <t>পূর্বের অস্থিরতা ভক্তিতে পরিণত</t>
  </si>
  <si>
    <t>All the restless ones turned to devotional singing.</t>
  </si>
  <si>
    <t>ছিলাম রোগী হয়েছে রোজা</t>
  </si>
  <si>
    <t>ছিলাম রোগী, হয়েছে রোজা</t>
  </si>
  <si>
    <t>এক কষ্টের পর আরেক কষ্ট; অবস্থার পরিবর্তন</t>
  </si>
  <si>
    <t>I was a patient, now fasting—hardship continues.</t>
  </si>
  <si>
    <t>ছুঁচ, সোহাগ, সুজন- ভালো করে তিনজন; উই, ইঁদু্র, কুজন- মন্দ করে তিনজন।</t>
  </si>
  <si>
    <t>ছুঁচ, সোহাগ, সুজন—ভালো করে তিনজন; উই, ইঁদুর, কুজন—মন্দ করে তিনজন</t>
  </si>
  <si>
    <t>ভালো ও মন্দ কাজের প্রতীক ব্যক্তি</t>
  </si>
  <si>
    <t>Needle, borax, good person—three do good; termite, rat, bad person—three do evil.</t>
  </si>
  <si>
    <t>সুজন/কুজন</t>
  </si>
  <si>
    <t>ছুঁচ হয়ে ঢোকে ফাল (লাঙ্গলের ফলা) হয়ে বেরোয়১</t>
  </si>
  <si>
    <t>ছুঁচ হয়ে ঢোকে, ফাল হয়ে বেরোয়</t>
  </si>
  <si>
    <t>সামান্য শুরু করে বিশালরূপে বের হওয়া</t>
  </si>
  <si>
    <t>Enters like a needle, exits like a ploughshare—small in, big out.</t>
  </si>
  <si>
    <t>ছুঁচ হয়ে ঢোকে ফাল (লাঙ্গলের ফলা) হয়ে বেরোয়২</t>
  </si>
  <si>
    <t>ছুঁচ হয়ে ঢোকে, ফাল হয়ে বেরোয় (দ্বিতীয়)</t>
  </si>
  <si>
    <t>ক্ষুদ্র থেকে প্রকাণ্ড হওয়া</t>
  </si>
  <si>
    <t>Coming as needle, going as plough—growth.</t>
  </si>
  <si>
    <t>ছুঁচো মেরে হাত গন্ধ১</t>
  </si>
  <si>
    <t>ছুঁচো মেরে হাতে গন্ধ</t>
  </si>
  <si>
    <t>মন্দ কাজ করলে কলঙ্ক লাগে</t>
  </si>
  <si>
    <t>Killing a mole leaves a stench on the hand—evil leaves a stain.</t>
  </si>
  <si>
    <t>ছুঁচো মেরে হাত গন্ধ২</t>
  </si>
  <si>
    <t>ছুঁচো মেরে হাত গন্ধ (দ্বিতীয়)</t>
  </si>
  <si>
    <t>অপরাধ করলে দুর্নাম হয়</t>
  </si>
  <si>
    <t>Even killing a mole makes your hand stink.</t>
  </si>
  <si>
    <t>ছুঁচোয় যদি আতর মাখে, তবু কি তার গন্ধ ঢাকে?১</t>
  </si>
  <si>
    <t>ছুঁচোয় আতর মাখলেও কি গন্ধ ঢাকে?</t>
  </si>
  <si>
    <t>স্বভাবগত দোষ বদলানো যায় না</t>
  </si>
  <si>
    <t>Even if you put perfume on a mole, can it hide the stench?</t>
  </si>
  <si>
    <t>ছুঁচোয় যদি আতর মাখে, তবু কি তার গন্ধ ঢাকে?২</t>
  </si>
  <si>
    <t>ছুঁচোয় আতর মাখলেও কি গন্ধ ঢাকে? (দ্বিতীয়)</t>
  </si>
  <si>
    <t>কুপ্রকৃতি কখনো বদলায় না</t>
  </si>
  <si>
    <t>Even perfume cannot mask a mole's odor.</t>
  </si>
  <si>
    <t>ছুঁচোর গু ওষুধে লাগে ছুঁচো গিয়ে পর্বতে হাগে</t>
  </si>
  <si>
    <t>ছুঁচোর গু ওষুধে লাগে, ছুঁচো পর্বতে হাগে</t>
  </si>
  <si>
    <t>প্রয়োজনীয় জিনিস যখন দরকার তখন পাওয়া যায় না</t>
  </si>
  <si>
    <t>The mole's dung is useful in medicine, but the mole goes to the mountain to defecate.</t>
  </si>
  <si>
    <t>ছুঁচোর গোলাম চামচিকে মাইনে তার চোদ্দ সিকে</t>
  </si>
  <si>
    <t>ছুঁচোর গোলাম চামচিকে, মাইনে তার চোদ্দ সিকে</t>
  </si>
  <si>
    <t>তুচ্ছের দাসত্ব, অথচ বড় মজুরি</t>
  </si>
  <si>
    <t>A bat is a mole's servant, yet its wage is fourteen seers—incongruous.</t>
  </si>
  <si>
    <t>ছেঁড়াকলার পাত একবউকে ভাত দেয় না আরো বউয়ের সাধ</t>
  </si>
  <si>
    <t>ছেঁড়া কলার পাতা এক বউকে ভাত দেয় না, আরও বউয়ের সাধ</t>
  </si>
  <si>
    <t>একজনকে পালন করতে পারে না, অথচ আরেকজনের শখ</t>
  </si>
  <si>
    <t>A torn banana leaf can't feed one wife, yet desire for more wives.</t>
  </si>
  <si>
    <t>বহু বিবাহ/স্ত্রী</t>
  </si>
  <si>
    <t>লিঙ্গ/পরিবার</t>
  </si>
  <si>
    <t>ছেঁড়াকাঁথায় শুয়ে লাখ টাকার স্বপ্ন দেখা</t>
  </si>
  <si>
    <t>ছেঁড়া কাঁথায় শুয়ে লাখ টাকার স্বপ্ন</t>
  </si>
  <si>
    <t>দারিদ্র্যের মধ্যে বড় স্বপ্ন</t>
  </si>
  <si>
    <t>Sleeping under a torn quilt, dreaming of millions.</t>
  </si>
  <si>
    <t>ছেঁড়াকাপড় রুখু মাথা দুঃখ বলে যাবো কোথা?</t>
  </si>
  <si>
    <t>ছেঁড়া কাপড়, রুক্ষ মাথা; দুঃখ বলে যাব কোথা?</t>
  </si>
  <si>
    <t>দুঃখ-দারিদ্র্যের চরম অবস্থা</t>
  </si>
  <si>
    <t>Torn clothes, unkempt hair—where to go with sorrow?</t>
  </si>
  <si>
    <t>ছেঁড়াচুলে খোঁপা বাঁধা১</t>
  </si>
  <si>
    <t>ছেঁড়া চুলে খোঁপা বাঁধা</t>
  </si>
  <si>
    <t>অসম্ভব কাজ; বেমানান</t>
  </si>
  <si>
    <t>Tying a bun with torn hair—futile.</t>
  </si>
  <si>
    <t>ছেঁড়াচুলে খোঁপা বাঁধা২</t>
  </si>
  <si>
    <t>ছেঁড়া চুলে খোঁপা বাঁধা (দ্বিতীয়)</t>
  </si>
  <si>
    <t>অযোগ্য উপকরণে কাজ</t>
  </si>
  <si>
    <t>Making a bun with broken hair—impossible.</t>
  </si>
  <si>
    <t>ছেঁড়াবস্তায় খাসাচাল১</t>
  </si>
  <si>
    <t>ছেঁড়া বস্তায় খাসা চাল</t>
  </si>
  <si>
    <t>উৎকৃষ্ট জিনিস বাজে পাত্রে</t>
  </si>
  <si>
    <t>Fine rice in a torn sack—good in bad container.</t>
  </si>
  <si>
    <t>অবস্থান</t>
  </si>
  <si>
    <t>ছেঁড়াবস্তায় খাসাচাল২</t>
  </si>
  <si>
    <t>ছেঁড়া বস্তায় খাসা চাল (দ্বিতীয়)</t>
  </si>
  <si>
    <t>মূল্যবান জিনিসের অপব্যবহার</t>
  </si>
  <si>
    <t>Good rice in a tattered sack.</t>
  </si>
  <si>
    <t>ছেঁড়াসম্পর্ক জোড়া লাগে না</t>
  </si>
  <si>
    <t>ছেঁড়া সম্পর্ক জোড়া লাগে না</t>
  </si>
  <si>
    <t>ভাঙা সম্পর্ক মেরামত করা কঠিন</t>
  </si>
  <si>
    <t>A broken relationship cannot be mended.</t>
  </si>
  <si>
    <t>ছেঁদাপয়সার মা-বাপ</t>
  </si>
  <si>
    <t>ছেঁদা পয়সার মা-বাপ</t>
  </si>
  <si>
    <t>অতি কৃপণ; পয়সার হিসাব রাখে</t>
  </si>
  <si>
    <t>Parents of a holed coin—miserly.</t>
  </si>
  <si>
    <t>ছেঁদোকথা মাথার জটা, খুলতে গেলে বিষম ল্যাঠা</t>
  </si>
  <si>
    <t>ছেঁদো কথা মাথার জটা, খুলতে গেলে বিষম ঝামেলা</t>
  </si>
  <si>
    <t>জটিল কথা সহজে সমাধান হয় না</t>
  </si>
  <si>
    <t>Tangled words like matted hair—hard to untangle.</t>
  </si>
  <si>
    <t>ছেড়ে দিয়ে তেড়ে ধরা</t>
  </si>
  <si>
    <t>শিথিল করে পরে প্রবলভাবে আক্রমণ</t>
  </si>
  <si>
    <t>Let go and then fiercely catch—trap.</t>
  </si>
  <si>
    <t>ছেড়ে দে মা কেঁদে বাঁচি</t>
  </si>
  <si>
    <t>ছেড়ে দে মা, কেঁদে বাঁচি</t>
  </si>
  <si>
    <t>কষ্ট থেকে মুক্তি পেতে কান্নাকাটি</t>
  </si>
  <si>
    <t>Let me go, mother, let me weep to survive.</t>
  </si>
  <si>
    <t>ছেলে থেকে ছেলের মাথা ভারী</t>
  </si>
  <si>
    <t>ছেলের চেয়ে ছেলের মাথা ভারী</t>
  </si>
  <si>
    <t>মূল ব্যক্তির চেয়ে তার দায় বা সম্পদ বেশি</t>
  </si>
  <si>
    <t>The boy's head is heavier than the boy himself—burden.</t>
  </si>
  <si>
    <t>ছেলে নষ্ট হাটে বউ নষ্ট ঘাটে</t>
  </si>
  <si>
    <t>ছেলে নষ্ট হয় বাজারে, বউ নষ্ট হয় ঘাটে</t>
  </si>
  <si>
    <t>খারাপ সঙ্গ বা স্থানে চরিত্র নষ্ট হয়</t>
  </si>
  <si>
    <t>A boy is spoiled at the market, a wife at the river ghat—environment.</t>
  </si>
  <si>
    <t>স্ত্রী/ছেলে</t>
  </si>
  <si>
    <t>লিঙ্গ/পরিবেশ</t>
  </si>
  <si>
    <t>ছেলের চেয়ে ছেলের গু ভারী</t>
  </si>
  <si>
    <t>ছেলের চেয়ে ছেলের মল ভারী</t>
  </si>
  <si>
    <t>মূলের চেয়ে আনুষঙ্গিক বেশি</t>
  </si>
  <si>
    <t>The boy's dung is heavier than the boy—exaggeration.</t>
  </si>
  <si>
    <t>ছেলের হাতের মোয়া নয় যে ভোগা দেবে</t>
  </si>
  <si>
    <t>শিশুর হাতে খাবার বেশিক্ষণ থাকে না; তেমনি অস্থায়ী</t>
  </si>
  <si>
    <t>Not a sweet in a child's hand that will be shared.</t>
  </si>
  <si>
    <t>ছেলেদের প্রতিভা এবং মেয়েদের রূপ দুইই জন্মগত ও প্রলয়ঙ্কর।</t>
  </si>
  <si>
    <t>ছেলেদের প্রতিভা, মেয়েদের রূপ—দুইই জন্মগত ও প্রলয়ঙ্কর</t>
  </si>
  <si>
    <t>প্রতিভা ও সৌন্দর্য উভয়ই বিপজ্জনক</t>
  </si>
  <si>
    <t>Boys' talent and girls' beauty are both innate and destructive.</t>
  </si>
  <si>
    <t>ছেলে/মেয়ে</t>
  </si>
  <si>
    <t>ছোঁড়া ঢিল/তীর ফেরে না</t>
  </si>
  <si>
    <t>ছোঁড়া ঢিল বা তীর ফেরে না</t>
  </si>
  <si>
    <t>একবার করা কাজ ফেরানো যায় না</t>
  </si>
  <si>
    <t>A thrown stone or arrow never returns.</t>
  </si>
  <si>
    <t>ছোট কাঁটাটি ফোটে পায়, তুলে ফেলো নইলে দায়</t>
  </si>
  <si>
    <t>ছোট কাঁটা পায়ে ফুটলে, তুলে ফেলো নইলে বিপদ</t>
  </si>
  <si>
    <t>ছোট সমস্যা দ্রুত সমাধান না করলে বড় হয়</t>
  </si>
  <si>
    <t>A small thorn in the foot—remove it quickly or suffer.</t>
  </si>
  <si>
    <t>ছোটখাটো বিষয় নিয়ে তর্ক করলে বেশি সময় নষ্ট হয়</t>
  </si>
  <si>
    <t>ছোটখাটো বিষয়ে তর্ক করলে সময় নষ্ট</t>
  </si>
  <si>
    <t>অল্প বিষয় নিয়ে বাকবিতণ্ডা না করাই ভালো</t>
  </si>
  <si>
    <t>Arguing over small matters wastes time.</t>
  </si>
  <si>
    <t>ছোটমুখে বড়কথা১</t>
  </si>
  <si>
    <t>অল্পবয়সের বা ছোট লোকের বড়াই</t>
  </si>
  <si>
    <t>Big words from a small mouth—boasting.</t>
  </si>
  <si>
    <t>ছোট্টশরীরে একটি বিরাট আত্মা বাস করে</t>
  </si>
  <si>
    <t>ছোট্ট শরীরে বিরাট আত্মা বাস করে</t>
  </si>
  <si>
    <t>দেহ ছোট হলেও মন বড় হতে পারে</t>
  </si>
  <si>
    <t>A tiny body houses a great soul.</t>
  </si>
  <si>
    <t>ছ্যাঁকা (গরম জলে) খাওয়া কুকুর জল দেখলে ভয় পায়</t>
  </si>
  <si>
    <t>ছ্যাঁকা খাওয়া কুকুর জল দেখলে ভয় পায়</t>
  </si>
  <si>
    <t>একবার ঠকলে পরেও ভয়</t>
  </si>
  <si>
    <t>A scalded dog fears even cold water—once bitten, twice shy.</t>
  </si>
  <si>
    <t>ছ্যাঁদাকলসি, চোরাগাই, চোরপড়শী ধূর্তভাই; মূর্খছেলে স্ত্রী নষ্ট, এই কয়টি বড়ই কষ্ট</t>
  </si>
  <si>
    <t>ছ্যাঁদা কলসি, চোরা গাই, চোর পড়শি, ধূর্ত ভাই; মূর্খ ছেলে, স্ত্রী নষ্ট—এগুলি বড় কষ্ট</t>
  </si>
  <si>
    <t>এই সাতটি জিনিস চরম কষ্টের কারণ</t>
  </si>
  <si>
    <t>A leaky pot, a stolen cow, a thieving neighbor, a cunning brother, a foolish son, a ruined wife—these are great sorrows.</t>
  </si>
  <si>
    <t>স্ত্রী/ছেলে/প্রতিবেশী</t>
  </si>
  <si>
    <t>পারিবারিক/সমাজ</t>
  </si>
  <si>
    <t>জগৎ আনন্দময় যার মনে যা লয়</t>
  </si>
  <si>
    <t>জগৎ আনন্দময়, যার মনে যা লয়</t>
  </si>
  <si>
    <t>মনের অবস্থাই জগৎকে নির্ধারণ করে</t>
  </si>
  <si>
    <t>The world is full of joy for one who feels joy within.</t>
  </si>
  <si>
    <t>জগৎজুড়ে জাল ফেলেছে পালিয়ে বাঁচবি কোথা?১</t>
  </si>
  <si>
    <t>জগৎজুড়ে জাল ফেলেছে, পালিয়ে বাঁচবি কোথা?</t>
  </si>
  <si>
    <t>সর্বত্র ফাঁদ পাতা; রক্ষা নেই</t>
  </si>
  <si>
    <t>A net is cast over the world; where will you flee?</t>
  </si>
  <si>
    <t>ফাঁদ</t>
  </si>
  <si>
    <t>জগৎ মায়াময়, শুধু ছায়ার খেলা</t>
  </si>
  <si>
    <t>পৃথিবী মায়া, অলীক</t>
  </si>
  <si>
    <t>The world is illusion, a play of shadows.</t>
  </si>
  <si>
    <t>জগতে ত্রুটিহীন কাজ দুর্লভ</t>
  </si>
  <si>
    <t>কোনো কাজই নিখুঁত নয়</t>
  </si>
  <si>
    <t>A flawless work is rare in this world.</t>
  </si>
  <si>
    <t>জগতে ভালো কে, যার মনে লাগে যে</t>
  </si>
  <si>
    <t>জগতে ভালো কে? যার মনে যাকে লাগে</t>
  </si>
  <si>
    <t>সৌন্দর্য দর্শকের চোখে</t>
  </si>
  <si>
    <t>Who is good in the world? Whomever one's mind likes.</t>
  </si>
  <si>
    <t>আপেক্ষিকতা</t>
  </si>
  <si>
    <t>জগন্নাথ পেতে গেলে হাড়ীর ঝাঁটা খেতে হয়</t>
  </si>
  <si>
    <t>জগন্নাথ পেতে গেলে হাড়ির ঝাঁটা খেতে হয়</t>
  </si>
  <si>
    <t>বড় কিছু পেতে অপমান সহ্য করতে হয়</t>
  </si>
  <si>
    <t>To reach Jagannath, one must endure the sweeper's broom.</t>
  </si>
  <si>
    <t>জগাখিচুড়ি১</t>
  </si>
  <si>
    <t>জগাখিচুড়ি</t>
  </si>
  <si>
    <t>বিশৃঙ্খলা; এলোমেলো</t>
  </si>
  <si>
    <t>Hotchpotch—a mess.</t>
  </si>
  <si>
    <t>জগাখিচুড়ি পাকানো</t>
  </si>
  <si>
    <t>বিশৃঙ্খলা সৃষ্টি করা</t>
  </si>
  <si>
    <t>To cook khichuri—to create chaos.</t>
  </si>
  <si>
    <t>জঙ্গল মে মঙ্গল হোনা- হিন্দি প্রবাদ</t>
  </si>
  <si>
    <t>জঙ্গলে মঙ্গল হওয়া</t>
  </si>
  <si>
    <t>বিপদেও মঙ্গল হতে পারে</t>
  </si>
  <si>
    <t>In the jungle, there is well-being.</t>
  </si>
  <si>
    <t>জঙ্গলা কখনো পোষ না মানে, মন সদা তার কেওড়া/সোঁদর বনে১</t>
  </si>
  <si>
    <t>জঙ্গলা পোষ মানে না, মন তার সোঁদর বনে</t>
  </si>
  <si>
    <t>বন্য প্রকৃতির মানুষ বাধন মানে না</t>
  </si>
  <si>
    <t>The wild one never tames; its heart is in the fragrant forest.</t>
  </si>
  <si>
    <t>স্বাধীনচেতা</t>
  </si>
  <si>
    <t>জঙ্গলা কখনো পোষ না মানে, মন সদা তার কেওড়া/সোঁদর বনে২</t>
  </si>
  <si>
    <t>জঙ্গলা পোষ মানে না (দ্বিতীয়)</t>
  </si>
  <si>
    <t>স্বাধীনচেতা বন্দী হয় না</t>
  </si>
  <si>
    <t>The wild one never gets domesticated.</t>
  </si>
  <si>
    <t>জড়ভরত</t>
  </si>
  <si>
    <t>অলস বা জড় পদার্থের মতো ব্যক্তি</t>
  </si>
  <si>
    <t>An inert person—like Bharata.</t>
  </si>
  <si>
    <t>জন জামাই ভাগনা, এ তিন নয় আপনা</t>
  </si>
  <si>
    <t>জন (লোক), জামাই, ভাগ্নে—এই তিন আপনা নয়</t>
  </si>
  <si>
    <t>এই তিনজন কখনো আপন হয় না</t>
  </si>
  <si>
    <t>A man, a son-in-law, a nephew—these three are never truly yours.</t>
  </si>
  <si>
    <t>জননী জন্মভূমিশ্চ স্বর্গাদপি গরিয়সী</t>
  </si>
  <si>
    <t>জননী ও জন্মভূমি স্বর্গের চেয়েও মহীয়ান</t>
  </si>
  <si>
    <t>মা ও মাতৃভূমির তুলনা নেই</t>
  </si>
  <si>
    <t>Mother and motherland are greater than heaven.</t>
  </si>
  <si>
    <t>মা/মাতৃভূমি</t>
  </si>
  <si>
    <t>জন্তু দাঁত বার করলে ভেবো না সে হাসছে, সে কামড়াতে চায়</t>
  </si>
  <si>
    <t>জন্তু দাঁত দেখালে মনে কোরো না সে হাসছে, কামড়াতে চায়</t>
  </si>
  <si>
    <t>শত্রুর হাসি বিপদের আগাম সংকেত</t>
  </si>
  <si>
    <t>When an animal bares its teeth, think not it's smiling; it wants to bite.</t>
  </si>
  <si>
    <t>জন্ম, মৃ্ত্যু, বিয়ে তিন বিধাতা দিয়ে // জন্ম-মৃত্যু-বিবাহ, তিন না জানেন বরাহ (বরাহমিহির)</t>
  </si>
  <si>
    <t>জন্ম, মৃত্যু, বিবাহ—তিন বিধাতা নির্ধারণ করেন</t>
  </si>
  <si>
    <t>এই তিনটি ভাগ্যের অধীন</t>
  </si>
  <si>
    <t>Birth, death, marriage—three are ordained by fate.</t>
  </si>
  <si>
    <t>জন্মদিনের উৎসাহে মনে রেখো মৃত্যুর দিকে একধাপ এগুলে</t>
  </si>
  <si>
    <t>জন্মদিনের আনন্দে মনে রেখো, তুমি মৃত্যুর একধাপ এগিয়ে গেলে</t>
  </si>
  <si>
    <t>প্রতি জন্মদিনে মৃত্যু নিকটবর্তী হয়</t>
  </si>
  <si>
    <t>On your birthday, remember you've taken a step closer to death.</t>
  </si>
  <si>
    <t>জন্মিলে মরিতে হবে, অমর কে কোথা কবে?</t>
  </si>
  <si>
    <t>জন্মিলে মরতে হবে, কে কোথায় অমর?</t>
  </si>
  <si>
    <t>মৃত্যু অবশ্যম্ভাবী</t>
  </si>
  <si>
    <t>If born, you must die; who is immortal and where?</t>
  </si>
  <si>
    <t>জন্মের মধ্যে কর্ম নিমুর চৈত্রমাসে রাস</t>
  </si>
  <si>
    <t>জন্মের মধ্যে কর্ম নিমুর (নিমাই?) চৈত্রমাসে রাস</t>
  </si>
  <si>
    <t>অসম্ভব বা বেমানান ঘটনা</t>
  </si>
  <si>
    <t>In a lifetime, Nimai's Ras in Chaitra—strange event.</t>
  </si>
  <si>
    <t>জপতপ কর কি? মরতে জানলে ডর কি?</t>
  </si>
  <si>
    <t>জপতপ কর কেন? মরতে জানলে ভয় কী?</t>
  </si>
  <si>
    <t>মৃত্যুভয় না থাকলে ধর্মকর্মের প্রয়োজন নেই</t>
  </si>
  <si>
    <t>Why pray? If you know how to die, what fear?</t>
  </si>
  <si>
    <t>জপতপ কর কি মরতে জানলে হয়</t>
  </si>
  <si>
    <t>জপতপ কর কেন, মরতে জানলেই হয়</t>
  </si>
  <si>
    <t>মৃত্যুকে ভয় না পেলে ধার্মিকতা অর্থহীন</t>
  </si>
  <si>
    <t>Why penance? Knowing how to die is enough.</t>
  </si>
  <si>
    <t>জপ নেই তপ নেই ভস্মমাখা গায়</t>
  </si>
  <si>
    <t>জপ নেই, তপ নেই, গায়ে ভস্ম মাখা</t>
  </si>
  <si>
    <t>বাহ্যিক সাধুতা; ভণ্ড</t>
  </si>
  <si>
    <t>No prayer, no penance, just ash-smeared body—hypocrisy.</t>
  </si>
  <si>
    <t>জপের কোন খোঁজ নেই ফটিকে রাঙা থোপ</t>
  </si>
  <si>
    <t>জপের খোঁজ নেই, ফটিকের রাঙা থোপ</t>
  </si>
  <si>
    <t>আসল কাজ নেই, বাহ্যিক আড়ম্বর</t>
  </si>
  <si>
    <t>No chanting, yet a bright tuft on the crystal—show.</t>
  </si>
  <si>
    <t>জব বরসতা তব গরজতা নহী, জব গরজতা তব বরসতা নহী- হিন্দি প্রবাদ</t>
  </si>
  <si>
    <t>যখন বর্ষায় তখন গর্জায় না, যখন গর্জায় তখন বর্ষায় না</t>
  </si>
  <si>
    <t>যে গর্জায় সে বর্ষায় না</t>
  </si>
  <si>
    <t>When it rains, it doesn't thunder; when it thunders, it doesn't rain.</t>
  </si>
  <si>
    <t>জমি না দেখে জমি ছেড়ো না</t>
  </si>
  <si>
    <t>ভালো কিছু না পেয়ে পুরনো ত্যাগ কোরো না</t>
  </si>
  <si>
    <t>Don't leave your land until you see new land.</t>
  </si>
  <si>
    <t>জমির অভাবে উঠান চষা</t>
  </si>
  <si>
    <t>জমির অভাবে উঠান চাষ</t>
  </si>
  <si>
    <t>উপায় না থাকলে সামান্যকে ব্যবহার</t>
  </si>
  <si>
    <t>For want of a field, plow the courtyard.</t>
  </si>
  <si>
    <t>জয়কেতে</t>
  </si>
  <si>
    <t>অতি উৎসাহ; জয়ধ্বনি</t>
  </si>
  <si>
    <t>Victory cry.</t>
  </si>
  <si>
    <t>জল উঁচু তো উঁচু, জল নিচু তো নীচু</t>
  </si>
  <si>
    <t>জল উঁচু হলে উঁচু, নিচু হলে নিচু</t>
  </si>
  <si>
    <t>উৎসের সাথে মানানসই</t>
  </si>
  <si>
    <t>Water rises high or low depending on its source.</t>
  </si>
  <si>
    <t>জল এগোয় না তৃষ্ণা এগোয়১</t>
  </si>
  <si>
    <t>জল এগোয় না, তৃষ্ণা এগোয়</t>
  </si>
  <si>
    <t>প্রয়োজন জিনিসকে কাছে টানে</t>
  </si>
  <si>
    <t>Water doesn't move, thirst moves.</t>
  </si>
  <si>
    <t>জল খেয়ে জলের বিচার // জল খেয়ে জাতের বিচার</t>
  </si>
  <si>
    <t>জল খেয়ে জলের বিচার; বা জাতের বিচার</t>
  </si>
  <si>
    <t>মূল বিষয় ত্যাগ করে অনাবশ্যক পরীক্ষা</t>
  </si>
  <si>
    <t>Drinking water and then judging it—absurd.</t>
  </si>
  <si>
    <t>জলছাড়া কুমির/মৎস</t>
  </si>
  <si>
    <t>জলছাড়া কুমির/মাছ</t>
  </si>
  <si>
    <t>স্বাভাবিক পরিবেশহীন অসহায়</t>
  </si>
  <si>
    <t>A crocodile out of water—helpless.</t>
  </si>
  <si>
    <t>জল জল বৃষ্টির জল, বল বল বাহুর বল</t>
  </si>
  <si>
    <t>জল বলতে বৃষ্টির জল, বল বলতে বাহুর বল</t>
  </si>
  <si>
    <t>যথার্থ জিনিসের সঠিক সংজ্ঞা</t>
  </si>
  <si>
    <t>Water means rain water, strength means arm strength.</t>
  </si>
  <si>
    <t>সংজ্ঞা</t>
  </si>
  <si>
    <t>জল, জোলাপ, জুয়াচুরি, এই তিন নিয়ে ডাক্তারি</t>
  </si>
  <si>
    <t>জল, জোলাপ, জুয়াচুরি—এই তিন নিয়ে ডাক্তারি</t>
  </si>
  <si>
    <t>ডাক্তারি প্রতারণা ও সাধারণ উপায়</t>
  </si>
  <si>
    <t>Doctoring with water, purgative, and fraud—quackery.</t>
  </si>
  <si>
    <t>জল থেকে রক্ত গাঢ়</t>
  </si>
  <si>
    <t>রক্তের সম্পর্ক জল নয়, গভীর</t>
  </si>
  <si>
    <t>Blood is thicker than water.</t>
  </si>
  <si>
    <t>জল দিয়ে জল বার করা</t>
  </si>
  <si>
    <t>এক সমস্যা দিয়ে অন্য সমস্যা সমাধান</t>
  </si>
  <si>
    <t>Using water to remove water—counterproductive.</t>
  </si>
  <si>
    <t>জল দিলে হয় কালা, কালা ছুঁড়িরে কয় ভালা</t>
  </si>
  <si>
    <t>জল দিলে হয় কালা, কালা মেয়েকে বলে ভালো</t>
  </si>
  <si>
    <t>ভুল উপায়ে কাজ; অন্ধ ভালোবাসা</t>
  </si>
  <si>
    <t>Water makes it black, then calls the dark girl fair—delusion.</t>
  </si>
  <si>
    <t>ছুঁড়ি/নারী</t>
  </si>
  <si>
    <t>জল নদীতে সুস্বাদু, সমুদ্রে বিস্বাদ</t>
  </si>
  <si>
    <t>নদীর জল সুস্বাদু, সমুদ্রের জল বিস্বাদ</t>
  </si>
  <si>
    <t>পরিবেশ অনুযায়ী গুণ বদলায়</t>
  </si>
  <si>
    <t>River water is sweet, sea water is bitter.</t>
  </si>
  <si>
    <t>জল নেড়ে জোঁকের বল বোঝা১</t>
  </si>
  <si>
    <t>জল নেড়ে জোঁকের বল বোঝা</t>
  </si>
  <si>
    <t>উপায়হীন হয়ে শক্তি পরীক্ষা</t>
  </si>
  <si>
    <t>Stirring water to test the leech's strength—futility.</t>
  </si>
  <si>
    <t>জল নেড়ে জোঁকের বল বোঝা২</t>
  </si>
  <si>
    <t>জল নেড়ে জোঁকের বল বোঝা (দ্বিতীয়)</t>
  </si>
  <si>
    <t>সামান্য কারণ থেকে বড় বোঝা</t>
  </si>
  <si>
    <t>Testing a leech by stirring water.</t>
  </si>
  <si>
    <t>জলন্ত আগুনে ঘি দেওয়া/পড়া</t>
  </si>
  <si>
    <t>জলন্ত আগুনে ঘি ঢালা</t>
  </si>
  <si>
    <t>উত্তেজনা বাড়ানো</t>
  </si>
  <si>
    <t>Adding ghee to the blazing fire—fueling.</t>
  </si>
  <si>
    <t>প্ররোচনা</t>
  </si>
  <si>
    <t>জলবিন্দুপাতেন ক্রমশঃ পূর্যতে ঘটঃ</t>
  </si>
  <si>
    <t>জলবিন্দু পাতে ক্রমে ঘট পূর্ণ হয়</t>
  </si>
  <si>
    <t>ফোঁটা ফোঁটা জলেও কলস ভরে</t>
  </si>
  <si>
    <t>Drop by drop, the pot fills up.</t>
  </si>
  <si>
    <t>ক্রমিকতা</t>
  </si>
  <si>
    <t>জল মে রহ কর মগর সে বৈরী</t>
  </si>
  <si>
    <t>জলে থেকে কর মগরের সাথে বৈরী</t>
  </si>
  <si>
    <t>যেখানে বাস, সেখানে শত্রুতা নয়</t>
  </si>
  <si>
    <t>Living in water and making an enemy of the crocodile—foolish.</t>
  </si>
  <si>
    <t>জলে কুমির ডাঙায় বাঘ, যে পারে সে ভাঙে ঘাড়</t>
  </si>
  <si>
    <t>জলে কুমির, ডাঙায় বাঘ; যে পারে সে ঘাড় ভাঙে</t>
  </si>
  <si>
    <t>উভয় দিকে বিপদ; শক্তিমানই জেতে</t>
  </si>
  <si>
    <t>Crocodile in water, tiger on land; whoever can, breaks the neck.</t>
  </si>
  <si>
    <t>জলে জল বাঁধে</t>
  </si>
  <si>
    <t>স্বার্থ থাকলে আপনা-আপনি মিল হয়</t>
  </si>
  <si>
    <t>Water binds with water.</t>
  </si>
  <si>
    <t>জলে জল খাপ/মিশ খায়</t>
  </si>
  <si>
    <t>জলে জল মিশে যায়</t>
  </si>
  <si>
    <t>সমান স্বভাবের মিল</t>
  </si>
  <si>
    <t>Water mixes with water.</t>
  </si>
  <si>
    <t>জলে তেল সহজে বিতায়</t>
  </si>
  <si>
    <t>জলে তেল সহজে ভাসে</t>
  </si>
  <si>
    <t>বেখাপ্পা জিনিস সহজে মেশে না</t>
  </si>
  <si>
    <t>Oil easily floats on water—incompatible.</t>
  </si>
  <si>
    <t>জলে তেলে খাপ/মিশ খায় না১</t>
  </si>
  <si>
    <t>জলে তেলে মিশ খায় না</t>
  </si>
  <si>
    <t>বিপরীত স্বভাব এক হয় না</t>
  </si>
  <si>
    <t>Water and oil don't mix.</t>
  </si>
  <si>
    <t>জলে তেলে খাপ/মিশ খায় না২</t>
  </si>
  <si>
    <t>জলে তেলে মিশ খায় না (দ্বিতীয়)</t>
  </si>
  <si>
    <t>দুই ভিন্ন প্রকৃতি একসঙ্গে থাকে না</t>
  </si>
  <si>
    <t>Water and oil are immiscible.</t>
  </si>
  <si>
    <t>জলে না নামিলে শেখে না সাঁতার, হাঁটিতে শেখে না, না খেলে আছাড়</t>
  </si>
  <si>
    <t>জলে না নামলে সাঁতার শেখে না, হাঁটতে শেখে না আছাড় না খেলে</t>
  </si>
  <si>
    <t>অভিজ্ঞতা ছাড়া শিক্ষা হয় না</t>
  </si>
  <si>
    <t>Without entering water, you can't learn to swim; without falling, you can't learn to walk.</t>
  </si>
  <si>
    <t>জলে পাথর গলে/পচে না১</t>
  </si>
  <si>
    <t>জলে পাথর গলে/পচে না</t>
  </si>
  <si>
    <t>কঠোর হৃদয় সহজে বিগলিত হয় না</t>
  </si>
  <si>
    <t>Stones don't dissolve in water.</t>
  </si>
  <si>
    <t>কঠোরতা</t>
  </si>
  <si>
    <t>জলে পাথর গলে/পচে না২</t>
  </si>
  <si>
    <t>জলে পাথর গলে না (দ্বিতীয়)</t>
  </si>
  <si>
    <t>শক্ত মন ভাঙা কঠিন</t>
  </si>
  <si>
    <t>Water doesn't melt stone.</t>
  </si>
  <si>
    <t>জলে বাস করে কুমীরের সাথে বিবাদ</t>
  </si>
  <si>
    <t>আশ্রয়স্থলে শত্রুতা বিপজ্জনক</t>
  </si>
  <si>
    <t>Living in water and quarreling with a crocodile.</t>
  </si>
  <si>
    <t>জলের কুমির ডাঙ্গায় এলো</t>
  </si>
  <si>
    <t>জলের কুমির ডাঙায় এলো</t>
  </si>
  <si>
    <t>স্বাভাবিক স্থান থেকে সরে আসা</t>
  </si>
  <si>
    <t>The water crocodile came to land—out of place.</t>
  </si>
  <si>
    <t>জলের গতি নীচের দিকে</t>
  </si>
  <si>
    <t>জলের গতি নিচের দিকে</t>
  </si>
  <si>
    <t>নীচু জিনিস নিচের দিকে যায়</t>
  </si>
  <si>
    <t>Water flows downward.</t>
  </si>
  <si>
    <t>জলের চেয়ে পাঁক ঠান্ডা; সূর্যের চেয়ে বালি গরম</t>
  </si>
  <si>
    <t>জলের চেয়ে কাদা ঠাণ্ডা, সূর্যের চেয়ে বালি গরম</t>
  </si>
  <si>
    <t>কখনো আশ্রয়ের থেকে আশ্রিত বেশি শীতল/উষ্ণ হয়</t>
  </si>
  <si>
    <t>Mud is cooler than water; sand hotter than sun—unexpected.</t>
  </si>
  <si>
    <t>জলের চেয়ে রক্ত গাঢ়</t>
  </si>
  <si>
    <t>জলের চেয়ে রক্ত গাঢ় (পুনরুক্তি)</t>
  </si>
  <si>
    <t>রক্তের সম্পর্ক দৃঢ়</t>
  </si>
  <si>
    <t>জলের ছিঁটে দিয়ে লগির গুঁতো খাওয়া</t>
  </si>
  <si>
    <t>জলের ছিটে দিয়ে লগির গুঁতো খাওয়া</t>
  </si>
  <si>
    <t>সামান্য অপরাধে বড় শাস্তি</t>
  </si>
  <si>
    <t>Getting a pole's jab for a splash of water—disproportionate.</t>
  </si>
  <si>
    <t>জলের তিলক</t>
  </si>
  <si>
    <t>ক্ষণস্থায়ী চিহ্ন; চিরস্থায়ী নয়</t>
  </si>
  <si>
    <t>A water tilak—ephemeral.</t>
  </si>
  <si>
    <t>জলের ফোঁটা পাথর ক্ষয় করে, সূতার করাত গাছ কাট</t>
  </si>
  <si>
    <t>জলের ফোঁটা পাথর ক্ষয় করে, সুতার করাত গাছ কাটে</t>
  </si>
  <si>
    <t>ক্রমাগত আঘাতে কঠিনও ক্ষয় হয়</t>
  </si>
  <si>
    <t>Water drops erode stone; a thread saw cuts trees—persistence.</t>
  </si>
  <si>
    <t>জলের রেখা খলের পীরিত</t>
  </si>
  <si>
    <t>জলের রেখা, খলের প্রীতি</t>
  </si>
  <si>
    <t>দুইই ক্ষণস্থায়ী</t>
  </si>
  <si>
    <t>A water line and a rogue's friendship—both fleeting.</t>
  </si>
  <si>
    <t>জলের শত্রু পানা মানুষের শত্রু কানা</t>
  </si>
  <si>
    <t>জলের শত্রু পানা (শ্যাওলা), মানুষের শত্রু কানা</t>
  </si>
  <si>
    <t>প্রত্যেকের নির্দিষ্ট শত্রু</t>
  </si>
  <si>
    <t>Water's enemy is moss, man's enemy is the blind.</t>
  </si>
  <si>
    <t>জহুরী জহর চেনে</t>
  </si>
  <si>
    <t>জহুরী জহর (বিষ) চেনে</t>
  </si>
  <si>
    <t>অভিজ্ঞ লোক বিপদ চেনে</t>
  </si>
  <si>
    <t>A jeweler knows poison—expert discerns.</t>
  </si>
  <si>
    <t>জাঁকজমকে বিকোয় ঘোড়া</t>
  </si>
  <si>
    <t>জাঁকজমকে ঘোড়া বিক্রি হয়</t>
  </si>
  <si>
    <t>বাহ্যিক সাজেই ক্রেতা আকৃষ্ট হয়</t>
  </si>
  <si>
    <t>Horses sell by pomp—appearance matters.</t>
  </si>
  <si>
    <t>ক্রয়বিক্রয়</t>
  </si>
  <si>
    <t>জাগন্ত ঘরে চুরি নাই</t>
  </si>
  <si>
    <t>জাগন্ত ঘরে চুরি হয় না</t>
  </si>
  <si>
    <t>সতর্ক থাকলে বিপদ কম</t>
  </si>
  <si>
    <t>No theft in a waking house—vigilance.</t>
  </si>
  <si>
    <t>জাড্যং ধিয়ো হরতি সিঞ্চতি বাচি সত্যং মানোন্নতিং দিশতি পাপমকরোতি। চেতঃ প্রসাদয়তি দিক্ষু তন্যেতি কীর্তিং সৎসঙ্গতিঃ কথয় কিং ন করোতি পুংসাম্‌॥ (চাণক্য)</t>
  </si>
  <si>
    <t>জাড্য দূর করে, বাচায় সত্য সিঞ্চিত করে, মান উন্নত করে, পাপ অপসারণ করে, চিত্ত প্রসন্ন করে, দিকে দিকে কীর্তি ছড়ায়—সৎসঙ্গি পুরুষের কী না করে?</t>
  </si>
  <si>
    <t>সৎসঙ্গের সর্বগুণ</t>
  </si>
  <si>
    <t>Good company removes inertia, instills truth, elevates honor, removes sin, pleases mind, spreads fame—what doesn't it do?</t>
  </si>
  <si>
    <t>জাতস্য হি ধ্রুবো মৃত্যু</t>
  </si>
  <si>
    <t>জাতস্য অবশ্যই মৃত্যু হবে</t>
  </si>
  <si>
    <t>জন্ম নিলে মরতে হবে</t>
  </si>
  <si>
    <t>For one born, death is certain.</t>
  </si>
  <si>
    <t>জাত খুইয়ে বৈষ্ণব</t>
  </si>
  <si>
    <t>জাতি হারিয়ে বৈষ্ণব হয়; বা বিধর্মী</t>
  </si>
  <si>
    <t>Lost caste, became a Vaishnava—outcaste.</t>
  </si>
  <si>
    <t>জাতি</t>
  </si>
  <si>
    <t>জাত গেল পেটও ভরল না</t>
  </si>
  <si>
    <t>জাত গেল, পেটও ভরল না</t>
  </si>
  <si>
    <t>দুই দিকই গেল; লাভের বদলে ক্ষতি</t>
  </si>
  <si>
    <t>Lost caste and still not full—double loss.</t>
  </si>
  <si>
    <t>জাত গোয়ালার কাঁজি ভক্ষণ</t>
  </si>
  <si>
    <t>জাত গোয়ালার কাঁজি (টক জল) খাওয়া</t>
  </si>
  <si>
    <t>স্বভাবগত কাজ; পেশা অনুযায়ী আচরণ</t>
  </si>
  <si>
    <t>A milkman by caste drinking sour gruel—fitting.</t>
  </si>
  <si>
    <t>গোয়ালা</t>
  </si>
  <si>
    <t>জাত তো বাক্সের ভিতর</t>
  </si>
  <si>
    <t>জাত তো বাক্সের ভেতর</t>
  </si>
  <si>
    <t>জিনিসপত্র নিরাপদ; বা জাত গোপন</t>
  </si>
  <si>
    <t>Caste is inside the box—hidden.</t>
  </si>
  <si>
    <t>জাতে মাতাল তালে ঠিক</t>
  </si>
  <si>
    <t>জাতে মাতাল, তালে ঠিক</t>
  </si>
  <si>
    <t>মাতাল হলেও তাল জ্ঞান ঠিক; নিজের কাজে সক্ষম</t>
  </si>
  <si>
    <t>Drunk by caste, but perfect in rhythm—specialist.</t>
  </si>
  <si>
    <t>মাতাল</t>
  </si>
  <si>
    <t>জাতের নামে বজ্জাতি সব জাত-জালিয়াৎ খেলছ জুয়া- নজরুল</t>
  </si>
  <si>
    <t>জাতের নামে বজ্জাতি, সব জাত জালিয়াৎ খেলছে জুয়া</t>
  </si>
  <si>
    <t>সব জাতিই খারাপ, জুয়াখেলা করছে</t>
  </si>
  <si>
    <t>In the name of caste, all castes are playing the gambling of deceit.</t>
  </si>
  <si>
    <t>জাতের নারী কালাও ভালা/ভালো, নদীর পানি ঘোলাও ভালা/ভালো১</t>
  </si>
  <si>
    <t>জাতের নারী কালোও ভালো, নদীর পানি ঘোলাও ভালো</t>
  </si>
  <si>
    <t>নিজের জিনিস সব অবস্থায় ভালো</t>
  </si>
  <si>
    <t>A woman of one's own caste is good even if dark; river water is good even if muddy.</t>
  </si>
  <si>
    <t>জাতের নারী কালাও ভালা/ভালো, নদীর পানি ঘোলাও ভালা/ভালো২</t>
  </si>
  <si>
    <t>জাতের নারী কালোও ভালো, নদীর পানি ঘোলাও ভালো (দ্বিতীয়)</t>
  </si>
  <si>
    <t>নিজের বস্তু সবসময় ভালো</t>
  </si>
  <si>
    <t>A woman of one's own caste, even if dark, is good.</t>
  </si>
  <si>
    <t>জান যায় তো জবান/বাত না যায়</t>
  </si>
  <si>
    <t>জান যায় তো জবান না যায়</t>
  </si>
  <si>
    <t>প্রাণ গেলেও কথা না থামা; জেদি</t>
  </si>
  <si>
    <t>Even if life goes, speech doesn't stop—stubborn.</t>
  </si>
  <si>
    <t>জান যায়, মান না যায়</t>
  </si>
  <si>
    <t>প্রাণ গেলেও ইজ্জত রক্ষা</t>
  </si>
  <si>
    <t>Life may go, honor stays.</t>
  </si>
  <si>
    <t>জানামি ধর্মং ন চ মে প্রবৃত্তির্জানাম্যধর্মং ন চ মে নিবৃত্তিঃ, ত্বয়া হৃষীকেশ হৃদিস্থিতেন যথা নিযুক্তোহস্মি তথ করোমি</t>
  </si>
  <si>
    <t>জানি ধর্ম, তাতে আমার প্রবৃত্তি নেই; জানি অধর্ম, তা থেকে নিবৃত্তি নেই; হে হৃষীকেশ, হৃদয়ে থেকে আমাকে যেমন চালাও তেমন করি</t>
  </si>
  <si>
    <t>নিজের দুর্বলতা স্বীকার; ঈশ্বরের ইচ্ছায় চলে</t>
  </si>
  <si>
    <t>I know virtue but cannot practice; I know vice but cannot refrain; as you, O Lord, impel me, so I act.</t>
  </si>
  <si>
    <t>জানার কোন বয়স/শেষ নেই</t>
  </si>
  <si>
    <t>জানার কোনো বয়স বা শেষ নেই</t>
  </si>
  <si>
    <t>জ্ঞানার্জনের কোনো বয়স নেই</t>
  </si>
  <si>
    <t>There's no age or end to learning.</t>
  </si>
  <si>
    <t>জানিনি, পারিনি, নেইকো ঘরে, এই তিনকে দেবতা ডরে</t>
  </si>
  <si>
    <t>জানিনি, পারিনি, নেইকো ঘরে—এই তিনকে দেবতা ভয় পায়</t>
  </si>
  <si>
    <t>অক্ষমতা ও দারিদ্র্যের কাছে দেবতাও অসহায়</t>
  </si>
  <si>
    <t>Don't know, can't, have nothing'—even gods fear these three.</t>
  </si>
  <si>
    <t>জামা-জোব্বা বেশুমার আক্কল বিনা ছারখার</t>
  </si>
  <si>
    <t>জামা-জোব্বা অসংখ্য, বুদ্ধি ছাড়া ছারখার</t>
  </si>
  <si>
    <t>বাহ্যিক সাজ বুদ্ধিহীন হলে মূল্যহীন</t>
  </si>
  <si>
    <t>Plenty of robes, but without brains, all is ruined.</t>
  </si>
  <si>
    <t>জামাইয়ের জন্য মারে হাঁস, গুষ্টি সুদ্ধ খায় মাস</t>
  </si>
  <si>
    <t>জামাইয়ের জন্য হাঁস মারে, গোটা গোষ্ঠীসহ মাস খায়</t>
  </si>
  <si>
    <t>একজনের জন্য করলে গোটা পরিবার ভোগ করে</t>
  </si>
  <si>
    <t>Killing a duck for son-in-law, but the whole clan eats—shared.</t>
  </si>
  <si>
    <t>জামাই/পরিবার</t>
  </si>
  <si>
    <t>জামিন হয় দিতে, গাছে ওঠে মরতে</t>
  </si>
  <si>
    <t>জামিন হতে যায়, গাছে উঠে মরে</t>
  </si>
  <si>
    <t>মধ্যস্থতা করতে গিয়ে বিপদ</t>
  </si>
  <si>
    <t>He went to be guarantor, but climbed a tree to die—trouble.</t>
  </si>
  <si>
    <t>জামিনদার</t>
  </si>
  <si>
    <t>জালছেঁড়া, পলোভাঙা মাছ</t>
  </si>
  <si>
    <t>যে ফাঁদ কেটে পালিয়েছে; চতুর</t>
  </si>
  <si>
    <t>A fish that broke the net and trap—clever escapee.</t>
  </si>
  <si>
    <t>জালে পড়লে মাছ বেশি লাফায়</t>
  </si>
  <si>
    <t>বিপদে পড়লে অস্থিরতা বাড়ে</t>
  </si>
  <si>
    <t>A fish in the net flutters more—panic.</t>
  </si>
  <si>
    <t>জালে সরষে বেঁধে রাখা</t>
  </si>
  <si>
    <t>অসম্ভব কাজ; সর্ষে জালে বাঁধা যায় না</t>
  </si>
  <si>
    <t>Keeping mustard seeds tied in a net—futility.</t>
  </si>
  <si>
    <t>জাহাজের কাছে জেলে ডিঙি</t>
  </si>
  <si>
    <t>বড়র পাশে ছোট তুলনা</t>
  </si>
  <si>
    <t>A fisherman's dinghy next to a ship—dwarfed.</t>
  </si>
  <si>
    <t>জাহাজের পাছে নোঙ্গর</t>
  </si>
  <si>
    <t>জাহাজের পিছনে নোঙ্গর</t>
  </si>
  <si>
    <t>মূল জিনিসের পর সহায়ক</t>
  </si>
  <si>
    <t>Anchor behind the ship—necessary support.</t>
  </si>
  <si>
    <t>জিঘাংসন্তং জিঘাংসিয়াৎ</t>
  </si>
  <si>
    <t>যে হত্যা করতে চায় তাকে হত্যা করবে</t>
  </si>
  <si>
    <t>আত্মরক্ষায় আক্রমণ</t>
  </si>
  <si>
    <t>Kill him who seeks to kill.</t>
  </si>
  <si>
    <t>প্রতিরোধ</t>
  </si>
  <si>
    <t>জিতক্রোধেন সর্বং হি জগদেতদ বিজীয়তে</t>
  </si>
  <si>
    <t>ক্রোধ জয় করলেই সমগ্র জগৎ জয় করা যায়</t>
  </si>
  <si>
    <t>ক্রোধ সংযত করলেই সব জয়</t>
  </si>
  <si>
    <t>By conquering anger, the whole world is conquered.</t>
  </si>
  <si>
    <t>জিত্‌নি চদ্দর দেখো, উৎনি পৈর ফৈলাও</t>
  </si>
  <si>
    <t>যতটা চাদর দেখবে, ততটাই পা ছড়াবে</t>
  </si>
  <si>
    <t>আয় বুঝে ব্যয় করো</t>
  </si>
  <si>
    <t>Spread your legs only as far as the sheet covers.</t>
  </si>
  <si>
    <t>জিদের ভাত কুকুরে খায়</t>
  </si>
  <si>
    <t>জেদের ভাত কুকুরে খায়</t>
  </si>
  <si>
    <t>জেদ করলে নিজের ক্ষতি; জেদি লোক যা পায় না</t>
  </si>
  <si>
    <t>A dog eats the rice of the stubborn—stubbornness loses.</t>
  </si>
  <si>
    <t>জিভ টলে আছাড় খাওয়া থেকে পা-টলে আছাড় খাওয়া ভাল</t>
  </si>
  <si>
    <t>জিভ টলে আছাড় খাওয়ার চেয়ে পা টলে আছাড় খাওয়া ভালো</t>
  </si>
  <si>
    <t>কথার ভুল শারীরিক ভুলের চেয়েও খারাপ</t>
  </si>
  <si>
    <t>Better to slip with the foot than with the tongue.</t>
  </si>
  <si>
    <t>জিভ দিয়েছেন যিনি আহার যোগান তিনি</t>
  </si>
  <si>
    <t>জিভ দিয়েছেন যিনি, আহার যোগান তিনি</t>
  </si>
  <si>
    <t>যিনি জীবন দিয়েছেন তিনি প্রয়োজনও মেটান</t>
  </si>
  <si>
    <t>He who gave the tongue will also provide food.</t>
  </si>
  <si>
    <t>জিভ পুড়লো নিজের দোষে, কি করবে হরিহর দাসে</t>
  </si>
  <si>
    <t>জিভ পুড়লো নিজের দোষে, হরিহর দাস কী করবে?</t>
  </si>
  <si>
    <t>নিজের দোষে ক্ষতিতে অন্যের দোষ নেই</t>
  </si>
  <si>
    <t>The tongue burned by its own fault; what can Harihar Das do?</t>
  </si>
  <si>
    <t>জিভে দাঁতেসম্বন্ধ</t>
  </si>
  <si>
    <t>জিভে দাঁতে সম্বন্ধ</t>
  </si>
  <si>
    <t>অনিবার্য সম্পর্ক; কাছাকাছি থেকেও ঝগড়া</t>
  </si>
  <si>
    <t>Relationship like tongue and teeth—close yet biting.</t>
  </si>
  <si>
    <t>জিয়ন্ত মাছে পোকা পড়ানো১</t>
  </si>
  <si>
    <t>জিয়ন্ত মাছে পোকা পড়ানো</t>
  </si>
  <si>
    <t>ভালো জিনিস নষ্ট করা; অকারণে ক্ষতি</t>
  </si>
  <si>
    <t>Putting maggots in a live fish—spoiling.</t>
  </si>
  <si>
    <t>জিয়ন্ত মাছে পোকা পড়ানো২</t>
  </si>
  <si>
    <t>জিয়ন্ত মাছে পোকা পড়ানো (দ্বিতীয়)</t>
  </si>
  <si>
    <t>অকারণে দোষ দেওয়া</t>
  </si>
  <si>
    <t>Introducing worms to a living fish—false accusation.</t>
  </si>
  <si>
    <t>জিয়ন্তে মরা</t>
  </si>
  <si>
    <t>জীবিত থেকেও মৃতপ্রায়; দুঃখী</t>
  </si>
  <si>
    <t>Dead while alive—miserable.</t>
  </si>
  <si>
    <t>জিলিপির পাক/প্যাঁচ</t>
  </si>
  <si>
    <t>জিলিপির পাক</t>
  </si>
  <si>
    <t>জটিল ও প্যাঁচালো ব্যাপার</t>
  </si>
  <si>
    <t>The twist of a jalebi—complexity.</t>
  </si>
  <si>
    <t>জিসকো না দে খোদাতাল্লা উস্‌কো না দে শকে কই উদ্দৌলা</t>
  </si>
  <si>
    <t>যদি খোদাতাল্লা না দেয়, তবে কে উদ্দৌলা দিতে পারে?</t>
  </si>
  <si>
    <t>ঈশ্বর না দিলে কেউ দিতে পারে না</t>
  </si>
  <si>
    <t>If God doesn't give, who can?</t>
  </si>
  <si>
    <t>জিস্‌দা তেগ উস্‌দা দেগ</t>
  </si>
  <si>
    <t>যার তরোয়ার, তারই দেগ (পাত্র)</t>
  </si>
  <si>
    <t>শক্তিমানই ভোগ করে</t>
  </si>
  <si>
    <t>Whose sword, his pot—power gets.</t>
  </si>
  <si>
    <t>জিহ্বা টলতি ধীরস্য</t>
  </si>
  <si>
    <t>ধীর ব্যক্তিরও জিভ টলে</t>
  </si>
  <si>
    <t>জ্ঞানীও কখনো ভুল কথা বলে</t>
  </si>
  <si>
    <t>Even a calm person's tongue may slip.</t>
  </si>
  <si>
    <t>জীবন একপেয়ালা চায়ের মত, যতই তৃপ্তির সাথে পান করি ততই তলার দিকে যেতে থাকি</t>
  </si>
  <si>
    <t>জীবন এক পেয়ালা চায়ের মতো, যতই তৃপ্তি সহ পান করি, ততই তলায় যাই</t>
  </si>
  <si>
    <t>জীবনের শেষের দিকে এগিয়ে যাওয়া</t>
  </si>
  <si>
    <t>Life is like a cup of tea; the more we sip with contentment, the closer we get to the bottom.</t>
  </si>
  <si>
    <t>জীবন চলমান ছায়া ছাড়া আর কিছুই নয়</t>
  </si>
  <si>
    <t>জীবন চলমান ছায়া ছাড়া কিছু নয়</t>
  </si>
  <si>
    <t>জীবন অলীক ও ক্ষণস্থায়ী</t>
  </si>
  <si>
    <t>Life is nothing but a walking shadow.</t>
  </si>
  <si>
    <t>জীবনপাত্রের তলানি পর্যন্ত নিঃশেষে করিব পান- কবি মিল্টন</t>
  </si>
  <si>
    <t>জীবনপাত্রের শেষ ফোঁটা পর্যন্ত নিঃশেষে পান করব</t>
  </si>
  <si>
    <t>জীবনের সবটুকু উপভোগ করব</t>
  </si>
  <si>
    <t>জীবন সত্যই সরল, কিন্তু আমরা তাকে জটিল করার উপর জোর দিই- কনফুসিয়াস</t>
  </si>
  <si>
    <t>জীবন সত্যিই সরল, কিন্তু আমরা তাকে জটিল করি</t>
  </si>
  <si>
    <t>জীবনকে মানুষ নিজেই কঠিন করে তোলে</t>
  </si>
  <si>
    <t>Life is really simple, but we insist on making it complicated.</t>
  </si>
  <si>
    <t>জীবনে মরণে সৎলোকের কোন ক্ষতি হয় না- উপনিষদ</t>
  </si>
  <si>
    <t>জীবনে মরণে সৎলোকের ক্ষতি নেই</t>
  </si>
  <si>
    <t>সৎ ব্যক্তির কখনও ক্ষতি হয় না</t>
  </si>
  <si>
    <t>The virtuous suffer no harm in life or death.</t>
  </si>
  <si>
    <t>জীবনে শেষ বলে কিছু হয় না</t>
  </si>
  <si>
    <t>জীবনে শেষ বলে কিছু নেই</t>
  </si>
  <si>
    <t>জীবনে শেষ নেই, চলতেই থাকে</t>
  </si>
  <si>
    <t>There is no such thing as an end in life.</t>
  </si>
  <si>
    <t>জীবনের পাতা বইয়ের পাতা থেকে অনেক বেশি কিছু শিখিয়ে দিয়ে যায়</t>
  </si>
  <si>
    <t>জীবনের পাতা বইয়ের পাতা থেকে বেশি শেখায়</t>
  </si>
  <si>
    <t>বাস্তব অভিজ্ঞতা বইয়ের চেয়ে অনেক কিছু শেখায়</t>
  </si>
  <si>
    <t>The pages of life teach more than the pages of books.</t>
  </si>
  <si>
    <t>জীবনের প্রতিটি সিঁড়িতে পা রেখেই ওপরে ওঠা উচিৎ, ডিঙ্গিয়ে নয়</t>
  </si>
  <si>
    <t>প্রত্যেক সিঁড়িতে পা রেখে ওঠা উচিত, ডিঙিয়ে নয়</t>
  </si>
  <si>
    <t>ধীরে সুস্থে এগোনো উচিত</t>
  </si>
  <si>
    <t>Climb each step of life; don't skip.</t>
  </si>
  <si>
    <t>জীবনের লম্বা পথ বড় আঁকাবাঁকা</t>
  </si>
  <si>
    <t>জীবনের দীর্ঘ পথ বড় বাঁকা</t>
  </si>
  <si>
    <t>জীবন চলার পথ সহজ নয়</t>
  </si>
  <si>
    <t>The long road of life is very winding.</t>
  </si>
  <si>
    <t>জীবে প্রেম করে যেই জন সেই জন সেবিছে ঈশ্বর- বিবেকানন্দ</t>
  </si>
  <si>
    <t>জীবে প্রেম করে যে, সেই ঈশ্বরের সেবা করে</t>
  </si>
  <si>
    <t>জীবের সেবাই ঈশ্বরের সেবা</t>
  </si>
  <si>
    <t>He who loves all beings serves God.</t>
  </si>
  <si>
    <t>জুতো মেরে গরু দান</t>
  </si>
  <si>
    <t>প্রথমে অপমান করে পরে দান</t>
  </si>
  <si>
    <t>Giving a cow after hitting with a shoe—insult then charity.</t>
  </si>
  <si>
    <t>জুতো মেরেছে, অপমান তো করে নি</t>
  </si>
  <si>
    <t>শারীরিক আঘাত অপমান নয়? উপেক্ষা</t>
  </si>
  <si>
    <t>He hit with a shoe, but didn't insult—excusing.</t>
  </si>
  <si>
    <t>জুতো সেলাই থেকে চণ্ডীপাঠ</t>
  </si>
  <si>
    <t>ছোট থেকে বড় সব কাজ</t>
  </si>
  <si>
    <t>From shoe mending to scripture reading.</t>
  </si>
  <si>
    <t>জুয়াচোরের বাড়ি ফলার, না আঁচালে বিশ্বাস নেই।</t>
  </si>
  <si>
    <t>জুয়াচোরের বাড়িতে উপবাস, পরীক্ষা না করলে বিশ্বাস নেই</t>
  </si>
  <si>
    <t>প্রতারকের কথায় বিশ্বাস নেই</t>
  </si>
  <si>
    <t>A cheat's house may hold a fast; trust not without checking.</t>
  </si>
  <si>
    <t>জেলের পাছায় টেনা, নিকারীর কানে সোনা</t>
  </si>
  <si>
    <t>জেলের পিছনে টেনা (টান), নিকারীর কানে সোনা</t>
  </si>
  <si>
    <t>প্রত্যেকের নিজস্ব সম্বল</t>
  </si>
  <si>
    <t>A fisherman's pull is on his back, a boatman's gold is in his ear—each their own.</t>
  </si>
  <si>
    <t>স্বাতন্ত্র্য</t>
  </si>
  <si>
    <t>জৈসা কা তৈসা</t>
  </si>
  <si>
    <t>Tit for tat.</t>
  </si>
  <si>
    <t>জৈসা দেওগে বৈসা পাওগে</t>
  </si>
  <si>
    <t>যেমন দেবে, তেমনই পাবে</t>
  </si>
  <si>
    <t>কর্মফল ভোগ করবে</t>
  </si>
  <si>
    <t>As you give, so shall you receive.</t>
  </si>
  <si>
    <t>জৈসা দেশ ঐসা বেশ</t>
  </si>
  <si>
    <t>যেমন দেশ তেমন বেশ</t>
  </si>
  <si>
    <t>পরিবেশের সাথে মানিয়ে চলা</t>
  </si>
  <si>
    <t>As the country, so the dress.</t>
  </si>
  <si>
    <t>জ্যৈষ্ঠে খরা, আষাঢ়ে ভরা; শস্যের ভার সহে না ধরা- খনা</t>
  </si>
  <si>
    <t>জ্যৈষ্ঠে খরা, আষাঢ়ে ভরা; ফসলের ভার সহে না পৃথিবী</t>
  </si>
  <si>
    <t>ফলন এত বেশি যে ধরে না</t>
  </si>
  <si>
    <t>Drought in Jyestha, flood in Ashadha; the earth can't bear the crop load—bumper harvest.</t>
  </si>
  <si>
    <t>জোঁকের মুখে চুন/নুন</t>
  </si>
  <si>
    <t>দুষ্টকে তার প্রাপ্য শাস্তি</t>
  </si>
  <si>
    <t>Putting lime/salt on a leech's mouth—deserved punishment.</t>
  </si>
  <si>
    <t>জোঁকের গায়ে জোঁক বসে না</t>
  </si>
  <si>
    <t>ঠগকে ঠকানো যায় না</t>
  </si>
  <si>
    <t>A leech doesn't stick to a leech—professionals avoid each other.</t>
  </si>
  <si>
    <t>ঠগ</t>
  </si>
  <si>
    <t>জো করে টোট্‌কা উন্‌হীকো ঘুমকে পরৈ ফট্‌কা</t>
  </si>
  <si>
    <t>যে টোটকা করে, তারই ঘুমে ফটকা পড়ে</t>
  </si>
  <si>
    <t>যে ফাঁদ পাতে, সে-ই ফাঁদে পড়ে</t>
  </si>
  <si>
    <t>He who sets traps will himself fall into one.</t>
  </si>
  <si>
    <t>জো গরজ্‌তা বহ বরস্‌তা নহি</t>
  </si>
  <si>
    <t>যে গর্জায়, সে বর্ষায় না</t>
  </si>
  <si>
    <t>যে বেশি কথা বলে সে কাজ করে না</t>
  </si>
  <si>
    <t>He who thunders does not rain.</t>
  </si>
  <si>
    <t>জোঘরে আগুন লেগেছে</t>
  </si>
  <si>
    <t>যার ঘরে আগুন লেগেছে</t>
  </si>
  <si>
    <t>নিজের বিপদ নিজেকেই সামলাতে হবে</t>
  </si>
  <si>
    <t>The one whose house is on fire must act.</t>
  </si>
  <si>
    <t>জোড়াতালি দিয়ে কাজ চালানো</t>
  </si>
  <si>
    <t>ফাঁকি দিয়ে কাজ সারানো</t>
  </si>
  <si>
    <t>Managing work with makeshift repairs—patchwork.</t>
  </si>
  <si>
    <t>জো পেলে জোলায় বোনে১</t>
  </si>
  <si>
    <t>জো (জল) পেলে জোলা (জেলে) বোনে</t>
  </si>
  <si>
    <t>সুযোগ পেলেই কাজ শুরু</t>
  </si>
  <si>
    <t>Given water, the weaver weaves—opportunity spurs action.</t>
  </si>
  <si>
    <t>জো পেলে জোলায় বোনে২</t>
  </si>
  <si>
    <t>জো পেলে জোলায় বোনে (দ্বিতীয়)</t>
  </si>
  <si>
    <t>অবস্থা পেলে কাজ</t>
  </si>
  <si>
    <t>When the weaver gets warp, he weaves.</t>
  </si>
  <si>
    <t>জোয়ার-ভাঁটা ও সময় কারও জন্য অপেক্ষা করে না</t>
  </si>
  <si>
    <t>সময় এবং প্রকৃতি কারো জন্য থামে না</t>
  </si>
  <si>
    <t>Tides and time wait for no one.</t>
  </si>
  <si>
    <t>জোয়ার থাকলে ভাঁটা আছে</t>
  </si>
  <si>
    <t>সুখের পর দুঃখ আসে</t>
  </si>
  <si>
    <t>If there is high tide, there will be low tide.</t>
  </si>
  <si>
    <t>জোয়ারের জল আর কতক্ষণ?</t>
  </si>
  <si>
    <t>জোয়ারের জল আর কতক্ষণ থাকবে?</t>
  </si>
  <si>
    <t>উন্নতি ক্ষণস্থায়ী</t>
  </si>
  <si>
    <t>How long does the high tide last?—transient.</t>
  </si>
  <si>
    <t>জোর যার মুল্লুক তার</t>
  </si>
  <si>
    <t>জোর যার, মুল্লুক তার</t>
  </si>
  <si>
    <t>শক্তিশালীই রাজত্ব করে</t>
  </si>
  <si>
    <t>Might is right; the strong rule the land.</t>
  </si>
  <si>
    <t>জোরে প্রশংসা কর এবং আস্তে দোষ দাও</t>
  </si>
  <si>
    <t>জোরে প্রশংসা কর, আস্তে দোষ দাও</t>
  </si>
  <si>
    <t>প্রশংসা প্রকাশ্যে, দোষ গোপনে</t>
  </si>
  <si>
    <t>Praise loudly, blame softly.</t>
  </si>
  <si>
    <t>জ্ঞানস্যাভরণং ক্ষমা</t>
  </si>
  <si>
    <t>জ্ঞানের অলঙ্কার ক্ষমা</t>
  </si>
  <si>
    <t>ক্ষমাই জ্ঞানের ভূষণ</t>
  </si>
  <si>
    <t>Forgiveness is the ornament of knowledge.</t>
  </si>
  <si>
    <t>জ্ঞানহীন চিন্তা লাগাম ছেঁড়া ঘোড়ার মতো</t>
  </si>
  <si>
    <t>জ্ঞানহীন চিন্তা লাগামছেঁড়া ঘোড়ার মতো</t>
  </si>
  <si>
    <t>অসংযত চিন্তা বিপজ্জনক</t>
  </si>
  <si>
    <t>Thought without wisdom is like a horse without reins.</t>
  </si>
  <si>
    <t>জ্ঞানহীনতা চরমতম দারিদ্র্যের লক্ষণ</t>
  </si>
  <si>
    <t>জ্ঞানহীনতা চরম দারিদ্র্যের লক্ষণ</t>
  </si>
  <si>
    <t>মূর্খতাই সবচেয়ে বড় অভাব</t>
  </si>
  <si>
    <t>Ignorance is the worst poverty.</t>
  </si>
  <si>
    <t>জ্ঞানার্জন লবণাক্ত জলের মত, যত পান করবে তত জ্ঞানতৃষ্ণা বাড়বে</t>
  </si>
  <si>
    <t>জ্ঞান অর্জন লবণাক্ত জলের মতো, যত পান করবে তৃষ্ণা তত বাড়বে</t>
  </si>
  <si>
    <t>জ্ঞান বাড়লে আরও জানতে ইচ্ছা করে</t>
  </si>
  <si>
    <t>Acquiring knowledge is like drinking salt water; the more you drink, the thirstier you become.</t>
  </si>
  <si>
    <t>জ্ঞানী আগে চিন্তা করে পরে বলে, মূর্খ আগে বলে পরে চিন্তা করে</t>
  </si>
  <si>
    <t>জ্ঞানী আগে ভাবে পরে বলে, মূর্খ আগে বলে পরে ভাবে</t>
  </si>
  <si>
    <t>বুদ্ধিমান ও বোকার পার্থক্য</t>
  </si>
  <si>
    <t>The wise think before they speak; fools speak then think.</t>
  </si>
  <si>
    <t>জ্ঞানী মূর্খকে চিনতে পারে, মূর্খ জ্ঞানীকে চিনতে পারে না</t>
  </si>
  <si>
    <t>জ্ঞানী মূর্খকে চেনে, মূর্খ জ্ঞানীকে চেনে না</t>
  </si>
  <si>
    <t>মূর্খ জ্ঞানীর মূল্য বোঝে না</t>
  </si>
  <si>
    <t>The wise recognize a fool; a fool doesn't recognize the wise.</t>
  </si>
  <si>
    <t>জ্ঞানী কথা বলে কম শোনে বেশি বোকা কথা বলে বেশি শোনে কম</t>
  </si>
  <si>
    <t>জ্ঞানী কম বলে বেশি শোনে; বোকা বেশি বলে কম শোনে</t>
  </si>
  <si>
    <t>ভালো শ্রোতা জ্ঞানী</t>
  </si>
  <si>
    <t>The wise speak less and listen more; fools talk more and listen less.</t>
  </si>
  <si>
    <t>জ্ঞানী শোনে বোকা বলে</t>
  </si>
  <si>
    <t>জ্ঞানী শোনে, বোকা বলে</t>
  </si>
  <si>
    <t>শোনা জ্ঞানের লক্ষণ</t>
  </si>
  <si>
    <t>The wise listen; the foolish talk.</t>
  </si>
  <si>
    <t>জ্ঞানীর কান বড় আর জিভ ছোট হয়</t>
  </si>
  <si>
    <t>জ্ঞানীর কান বড়, জিভ ছোট</t>
  </si>
  <si>
    <t>জ্ঞানী শোনেন বেশি, বলেন কম</t>
  </si>
  <si>
    <t>The wise have big ears and a small tongue.</t>
  </si>
  <si>
    <t>জ্ঞানী যা শোনে যুক্তি দিয়ে বিচার করে, বোকা যা শোনে বিশ্বাস করে</t>
  </si>
  <si>
    <t>জ্ঞানী যা শোনে যুক্তি দিয়ে বিচার করে; বোকা বিশ্বাস করে</t>
  </si>
  <si>
    <t>বিচার-বুদ্ধি জ্ঞানের অঙ্গ</t>
  </si>
  <si>
    <t>A wise man judges what he hears; a fool believes whatever he hears.</t>
  </si>
  <si>
    <t>জ্ঞানীর মন সদাপরিবর্তনশীল, বোকারা রক্ষণশীল</t>
  </si>
  <si>
    <t>জ্ঞানীর মন পরিবর্তনশীল, বোকারা রক্ষণশীল</t>
  </si>
  <si>
    <t>জ্ঞানী সময়ের সাথে বদলায়, বোকা স্থির</t>
  </si>
  <si>
    <t>The wise are open to change; fools are conservative.</t>
  </si>
  <si>
    <t>জ্ঞানীর জিভ জ্ঞানকে সঠিকভাবে ব্যবহার করে</t>
  </si>
  <si>
    <t>জ্ঞানী তার বাক্য সংযত রাখে</t>
  </si>
  <si>
    <t>The wise use their tongue to properly express knowledge.</t>
  </si>
  <si>
    <t>জ্ঞানীর সম্পদ তার জ্ঞান, মূর্খের সম্পদ তার অর্থ</t>
  </si>
  <si>
    <t>জ্ঞানীর সম্পদ জ্ঞান, মূর্খের সম্পদ অর্থ</t>
  </si>
  <si>
    <t>জ্ঞানই প্রকৃত ধন</t>
  </si>
  <si>
    <t>The wealth of the wise is knowledge; of the fool, money.</t>
  </si>
  <si>
    <t>জ্ঞানেনহীনাঃ পশুভিসমানাঃ</t>
  </si>
  <si>
    <t>জ্ঞানহীন ব্যক্তি পশুর সমান</t>
  </si>
  <si>
    <t>জ্ঞান না থাকলে মানুষ পশুর সমান</t>
  </si>
  <si>
    <t>Those without knowledge are equal to animals.</t>
  </si>
  <si>
    <t>জ্যান্ত পোড়ে চিন্তায় মড়া পোড়ে চিতায়</t>
  </si>
  <si>
    <t>জ্যান্ত পুড়ে চিন্তায়, মড়া পুড়ে চিতায়</t>
  </si>
  <si>
    <t>চিন্তা মানুষকে আগুনে পোড়ায়</t>
  </si>
  <si>
    <t>The living burn in worry; the dead burn on the pyre.</t>
  </si>
  <si>
    <t>জ্যান্ত মাছে পোকা পড়ানো</t>
  </si>
  <si>
    <t>জ্যান্ত মাছে পোকা পড়ানো (পুনরুক্তি)</t>
  </si>
  <si>
    <t>ভালো জিনিস নষ্ট করা</t>
  </si>
  <si>
    <t>Putting worms in a live fish.</t>
  </si>
  <si>
    <t>জ্যান্ত মাছে পোকা পড়ে না</t>
  </si>
  <si>
    <t>সুস্থ বা শক্তিশালী জিনিসে অপকারী ধরে না</t>
  </si>
  <si>
    <t>A live fish doesn't get maggots—strong resist.</t>
  </si>
  <si>
    <t>জ্যান্তে দেয় না চালভাজার খোলা (পাত্র) মরলে দেবে রামায়ণের পালা</t>
  </si>
  <si>
    <t>জীবনে দেয় না চালভাজার পাত্র, মরলে দেবে রামায়ণের আয়োজন</t>
  </si>
  <si>
    <t>জীবনে কিছু দেয় না, মৃত্যুর পর আড়ম্বর</t>
  </si>
  <si>
    <t>Gives no frying pan while alive, but will hold a Ramayana recital after death—hypocrisy.</t>
  </si>
  <si>
    <t>জ্বলন্ত আগুনে ঘি ঢালা</t>
  </si>
  <si>
    <t>জ্বলন্ত আগুনে ঘি ঢালা (পুনরুক্তি)</t>
  </si>
  <si>
    <t>Pouring ghee on a burning fire.</t>
  </si>
  <si>
    <t>ঝকমারির মাসুল</t>
  </si>
  <si>
    <t>ঝকমারির মাসুল (জরিমানা)</t>
  </si>
  <si>
    <t>বিপদে পড়ে অর্থদণ্ড</t>
  </si>
  <si>
    <t>Paying the price for a mess—fines.</t>
  </si>
  <si>
    <t>ঝড় উঠলে আশ্রয় খোঁজো</t>
  </si>
  <si>
    <t>বিপদে আশ্রয় গ্রহণ করো</t>
  </si>
  <si>
    <t>When a storm rises, seek shelter.</t>
  </si>
  <si>
    <t>ঝড় থেমে গেলে সব কিছু শান্ত হয়</t>
  </si>
  <si>
    <t>ঝড় থামলে সব শান্ত হয়</t>
  </si>
  <si>
    <t>বিপদ কেটে গেলে শান্তি আসে</t>
  </si>
  <si>
    <t>After the storm, everything becomes calm.</t>
  </si>
  <si>
    <t>ঝড়ে কাক/বক মরে ফকিরের কেরামতি বাড়ে</t>
  </si>
  <si>
    <t>ঝড়ে কাক মরে, ফকিরের অলৌকিকতা বাড়ে</t>
  </si>
  <si>
    <t>প্রকৃতিতে মৃত্যু ঘটলে ভণ্ড সাধুর মাহাত্ম্য বাড়ে</t>
  </si>
  <si>
    <t>Crows die in the storm, and the fakir's miracle grows—opportunist.</t>
  </si>
  <si>
    <t>ফকির/ভণ্ড</t>
  </si>
  <si>
    <t>ঝড়োকাক</t>
  </si>
  <si>
    <t>ঝড়ো কাক</t>
  </si>
  <si>
    <t>অস্থির লোক; এলোমেলো</t>
  </si>
  <si>
    <t>Storm-crow—restless person.</t>
  </si>
  <si>
    <t>ঝাঁকের কই ঝাঁকে ফেরে/মেশ/যাক</t>
  </si>
  <si>
    <t>ঝাঁকের কৈ মাছ ঝাঁকে ফেরে</t>
  </si>
  <si>
    <t>সবাই নিজ দলে থাকে</t>
  </si>
  <si>
    <t>A shoal of koi fish stays together.</t>
  </si>
  <si>
    <t>দলবদ্ধতা</t>
  </si>
  <si>
    <t>ঝাঁকি/ঝাঁঝরি বলে চালনি তুই বড় ছেঁদা</t>
  </si>
  <si>
    <t>ঝাঁঝরি বলে চালনি, তুই বড় ছেঁদা</t>
  </si>
  <si>
    <t>নিজের দোষ না দেখে পরের দোষ দেখা</t>
  </si>
  <si>
    <t>The strainer calls the sieve 'you're too full of holes'—hypocrisy.</t>
  </si>
  <si>
    <t>ঝাঁপাবার আগে দেখে নিও, ঝাঁপালে ফিরে দেখো না</t>
  </si>
  <si>
    <t>ঝাঁপ দেওয়ার আগে দেখে নাও, ঝাঁপ দিলে পিছনে তাকিও না</t>
  </si>
  <si>
    <t>কাজ শুরু করলে পিছনে ফিরবে না</t>
  </si>
  <si>
    <t>Look before you leap, and after leaping, don't look back.</t>
  </si>
  <si>
    <t>ঝাড়ের দোষ</t>
  </si>
  <si>
    <t>গোষ্ঠীগত ত্রুটি; বা পরিবেশের দোষ</t>
  </si>
  <si>
    <t>Fault of the thicket—collective blame.</t>
  </si>
  <si>
    <t>ঝাড়ের বাঁশ পড়ে না</t>
  </si>
  <si>
    <t>ঘনিষ্ঠ গোষ্ঠী ধ্বংস হয় না</t>
  </si>
  <si>
    <t>A bamboo clump doesn't fall easily—unity is strength.</t>
  </si>
  <si>
    <t>ঝামেলায় না পড়লে ঝামেলার (দুশ্চিন্তা) পিছু নিও না</t>
  </si>
  <si>
    <t>ঝামেলায় না পড়লে ঝামেলার পিছু নিও না</t>
  </si>
  <si>
    <t>বিনা কারণে দুশ্চিন্তা করো না</t>
  </si>
  <si>
    <t>If not in trouble, don't chase worry.</t>
  </si>
  <si>
    <t>ঝাল লঙ্কার লাল চামড়া</t>
  </si>
  <si>
    <t>বাইরের রং দেখে বিচার নয়; লঙ্কা লাল কিন্তু ঝাল</t>
  </si>
  <si>
    <t>The red skin of a chili—appearance doesn't match taste.</t>
  </si>
  <si>
    <t>ঝিকে (দাসী) মেরে বউকে শেখানো</t>
  </si>
  <si>
    <t>একজনকে শাস্তি দিয়ে অন্যজনকে শিক্ষা দেওয়া</t>
  </si>
  <si>
    <t>Beating the maid to teach the wife—indirect warning.</t>
  </si>
  <si>
    <t>স্ত্রী/দাসী</t>
  </si>
  <si>
    <t>ঝি জব্দ কিলে, বৌ জব্দ শিলে, পাড়াপড়শী জব্দ চোখে আঙুল দিলে</t>
  </si>
  <si>
    <t>মেয়ে জব্দ কিলে, বউ জব্দ শিলে (পাথরে), প্রতিবেশী জব্দ চোখে আঙুল দিলে</t>
  </si>
  <si>
    <t>কঠোর শাসনের প্রয়োজন</t>
  </si>
  <si>
    <t>A daughter is disciplined by a slap, a wife by a grinding stone, a neighbor by a finger in the eye.</t>
  </si>
  <si>
    <t>নারী (মেয়ে/বউ)</t>
  </si>
  <si>
    <t>লিঙ্গ/শাসন</t>
  </si>
  <si>
    <t>ঝিনুক দিয়ে সাগর ছেঁচা</t>
  </si>
  <si>
    <t>Emptying the sea with a mussel shell—impossible.</t>
  </si>
  <si>
    <t>ঝিনুকমাত্রেই শুক্তি থাকে না</t>
  </si>
  <si>
    <t>প্রত্যেক ঝিনুকেই মুক্তা থাকে না</t>
  </si>
  <si>
    <t>সব জিনিস মূল্যবান নয়</t>
  </si>
  <si>
    <t>Not every oyster contains a pearl.</t>
  </si>
  <si>
    <t>ঝির ঝি করবে কি?</t>
  </si>
  <si>
    <t>ঝির (দাসীর) মেয়ে কী করবে?</t>
  </si>
  <si>
    <t>নীচ পরিবারের সন্তান কী করবে—ব্যঙ্গ</t>
  </si>
  <si>
    <t>What can a maid's daughter do?—low expectations.</t>
  </si>
  <si>
    <t>নারী (দাসীর মেয়ে)</t>
  </si>
  <si>
    <t>লিঙ্গ/বর্ণ</t>
  </si>
  <si>
    <t>সাহসী না হলে সফলতা আসে না</t>
  </si>
  <si>
    <t>ঝুটে কা মুঁহ কালা সচ্চে কা বোলওয়ালা</t>
  </si>
  <si>
    <t>মিথ্যাবাদীর মুখ কালো, সত্যবাদীর বোলওয়ালা (প্রশংসা)</t>
  </si>
  <si>
    <t>মিথ্যাবাদী অপমানিত হয়, সত্যবাদী প্রশংসিত</t>
  </si>
  <si>
    <t>A liar's face is blackened, a truth-teller is praised.</t>
  </si>
  <si>
    <t>পরিস্থিতি বুঝে কাজ করা</t>
  </si>
  <si>
    <t>Strike according to the bush—adapt.</t>
  </si>
  <si>
    <t>ঝোল টানো নিজের পাতে</t>
  </si>
  <si>
    <t>ঝোল নিজের পাতে টেনে নাও</t>
  </si>
  <si>
    <t>নিজের স্বার্থ আগে দেখো</t>
  </si>
  <si>
    <t>Pull the soup to your own plate—self-interest.</t>
  </si>
  <si>
    <t>ঝোল ভাত খাওয়া</t>
  </si>
  <si>
    <t>সাধারণ খাদ্য; সহজ জীবন</t>
  </si>
  <si>
    <t>Eating soup and rice—simple living.</t>
  </si>
  <si>
    <t>ঝোল ভাত খাওয়ানো১</t>
  </si>
  <si>
    <t>ঝোল ভাত খাওয়ানো</t>
  </si>
  <si>
    <t>সাধারণ খাবার দেওয়া; সহজ আতিথেয়তা</t>
  </si>
  <si>
    <t>Feeding someone soup and rice.</t>
  </si>
  <si>
    <t>ঝোল ভাত খাওয়ানো২</t>
  </si>
  <si>
    <t>ঝোল ভাত খাওয়ানো (দ্বিতীয়)</t>
  </si>
  <si>
    <t>Serving only soup and rice—minimal effort.</t>
  </si>
  <si>
    <t>ঝোলে, ঝালে, অম্বলে- সবটেকে বেগুন চলে</t>
  </si>
  <si>
    <t>ঝোলে, ঝালে, অম্বলে—সবটাতে বেগুন চলে</t>
  </si>
  <si>
    <t>বেগুন সব রান্নাতেই মানিয়ে যায়</t>
  </si>
  <si>
    <t>Brinjal fits in all—soup, hot curry, sour curry.</t>
  </si>
  <si>
    <t>ঝোলে অম্বলে এক করা</t>
  </si>
  <si>
    <t>সব একসাথে মিশিয়ে ফেলা</t>
  </si>
  <si>
    <t>Mixing soup and sour—blending everything.</t>
  </si>
  <si>
    <t>টক টসো আঁটিসারা শস্যশূন্য আঁশ ভরা, সেই আম বিলাবার ধারা</t>
  </si>
  <si>
    <t>টক টসো, আঁটি সার, শস্য নেই, আঁশ ভরা—সেই আম বিলানোর ধারা</t>
  </si>
  <si>
    <t>অকেজো জিনিস বিতরণ</t>
  </si>
  <si>
    <t>Sour, seeded, fibrous mango—distributing the worthless.</t>
  </si>
  <si>
    <t>টকের জ্বালায় দেশ ছাড়লাম তেঁতুল তলায় বাস</t>
  </si>
  <si>
    <t>টকের জ্বালায় দেশ ছেড়েছি, তেঁতুলতলায় বাস</t>
  </si>
  <si>
    <t>এক বিপদ থেকে মুক্তি পেতে আরেক বিপদে</t>
  </si>
  <si>
    <t>Fled the country due to sourness, now living under a tamarind tree—out of frying pan into fire.</t>
  </si>
  <si>
    <t>টাক, প্রকৃতি, গোদ মরণে হয় শোধ</t>
  </si>
  <si>
    <t>টাক, প্রকৃতি, গোদ—মরণে শোধ হয়</t>
  </si>
  <si>
    <t>কিছু দোষ মৃত্যু ছাড়া যায় না</t>
  </si>
  <si>
    <t>Baldness, nature, gout—only death cures.</t>
  </si>
  <si>
    <t>টাকা উড়ে চলে যায়, টাকা রাখা বিষম দায়</t>
  </si>
  <si>
    <t>টাকা উড়ে যায়, রাখা কঠিন</t>
  </si>
  <si>
    <t>অর্থ ক্ষণস্থায়ী ও রক্ষা কঠিন</t>
  </si>
  <si>
    <t>Money flies away; keeping it is a tough task.</t>
  </si>
  <si>
    <t>টাকা গাছের ফল নয় যে, ছিঁড়ে/পেড়ে নিলে হল</t>
  </si>
  <si>
    <t>টাকা গাছের ফল নয় যে ছিড়ে নিলেই পাওয়া যায়</t>
  </si>
  <si>
    <t>অর্থ সহজলভ্য নয়</t>
  </si>
  <si>
    <t>Money doesn't grow on trees.</t>
  </si>
  <si>
    <t>টাকা চিটেগুড়- মক্ষি টানে</t>
  </si>
  <si>
    <t>টাকা চিটাগুড়, মাছি টানে</t>
  </si>
  <si>
    <t>টাকা মাছির মতো আকর্ষণ করে</t>
  </si>
  <si>
    <t>Money is like molasses; flies are attracted.</t>
  </si>
  <si>
    <t>টাকা তুমি যাচ্ছ কোথা? পিরিত যথা; আসবে কবে? বিচ্ছেদ যবে</t>
  </si>
  <si>
    <t>টাকা, তুমি যাচ্ছ কোথা? যেখানে প্রীতি; ফিরবে কবে? যখন বিচ্ছেদ হবে</t>
  </si>
  <si>
    <t>অর্থ ভালোবাসা অনুসারে যায় আসে</t>
  </si>
  <si>
    <t>Money, where do you go? To where love is. When will you return? When there's separation.</t>
  </si>
  <si>
    <t>টাকা তোমারও নয়, টাকা আমারও নয়, টাকা প্রয়োজনের</t>
  </si>
  <si>
    <t>টাকা তোমারও নয়, আমারও নয়, টাকা প্রয়োজনের</t>
  </si>
  <si>
    <t>অর্থ প্রয়োজনের সম্পদ</t>
  </si>
  <si>
    <t>টাকা থাকলে অভাবের অভাব হয়</t>
  </si>
  <si>
    <t>ধনী অভাব বোঝে না</t>
  </si>
  <si>
    <t>With money, there is no sense of want.</t>
  </si>
  <si>
    <t>টাকা থাকলেই অপব্যয়</t>
  </si>
  <si>
    <t>অর্থ থাকলে ব্যয় বাড়ে</t>
  </si>
  <si>
    <t>Having money leads to wastefulness.</t>
  </si>
  <si>
    <t>টাকা থাকলে ভদ্রলোক, না থাকলেই ছোটলোক</t>
  </si>
  <si>
    <t>টাকা থাকলে ভদ্রলোক, না থাকলে ছোটলোক</t>
  </si>
  <si>
    <t>অর্থই মর্যাদার মাপকাঠি</t>
  </si>
  <si>
    <t>With money, a gentleman; without, a lowly person.</t>
  </si>
  <si>
    <t>টাকা থাকলে ভূতের বাপের শ্রাদ্ধ হয়</t>
  </si>
  <si>
    <t>টাকা থাকলে ভূতের বাপের শ্রাদ্ধও হয়</t>
  </si>
  <si>
    <t>অর্থ দিয়ে সব সম্ভব</t>
  </si>
  <si>
    <t>With money, even a ghost's father's funeral can be held.</t>
  </si>
  <si>
    <t>টাকা দিয়ে চিনি নারী, নারী দিয়ে নর</t>
  </si>
  <si>
    <t>টাকা দিয়ে নারী চেনা, নারী দিয়ে পুরুষ চেনা</t>
  </si>
  <si>
    <t>পরীক্ষার মাধ্যম</t>
  </si>
  <si>
    <t>Test a woman with money, and a man with a woman.</t>
  </si>
  <si>
    <t>টাকা ধার চাইলে বন্ধু বিচ্ছেদ</t>
  </si>
  <si>
    <t>টাকা ধার চাইলে বন্ধুর সাথে বিচ্ছেদ</t>
  </si>
  <si>
    <t>অর্থ চাওয়ায় বন্ধুত্ব নষ্ট</t>
  </si>
  <si>
    <t>Asking for loan breaks friendship.</t>
  </si>
  <si>
    <t>টাকা না থাকলে ভাল কাজ করা যায় না</t>
  </si>
  <si>
    <t>টাকা না থাকলে ভালো কাজ করা যায় না</t>
  </si>
  <si>
    <t>অর্থ ছাড়া ভালো কাজ সম্ভব নয়</t>
  </si>
  <si>
    <t>Without money, you can't do good deeds.</t>
  </si>
  <si>
    <t>টাকা মাটি, মাটি টাকা- রামকৃষ্ণ</t>
  </si>
  <si>
    <t>টাকা মাটি, মাটি টাকা</t>
  </si>
  <si>
    <t>অর্থ ও মাটি সমান; অনিত্য</t>
  </si>
  <si>
    <t>Money is dust, dust is money.</t>
  </si>
  <si>
    <t>টাকা যার মামলা/শক্তি তার</t>
  </si>
  <si>
    <t>টাকা যার, মামলা/শক্তি তার</t>
  </si>
  <si>
    <t>অর্থই আইন ও ক্ষমতার উৎস</t>
  </si>
  <si>
    <t>Who has money, has lawsuits and power.</t>
  </si>
  <si>
    <t>টাকায় টাকা আনে/টানে১</t>
  </si>
  <si>
    <t>ধন সম্পদ আকর্ষণ করে</t>
  </si>
  <si>
    <t>টাকায় টাকা আনে/টানে২</t>
  </si>
  <si>
    <t>টাকায় টাকা টানে (দ্বিতীয়)</t>
  </si>
  <si>
    <t>অর্থ বিনিয়োগে লাভ</t>
  </si>
  <si>
    <t>Money draws money.</t>
  </si>
  <si>
    <t>টাকায় বাঘের দুধ মেলে</t>
  </si>
  <si>
    <t>টাকায় বাঘের দুধও মেলে</t>
  </si>
  <si>
    <t>অর্থে অসম্ভব সম্ভব</t>
  </si>
  <si>
    <t>With money, you can get even tiger's milk.</t>
  </si>
  <si>
    <t>টাকায় সব দোষ ঢাকা পড়ে/যায়</t>
  </si>
  <si>
    <t>টাকায় সব দোষ ঢাকা পড়ে</t>
  </si>
  <si>
    <t>অর্থে অপমান লুকায়</t>
  </si>
  <si>
    <t>Money hides all faults.</t>
  </si>
  <si>
    <t>টাকার কোন গন্ধ নেই</t>
  </si>
  <si>
    <t>টাকার কোনো গন্ধ নেই</t>
  </si>
  <si>
    <t>অর্থ উৎসের বিচার নেই</t>
  </si>
  <si>
    <t>Money has no smell—it's amoral.</t>
  </si>
  <si>
    <t>টাকার নৌকা পাহাড় দিয়ে যায়</t>
  </si>
  <si>
    <t>অর্থে অসাধ্যও সাধন</t>
  </si>
  <si>
    <t>Money's boat goes over mountains.</t>
  </si>
  <si>
    <t>টানবার যার সে না টানলে লাভ নাই কোন কাঁদলে</t>
  </si>
  <si>
    <t>যার টানার, সে না টানলে কেঁদে লাভ নেই</t>
  </si>
  <si>
    <t>উপযুক্ত লোক না করলে কাজ হবে না</t>
  </si>
  <si>
    <t>If the one who should pull doesn't, crying won't help.</t>
  </si>
  <si>
    <t>টেকোমাথায় উঠলো চুল মরামালঞ্চে ফুটলো ফুল১</t>
  </si>
  <si>
    <t>টেকো মাথায় উঠল চুল, মরা মালঞ্চে ফুটল ফুল</t>
  </si>
  <si>
    <t>অসম্ভব ঘটনা; সৌভাগ্য</t>
  </si>
  <si>
    <t>Hair on a bald head, flowers on a dead garden—miracle.</t>
  </si>
  <si>
    <t>টেনে বুনতে কুলোয় না</t>
  </si>
  <si>
    <t>টেনে বুনতে পারে না</t>
  </si>
  <si>
    <t>অক্ষম; সংকুলান হয় না</t>
  </si>
  <si>
    <t>Can't stretch it to weave—inadequacy.</t>
  </si>
  <si>
    <t>টোপ ফেললে খায় না সেই বা কেমন বঁড়শি, ইসারায় বোঝে না সেই বা কেমন পড়শি</t>
  </si>
  <si>
    <t>টোপ ফেললে খায় না, সে কেমন বঁড়শি; ইশারায় বোঝে না, সে কেমন পড়শি</t>
  </si>
  <si>
    <t>অকর্মণ্য জিনিস বা লোক</t>
  </si>
  <si>
    <t>What sort of hook if it doesn't catch; what sort of neighbor if he doesn't understand hints?</t>
  </si>
  <si>
    <t>ট্যাক খালি তো মুখ কালি</t>
  </si>
  <si>
    <t>ট্যাক (তহবিল) খালি তো মুখ কালি</t>
  </si>
  <si>
    <t>অর্থ না থাকলে লজ্জা</t>
  </si>
  <si>
    <t>Empty pocket, blackened face—shame.</t>
  </si>
  <si>
    <t>ট্যাক ভারি তো মন হালকা</t>
  </si>
  <si>
    <t>পকেট ভরা থাকলে মন হালকা</t>
  </si>
  <si>
    <t>Heavy pocket, light heart.</t>
  </si>
  <si>
    <t>ট্যানা (ছেঁড়া টুকরা কাপড়) নাই ফ্যানা আছে</t>
  </si>
  <si>
    <t>ট্যানা নেই, ফ্যানা (বড়াই) আছে</t>
  </si>
  <si>
    <t>অভাব সত্ত্বেও অহংকার</t>
  </si>
  <si>
    <t>No cloth, but plenty of foam—pretension.</t>
  </si>
  <si>
    <t>ঠগ বাছতে গাঁঁ উজাড়/শূন্য</t>
  </si>
  <si>
    <t>ঠগ বাছতে গাঁ উজাড়/শূন্য</t>
  </si>
  <si>
    <t>ঠগ চিনতে গিয়ে গ্রাম খালি; সবাই ঠগ</t>
  </si>
  <si>
    <t>To pick out the cheat, the village became empty—all cheats.</t>
  </si>
  <si>
    <t>ঠগের বাড়ী নেমন্তন্ন না আচাঁলে বিশ্বাস নেই</t>
  </si>
  <si>
    <t>ঠগের বাড়ি নেমন্তন্ন, না পরখ করলে বিশ্বাস নেই</t>
  </si>
  <si>
    <t>An invitation from a cheat's house—trust not without checking.</t>
  </si>
  <si>
    <t>ঠাঁট ঠমকে বিকোয় ঘোড়া</t>
  </si>
  <si>
    <t>ঠাঁটঠমকে ঘোড়া বিক্রি হয় (পুনরুক্তি)</t>
  </si>
  <si>
    <t>বাহ্যিক আড়ম্বরে ব্যবসা</t>
  </si>
  <si>
    <t>Horses sell by pomp.</t>
  </si>
  <si>
    <t>ঠাকুর ঘরে কে আমি কলা খাই নি</t>
  </si>
  <si>
    <t>ঠাকুর ঘরে কে? আমি কলা খাইনি</t>
  </si>
  <si>
    <t>অপরাধী সবার আগে চিৎকার করে</t>
  </si>
  <si>
    <t>Who's in the temple? 'I didn't eat the banana'—guilt speaks first.</t>
  </si>
  <si>
    <t>ঠাকুরকে দেখিয়ে কলা নৈবিদ্যি নিয়ে পালা</t>
  </si>
  <si>
    <t>ঠাকুরকে দেখিয়ে কলা নৈবিদ্যি নিয়ে পালানো</t>
  </si>
  <si>
    <t>প্রতারণা; দেখিয়ে খাওয়া</t>
  </si>
  <si>
    <t>Showing the deity the banana offering and then running away with it.</t>
  </si>
  <si>
    <t>ঠাণ্ডা মাথায় বুদ্ধি খোলে</t>
  </si>
  <si>
    <t>শান্ত থাকলে বুদ্ধি আসে</t>
  </si>
  <si>
    <t>Cool head opens wisdom.</t>
  </si>
  <si>
    <t>ঠুঁটো জগান্নাথ</t>
  </si>
  <si>
    <t>ঠুঁটো জগন্নাথ</t>
  </si>
  <si>
    <t>হাত-পা বিহীন জগন্নাথ; অথর্ব</t>
  </si>
  <si>
    <t>Handless Jagannath—helpless.</t>
  </si>
  <si>
    <t>ঠেঁটা লোকের মুখে আঁট বাইরে থেকে কাটে গাঁট</t>
  </si>
  <si>
    <t>ঠেঁটা লোকের মুখে আঁট, বাইরে থেকে কাটে গাঁট</t>
  </si>
  <si>
    <t>অক্ষম মুখে বড়াই, কিন্তু অন্যের সাহায্য</t>
  </si>
  <si>
    <t>A stubborn man's mouth is tight, but others cut the knot—empty talk.</t>
  </si>
  <si>
    <t>ঠেকে শেখে আর দেখে শেখে</t>
  </si>
  <si>
    <t>অভিজ্ঞতা ও পর্যবেক্ষণে শিক্ষা</t>
  </si>
  <si>
    <t>Some learn by experience, some by observation.</t>
  </si>
  <si>
    <t>ঠেলাঠেলির ঘর খোদায় রক্ষা কর</t>
  </si>
  <si>
    <t>ঠেলাঠেলির ঘর, খোদায় রক্ষা কর</t>
  </si>
  <si>
    <t>সঙ্কীর্ণ গৃহে অনেক লোক থাকলে অশান্তি</t>
  </si>
  <si>
    <t>A crowded house, God save us—chaos.</t>
  </si>
  <si>
    <t>অশান্তি</t>
  </si>
  <si>
    <t>ঠেলায় পড়লে ঠাকুরদাদি, নইলে তার নাকে পাঁদি (বাতকর্ম)</t>
  </si>
  <si>
    <t>ঠেলায় পড়লে ঠাকুরদাদি, নইলে নাকে পাদ</t>
  </si>
  <si>
    <t>প্রয়োজনে তোষণ, অন্যথায় অবহেলা</t>
  </si>
  <si>
    <t>In need, 'respected grandmother'; otherwise, 'fart on her nose'.</t>
  </si>
  <si>
    <t>ঠাকুরদাদি/নারী</t>
  </si>
  <si>
    <t>ঠেলায় পড়ে ঢেলায় সেলাম১</t>
  </si>
  <si>
    <t>ঠেলায় পড়ে ঢেলায় সেলাম</t>
  </si>
  <si>
    <t>বিপদে পড়লে পাথরকেও প্রণাম</t>
  </si>
  <si>
    <t>In distress, bowing to a stone.</t>
  </si>
  <si>
    <t>ঠেলায় পড়ে ঢেলায় সেলাম২</t>
  </si>
  <si>
    <t>ঠেলায় পড়ে ঢেলায় সেলাম (দ্বিতীয়)</t>
  </si>
  <si>
    <t>প্রয়োজনে সব সম্ভব</t>
  </si>
  <si>
    <t>When pushed, salute a rock.</t>
  </si>
  <si>
    <t>ঠেলায় না পড়লে বিড়াল গাছে ওঠে না</t>
  </si>
  <si>
    <t>ঠেলায় না পড়লে বিড়াল গাছে চড়ে না</t>
  </si>
  <si>
    <t>প্রয়োজন ছাড়া কেউ কাজ করে না</t>
  </si>
  <si>
    <t>Unless forced, a cat doesn't climb a tree.</t>
  </si>
  <si>
    <t>ঠেলায় পড়লে বাঘেও ঘাস খায়</t>
  </si>
  <si>
    <t>ঠেলায় পড়লে বাঘও ঘাস খায়</t>
  </si>
  <si>
    <t>বিপদে পড়লে যে কোনো কাজ করতে হয়</t>
  </si>
  <si>
    <t>In distress, even a tiger eats grass.</t>
  </si>
  <si>
    <t>ঠেলায় পড়লে বেড়াল মান্দার গাছেও (একপ্রকার কাঁটাযুক্ত গাছ) উঠে</t>
  </si>
  <si>
    <t>ঠেলায় পড়লে বিড়াল মান্দার গাছেও চড়ে</t>
  </si>
  <si>
    <t>প্রয়োজনে কঠিন কাজও করতে হয়</t>
  </si>
  <si>
    <t>When forced, a cat climbs even a thorny tree.</t>
  </si>
  <si>
    <t>ঠেলায় পড়লে শালগ্রাম নইলে পাথরের ঢেলা</t>
  </si>
  <si>
    <t>ঠেলায় পড়লে শালগ্রাম, নইলে পাথরের ঢেলা</t>
  </si>
  <si>
    <t>প্রয়োজন ছাড়া মূল্যবান জিনিসও তুচ্ছ</t>
  </si>
  <si>
    <t>In need, it's a Shaligram; otherwise, a stone.</t>
  </si>
  <si>
    <t>ঠেলায় পড়লে বামণ শালগ্রামের পৈতা/সোনা বেচে খায়</t>
  </si>
  <si>
    <t>ঠেলায় পড়লে ব্রাহ্মণ শালগ্রামের সোনা বেচে খায়</t>
  </si>
  <si>
    <t>অভাবে পবিত্র বস্তুও বেচতে হয়</t>
  </si>
  <si>
    <t>In distress, a Brahmin sells the gold of Shaligram.</t>
  </si>
  <si>
    <t>ঠোঁক কাটা কাক</t>
  </si>
  <si>
    <t>ঘন ঘন কথা বলা বাচাল ব্যক্তি</t>
  </si>
  <si>
    <t>A cawing crow—chatterbox.</t>
  </si>
  <si>
    <t>বাচালতা</t>
  </si>
  <si>
    <t>ঠ্যাং থাকতে লাঠি কেন?</t>
  </si>
  <si>
    <t>নিজের অঙ্গ থাকতে অস্ত্রের দরকার নেই</t>
  </si>
  <si>
    <t>Why a stick when you have legs?—reliance on self.</t>
  </si>
  <si>
    <t>ডজনে তেরো</t>
  </si>
  <si>
    <t>ডজনে তেরো (বার)</t>
  </si>
  <si>
    <t>এক ডজনে বারোটি, কিন্তু তেরো হলে বাড়তি; অস্বাভাবিক</t>
  </si>
  <si>
    <t>Thirteen in a dozen—excess.</t>
  </si>
  <si>
    <t>ডাইনে আনতে বাঁয়ে কুলোয় না (নেই)</t>
  </si>
  <si>
    <t>ডাইনে আনতে বাঁয়ে কুলায় না</t>
  </si>
  <si>
    <t>অভাবের কারণে সামঞ্জস্য হয় না</t>
  </si>
  <si>
    <t>Bringing on the right, not enough for the left—mismatch.</t>
  </si>
  <si>
    <t>ডাইনের মায়া বুঝা ভার</t>
  </si>
  <si>
    <t>ডাইনের মায়া বোঝা ভার</t>
  </si>
  <si>
    <t>জাদুর কুহক বোঝা কঠিন</t>
  </si>
  <si>
    <t>The illusion of a witch is hard to understand.</t>
  </si>
  <si>
    <t>ডাইনী/নারী</t>
  </si>
  <si>
    <t>ডাইলের মধ্যে মুসুরি, সাগাইয়ের (আত্মীয়) মধ্যে শাশুড়ি।</t>
  </si>
  <si>
    <t>ডালের মধ্যে মুসুরি, আত্মীয়ের মধ্যে শাশুড়ি</t>
  </si>
  <si>
    <t>মুসুরি ডাল যেমন খারাপ, তেমন শাশুড়ি আত্মীয়দের মধ্যে নিকৃষ্ট</t>
  </si>
  <si>
    <t>Among lentils, masoor is worst; among relatives, mother-in-law is worst.</t>
  </si>
  <si>
    <t>শাশুড়ি (নারী)</t>
  </si>
  <si>
    <t>ডাকলে ডাক, বসলে ক্রোশ, পথ বলে মোর কিসের দোষ</t>
  </si>
  <si>
    <t>ডাকলে ডাক (কাছে), বসলে ক্রোশ (দূরে); পথ বলে আমার দোষ কী?</t>
  </si>
  <si>
    <t>চেষ্টা করলে দূর কম, না করলে বেশি</t>
  </si>
  <si>
    <t>If you walk, a league; if you sit, a mile; the road says, what's my fault?</t>
  </si>
  <si>
    <t>ডাঙায় বাঘের ভয়, জলেতে কুমীর</t>
  </si>
  <si>
    <t>ডাঙায় বাঘের ভয়, জলে কুমিরের ভয়</t>
  </si>
  <si>
    <t>উভয় দিকেই বিপদ</t>
  </si>
  <si>
    <t>Fear of tiger on land, fear of crocodile in water—danger everywhere.</t>
  </si>
  <si>
    <t>ডান হাতখান দিলে বাম হাতখান পাওয়া যায়</t>
  </si>
  <si>
    <t>ডান হাতখানা দিলে বাম হাতখানা পাওয়া যায়</t>
  </si>
  <si>
    <t>সাহায্য করলে প্রতিদান পাওয়া যায়</t>
  </si>
  <si>
    <t>Give the right hand, and you'll get the left hand—reciprocity.</t>
  </si>
  <si>
    <t>ডানপিটের মরণ গাছের আগায়</t>
  </si>
  <si>
    <t>ডানপিটের (দুষ্ট) মরণ গাছের আগায়</t>
  </si>
  <si>
    <t>দুষ্ট লোকের পরিণতি খারাপ</t>
  </si>
  <si>
    <t>A wicked person dies on a treetop—bad end.</t>
  </si>
  <si>
    <t>ডাল যেমন বাঁকাবে গাছ তেমনি বাড়বে</t>
  </si>
  <si>
    <t>ডাল যেমন বাঁকাবে, গাছ তেমন বাড়বে</t>
  </si>
  <si>
    <t>শৈশবের শিক্ষা অনুযায়ী ভবিষ্যৎ</t>
  </si>
  <si>
    <t>As you bend the branch, so the tree will grow.</t>
  </si>
  <si>
    <t>ডালছাড়া বানর</t>
  </si>
  <si>
    <t>আশ্রয়হীন অসহায়</t>
  </si>
  <si>
    <t>A monkey without a branch—helpless.</t>
  </si>
  <si>
    <t>ডিমফোটার আগেই মুরগীর ছানা গোনা</t>
  </si>
  <si>
    <t>ডিম ফোটার আগেই মুরগির ছানা গোনা</t>
  </si>
  <si>
    <t>হওয়ার আগেই ফলের আশা</t>
  </si>
  <si>
    <t>Counting chickens before they hatch.</t>
  </si>
  <si>
    <t>ডিমের খোলে চেপে সাগরপার করা</t>
  </si>
  <si>
    <t>ডিমের খোলায় চড়ে সাগর পার</t>
  </si>
  <si>
    <t>সামান্য উপায়ে অসম্ভব কাজ</t>
  </si>
  <si>
    <t>Crossing the sea on an eggshell—impossible.</t>
  </si>
  <si>
    <t>ডুবন্ত মানুষ খড়কুটো ধরে বাঁচতে চায়'।</t>
  </si>
  <si>
    <t>ডুবন্ত মানুষ খড়কুটো ধরে বাঁচতে চায়</t>
  </si>
  <si>
    <t>বিপদে সামান্য অবলম্বনও বাঁচাতে পারে</t>
  </si>
  <si>
    <t>A drowning man clutches at a straw.</t>
  </si>
  <si>
    <t>ডুবে ডুবে খাই পানি, আল্লা জানে আর আমি জানি</t>
  </si>
  <si>
    <t>ডুবে ডুবে জল খাই, আল্লাহ জানে আর আমি জানি</t>
  </si>
  <si>
    <t>গোপন কষ্ট শুধু ঈশ্বর ও নিজে জানে</t>
  </si>
  <si>
    <t>I drink water while drowning; only Allah and I know—secret suffering.</t>
  </si>
  <si>
    <t>ডুবে ডুবে জল/পানি খাওয়া</t>
  </si>
  <si>
    <t>চাপা কষ্টে ভোগা</t>
  </si>
  <si>
    <t>Drinking water while drowning—suffering in silence.</t>
  </si>
  <si>
    <t>ডুবেছি না ডুবতে আছি, দেখি পাতাল কতদূর?</t>
  </si>
  <si>
    <t>ডুবেছি না, ডুবতে আছি; দেখি পাতাল কতদূর?</t>
  </si>
  <si>
    <t>বিপদে থেকেও পরিস্থিতি মাপার চেষ্টা</t>
  </si>
  <si>
    <t>Not sunk yet, but sinking; let's see how deep the abyss is—bravado.</t>
  </si>
  <si>
    <t>ডেকে শাল নেওয়া</t>
  </si>
  <si>
    <t>ডেকে শাল (শালিক পাখি) নেওয়া</t>
  </si>
  <si>
    <t>ফাঁদ পেতে ধরা; কৌশল</t>
  </si>
  <si>
    <t>Calling and catching a myna—entrapment.</t>
  </si>
  <si>
    <t>ডোবা দেখলেই ব্যাঙ লাফায়</t>
  </si>
  <si>
    <t>স্বভাবগত কাজ; সুযোগ পেলেই লাফ</t>
  </si>
  <si>
    <t>A frog jumps when it sees a pond—natural instinct.</t>
  </si>
  <si>
    <t>ডোলভরা আশা, কুলোভরা ছাই</t>
  </si>
  <si>
    <t>ডোল ভরা আশা, কুলো ভরা ছাই</t>
  </si>
  <si>
    <t>অনেক আশা, কিন্তু ফল শূন্য</t>
  </si>
  <si>
    <t>Basketful of hope, but only a winnowing fan of ashes.</t>
  </si>
  <si>
    <t>ডোলী ন কহার বিবি বৈঁঠা হৈ তৈয়ার১</t>
  </si>
  <si>
    <t>ডোলি নেই কাহার (বেহারা), বিবি বসতে প্রস্তুত</t>
  </si>
  <si>
    <t>উপকরণ ছাড়া কাজের আয়োজন</t>
  </si>
  <si>
    <t>No palanquin bearers, yet the lady is ready to sit—preparation without means.</t>
  </si>
  <si>
    <t>পরিহাস</t>
  </si>
  <si>
    <t>ঢাকঢাক গুড়গুড়</t>
  </si>
  <si>
    <t>গোপনতা ও চাপা গুঞ্জন</t>
  </si>
  <si>
    <t>Hush-hush, murmur—secrecy.</t>
  </si>
  <si>
    <t>ঢাক বাজিয়ে ইঁদুর ধরা</t>
  </si>
  <si>
    <t>গোপনে কাজ প্রকাশ্যে করা; বোকার মতো</t>
  </si>
  <si>
    <t>Catching mice with drumbeats—foolish publicity.</t>
  </si>
  <si>
    <t>ঢাকী শুদ্ধু বিসর্জন</t>
  </si>
  <si>
    <t>ঢাকী সহ বিসর্জন</t>
  </si>
  <si>
    <t>সব কিছু শেষ; সবাই বিদায়</t>
  </si>
  <si>
    <t>Dismissal including the drummer—total end.</t>
  </si>
  <si>
    <t>ঢাকের কাছে টেমটেমি</t>
  </si>
  <si>
    <t>ঢাকের কাছে টেমটেমি (ছোট ঢাক)</t>
  </si>
  <si>
    <t>বড়র পাশে ছোট তুচ্ছ</t>
  </si>
  <si>
    <t>A tiny drum near a big drum—insignificant.</t>
  </si>
  <si>
    <t>ঢাকের দায়ে মনসা বিক্রি১</t>
  </si>
  <si>
    <t>ঢাকের দায়ে মনসা বিক্রি</t>
  </si>
  <si>
    <t>বাদ্যের খরচ মেটাতে দেবী বিক্রি; বাজে খরচে আসল নষ্ট</t>
  </si>
  <si>
    <t>Selling the goddess Manasa to pay for drums—misplaced priority.</t>
  </si>
  <si>
    <t>ঢাকের দায়ে মনসা বিক্রি২</t>
  </si>
  <si>
    <t>ঢাকের দায়ে মনসা বিক্রি (দ্বিতীয়)</t>
  </si>
  <si>
    <t>সামান্য কারণে বড় ক্ষতি</t>
  </si>
  <si>
    <t>Selling the deity for drum expenses.</t>
  </si>
  <si>
    <t>ঢাকের দায়ে মনসা বিক্রি৩</t>
  </si>
  <si>
    <t>ঢাকের দায়ে মনসা বিক্রি (তৃতীয়)</t>
  </si>
  <si>
    <t>মূল জিনিস ত্যাগ</t>
  </si>
  <si>
    <t>Pawning the goddess for the drum.</t>
  </si>
  <si>
    <t>ঢাকের বাঁয়া</t>
  </si>
  <si>
    <t>ঢাকের বাঁয়া (বাঁ হাতের বাদ্য)</t>
  </si>
  <si>
    <t>অপ্রয়োজনীয় সঙ্গী; তুচ্ছ</t>
  </si>
  <si>
    <t>The left side drum—unimportant part.</t>
  </si>
  <si>
    <t>ঢাকের বাদ্য থামলে মিষ্টি১</t>
  </si>
  <si>
    <t>ঢাকের বাদ্য থামলে মিষ্টি</t>
  </si>
  <si>
    <t>কোলাহল শেষ হলেই শান্তি</t>
  </si>
  <si>
    <t>Sweetness when the drumming stops—peace after noise.</t>
  </si>
  <si>
    <t>ঢাকের বাদ্য থামলে মিষ্টি২</t>
  </si>
  <si>
    <t>ঢাকের বাদ্য থামলে মিষ্টি (দ্বিতীয়)</t>
  </si>
  <si>
    <t>ঝামেলা শেষে আরাম</t>
  </si>
  <si>
    <t>After the drums stop, it's pleasant.</t>
  </si>
  <si>
    <t>ঢাল নেই তলোয়ার নেই আদ্দিরাম/নিধিরাম সর্দার</t>
  </si>
  <si>
    <t>ঢাল নেই, তলোয়ার নেই, তবু আদ্দিরাম/নিধিরাম সর্দার</t>
  </si>
  <si>
    <t>কোনো অস্ত্র না থাকা সত্ত্বেও নেতা</t>
  </si>
  <si>
    <t>No shield, no sword, yet Addiram is the chief—empty boast.</t>
  </si>
  <si>
    <t>ঢিল মারলে পাটকেল খেতে হয়১</t>
  </si>
  <si>
    <t>ঢিল মারলে পাটকেল খেতে হয়</t>
  </si>
  <si>
    <t>If you throw a clod, you'll receive a brick.</t>
  </si>
  <si>
    <t>ঢিল মারলে পাটকেল খেতে হয়২</t>
  </si>
  <si>
    <t>ঢিল মারলে পাটকেল খেতে হয় (দ্বিতীয়)</t>
  </si>
  <si>
    <t>Throw a clod, get a brick.</t>
  </si>
  <si>
    <t>ঢিল দিয়ে ঢিল ভাঙা</t>
  </si>
  <si>
    <t>একই জিনিস দিয়ে প্রতিরোধ</t>
  </si>
  <si>
    <t>Breaking a clod with a clod—counter.</t>
  </si>
  <si>
    <t>মোকাবিলা</t>
  </si>
  <si>
    <t>ঢিল মেরে ঢিল খাওয়া</t>
  </si>
  <si>
    <t>আঘাত করে পাল্টা আঘাত পাওয়া</t>
  </si>
  <si>
    <t>Throw a clod, receive a clod.</t>
  </si>
  <si>
    <t>ঢিলা দিয়ে টেনে আনা</t>
  </si>
  <si>
    <t>অপরের মাধ্যমে কাজ আদায়</t>
  </si>
  <si>
    <t>Pulling by a loose string—manipulating.</t>
  </si>
  <si>
    <t>ঢেঁকি অবতার</t>
  </si>
  <si>
    <t>মূর্খ ও অকর্মণ্য; ঢেঁকির মতো নির্বোধ</t>
  </si>
  <si>
    <t>Incarnation of a dheki—a fool.</t>
  </si>
  <si>
    <t>ঢেঁকি কেন গাঁ বেড়াক না গড়ে পড়লে হল</t>
  </si>
  <si>
    <t>ঢেঁকি কেন গাঁ বেড়াক, না গড়িয়ে পড়লে হল</t>
  </si>
  <si>
    <t>আপন কাজ না করে অনর্থক ঘোরা</t>
  </si>
  <si>
    <t>Why does the dheki roam the village? If it doesn't roll, it's fine.</t>
  </si>
  <si>
    <t>ঢেঁকি ভজে স্বর্গে যাওয়া</t>
  </si>
  <si>
    <t>নির্বোধ ভক্তিতে মুক্তি হয় না</t>
  </si>
  <si>
    <t>Worshipping a dheki to go to heaven—foolish faith.</t>
  </si>
  <si>
    <t>ঢেঁকির কচকচি থামলেই মিষ্টি১</t>
  </si>
  <si>
    <t>ঢেঁকির কচকচি থামলেই মিষ্টি</t>
  </si>
  <si>
    <t>গোলমাল থামলেই শান্তি</t>
  </si>
  <si>
    <t>When the dheki's noise stops, it's sweet.</t>
  </si>
  <si>
    <t>ঢেঁকির কচকচি থামলেই মিষ্টি২</t>
  </si>
  <si>
    <t>ঢেঁকির কচকচি থামলেই মিষ্টি (দ্বিতীয়)</t>
  </si>
  <si>
    <t>কাজের শেষে আরাম</t>
  </si>
  <si>
    <t>After the grinding noise, sweetness.</t>
  </si>
  <si>
    <t>ঢেঁকির তসুলি</t>
  </si>
  <si>
    <t>ঢেঁকির তসুলি (ছোট কাঠের টুকরা)</t>
  </si>
  <si>
    <t>তুচ্ছ অংশ; অপ্রয়োজনীয়</t>
  </si>
  <si>
    <t>A splinter of the dheki—trifle.</t>
  </si>
  <si>
    <t>ঢেঁকির শব্দ বড়</t>
  </si>
  <si>
    <t>অল্প কাজের বেশি আওয়াজ</t>
  </si>
  <si>
    <t>The noise of a dheki is great—much ado about nothing.</t>
  </si>
  <si>
    <t>শব্দ</t>
  </si>
  <si>
    <t>ঢেঁকিশাল/ঢেকশেল দিয়ে কটক যাওয়া</t>
  </si>
  <si>
    <t>ঢেঁকিশাল দিয়ে কটক যাওয়া</t>
  </si>
  <si>
    <t>ঘুরিয়ে কাজ; জটিল পথে যাওয়া</t>
  </si>
  <si>
    <t>Going to Cuttack via the husking shed—roundabout.</t>
  </si>
  <si>
    <t>ঢেঁকিশালে/ঢেকশেলে যদি মানিক পাই, তবে কেন পর্বতে যাই১</t>
  </si>
  <si>
    <t>ঢেঁকিশালে যদি মানিক পাই, তবে কেন পর্বতে যাই?</t>
  </si>
  <si>
    <t>সহজে পেলে কষ্ট করতে যাব না</t>
  </si>
  <si>
    <t>If I get a gem in the husking shed, why go to the mountain?</t>
  </si>
  <si>
    <t>ঢেঁকি স্বর্গে গিয়ে/গেলেও ধান ভানে২</t>
  </si>
  <si>
    <t>ঢেঁকি স্বর্গে গেলেও ধান ভানে (দ্বিতীয়)</t>
  </si>
  <si>
    <t>পরিবেশ বদলালেও স্বভাব এক</t>
  </si>
  <si>
    <t>A dheki husks paddy even in heaven.</t>
  </si>
  <si>
    <t>ঢেঁকি স্বর্গে গিয়ে/গেলেও ধান ভানে৩</t>
  </si>
  <si>
    <t>ঢেঁকি স্বর্গে গেলেও ধান ভানে (তৃতীয়)</t>
  </si>
  <si>
    <t>স্বভাব অপরিবর্তনীয়</t>
  </si>
  <si>
    <t>Even if it goes to heaven, the dheki still pounds paddy.</t>
  </si>
  <si>
    <t>ঢেউ দেখে লা (নৌকা) ডুবিও না</t>
  </si>
  <si>
    <t>ঢেউ দেখে নৌকা ডুবিও না</t>
  </si>
  <si>
    <t>সামান্য বিপদে ভেঙে পড়ো না</t>
  </si>
  <si>
    <t>Don't sink the boat at the sight of a wave.</t>
  </si>
  <si>
    <t>ঢোল কা ভিতর পোল (ফাঁপা)</t>
  </si>
  <si>
    <t>ঢোলের ভিতর পোল (ফাঁপা)</t>
  </si>
  <si>
    <t>বাহিরে আড়ম্বর, ভিতরে ফাঁপা</t>
  </si>
  <si>
    <t>The drum is hollow inside—empty show.</t>
  </si>
  <si>
    <t>ঢোলের পাছে কাসি</t>
  </si>
  <si>
    <t>ঢোলের পিছনে কাসি (খঞ্জনি)</t>
  </si>
  <si>
    <t>অনুকরণ; প্রধানকে অনুসরণ</t>
  </si>
  <si>
    <t>The cymbal follows the drum—follower.</t>
  </si>
  <si>
    <t>ঢ্যাকার আগে চলা</t>
  </si>
  <si>
    <t>ঢ্যাকার (ধাক্কা) আগে চলা</t>
  </si>
  <si>
    <t>পূর্ব প্রস্তুতি নেওয়া; আগে ভাগে কাজ</t>
  </si>
  <si>
    <t>Moving before the push—proactive.</t>
  </si>
  <si>
    <t>তক্রান্তং খলু ভোজনম</t>
  </si>
  <si>
    <t>তক্রান্ত (ঘোল দিয়ে শেষ) ভোজন</t>
  </si>
  <si>
    <t>ভোজনের শেষে ঘোল খাওয়া উচিত</t>
  </si>
  <si>
    <t>A meal should end with buttermilk.</t>
  </si>
  <si>
    <t>তত্র মৌনং হি শোভনম</t>
  </si>
  <si>
    <t>সেখানে মৌনই শোভন</t>
  </si>
  <si>
    <t>মূর্খদের সভায় চুপ থাকাই ভালো</t>
  </si>
  <si>
    <t>There, silence is golden.</t>
  </si>
  <si>
    <t>তথাপি কাকো চ ন রাজহংসঃ</t>
  </si>
  <si>
    <t>তথাপি কাক রাজহাঁস নয়</t>
  </si>
  <si>
    <t>Still, a crow is not a swan.</t>
  </si>
  <si>
    <t>তন দেখলে মন নাশ, তল দেখলে সাধু নাশ</t>
  </si>
  <si>
    <t>তন (দেহ) দেখলে মন নাশ, তল দেখলে সাধু নাশ</t>
  </si>
  <si>
    <t>দেহের প্রতি আসক্তি ও গভীরে তাকানো ক্ষতিকর</t>
  </si>
  <si>
    <t>Seeing the body destroys the mind; seeing the depth destroys the saint.</t>
  </si>
  <si>
    <t>তন্নষ্টং যন্ন দীয়তে</t>
  </si>
  <si>
    <t>যা দেওয়া হয় না, তাই নষ্ট</t>
  </si>
  <si>
    <t>দান না করলে সম্পদ নষ্ট</t>
  </si>
  <si>
    <t>That which is not given away is truly lost.</t>
  </si>
  <si>
    <t>তপ্ত কড়া থেকে জলন্ত আগুনে ঝাঁপ</t>
  </si>
  <si>
    <t>তপ্ত কড়া থেকে জ্বলন্ত আগুনে ঝাঁপ</t>
  </si>
  <si>
    <t>এক বিপদ থেকে আরেক বড় বিপদে</t>
  </si>
  <si>
    <t>Jumping from the hot frying pan into the fire.</t>
  </si>
  <si>
    <t>তপ্তজলে ঘর পোড়ে না</t>
  </si>
  <si>
    <t>তপ্ত জলে ঘর পোড়ে না</t>
  </si>
  <si>
    <t>গরম জল দিয়ে ঘর পোড়ানো যায় না; উত্তেজনা কমানো</t>
  </si>
  <si>
    <t>Hot water doesn't burn a house.</t>
  </si>
  <si>
    <t>তপ্ত ভাতে নুন জোটে না, পান্তা ভাতে ঘি</t>
  </si>
  <si>
    <t>প্রয়োজনীয় জিনিস নেই, বিলাসিতা</t>
  </si>
  <si>
    <t>No salt for hot rice, but ghee for stale rice—mismatch.</t>
  </si>
  <si>
    <t>তমসোমা জ্যোতির্গময়, অসদোমা সদগময়, মৃত্যোর্মা অমৃতগময়</t>
  </si>
  <si>
    <t>তমসো মা জ্যোতির্গময়, অসত মা সদগময়, মৃত্যো মা অমৃতগময়</t>
  </si>
  <si>
    <t>প্রার্থনা: অন্ধকার থেকে আলোতে, অসত্য থেকে সত্যে, মৃত্যু থেকে অমৃতে</t>
  </si>
  <si>
    <t>Lead me from darkness to light, falsehood to truth, death to immortality.</t>
  </si>
  <si>
    <t>তমোগুণে অধোগতি</t>
  </si>
  <si>
    <t>অন্ধকার গুণে পতন</t>
  </si>
  <si>
    <t>In the mode of ignorance, there is downfall.</t>
  </si>
  <si>
    <t>তর্কই জ্ঞানের উৎস</t>
  </si>
  <si>
    <t>তর্কের মাধ্যমে জ্ঞান বাড়ে</t>
  </si>
  <si>
    <t>Argument is the source of knowledge.</t>
  </si>
  <si>
    <t>তর্কে জেতা নয়, তর্কে না জড়ানোই বুদ্ধিমানের কাজ</t>
  </si>
  <si>
    <t>তর্কে জেতা নয়, তর্ক এড়ানোই বুদ্ধিমানের কাজ</t>
  </si>
  <si>
    <t>বিতর্কে না জড়ানো ভালো</t>
  </si>
  <si>
    <t>Not winning an argument, but avoiding it is wise.</t>
  </si>
  <si>
    <t>তর্কে তর্ক বাড়ে</t>
  </si>
  <si>
    <t>তর্ক করলে বিতর্ক বাড়ে</t>
  </si>
  <si>
    <t>Argument breeds argument.</t>
  </si>
  <si>
    <t>তর্ক</t>
  </si>
  <si>
    <t>তস্মিন্ তুষ্টে জগৎ তুষ্টঃ</t>
  </si>
  <si>
    <t>তিনি তুষ্ট হলে জগৎ তুষ্ট</t>
  </si>
  <si>
    <t>ঈশ্বর সন্তুষ্ট হলে জগৎ সন্তুষ্ট</t>
  </si>
  <si>
    <t>If He is pleased, the world is pleased.</t>
  </si>
  <si>
    <t>তস্য তদেব মধুরং যস্য মনো যত্র সংলগ্নম</t>
  </si>
  <si>
    <t>যার মন যাতে লেগে আছে, তার কাছে তাই মধুর</t>
  </si>
  <si>
    <t>ভালোবাসার জিনিসই মিষ্টি</t>
  </si>
  <si>
    <t>That which one's mind is attached to is sweet.</t>
  </si>
  <si>
    <t>তাঁতীকুলও গেল, বৈষ্ণবকুলও গেল</t>
  </si>
  <si>
    <t>দুই দিকই গেল; সর্বনাশ</t>
  </si>
  <si>
    <t>Lost both the weaver caste and the Vaishnava sect—total ruin.</t>
  </si>
  <si>
    <t>তাঁতী রাগে কাপড় ছেঁড়ে, আপনার ক্ষতি আপনি করে</t>
  </si>
  <si>
    <t>তাঁতী রাগ করে কাপড় ছিঁড়ে, নিজের ক্ষতি নিজে করে</t>
  </si>
  <si>
    <t>রাগ করে নিজের সর্বনাশ</t>
  </si>
  <si>
    <t>The weaver tears his cloth in anger and harms himself.</t>
  </si>
  <si>
    <t>তাজমহল একদিনে তৈরী হয় নি</t>
  </si>
  <si>
    <t>তাজমহল একদিনে তৈরি হয়নি</t>
  </si>
  <si>
    <t>বড় কাজ ধীরে ধীরে হয়</t>
  </si>
  <si>
    <t>The Taj Mahal wasn't built in a day.</t>
  </si>
  <si>
    <t>তাড়াতাড়িতে বাড়াবাড়ি</t>
  </si>
  <si>
    <t>তাড়াহুড়ো করলে ভুল হয়</t>
  </si>
  <si>
    <t>Haste makes excess.</t>
  </si>
  <si>
    <t>তাড়াহুড়া করলে বিলম্ব হয়</t>
  </si>
  <si>
    <t>তাড়াহুড়া করলে দেরি হয়</t>
  </si>
  <si>
    <t>তাড়াহুড়ো বিপরীত ফল আনে</t>
  </si>
  <si>
    <t>Haste makes delay.</t>
  </si>
  <si>
    <t>তাত সয় তো বাত সয় না১</t>
  </si>
  <si>
    <t>তাত (ব্যথা) সয়, কিন্তু বাত (কথা) সয় না</t>
  </si>
  <si>
    <t>শারীরিক কষ্ট সহ্য, কিন্তু কথা নয়</t>
  </si>
  <si>
    <t>I can bear pain, but not words.</t>
  </si>
  <si>
    <t>তাত সয় তো বাত সয় না২</t>
  </si>
  <si>
    <t>তাত সয়, বাত সয় না (দ্বিতীয়)</t>
  </si>
  <si>
    <t>কটুকথা সহ্য করা কঠিন</t>
  </si>
  <si>
    <t>Can endure a slap, but not speech.</t>
  </si>
  <si>
    <t>তাত সয় তো বাত সয় না৩</t>
  </si>
  <si>
    <t>তাত সয়, বাত সয় না (তৃতীয়)</t>
  </si>
  <si>
    <t>মৌখিক আঘাত বেশি কষ্ট</t>
  </si>
  <si>
    <t>Physical pain is bearable, not verbal.</t>
  </si>
  <si>
    <t>তাতে কিছু যায় আসে না কত আস্তে তুমি হাঁটছো যদি না তুমি থেমে যাও- কনফুসিয়াস</t>
  </si>
  <si>
    <t>কত ধীরে হাঁটছ তাতে কিছু যায় আসে না, যদি না থাম</t>
  </si>
  <si>
    <t>গতি ধীর হলেও থামা উচিত নয়</t>
  </si>
  <si>
    <t>তাদের প্রায়শই পরিবর্তন করতে হবে, যারা সুখ এবং জ্ঞানে অবিচল থাকবে - কনফুসিয়াস</t>
  </si>
  <si>
    <t>যারা সুখ ও জ্ঞানে স্থির থাকবে, তাদের প্রায়ই বদলাতে হবে</t>
  </si>
  <si>
    <t>স্থির থাকতে হলে পরিবর্তন মেনে নিতে হবে</t>
  </si>
  <si>
    <t>Those who would be constant in happiness and wisdom must often change.</t>
  </si>
  <si>
    <t>তালগাছের আড়াই হাত১</t>
  </si>
  <si>
    <t>তালগাছের আড়াই হাত</t>
  </si>
  <si>
    <t>সামান্য লাভ বা বৃদ্ধি; তালগাছ লম্বা, আর মাত্র আড়াই হাত বাড়ানো যায়</t>
  </si>
  <si>
    <t>Just two and a half cubits of a palm tree—small gain.</t>
  </si>
  <si>
    <t>তালগাছের আড়াই হাত২</t>
  </si>
  <si>
    <t>তালগাছের আড়াই হাত (দ্বিতীয়)</t>
  </si>
  <si>
    <t>উঁচু জিনিসের সামান্য অংশ</t>
  </si>
  <si>
    <t>Two and a half cubits of a palm tree—negligible.</t>
  </si>
  <si>
    <t>তাল তামাক পাশা তিন কর্মনাশা</t>
  </si>
  <si>
    <t>তাল, তামাক, পাশা—তিন কর্মনাশা</t>
  </si>
  <si>
    <t>এই তিন বদভ্যাস কর্মনাশ করে</t>
  </si>
  <si>
    <t>Palm, tobacco, dice—three ruin work.</t>
  </si>
  <si>
    <t>তালপাতার ছায়া</t>
  </si>
  <si>
    <t>ক্ষণস্থায়ী ও অসার</t>
  </si>
  <si>
    <t>Palm leaf shade—temporary.</t>
  </si>
  <si>
    <t>তালপাতার ছায়া মিছা কর তার মায়া</t>
  </si>
  <si>
    <t>তালপাতার ছায়া, মিথ্যা কর তার মায়া</t>
  </si>
  <si>
    <t>তার প্রতি আসক্তি করো না</t>
  </si>
  <si>
    <t>Shadow of a palm leaf—don't be attached to its illusion.</t>
  </si>
  <si>
    <t>মায়া</t>
  </si>
  <si>
    <t>তালপুকুর নামে ঘটি ডোবে/বোড়ে না১</t>
  </si>
  <si>
    <t>তালপুকুর নাম, কিন্তু ঘটি ডোবে না</t>
  </si>
  <si>
    <t>নাম বড়, কিন্তু কাজ ছোট</t>
  </si>
  <si>
    <t>Named 'deep pond', but a small pot doesn't sink—grandiose name.</t>
  </si>
  <si>
    <t>তালপুকুর নামে ঘটি ডোবে/বোড়ে না২</t>
  </si>
  <si>
    <t>তালপুকুর নাম, ঘটি ডোবে না (দ্বিতীয়)</t>
  </si>
  <si>
    <t>বড় নামের ছোট কাজ</t>
  </si>
  <si>
    <t>A pond named 'Talpukur' but a pot doesn't sink—shallow.</t>
  </si>
  <si>
    <t>তালপুকুরে খাবি খায় সমুদ্র পার হতে চায়</t>
  </si>
  <si>
    <t>তালপুকুরে খাবি খায়, সমুদ্র পার হতে চায় (পুনরুক্তি)</t>
  </si>
  <si>
    <t>ক্ষুদ্র জায়গায় ডুবে, অথচ মহাসমুদ্র পারের ইচ্ছা</t>
  </si>
  <si>
    <t>Drowning in a puddle, yet wants to cross the sea.</t>
  </si>
  <si>
    <t>তালপ্রমাণ বাড়ে তিলপ্রমাণ কমে</t>
  </si>
  <si>
    <t>তালের মতো বাড়ে, তিলের মতো কমে</t>
  </si>
  <si>
    <t>ধীরে বাড়ে, ধীরে কমে</t>
  </si>
  <si>
    <t>Grows like a palm, shrinks like a sesame seed—slow change.</t>
  </si>
  <si>
    <t>তাল বাড়ে ঝোপে খেজুর বাড়ে কোপে (খনা)</t>
  </si>
  <si>
    <t>তাল বাড়ে ঝোপে, খেজুর বাড়ে কোপে (কাটলে)</t>
  </si>
  <si>
    <t>গাছপালার বৃদ্ধির নিয়ম</t>
  </si>
  <si>
    <t>Palm grows in bushes, date palm by pruning.</t>
  </si>
  <si>
    <t>তালৈয়ের (ভাই/বোনের শ্বশুর) চেয়ে পুতরা ভারি;</t>
  </si>
  <si>
    <t>তালৈয়ের চেয়ে পুতরা (পুত্র?) ভারী</t>
  </si>
  <si>
    <t>আত্মীয়ের চেয়ে সন্তান বেশি প্রিয়</t>
  </si>
  <si>
    <t>A son is heavier than an uncle-in-law.</t>
  </si>
  <si>
    <t>পুত্র/আত্মীয়</t>
  </si>
  <si>
    <t>তাস তামাক পাশা এ তিন সর্বনাশা/তাস দাবা পাশা তিন কর্মনাশা</t>
  </si>
  <si>
    <t>তাস, তামাক, পাশা—এই তিন সর্বনাশা</t>
  </si>
  <si>
    <t>এই তিন বদভ্যাস ধ্বংসাত্মক</t>
  </si>
  <si>
    <t>Cards, tobacco, dice—three ruinous.</t>
  </si>
  <si>
    <t>তিনইঞ্চির একটা জিভ একজন সাতফুট মানুষকেও কাৎ করতে পারে</t>
  </si>
  <si>
    <t>তিন ইঞ্চির জিভ সাত ফুট মানুষকেও কাৎ করতে পারে</t>
  </si>
  <si>
    <t>মুখের কথা বড় শক্তিশালী</t>
  </si>
  <si>
    <t>A three-inch tongue can bring down a seven-foot man.</t>
  </si>
  <si>
    <t>তিন কানে গেলে গুপ্তকথা প্রকাশ হয়ে যায়</t>
  </si>
  <si>
    <t>তিন কানে গেলে গোপন কথা প্রকাশ হয়</t>
  </si>
  <si>
    <t>যখন তিনজন শোনে, তখন তা আর গোপন থাকে না</t>
  </si>
  <si>
    <t>When three ears hear, a secret is out.</t>
  </si>
  <si>
    <t>তিনকাল গিয়ে এককালে ঠেকেছে</t>
  </si>
  <si>
    <t>অনেক ঘুরে বিপদে পড়া</t>
  </si>
  <si>
    <t>After three generations, it's stuck in one—decline.</t>
  </si>
  <si>
    <t>তিনজন জানে তো ত্রিশজন জানে</t>
  </si>
  <si>
    <t>তিনজন জানলে ত্রিশজন জানে</t>
  </si>
  <si>
    <t>গোপন কথা দ্রুত ছড়ায়</t>
  </si>
  <si>
    <t>If three know, thirty know—secrets spread.</t>
  </si>
  <si>
    <t>তিনটি জিনিস বেশিদিন লুকিয়ে থাকে না, যথা- চন্দ্র সূর্য ও সত্য</t>
  </si>
  <si>
    <t>তিনটি জিনিস লুকিয়ে থাকে না: চন্দ্র, সূর্য ও সত্য</t>
  </si>
  <si>
    <t>সত্য চিরকাল গোপন থাকে না</t>
  </si>
  <si>
    <t>Three things cannot be hidden long: the moon, the sun, and the truth.</t>
  </si>
  <si>
    <t>তিনটি বই একবার পড়ার চেয়ে একটি বই তিনবার পড়া শ্রেয়</t>
  </si>
  <si>
    <t>তিনটি বই একবার পড়ার চেয়ে একটি বই তিনবার পড়া ভালো</t>
  </si>
  <si>
    <t>গভীর অধ্যয়ন বড়</t>
  </si>
  <si>
    <t>Better to read one book thrice than three books once.</t>
  </si>
  <si>
    <t>তিনদিনের যোগী ভাতকে বলে অন্ন</t>
  </si>
  <si>
    <t>তিন দিনের যোগী ভাতকে বলে অন্ন</t>
  </si>
  <si>
    <t>অল্পজ্ঞানী বড়াই করে</t>
  </si>
  <si>
    <t>A three-day yogi calls rice 'anna'—showing off.</t>
  </si>
  <si>
    <t>তিন নকলে আসল খাস্তা১</t>
  </si>
  <si>
    <t>তিন নকলে আসল খাস্তা (নষ্ট)</t>
  </si>
  <si>
    <t>বারবার অনুকরণে আসল নষ্ট</t>
  </si>
  <si>
    <t>Three copies ruin the original.</t>
  </si>
  <si>
    <t>তিন নকলে আসল খাস্তা২</t>
  </si>
  <si>
    <t>তিন নকলে আসল খাস্তা (দ্বিতীয়)</t>
  </si>
  <si>
    <t>অনেক নকল করলে আসল মান নষ্ট</t>
  </si>
  <si>
    <t>With three imitations, the original is damaged.</t>
  </si>
  <si>
    <t>তিনমাথা যার (অতিবৃদ্ধ লোক) বুদ্ধি নেবে তার</t>
  </si>
  <si>
    <t>যার তিন মাথা (অতি বৃদ্ধ), তার বুদ্ধি নেবে</t>
  </si>
  <si>
    <t>অতিবৃদ্ধের কাছে পরামর্শ নেবে</t>
  </si>
  <si>
    <t>Consult the one with three heads (very old)—seek wisdom.</t>
  </si>
  <si>
    <t>তিলক পরলেই বৈষ্ণব হয় না</t>
  </si>
  <si>
    <t>Wearing a tilak doesn't make one a Vaishnava.</t>
  </si>
  <si>
    <t>তিল কুড়িয়ে তাল</t>
  </si>
  <si>
    <t>একটু একটু করে বিরাট সঞ্চয়</t>
  </si>
  <si>
    <t>Gathering sesame seeds makes a heap—small savings accumulate.</t>
  </si>
  <si>
    <t>তিলকে তাল বানানো</t>
  </si>
  <si>
    <t>ছোটকে বড় করে তোলা</t>
  </si>
  <si>
    <t>Making a mountain out of a molehill.</t>
  </si>
  <si>
    <t>তিল পড়লে তাল পড়ে</t>
  </si>
  <si>
    <t>ছোট থেকে বড় ঘটনা</t>
  </si>
  <si>
    <t>Where a sesame falls, a palm falls—domino effect.</t>
  </si>
  <si>
    <t>তিষ্ঠত্যেকাং নিশাং চন্দ্রঃ শ্রীমান সম্পূর্ণমণ্ডল</t>
  </si>
  <si>
    <t>এক রাত্রি চাঁদ সম্পূর্ণমণ্ডল হয়ে অবস্থান করে</t>
  </si>
  <si>
    <t>সৌভাগ্য ক্ষণস্থায়ী</t>
  </si>
  <si>
    <t>The glorious full moon stays for only one night.</t>
  </si>
  <si>
    <t>তীরে এসে তরী ডোবা</t>
  </si>
  <si>
    <t>তীরে এসে নৌকা ডোবা</t>
  </si>
  <si>
    <t>সাফল্যের দ্বারপ্রান্তে এসে ব্যর্থ</t>
  </si>
  <si>
    <t>The boat sinks just as it reaches the shore—last-minute failure.</t>
  </si>
  <si>
    <t>তীর্থের কাকের মত বসে থাকা</t>
  </si>
  <si>
    <t>তীর্থের কাকের মতো বসে থাকা</t>
  </si>
  <si>
    <t>প্রার্থনায় বসে থাকা; অপেক্ষা</t>
  </si>
  <si>
    <t>Sitting like a crow at a pilgrimage—waiting for offerings.</t>
  </si>
  <si>
    <t>তুঁষহীন তণ্ডুলের অঙ্কুরোদ্গম হয় না</t>
  </si>
  <si>
    <t>তুষহীন ধানের অঙ্কুর গজায় না</t>
  </si>
  <si>
    <t>বাধা ছাড়া উন্নতি হয় না</t>
  </si>
  <si>
    <t>A grain without husk doesn't sprout—challenge needed.</t>
  </si>
  <si>
    <t>তুঁষের আগুন</t>
  </si>
  <si>
    <t>তুষের আগুন</t>
  </si>
  <si>
    <t>ধীরে ধীরে জ্বলে; দীর্ঘস্থায়ী</t>
  </si>
  <si>
    <t>A husk fire—slow but lasting.</t>
  </si>
  <si>
    <t>স্থায়ী</t>
  </si>
  <si>
    <t>তুকতাক ছয়মাস কপালে যা বারোমাস</t>
  </si>
  <si>
    <t>ছয় মাস তুকতাক (ভাগ্য পরীক্ষা), কপালে যা বারো মাস</t>
  </si>
  <si>
    <t>কিছুদিন চেষ্টা, বাকিটা ভাগ্যের উপর</t>
  </si>
  <si>
    <t>Six months of tricks, the rest twelve months on fate—part effort, part luck.</t>
  </si>
  <si>
    <t>তুফানে ছেড়ো না হাল নৌকা হবে বানচাল</t>
  </si>
  <si>
    <t>তুফানে হাল ছেড়ো না, নৌকা বানচাল হবে</t>
  </si>
  <si>
    <t>বিপদে চেষ্টা ছাড়বে না</t>
  </si>
  <si>
    <t>Don't let go of the helm in a storm; the boat will capsize.</t>
  </si>
  <si>
    <t>তুমি অধম বলিয়া আমি উত্তম হইব না কেন- বঙ্কিমচন্দ্র</t>
  </si>
  <si>
    <t>তুমি অধম বলিয়া আমি উত্তম হইব না কেন?</t>
  </si>
  <si>
    <t>অপরের মন্দতায় নিজের ভালো না হওয়ার কারণ নেই</t>
  </si>
  <si>
    <t>If you are base, why shouldn't I be noble?—choosing goodness.</t>
  </si>
  <si>
    <t>তুমি কার, কে তোমার, কারে বলরে আপনার?</t>
  </si>
  <si>
    <t>তুমি কার? কে তোমার? কাকে বলে আপনার?</t>
  </si>
  <si>
    <t>Whom do you belong to? Who is yours? Whom do you call your own?—detachment.</t>
  </si>
  <si>
    <t>তুমি কি শান্ত থাকতে পারো, তবে তুমি জ্ঞানী, তুমি কি রেগে যাও, তবে তোমার মত মূর্খ নেই</t>
  </si>
  <si>
    <t>তুমি শান্ত থাকতে পারলে তুমি জ্ঞানী; রেগে গেলে তুমি মূর্খ</t>
  </si>
  <si>
    <t>ক্রোধ জ্ঞান নাশ করে</t>
  </si>
  <si>
    <t>If you can be calm, you are wise; if you get angry, you are a fool.</t>
  </si>
  <si>
    <t>তুমি চল/ফেরো ডালে ডালে আমি চলি পাতায় পাতায়</t>
  </si>
  <si>
    <t>তুমি চলো ডালে ডালে, আমি চলি পাতায় পাতায়</t>
  </si>
  <si>
    <t>আমি আরও সতর্ক; তুমি বড়, আমি ছোট</t>
  </si>
  <si>
    <t>You move from branch to branch, I move from leaf to leaf—I'm more cautious.</t>
  </si>
  <si>
    <t>তুমি চল ভাগ্য তোমার সাথে চলবে</t>
  </si>
  <si>
    <t>তুমি চলো, ভাগ্য তোমার সাথে চলবে</t>
  </si>
  <si>
    <t>কর্ম করতে থাকলে ভাগ্যও সহায় হয়</t>
  </si>
  <si>
    <t>Move forward, and your fortune will follow.</t>
  </si>
  <si>
    <t>তুমি যতক্ষণ না থামছো ততক্ষণ তুমি কতটা ধীরে যাচ্ছো তা বিবেচ্য নয়- কনফুসিয়াস</t>
  </si>
  <si>
    <t>তুমি থামো না যতক্ষণ, কত ধীরে যাচ্ছ তা বিবেচ্য নয় (পুনরুক্তি)</t>
  </si>
  <si>
    <t>এগিয়ে চলাই আসল</t>
  </si>
  <si>
    <t>It doesn't matter how slow you go, as long as you don't stop.</t>
  </si>
  <si>
    <t>তুমি যতটা মূল্যবান ঠিক ততটা সমালোচনার পাত্র</t>
  </si>
  <si>
    <t>তুমি যতটা মূল্যবান, ততটা সমালোচনার পাত্র</t>
  </si>
  <si>
    <t>যোগ্যতাই সমালোচনা আকর্ষণ করে</t>
  </si>
  <si>
    <t>The more valuable you are, the more criticism you attract.</t>
  </si>
  <si>
    <t>তুমি যাবে বঙ্গে কপাল যাবে সঙ্গে</t>
  </si>
  <si>
    <t>তুমি বঙ্গে যাবে, কপাল যাবে সঙ্গে (পুনরুক্তি)</t>
  </si>
  <si>
    <t>ভাগ্য সঙ্গে যায়</t>
  </si>
  <si>
    <t>If you go to Bengal, your fate goes with you.</t>
  </si>
  <si>
    <t>তুমি প্রশ্ন কর উত্তর পাবে; তুমি খোঁজ কর সন্ধান পাবে, তুমি দরজায় কড়া নাড়ো দরজা খুলে যাবে</t>
  </si>
  <si>
    <t>তুমি প্রশ্ন কর, উত্তর পাবে; খোঁজ কর, পাবে; দরজায় নাড়ো, খুলবে</t>
  </si>
  <si>
    <t>Ask and you shall receive; seek and you shall find; knock and the door shall be opened.</t>
  </si>
  <si>
    <t>তুমি হৃদয় দিয়ে যে প্রকার ভাব তোমার প্রকৃতিও সেইপ্রকার হয়</t>
  </si>
  <si>
    <t>তুমি হৃদয়ে যা ভাবো, তোমার প্রকৃতি তেমনই হয়</t>
  </si>
  <si>
    <t>মনের ভাবই প্রকৃতি নির্ধারণ করে</t>
  </si>
  <si>
    <t>As you feel in your heart, so becomes your character.</t>
  </si>
  <si>
    <t>তুলসী বনের বাঘ</t>
  </si>
  <si>
    <t>ভণ্ড সাধু; সাধুতা দেখিয়ে দুষ্টতা</t>
  </si>
  <si>
    <t>A tiger in a Tulsi grove—hypocrite.</t>
  </si>
  <si>
    <t>তুলোধুনা করা</t>
  </si>
  <si>
    <t>তুলোধুনা করা (তুলা ধুনে পরিষ্কার করা)</t>
  </si>
  <si>
    <t>খুব ধোলাই দেওয়া; কঠিন সমালোচনা</t>
  </si>
  <si>
    <t>To card cotton—to scrutinize harshly.</t>
  </si>
  <si>
    <t>সমালোচনা</t>
  </si>
  <si>
    <t>তুলো শুনতে নরম, বুনতে নয়</t>
  </si>
  <si>
    <t>তুলো শুনতে নরম, বুনতে নরম নয়</t>
  </si>
  <si>
    <t>কথা শুনে সহজ মনে হলেও কাজ করা কঠিন</t>
  </si>
  <si>
    <t>Cotton is soft to hear, but not to weave—easier said than done.</t>
  </si>
  <si>
    <t>কঠিনতা</t>
  </si>
  <si>
    <t>তৃণবন্মন্যতে জগৎ</t>
  </si>
  <si>
    <t>তৃণবৎ মনে করে জগৎ</t>
  </si>
  <si>
    <t>জগৎকে তুচ্ছ জ্ঞান করে</t>
  </si>
  <si>
    <t>Considers the world as straw—arrogant.</t>
  </si>
  <si>
    <t>তৃণৈগুণত্ব মাপন্নৈর্বদ্ধন্তে মত্তদন্তিনো</t>
  </si>
  <si>
    <t>তৃণ দিয়ে গুণ তৈরি করে মত্ত হাতি বাঁধা যায়</t>
  </si>
  <si>
    <t>সামান্য উপায়েও বড় কাজ সম্ভব</t>
  </si>
  <si>
    <t>With ropes made of grass, mad elephants are bound—small means can achieve great.</t>
  </si>
  <si>
    <t>তৃষ্ণা এগোয় না জল এগোয়?</t>
  </si>
  <si>
    <t>তৃষ্ণা এগোয়, না জল এগোয়?</t>
  </si>
  <si>
    <t>প্রয়োজন বস্তুকে কাছে আনে</t>
  </si>
  <si>
    <t>Does thirst move, or does water move?—thirst moves.</t>
  </si>
  <si>
    <t>তৃষ্ণৈকা তরুণায়তে</t>
  </si>
  <si>
    <t>তৃষ্ণাই তরুণ হয়ে ওঠে</t>
  </si>
  <si>
    <t>আকাঙ্ক্ষা চিরযুবা থাকে</t>
  </si>
  <si>
    <t>Desire alone remains ever young.</t>
  </si>
  <si>
    <t>তেজসাং হি ন বয়ঃ সমীক্ষতে</t>
  </si>
  <si>
    <t>তেজস্বীদের বয়স দেখা হয় না</t>
  </si>
  <si>
    <t>প্রতিভার বয়স হয় না</t>
  </si>
  <si>
    <t>The age of the brilliant is not considered.</t>
  </si>
  <si>
    <t>তেন তক্তেন ভুঞ্জীথা, মা গৃধঃ কস্যস্বিদ্ ধনম্‌</t>
  </si>
  <si>
    <t>তেন ত্যক্তেন ভোগ কর, কারো ধনে লোভ করো না</t>
  </si>
  <si>
    <t>পরের ধনে লোভ করো না</t>
  </si>
  <si>
    <t>Enjoy through renunciation; covet not others' wealth.</t>
  </si>
  <si>
    <t>তেল কম ভাজা মচমচ</t>
  </si>
  <si>
    <t>অল্প সম্পদে কাজ চালানো</t>
  </si>
  <si>
    <t>Fried with little oil, still crispy—managing with less.</t>
  </si>
  <si>
    <t>তেল তামাক ময়দা যত ডলো/রগরাও ফয়দা</t>
  </si>
  <si>
    <t>তেল, তামাক, ময়দা—যত ডলো, তত ফয়দা</t>
  </si>
  <si>
    <t>কিছু জিনিস যত ব্যবহার করবে তত ভালো</t>
  </si>
  <si>
    <t>Oil, tobacco, flour—the more you knead, the better.</t>
  </si>
  <si>
    <t>তেল থাক থলি পেলেই বাঁচি</t>
  </si>
  <si>
    <t>তেল থাক, থলি পেলেই বাঁচি</t>
  </si>
  <si>
    <t>মূল জিনিস পরে, আধার আগে</t>
  </si>
  <si>
    <t>Keep the oil, just give me the bag—misplaced priority.</t>
  </si>
  <si>
    <t>তেল দাও সিঁদুর দাও ভবি ভোলবার নয়</t>
  </si>
  <si>
    <t>তেল দাও, সিঁদুর দাও, ভবি (স্বামী) ভোলবার নয়</t>
  </si>
  <si>
    <t>কিছু স্বভাব বদলানো যায় না</t>
  </si>
  <si>
    <t>Give oil, give vermilion, the husband won't change.</t>
  </si>
  <si>
    <t>স্বামী</t>
  </si>
  <si>
    <t>তেলাপোকার পাখি হওয়ার সাধ</t>
  </si>
  <si>
    <t>অযোগ্যের উচ্চাশা</t>
  </si>
  <si>
    <t>A cockroach's desire to become a bird.</t>
  </si>
  <si>
    <t>তেলা মাথায় তেল দেওয়া</t>
  </si>
  <si>
    <t>প্রয়োজনের বেশি দেওয়া; যা আছে তা আরও</t>
  </si>
  <si>
    <t>Adding oil to an already oily head—unnecessary.</t>
  </si>
  <si>
    <t>তেলামাথায় ঢালো তেল রুখু/শুখনো মাথায় ভাঙো বেল</t>
  </si>
  <si>
    <t>তেলা মাথায় তেল ঢালো, রুখু মাথায় বেল ভাঙো</t>
  </si>
  <si>
    <t>অসমানে বিচার; যার নেই তাকে আঘাত</t>
  </si>
  <si>
    <t>Pour oil on the oily head, break bel on the dry head—inequity.</t>
  </si>
  <si>
    <t>তেলেজলেই মানুষের শরীর।</t>
  </si>
  <si>
    <t>তেলে-জলেই মানুষের শরীর</t>
  </si>
  <si>
    <t>সাধারণ উপাদানে জীবন চলে</t>
  </si>
  <si>
    <t>By oil and water, the human body exists—simple sustenance.</t>
  </si>
  <si>
    <t>তেলে বেগুনে জ্বলে ওঠা</t>
  </si>
  <si>
    <t>প্রচণ্ড ক্রোধ বা উত্তেজনা</t>
  </si>
  <si>
    <t>Burning in oil and brinjal—fiery temper.</t>
  </si>
  <si>
    <t>তেহি নো দিবসা গতাঃ</t>
  </si>
  <si>
    <t>সেই দিনগুলি চলে গেছে</t>
  </si>
  <si>
    <t>অতীতের জন্য আক্ষেপ</t>
  </si>
  <si>
    <t>Those days are gone.</t>
  </si>
  <si>
    <t>তৈরী খাবার ছেড়ো না'</t>
  </si>
  <si>
    <t>প্রস্তুত খাবার ছেড়ো না</t>
  </si>
  <si>
    <t>সুযোগ ত্যাগ কোরো না</t>
  </si>
  <si>
    <t>Don't leave ready food—seize the opportunity.</t>
  </si>
  <si>
    <t>তোমার পিঠে তখন একটি লোক উঠবে যখন তুমি পিঠ নীচু করবে</t>
  </si>
  <si>
    <t>তোমার পিঠে তখনই কেউ উঠবে যখন তুমি পিঠ নিচু করবে</t>
  </si>
  <si>
    <t>সুযোগ দিলে লোকে সুযোগ নেবে</t>
  </si>
  <si>
    <t>Someone will climb on your back only when you lower it.</t>
  </si>
  <si>
    <t>তোমার পীর সিন্নি খেয়েছে</t>
  </si>
  <si>
    <t>তোমার পীর সিন্নি (মিষ্টি) খেয়েছে</t>
  </si>
  <si>
    <t>তোমার গুরুকে ঠকানো হয়েছে; বা গুরু ভোগী</t>
  </si>
  <si>
    <t>Your spiritual guide has eaten the offering.</t>
  </si>
  <si>
    <t>তোমার ভাবনা অনুসারে তোমার জীবন গড়ে ওঠে- কনফুসিয়াস</t>
  </si>
  <si>
    <t>তোমার চিন্তা অনুযায়ী জীবন গড়ে ওঠে</t>
  </si>
  <si>
    <t>ভালো চিন্তা ভালো জীবন</t>
  </si>
  <si>
    <t>Your life is shaped by your thoughts.</t>
  </si>
  <si>
    <t>তোমার যেমন ভালোবাসা মুসলমানের মুর্গীপোষা</t>
  </si>
  <si>
    <t>তোমার ভালোবাসা যেমন, মুসলমানের মুরগি পোষা যেমন</t>
  </si>
  <si>
    <t>যত্নের অভাব; ভণ্ডামি</t>
  </si>
  <si>
    <t>Your love is like a Muslim raising a chicken—temporary care.</t>
  </si>
  <si>
    <t>তোমার রাগে অন্য পুড়বে না তুমি নিজে পুড়বে</t>
  </si>
  <si>
    <t>তোমার রাগে অন্য পুড়বে না, তুমি নিজে পুড়বে</t>
  </si>
  <si>
    <t>ক্রোধে নিজের ক্ষতি</t>
  </si>
  <si>
    <t>Your anger won't burn others, it will burn yourself.</t>
  </si>
  <si>
    <t>তোমার সামনে খাড়া ছাগলকে ভয় কর; পিছনে খাড়া ঘোড়াকে ভয় কর, আর চারিদিকে খাড়া মূর্খগুলিকে ভয় কর</t>
  </si>
  <si>
    <t>সামনে দাঁড়ানো ছাগলকে ভয়, পিছনে দাঁড়ানো ঘোড়াকে ভয়, চারদিকে দাঁড়ানো মূর্খকে ভয়</t>
  </si>
  <si>
    <t>বিভিন্ন দিক থেকে বিপদ</t>
  </si>
  <si>
    <t>Fear the goat in front, the horse behind, and the fools all around.</t>
  </si>
  <si>
    <t>তোমারে দেখিয়া দুঃখে মোর বুক ফাটে তুমি খাও ভাঁড়ে জল আমি খাই ঘাটে</t>
  </si>
  <si>
    <t>তোমাকে দেখে দুঃখে বুক ফাটে, তুমি খাও ভাঁড়ে জল, আমি খাই ঘাটে</t>
  </si>
  <si>
    <t>পার্থক্যের কষ্ট</t>
  </si>
  <si>
    <t>Seeing you, my heart breaks with sorrow; you drink from a pot, I drink from the ghat.</t>
  </si>
  <si>
    <t>তোমারে বধিবে যে গোকুলে বাড়িছে সে</t>
  </si>
  <si>
    <t>যে তোমাকে বধ করবে, সে গোকুলে বাড়ছে</t>
  </si>
  <si>
    <t>যে ধ্বংস করবে তার উত্থান হচ্ছে</t>
  </si>
  <si>
    <t>He who will kill you is growing up in Gokul—fate's foreboding.</t>
  </si>
  <si>
    <t>তোর ঢেকে রাখ মোর বিকিয়ে যাক</t>
  </si>
  <si>
    <t>তোরটা ঢেকে রাখ, আমারটা বিক্রি হয়ে যাক</t>
  </si>
  <si>
    <t>নিজেরটা লুকিয়ে পরেরটা বেচা</t>
  </si>
  <si>
    <t>Hide yours, let mine be sold—selfishness.</t>
  </si>
  <si>
    <t>তোর তেল আঁচলে ধর আমার তেল বোতলে ভর</t>
  </si>
  <si>
    <t>তোর তেল আঁচলে ধর, আমার তেল বোতলে ভর</t>
  </si>
  <si>
    <t>তোমার অল্প, আমার অনেক; বৈষম্য</t>
  </si>
  <si>
    <t>Catch your oil in the cloth end, fill mine in a bottle—inequality.</t>
  </si>
  <si>
    <t>তোর পায়ে গড় না, তোর কাজের পায়ে গড়</t>
  </si>
  <si>
    <t>তোর পায়ে গড়ি না, তোর কাজের পায়ে গড়ি</t>
  </si>
  <si>
    <t>ব্যক্তিকে নয়, কাজকে সম্মান</t>
  </si>
  <si>
    <t>I don't bow to your feet, but to your work's feet.</t>
  </si>
  <si>
    <t>তোর শিল তোর নোড়া তোরই ভাঙি দাঁতের গোড়া১</t>
  </si>
  <si>
    <t>তোর শিল, তোর নোড়া, তোরই ভাঙি দাঁতের গোড়া</t>
  </si>
  <si>
    <t>নিজের জিনিস দিয়েই নিজের ক্ষতি</t>
  </si>
  <si>
    <t>I'll break the base of your teeth with your own grinding stone and pestle.</t>
  </si>
  <si>
    <t>তোরে মেরে কুমীরে খাক আমারে শালুক তুলে দে</t>
  </si>
  <si>
    <t>তোকে মেরে কুমিরে খাক, আমাকে শালুক তুলে দে</t>
  </si>
  <si>
    <t>পরের মন্দ কামনা করে নিজের সুবিধা</t>
  </si>
  <si>
    <t>Let the crocodile eat you, just fetch me water lilies—extreme selfishness.</t>
  </si>
  <si>
    <t>ত্রাতা মধুসূদন</t>
  </si>
  <si>
    <t>মধুসূদনই রক্ষাকর্তা</t>
  </si>
  <si>
    <t>Lord Madhusudan is the savior.</t>
  </si>
  <si>
    <t>ত্রাহি মধুসূদন</t>
  </si>
  <si>
    <t>ত্রাহি মধুসূদন (আর্তনাদ)</t>
  </si>
  <si>
    <t>বিপদে ঈশ্বরকে ডাকা</t>
  </si>
  <si>
    <t>Save me, O Madhusudan!</t>
  </si>
  <si>
    <t>ত্রিশঙ্কু অবস্থা১</t>
  </si>
  <si>
    <t>ত্রিশঙ্কু অবস্থা</t>
  </si>
  <si>
    <t>দোদুল্যমান, ঠাঁই নাই; স্বর্গে-মর্ত্যে কোথাও নেই</t>
  </si>
  <si>
    <t>Trishanku state—suspended between heaven and earth.</t>
  </si>
  <si>
    <t>ত্রিশঙ্কু অবস্থা২</t>
  </si>
  <si>
    <t>ত্রিশঙ্কু অবস্থা (দ্বিতীয়)</t>
  </si>
  <si>
    <t>কোথাও স্থান হয়নি</t>
  </si>
  <si>
    <t>Neither here nor there.</t>
  </si>
  <si>
    <t>ত্বয়া হৃষীকেশ হৃদিস্থিতেন যথা নিযুক্তোহস্মি তথ করোমি</t>
  </si>
  <si>
    <t>হে হৃষীকেশ, হৃদয়ে থেকে আমাকে যেমন নিযুক্ত কর, আমি তেমন করি</t>
  </si>
  <si>
    <t>ঈশ্বরের ইচ্ছায় নিজেকে সমর্পণ</t>
  </si>
  <si>
    <t>As You, O Lord, situated in my heart, impel me, so I act.</t>
  </si>
  <si>
    <t>ত্বরা বর্জ্য তোলে</t>
  </si>
  <si>
    <t>ত্বরা পরিত্যাগ করবে, তোল (ধৈর্য) ধরবে</t>
  </si>
  <si>
    <t>তাড়াহুড়ো পরিত্যাগ করো</t>
  </si>
  <si>
    <t>Abandon haste, embrace patience.</t>
  </si>
  <si>
    <t>থলি ভর্তি হওয়ার আগে মুখ বাঁধো</t>
  </si>
  <si>
    <t>থলি ভরার আগে মুখ বেঁধো</t>
  </si>
  <si>
    <t>কাজ শেষ না হওয়া পর্যন্ত হিসাব রাখো</t>
  </si>
  <si>
    <t>Tie the mouth of the bag before it's full—caution.</t>
  </si>
  <si>
    <t>থলির বিড়াল বাইরে এলো</t>
  </si>
  <si>
    <t>থলির ভেতরের বিড়াল বাইরে এসেছে</t>
  </si>
  <si>
    <t>গোপন ফাঁস; লুকানো কিছু প্রকাশ</t>
  </si>
  <si>
    <t>The cat is out of the bag—secret revealed.</t>
  </si>
  <si>
    <t>থলির মধ্যে হাতি পোড়া</t>
  </si>
  <si>
    <t>ছোট জায়গায় বড় জিনিস নাশ; গোপন বিপদ</t>
  </si>
  <si>
    <t>An elephant burned inside a bag—hidden disaster.</t>
  </si>
  <si>
    <t>থাক মান যাক প্রাণ</t>
  </si>
  <si>
    <t>থাক মান, যাক প্রাণ</t>
  </si>
  <si>
    <t>ইজ্জত বাঁচাতে গেলে প্রাণও যেতে পারে</t>
  </si>
  <si>
    <t>Keep honor, even if life goes.</t>
  </si>
  <si>
    <t>থাকরে কুকুর আমার আশে, ভাত দেবো তোরে ভাদ্র/পৌষমাসে</t>
  </si>
  <si>
    <t>থাক কুকুর আমার আশে, ভাত দেব ভাদ্র/পৌষমাসে</t>
  </si>
  <si>
    <t>অনিশ্চিত আশ্বাস; মিথ্যা প্রতিশ্রুতি</t>
  </si>
  <si>
    <t>Wait, dog, in my hope; I'll feed you rice in Bhadra/Poush—false promise.</t>
  </si>
  <si>
    <t>থাকলে তালৈয়ের বাপের শ্রাদ্ধ হয়, না থাকলে নিজের বাপের শ্রাদ্ধ হয় না</t>
  </si>
  <si>
    <t>থাকলে তালৈয়ের (শ্বশুরের) বাপের শ্রাদ্ধ হয়, না থাকলে নিজের বাপেরও হয় না</t>
  </si>
  <si>
    <t>টাকা থাকলে সব, না থাকলে কিছুই নয়</t>
  </si>
  <si>
    <t>If you have money, you can perform the funeral of your father-in-law's father; without it, not even your own father's.</t>
  </si>
  <si>
    <t>থাকলে সোনার মান হয় না, হারালেই সোনার মান</t>
  </si>
  <si>
    <t>থাকলে সোনার মান বোঝা যায় না, হারালে তবে বোঝা যায়</t>
  </si>
  <si>
    <t>হারালেই মূল্য বোঝা যায়</t>
  </si>
  <si>
    <t>One doesn't value gold while having it; only after losing it.</t>
  </si>
  <si>
    <t>থাকে যদি চুড়ো বাঁশি, মিলবে রাধা হেন কত দাসী</t>
  </si>
  <si>
    <t>থাকে যদি চুড়ো বাঁশি, রাধার মতো কত দাসী মিলবে</t>
  </si>
  <si>
    <t>সামান্য জিনিস থাকলে বড় কিছু পাওয়া যায় না</t>
  </si>
  <si>
    <t>If you have a flute with a tuft, you'll get many maids like Radha?—irony.</t>
  </si>
  <si>
    <t>থিয়ে (শুয়ে) তল যাবে তবু নুয়ে ডুব দেবে না</t>
  </si>
  <si>
    <t>থিয়ে (শুয়ে) তলাবে, তবু নুয়ে ডুব দেবে না</t>
  </si>
  <si>
    <t>গোঁয়ার স্বভাব; মরেও স্বীকার করবে না</t>
  </si>
  <si>
    <t>Will sink lying down, but won't bend and dive—stubborn.</t>
  </si>
  <si>
    <t>থুতু দিয়ে ছাতু গোলা/মলা</t>
  </si>
  <si>
    <t>থুতু দিয়ে ছাতু মাখা</t>
  </si>
  <si>
    <t>অসম্ভব কাজ; থুতু দিয়ে ছাতু গোলা যায় না</t>
  </si>
  <si>
    <t>Kneading flour with spit—impossible.</t>
  </si>
  <si>
    <t>থোঁতা মুখ ভোঁতা করা/হওয়া১</t>
  </si>
  <si>
    <t>থোঁতা মুখ ভোঁতা করা</t>
  </si>
  <si>
    <t>বড়াই ভেঙে দেওয়া; শাস্তি দেওয়া</t>
  </si>
  <si>
    <t>To blunt a protruding mouth—deflate pride.</t>
  </si>
  <si>
    <t>থোড়-বড়ি-খাড়া, খাড়া-বড়ি-থোড়</t>
  </si>
  <si>
    <t>একই কথা; পুনরাবৃত্তি</t>
  </si>
  <si>
    <t>Same thing repeated—tautology.</t>
  </si>
  <si>
    <t>দই খাবে মেধো কড়ি/দাম দেবে সেধো</t>
  </si>
  <si>
    <t>দই খাবে মেধো (মেথর/নীচ), দাম দেবে সেধো (সাধু/উঁচু)</t>
  </si>
  <si>
    <t>ভোগ করে এক, মূল্য দেয় অন্য</t>
  </si>
  <si>
    <t>The sweeper will eat the curd, the gentleman will pay—injustice.</t>
  </si>
  <si>
    <t>দই দুধ করব ভোগ, ওষুধ খেয়ে সারব রোগ</t>
  </si>
  <si>
    <t>দই দুধ খেয়ে ভোগ করব, ওষুধ খেয়ে রোগ সারাব</t>
  </si>
  <si>
    <t>একই সাথে ভোগ ও প্রতিকার; বেমানান</t>
  </si>
  <si>
    <t>I'll enjoy curd and milk, and cure the disease with medicine—incompatible.</t>
  </si>
  <si>
    <t>দকে পড়া</t>
  </si>
  <si>
    <t>দকে (দহ/গভীর গর্তে) পড়া</t>
  </si>
  <si>
    <t>বিপদে পড়া; বা গভীর জলে পড়া</t>
  </si>
  <si>
    <t>To fall into a deep hole—danger.</t>
  </si>
  <si>
    <t>দক্ষযজ্ঞ ব্যাপার</t>
  </si>
  <si>
    <t>দক্ষযজ্ঞের ব্যাপার</t>
  </si>
  <si>
    <t>ভয়ানক কাণ্ড; সর্বনাশা ঘটনা</t>
  </si>
  <si>
    <t>The Daksha Yajna affair—a catastrophe.</t>
  </si>
  <si>
    <t>সর্বনাশ</t>
  </si>
  <si>
    <t>দক্ষিণদুয়ারি ঘরের রাজা পূর্বদুয়ারি তার প্রজা;পশ্চিম দুয়ারির খাজনা নাই; উত্তরদুয়ারির মুখে ছাই (খনা)</t>
  </si>
  <si>
    <t>দক্ষিণ দুয়ারি ঘরের রাজা, পূর্ব দুয়ারি তার প্রজা; পশ্চিম দুয়ারির খাজনা নেই; উত্তর দুয়ারির মুখে ছাই</t>
  </si>
  <si>
    <t>ঘরের প্রবেশ পথ অনুযায়ী ভাগ্য</t>
  </si>
  <si>
    <t>South-facing house is king, east-facing its subject; west-facing has no tax; north-facing gets ash.</t>
  </si>
  <si>
    <t>স্থাপত্য</t>
  </si>
  <si>
    <t>দগ্ধ শিশু আগুন দেখলে ভয় পায়</t>
  </si>
  <si>
    <t>পূর্ব অভিজ্ঞতায় ভীত</t>
  </si>
  <si>
    <t>A burnt child dreads the fire.</t>
  </si>
  <si>
    <t>দণ্ডেন গোগর্দভৌ</t>
  </si>
  <si>
    <t>দণ্ড দ্বারা গরু-গাধাকে শাসন</t>
  </si>
  <si>
    <t>মূর্খকে শাস্তি দিয়ে শিক্ষা</t>
  </si>
  <si>
    <t>Cows and donkeys are controlled by the stick.</t>
  </si>
  <si>
    <t>দধির অগ্র ঘোলের শেষ</t>
  </si>
  <si>
    <t>দইয়ের আগা, ঘোলের শেষ</t>
  </si>
  <si>
    <t>সেরা জিনিসের সেরা অংশ</t>
  </si>
  <si>
    <t>The cream of curd, the last of whey—the best.</t>
  </si>
  <si>
    <t>শ্রেষ্ঠ</t>
  </si>
  <si>
    <t>দয়া করে দেয় নূন, ভাত মারে দশগুণ</t>
  </si>
  <si>
    <t>দয়া করে লবণ দেয়, ভাত মারে দশগুণ</t>
  </si>
  <si>
    <t>সামান্য উপকার করে বড় ক্ষতি</t>
  </si>
  <si>
    <t>Gives salt out of kindness, but takes away ten times rice.</t>
  </si>
  <si>
    <t>দয়ার পর ধর্ম নাই, হিংসার পর পাপ নাই</t>
  </si>
  <si>
    <t>দয়ার চেয়ে বড় ধর্ম নেই, হিংসার চেয়ে বড় পাপ নেই</t>
  </si>
  <si>
    <t>দয়া শ্রেষ্ঠ ধর্ম, হিংসা শ্রেষ্ঠ পাপ</t>
  </si>
  <si>
    <t>There is no religion greater than compassion, no sin greater than violence.</t>
  </si>
  <si>
    <t>দয়ে (দহ) পড়া/ মজা</t>
  </si>
  <si>
    <t>দহে পড়া/মজা</t>
  </si>
  <si>
    <t>গভীর জলে বা বিপদে ডোবা</t>
  </si>
  <si>
    <t>To sink in a deep pool—to be in trouble.</t>
  </si>
  <si>
    <t>দরকার পড়লে খোঁড়াও লাফায়</t>
  </si>
  <si>
    <t>প্রয়োজনে অক্ষমও কাজ করে</t>
  </si>
  <si>
    <t>In need, even a lame man jumps.</t>
  </si>
  <si>
    <t>দরজা খোলা পেলে সাধুও চোর হয়</t>
  </si>
  <si>
    <t>সুযোগ পেলে সাধুও পাপ করতে পারে</t>
  </si>
  <si>
    <t>If the door is open, even a saint turns thief.</t>
  </si>
  <si>
    <t>দরিদ্র খোঁজে অন্ন, ধনী খোঁজে ক্ষুধা</t>
  </si>
  <si>
    <t>দরিদ্র অন্ন খোঁজে, ধনী ক্ষুধা খোঁজে</t>
  </si>
  <si>
    <t>অভাবী খাদ্য চায়, ধনী খিদে চায়</t>
  </si>
  <si>
    <t>The poor seeks food, the rich seeks appetite.</t>
  </si>
  <si>
    <t>দরিদ্রদোষে গুণরাশি নাশে</t>
  </si>
  <si>
    <t>দারিদ্র্য দোষে গুণরাশি নাশ করে</t>
  </si>
  <si>
    <t>গরিবি সব গুণ নষ্ট করে</t>
  </si>
  <si>
    <t>Poverty destroys a host of virtues.</t>
  </si>
  <si>
    <t>দরিদ্রস্য গুণাঃ সর্বে ভস্মাচ্ছাদিতবহ্নিবৎ</t>
  </si>
  <si>
    <t>দরিদ্রের সব গুণ ভস্মাচ্ছাদিত আগুনের মতো</t>
  </si>
  <si>
    <t>অভাবী ব্যক্তির গুণ ঢাকা পড়ে</t>
  </si>
  <si>
    <t>All merits of the poor are like fire covered by ashes.</t>
  </si>
  <si>
    <t>দর্দ্দূরা যত্র বক্তারস্তত্র মৌনং হি শোভনম</t>
  </si>
  <si>
    <t>যেখানে ব্যাঙেরা বক্তা, সেখানে মৌন শোভন</t>
  </si>
  <si>
    <t>Where frogs are speakers, there silence is golden.</t>
  </si>
  <si>
    <t>দর্পণে মুখ দেখা</t>
  </si>
  <si>
    <t>নিজের দোষ দেখা; আত্মসমালোচনা</t>
  </si>
  <si>
    <t>Looking at one's face in the mirror—introspection.</t>
  </si>
  <si>
    <t>দর্পণে হাতের শাঁখা দেখা</t>
  </si>
  <si>
    <t>অন্যের মাধ্যমে নিজেকে বোঝা</t>
  </si>
  <si>
    <t>Seeing one's bangle in a mirror—indirect view.</t>
  </si>
  <si>
    <t>প্রতিফলন</t>
  </si>
  <si>
    <t>দর্পহারী শ্রীমধুসূদন</t>
  </si>
  <si>
    <t>দর্পহরণকারী শ্রীমধুসূদন</t>
  </si>
  <si>
    <t>অহংকার দূরকারী কৃষ্ণ</t>
  </si>
  <si>
    <t>Shri Madhusudan, the remover of pride.</t>
  </si>
  <si>
    <t>দল(জলজ তৃণস্তূপ) ভাঙলে যে, কৈ খাবে সে</t>
  </si>
  <si>
    <t>দল (শ্যাওলা/তৃণ) ভেঙে যে, কৈ মাছ খাবে সে</t>
  </si>
  <si>
    <t>পরিশ্রমীই ফল পায়</t>
  </si>
  <si>
    <t>He who breaks the weeds will eat the koi fish—effort rewarded.</t>
  </si>
  <si>
    <t>দশচক্রে ভগবান ভুত</t>
  </si>
  <si>
    <t>দশ চক্রে ভগবান ভূত</t>
  </si>
  <si>
    <t>অনেকের প্রভাবে ঈশ্বরও বদলে যায়; অথবা অনেকের মাঝে ভগবানের অবতারও অসহায়</t>
  </si>
  <si>
    <t>God becomes a ghost among ten conspirators—many can overpower one.</t>
  </si>
  <si>
    <t>দশদিন চোরের একদিন গৃহীর/সাধুর</t>
  </si>
  <si>
    <t>দশদিন চোরের, একদিন গৃহস্থের/সাধুর</t>
  </si>
  <si>
    <t>Ten days for the thief, one day for the householder/saint.</t>
  </si>
  <si>
    <t>দশমুখে ধর্ম</t>
  </si>
  <si>
    <t>দশ মুখে ধর্ম</t>
  </si>
  <si>
    <t>অনেকের মুখে ধর্ম বিকৃত হয়; মতভেদ</t>
  </si>
  <si>
    <t>Religion with ten mouths—contradictions.</t>
  </si>
  <si>
    <t>দশে মিলে করি কাজ হারি জিতি নাহি লাজ</t>
  </si>
  <si>
    <t>দশে মিলে কাজ করি, হারি জিতি নেই লাজ</t>
  </si>
  <si>
    <t>দলবদ্ধভাবে কাজ করলে সম্মান থাকে, হার-জিতে লজ্জা নেই</t>
  </si>
  <si>
    <t>Doing work together, no shame in loss or win.</t>
  </si>
  <si>
    <t>দশে লাগে ভূত ভাগে</t>
  </si>
  <si>
    <t>অনেকের মধ্যে দুষ্ট আত্মা ভাগাভাগি করে; অর্থাৎ একা দায় নেয় না</t>
  </si>
  <si>
    <t>A ghost divides among ten—shared responsibility.</t>
  </si>
  <si>
    <t>দশের মুখে জয় দশের মুখে ক্ষয়</t>
  </si>
  <si>
    <t>দশের মুখে জয়, দশের মুখে ক্ষয়</t>
  </si>
  <si>
    <t>জনগণের রায়েই জয়-পরাজয়</t>
  </si>
  <si>
    <t>Victory or ruin lies in the mouths of ten.</t>
  </si>
  <si>
    <t>দশজনের বোঝা একজনের ভার হয়ে যায়</t>
  </si>
  <si>
    <t>Ten sticks become one person's burden.</t>
  </si>
  <si>
    <t>দস্তানাপড়া বিড়াল ইঁদুর ধরতে পারে না১</t>
  </si>
  <si>
    <t>দস্তানা পড়া বিড়াল ইঁদুর ধরতে পারে না</t>
  </si>
  <si>
    <t>অলংকারে কাজের ক্ষতি; বাহ্যিক সাজ কাজে বাধা</t>
  </si>
  <si>
    <t>A gloved cat cannot catch mice.</t>
  </si>
  <si>
    <t>দস্তানাপড়া বিড়াল ইঁদুর ধরতে পারে না২</t>
  </si>
  <si>
    <t>দস্তানা পড়া বিড়াল ইঁদুর ধরতে পারে না (দ্বিতীয়)</t>
  </si>
  <si>
    <t>অতিরিক্ত সাজ কাজের পরিপন্থী</t>
  </si>
  <si>
    <t>A cat with gloves can't catch mice.</t>
  </si>
  <si>
    <t>দাঁড়ালে পোয়া বসলে ক্রোশ, পথ বলে মোর কিসের দোষ?</t>
  </si>
  <si>
    <t>দাঁড়ালে পোয়া, বসলে ক্রোশ; পথ বলে আমার দোষ কী?</t>
  </si>
  <si>
    <t>নিজের চেষ্টাতেই দূরত্ব কম-বেশি হয়</t>
  </si>
  <si>
    <t>If you stand, a measure; if you sit, a mile; the road says, what's my fault?</t>
  </si>
  <si>
    <t>দাঁড়িকে মাঝি করা মরা গাঙে ডুবে মরা</t>
  </si>
  <si>
    <t>দাঁড়িকে মাঝি করা, মরা গাঙে ডুবে মরা</t>
  </si>
  <si>
    <t>অযোগ্যকে কাজ দিলে সামান্য কাজেও ব্যর্থ</t>
  </si>
  <si>
    <t>Making a novice a boatman; drowning in a dead river.</t>
  </si>
  <si>
    <t>দাঁত গেল তো আঁত গেল</t>
  </si>
  <si>
    <t>ক্ষতি হলেই সব নষ্ট; এক ক্ষতিতে আরেক ক্ষতি</t>
  </si>
  <si>
    <t>If teeth are gone, the inside is gone too—total loss.</t>
  </si>
  <si>
    <t>দাঁত-জিহবাসম্পর্ক</t>
  </si>
  <si>
    <t>দাঁত-জিভের সম্পর্ক</t>
  </si>
  <si>
    <t>কাছের সম্পর্ক; মাঝে মাঝে ঠোকাঠুকি কিন্তু একসাথে</t>
  </si>
  <si>
    <t>Like teeth and tongue—close but sometimes biting.</t>
  </si>
  <si>
    <t>দাঁত থাকতে দাঁতের মর্যাদা জানে/বোঝে না১</t>
  </si>
  <si>
    <t>দাঁত থাকতে দাঁতের মূল্য বোঝে না</t>
  </si>
  <si>
    <t>থাকতে মূল্য বোঝে না, হারালে বোঝে</t>
  </si>
  <si>
    <t>One doesn't value teeth while having them.</t>
  </si>
  <si>
    <t>দাঁত থাকতে দাঁতের মর্যাদা জানে/বোঝে না২</t>
  </si>
  <si>
    <t>দাঁত থাকতে দাঁতের মূল্য বোঝে না (দ্বিতীয়)</t>
  </si>
  <si>
    <t>অভাবের আগে মূল্য বোঝা উচিত</t>
  </si>
  <si>
    <t>One doesn't appreciate teeth until lost.</t>
  </si>
  <si>
    <t>দাঁত নড়লে পড়াই ভালো</t>
  </si>
  <si>
    <t>ভাঙার চেয়ে পড়ে যাওয়া ভালো</t>
  </si>
  <si>
    <t>Better for a loose tooth to fall out.</t>
  </si>
  <si>
    <t>দাঁতে দড়ি দিয়ে পড়ে থাকা</t>
  </si>
  <si>
    <t>খাবারের অভাবে শুয়ে থাকা; ক্ষুধার্ত</t>
  </si>
  <si>
    <t>Lying with a rope tied to teeth—starving.</t>
  </si>
  <si>
    <t>দাইয়ের কাছে কোঁক চাপা</t>
  </si>
  <si>
    <t>দাইয়ের (ধাত্রী) কাছে কোঁক (গর্ভ) চাপা</t>
  </si>
  <si>
    <t>অভিজ্ঞ লোকের কাছে কিছুই গোপন নয়</t>
  </si>
  <si>
    <t>Can't hide pregnancy from a midwife.</t>
  </si>
  <si>
    <t>দাই/ধাত্রী (নারী)</t>
  </si>
  <si>
    <t>দা-কুমড়াসম্পর্ক</t>
  </si>
  <si>
    <t>দা-কুমড়ার সম্পর্ক</t>
  </si>
  <si>
    <t>অপ্রাসঙ্গিক যোগ; বেমানান</t>
  </si>
  <si>
    <t>Like a knife and a pumpkin—no relation.</t>
  </si>
  <si>
    <t>দাতাকর্ণ / দাতা যেন কর্ণসেন</t>
  </si>
  <si>
    <t>দাতা কর্ণ / দাতা যেন কর্ণসেন</t>
  </si>
  <si>
    <t>মহান দাতা; কর্ণের মতো</t>
  </si>
  <si>
    <t>A giver like Karna.</t>
  </si>
  <si>
    <t>দাতা দান করে কৃপণের মন পোড়ে</t>
  </si>
  <si>
    <t>দাতা দান করে, কৃপণের মন পোড়ে</t>
  </si>
  <si>
    <t>দানশীলের উদারতা কৃপণকে কষ্ট দেয়</t>
  </si>
  <si>
    <t>The giver donates, and the miser's heart burns.</t>
  </si>
  <si>
    <t>দাতার চেয়ে কৃপণ ভালো ত্বরিতে জবাব দেয়</t>
  </si>
  <si>
    <t>দাতার চেয়ে কৃপণ ভালো, তাড়াতাড়ি জবাব দেয়</t>
  </si>
  <si>
    <t>কৃপণ দ্রুত প্রত্যাখ্যান করে; ব্যঙ্গ</t>
  </si>
  <si>
    <t>A miser is better than a giver; he answers quickly.</t>
  </si>
  <si>
    <t>দাতার নারকেল কৃপণের বাঁশ কমে না বাড়ে বারোমাস১</t>
  </si>
  <si>
    <t>দাতার নারকেল, কৃপণের বাঁশ—বারো মাস কমে না বাড়ে</t>
  </si>
  <si>
    <t>যে দেয় তারও কমে না, যে দেয় না তারও বাড়ে না; প্রকৃতি</t>
  </si>
  <si>
    <t>Giver's coconut, miser's bamboo—never decrease.</t>
  </si>
  <si>
    <t>দাদ ভালো করতে শেষে কুট হলো</t>
  </si>
  <si>
    <t>দাদ ভালো করতে গিয়ে শেষে কুট হলো</t>
  </si>
  <si>
    <t>ভালো করতে গিয়ে খারাপ হওয়া</t>
  </si>
  <si>
    <t>Trying to cure ringworm, it turned to leprosy—worse.</t>
  </si>
  <si>
    <t>দাদা বলেছে চষতে তাই চষতেই আছি</t>
  </si>
  <si>
    <t>দাদা বলেছে চাষ করতে, তাই চষতেই আছি</t>
  </si>
  <si>
    <t>অন্ধ আনুগত্য; বোকা</t>
  </si>
  <si>
    <t>Uncle said plough, so I keep ploughing—blind obedience.</t>
  </si>
  <si>
    <t>আনুগত্য</t>
  </si>
  <si>
    <t>দাদারও দাদা আছে</t>
  </si>
  <si>
    <t>সবার উপরে কেউ আছে</t>
  </si>
  <si>
    <t>Even the elder has an elder.</t>
  </si>
  <si>
    <t>দান যেমন দক্ষিণা তেমন</t>
  </si>
  <si>
    <t>দান যেমন, দক্ষিণা তেমন</t>
  </si>
  <si>
    <t>দান ও তার প্রতিদান সমান</t>
  </si>
  <si>
    <t>As the donation, so the offering.</t>
  </si>
  <si>
    <t>দানেন ন ক্ষয়ং জাতি বিদ্যারত্নং মহাধনম্</t>
  </si>
  <si>
    <t>দানে বিদ্যারত্নের ক্ষয় হয় না</t>
  </si>
  <si>
    <t>জ্ঞান ও দান ক্ষয় হয় না</t>
  </si>
  <si>
    <t>Charity and knowledge never diminish.</t>
  </si>
  <si>
    <t>জ্ঞান/দান</t>
  </si>
  <si>
    <t>দানেন বর্ধতে নিত্যং বিদ্যারত্নং মহাধনম্</t>
  </si>
  <si>
    <t>দানে বিদ্যারত্ন বরাবর বাড়ে</t>
  </si>
  <si>
    <t>দানে জ্ঞান বাড়ে</t>
  </si>
  <si>
    <t>Through giving, the gem of knowledge always grows.</t>
  </si>
  <si>
    <t>দানে বিদ্যা বর্ধিত হয় দানে ধন ক্ষয় হয়</t>
  </si>
  <si>
    <t>দানে বিদ্যা বাড়ে, দানে ধন ক্ষয় হয়</t>
  </si>
  <si>
    <t>দানে জ্ঞান বাড়ে, অর্থ কমে</t>
  </si>
  <si>
    <t>By giving, knowledge increases; by giving, wealth decreases.</t>
  </si>
  <si>
    <t>দামু ঘোষের ছেলে শিশু পাল</t>
  </si>
  <si>
    <t>বংশের বিপরীত নাম; বা বদল</t>
  </si>
  <si>
    <t>Son of Damu Ghosh is Sishu Pal—incongruous.</t>
  </si>
  <si>
    <t>দাম্ভিক আর মিথ্যাবাদী পরস্পর তুতোভাই</t>
  </si>
  <si>
    <t>দাম্ভিক ও মিথ্যাবাদী পরস্পর তুতোভাই</t>
  </si>
  <si>
    <t>অহংকারী ও মিথ্যাবাদী একই পরিবারের</t>
  </si>
  <si>
    <t>The boastful and the liar are cousins.</t>
  </si>
  <si>
    <t>দায় মোদ্দায় রাজি, কি করবেন কাজী</t>
  </si>
  <si>
    <t>দায় মোদ্দায় রাজি, কাজী কী করবেন?</t>
  </si>
  <si>
    <t>দুই পক্ষ একমত হলে বিচারকের দরকার নেই</t>
  </si>
  <si>
    <t>If both parties agree, what will the judge do?</t>
  </si>
  <si>
    <t>মীমাংসা</t>
  </si>
  <si>
    <t>দা'য়ে বালি, কুড়ুলে শিল, ভালমানুষকে ভালোকথা, বজ্জাতকে কিল</t>
  </si>
  <si>
    <t>দায়ে বালি, কুড়ুলে শিল, ভালো মানুষকে ভালো কথা, বজ্জাতকে কিল</t>
  </si>
  <si>
    <t>যাকে যেমন দিয়ে শাসন/কাজ</t>
  </si>
  <si>
    <t>Sand to a knife, whetstone to an axe; kind words to the good, blows to the wicked.</t>
  </si>
  <si>
    <t>দায়ে পড়লে বাপ বলে</t>
  </si>
  <si>
    <t>দায়ে পড়লে বাপ বলে (ডাকে)</t>
  </si>
  <si>
    <t>বিপদে পড়লে সবাই আত্মীয়</t>
  </si>
  <si>
    <t>In distress, one calls 'father'—helplessness.</t>
  </si>
  <si>
    <t>দায়ে পড়ে দা'ঠাকুর</t>
  </si>
  <si>
    <t>দায়ে পড়ে দা'ঠাকুর (দেবতা)</t>
  </si>
  <si>
    <t>বিপদে পড়লে দেবতাকে ডাকা</t>
  </si>
  <si>
    <t>In trouble, one calls on the deity.</t>
  </si>
  <si>
    <t>দারিদ্র্যদোষো গুণরাশিনাশী</t>
  </si>
  <si>
    <t>দারিদ্র্যদোষ গুণরাশি নাশ করে</t>
  </si>
  <si>
    <t>গরিবি সব গুণ ধ্বংস করে</t>
  </si>
  <si>
    <t>The fault of poverty destroys a host of virtues.</t>
  </si>
  <si>
    <t>দারিদ্রদোষেণ করোতি পাপম</t>
  </si>
  <si>
    <t>দারিদ্র্যদোষে মানুষ পাপ করে</t>
  </si>
  <si>
    <t>অভাবে মানুষ পাপে পড়ে</t>
  </si>
  <si>
    <t>Due to poverty, one commits sin.</t>
  </si>
  <si>
    <t>দারুভূত জগন্নাথ/নারায়ণ/মুরারি</t>
  </si>
  <si>
    <t>ঈশ্বর কাঠের মূর্তি হয়েও প্রাণময়; অসার নয়</t>
  </si>
  <si>
    <t>The wooden Jagannath is still God—substance over form.</t>
  </si>
  <si>
    <t>দারোগার চেয়ে চৌকিদারের হাঁক বেশি</t>
  </si>
  <si>
    <t>ছোট লোকের বড়াই</t>
  </si>
  <si>
    <t>The constable shouts more than the inspector.</t>
  </si>
  <si>
    <t>নিচু পদ</t>
  </si>
  <si>
    <t>দাল মে কুছ কালা হৈ</t>
  </si>
  <si>
    <t>ডালে কিছু কালো আছে</t>
  </si>
  <si>
    <t>কোথাও সন্দেহজনক কিছু আছে</t>
  </si>
  <si>
    <t>There's something black in the lentils—something fishy.</t>
  </si>
  <si>
    <t>দিও কিঞ্চিৎ না করিও বঞ্চিৎ</t>
  </si>
  <si>
    <t>অল্প দিও, কিন্তু বঞ্চনা কোরো না</t>
  </si>
  <si>
    <t>দান ছোট হলেও প্রতারণা নয়</t>
  </si>
  <si>
    <t>Give a little, but don't cheat.</t>
  </si>
  <si>
    <t>দিন আনে দিন খায়১</t>
  </si>
  <si>
    <t>যেদিন যা রোজগার সেদিন তা খায়</t>
  </si>
  <si>
    <t>One earns day by day, eats day by day.</t>
  </si>
  <si>
    <t>জীবিকা</t>
  </si>
  <si>
    <t>দিন আনে দিন খায়২</t>
  </si>
  <si>
    <t>দিন আনে, দিন খায় (দ্বিতীয়)</t>
  </si>
  <si>
    <t>কোনো সঞ্চয় নেই</t>
  </si>
  <si>
    <t>Living hand to mouth.</t>
  </si>
  <si>
    <t>দিন কাটে তো রাত কাটে না১</t>
  </si>
  <si>
    <t>দিন কাটে তো রাত কাটে না</t>
  </si>
  <si>
    <t>দিন ভালো যায়, রাত কষ্টের</t>
  </si>
  <si>
    <t>If day passes, night doesn't.</t>
  </si>
  <si>
    <t>দিন কাটে তো রাত কাটে না২</t>
  </si>
  <si>
    <t>দিন কাটে তো রাত কাটে না (দ্বিতীয়)</t>
  </si>
  <si>
    <t>দুশ্চিন্তায় রাত কাটে না</t>
  </si>
  <si>
    <t>Days pass but not nights—worry.</t>
  </si>
  <si>
    <t>দিনগত পাপক্ষয়</t>
  </si>
  <si>
    <t>প্রতিদিনের পাপ প্রতিদিন ধুয়ে যায়</t>
  </si>
  <si>
    <t>Daily sins are washed away daily.</t>
  </si>
  <si>
    <t>দিন থাকতে বাঁধে আল তবে খায় নানা শাল- খনা</t>
  </si>
  <si>
    <t>দিন থাকতে আল (বাঁধ) বাঁধে, তবে নানা শাল খায়</t>
  </si>
  <si>
    <t>আগে প্রস্তুতি নিলে পরে সুখ</t>
  </si>
  <si>
    <t>Build the embankment while it's day, then you can eat various fish.</t>
  </si>
  <si>
    <t>দিন গেল আলে ডালে রাত হলোে চেরাগ/প্রদীপ জ্বালে</t>
  </si>
  <si>
    <t>দিন গেল অলসে, রাতে প্রদীপ জ্বালায়</t>
  </si>
  <si>
    <t>দিনে কাজ না করে রাতে কাজ</t>
  </si>
  <si>
    <t>Wasted day in idleness; lights lamp at night.</t>
  </si>
  <si>
    <t>দিনদুপুরে চাঁদ উঠেছে রাত পোহালো তার, পূর্ণিমাতে চাঁদ উঠে নি দুপুর অন্ধকার</t>
  </si>
  <si>
    <t>দিনদুপুরে চাঁদ উঠেছে, রাত ভোর হলো তার; পূর্ণিমায় চাঁদ ওঠেনি, দুপুর অন্ধকার</t>
  </si>
  <si>
    <t>অসম্ভব/বিপরীত ঘটনা</t>
  </si>
  <si>
    <t>Moon at noon, night turned to day; full moon absent, noon dark—absurd.</t>
  </si>
  <si>
    <t>দিনদুপুরে ডাকাতি১</t>
  </si>
  <si>
    <t>দিনদুপুরে ডাকাতি</t>
  </si>
  <si>
    <t>সবার সামনে অন্যায়</t>
  </si>
  <si>
    <t>Robbery in broad daylight.</t>
  </si>
  <si>
    <t>দিনদুপুরে ডাকাতি২</t>
  </si>
  <si>
    <t>দিনদুপুরে ডাকাতি (দ্বিতীয়)</t>
  </si>
  <si>
    <t>লজ্জাহীনভাবে অন্যায়</t>
  </si>
  <si>
    <t>Broad daylight robbery—shameless.</t>
  </si>
  <si>
    <t>দিন যাবে রবে না</t>
  </si>
  <si>
    <t>দিন যাবে, রবে না</t>
  </si>
  <si>
    <t>সময় চলে যায়, ফেরে না</t>
  </si>
  <si>
    <t>Days will pass and won't stay.</t>
  </si>
  <si>
    <t>দিন যায় কথা থাকে১</t>
  </si>
  <si>
    <t>মানুষ মরে, কিন্তু কথা থেকে যায়</t>
  </si>
  <si>
    <t>Days pass, words remain.</t>
  </si>
  <si>
    <t>দিন যায় কথা থাকে২</t>
  </si>
  <si>
    <t>দিন যায়, কথা থাকে (দ্বিতীয়)</t>
  </si>
  <si>
    <t>কীর্তি থেকে যায়</t>
  </si>
  <si>
    <t>Days go, but words endure.</t>
  </si>
  <si>
    <t>কীর্তি</t>
  </si>
  <si>
    <t>দিন যায় তো ক্ষণ যায় না</t>
  </si>
  <si>
    <t>দিন যায়, ক্ষণ যায় না</t>
  </si>
  <si>
    <t>কষ্টের সময় কাটতে চায় না</t>
  </si>
  <si>
    <t>Days pass but moments don't—suffering lingers.</t>
  </si>
  <si>
    <t>দিনকে রাত করা, রাতকে দিন করা১</t>
  </si>
  <si>
    <t>দিনকে রাত, রাতকে দিন করা</t>
  </si>
  <si>
    <t>বিশৃঙ্খলা; কিছুই ঠিকমতো নয়</t>
  </si>
  <si>
    <t>Turning day to night and night to day—disorder.</t>
  </si>
  <si>
    <t>দিনে কেন সিঁধ? গরজ বড় বালাই</t>
  </si>
  <si>
    <t>দিনে কেন সিঁধ কাটবে? প্রয়োজন বড় বিপদ</t>
  </si>
  <si>
    <t>প্রয়োজনে অসময়েও কাজ করতে হয়</t>
  </si>
  <si>
    <t>Why break in during day? Necessity is a great trouble.</t>
  </si>
  <si>
    <t>দিনে দেখে তারা</t>
  </si>
  <si>
    <t>দিনে তারা দেখা</t>
  </si>
  <si>
    <t>অসম্ভব ঘটনা; বা চোখে তারা দেখা</t>
  </si>
  <si>
    <t>Seeing stars in daytime—impossible.</t>
  </si>
  <si>
    <t>দিনের পরিকল্পনা সকালেই হয়</t>
  </si>
  <si>
    <t>দিনের পরিকল্পনা সকালে হয়</t>
  </si>
  <si>
    <t>সকালে কাজের পরিকল্পনা করা উচিত</t>
  </si>
  <si>
    <t>Plan the day in the morning.</t>
  </si>
  <si>
    <t>দিল্লিকা লাড্ডু যো খায়া সো পস্তায়া, যো ন-খায়া সো ভি পস্তায়া</t>
  </si>
  <si>
    <t>দিল্লির লাড্ডু যে খেয়েছে সে অনুতপ্ত, যে খায়নি সেও অনুতপ্ত</t>
  </si>
  <si>
    <t>যা পাওয়া যায় না তার আক্ষেপ</t>
  </si>
  <si>
    <t>Delhi's laddu—who ate regrets, who didn't also regrets.</t>
  </si>
  <si>
    <t>আক্ষেপ</t>
  </si>
  <si>
    <t>দীওয়ারো কে ভি কান হোতেঁ হৈ</t>
  </si>
  <si>
    <t>গোপন কথা শোনার লোক থাকে</t>
  </si>
  <si>
    <t>Walls have ears.</t>
  </si>
  <si>
    <t>দীর্ঘরাত্রিও অবসান আছে</t>
  </si>
  <si>
    <t>দীর্ঘ রাতেরও শেষ আছে</t>
  </si>
  <si>
    <t>দুঃখেরও শেষ আছে</t>
  </si>
  <si>
    <t>Even the longest night has an end.</t>
  </si>
  <si>
    <t>দীর্ঘসূত্রতা সময়ের তস্কর</t>
  </si>
  <si>
    <t>দীর্ঘসূত্রতা সময়ের চোর</t>
  </si>
  <si>
    <t>দেরি করা সময় চুরি</t>
  </si>
  <si>
    <t>Procrastination is the thief of time.</t>
  </si>
  <si>
    <t>দুই অসতের মধ্যে একজনকে পছন্দ করা সঠিক নির্বাচন নয়</t>
  </si>
  <si>
    <t>দুই অসতের মধ্যে একজনকে বেছে নেওয়া সঠিক নয়</t>
  </si>
  <si>
    <t>দুটি খারাপের মধ্যে ভালো নির্বাচন করা যায় না</t>
  </si>
  <si>
    <t>Choosing between two evils is not a right choice.</t>
  </si>
  <si>
    <t>নির্বাচন</t>
  </si>
  <si>
    <t>দুই অসতের মধ্যে কম ক্ষতিকরকে পছন্দ কর</t>
  </si>
  <si>
    <t>দুই অসতের মধ্যে কম ক্ষতিকরকে বেছে নাও</t>
  </si>
  <si>
    <t>খারাপের মধ্যে কম খারাপ নাও</t>
  </si>
  <si>
    <t>Between two evils, choose the lesser.</t>
  </si>
  <si>
    <t>দুই নৌকায় পা১</t>
  </si>
  <si>
    <t>দুই নৌকায় পা</t>
  </si>
  <si>
    <t>দ্বিধা; দুই দিকে পা</t>
  </si>
  <si>
    <t>Foot in two boats—indecisive.</t>
  </si>
  <si>
    <t>দুই নৌকায় পা২</t>
  </si>
  <si>
    <t>দুই নৌকায় পা (দ্বিতীয়)</t>
  </si>
  <si>
    <t>ঝুঁকিপূর্ণ অবস্থা</t>
  </si>
  <si>
    <t>One foot in two boats—risky.</t>
  </si>
  <si>
    <t>দুইপ্রান্তে মোমবাতি জ্বালানো</t>
  </si>
  <si>
    <t>দুই প্রান্তে মোমবাতি জ্বালানো</t>
  </si>
  <si>
    <t>অতিরিক্ত পরিশ্রমে জীবন ক্ষয়</t>
  </si>
  <si>
    <t>দুই মাথা এক চেয়ে ভাল</t>
  </si>
  <si>
    <t>দুই মাথা একের চেয়ে ভালো</t>
  </si>
  <si>
    <t>দুজনের বুদ্ধি ভালো</t>
  </si>
  <si>
    <t>দুইহাঁড়ি একত্র থাকলেই ঠোকাঠুকি লাগে</t>
  </si>
  <si>
    <t>দুই হাঁড়ি একসাথে থাকলে ঠোকাঠুকি লাগে</t>
  </si>
  <si>
    <t>কাছাকাছি থাকলে ঝগড়া হয়</t>
  </si>
  <si>
    <t>Two pots together will clash.</t>
  </si>
  <si>
    <t>দুঃখবিনা সুখ হয় কি মহীতে১</t>
  </si>
  <si>
    <t>দুঃখ ছাড়া কি পৃথিবীতে সুখ হয়?</t>
  </si>
  <si>
    <t>দুঃখ ছাড়া সুখ নেই</t>
  </si>
  <si>
    <t>Is there pleasure without pain on earth?</t>
  </si>
  <si>
    <t>দুঃখবিনা সুখ হয় কি মহীতে২</t>
  </si>
  <si>
    <t>দুঃখ ছাড়া কি পৃথিবীতে সুখ হয়? (দ্বিতীয়)</t>
  </si>
  <si>
    <t>সুখের মূল্য দুঃখে</t>
  </si>
  <si>
    <t>Can there be happiness without sorrow?</t>
  </si>
  <si>
    <t>দুঃখিত হওয়ার চেয়ে নিরাপদ থাকা ভালো</t>
  </si>
  <si>
    <t>ঝুঁকি না নেওয়া ভালো</t>
  </si>
  <si>
    <t>Better safe than sorry.</t>
  </si>
  <si>
    <t>দুঃখে অনুদ্বিগমনা সুখেচ বিগতস্পৃহ</t>
  </si>
  <si>
    <t>দুঃখে উদ্বিগ্ন নয়, সুখে আসক্তিহীন</t>
  </si>
  <si>
    <t>ভারসাম্যপূর্ণ মন</t>
  </si>
  <si>
    <t>Undisturbed in sorrow, unattached in joy.</t>
  </si>
  <si>
    <t>দুঃখে শিয়াল কুকুর কাঁদে</t>
  </si>
  <si>
    <t>চরম দুঃখে সকলের কান্না</t>
  </si>
  <si>
    <t>In great sorrow, even foxes and dogs weep.</t>
  </si>
  <si>
    <t>দুঃখের অংশীদার থাকলে মন হালকা হয়</t>
  </si>
  <si>
    <t>দুঃখের ভাগীদার থাকলে মন হালকা হয়</t>
  </si>
  <si>
    <t>A sorrow shared is halved.</t>
  </si>
  <si>
    <t>দুঃখের উপর টনকের ঘা</t>
  </si>
  <si>
    <t>দুঃখের উপর আরও দুঃখ</t>
  </si>
  <si>
    <t>A boil upon sorrow—added misery.</t>
  </si>
  <si>
    <t>দুঃখের দিনগুলি খুব লম্বা হয়</t>
  </si>
  <si>
    <t>দুঃখের দিনগুলি খুব দীর্ঘ হয়</t>
  </si>
  <si>
    <t>দুঃখে সময় কাটে না</t>
  </si>
  <si>
    <t>Days of sorrow are very long.</t>
  </si>
  <si>
    <t>দুঃখের পর সুখ আসে</t>
  </si>
  <si>
    <t>দুঃখের শেষে সুখ</t>
  </si>
  <si>
    <t>After sorrow comes joy.</t>
  </si>
  <si>
    <t>কষ্টের মধ্যেও সন্তুষ্টি</t>
  </si>
  <si>
    <t>Eating the rice of sorrow with joy—contentment.</t>
  </si>
  <si>
    <t>দুঃসংবাদ বাতাসের আগে ছোটে</t>
  </si>
  <si>
    <t>দুটিগাছ একসাথে থাকে, দুটি পাহাড় একসাথে থাকে না</t>
  </si>
  <si>
    <t>দুটি গাছ একসাথে থাকে, দুই পাহাড় একসাথে থাকে না</t>
  </si>
  <si>
    <t>দুটি বড় শক্তি একসাথে থাকে না</t>
  </si>
  <si>
    <t>Two trees stand together, two mountains never meet.</t>
  </si>
  <si>
    <t>দু'টাকা ধার দেওয়া থেকে একটাকা দান করা ভাল</t>
  </si>
  <si>
    <t>দু'টাকা ধার দেওয়ার চেয়ে একটাকা দান করা ভালো</t>
  </si>
  <si>
    <t>ধার দেওয়া কষ্টকর, দান করা শ্রেয়</t>
  </si>
  <si>
    <t>Better to give one taka than lend two.</t>
  </si>
  <si>
    <t>দুটি পাখির/খরগোসের পিছনে ছোটা</t>
  </si>
  <si>
    <t>দুটি পাখি/খরগোসের পিছনে ছোটা</t>
  </si>
  <si>
    <t>একসাথে দুই লক্ষ্য; ব্যর্থ</t>
  </si>
  <si>
    <t>Chasing two birds/rabbits at once—failing.</t>
  </si>
  <si>
    <t>দুধ কলা দাও যত, সাপের বিষ বাড়ে তত</t>
  </si>
  <si>
    <t>দুধ-কলা দিলে সাপের বিষ বাড়ে</t>
  </si>
  <si>
    <t>দুষ্টকে আদর করলে ক্ষতি বাড়ে</t>
  </si>
  <si>
    <t>The more milk and banana you give a snake, the more its poison grows.</t>
  </si>
  <si>
    <t>দুধকা জ্বলা মাঠা ফুঁক্ ফুঁক্ পিতা হৈ</t>
  </si>
  <si>
    <t>দুধের জ্বালায় মাঠা ফুঁকিয়ে খায়</t>
  </si>
  <si>
    <t>অভিজ্ঞতা থেকে সতর্ক</t>
  </si>
  <si>
    <t>One burned by milk blows on buttermilk.</t>
  </si>
  <si>
    <t>দুধকে দুধ জলকে জল১</t>
  </si>
  <si>
    <t>দুধকে দুধ, জলকে জল</t>
  </si>
  <si>
    <t>স্পষ্ট সত্য; সঠিক মূল্যায়ন</t>
  </si>
  <si>
    <t>Milk as milk, water as water—clear judgment.</t>
  </si>
  <si>
    <t>দুধকে দুধ জলকে জল২</t>
  </si>
  <si>
    <t>দুধকে দুধ, জলকে জল (দ্বিতীয়)</t>
  </si>
  <si>
    <t>ভালো-মন্দ পার্থক্য</t>
  </si>
  <si>
    <t>Milk is milk, water is water.</t>
  </si>
  <si>
    <t>দুধ মরে/মেরে ক্ষীর</t>
  </si>
  <si>
    <t>দুধ মেরে ক্ষীর</t>
  </si>
  <si>
    <t>ভালো জিনিস নষ্ট করে খারাপ করা</t>
  </si>
  <si>
    <t>Turning milk into kheer—waste.</t>
  </si>
  <si>
    <t>দুধ রাখলেই পঞ্চামৃত১</t>
  </si>
  <si>
    <t>দুধ রাখলেই পঞ্চামৃত</t>
  </si>
  <si>
    <t>সামান্য জিনিসে বড় ফল</t>
  </si>
  <si>
    <t>If you keep milk, it becomes panchamrit—value added.</t>
  </si>
  <si>
    <t>দুধ রাখলেই পঞ্চামৃত২</t>
  </si>
  <si>
    <t>দুধ রাখলেই পঞ্চামৃত (দ্বিতীয়)</t>
  </si>
  <si>
    <t>যত্ন করলে মূল্য বাড়ে</t>
  </si>
  <si>
    <t>Milk kept becomes nectar—care enhances.</t>
  </si>
  <si>
    <t>দুধে ভাতে থাকা</t>
  </si>
  <si>
    <t>দুধে-ভাতে থাকা</t>
  </si>
  <si>
    <t>সুখে থাকা; সমৃদ্ধি</t>
  </si>
  <si>
    <t>Living on milk and rice—prosperity.</t>
  </si>
  <si>
    <t>দুধে ভিজিয়ে রাখলেও নিম কখনও মিষ্টি হয় না</t>
  </si>
  <si>
    <t>দুধে ভিজিয়ে রাখলেও নিম মিষ্টি হয় না</t>
  </si>
  <si>
    <t>Neem never becomes sweet even soaked in milk.</t>
  </si>
  <si>
    <t>দুধের মাছি</t>
  </si>
  <si>
    <t>সুযোগসন্ধানী; উপকার ভোগী</t>
  </si>
  <si>
    <t>The fly in milk—opportunist.</t>
  </si>
  <si>
    <t>আসল না পেয়ে নকল দিয়ে তুষ্টি</t>
  </si>
  <si>
    <t>Satisfying milk's taste with buttermilk—settling for less.</t>
  </si>
  <si>
    <t>আপস</t>
  </si>
  <si>
    <t>দুধের স্বাদ কি ঘোলে মেটে?</t>
  </si>
  <si>
    <t>আসলের বিকল্প হয় না</t>
  </si>
  <si>
    <t>Can buttermilk satisfy the taste of milk?—No.</t>
  </si>
  <si>
    <t>দুনিয়াদারি মুসাফিরি, সিরিফ আনাগোনা/যানা</t>
  </si>
  <si>
    <t>দুনিয়াদারি মুসাফিরি, শুধু আসা-যাওয়া</t>
  </si>
  <si>
    <t>পৃথিবী ভ্রমণক্ষেত্র, আসা-যাওয়া</t>
  </si>
  <si>
    <t>Worldly life is a journey, just coming and going.</t>
  </si>
  <si>
    <t>দূর কা ঢোল সুহাবনে</t>
  </si>
  <si>
    <t>দূরের ঢোল সুন্দর</t>
  </si>
  <si>
    <t>দূর থেকে সব ভালো লাগে</t>
  </si>
  <si>
    <t>The distant drum sounds pleasant.</t>
  </si>
  <si>
    <t>দূরতঃ শোভতে মূর্খো লম্বশাটপটাবৃতঃ; তাবৎ শোভতে মূর্খো যাবৎ কিঞ্চিন্ন ভাষতে</t>
  </si>
  <si>
    <t>দূর থেকে লম্বা শাট পরে মূর্খ সুন্দর; ততক্ষণ পর্যন্ত শোভা, যতক্ষণ কিছু না বলে</t>
  </si>
  <si>
    <t>চুপ থাকলে মূর্খও জ্ঞানী মনে হয়</t>
  </si>
  <si>
    <t>From a distance, a fool in a long robe looks fine; as long as he doesn't speak.</t>
  </si>
  <si>
    <t>দুরসভা নিকটজল, নিকটসভা রসাতল- খনা</t>
  </si>
  <si>
    <t>দূর সভা, কাছে জল; কাছে সভা, রসাতল</t>
  </si>
  <si>
    <t>খনার বচন: দূরের সভা ভালো, কাছে জল ভালো</t>
  </si>
  <si>
    <t>Distant assembly, nearby water; near assembly, hell—Khana.</t>
  </si>
  <si>
    <t>পরামর্শ</t>
  </si>
  <si>
    <t>দূরের কেশ ঘন দেখায়</t>
  </si>
  <si>
    <t>দূরের চুল ঘন দেখায়</t>
  </si>
  <si>
    <t>দূর থেকে সব ভালো দেখায়</t>
  </si>
  <si>
    <t>Distant hair looks thick—far away seems better.</t>
  </si>
  <si>
    <t>দূর্বাবনে খটাশই বাঘ</t>
  </si>
  <si>
    <t>যেখানে ভালো নেই, সেখানে নিকৃষ্টই বড়</t>
  </si>
  <si>
    <t>In a durbagrass field, a civet is a tiger.</t>
  </si>
  <si>
    <t>দুরারোহপরিভ্রংশবিনিপাতো হি দারুণ</t>
  </si>
  <si>
    <t>দুরারোহণ থেকে পতন ভয়ানক</t>
  </si>
  <si>
    <t>উঁচুতে উঠে পড়া ভয়াবহ</t>
  </si>
  <si>
    <t>A fall from a high climb is terrible.</t>
  </si>
  <si>
    <t>দুর্গা বলে ঝুলে পড়</t>
  </si>
  <si>
    <t>দুর্গা বলে ঝুলে পড়ো</t>
  </si>
  <si>
    <t>নিজেকে সঁপে দাও</t>
  </si>
  <si>
    <t>Goddess Durga says, hang on—surrender.</t>
  </si>
  <si>
    <t>দুর্জনেরে পরিহরি, দূরে থেকে নমঃ করি</t>
  </si>
  <si>
    <t>দুর্জনকে পরিহার কর, দূর থেকে নমস্কার কর</t>
  </si>
  <si>
    <t>দুষ্টকে এড়িয়ে চল, কাছে যেও না</t>
  </si>
  <si>
    <t>Avoid the wicked; salute from a distance.</t>
  </si>
  <si>
    <t>দুর্লভং প্রাকৃতং বাক্যং দুর্লভঃ ক্ষেমকৃৎ সুত; দুর্লভা সদৃশী ভার্যা দুর্লভঃ স্বজনঃ প্রিয়ঃ</t>
  </si>
  <si>
    <t>সরল বাক্য, কল্যাণকারী পুত্র, সমগুণা স্ত্রী, প্রিয় স্বজন দুর্লভ</t>
  </si>
  <si>
    <t>এই চারটি জিনিস দুর্লভ</t>
  </si>
  <si>
    <t>Rare is simple speech, a good son, a compatible wife, a dear relative.</t>
  </si>
  <si>
    <t>দুশমনকে উঁচী পিড়িয়া</t>
  </si>
  <si>
    <t>শত্রুকে উঁচু পিঁড়ি</t>
  </si>
  <si>
    <t>শত্রুকে সম্মান দেখাও</t>
  </si>
  <si>
    <t>Give the enemy a high seat—respect.</t>
  </si>
  <si>
    <t>দুশ্চিন্তা ঝামেলায় না ফেললে দুশ্চিন্তার পিছু নিও না</t>
  </si>
  <si>
    <t>দুশ্চিন্তা ঝামেলায় না ফেললে পিছু নিও না (পুনরুক্তি)</t>
  </si>
  <si>
    <t>অযথা চিন্তা নয়</t>
  </si>
  <si>
    <t>দুষ্টগরুর চেয়ে শূন্যগোয়াল ভাল</t>
  </si>
  <si>
    <t>দুষ্ট গরুর চেয়ে খালি গোয়াল ভালো</t>
  </si>
  <si>
    <t>খারাপ জিনিসের চেয়ে কিছু না থাকা ভালো</t>
  </si>
  <si>
    <t>Better an empty cowshed than a bad cow.</t>
  </si>
  <si>
    <t>দুষ্টের আঠারোগাছি পথ</t>
  </si>
  <si>
    <t>দুষ্টের আঠারো ঘা পথ</t>
  </si>
  <si>
    <t>দুষ্টের অনেক দোষ</t>
  </si>
  <si>
    <t>A wicked person has eighteen faults.</t>
  </si>
  <si>
    <t>দেওয়ালের লিখন না যায় খণ্ডন</t>
  </si>
  <si>
    <t>দেওয়ালের লেখা যায় না খণ্ডানো</t>
  </si>
  <si>
    <t>Writing on the wall cannot be erased.</t>
  </si>
  <si>
    <t>দেওয়ালেরও কান আছে</t>
  </si>
  <si>
    <t>দেওয়ালেরও কান আছে (পুনরুক্তি)</t>
  </si>
  <si>
    <t>গোপন কথা জানা যায়</t>
  </si>
  <si>
    <t>Even walls have ears.</t>
  </si>
  <si>
    <t>দেখ্ তোর না দেখ্ মোর</t>
  </si>
  <si>
    <t>দেখ, তোর না দেখ, আমার</t>
  </si>
  <si>
    <t>যেমন পারো দেখো, আমার কিছু যায় আসে না</t>
  </si>
  <si>
    <t>Look or don't, your choice; it's not my concern.</t>
  </si>
  <si>
    <t>দেখছি কত দেখব আর ছুঁচোর গলায় চন্দ্রহার</t>
  </si>
  <si>
    <t>দেখছি, কত আর দেখব ছুঁচোর গলায় চন্দ্রহার</t>
  </si>
  <si>
    <t>অযোগ্যের হাতে মূল্যবান দেখে বিরক্তি</t>
  </si>
  <si>
    <t>How long shall I see a necklace on a mole?</t>
  </si>
  <si>
    <t>বিরক্তি</t>
  </si>
  <si>
    <t>দেখতে পেলে শুনতে চায় না</t>
  </si>
  <si>
    <t>প্রত্যক্ষ প্রমাণের পর আর শুনতে চায় না</t>
  </si>
  <si>
    <t>Once seen, doesn't want to hear.</t>
  </si>
  <si>
    <t>প্রমাণ</t>
  </si>
  <si>
    <t>দেখবো কত কালে কালে গোঁফ রেখেছে তোবড়া গালে</t>
  </si>
  <si>
    <t>দেখবো কতকালে গোঁফ রেখেছে তোবড়া গালে</t>
  </si>
  <si>
    <t>বেমানান; অযোগ্যের সাজ</t>
  </si>
  <si>
    <t>How long has he kept a mustache on his chubby cheeks?—incongruous.</t>
  </si>
  <si>
    <t>দেখলে পরে বিশ্বাস</t>
  </si>
  <si>
    <t>প্রত্যক্ষ প্রমাণই বিশ্বাসযোগ্য</t>
  </si>
  <si>
    <t>Seeing is believing.</t>
  </si>
  <si>
    <t>দেখেশুনে আক্কেল গুড়ুম</t>
  </si>
  <si>
    <t>দেখেশুনে বুদ্ধি লোপ</t>
  </si>
  <si>
    <t>দেখেও বুদ্ধি হারানো</t>
  </si>
  <si>
    <t>Seeing, yet wisdom gone—foolish.</t>
  </si>
  <si>
    <t>দেখে শেখে আর এক ঠেকে শেখে</t>
  </si>
  <si>
    <t>দেখে শেখে, আর একজন ঠেকে শেখে</t>
  </si>
  <si>
    <t>একজন দেখে, আরেকজন কষ্টে</t>
  </si>
  <si>
    <t>One learns by watching, another by stumbling.</t>
  </si>
  <si>
    <t>দেদোর(=দাদ রোগাক্রান্ত) মর্ম দেদোয় জানে</t>
  </si>
  <si>
    <t>দাদের ব্যথা দাদরোগীই বোঝে</t>
  </si>
  <si>
    <t>যে ভোগে সেই বোঝে</t>
  </si>
  <si>
    <t>Only the sufferer knows the pain of ringworm.</t>
  </si>
  <si>
    <t>দেবতার বেলা লীলাখেলা, পাপ লিখেছে মানুষের বেলা</t>
  </si>
  <si>
    <t>দেবতার বেলা লীলা, মানুষের বেলা পাপ</t>
  </si>
  <si>
    <t>ঈশ্বরের ইচ্ছা, মানুষের কর্মফল</t>
  </si>
  <si>
    <t>For gods it's sport, for humans it's sin.</t>
  </si>
  <si>
    <t>দেবা ন জানন্তি কুতঃ মনুষ্যাঃ</t>
  </si>
  <si>
    <t>দেবতারা জানেন না, মানুষ কোথা থেকে জানবে?</t>
  </si>
  <si>
    <t>ঈশ্বরের অজানা কিছু নেই</t>
  </si>
  <si>
    <t>If gods know not, how can men?</t>
  </si>
  <si>
    <t>দেবালয়ের পিছনেই শয়তানের আবাস/আস্তানা</t>
  </si>
  <si>
    <t>দেবালয়ের পিছনেই শয়তানের বাস</t>
  </si>
  <si>
    <t>মন্দ ভালোর পাশেই</t>
  </si>
  <si>
    <t>Behind the temple lies the devil's abode.</t>
  </si>
  <si>
    <t>দেবালয়ের যতকাছে দেবতা থেকে ততদূরে</t>
  </si>
  <si>
    <t>দেবালয়ের যত কাছে, দেবতা থেকে তত দূরে</t>
  </si>
  <si>
    <t>বাহ্যিক ধর্মে ঈশ্বর নেই</t>
  </si>
  <si>
    <t>The nearer to the temple, the farther from God.</t>
  </si>
  <si>
    <t>দেয় থোয় রাখে মান তার কয় যজমান</t>
  </si>
  <si>
    <t>দেয়, থোয়, রাখে মান; তার কয় যজমান</t>
  </si>
  <si>
    <t>যে দান ও সম্মান রাখে, যজমান তার প্রশংসা করে</t>
  </si>
  <si>
    <t>He who gives and keeps honor, the host praises.</t>
  </si>
  <si>
    <t>দেরি হলেও সংশোধনের সময় থাকে।</t>
  </si>
  <si>
    <t>দেরি হলেও সংশোধনের সময় থাকে</t>
  </si>
  <si>
    <t>দেরি করলে শুধরে নেওয়ার সুযোগ</t>
  </si>
  <si>
    <t>Even late, there is time to correct.</t>
  </si>
  <si>
    <t>দেশগুণে বেশ/ দেশবুঝে বেশ, জমি/পাথার বুঝে চাষ১</t>
  </si>
  <si>
    <t>দেশ অনুযায়ী বেশ, জমি/প্রান্তর বুঝে চাষ</t>
  </si>
  <si>
    <t>Dress according to country, cultivate according to land.</t>
  </si>
  <si>
    <t>দেহি দেহি পুনঃপুনঃ</t>
  </si>
  <si>
    <t>দাও দাও বার বার</t>
  </si>
  <si>
    <t>অতিথি, শিশু, স্ত্রীর চাহিদা</t>
  </si>
  <si>
    <t>Give, give, again and again.</t>
  </si>
  <si>
    <t>দৈত্যকুলে প্রহ্লাদ</t>
  </si>
  <si>
    <t>দুষ্ট বংশে গুণী</t>
  </si>
  <si>
    <t>Prahlad in the demon lineage—virtue among evil.</t>
  </si>
  <si>
    <t>দৈব ও আকস্মিক ঘটনা অজ্ঞানের উক্তি</t>
  </si>
  <si>
    <t>দৈব ও আকস্মিক ঘটনা অজ্ঞের উক্তি</t>
  </si>
  <si>
    <t>অজ্ঞ লোকই ভাগ্যকে দোষ দেয়</t>
  </si>
  <si>
    <t>Attributing to fate is the saying of the ignorant.</t>
  </si>
  <si>
    <t>দৈবজ্ঞ যদি ঠিক তবে মাগে কেন ভিখ?</t>
  </si>
  <si>
    <t>দৈবজ্ঞ ঠিক হলে ভিক্ষা করে কেন?</t>
  </si>
  <si>
    <t>ভবিষ্যদ্বক্তা যদি ঠিক তবে কেন ভিক্ষুক</t>
  </si>
  <si>
    <t>If the astrologer is accurate, why does he beg?</t>
  </si>
  <si>
    <t>দৈবি বিচিত্রা গতি</t>
  </si>
  <si>
    <t>দৈবের গতি বিচিত্র</t>
  </si>
  <si>
    <t>ভাগ্যের গতি অদ্ভুত</t>
  </si>
  <si>
    <t>The ways of fate are mysterious.</t>
  </si>
  <si>
    <t>দৈবেন দেয়মিতি কাপুরুষা বদন্তি</t>
  </si>
  <si>
    <t>ভাগ্যে দেওয়া আছে—এই বলে কাপুরুষ</t>
  </si>
  <si>
    <t>কাপুরুষ ভাগ্যের দোহাই দেয়</t>
  </si>
  <si>
    <t>It is given by fate—so say cowards.</t>
  </si>
  <si>
    <t>কাপুরুষতা</t>
  </si>
  <si>
    <t>দোদেলবান্দা কল্‌মাচোর না পায় বেহেস্ত না পায় গোর</t>
  </si>
  <si>
    <t>দোদেলবান্দা (দোদুল্যমান) কলমাচোর (কালোমুখো) না পায় বেহেশ্ত, না পায় গোর</t>
  </si>
  <si>
    <t>দোদুল্যমান ব্যক্তির ঠাঁই নেই</t>
  </si>
  <si>
    <t>A wavering hypocrite gets neither heaven nor grave.</t>
  </si>
  <si>
    <t>দ্বিধাগ্রস্ত</t>
  </si>
  <si>
    <t>দোয়া গাইয়ের চাঁট সই</t>
  </si>
  <si>
    <t>দোয়া গাইয়ের (দোহনকারী গরু) লাথি সহ্য</t>
  </si>
  <si>
    <t>উপকারীর দোষ সহ্য করতে হয়</t>
  </si>
  <si>
    <t>Bear the kick of a milking cow—tolerate benefactor's faults.</t>
  </si>
  <si>
    <t>দোষা বাচ্যা গুরোরপি শত্রোরপি গুণা বাচ্যা</t>
  </si>
  <si>
    <t>দোষ এড়িয়ে চলবে, গুরুরও শত্রুরও গুণ বলবে</t>
  </si>
  <si>
    <t>গুরুর ও শত্রুর গুণ প্রশংসা</t>
  </si>
  <si>
    <t>Avoid faults; praise virtues even of guru and enemy.</t>
  </si>
  <si>
    <t>দোষ স্বীকার করলে অর্ধেক দোষ স্খলন হয়</t>
  </si>
  <si>
    <t>দোষ স্বীকার করলে অর্ধেক ক্ষমা</t>
  </si>
  <si>
    <t>স্বীকারোক্তি শাস্তি কমায়</t>
  </si>
  <si>
    <t>Admitting a fault halves the sin.</t>
  </si>
  <si>
    <t>দোষী বিবেকের অভিযুক্তের প্রয়োজন হয় না</t>
  </si>
  <si>
    <t>দোষী বিবেকের অভিযুক্ত দরকার হয় না</t>
  </si>
  <si>
    <t>অপরাধী নিজেই ধরা পড়ে</t>
  </si>
  <si>
    <t>A guilty conscience needs no accuser.</t>
  </si>
  <si>
    <t>দৌড় ছাড়া হাঁটা নাই, বাড়ী যাইয়া দেখে কাম নাই</t>
  </si>
  <si>
    <t>দৌড় ছাড়া হাঁটা নেই, বাড়ি গিয়ে দেখে কাজ নেই</t>
  </si>
  <si>
    <t>অস্থিরতা; অযথা দৌড়</t>
  </si>
  <si>
    <t>Only running, no walking; going home sees no work—restless.</t>
  </si>
  <si>
    <t>অস্থির</t>
  </si>
  <si>
    <t>দ্বিধায় দ্বিধা বাড়ে</t>
  </si>
  <si>
    <t>সন্দেহে সন্দেহ বৃদ্ধি</t>
  </si>
  <si>
    <t>Doubt breeds doubt.</t>
  </si>
  <si>
    <t>দ্রব্যং মূল্যেণ শুদ্ধতি</t>
  </si>
  <si>
    <t>দ্রব্য মূল্যে শুদ্ধ হয়</t>
  </si>
  <si>
    <t>জিনিসের মূল্য দিলে শুদ্ধি</t>
  </si>
  <si>
    <t>A thing is purified by its price.</t>
  </si>
  <si>
    <t>ধনং ক্ষীণং ভবেদ্দানবিদ্যা দানাদ্বিবর্ধতে</t>
  </si>
  <si>
    <t>দানে ধন ক্ষয় হয়, বিদ্যা দানে বাড়ে</t>
  </si>
  <si>
    <t>By giving, wealth diminishes; by giving, knowledge grows.</t>
  </si>
  <si>
    <t>ধনক্ষয়ে মুর্ছতি জাঠরাগ্নি</t>
  </si>
  <si>
    <t>ধনক্ষয়ে জাঠরাগ্নি মূর্ছা যায়</t>
  </si>
  <si>
    <t>অভাবে ক্ষুধা লুকায়</t>
  </si>
  <si>
    <t>With loss of wealth, the digestive fire faints—poverty hides hunger.</t>
  </si>
  <si>
    <t>ধন থাকলেই সিঁধের ভয়</t>
  </si>
  <si>
    <t>সম্পদ থাকলে চোরের ভয়</t>
  </si>
  <si>
    <t>If you have wealth, fear of thieves.</t>
  </si>
  <si>
    <t>ধন দিয়ে মন বুঝে যৌবন দিয়ে আক্কেল বুঝে</t>
  </si>
  <si>
    <t>ধন দিয়ে মন বোঝা, যৌবন দিয়ে বুদ্ধি বোঝা</t>
  </si>
  <si>
    <t>অর্থে মন, যৌবনে বুদ্ধির পরিচয়</t>
  </si>
  <si>
    <t>Wealth reveals the mind, youth reveals wisdom.</t>
  </si>
  <si>
    <t>ধন নেই কড়ি নেই নিধিরাম পোদ্দার</t>
  </si>
  <si>
    <t>ধন নেই, কড়ি নেই, তবু নিধিরাম পোদ্দার</t>
  </si>
  <si>
    <t>নিঃস্ব অবস্থায় বড় নাম</t>
  </si>
  <si>
    <t>No money, yet Nidhiram is a banker—empty title.</t>
  </si>
  <si>
    <t>ধন পরিবাদও ভাল</t>
  </si>
  <si>
    <t>ধন উপার্জনও ভালো</t>
  </si>
  <si>
    <t>অর্থ উপার্জন করাও ভালো</t>
  </si>
  <si>
    <t>Even earning wealth is good.</t>
  </si>
  <si>
    <t>ধন বড় না ধর্ম বড়?</t>
  </si>
  <si>
    <t>ধন বড়, না ধর্ম বড়?</t>
  </si>
  <si>
    <t>অর্থ ও ধর্মের তুলনা</t>
  </si>
  <si>
    <t>Is wealth greater or righteousness?</t>
  </si>
  <si>
    <t>ধন যৌবন আড়াই দিন, চাম চোখে মানুষ চিন্‌</t>
  </si>
  <si>
    <t>ধন ও যৌবন আড়াই দিন; চর্মচোখে মানুষ চেনা</t>
  </si>
  <si>
    <t>ধন-যৌবন ক্ষণস্থায়ী</t>
  </si>
  <si>
    <t>Wealth and youth last two and a half days; know the person by skin and eyes.</t>
  </si>
  <si>
    <t>ধনসোহাগী মরে ক্ষুদের জাউ (ফেনভাত) খাইয়া/খেয়ে</t>
  </si>
  <si>
    <t>ধনসোহাগী মরে ক্ষুদের জাউ খেয়ে</t>
  </si>
  <si>
    <t>ধনের লোভী অভাবেও মরে</t>
  </si>
  <si>
    <t>The money-lover dies eating coarse gruel—miser.</t>
  </si>
  <si>
    <t>ধনানি জীবিতঞ্চৈব পরার্থে প্রাজ্ঞ উৎসৃজেৎ</t>
  </si>
  <si>
    <t>ধন ও জীবন পরের জন্য ত্যাগ করবে জ্ঞানী</t>
  </si>
  <si>
    <t>জ্ঞানী পরার্থে সব দেয়</t>
  </si>
  <si>
    <t>The wise sacrifice wealth and life for others.</t>
  </si>
  <si>
    <t>ধনীর চিন্তা ধন ধন, নিরানব্বুইয়ের ধাক্কা, যোগীর চিন্তা জগন্নাথ, ফকিরের চিন্তা মক্কা</t>
  </si>
  <si>
    <t>ধনীর চিন্তা ধন, নিরানব্বইয়ের ধাক্কা, যোগীর জগন্নাথ, ফকিরের মক্কা</t>
  </si>
  <si>
    <t>সবার নিজস্ব ভাবনা</t>
  </si>
  <si>
    <t>The rich think of wealth, the poor of ninety-nine; the yogi of Jagannath, the fakir of Mecca.</t>
  </si>
  <si>
    <t>ধনী/গরিব/যোগী/ফকির</t>
  </si>
  <si>
    <t>ধনীর মাথায় ধর ছাতি নির্ধনের (কুলের) মাথায় মারো লাথি</t>
  </si>
  <si>
    <t>ধনীর মাথায় ছাতা ধর, নির্ধনের মাথায় লাথি মার</t>
  </si>
  <si>
    <t>ধনীকে সম্মান, গরিবকে অবহেলা</t>
  </si>
  <si>
    <t>Hold an umbrella over the rich, kick the poor.</t>
  </si>
  <si>
    <t>ধনী/দরিদ্র</t>
  </si>
  <si>
    <t>ধনুর্ভঙ্গ পণ</t>
  </si>
  <si>
    <t>কঠিন শপথ বা প্রণ</t>
  </si>
  <si>
    <t>A vow of breaking the bow—difficult pledge.</t>
  </si>
  <si>
    <t>শপথ</t>
  </si>
  <si>
    <t>ধনে অহঙ্কার নয় অহঙ্কার মনে</t>
  </si>
  <si>
    <t>ধনে অহঙ্কার নয়, অহঙ্কার মনে</t>
  </si>
  <si>
    <t>অহংকার মনের, টাকার নয়</t>
  </si>
  <si>
    <t>Pride is in the mind, not in wealth.</t>
  </si>
  <si>
    <t>ধনে ধন দেখে</t>
  </si>
  <si>
    <t>অর্থে অর্থ আকর্ষণ</t>
  </si>
  <si>
    <t>Money sees money—like attracts like.</t>
  </si>
  <si>
    <t>ধনে সুখ নয় সুখ মনে</t>
  </si>
  <si>
    <t>ধনে সুখ নয়, সুখ মনে</t>
  </si>
  <si>
    <t>শান্তি মনের উপর</t>
  </si>
  <si>
    <t>Happiness is in the mind, not in wealth.</t>
  </si>
  <si>
    <t>ধন্য রাজার পূণ্য দেশ যদি বর্ষে মাঘের শেষ- খনা</t>
  </si>
  <si>
    <t>ধন্য রাজার পুণ্য দেশ, যদি বৃষ্টি হয় মাঘের শেষে</t>
  </si>
  <si>
    <t>মাঘের শেষে বৃষ্টি শুভ</t>
  </si>
  <si>
    <t>Blessed is the king and country if it rains at the end of Magh.</t>
  </si>
  <si>
    <t>ধর কাছি তো ধরেই আছি</t>
  </si>
  <si>
    <t>ধর দড়ি তো ধরেই আছি</t>
  </si>
  <si>
    <t>কাজ ধরলে ছাড়ি না; জেদ</t>
  </si>
  <si>
    <t>If I catch the rope, I hold on—determined.</t>
  </si>
  <si>
    <t>ধর্‌ তক্তা মার্‌ পেরেক</t>
  </si>
  <si>
    <t>ধর তক্তা, মার পেরেক</t>
  </si>
  <si>
    <t>যে যেমন, তাকে তেমন</t>
  </si>
  <si>
    <t>Hold the plank, hit the nail—each their role.</t>
  </si>
  <si>
    <t>ধর মাছ ভাগ আছে</t>
  </si>
  <si>
    <t>ধর মাছ, ভাগ আছে</t>
  </si>
  <si>
    <t>পরিশ্রম করলে অংশ পাওয়া যায়</t>
  </si>
  <si>
    <t>Catch fish, there's a share.</t>
  </si>
  <si>
    <t>ভাগ</t>
  </si>
  <si>
    <t>ধর লক্ষ্মণ</t>
  </si>
  <si>
    <t>ধর লক্ষ্মণ (রামের ডাক)</t>
  </si>
  <si>
    <t>সাহায্যের জন্য ডাক; বা হাতে পেয়ে ধর</t>
  </si>
  <si>
    <t>Catch, Lakshman!—call to action.</t>
  </si>
  <si>
    <t>ধরলে চিঁ চিঁ করে ছাড়লে লম্ফ মারে</t>
  </si>
  <si>
    <t>ধরলে চিঁ চিঁ করে, ছাড়লে লাফ মারে</t>
  </si>
  <si>
    <t>সুযোগ পেলে দৌরাত্ম্য</t>
  </si>
  <si>
    <t>When caught, squeaks; when released, leaps—hypocrite.</t>
  </si>
  <si>
    <t>ধরাকে সরা জ্ঞান করে</t>
  </si>
  <si>
    <t>ধরাকে সরাজ্ঞান করে</t>
  </si>
  <si>
    <t>পৃথিবীকে ছোট মনে করা; অহংকারী</t>
  </si>
  <si>
    <t>Considering the earth as a morsel—arrogant.</t>
  </si>
  <si>
    <t>ধরি মাছ না ছুঁই পানি</t>
  </si>
  <si>
    <t>ধরি মাছ, জল ছুঁই না</t>
  </si>
  <si>
    <t>কৌশলে কাজ করা; দোষ এড়িয়ে চলা</t>
  </si>
  <si>
    <t>Catch fish without touching water—clever but sly.</t>
  </si>
  <si>
    <t>ধরে আনতে বললে বেঁধে আনে</t>
  </si>
  <si>
    <t>অতিরিক্ত কাজ; আদেশের বেশি</t>
  </si>
  <si>
    <t>Told to bring by catching, he brings tied—overzealous.</t>
  </si>
  <si>
    <t>আতিশয্য</t>
  </si>
  <si>
    <t>ধরেছো তো ছেড়ো না</t>
  </si>
  <si>
    <t>ধরেছ তো ছেড়ো না</t>
  </si>
  <si>
    <t>সুযোগ ছাড়বে না</t>
  </si>
  <si>
    <t>Once you've caught, don't let go.</t>
  </si>
  <si>
    <t>ধরে বেঁধে পিরীত, ঘষে মেজে রূপ</t>
  </si>
  <si>
    <t>ধরে বেঁধে প্রীতি, ঘষে মেজে রূপ</t>
  </si>
  <si>
    <t>বন্ধুত্ব গড়ে, রূপ পরিচর্যায়</t>
  </si>
  <si>
    <t>Love by holding, beauty by polishing.</t>
  </si>
  <si>
    <t>ধর্মদাসের ধর্মকর্মে ধর্মের কোন নাম নেই</t>
  </si>
  <si>
    <t>ধর্মদাসের ধর্মকর্মে ধর্মের নাম নেই</t>
  </si>
  <si>
    <t>নাম ধর্ম, কাজ অধর্ম</t>
  </si>
  <si>
    <t>In the piety of Dharmadas, there's no religion.</t>
  </si>
  <si>
    <t>ধর্মপুত্র যুধিষ্টির১</t>
  </si>
  <si>
    <t>ধর্মপুত্র যুধিষ্ঠির</t>
  </si>
  <si>
    <t>The son of Dharma, Yudhishthira—righteous.</t>
  </si>
  <si>
    <t>ধর্মপুত্র যুধিষ্টির২</t>
  </si>
  <si>
    <t>ধর্মপুত্র যুধিষ্ঠির (দ্বিতীয়)</t>
  </si>
  <si>
    <t>অতিরিক্ত ধার্মিক</t>
  </si>
  <si>
    <t>Yudhishthira the righteous.</t>
  </si>
  <si>
    <t>ধর্মস্য কুটিলা গতিঃ৩</t>
  </si>
  <si>
    <t>ধর্মের গতি কুটিল (তৃতীয়)</t>
  </si>
  <si>
    <t>ভাগ্যের মতো ধর্মও জটিল</t>
  </si>
  <si>
    <t>The way of Dharma is crooked.</t>
  </si>
  <si>
    <t>ধর্মেণ হীনাঃ পশুভিঃ সমানাঃ</t>
  </si>
  <si>
    <t>ধর্মহীন ব্যক্তি পশুর সমান</t>
  </si>
  <si>
    <t>ধর্ম ছাড়া মানুষ পশু</t>
  </si>
  <si>
    <t>Those without righteousness are equal to animals.</t>
  </si>
  <si>
    <t>ধর্মেও আছি, জিরাফেও আছি</t>
  </si>
  <si>
    <t>সব দিকে সুবিধা; দুই নৌকায় পা</t>
  </si>
  <si>
    <t>I'm in religion and also in giraffe—ambiguous.</t>
  </si>
  <si>
    <t>ধর্মের ঘড়া ভেসে ওঠে পাপের ঘড়া তল যায়</t>
  </si>
  <si>
    <t>ধর্মের ঘড়া ভাসে, পাপের ঘড়া ডোবে</t>
  </si>
  <si>
    <t>ধর্মের জয়, পাপের পরাজয়</t>
  </si>
  <si>
    <t>The pot of virtue floats, the pot of sin sinks.</t>
  </si>
  <si>
    <t>ধর্মের কল বাতাসে চলে/নড়ে</t>
  </si>
  <si>
    <t>ধর্মের কল বাতাসে চলে</t>
  </si>
  <si>
    <t>ধর্মের ভান; নড়ে কিন্তু সত্যি কাজ নেই</t>
  </si>
  <si>
    <t>The water-pot of religion moves by wind—pretense.</t>
  </si>
  <si>
    <t>ধর্মের ঘরে কুটের অভাব নাই</t>
  </si>
  <si>
    <t>ধর্মের ঘরে কুটের অভাব নেই</t>
  </si>
  <si>
    <t>ধর্মের আড়ালে দুষ্টতা</t>
  </si>
  <si>
    <t>In the house of religion, there is no lack of cunning.</t>
  </si>
  <si>
    <t>ধর্মের ঘরে পাপ সয় না</t>
  </si>
  <si>
    <t>পবিত্র স্থানে পাপ চলে না</t>
  </si>
  <si>
    <t>Sin cannot dwell in the house of virtue.</t>
  </si>
  <si>
    <t>ধর্মের জয় অধর্মের ক্ষয়</t>
  </si>
  <si>
    <t>ধর্মের জয়, অধর্মের ক্ষয়</t>
  </si>
  <si>
    <t>ধর্ম জয়ী, পাপ হারে</t>
  </si>
  <si>
    <t>Victory of virtue, decline of vice.</t>
  </si>
  <si>
    <t>ধর্মের ঘড়া/ভরা (বজরা) ভেসে ওঠে পাপের ঘড়া/ভরা তল যায়</t>
  </si>
  <si>
    <t>ধর্মের ভরা ভাসে, পাপের ভরা ডোবে</t>
  </si>
  <si>
    <t>ধর্ম জয়ী, পাপ পরাজিত</t>
  </si>
  <si>
    <t>The full pot of virtue floats, the full pot of sin sinks.</t>
  </si>
  <si>
    <t>ধর্মের ষাঁড়</t>
  </si>
  <si>
    <t>ধার্মিকতা দেখানো ভণ্ড</t>
  </si>
  <si>
    <t>The bull of religion—hypocrite.</t>
  </si>
  <si>
    <t>ধর্মের সূক্ষ্মগতি</t>
  </si>
  <si>
    <t>ধর্মের গতি সূক্ষ্ম</t>
  </si>
  <si>
    <t>Subtle are the ways of Dharma.</t>
  </si>
  <si>
    <t>ধর্মোহপি জনাতি নরস্য বৃত্তং</t>
  </si>
  <si>
    <t>ধর্মও মানুষের প্রকৃতি জানে</t>
  </si>
  <si>
    <t>মানুষের স্বভাব ঈশ্বরও জানেন</t>
  </si>
  <si>
    <t>Even Dharma knows a person's character.</t>
  </si>
  <si>
    <t>ধাইয়ের কাছে কোঁক (গর্ভ) ছাপা</t>
  </si>
  <si>
    <t>ধাত্রীর কাছে গর্ভ লুকানো যায় না</t>
  </si>
  <si>
    <t>অভিজ্ঞের কাছে কিছুই গোপন নয়</t>
  </si>
  <si>
    <t>Cannot hide pregnancy from a midwife.</t>
  </si>
  <si>
    <t>ধাই (নারী)</t>
  </si>
  <si>
    <t>ধান একগুণ, ঘাস শতগুণ</t>
  </si>
  <si>
    <t>ফসলের তুলনায় আগাছা বেশি</t>
  </si>
  <si>
    <t>Paddy onefold, weeds hundredfold—unwanted grows fast.</t>
  </si>
  <si>
    <t>অনুপাত</t>
  </si>
  <si>
    <t>ধান খায় কাকে, ব্যাঙের পায়ে দড়ি</t>
  </si>
  <si>
    <t>ধান খায় কাক, ব্যাঙের পায়ে দড়ি</t>
  </si>
  <si>
    <t>অপরাধী ভিন্ন, শাস্তি ভিন্ন</t>
  </si>
  <si>
    <t>The crow eats paddy, the frog gets tied.</t>
  </si>
  <si>
    <t>ধানগাছের কড়ি</t>
  </si>
  <si>
    <t>ধানগাছের শিকড়ে গুটি; তুচ্ছ</t>
  </si>
  <si>
    <t>A paddy root nodule—trifle.</t>
  </si>
  <si>
    <t>ধান দিয়ে লেখাপড়া শেখা</t>
  </si>
  <si>
    <t>সামান্য উপকরণে শিক্ষা</t>
  </si>
  <si>
    <t>Learning to write on paddy—primitive.</t>
  </si>
  <si>
    <t>ধান নাই চাল নাই, আন্দিরাম মহাজন</t>
  </si>
  <si>
    <t>ধান নেই, চাল নেই, আন্দিরাম মহাজন</t>
  </si>
  <si>
    <t>নিঃস্ব অবস্থায় বড় পদ</t>
  </si>
  <si>
    <t>No rice, no grain, yet Andiram is a banker—empty title.</t>
  </si>
  <si>
    <t>ধান ভানতে শিবের গীত</t>
  </si>
  <si>
    <t>প্রসঙ্গবহির্ভূত কথা; অপ্রাসঙ্গিক</t>
  </si>
  <si>
    <t>While husking paddy, singing Shiva's song—off-topic.</t>
  </si>
  <si>
    <t>ধানের আগে উড়ি ফুলে</t>
  </si>
  <si>
    <t>শুরু হওয়ার আগেই ফল</t>
  </si>
  <si>
    <t>The husk flowers before the paddy—premature.</t>
  </si>
  <si>
    <t>অকালপক্কতা</t>
  </si>
  <si>
    <t>ধান্য তার বসুন্ধরা যার</t>
  </si>
  <si>
    <t>ধান্য তার, বসুন্ধরা (পৃথিবী) যার</t>
  </si>
  <si>
    <t>জমির মালিকই ফসলের মালিক</t>
  </si>
  <si>
    <t>The landowner owns the paddy.</t>
  </si>
  <si>
    <t>ধান্যবৃক্ষ চেনেন না?</t>
  </si>
  <si>
    <t>কৃষকও ধানগাছ চেনে না? অজ্ঞ</t>
  </si>
  <si>
    <t>Don't know the paddy plant?—ignorant.</t>
  </si>
  <si>
    <t>ধামাধরা মানুষ</t>
  </si>
  <si>
    <t>ধামাধরা (তোষামোদে ধরা) মানুষ</t>
  </si>
  <si>
    <t>চাটুকার; পরের মন জোগানো</t>
  </si>
  <si>
    <t>A person caught by flattery—pleaser.</t>
  </si>
  <si>
    <t>ধার করা জামা কখনও গায়ের মাপের হয় না</t>
  </si>
  <si>
    <t>ধার করা জামা গায়ে মাপ হয় না</t>
  </si>
  <si>
    <t>অন্যের জিনিস নিজের নয়</t>
  </si>
  <si>
    <t>A borrowed coat never fits well.</t>
  </si>
  <si>
    <t>ধার করে খায়, হেঁট মাথায় যায়</t>
  </si>
  <si>
    <t>ঋণে জীবন লাঞ্ছিত</t>
  </si>
  <si>
    <t>One who eats by borrowing walks with head down—shame.</t>
  </si>
  <si>
    <t>ঋণী</t>
  </si>
  <si>
    <t>ধারে কাটে আর ভারে কাট১ে</t>
  </si>
  <si>
    <t>ধারে কাটে, আর ভারে কাটে</t>
  </si>
  <si>
    <t>দুইভাবে আঘাত; বা দক্ষতা</t>
  </si>
  <si>
    <t>Cuts by edge and by weight—effective.</t>
  </si>
  <si>
    <t>ধিয়া পশ্যতি পণ্ডিতঃ, ভূতে পশ্যতি বর্বরা</t>
  </si>
  <si>
    <t>জ্ঞানী বুদ্ধিতে দেখে, বর্বর অতীতে/ভূতে দেখে</t>
  </si>
  <si>
    <t>জ্ঞানী যুক্তি দিয়ে দেখে</t>
  </si>
  <si>
    <t>The wise see with intellect; the foolish with past/spirits.</t>
  </si>
  <si>
    <t>বর্বর</t>
  </si>
  <si>
    <t>ধীর কিন্তু স্থিরগতি দৌড়ে জয়ী হয়</t>
  </si>
  <si>
    <t>ধীর কিন্তু স্থিরগতি দৌড়ে জেতে</t>
  </si>
  <si>
    <t>ধীরে ও স্থিরভাবে এগোলে জয়</t>
  </si>
  <si>
    <t>Slow but steady wins the race.</t>
  </si>
  <si>
    <t>ধীরগতি নদীর গভীরতা বেশি</t>
  </si>
  <si>
    <t>ধীর গতির নদী গভীর</t>
  </si>
  <si>
    <t>গম্ভীর মানুষ জ্ঞানী</t>
  </si>
  <si>
    <t>A slow river is deep.</t>
  </si>
  <si>
    <t>ধীরগতিতে বৃদ্ধির জন্য কোন চিন্তা করো না, শুধু চিন্তা করো স্থির দাঁড়িয়ে পড়লে কিনা</t>
  </si>
  <si>
    <t>ধীরে বৃদ্ধির জন্য চিন্তা নয়, থেমে পড়া চিন্তার</t>
  </si>
  <si>
    <t>ধীরে চললেও থামা যাবে না</t>
  </si>
  <si>
    <t>Don't worry about slow growth, only about standing still.</t>
  </si>
  <si>
    <t>ধীর জল/পানি পাথর কাটে</t>
  </si>
  <si>
    <t>ধীর জল পাথর কাটে</t>
  </si>
  <si>
    <t>ধৈর্য দিয়ে কঠিন কাজ</t>
  </si>
  <si>
    <t>Slow water cuts stone.</t>
  </si>
  <si>
    <t>ধীরে হাঁটে বসে না তার সাথে কেউ আঁটে না</t>
  </si>
  <si>
    <t>ধীরে হাঁটে, থামে না, তার সাথে কেউ পেরে ওঠে না</t>
  </si>
  <si>
    <t>স্থির অগ্রগতি জয় আনে</t>
  </si>
  <si>
    <t>One who walks slowly but doesn't stop, none can match.</t>
  </si>
  <si>
    <t>ধুকড়ির (মোটা সুতোর থলি) মধ্যে খাসা চাল</t>
  </si>
  <si>
    <t>ধুকড়ির মধ্যে খাসা চাল</t>
  </si>
  <si>
    <t>Fine rice in a coarse bag—mismatch.</t>
  </si>
  <si>
    <t>ধুলো-মুঠো ধরলে সোনা-মুঠো হয়</t>
  </si>
  <si>
    <t>ধুলো মুঠো ধরলে সোনা মুঠো হয়</t>
  </si>
  <si>
    <t>ভাগ্যবানের হাতে সব সোনা</t>
  </si>
  <si>
    <t>If a lucky person grabs dust, it turns to gold.</t>
  </si>
  <si>
    <t>ধুন্ধুমারকাণ্ড</t>
  </si>
  <si>
    <t>ধুন্ধুমার কাণ্ড</t>
  </si>
  <si>
    <t>ভয়ানক ঝগড়া/বিশৃঙ্খলা</t>
  </si>
  <si>
    <t>A great uproar/chaos.</t>
  </si>
  <si>
    <t>ধূপ নিজে পুড়ে অপরকে গন্ধ বিলায়</t>
  </si>
  <si>
    <t>ধূপ নিজে পুড়ে অন্যকে সুবাস দেয়</t>
  </si>
  <si>
    <t>নিজে কষ্ট করে পরের উপকার</t>
  </si>
  <si>
    <t>Incense burns itself to give fragrance to others—sacrifice.</t>
  </si>
  <si>
    <t>ধূর্তে ধূর্তে ধূর্তামি</t>
  </si>
  <si>
    <t>দুই ধূর্তের লড়াই</t>
  </si>
  <si>
    <t>Cunning against cunning—trickery.</t>
  </si>
  <si>
    <t>ধেনো হাটে ওল নামানো</t>
  </si>
  <si>
    <t>অপ্রাসঙ্গিক জিনিস বিক্রি</t>
  </si>
  <si>
    <t>Selling ol in a cattle market—out of place.</t>
  </si>
  <si>
    <t>ধেয়ে ধেপে বারো, বসে মারে তেরো</t>
  </si>
  <si>
    <t>ধেয়ে ধেয়ে বারো, বসে মারে তেরো</t>
  </si>
  <si>
    <t>অস্থিরতা থেকে স্থিরতা ভালো</t>
  </si>
  <si>
    <t>Rushing gives twelve, but patience gives thirteen.</t>
  </si>
  <si>
    <t>ধৈর্যশীলতা হল উদ্বেগ-নিরসনের চাবিকাঠি</t>
  </si>
  <si>
    <t>ধৈর্য উদ্বেগের চাবিকাঠি</t>
  </si>
  <si>
    <t>ধৈর্যই দুশ্চিন্তা কমায়</t>
  </si>
  <si>
    <t>Patience is the key to eliminating worry.</t>
  </si>
  <si>
    <t>ধোঁয়া চাপা থাকে না</t>
  </si>
  <si>
    <t>Smoke cannot be suppressed.</t>
  </si>
  <si>
    <t>ধোঁয়া থাকলে আগুন  আছে</t>
  </si>
  <si>
    <t>ধোঁয়া থাকলে আগুন আছে</t>
  </si>
  <si>
    <t>লক্ষণ দেখলে কারণ আছে</t>
  </si>
  <si>
    <t>Where there's smoke, there's fire.</t>
  </si>
  <si>
    <t>ধোঁয়ার হাত এড়াতে গিয়ে আগুনে পুড়ে মরা</t>
  </si>
  <si>
    <t>ধোঁয়া এড়াতে গিয়ে আগুনে পোড়া</t>
  </si>
  <si>
    <t>এক বিপদ এড়াতে গিয়ে আরেক বিপদ</t>
  </si>
  <si>
    <t>Avoiding smoke, got burned by fire.</t>
  </si>
  <si>
    <t>ধোপা-ভাঁড়ারী/ভাণ্ডারী১</t>
  </si>
  <si>
    <t>ধোপা-ভাঁড়ারী</t>
  </si>
  <si>
    <t>একগোঁয়া, যুক্তি মানে না</t>
  </si>
  <si>
    <t>A washerman-storekeeper—stubborn.</t>
  </si>
  <si>
    <t>ধোপা-ভাঁড়ারী/ভাণ্ডারী২</t>
  </si>
  <si>
    <t>ধোপা-ভাঁড়ারী (দ্বিতীয়)</t>
  </si>
  <si>
    <t>নিজের পেশায় অটল</t>
  </si>
  <si>
    <t>Stubborn as a laundryman.</t>
  </si>
  <si>
    <t>ধ্বনির অনুরূপ প্রতিধ্বনি আছে/থাকে</t>
  </si>
  <si>
    <t>ধ্বনির অনুরূপ প্রতিধ্বনি আছে</t>
  </si>
  <si>
    <t>যেমন কাজ তেমন ফল</t>
  </si>
  <si>
    <t>There is an echo corresponding to the sound.</t>
  </si>
  <si>
    <t>ধ্রুবসত্য</t>
  </si>
  <si>
    <t>চিরস্থায়ী সত্য</t>
  </si>
  <si>
    <t>Eternal truth.</t>
  </si>
  <si>
    <t>ন অহংকারাৎ পরোরিপুঃ</t>
  </si>
  <si>
    <t>অহংকারের চেয়ে বড় শত্রু নেই</t>
  </si>
  <si>
    <t>অহংকার সবচেয়ে বড় শত্রু</t>
  </si>
  <si>
    <t>There is no enemy greater than pride.</t>
  </si>
  <si>
    <t>ন অসমীক্ষ্য পরং স্থানং পূর্বমায়তনং ত্যজেৎ</t>
  </si>
  <si>
    <t>ভালো জায়গা না দেখে পুরনো স্থান ছাড়বে না</t>
  </si>
  <si>
    <t>নিশ্চিত না হয়ে পুরনো ছাড়বে না</t>
  </si>
  <si>
    <t>Don't leave your old home without examining the new place.</t>
  </si>
  <si>
    <t>নকল গয়নার জেল্লা বেশি</t>
  </si>
  <si>
    <t>নকল গহনার ঝলক বেশি</t>
  </si>
  <si>
    <t>ভণ্ডের আড়ম্বর বেশি</t>
  </si>
  <si>
    <t>Imitation jewelry shines more—pretense.</t>
  </si>
  <si>
    <t>ন কশ্চিৎ কস্যচিন্মিত্রং ন কশ্চিৎ কস্যচিদ্রিপুঃ</t>
  </si>
  <si>
    <t>কেউ কারো বন্ধু নয়, কেউ কারো শত্রু নয়</t>
  </si>
  <si>
    <t>ব্যবহারে বন্ধু-শত্রু</t>
  </si>
  <si>
    <t>No one is another's friend or enemy.</t>
  </si>
  <si>
    <t>ন কাষায়ৈর্ভবেৎ যতি (সাধু)</t>
  </si>
  <si>
    <t>কাষায় (গেরুয়া) বস্ত্রে সাধু হয় না</t>
  </si>
  <si>
    <t>ভেক ধরে সাধু হয় না</t>
  </si>
  <si>
    <t>By ochre robes alone one doesn't become a saint.</t>
  </si>
  <si>
    <t>নক্ষত্রভূষণং চন্দ্রো নারীণাং ভূষণং পতিঃ</t>
  </si>
  <si>
    <t>চাঁদ নক্ষত্রের ভূষণ, স্ত্রীর ভূষণ স্বামী</t>
  </si>
  <si>
    <t>স্বামীই স্ত্রীর সৌন্দর্য</t>
  </si>
  <si>
    <t>The moon adorns the stars; the husband adorns the wife.</t>
  </si>
  <si>
    <t>নখের ছিদ্রে কুড়াল লাগানো</t>
  </si>
  <si>
    <t>সামান্য সুযোগে বড় ক্ষতি</t>
  </si>
  <si>
    <t>Driving an axe into a nail hole—overkill.</t>
  </si>
  <si>
    <t>ন গণস্যাগ্রতো গচ্ছেৎ</t>
  </si>
  <si>
    <t>গণের আগে যাবে না</t>
  </si>
  <si>
    <t>দলের আগে চলবে না</t>
  </si>
  <si>
    <t>Don't walk ahead of a crowd—don't lead blindly.</t>
  </si>
  <si>
    <t>নগর পুড়িলে কি দেবালয় এড়ায়?</t>
  </si>
  <si>
    <t>নগর পুড়লে দেবালয় কি বাঁচে?</t>
  </si>
  <si>
    <t>বিপদ এলে কেউ বাদ যায় না</t>
  </si>
  <si>
    <t>When the city burns, does the temple escape?</t>
  </si>
  <si>
    <t>ন চ অপত্যসমঃ স্নেহঃ</t>
  </si>
  <si>
    <t>সন্তানের মতো স্নেহ নেই</t>
  </si>
  <si>
    <t>সন্তানস্নেহ শ্রেষ্ঠ</t>
  </si>
  <si>
    <t>There is no affection like that for one's child.</t>
  </si>
  <si>
    <t>ন চ দৈবাৎ পরং বলম্</t>
  </si>
  <si>
    <t>দৈবের চেয়ে বড় শক্তি নেই</t>
  </si>
  <si>
    <t>ভাগ্য সবচেয়ে শক্তিশালী</t>
  </si>
  <si>
    <t>There is no power greater than fate.</t>
  </si>
  <si>
    <t>ন চ বিদ্যাসমো বন্ধুঃ</t>
  </si>
  <si>
    <t>বিদ্যার মতো বন্ধু নেই</t>
  </si>
  <si>
    <t>জ্ঞানই শ্রেষ্ঠ বন্ধু</t>
  </si>
  <si>
    <t>There is no friend like knowledge.</t>
  </si>
  <si>
    <t>ন চ ব্যাধিসমো রিপুঃ</t>
  </si>
  <si>
    <t>ব্যাধির মতো শত্রু নেই</t>
  </si>
  <si>
    <t>রোগ সবচেয়ে বড় শত্রু</t>
  </si>
  <si>
    <t>There is no enemy like disease.</t>
  </si>
  <si>
    <t>নজরে থাকা কড়ার দুধ উথলায় না</t>
  </si>
  <si>
    <t>যে কড়াই চোখে থাকে, তার দুধ ফুটে ওঠে না</t>
  </si>
  <si>
    <t>তদারকি করলে কাজ এগোয়</t>
  </si>
  <si>
    <t>Milk watched never boils over—attention prevents.</t>
  </si>
  <si>
    <t>ন জাতু কামঃ কামানামুপভোগেন শাম্যতি</t>
  </si>
  <si>
    <t>কামনা ভোগে শান্ত হয় না</t>
  </si>
  <si>
    <t>আকাঙ্ক্ষা ভোগে বাড়ে</t>
  </si>
  <si>
    <t>Desire never ends by indulgence.</t>
  </si>
  <si>
    <t>নড়া দাঁত পড়া ভাল</t>
  </si>
  <si>
    <t>নড়া দাঁত পড়ে যাওয়া ভালো</t>
  </si>
  <si>
    <t>ব্যর্থ জিনিস ছেড়ে দেওয়া ভালো</t>
  </si>
  <si>
    <t>Better a loose tooth falls out.</t>
  </si>
  <si>
    <t>নড়তে চড়তে বারো মাস</t>
  </si>
  <si>
    <t>সারাবছর ব্যস্ততা</t>
  </si>
  <si>
    <t>Twelve months of moving—busy.</t>
  </si>
  <si>
    <t>নড়তে পারে না কামান ঘাড়ে</t>
  </si>
  <si>
    <t>নড়তে পারে না, কামান ঘাড়ে</t>
  </si>
  <si>
    <t>অক্ষমের বড় বোঝা</t>
  </si>
  <si>
    <t>Can't move, yet carries a cannon—incongruous.</t>
  </si>
  <si>
    <t>নড়ির হাতে শালগ্রামের বিনাশ</t>
  </si>
  <si>
    <t>নড়ির হাতে শালগ্রাম নাশ</t>
  </si>
  <si>
    <t>অযোগ্যের হাতে মূল্যবান নষ্ট</t>
  </si>
  <si>
    <t>Destruction of Shaligram by a blind man's hand.</t>
  </si>
  <si>
    <t>নতুন নতুন খইয়ের মোয়া মচমচ করে</t>
  </si>
  <si>
    <t>নতুন জিনিস ভালো লাগে</t>
  </si>
  <si>
    <t>Fresh puffed rice cake is crunchy—new is appealing.</t>
  </si>
  <si>
    <t>নতুন নতুন ন'কড়া, পুরানো হলোে ছ'কড়া</t>
  </si>
  <si>
    <t>নতুন নতুন নয় কড়া, পুরনো হলে ছয় কড়া</t>
  </si>
  <si>
    <t>নতুনের দাম বেশি, পুরনোর কম</t>
  </si>
  <si>
    <t>New thing nine pence, old six pence—value decays.</t>
  </si>
  <si>
    <t>নতুনযোগী ভিখ পায় না</t>
  </si>
  <si>
    <t>নতুন যোগী ভিক্ষা পায় না</t>
  </si>
  <si>
    <t>নতুন লোকের কদর নেই</t>
  </si>
  <si>
    <t>নদী এক কূল ভাঙে আরেক কূল গড়ে</t>
  </si>
  <si>
    <t>নদী এক কূল ভাঙে, আরেক কূল গড়ে</t>
  </si>
  <si>
    <t>প্রকৃতির ভারসাম্য</t>
  </si>
  <si>
    <t>A river erodes one bank and builds another.</t>
  </si>
  <si>
    <t>নদীকূলে চ যে বৃক্ষা, পরহহস্তগতং ধনম, কার্যং স্ত্রীগোচরং যেৎ স্যাৎ সর্বং তদ্বিফলং ভবেৎ</t>
  </si>
  <si>
    <t>নদীকূলের বৃক্ষ, পরহস্তগত ধন, স্ত্রীগোচর কর্ম—সব বিফল</t>
  </si>
  <si>
    <t>এই তিনটি জিনিস অসার/অস্থায়ী</t>
  </si>
  <si>
    <t>A tree on a riverbank, wealth in another's hand, a task entrusted to a woman—all are fruitless.</t>
  </si>
  <si>
    <t>স্ত্রী (অবিশ্বাস)</t>
  </si>
  <si>
    <t>নদী দুকূল ভাঙে না</t>
  </si>
  <si>
    <t>নদী দুই কূল ভাঙে না</t>
  </si>
  <si>
    <t>প্রকৃতি ভারসাম্য রক্ষা করে</t>
  </si>
  <si>
    <t>A river doesn't break both banks.</t>
  </si>
  <si>
    <t>নদী না শুকালে জলের মূল্য জানা যায় না</t>
  </si>
  <si>
    <t>নদী শুকালে জলের মূল্য বোঝা যায়</t>
  </si>
  <si>
    <t>অভাবে মূল্য বোঝা যায়</t>
  </si>
  <si>
    <t>One doesn't know the value of water until the river dries.</t>
  </si>
  <si>
    <t>নদী, নারী, শৃঙ্গধারি, এই তিনে বিশ্বাস না করি</t>
  </si>
  <si>
    <t>নদী, নারী, শিংওয়ালা জন্তু—এই তিনে বিশ্বাস নয়</t>
  </si>
  <si>
    <t>এই তিনটি বিপজ্জনক</t>
  </si>
  <si>
    <t>Trust not river, woman, and horned beast.</t>
  </si>
  <si>
    <t>নদী পার হলে কুমিরকে কলা</t>
  </si>
  <si>
    <t>নদী পার হয়ে কুমিরকে কলা</t>
  </si>
  <si>
    <t>বিপদ কেটে গেলে তুচ্ছ করা</t>
  </si>
  <si>
    <t>After crossing the river, offer a banana to the croc.</t>
  </si>
  <si>
    <t>নদী শুখালেও রেখা থাকে১</t>
  </si>
  <si>
    <t>নদী শুকালেও রেখা থাকে</t>
  </si>
  <si>
    <t>কৃতকর্মের চিহ্ন</t>
  </si>
  <si>
    <t>Even dried rivers leave marks.</t>
  </si>
  <si>
    <t>চিহ্ন</t>
  </si>
  <si>
    <t>নদী শুখালেও রেখা থাকে২</t>
  </si>
  <si>
    <t>নদী শুকালেও রেখা থাকে (দ্বিতীয়)</t>
  </si>
  <si>
    <t>স্মৃতি থেকে যায়</t>
  </si>
  <si>
    <t>Dried river still leaves a trace.</t>
  </si>
  <si>
    <t>নদীকে অনুসুরণ কর, সমুদ্রে পৌঁছে যাবে</t>
  </si>
  <si>
    <t>নদীকে অনুসরণ কর, সমুদ্রে পৌঁছাবে</t>
  </si>
  <si>
    <t>বড়কে অনুসরণে লক্ষ্য</t>
  </si>
  <si>
    <t>Follow the river and you'll reach the sea.</t>
  </si>
  <si>
    <t>নদীর এপার কহে ছাড়িয়া নিঃশ্বাস ওপারেতে সর্বসুখ আমার বিশ্বাস; নদীর ওপার বসি দীর্ঘশ্বাস ছাড়ে; কহে, যাহা কিছু সুখ সকলি ওপারে'-রবীন্দ্রনাথ</t>
  </si>
  <si>
    <t>নদীর এপার ছাড়িয়া নিঃশ্বাস, ওপারে সুখ বিশ্বাস; ওপার থেকে দীর্ঘশ্বাস, সুখ সব ওপারে</t>
  </si>
  <si>
    <t>সুখের খোঁজে অসন্তোষ</t>
  </si>
  <si>
    <t>The near bank sighs, believing all joy is across; the far bank sighs, saying all joy is over there.</t>
  </si>
  <si>
    <t>অসন্তোষ</t>
  </si>
  <si>
    <t>নদীর জল ঘোলাও ভালো, জাতের মেয়ে কালোও ভালো (খনা)</t>
  </si>
  <si>
    <t>নদীর জল ঘোলাও ভালো, জাতের মেয়ে কালোও ভালো</t>
  </si>
  <si>
    <t>নিজের জিনিস সব ভালো</t>
  </si>
  <si>
    <t>River water even muddy is good; a girl of one's own caste even dark is good.</t>
  </si>
  <si>
    <t>মেয়ে/নারী</t>
  </si>
  <si>
    <t>নদীর মুখে বালির বাঁধ</t>
  </si>
  <si>
    <t>অস্থায়ী প্রতিরোধ</t>
  </si>
  <si>
    <t>A sand dam at the river mouth—futile.</t>
  </si>
  <si>
    <t>ন দেবঃ সৃষ্টিনাশক</t>
  </si>
  <si>
    <t>দেবতা সৃষ্টি নাশ করেন না</t>
  </si>
  <si>
    <t>সৃষ্টি রক্ষাই ধর্ম</t>
  </si>
  <si>
    <t>God does not destroy creation.</t>
  </si>
  <si>
    <t>নদের চাঁদ</t>
  </si>
  <si>
    <t>অতি সুন্দর; প্রশংসা</t>
  </si>
  <si>
    <t>The moon of the river—very handsome.</t>
  </si>
  <si>
    <t>ন ধর্মবৃদ্ধেষু বয়ঃ সমীক্ষ্যতে</t>
  </si>
  <si>
    <t>ধর্মবৃদ্ধের বয়স দেখা হয় না</t>
  </si>
  <si>
    <t>জ্ঞানীর বয়স বিচার নয়</t>
  </si>
  <si>
    <t>In the righteous, age is not considered.</t>
  </si>
  <si>
    <t>ননদেরও ননদ আছে</t>
  </si>
  <si>
    <t>Even the sister-in-law has a sister-in-law.</t>
  </si>
  <si>
    <t>ননদ (নারী)</t>
  </si>
  <si>
    <t>ন নিম্বো মধুরায়তে</t>
  </si>
  <si>
    <t>নিম কখনো মিষ্টি হয় না</t>
  </si>
  <si>
    <t>Neem never becomes sweet.</t>
  </si>
  <si>
    <t>ননীর পুতুল নয় যে রোদে গলে যাবে</t>
  </si>
  <si>
    <t>সহজে দুর্বল নয়</t>
  </si>
  <si>
    <t>Not a butter doll that will melt in the sun.</t>
  </si>
  <si>
    <t>নবং বস্ত্রং, নবং ছত্রং নব্যা স্ত্রী নুতনং গৃহম, সর্বত্র নুতনং শস্তং সেবকায়ে পুরাতনে</t>
  </si>
  <si>
    <t>নতুন বস্ত্র, নতুন ছাতা, নতুন স্ত্রী, নতুন গৃহ—সব নতুন ভালো, কেবল সেবক পুরাতন ভালো</t>
  </si>
  <si>
    <t>সেবক ছাড়া নতুন জিনিস ভালো</t>
  </si>
  <si>
    <t>New clothes, new umbrella, new wife, new house—all new are good; only an old servant is best.</t>
  </si>
  <si>
    <t>নবকুমারকে বাঘে খায়</t>
  </si>
  <si>
    <t>নতুনকে বিপদে ফেলা</t>
  </si>
  <si>
    <t>The new boy is taken by the tiger—naive.</t>
  </si>
  <si>
    <t>নতুন/অভিজ্ঞতাহীন</t>
  </si>
  <si>
    <t>নবাব খাঞ্জাখান/ নবাব সিরাজদ্দৌলা</t>
  </si>
  <si>
    <t>নবাব খাঞ্জাখান/সিরাজদ্দৌলা</t>
  </si>
  <si>
    <t>নবাবি চাল; বিলাসী</t>
  </si>
  <si>
    <t>Like Nawab Siraj-ud-Daulah—luxurious.</t>
  </si>
  <si>
    <t>ন বিশ্বসেদবিশ্বস্তে মিত্রে চাপি ন বিশ্বসেৎ</t>
  </si>
  <si>
    <t>অবিশ্বস্তকে বিশ্বাস নয়, মিত্রকেও অতিরিক্ত বিশ্বাস নয়</t>
  </si>
  <si>
    <t>সন্দেহ নিয়ন্ত্রণ</t>
  </si>
  <si>
    <t>Don't trust the untrustworthy; nor trust even a friend too much.</t>
  </si>
  <si>
    <t>নয় দ্বার মাগিলেও যা সাত দ্বার মাগিলেও তা১</t>
  </si>
  <si>
    <t>নয় দরজায় ভিক্ষা করলেও যা, সাত দরজায়ও তা</t>
  </si>
  <si>
    <t>একই ফল; বেশি চেষ্টায় লাভ নেই</t>
  </si>
  <si>
    <t>Same outcome whether begging at nine doors or seven.</t>
  </si>
  <si>
    <t>নয় দ্বার মাগিলেও যা সাত দ্বার মাগিলেও তা২</t>
  </si>
  <si>
    <t>নয় দরজায়ও যা, সাত দরজায়ও তা (দ্বিতীয়)</t>
  </si>
  <si>
    <t>কর্মে বিশেষ পার্থক্য নেই</t>
  </si>
  <si>
    <t>No difference between nine doors and seven.</t>
  </si>
  <si>
    <t>ন যযৌ, ন তস্থৌ</t>
  </si>
  <si>
    <t>যায় না, থাকে না</t>
  </si>
  <si>
    <t>দ্বিধা; কোথাও ঠাঁই নেই</t>
  </si>
  <si>
    <t>Neither went nor stayed—suspense.</t>
  </si>
  <si>
    <t>নরক গুলজার২</t>
  </si>
  <si>
    <t>নরক গুলজার (দ্বিতীয়)</t>
  </si>
  <si>
    <t>খারাপ জায়গা ভালো দেখা</t>
  </si>
  <si>
    <t>Hell flourishing—sarcasm.</t>
  </si>
  <si>
    <t>নরকের দ্বার খোলা</t>
  </si>
  <si>
    <t>পাপের পথ প্রশস্ত</t>
  </si>
  <si>
    <t>The gates of hell are open.</t>
  </si>
  <si>
    <t>নরমকাঠে ছুতোরের কারিগরি/বল</t>
  </si>
  <si>
    <t>নরম কাঠে ছুতোরের বল</t>
  </si>
  <si>
    <t>সহজ কাজে দক্ষতা দেখায়</t>
  </si>
  <si>
    <t>A carpenter's strength on soft wood.</t>
  </si>
  <si>
    <t>নরম মাটিতে বেড়াল আঁচড়ায়</t>
  </si>
  <si>
    <t>নরম মাটিতে বিড়াল আঁচড়ায়</t>
  </si>
  <si>
    <t>সুযোগ পেলে দুর্বলও কিছু করে</t>
  </si>
  <si>
    <t>A cat scratches soft soil—opportunist.</t>
  </si>
  <si>
    <t>নরমের বাঘ গরমের শিয়াল</t>
  </si>
  <si>
    <t>নরমের বাঘ, গরমের শিয়াল</t>
  </si>
  <si>
    <t>সুযোগ পেলে বীর, বিপদে ভীরু</t>
  </si>
  <si>
    <t>Tiger to the soft, fox to the hot—bully.</t>
  </si>
  <si>
    <t>নরুণে তালগাছ কাটা</t>
  </si>
  <si>
    <t>নরুণ (ক্ষুর) দিয়ে তালগাছ কাটা</t>
  </si>
  <si>
    <t>Cutting a palm tree with a penknife—impossible.</t>
  </si>
  <si>
    <t>নরের মন নারায়ণ জানেন</t>
  </si>
  <si>
    <t>মানুষের মন নারায়ণ জানেন</t>
  </si>
  <si>
    <t>ঈশ্বরই মন জানেন</t>
  </si>
  <si>
    <t>Narayana knows the human mind.</t>
  </si>
  <si>
    <t>ন স্বয়ং দৈবমাদত্তে পুরুষার্থমপেক্ষতে</t>
  </si>
  <si>
    <t>দৈব নিজে কিছু নেয় না, পুরুষার্থ চায়</t>
  </si>
  <si>
    <t>ভাগ্য কর্মের ওপর</t>
  </si>
  <si>
    <t>Fate itself doesn't act; it awaits human effort.</t>
  </si>
  <si>
    <t>ন সুখং দুঃখৈর্বিনা লভিতে</t>
  </si>
  <si>
    <t>দুঃখ ছাড়া সুখ মেলে না</t>
  </si>
  <si>
    <t>সুখের জন্য দুঃখ</t>
  </si>
  <si>
    <t>No happiness is gained without sorrow.</t>
  </si>
  <si>
    <t>ন স্ত্রী স্বাতন্ত্র্যমর্হতি</t>
  </si>
  <si>
    <t>স্ত্রী স্বাধীনতা পায় না</t>
  </si>
  <si>
    <t>নারীর স্বাধীনতা নেই—কুসংস্কার</t>
  </si>
  <si>
    <t>Women do not deserve independence—misogynistic.</t>
  </si>
  <si>
    <t>স্ত্রী/নারী</t>
  </si>
  <si>
    <t>ন হি অবিদ্বান জানাতি বিদ্যোর্জনপরিশ্রমম</t>
  </si>
  <si>
    <t>অবিদ্বান বিদ্বানের পরিশ্রম বোঝে না</t>
  </si>
  <si>
    <t>মূর্খ জ্ঞানীর কষ্ট বোঝে না</t>
  </si>
  <si>
    <t>The ignorant know not the toil of the learned.</t>
  </si>
  <si>
    <t>ন হি দুস্করমন্তীহ কিঞ্চিৎ অধ্যবসায়িনাম</t>
  </si>
  <si>
    <t>অধ্যবসায়ীদের কাছে কিছুই কঠিন নয়</t>
  </si>
  <si>
    <t>পরিশ্রমে সব সম্ভব</t>
  </si>
  <si>
    <t>For the persevering, nothing is difficult.</t>
  </si>
  <si>
    <t>ন হি তাপয়িতুং শক্যং সাগরম্ভিস্তৃণোন্ধয়</t>
  </si>
  <si>
    <t>তৃণ দিয়ে সাগর উত্তপ্ত করা যায় না</t>
  </si>
  <si>
    <t>সামান্যে বিরাট কাজ নয়</t>
  </si>
  <si>
    <t>The ocean cannot be heated with a blade of grass.</t>
  </si>
  <si>
    <t>ন হি বন্ধ্যা বিজানিয়াৎ গুর্বী প্রসববেদনা</t>
  </si>
  <si>
    <t>বন্ধ্যা নারী গর্ভবতীর প্রসববেদনা বোঝে না</t>
  </si>
  <si>
    <t>অভিজ্ঞতা না থাকলে বোঝে না</t>
  </si>
  <si>
    <t>A barren woman cannot understand labor pain.</t>
  </si>
  <si>
    <t>ন হি সর্ববিদ্ঃ সর্বে</t>
  </si>
  <si>
    <t>সবাই সব জানে না</t>
  </si>
  <si>
    <t>সবজ্ঞানী কেউ নয়</t>
  </si>
  <si>
    <t>Not everyone is all-knowing.</t>
  </si>
  <si>
    <t>ন হি সুপ্তস্য সিংহস্য মুখে প্রবিশন্তি মৃগাঃ</t>
  </si>
  <si>
    <t>ঘুমন্ত সিংহের মুখে হরিণ ঢোকে না</t>
  </si>
  <si>
    <t>সুযোগ পেলে শিকার; অলস সিংহ পায় না</t>
  </si>
  <si>
    <t>No deer enters a sleeping lion's mouth—opportunity favors the active.</t>
  </si>
  <si>
    <t>না আঁচালে বিশ্বাস নেই</t>
  </si>
  <si>
    <t>পরীক্ষা না করলে বিশ্বাস নেই</t>
  </si>
  <si>
    <t>যাচাই না করলে বিশ্বাস নয়</t>
  </si>
  <si>
    <t>Trust not without testing.</t>
  </si>
  <si>
    <t>নাই কাজ তো খই ভাজ</t>
  </si>
  <si>
    <t>কাজ নেই তো খই ভাজ</t>
  </si>
  <si>
    <t>অলস সময়ে ছোট কাজ</t>
  </si>
  <si>
    <t>If no work, fry puffed rice.</t>
  </si>
  <si>
    <t>নাই ঘরে খাই বড়/বেশী১</t>
  </si>
  <si>
    <t>ঘরে নেই, তবু খাই বেশি</t>
  </si>
  <si>
    <t>অভাব সত্ত্বেও ভোগ</t>
  </si>
  <si>
    <t>No food at home, yet eat much—pretension.</t>
  </si>
  <si>
    <t>নাই ঘরে খাই বড়/বেশী২</t>
  </si>
  <si>
    <t>ঘরে নেই, খাই বেশি (দ্বিতীয়)</t>
  </si>
  <si>
    <t>দারিদ্র্যে বড়াই</t>
  </si>
  <si>
    <t>No rice at home, but brag about eating.</t>
  </si>
  <si>
    <t>নাই (লাই) দিলে কুকুর কাঁধে/ঘাড়ে চড়ে</t>
  </si>
  <si>
    <t>লাই (আদর) দিলে কুকুর কাঁধে চড়ে</t>
  </si>
  <si>
    <t>প্রশ্রয়ে দুর্বৃত্ত</t>
  </si>
  <si>
    <t>Give a dog affection, it climbs on your shoulder.</t>
  </si>
  <si>
    <t>নাই বললে সাপেরও বিষ থাকে না</t>
  </si>
  <si>
    <t>না' বললে সাপেরও বিষ নেই</t>
  </si>
  <si>
    <t>বিনয়ী উত্তর ক্রোধ দমন</t>
  </si>
  <si>
    <t>By saying 'no', even a snake's poison is gone.</t>
  </si>
  <si>
    <t>না উঠতেই এককাঁদি</t>
  </si>
  <si>
    <t>গাছে না উঠতেই এক কাঁদি</t>
  </si>
  <si>
    <t>শুরুর আগেই ফলের আশা</t>
  </si>
  <si>
    <t>Claiming a bunch before climbing.</t>
  </si>
  <si>
    <t>না কথার বালাই নাই</t>
  </si>
  <si>
    <t>না' বলার কোনো বালাই নেই</t>
  </si>
  <si>
    <t>অনিচ্ছা নেই; সব রাজি</t>
  </si>
  <si>
    <t>No trouble of 'no'—always yes.</t>
  </si>
  <si>
    <t>নাকফোঁড়া বলদ</t>
  </si>
  <si>
    <t>নিয়ন্ত্রিত; বাধ্য</t>
  </si>
  <si>
    <t>A nose-pierced bull—controlled.</t>
  </si>
  <si>
    <t>নাকে সরষের তেল দিয়ে ঘুমানো</t>
  </si>
  <si>
    <t>নাকে সরিষার তেল দিয়ে ঘুমানো</t>
  </si>
  <si>
    <t>নিশ্চিন্তে ঘুম; কোন চিন্তা নেই</t>
  </si>
  <si>
    <t>Sleeping with mustard oil in the nose—deep sleep.</t>
  </si>
  <si>
    <t>না খেলে যাবে দিন, ধার করলে হবে ঋণ</t>
  </si>
  <si>
    <t>না খেলে দিন যাবে, ধার করলে ঋণ</t>
  </si>
  <si>
    <t>উপোস ভালো, ঋণ নয়</t>
  </si>
  <si>
    <t>Better fast than debt.</t>
  </si>
  <si>
    <t>না গজাতে ঘুণ ধরে, না উঠতেই আছাড়</t>
  </si>
  <si>
    <t>গজানোর আগেই ঘুণ, ওঠার আগেই আছাড়</t>
  </si>
  <si>
    <t>শুরু হওয়ার আগেই বাধা</t>
  </si>
  <si>
    <t>Worm before sprouting, fall before rising.</t>
  </si>
  <si>
    <t>নাচ না আওয়ে/জানে অঙ্গন টেড়া</t>
  </si>
  <si>
    <t>নাচ জানে না, উঠোন বাঁকা</t>
  </si>
  <si>
    <t>নিজের দোষ লুকিয়ে পরের দোষ</t>
  </si>
  <si>
    <t>Doesn't know dance, blames the courtyard.</t>
  </si>
  <si>
    <t>নাচতে নেমে ঘোমটা টানা</t>
  </si>
  <si>
    <t>কাজ শুরু করে লজ্জা</t>
  </si>
  <si>
    <t>Veiling after coming to dance—late shame.</t>
  </si>
  <si>
    <t>নাচুন্তির লাজ নাই দেখুন্তির লাজ</t>
  </si>
  <si>
    <t>নাচে তার লজ্জা নেই, দেখে তার লজ্জা</t>
  </si>
  <si>
    <t>অন্যায় করে না, দেখে লজ্জা</t>
  </si>
  <si>
    <t>The dancer is shameless, the watcher is ashamed.</t>
  </si>
  <si>
    <t>নাচেন ভাল পাক দেয় উল্টো/মন্দ১</t>
  </si>
  <si>
    <t>নাচেন ভাল, পাক দেয় উল্টো</t>
  </si>
  <si>
    <t>কাজ ভালো, কিন্তু দোষ আছে</t>
  </si>
  <si>
    <t>Dances well but spins backwards—flawed.</t>
  </si>
  <si>
    <t>নাচেন ভাল পাক দেয় উল্টো/মন্দ২</t>
  </si>
  <si>
    <t>নাচেন ভাল, পাক দেয় মন্দ (দ্বিতীয়)</t>
  </si>
  <si>
    <t>মূল কাজ ঠিক, অনুষঙ্গ খারাপ</t>
  </si>
  <si>
    <t>Good dance, bad turn.</t>
  </si>
  <si>
    <t>নাচেন ভাল পাক দেয় উল্টো/মন্দ৩</t>
  </si>
  <si>
    <t>নাচেন ভাল, পাক দেয় উল্টো (তৃতীয়)</t>
  </si>
  <si>
    <t>এক দোষে সব নষ্ট</t>
  </si>
  <si>
    <t>Dances well but turns badly.</t>
  </si>
  <si>
    <t>না জানার মধ্যে কোন লজ্জা নাই না জানতে চাওয়াটাই লজ্জার</t>
  </si>
  <si>
    <t>না জানায় লজ্জা নেই, না জানতে চাওয়ায় লজ্জা</t>
  </si>
  <si>
    <t>অজ্ঞতা স্বীকার করাই শিক্ষা</t>
  </si>
  <si>
    <t>There is no shame in not knowing, only in not wanting to know.</t>
  </si>
  <si>
    <t>না (নৌকা) ডুবুস্‌নে, না ভাল মনে করিয়েছিস্‌</t>
  </si>
  <si>
    <t>নৌকা ডুবিও না, ভালো মনে করিও না</t>
  </si>
  <si>
    <t>কাউকে খুশি করতে পারো না</t>
  </si>
  <si>
    <t>Neither sink the boat, nor think well—impossible to please.</t>
  </si>
  <si>
    <t>নাড়াবনে কীর্তন</t>
  </si>
  <si>
    <t>অপ্রাসঙ্গিক জায়গায় ধর্মকীর্তন</t>
  </si>
  <si>
    <t>Kirtan in a straw field—misplaced.</t>
  </si>
  <si>
    <t>নাড়ীনক্ষত্র টেনে বার করা</t>
  </si>
  <si>
    <t>নাড়ীনক্ষত্র টেনে বের করা</t>
  </si>
  <si>
    <t>জোর করে কারণ বের করা</t>
  </si>
  <si>
    <t>Pulling out the vein and stars—probing.</t>
  </si>
  <si>
    <t>অত্যধিক</t>
  </si>
  <si>
    <t>নাতোয়ানের দুনো ব্যয়</t>
  </si>
  <si>
    <t>নাতোয়ানের দ্বিগুণ ব্যয়</t>
  </si>
  <si>
    <t>গরিবের বেশি খরচ</t>
  </si>
  <si>
    <t>The poor pay double.</t>
  </si>
  <si>
    <t>না থাকলেই সোনার মূল্য, থাকলে সোনার মূল্য নেই</t>
  </si>
  <si>
    <t>না থাকলে সোনার দাম, থাকলে দাম নেই</t>
  </si>
  <si>
    <t>সহজলভ্য জিনিসের মূল্য কম</t>
  </si>
  <si>
    <t>Gold is valued when absent, not when present.</t>
  </si>
  <si>
    <t>না দেখে যায় হোঁচট খায়</t>
  </si>
  <si>
    <t>না দেখে চলে, হোঁচট খায়</t>
  </si>
  <si>
    <t>সতর্ক না হলে বিপদ</t>
  </si>
  <si>
    <t>One who walks without looking stumbles.</t>
  </si>
  <si>
    <t>না দেখে ছিলেম ভাল, দেখতে গিয়ে বিপদ হল</t>
  </si>
  <si>
    <t>না দেখে ভালো ছিলাম, দেখতে গিয়ে বিপদ</t>
  </si>
  <si>
    <t>দেখা বাড়াবাড়ি বিপদ</t>
  </si>
  <si>
    <t>Was fine unseen; seeing brought trouble.</t>
  </si>
  <si>
    <t>না পড়েই পণ্ডিত১</t>
  </si>
  <si>
    <t>না পড়েই পণ্ডিত</t>
  </si>
  <si>
    <t>অজ্ঞানীকে জ্ঞানী ভাবা</t>
  </si>
  <si>
    <t>Learned without studying—pretension.</t>
  </si>
  <si>
    <t>নাপিত দেখলে নখ বাড়ে</t>
  </si>
  <si>
    <t>সুযোগ দেখলে চাহিদা বাড়ে</t>
  </si>
  <si>
    <t>Seeing the barber, nails grow—need arises.</t>
  </si>
  <si>
    <t>নাপিতের আসি, ধোপার বাসি</t>
  </si>
  <si>
    <t>নাপিতের আসা, ধোপার বাসি</t>
  </si>
  <si>
    <t>অনিয়মিত উপস্থিতি</t>
  </si>
  <si>
    <t>Barber comes regularly, washerman irregularly—uncertainty.</t>
  </si>
  <si>
    <t>অনিয়ম</t>
  </si>
  <si>
    <t>না বুঝে ছিলেম ভাল, আধেক বুঝে পরাণ গেল</t>
  </si>
  <si>
    <t>না বুঝে ভালো ছিলাম, আধো বোঝায় প্রাণ গেল</t>
  </si>
  <si>
    <t>অল্প জ্ঞান বিপদ</t>
  </si>
  <si>
    <t>Was fine ignorant; half-knowledge killed.</t>
  </si>
  <si>
    <t>নাম নিয়েছো তো শ‍য়তান হাজির১</t>
  </si>
  <si>
    <t>নাম নিলেই শয়তান হাজির</t>
  </si>
  <si>
    <t>যার কথা ভাবলে সে আসে</t>
  </si>
  <si>
    <t>Speak of the devil and he appears.</t>
  </si>
  <si>
    <t>লোকবিশ্বাস</t>
  </si>
  <si>
    <t>নাম বড়া দর্শন থোড়া</t>
  </si>
  <si>
    <t>নাম বড়, দর্শন ছোট</t>
  </si>
  <si>
    <t>নাম সর্বস্ব, কাজ নেই</t>
  </si>
  <si>
    <t>Big name, little appearance.</t>
  </si>
  <si>
    <t>না মরতেই ভূত</t>
  </si>
  <si>
    <t>মরার আগেই ভূত</t>
  </si>
  <si>
    <t>জীবদ্দশায় পিশাচ</t>
  </si>
  <si>
    <t>Ghost before death—already dead.</t>
  </si>
  <si>
    <t>নামে গোয়ালা আমানি/কাঁজি (পান্তাভাতের জল) ভক্ষণ</t>
  </si>
  <si>
    <t>নামে গোয়ালা, কাঁজি খায়</t>
  </si>
  <si>
    <t>নাম বড়, কাজ তুচ্ছ</t>
  </si>
  <si>
    <t>A milkman by name, but eats rice-water—poor.</t>
  </si>
  <si>
    <t>নামে ডাকে গগন ফাটে</t>
  </si>
  <si>
    <t>বড় নাম, কাজ নেই</t>
  </si>
  <si>
    <t>Big name, but no action.</t>
  </si>
  <si>
    <t>নামে ডাকে গুরুমশাই লেজা মুড়োর জ্ঞান নাই</t>
  </si>
  <si>
    <t>নামে ডাকে গুরুমশাই, লেজা মুড়োর জ্ঞান নেই</t>
  </si>
  <si>
    <t>বড় নাম, কিন্তু কিছু জানে না</t>
  </si>
  <si>
    <t>Called teacher, but knows nothing.</t>
  </si>
  <si>
    <t>নামে তালপুকুর ঘটি ডোবে না</t>
  </si>
  <si>
    <t>নামে তালপুকুর, ঘটি ডোবে না</t>
  </si>
  <si>
    <t>নাম বড়, কাজ সামান্য</t>
  </si>
  <si>
    <t>Named a deep pond, but a pot doesn't sink.</t>
  </si>
  <si>
    <t>নামে ধর্মদাস ধর্মের নাম/বালাই নেই</t>
  </si>
  <si>
    <t>নামে ধর্মদাস, ধর্মের নাম নেই</t>
  </si>
  <si>
    <t>Named Dharmadas, but no religion.</t>
  </si>
  <si>
    <t>নামের চোটে গগন ফাটে হাড়ি পাতিল কুত্তায় চাটে</t>
  </si>
  <si>
    <t>নামের চোটে গগন ফাটে, হাঁড়ি পাতিল কুকুরে চাটে</t>
  </si>
  <si>
    <t>বড় নাম, কিন্তু বাস্তবতা শূন্য</t>
  </si>
  <si>
    <t>Big name, but dogs lick the pots—poverty.</t>
  </si>
  <si>
    <t>নায়মাত্মা বলহীনেন লভ্যঃ</t>
  </si>
  <si>
    <t>বলহীন দ্বারা আত্মা লাভ হয় না</t>
  </si>
  <si>
    <t>আধ্যাত্মিক শক্তি চাই</t>
  </si>
  <si>
    <t>The soul is not attained by the weak.</t>
  </si>
  <si>
    <t>নারদ নারদ</t>
  </si>
  <si>
    <t>চাটুকার; যে দ্বন্দ্ব লাগায়</t>
  </si>
  <si>
    <t>Narad, the meddler.</t>
  </si>
  <si>
    <t>নারী কুরূপা হলে পতিব্রতা হয়</t>
  </si>
  <si>
    <t>কুৎসিত নারী সতী হয়</t>
  </si>
  <si>
    <t>An ugly woman becomes chaste.</t>
  </si>
  <si>
    <t>নারুজস্য কিমৌষধেঃ?</t>
  </si>
  <si>
    <t>রোগহীনের ওষুধ কী?</t>
  </si>
  <si>
    <t>প্রয়োজনহীনের কিছু লাগে না</t>
  </si>
  <si>
    <t>What medicine for the healthy?</t>
  </si>
  <si>
    <t>নালা কেটে লোনা আনা</t>
  </si>
  <si>
    <t>নিজের বিপদ নিজে ডেকে আনা</t>
  </si>
  <si>
    <t>Digging a drain and bringing salt water—self-harm.</t>
  </si>
  <si>
    <t>নাস্তি গ্রাম্যঃ কুত সীমাঃ</t>
  </si>
  <si>
    <t>গ্রাম নেই, সীমানা কোথা?</t>
  </si>
  <si>
    <t>মূল না থাকলে আনুষঙ্গিক নেই</t>
  </si>
  <si>
    <t>Without village, where are boundaries?</t>
  </si>
  <si>
    <t>নাস্তি জ্ঞানাং কুত মুক্তি</t>
  </si>
  <si>
    <t>জ্ঞান নেই, মুক্তি কোথা?</t>
  </si>
  <si>
    <t>মুক্তির জন্য জ্ঞান দরকার</t>
  </si>
  <si>
    <t>Without knowledge, where is liberation?</t>
  </si>
  <si>
    <t>নাস্তি বিদ্যা কুত যশঃ</t>
  </si>
  <si>
    <t>বিদ্যা নেই, যশ কোথা?</t>
  </si>
  <si>
    <t>বিদ্যা না থাকলে খ্যাতি নেই</t>
  </si>
  <si>
    <t>Without learning, where is fame?</t>
  </si>
  <si>
    <t>নাস্তি ভক্তি কুত ধীঃ</t>
  </si>
  <si>
    <t>ভক্তি নেই, বুদ্ধি কোথা?</t>
  </si>
  <si>
    <t>ভক্তি ছাড়া জ্ঞান নেই</t>
  </si>
  <si>
    <t>Without devotion, where is wisdom?</t>
  </si>
  <si>
    <t>নাস্তি রাগসমং দুঃখম</t>
  </si>
  <si>
    <t>রাগের মতো দুঃখ নেই</t>
  </si>
  <si>
    <t>ক্রোধ সবচেয়ে বড় দুঃখ</t>
  </si>
  <si>
    <t>There is no sorrow like anger.</t>
  </si>
  <si>
    <t>নাস্তি সত্যাৎ পরোধর্ম, ন পাপমনৃতাৎ পরম</t>
  </si>
  <si>
    <t>সত্যের চেয়ে বড় ধর্ম নেই, মিথ্যার চেয়ে বড় পাপ নেই</t>
  </si>
  <si>
    <t>সত্য শ্রেষ্ঠ ধর্ম</t>
  </si>
  <si>
    <t>No duty greater than truth, no sin greater than falsehood.</t>
  </si>
  <si>
    <t>না হওয়া থেকে দেরীতে হওয়া ভাল</t>
  </si>
  <si>
    <t>না হওয়ার চেয়ে দেরিতে হওয়া ভালো</t>
  </si>
  <si>
    <t>দেরি হলেও কিছু পাওয়া যায়</t>
  </si>
  <si>
    <t>নিকম্মা/নিকামায়ে দরজী ছেলের মুখ সেলাই করে</t>
  </si>
  <si>
    <t>নিকম্মা দরজি ছেলের মুখ সেলাই করে</t>
  </si>
  <si>
    <t>অযোগ্য নিজের কাছেই ক্ষতিকর</t>
  </si>
  <si>
    <t>A lazy tailor sews his son's mouth—neglect.</t>
  </si>
  <si>
    <t>নিক্ষিপ্ত তীর/শর ফেরে না</t>
  </si>
  <si>
    <t>নিক্ষিপ্ত তীর ফেরে না</t>
  </si>
  <si>
    <t>একবার কাজ ফেরানো যায় না</t>
  </si>
  <si>
    <t>An arrow shot never returns.</t>
  </si>
  <si>
    <t>নিজবাড়ী নিজভুবন</t>
  </si>
  <si>
    <t>নিজবাড়ি নিজভুবন</t>
  </si>
  <si>
    <t>নিজের ঘরই স্বর্গ</t>
  </si>
  <si>
    <t>One's own house is one's world.</t>
  </si>
  <si>
    <t>নিজে খুব ভালো, তাই পরকে বলে কালো</t>
  </si>
  <si>
    <t>নিজে ভালো, তাই পরকে কালো বলে</t>
  </si>
  <si>
    <t>নিজের দোষ না দেখে পরের দোষ</t>
  </si>
  <si>
    <t>Calls others black while being good himself—hypocrisy.</t>
  </si>
  <si>
    <t>নিজে বাঁচলে বাবা বাঁচে</t>
  </si>
  <si>
    <t>আত্মরক্ষা প্রথম</t>
  </si>
  <si>
    <t>If you survive, the father's name lives.</t>
  </si>
  <si>
    <t>নিজের কথা পাঁচ/সাতকাহন</t>
  </si>
  <si>
    <t>নিজের কথা পাঁচ/সাত কাহন</t>
  </si>
  <si>
    <t>নিজের প্রসঙ্গে বড়াই</t>
  </si>
  <si>
    <t>One's own story is lengthy.</t>
  </si>
  <si>
    <t>নিজের কোলে ঝোল টানা</t>
  </si>
  <si>
    <t>নিজের কোলের দিকে ঝোল টানা</t>
  </si>
  <si>
    <t>নিজের স্বার্থ দেখা</t>
  </si>
  <si>
    <t>Pulling the gruel to your own lap.</t>
  </si>
  <si>
    <t>নিজের গোবরগাদায় মোরগ বীর</t>
  </si>
  <si>
    <t>নিজের গোবরের স্তূপে মোরগ বীর</t>
  </si>
  <si>
    <t>নিজের জায়গায় সবাই সাহসী</t>
  </si>
  <si>
    <t>A rooster is brave on its own dung heap.</t>
  </si>
  <si>
    <t>নিজের ঘোল/দই কেউ মন্দ বলে না</t>
  </si>
  <si>
    <t>নিজের ঘোল/দই কেউ মন্দ বলে না (পুনরুক্তি)</t>
  </si>
  <si>
    <t>নিজের জিনিসের প্রশংসা</t>
  </si>
  <si>
    <t>No one calls his own buttermilk sour.</t>
  </si>
  <si>
    <t>নিজের চরকায় তেল দাও (পুনরুক্তি)</t>
  </si>
  <si>
    <t>নিজের কাজে মন দাও</t>
  </si>
  <si>
    <t>Oil your own spinning wheel.</t>
  </si>
  <si>
    <t>নিজের চেয়ে পর ভাল; পরের চেয়ে জঙ্গল ভাল</t>
  </si>
  <si>
    <t>নিজের চেয়ে পর ভাল, পরের চেয়ে জঙ্গল ভাল (পুনরুক্তি)</t>
  </si>
  <si>
    <t>সম্পর্কের অসারতা</t>
  </si>
  <si>
    <t>Better a stranger than kin, better a jungle than stranger.</t>
  </si>
  <si>
    <t>নিজের ধন পরকে দিয়ে দেবকী মরে মাথাকুটে</t>
  </si>
  <si>
    <t>নিজের ধন পরকে দিয়ে দেবকী মাথা কোটে</t>
  </si>
  <si>
    <t>নিজের জিনিস বিলিয়ে পরে কষ্ট</t>
  </si>
  <si>
    <t>Gives own wealth to others and then mourns like Debaki.</t>
  </si>
  <si>
    <t>নারী (দেবকী)</t>
  </si>
  <si>
    <t>নিজের নাক কেটে পরের যাত্রা ভঙ্গ (পুনরুক্তি)</t>
  </si>
  <si>
    <t>নিজের ক্ষতি করে পরের ক্ষতি</t>
  </si>
  <si>
    <t>Cutting off nose to spite another's journey.</t>
  </si>
  <si>
    <t>নিজের পরমায়ু ও পরের বয়স কেউ কম দেখে না</t>
  </si>
  <si>
    <t>নিজের আয়ু ও পরের বয়স কেউ কম দেখে না</t>
  </si>
  <si>
    <t>মানুষ নিজেকে এবং প্রিয়জনকে দীর্ঘজীবী ভাবে</t>
  </si>
  <si>
    <t>No one underestimates his own lifespan or others' age.</t>
  </si>
  <si>
    <t>নিজের পাঁঠা লেজে কাটি (পুনরুক্তি)</t>
  </si>
  <si>
    <t>নিজের কাজ নিজে করি</t>
  </si>
  <si>
    <t>I cut my own goat's tail.</t>
  </si>
  <si>
    <t>নিজের পাছায় ন মন গু, আমারে বলে তোর খান ধু</t>
  </si>
  <si>
    <t>নিজের পিঠে মল না, আমাকে বলে তোর খান ধো</t>
  </si>
  <si>
    <t>নিজের দোষ দেখে না, পরের দোষ ধরে</t>
  </si>
  <si>
    <t>He has dung on his own bottom but tells me to wash mine.</t>
  </si>
  <si>
    <t>নিজের বুদ্ধিতে ছিল ভাল, পরের বুদ্ধিতে পাগল হল</t>
  </si>
  <si>
    <t>নিজের বুদ্ধিতে ভাল, পরের বুদ্ধিতে পাগল (পুনরুক্তি)</t>
  </si>
  <si>
    <t>পরের পরামর্শে সর্বনাশ</t>
  </si>
  <si>
    <t>Was fine with own wits, became mad with others'.</t>
  </si>
  <si>
    <t>নিজের বেলায় আঁটিসাটি পরের বেলায় দাঁতকপাটি/ চিমটি কাটি</t>
  </si>
  <si>
    <t>নিজের বেলায় আঁটিসাটি, পরের বেলায় চিমটি কাটা</t>
  </si>
  <si>
    <t>নিজের স্বার্থে কঠোর, পরের জন্য উদার</t>
  </si>
  <si>
    <t>Strict for self, pinching for others—hypocrisy.</t>
  </si>
  <si>
    <t>নিজের ভাই/বোন ভাত পায় না শালা/শালীর তরে মণ্ডা</t>
  </si>
  <si>
    <t>নিজের ভাই/বোন ভাত পায় না, শালা/শালীর জন্য মণ্ডা</t>
  </si>
  <si>
    <t>নিজের লোক অবহেলা, পরের জন্য আদর</t>
  </si>
  <si>
    <t>Own sibling starves, but sweets for in-laws.</t>
  </si>
  <si>
    <t>নিজের ভাল দিকগুলো জেনে লাভ নেই</t>
  </si>
  <si>
    <t>নিজের ভালো দিক জেনে লাভ নেই</t>
  </si>
  <si>
    <t>নিজের গুণ জানা অহংকার</t>
  </si>
  <si>
    <t>Knowing your own good qualities is useless.</t>
  </si>
  <si>
    <t>নিজের ভালো পাগলেও বোঝে (পুনরুক্তি)</t>
  </si>
  <si>
    <t>Even a madman knows his own good.</t>
  </si>
  <si>
    <t>নিজের লোক নিজের নয়</t>
  </si>
  <si>
    <t>আত্মীয় বিশ্বাসী নয়</t>
  </si>
  <si>
    <t>One's own people are not truly theirs.</t>
  </si>
  <si>
    <t>নিত্যচাষার ঝি বেগুনগাছ দেখে বলে এ আবার কী</t>
  </si>
  <si>
    <t>নিত্য চাষীর মেয়ে বেগুনগাছ দেখে বলে এ কী?</t>
  </si>
  <si>
    <t>অতি পরিচিত জিনিস চিনতে না পারা</t>
  </si>
  <si>
    <t>A farmer's daughter sees an eggplant plant and asks what it is—ignorant of familiar.</t>
  </si>
  <si>
    <t>নিদ নেই যোগীর আর নিদ নেই রোগীর</t>
  </si>
  <si>
    <t>যোগীর ঘুম নেই, রোগীর ঘুম নেই (পুনরুক্তি)</t>
  </si>
  <si>
    <t>দুই প্রান্তে নিদ্রাহীনতা</t>
  </si>
  <si>
    <t>No sleep for the yogi and no sleep for the sick.</t>
  </si>
  <si>
    <t>নিদানকালে হরিনাম</t>
  </si>
  <si>
    <t>মৃত্যুকালে হরিনাম</t>
  </si>
  <si>
    <t>বিপদে পড়ে ধর্ম</t>
  </si>
  <si>
    <t>God's name at the last moment.</t>
  </si>
  <si>
    <t>নিদানের বিধান নাই</t>
  </si>
  <si>
    <t>নিদানের (প্রতিষেধের) ব্যবস্থা নেই</t>
  </si>
  <si>
    <t>শেষ অবস্থায় উপায় নেই</t>
  </si>
  <si>
    <t>There is no cure for the end.</t>
  </si>
  <si>
    <t>নিন্দা সৎলোকের কোন অনিষ্ট করতে পারে না।</t>
  </si>
  <si>
    <t>নিন্দা সৎলোকের অনিষ্ট করে না</t>
  </si>
  <si>
    <t>Slander cannot harm the virtuous.</t>
  </si>
  <si>
    <t>নিবানো আগুন আর জ্বেলো না</t>
  </si>
  <si>
    <t>নেভানো আগুন জ্বালিও না</t>
  </si>
  <si>
    <t>পুরনো ঝগড়া চাগিও না</t>
  </si>
  <si>
    <t>Don't rekindle an extinguished fire.</t>
  </si>
  <si>
    <t>নিবৃত্তরাগস্য গৃহং তপোবনম</t>
  </si>
  <si>
    <t>বৈরাগীর গৃহই তপোবন</t>
  </si>
  <si>
    <t>নিঃস্পৃহ ব্যক্তির ঘরই তপোবন</t>
  </si>
  <si>
    <t>The home of a detached person is a hermitage.</t>
  </si>
  <si>
    <t>নিম কখনো মিষ্টি হয় না (পুনরুক্তি)</t>
  </si>
  <si>
    <t>নিমতলা দিয়ে যাও নি, নিমফল কখনো খাও নি?</t>
  </si>
  <si>
    <t>নিমতলা দিয়ে যাওনি, নিমফল খাওনি?</t>
  </si>
  <si>
    <t>অভিজ্ঞতা না থাকলে বোঝা যায় না</t>
  </si>
  <si>
    <t>You haven't walked under a neem tree, haven't tasted neem fruit?</t>
  </si>
  <si>
    <t>নিম তিতা নিসিন্দে তিতা তিতা মাকালফল; তার চেয়ে তিতা কন্যে বোন সতীনের ঘর</t>
  </si>
  <si>
    <t>নিম তিতা, নিসিন্দে তিতা, মাকাল তিতা; তার চেয়ে তিতা কন্যে বোন সতীনের ঘর</t>
  </si>
  <si>
    <t>বোন সতীনের সংসার সবচেয়ে তেতো</t>
  </si>
  <si>
    <t>Bitter neem, bitter nisinde, bitter makal; more bitter is a co-wife who's a sister.</t>
  </si>
  <si>
    <t>নারী (সতীন)</t>
  </si>
  <si>
    <t>নিম নিসিন্দে যেথা মানুষ মরে না সেথা</t>
  </si>
  <si>
    <t>নিম, নিসিন্দে থাকলে মানুষ সহজে মরে না</t>
  </si>
  <si>
    <t>প্রাকৃতিক ওষুধে সুরক্ষা</t>
  </si>
  <si>
    <t>Where neem and nisinde grow, people don't die easily—herbal protection.</t>
  </si>
  <si>
    <t>নিয়তিঃ কেন বাধ্যতে</t>
  </si>
  <si>
    <t>নিয়তি কে খণ্ডাবে?</t>
  </si>
  <si>
    <t>ভাগ্য কেউ বদলাতে পারে না</t>
  </si>
  <si>
    <t>Who can resist fate?</t>
  </si>
  <si>
    <t>নিয়ম থাকলে নিয়মের ফাঁক/ব্যতিক্রম আছে</t>
  </si>
  <si>
    <t>নিয়ম থাকলে ফাঁক আছে</t>
  </si>
  <si>
    <t>প্রত্যেক নিয়মে ব্যতিক্রম</t>
  </si>
  <si>
    <t>Every rule has an exception.</t>
  </si>
  <si>
    <t>নিরবতা হল প্রকৃত বন্ধু যে কখনো বিশ্বাসঘাতকতা করে না</t>
  </si>
  <si>
    <t>নীরবতা প্রকৃত বন্ধু, কখনো বিশ্বাসঘাতকতা করে না</t>
  </si>
  <si>
    <t>চুপ থাকা নিরাপদ</t>
  </si>
  <si>
    <t>Silence is a true friend that never betrays.</t>
  </si>
  <si>
    <t>নিরস্তপাদপদেশে এরণ্ডোহপি দ্রুমায়তে</t>
  </si>
  <si>
    <t>গাছহীন দেশে এরণ্ডও গাছ</t>
  </si>
  <si>
    <t>যেখানে গুণী নেই সেখানে নিকৃষ্টও গুণী</t>
  </si>
  <si>
    <t>In a treeless land, even a castor plant is a tree.</t>
  </si>
  <si>
    <t>নিরানব্বয়ের ধাক্কা</t>
  </si>
  <si>
    <t>নিরানব্বইয়ের ধাক্কা</t>
  </si>
  <si>
    <t>টাকার অভাব; ৯৯ টাকার টান</t>
  </si>
  <si>
    <t>The jolt of ninety-nine—money shortage.</t>
  </si>
  <si>
    <t>নির্গুণ পুরুষের তিনগুণ ঝাল</t>
  </si>
  <si>
    <t>গুণহীনের অহংকার বেশি</t>
  </si>
  <si>
    <t>A worthless man has thrice the pride.</t>
  </si>
  <si>
    <t>নির্জনতা ঈশ্বরে পরিপূর্ণ</t>
  </si>
  <si>
    <t>একাকিত্বে ঈশ্বরের উপস্থিতি</t>
  </si>
  <si>
    <t>Solitude is filled with God.</t>
  </si>
  <si>
    <t>নির্ধনের ধন, অথর্বের যৌবন হলোে দিনে দেখে তারা</t>
  </si>
  <si>
    <t>নির্ধনের ধন, অথর্বের যৌবন—দিনে তারা দেখার মতো</t>
  </si>
  <si>
    <t>দরিদ্রের ধন, অক্ষমের যৌবন বিফল</t>
  </si>
  <si>
    <t>A poor man's wealth, a cripple's youth—like seeing stars in daytime.</t>
  </si>
  <si>
    <t>বিফল</t>
  </si>
  <si>
    <t>নির্বাণদীপে কিমু তৈলদানম</t>
  </si>
  <si>
    <t>নির্বাণ প্রদীপে তেল দেওয়া বৃথা</t>
  </si>
  <si>
    <t>মৃতকে সাহায্য বৃথা</t>
  </si>
  <si>
    <t>What use offering oil to an extinguished lamp?</t>
  </si>
  <si>
    <t>নির্বিষ সাপের কুলোপানা চক্কর</t>
  </si>
  <si>
    <t>ক্ষতিহীন বস্তু দেখতেও ভয়ংকর নয়; অথবা অক্ষমের ভড়ং</t>
  </si>
  <si>
    <t>A non-venomous snake's coils—harmless but showy.</t>
  </si>
  <si>
    <t>নির্বুদ্ধি যদি উচ্চভাষে সুবুদ্ধি উড়ায় হেসে</t>
  </si>
  <si>
    <t>নির্বুদ্ধি উচ্চভাষায় কথা বললে সুবুদ্ধি হেসে উড়ায়</t>
  </si>
  <si>
    <t>মূর্খ বড়াই জ্ঞানীর কাছে হাস্যকর</t>
  </si>
  <si>
    <t>If a fool speaks big, the wise laugh it off.</t>
  </si>
  <si>
    <t>নিশাশেষোন্মেষোন্মুখকমলকোরকপমোত্তেজিতহৃদয়সূর্য-বঙ্কিমচন্দ্র</t>
  </si>
  <si>
    <t>নিশাশেষে প্রস্ফুটিত পদ্মের মতো উত্তেজিত হৃদয়সূর্য</t>
  </si>
  <si>
    <t>রাত শেষে ফোটা পদ্মের মতো হৃদয় জাগ্রত</t>
  </si>
  <si>
    <t>The heart's sun arises like a lotus at dawn.</t>
  </si>
  <si>
    <t>নিশির ডাক</t>
  </si>
  <si>
    <t>রাতে ডাকাত ডাকার সংকেত</t>
  </si>
  <si>
    <t>Night call—robber's signal.</t>
  </si>
  <si>
    <t>সংকেত</t>
  </si>
  <si>
    <t>নিশ্চিন্তপুর যাওয়া</t>
  </si>
  <si>
    <t>কোনো চিন্তা নেই; নিশ্চিন্তে থাকা</t>
  </si>
  <si>
    <t>Going to Carefree-town—no worries.</t>
  </si>
  <si>
    <t>নিশ্বাসে বিশ্বাস নেই</t>
  </si>
  <si>
    <t>মৃত্যু নিকট; জীবন অনিশ্চিত</t>
  </si>
  <si>
    <t>No trust in breath—life is uncertain.</t>
  </si>
  <si>
    <t>নিষিদ্ধ ফল খেতে মিষ্টি</t>
  </si>
  <si>
    <t>নিষেধের জিনিস আকর্ষণীয়</t>
  </si>
  <si>
    <t>Forbidden fruit is sweet.</t>
  </si>
  <si>
    <t>নিঃসারস্য পদার্থেস্য প্রায়েণাড়ম্বরো মহান</t>
  </si>
  <si>
    <t>সারহীন পদার্থের আড়ম্বর বেশি</t>
  </si>
  <si>
    <t>ফাঁকা জিনিসের বড়াই</t>
  </si>
  <si>
    <t>Empty things make much noise.</t>
  </si>
  <si>
    <t>নিঃস্পৃহস্য তৃণং জগৎ</t>
  </si>
  <si>
    <t>নিঃস্পৃহের কাছে জগৎ তৃণ</t>
  </si>
  <si>
    <t>অনাসক্ত ব্যক্তির কাছে পৃথিবী তুচ্ছ</t>
  </si>
  <si>
    <t>To the dispassionate, the world is straw.</t>
  </si>
  <si>
    <t>নীচব্যক্তি শত্রু হলে অনিষ্ট করে, মিত্র হলে লোকনিন্দা হয়</t>
  </si>
  <si>
    <t>নীচ শত্রু হলে অনিষ্ট, মিত্র হলে নিন্দা</t>
  </si>
  <si>
    <t>নীচকে বন্ধু করাও বিপদ</t>
  </si>
  <si>
    <t>A base person harms as enemy, and as friend brings disgrace.</t>
  </si>
  <si>
    <t>নীচ যদি উচ্চ ভাষে সুবুদ্ধি উড়ায় হাসে</t>
  </si>
  <si>
    <t>নীচ যদি উচ্চভাষায় কথা বলে, সুবুদ্ধি হেসে উড়ায় (পুনরুক্তি)</t>
  </si>
  <si>
    <t>মূর্খের বড় কথায় জ্ঞানী হাসে</t>
  </si>
  <si>
    <t>If the lowly speak high words, the wise laugh.</t>
  </si>
  <si>
    <t>নীচো বদতি ন কুরুতে, বদতি ন সাধু করোত্যেব</t>
  </si>
  <si>
    <t>নীচ বলে কিন্তু করে না; সাধু বলে না কিন্তু করে</t>
  </si>
  <si>
    <t>কথা ও কাজের পার্থক্য</t>
  </si>
  <si>
    <t>The lowly speak but don't act; the good act but don't speak.</t>
  </si>
  <si>
    <t>নীতিহীন মানুষেরা কাঁটাহীন ঘড়ির মত</t>
  </si>
  <si>
    <t>নীতিহীন মানুষ কাঁটাহীন ঘড়ির মতো</t>
  </si>
  <si>
    <t>নীতিহীন মানুষ অচল</t>
  </si>
  <si>
    <t>A person without ethics is like a clock without hands.</t>
  </si>
  <si>
    <t>নীরুজস্য কিমৌষধৈঃ</t>
  </si>
  <si>
    <t>রোগহীনের ওষুধে কী দরকার? (পুনরুক্তি)</t>
  </si>
  <si>
    <t>What use medicine for the healthy?</t>
  </si>
  <si>
    <t>নুড়িপাথর হাজার বছর ঝরণায় ডুবে থাকলেও রসসিক্ত হয় না- নজরুল ইসলাম</t>
  </si>
  <si>
    <t>নুড়ি পাথর হাজার বছর ঝরনায় ডুবে থেকেও রসে ভেজে না</t>
  </si>
  <si>
    <t>মন্দ স্বভাব বদলায় না</t>
  </si>
  <si>
    <t>A pebble immersed for a thousand years in a spring doesn't absorb moisture.</t>
  </si>
  <si>
    <t>নুতন নুতন ন'কড়া পুরাতন হলে ছ'কড়া</t>
  </si>
  <si>
    <t>নতুন নতুন নয় কড়া, পুরনো হলে ছয় কড়া (পুনরুক্তি)</t>
  </si>
  <si>
    <t>নতুনের মূল্য বেশি</t>
  </si>
  <si>
    <t>New is nine pence, old is six pence.</t>
  </si>
  <si>
    <t>নুন আনতে পান্তা ফুরায়১</t>
  </si>
  <si>
    <t>লবণ আনতে গেলে পান্তা ভাত শেষ হয়</t>
  </si>
  <si>
    <t>ছোট কাজ করতে গিয়ে মূল সম্পদ নষ্ট</t>
  </si>
  <si>
    <t>When fetching salt, the stale rice runs out—delay causes loss</t>
  </si>
  <si>
    <t>নুন আনতে পান্তা ফুরায়২</t>
  </si>
  <si>
    <t>লবণ আনতে গেলে পান্তা ফুরায় (দ্বিতীয়)</t>
  </si>
  <si>
    <t>অসময়ে কাজ করলে মূল উপাদান শেষ</t>
  </si>
  <si>
    <t>Fetching salt, the rice-water gets over—procrastination</t>
  </si>
  <si>
    <t>নুন খাই যার গুণ গাই তার</t>
  </si>
  <si>
    <t>যার লবণ খাই, তার গুণ গাই</t>
  </si>
  <si>
    <t>যার উপকার পাই তার প্রশংসা করি</t>
  </si>
  <si>
    <t>I sing the praises of whose salt I eat—gratitude</t>
  </si>
  <si>
    <t>নুন খেয়ে নিমকহারামি</t>
  </si>
  <si>
    <t>লবণ খেয়ে লবণহারামি</t>
  </si>
  <si>
    <t>উপকার পেয়ে অকৃতজ্ঞতা</t>
  </si>
  <si>
    <t>Eating salt and being ungrateful—betrayal</t>
  </si>
  <si>
    <t>নুন খেলে গুণ মানি</t>
  </si>
  <si>
    <t>লবণ খেলে গুণ মানি</t>
  </si>
  <si>
    <t>উপকারীর গুণ স্বীকার করি</t>
  </si>
  <si>
    <t>If I eat salt, I acknowledge the merit—thankful</t>
  </si>
  <si>
    <t>নূন ছাড়া ঘি/ভাত মাটি</t>
  </si>
  <si>
    <t>লবণ ছাড়া ঘি/ভাত মাটি</t>
  </si>
  <si>
    <t>লবণ ছাড়া খাদ্য স্বাদহীন</t>
  </si>
  <si>
    <t>Without salt, ghee/rice is clay—tasteless</t>
  </si>
  <si>
    <t>স্বাদ</t>
  </si>
  <si>
    <t>নূন দিয়ে রাঁধিত ভালই হয় আলুন (নূনছাড়া খাদ্য) রাঁধতে তিনগুণ যায়</t>
  </si>
  <si>
    <t>লবণ দিয়ে রান্না ভালো, লবণহীন রান্নায় তিনগুণ খরচ</t>
  </si>
  <si>
    <t>সঠিক উপকরণে কাজ ভালো হয়</t>
  </si>
  <si>
    <t>Cooking with salt is good; cooking without salt costs triple—proper ingredients matter</t>
  </si>
  <si>
    <t>উপকরণ</t>
  </si>
  <si>
    <t>নেই কাজ তো খই ভাজ</t>
  </si>
  <si>
    <t>কাজ নেই তো খই ভাজ (পুনরুক্তি)</t>
  </si>
  <si>
    <t>If no work, fry puffed rice—idle task</t>
  </si>
  <si>
    <t>নেই নাক তার গোঁফের বাহার</t>
  </si>
  <si>
    <t>নাক নেই, গোঁফের বাহার</t>
  </si>
  <si>
    <t>অসম্পূর্ণ জিনিসের সাজ</t>
  </si>
  <si>
    <t>No nose, yet proud mustache—incongruous</t>
  </si>
  <si>
    <t>নেই মাথা তার মাথাব্যথা</t>
  </si>
  <si>
    <t>মাথা নেই, তার মাথাব্যথা</t>
  </si>
  <si>
    <t>অকারণ দুশ্চিন্তা</t>
  </si>
  <si>
    <t>No head, but headache—needless worry</t>
  </si>
  <si>
    <t>নেংটার গলায় মোতির মালা</t>
  </si>
  <si>
    <t>উলঙ্গের গলায় মুক্তার মালা</t>
  </si>
  <si>
    <t>অযোগ্যের হাতে মূল্যবান</t>
  </si>
  <si>
    <t>A naked man wearing a pearl necklace—incongruous</t>
  </si>
  <si>
    <t>নেংটি ইঁদুর পাহাড় কাটে১</t>
  </si>
  <si>
    <t>নেংটি ইঁদুর পাহাড় কাটে</t>
  </si>
  <si>
    <t>ছোট প্রাণীও বড় কাজ করতে পারে</t>
  </si>
  <si>
    <t>A tiny mouse cuts a mountain—persistence</t>
  </si>
  <si>
    <t>নেংটি ইঁদুর পাহাড় কাটে২</t>
  </si>
  <si>
    <t>নেংটি ইঁদুর পাহাড় কাটে (দ্বিতীয়)</t>
  </si>
  <si>
    <t>ক্ষুদ্র চেষ্টায় বড় সাফল্য</t>
  </si>
  <si>
    <t>Small mouse carves mountain—determination</t>
  </si>
  <si>
    <t>নেকড়ার আগুন</t>
  </si>
  <si>
    <t>ন্যাকড়ার আগুন</t>
  </si>
  <si>
    <t>ধীরে ধীরে জ্বলে ওঠা আগুন</t>
  </si>
  <si>
    <t>A rag fire—slow but persistent</t>
  </si>
  <si>
    <t>নেচে কুঁদে নাওরে জাদু মনের সুখে কবে যেতে হবে শিঙে ফুঁকে</t>
  </si>
  <si>
    <t>নেচে-কুঁদে আনন্দ কর, কবে মরতে হবে শিঙে ফুঁকে</t>
  </si>
  <si>
    <t>জীবন উপভোগ কর, মৃত্যু অনিবার্য</t>
  </si>
  <si>
    <t>Dance and rejoice; someday you'll blow the horn (die)</t>
  </si>
  <si>
    <t>নেড়া বেলতলায় দু'বার যায় না</t>
  </si>
  <si>
    <t>ন্যাড়া বেলতলায় দুবার যায় না</t>
  </si>
  <si>
    <t>একবার ঠকলে সাবধান</t>
  </si>
  <si>
    <t>A bald man doesn't go under a bel tree twice—once bitten</t>
  </si>
  <si>
    <t>নেপোয় (নৃপতি বা বাটপাড়) মারে দই</t>
  </si>
  <si>
    <t>নেপো মারে দই</t>
  </si>
  <si>
    <t>দুর্বল লোক নিজের সাধ্যের মধ্যে থাকে</t>
  </si>
  <si>
    <t>A weak man buys curd—within means</t>
  </si>
  <si>
    <t>নেবু কচলালে তেতো হয়</t>
  </si>
  <si>
    <t>লেবু কচলালে তেতো হয়</t>
  </si>
  <si>
    <t>অতিরিক্ত ব্যবহারে ভালো জিনিসও নষ্ট</t>
  </si>
  <si>
    <t>Rubbing lemon makes it bitter—excess spoils</t>
  </si>
  <si>
    <t>নেবার কুটুম অনেক আছে দেবার তরে কেউ নেই</t>
  </si>
  <si>
    <t>নেওয়ার আত্মীয় অনেক, দেওয়ার কেউ নেই</t>
  </si>
  <si>
    <t>সবাই নিতে চায়, দিতে নয়</t>
  </si>
  <si>
    <t>Many relatives to take, none to give—selfishness</t>
  </si>
  <si>
    <t>নেয়ের এক নৌকা, না-নেয়ের/নিনেয়ের শতেক নৌকা</t>
  </si>
  <si>
    <t>নেয়ের এক নৌকা, অন্যের শত নৌকা</t>
  </si>
  <si>
    <t>কাজের লোকের একটাই, অলসের বহু অজুহাত</t>
  </si>
  <si>
    <t>A boatman has one boat, a non-boatman has a hundred—talk</t>
  </si>
  <si>
    <t>নেশাতে বুক ফাটে, কুকুরে মুখ চাটে</t>
  </si>
  <si>
    <t>নেশায় বুক ফাটে, কুকুরে মুখ চাটে</t>
  </si>
  <si>
    <t>নেশার পরিণতি খারাপ</t>
  </si>
  <si>
    <t>Addiction breaks the heart, dog licks the face—ruin</t>
  </si>
  <si>
    <t>নেশাগ্রস্ত</t>
  </si>
  <si>
    <t>নেশা</t>
  </si>
  <si>
    <t>নেহ ঘটত নিত পর ঘর জায়ে</t>
  </si>
  <si>
    <t>না ঘরে, নিত পরের ঘরে যায়</t>
  </si>
  <si>
    <t>নিজের ঘর নেই, পরের ঘরে ঘোরে</t>
  </si>
  <si>
    <t>No home, always goes to others'—wanderer</t>
  </si>
  <si>
    <t>ন্যাংটার নেই বাটপাড়ের ভয়১</t>
  </si>
  <si>
    <t>উলঙ্গের ডাকাতের ভয় নেই</t>
  </si>
  <si>
    <t>যার কিছু নেই তার ভয় নেই</t>
  </si>
  <si>
    <t>A naked man fears no robber</t>
  </si>
  <si>
    <t>ন্যাংটার নেই বাটপাড়ের ভয়২</t>
  </si>
  <si>
    <t>উলঙ্গের ডাকাতের ভয় নেই (দ্বিতীয়)</t>
  </si>
  <si>
    <t>নিঃস্বের নিরাপত্তা</t>
  </si>
  <si>
    <t>Naked has no fear of thieves</t>
  </si>
  <si>
    <t>ন্যাকা আদুরে/ঢঙী চালশে কানা, জল বলে খায় চিনির পানা</t>
  </si>
  <si>
    <t>ন্যাকা, আদুরে, ঢঙী, চালশে, কানা—জল বলে চিনির পানা খায়</t>
  </si>
  <si>
    <t>ভণ্ড লোকেরা মিষ্টি কথা বলে</t>
  </si>
  <si>
    <t>Affected, spoiled, dramatic, cross-eyed—calls water sugar syrup</t>
  </si>
  <si>
    <t>ন্যাকড়ায় আগুন১</t>
  </si>
  <si>
    <t>ন্যাকড়ায় আগুন</t>
  </si>
  <si>
    <t>ধীরে ধীরে ছড়ানো বিপদ</t>
  </si>
  <si>
    <t>Fire on rags—slow spread</t>
  </si>
  <si>
    <t>ন্যাকড়ায় আগুন৩</t>
  </si>
  <si>
    <t>ন্যাকড়ায় আগুন (তৃতীয়)</t>
  </si>
  <si>
    <t>ছোট থেকে বড় অগ্নি</t>
  </si>
  <si>
    <t>Rag fire grows</t>
  </si>
  <si>
    <t>ন্যাকা বোকা ঢলঢলে কাছা, এই তিনে প্রত্যয় করো না বাছা</t>
  </si>
  <si>
    <t>ন্যাকা, বোকা, ঢলঢলে কাছা—এই তিনে বিশ্বাস নয়</t>
  </si>
  <si>
    <t>এই তিনটি জিনিস অবিশ্বাস্য</t>
  </si>
  <si>
    <t>Don't trust an affected person, a fool, or a loose waistcloth</t>
  </si>
  <si>
    <t>ন্যাড়া আর কখনো/কি বেলতলায় যায়?</t>
  </si>
  <si>
    <t>ন্যাড়া কি আর বেলতলায় যায়?</t>
  </si>
  <si>
    <t>ঠকিত ব্যক্তি পুনরায় ঠকে না</t>
  </si>
  <si>
    <t>Does a bald man go under the bel tree again?</t>
  </si>
  <si>
    <t>ন্যাড়ামাথায় খোঁচার ভয়</t>
  </si>
  <si>
    <t>ন্যাড়া মাথায় খোঁচার ভয়</t>
  </si>
  <si>
    <t>দুর্বল জায়গায় আঘাতের ভয়</t>
  </si>
  <si>
    <t>A bald head fears pokes—weak spot</t>
  </si>
  <si>
    <t>ন্যাবা চোখ সব হলুদ দেখে</t>
  </si>
  <si>
    <t>ন্যাবা (জন্ডিস) চোখ সব হলুদ দেখে</t>
  </si>
  <si>
    <t>নিজের দোষে জগৎকে দোষী</t>
  </si>
  <si>
    <t>A jaundiced eye sees all yellow</t>
  </si>
  <si>
    <t>পঙ্কো হি নভসি ক্ষিপ্তঃ ক্ষেপ্তুঃ পততি মূর্ধানি</t>
  </si>
  <si>
    <t>কাদা আকাশে ছুঁড়লে নিক্ষেপকারীর মাথায় পড়ে</t>
  </si>
  <si>
    <t>মন্দ কাজ করলে নিজের ক্ষতি</t>
  </si>
  <si>
    <t>Mud thrown in the sky falls on the thrower's head</t>
  </si>
  <si>
    <t>পঙ্গুও লঙঘায় গিরি</t>
  </si>
  <si>
    <t>পঙ্গুও গিরি লঙ্ঘন করে</t>
  </si>
  <si>
    <t>চেষ্টা করলে অসম্ভব সম্ভব</t>
  </si>
  <si>
    <t>Even a lame man crosses the mountain—effort</t>
  </si>
  <si>
    <t>পক্ষীর মধ্যে ওঁচা নাম কাদাখোঁচা</t>
  </si>
  <si>
    <t>পাখিদের মধ্যে নীচ নাম কাদাখোঁচা</t>
  </si>
  <si>
    <t>বাজে পাখির বাজে নাম</t>
  </si>
  <si>
    <t>Among birds, the mud-prober has a low name</t>
  </si>
  <si>
    <t>পচা আদা ঝালের গাদা</t>
  </si>
  <si>
    <t>অকেজো জিনিসের বাহার</t>
  </si>
  <si>
    <t>Rotten ginger, heap of spice—useless</t>
  </si>
  <si>
    <t>পচা শামুকে পা কাটা১</t>
  </si>
  <si>
    <t>পচা শামুকে পা কাটা</t>
  </si>
  <si>
    <t>সামান্য জিনিসেও বিপদ</t>
  </si>
  <si>
    <t>Getting cut by a rotten shell—unexpected</t>
  </si>
  <si>
    <t>পচা শামুকে পা কাটা২</t>
  </si>
  <si>
    <t>পচা শামুকে পা কাটা (দ্বিতীয়)</t>
  </si>
  <si>
    <t>দুর্বল জিনিসেও ক্ষতি</t>
  </si>
  <si>
    <t>Cut by decayed shell—surprise</t>
  </si>
  <si>
    <t>পছন্দের বোঝা অনুভূত হয় না</t>
  </si>
  <si>
    <t>পছন্দের বোঝা ভারী লাগে না</t>
  </si>
  <si>
    <t>ভালোবাসার কাজ কষ্টকর নয়</t>
  </si>
  <si>
    <t>A chosen burden is not felt</t>
  </si>
  <si>
    <t>পঞ্চভির্মিলিতৈ কিং যজ্জগতী হ ন সাধ্যতে</t>
  </si>
  <si>
    <t>পাঁচজন মিলে করলে জগতে কী অসাধ্য?</t>
  </si>
  <si>
    <t>দলবদ্ধ কাজে সব সম্ভব</t>
  </si>
  <si>
    <t>With five united, what is impossible in the world?</t>
  </si>
  <si>
    <t>পট্টবস্ত্রে গুঞ্জফল মূল্য নাহি হয়, ছিন্নবস্ত্রে মোতির মূল্য নাহি হয় ক্ষয়১</t>
  </si>
  <si>
    <t>রেশমে গুঞ্জফলের মূল্য হয় না, ছেঁড়া কাপড়ে মুক্তার মূল্য কমে না</t>
  </si>
  <si>
    <t>উপযুক্ত স্থান/পাত্র দরকার</t>
  </si>
  <si>
    <t>A seed on silk is worthless, a pearl on rags is still priceless—context</t>
  </si>
  <si>
    <t>পট্টবস্ত্রে গুঞ্জফল মূল্য নাহি হয়, ছিন্নবস্ত্রে মোতির মূল্য নাহি হয় ক্ষয়২</t>
  </si>
  <si>
    <t>রেশমে গুঞ্জফল মূল্যহীন, ছেঁড়ায় মুক্তার মূল্য অক্ষয় (দ্বিতীয়)</t>
  </si>
  <si>
    <t>জিনিসের গুণ নিজে প্রকাশ পায়</t>
  </si>
  <si>
    <t>Silk can't value a berry, rags can't devalue a pearl</t>
  </si>
  <si>
    <t>পড়তা যখন হয়, ধুলিমুঠো করলে সোনা্মুঠো হয়</t>
  </si>
  <si>
    <t>ভাগ্য ভালো হলে ধুলো মুঠো করলে সোনা হয়</t>
  </si>
  <si>
    <t>সৌভাগ্যবানের হাতে সব সোনা</t>
  </si>
  <si>
    <t>When fate is good, a handful of dust turns to gold</t>
  </si>
  <si>
    <t>পড়লে কথা বুঝতে নারে সেই বা কেমন পড়শী, ছিপ ফেললে মাছ খায় না সেই বা কেমন বঁড়শী</t>
  </si>
  <si>
    <t>ইঙ্গিতে কথা বোঝে না সে কেমন প্রতিবেশী, টোপ ফেললে মাছ খায় না সে কেমন বঁড়শি</t>
  </si>
  <si>
    <t>অকর্মণ্য বন্ধু-প্রতিবেশী</t>
  </si>
  <si>
    <t>What neighbor if he doesn't understand hints? What hook if it doesn't catch fish?</t>
  </si>
  <si>
    <t>পড়লো কথা সভার/হাটের মাঝে, যার কথা তার গায়ে/বুকে বাজে১</t>
  </si>
  <si>
    <t>কথা সভার মাঝে পড়ল, যার কথা তার গায়ে বাজে</t>
  </si>
  <si>
    <t>পরোক্ষে কাউকে ইঙ্গিত</t>
  </si>
  <si>
    <t>A word in public; the one meant feels it</t>
  </si>
  <si>
    <t>পড়লো কথা সভার/হাটের মাঝে, যার কথা তার গায়ে/বুকে বাজে২</t>
  </si>
  <si>
    <t>কথা হাটের মাঝে পড়ল, যার কথা তার বুকে বাজে (দ্বিতীয়)</t>
  </si>
  <si>
    <t>পরোক্ষ সমালোচনা</t>
  </si>
  <si>
    <t>Words in the market strike the intended</t>
  </si>
  <si>
    <t>পড়লো ফাগুন তো উঠল আগুন২</t>
  </si>
  <si>
    <t>ফাগুন পড়ল, আগুন উঠল (দ্বিতীয়)</t>
  </si>
  <si>
    <t>ফাগুনের শুরুতে তাপ</t>
  </si>
  <si>
    <t>Falgun arrives, fire rises</t>
  </si>
  <si>
    <t>পড়শী না বঁড়শি?</t>
  </si>
  <si>
    <t>প্রতিবেশী ভালো না বঁড়শি?</t>
  </si>
  <si>
    <t>Neighbor or hook?—choose good neighbor</t>
  </si>
  <si>
    <t>পড়শীর মুখ না আরশির মুখ?</t>
  </si>
  <si>
    <t>প্রতিবেশীর মুখ না আয়নার মুখ?</t>
  </si>
  <si>
    <t>সমালোচকের চেয়ে আত্মদর্শন</t>
  </si>
  <si>
    <t>Neighbor's face or mirror's face?—introspect</t>
  </si>
  <si>
    <t>পড়িলে ভেড়ার শৃঙ্গে হীরার ধারও ভাঙে১</t>
  </si>
  <si>
    <t>ভেড়ার শিংয়ে পড়লে হীরার ধারও ভাঙে</t>
  </si>
  <si>
    <t>দুর্বলের আঘাতেও কঠিন ভাঙে</t>
  </si>
  <si>
    <t>Even a diamond edge breaks on a sheep's horn</t>
  </si>
  <si>
    <t>পড়িলে ভেড়ার শৃঙ্গে হীরার ধারও ভাঙে২</t>
  </si>
  <si>
    <t>ভেড়ার শিংয়ে পড়লে হীরার ধারও ভাঙে (দ্বিতীয়)</t>
  </si>
  <si>
    <t>কঠিনও দুর্বলের কাছে হারতে পারে</t>
  </si>
  <si>
    <t>A diamond edge can break on a sheep's horn</t>
  </si>
  <si>
    <t>পড়ে গিয়ে পদ্মনাভ</t>
  </si>
  <si>
    <t>পড়ে গিয়ে মহৎ নাম</t>
  </si>
  <si>
    <t>Falling and becoming Padmanabh—ironic honor</t>
  </si>
  <si>
    <t>পড়েছি মোগলের/যবনের হাতে, খানা খেতে হবে সাথে</t>
  </si>
  <si>
    <t>মোগলের হাতে পড়েছি, খানা খেতে হবে সঙ্গে</t>
  </si>
  <si>
    <t>বিপদে বাধ্য হয়ে মেনে নেওয়া</t>
  </si>
  <si>
    <t>Fallen into Mogul's hands, must eat with him—forced compliance</t>
  </si>
  <si>
    <t>পরাধীনতা</t>
  </si>
  <si>
    <t>পড়ে পাওয়া চোদ্দ-আনা</t>
  </si>
  <si>
    <t>পড়ে পাওয়া চোদ্দ আনা</t>
  </si>
  <si>
    <t>অপ্রত্যাশিত লাভ</t>
  </si>
  <si>
    <t>Found fourteen annas—windfall</t>
  </si>
  <si>
    <t>পড়ে পাওয়া চোদ্দ আনার ষোল আনাই লাভ</t>
  </si>
  <si>
    <t>হঠাৎ পাওয়া সম্পূর্ণ লাভ</t>
  </si>
  <si>
    <t>Fourteen annas found is full gain</t>
  </si>
  <si>
    <t>পণেক পেলে ক্ষণেক গায়, কাহনেক পেলে দিনভর গায়</t>
  </si>
  <si>
    <t>অল্প পেলে অল্প গায়, বেশি পেলে সারাদিন গায়</t>
  </si>
  <si>
    <t>প্রাপ্তি অনুযায়ী আনন্দ</t>
  </si>
  <si>
    <t>With a little, sings a while; with a lot, sings all day</t>
  </si>
  <si>
    <t>পণ্ডিত শিখে দেখে, মূর্খ শিখে ঠেকে</t>
  </si>
  <si>
    <t>পণ্ডিত দেখে শেখে, মূর্খ ঠেকে শেখে</t>
  </si>
  <si>
    <t>বুদ্ধিমান অন্যের ভুল থেকে শেখে</t>
  </si>
  <si>
    <t>The wise learn by watching; fools by stumbling</t>
  </si>
  <si>
    <t>পণ্ডিতঃ ধিয়েন পশ্যতি</t>
  </si>
  <si>
    <t>পণ্ডিত বুদ্ধি দিয়ে দেখে</t>
  </si>
  <si>
    <t>জ্ঞানী যুক্তি দিয়ে বিচার করে</t>
  </si>
  <si>
    <t>A scholar sees with intellect</t>
  </si>
  <si>
    <t>পণ্ডিতেষু গুণাঃ সর্বে মূর্খে দোষা হি কেবলম্</t>
  </si>
  <si>
    <t>পণ্ডিতে সব গুণ, মূর্খে কেবল দোষ</t>
  </si>
  <si>
    <t>জ্ঞানী গুণী, মূর্খ দোষী</t>
  </si>
  <si>
    <t>All virtues in the wise, all faults in the fool</t>
  </si>
  <si>
    <t>পতির পূণ্যে সতীর পূণ্য১</t>
  </si>
  <si>
    <t>স্বামীর পুণ্যে স্ত্রীর পুণ্য</t>
  </si>
  <si>
    <t>স্বামীর ধর্মে স্ত্রীও ধন্য</t>
  </si>
  <si>
    <t>The wife's merit is tied to her husband's</t>
  </si>
  <si>
    <t>পতির পূণ্যে সতীর পূণ্য২</t>
  </si>
  <si>
    <t>স্বামীর পুণ্যে সতীর পুণ্য (দ্বিতীয়)</t>
  </si>
  <si>
    <t>সতীর সম্মান স্বামীতে</t>
  </si>
  <si>
    <t>Husband's virtue is wife's virtue</t>
  </si>
  <si>
    <t>পথ চলবে জেনে, কড়ি নেবে গুণে</t>
  </si>
  <si>
    <t>পথ চলবে শুনে, টাকা নেবে গুণে</t>
  </si>
  <si>
    <t>সতর্ক থাকা উচিত</t>
  </si>
  <si>
    <t>Walk knowing the way, take money counted</t>
  </si>
  <si>
    <t>পথ ভাবে আমি দেব, রথ ভাবে আমি; মূর্তি ভাবে আমি দেব, হাসে অন্তর্যামী- রবীন্দ্রনাথ</t>
  </si>
  <si>
    <t>পথ ভাবে আমি দেব, রথ ভাবে আমি; মূর্তি ভাবে আমি, হাসেন অন্তর্যামী</t>
  </si>
  <si>
    <t>সবাই নিজেকে দেবতা ভাবে; ঈশ্বর হাসেন</t>
  </si>
  <si>
    <t>The path thinks it's God, the chariot thinks so, the idol thinks so; God laughs</t>
  </si>
  <si>
    <t>পথি নারী বিবর্জিতা১</t>
  </si>
  <si>
    <t>পথে পরিত্যক্তা নারী</t>
  </si>
  <si>
    <t>পথে ফেলে যাওয়া নারী</t>
  </si>
  <si>
    <t>A woman abandoned on the road</t>
  </si>
  <si>
    <t>পথে পেলাম কামার, দা গড়ে দে আমার</t>
  </si>
  <si>
    <t>পথে কামার পেলাম, দা গড়ে দাও</t>
  </si>
  <si>
    <t>সুযোগ পেলেই কাজ আদায়</t>
  </si>
  <si>
    <t>Found a blacksmith on the way, have him forge a knife</t>
  </si>
  <si>
    <t>পথে হাগে আবার চোখ রাঙায়</t>
  </si>
  <si>
    <t>পথে হাগে, আবার চোখ রাঙায়</t>
  </si>
  <si>
    <t>নিজের দোষ করেও ভয় দেখায়</t>
  </si>
  <si>
    <t>Defecates on the road and then glares—shameless</t>
  </si>
  <si>
    <t>পথের গু রথে যায়</t>
  </si>
  <si>
    <t>পথের মল রথে যায়</t>
  </si>
  <si>
    <t>নীচ জিনিস উঁচুতে ওঠে</t>
  </si>
  <si>
    <t>Road dung goes on the chariot—lowly promoted</t>
  </si>
  <si>
    <t>উত্থান</t>
  </si>
  <si>
    <t>পথের বাঁকে পথ শেষ হয় না, যদি না তুমি ফিরতে অক্ষম হও</t>
  </si>
  <si>
    <t>চলতে থাকলে পথ শেষ হয় না</t>
  </si>
  <si>
    <t>The road doesn't end at the bend unless you can't return</t>
  </si>
  <si>
    <t>পবিত্র মন পাপমুক্ত থাকে</t>
  </si>
  <si>
    <t>পবিত্র মন পাপমুক্ত</t>
  </si>
  <si>
    <t>শুদ্ধ মন পাপ করে না</t>
  </si>
  <si>
    <t>A pure mind remains sinless</t>
  </si>
  <si>
    <t>পয়ঃ সিঞ্চতে নিত্যং ন নিম্বু মধুরায়তে</t>
  </si>
  <si>
    <t>দুধ সেচন করলেও নিম মিষ্টি হয় না</t>
  </si>
  <si>
    <t>Neem never sweetens even with milk irrigation</t>
  </si>
  <si>
    <t>পয়ঃপানং ভুজঙ্গানাং কেবলং বিষবর্ধনং</t>
  </si>
  <si>
    <t>সাপকে দুধ পান করানো বিষ বৃদ্ধি</t>
  </si>
  <si>
    <t>দুষ্টকে আদরে বিষ বাড়ে</t>
  </si>
  <si>
    <t>Feeding milk to a snake only increases its poison</t>
  </si>
  <si>
    <t>পয়সা জমে টাকা হয়</t>
  </si>
  <si>
    <t>সঞ্চয়ে বড় হয়</t>
  </si>
  <si>
    <t>Pennies accumulate into rupees</t>
  </si>
  <si>
    <t>পয়সা দিয়ে খাই দই, কি করবে মোর গয়লা সই</t>
  </si>
  <si>
    <t>টাকা দিয়ে দই খাই, গয়লা বন্ধু কী করবে?</t>
  </si>
  <si>
    <t>অর্থ দিলে সম্পর্কের দরকার নেই</t>
  </si>
  <si>
    <t>I eat curd with money; what can the milkmaid do?</t>
  </si>
  <si>
    <t>পয়সা দিলে বাঘের দুধ মেলে</t>
  </si>
  <si>
    <t>টাকা দিলে বাঘের দুধও মেলে</t>
  </si>
  <si>
    <t>With money, even tiger's milk</t>
  </si>
  <si>
    <t>পয়সা পেলে কাঠের ঘোড়া (ধর্মরাজ) নড়েচড়ে/হাঁ করে</t>
  </si>
  <si>
    <t>টাকা পেলে কাঠের ঘোড়া নড়ে</t>
  </si>
  <si>
    <t>অর্থ জড়কেও সচল করে</t>
  </si>
  <si>
    <t>Even wooden horse moves with money</t>
  </si>
  <si>
    <t>পয়সা লেচিতো/সিঞ্চতি নিত্যং ন নিম্বো মধুরায়তে</t>
  </si>
  <si>
    <t>টাকা ঢাললেও নিম মিষ্টি নয়</t>
  </si>
  <si>
    <t>Even with money, neem doesn't sweeten</t>
  </si>
  <si>
    <t>পয়োগতে কিং খলু সেতুবন্ধনম</t>
  </si>
  <si>
    <t>দুধ নষ্ট হলে বাঁধ দিয়ে কী?</t>
  </si>
  <si>
    <t>সময় গেলে প্রতিকার বৃথা</t>
  </si>
  <si>
    <t>What use a dam after milk is spilled?</t>
  </si>
  <si>
    <t>পর কখনও আপন হয় না</t>
  </si>
  <si>
    <t>পর কখনো আপন হয় না</t>
  </si>
  <si>
    <t>বাইরের লোক আপন হয় না</t>
  </si>
  <si>
    <t>A stranger never becomes your own</t>
  </si>
  <si>
    <t>পর কি বোঝে পরের ব্যথা</t>
  </si>
  <si>
    <t>পর কি বোঝে অন্যের কষ্ট?</t>
  </si>
  <si>
    <t>নিজের কষ্ট নিজেই বোঝে</t>
  </si>
  <si>
    <t>Does a stranger understand another's pain?</t>
  </si>
  <si>
    <t>পরতরফে খায় ঘি, তার আবার খরচ কি?</t>
  </si>
  <si>
    <t>পরের পক্ষে ঘি খায়, খরচ তার কী?</t>
  </si>
  <si>
    <t>পরের জিনিসে অপচয়</t>
  </si>
  <si>
    <t>Eats ghee on another's account, what cost?—waste</t>
  </si>
  <si>
    <t>পরদার পাপ বলে বাঁদী রাখে নাই; দুঃখভোগ হেতু হিন্দু করেছে গোঁসাই</t>
  </si>
  <si>
    <t>পরদার পাপ বলে বাঁদী রাখে নাই; দুঃখভোগের জন্য হিন্দু করেছে গোঁসাই</t>
  </si>
  <si>
    <t>অপরের স্ত্রীর পাপ এড়াতে ক্রীতদাসী রাখে না; দুঃখের কারণে ঈশ্বর হিন্দু করেছে</t>
  </si>
  <si>
    <t>To avoid sin of another's wife, he didn't keep a slave; God made him Hindu out of sorrow</t>
  </si>
  <si>
    <t>লিঙ্গ/ধর্ম</t>
  </si>
  <si>
    <t>পরদারাং পরদ্রব্যং পরীবাদং পরস্য চ পরিহাসং গুরোঃ স্থানে চাপল্যঞ্চ বিবর্জয়েৎ</t>
  </si>
  <si>
    <t>পরস্ত্রী, পরদ্রব্য, নিন্দা, পরিহাস, গুরুর কাছে চপলতা বর্জন করবে</t>
  </si>
  <si>
    <t>এই পাঁচটি ত্যাগ করা উচিত</t>
  </si>
  <si>
    <t>Avoid others' wives, others' property, slander, mockery, and levity before guru</t>
  </si>
  <si>
    <t>পরবুদ্ধির্বিনাশায়</t>
  </si>
  <si>
    <t>পরের বুদ্ধি বিনাশের জন্য</t>
  </si>
  <si>
    <t>পরের পরামর্শ সর্বনাশ</t>
  </si>
  <si>
    <t>Others' advice leads to ruin</t>
  </si>
  <si>
    <t>পরপ্রত্যাশী দুপোর (দুইপ্রহর) উপোসী</t>
  </si>
  <si>
    <t>পরের প্রত্যাশায় দুপুরে উপোস</t>
  </si>
  <si>
    <t>পরের উপর নির্ভর করলে কষ্ট</t>
  </si>
  <si>
    <t>Hoping on others, fasting at noon</t>
  </si>
  <si>
    <t>পরপ্রত্যাশী নর গাছে উঠে মর</t>
  </si>
  <si>
    <t>পরের প্রত্যাশী মানুষ গাছে উঠে মরে</t>
  </si>
  <si>
    <t>পরের ভরসায় দুঃখ</t>
  </si>
  <si>
    <t>A man relying on others climbs a tree and dies</t>
  </si>
  <si>
    <t>পরবুদ্ধিঃ বিনাশায়</t>
  </si>
  <si>
    <t>পরের বুদ্ধি বিনাশ (পুনরুক্তি)</t>
  </si>
  <si>
    <t>পরের পরামর্শ ক্ষতিকর</t>
  </si>
  <si>
    <t>Another's advice destroys</t>
  </si>
  <si>
    <t>পরভাতি তবু সয় পরঘরী কিছুতে নয়</t>
  </si>
  <si>
    <t>পরের ভাত সয়, পরের ঘর নয়</t>
  </si>
  <si>
    <t>পরের ঘরে থাকা কঠিন</t>
  </si>
  <si>
    <t>Other's food tolerable, other's house intolerable</t>
  </si>
  <si>
    <t>বাসস্থান</t>
  </si>
  <si>
    <t>পর রেখে ঘর নষ্ট</t>
  </si>
  <si>
    <t>পরকে রেখে নিজের ঘর নষ্ট</t>
  </si>
  <si>
    <t>পরের জন্য নিজের ক্ষতি</t>
  </si>
  <si>
    <t>Ruining own home for others</t>
  </si>
  <si>
    <t>আত্মত্যাগ</t>
  </si>
  <si>
    <t>পরশুরামের কুঠার</t>
  </si>
  <si>
    <t>যে অস্ত্র ফেরত আসে</t>
  </si>
  <si>
    <t>Parashuram's axe—always returns</t>
  </si>
  <si>
    <t>অস্ত্র</t>
  </si>
  <si>
    <t>পরশ্রীকাতর ব্যক্তি সব থেকে বেশি অসুখী হয়-আরবী প্রবাদ</t>
  </si>
  <si>
    <t>পরশ্রীকাতর ব্যক্তি সবচেয়ে অসুখী</t>
  </si>
  <si>
    <t>হিংসুক সবচেয়ে দুঃখী</t>
  </si>
  <si>
    <t>The envious man is the unhappiest</t>
  </si>
  <si>
    <t>পরহস্তং গতা গতাঃ</t>
  </si>
  <si>
    <t>পরের হাতে গেছে যা গেছে</t>
  </si>
  <si>
    <t>যা গেছে তা ফেরে না</t>
  </si>
  <si>
    <t>What goes into another's hand is gone</t>
  </si>
  <si>
    <t>পরহস্তং গতং যা ধনম পুস্তকস্থা চ বিদ্যা ন সা তদ্ধনম</t>
  </si>
  <si>
    <t>পরের হাতে ধন, পুস্তকে বিদ্যা—ওগুলো ধন নয়</t>
  </si>
  <si>
    <t>ব্যবহারযোগ্য জ্ঞান ও ধন প্রকৃত</t>
  </si>
  <si>
    <t>Wealth in other's hand, knowledge in book—not yours</t>
  </si>
  <si>
    <t>পরিচয়ে সতীত্ব নষ্ট</t>
  </si>
  <si>
    <t>ঘনিষ্ঠতায় সতীত্ব নষ্ট হয়?</t>
  </si>
  <si>
    <t>Familiarity destroys chastity</t>
  </si>
  <si>
    <t>পরিচয়ে সত্যনাশ</t>
  </si>
  <si>
    <t>পরিচয়ে সততা নষ্ট</t>
  </si>
  <si>
    <t>অন্তরঙ্গতায় সত্য লুকানো</t>
  </si>
  <si>
    <t>Familiarity destroys truth</t>
  </si>
  <si>
    <t>পরিচিতি উপেক্ষার জন্ম দেয়</t>
  </si>
  <si>
    <t>পরিচিতি উপেক্ষা জন্মায়</t>
  </si>
  <si>
    <t>অতি পরিচিতি অবহেলা</t>
  </si>
  <si>
    <t>পরিতে হবে শাঁখা, তবে কেন মুখ বাঁকা</t>
  </si>
  <si>
    <t>শাঁখা পরতে হবে, তবে মুখ বাঁকা কেন?</t>
  </si>
  <si>
    <t>কাজ করতে হবে, মন খারাপ কেন?</t>
  </si>
  <si>
    <t>If you must wear bangles, why frown?</t>
  </si>
  <si>
    <t>পরিষ্কার বিবেক বজ্রপাতেও শান্তিতে ঘুমায়</t>
  </si>
  <si>
    <t>নির্দোষ ব্যক্তি নিশ্চিন্ত</t>
  </si>
  <si>
    <t>A clear conscience sleeps even in thunder</t>
  </si>
  <si>
    <t>পরিষ্কার বিবেক মিথ্যা অভিযোগে হাসে</t>
  </si>
  <si>
    <t>পরিষ্কার বিবেক মিথ্যা অপবাদে হাসে</t>
  </si>
  <si>
    <t>নির্দোষ ব্যক্তির ভয় নেই</t>
  </si>
  <si>
    <t>A clear conscience laughs at false accusations</t>
  </si>
  <si>
    <t>পরিষ্কার হাত ধোয়ার প্রয়োজন হয় না</t>
  </si>
  <si>
    <t>পরিষ্কার হাত ধোয়ার দরকার হয় না</t>
  </si>
  <si>
    <t>নির্দোষ ব্যক্তির প্রমাণ লাগে না</t>
  </si>
  <si>
    <t>Clean hands need no washing</t>
  </si>
  <si>
    <t>পরিশ্রমী কখনো দুঃখী হয় না</t>
  </si>
  <si>
    <t>পরিশ্রম দুঃখ দূর করে</t>
  </si>
  <si>
    <t>The industrious are never sad</t>
  </si>
  <si>
    <t>পরীক্ষা জানার আগ্রহকে মেরে ফেলে</t>
  </si>
  <si>
    <t>পরীক্ষা জানার আগ্রহ মেরে ফেলে</t>
  </si>
  <si>
    <t>পরীক্ষা কৌতূহল নষ্ট করে</t>
  </si>
  <si>
    <t>Exams kill the desire to learn</t>
  </si>
  <si>
    <t>পরুষ্কারেণ বিনা দৈব ন সিদ্ধতি</t>
  </si>
  <si>
    <t>পুরুষার্থ ছাড়া দৈব সিদ্ধ হয় না</t>
  </si>
  <si>
    <t>কর্ম ছাড়া ভাগ্য নয়</t>
  </si>
  <si>
    <t>Without effort, fate doesn't succeed</t>
  </si>
  <si>
    <t>পরে তসর (তসরের কাপড়) খায় ঘি, তার আবার খরচ কি</t>
  </si>
  <si>
    <t>পরের তসরের কাপড়ে ঘি খায়, খরচ কী?</t>
  </si>
  <si>
    <t>Eats ghee on another's tasar cloth, what cost?</t>
  </si>
  <si>
    <t>পরের অনিষ্ট করতে গেলে নিজের অনিষ্ট হয়</t>
  </si>
  <si>
    <t>পরের ক্ষতি করতে গেলে নিজের ক্ষতি</t>
  </si>
  <si>
    <t>অনিষ্টের ফল নিজের</t>
  </si>
  <si>
    <t>Trying to harm others harms yourself</t>
  </si>
  <si>
    <t>পরের কথায় লাথিচাপড়, নিজের কথায় ভাতকাপড়</t>
  </si>
  <si>
    <t>পরের কথায় লাথি-চাপড়, নিজের কথায় ভাত-কাপড়</t>
  </si>
  <si>
    <t>পরের পরামর্শে কষ্ট, নিজের বুদ্ধিতে সুখ</t>
  </si>
  <si>
    <t>Others' advice brings blows, own words bring comfort</t>
  </si>
  <si>
    <t>পরের কাপড়ে ধোপার নাট</t>
  </si>
  <si>
    <t>পরের জিনিসে ভড়ং</t>
  </si>
  <si>
    <t>Acting with others' clothes—show</t>
  </si>
  <si>
    <t>পরের কারণে স্বার্থ দিয়া বলি এ জীবন মন সকলি দাও, তার মতাে সুখ কোথাও কি আছে আপনার কথা ভুলিয়া যাও'</t>
  </si>
  <si>
    <t>পরের জন্য স্বার্থত্যাগ, জীবন-মন সব দাও; এমন সুখ কোথায়?</t>
  </si>
  <si>
    <t>পরার্থে ত্যাগে সুখ</t>
  </si>
  <si>
    <t>Give up self for others; such joy nowhere else</t>
  </si>
  <si>
    <t>পরের গাছের আমটি মিষ্টি</t>
  </si>
  <si>
    <t>পরের গাছের আম মিষ্টি</t>
  </si>
  <si>
    <t>পরের জিনিস বেশি ভালো লাগে</t>
  </si>
  <si>
    <t>Another's mango is sweeter—desire</t>
  </si>
  <si>
    <t>পরের গোয়ালে গোদান</t>
  </si>
  <si>
    <t>পরের গোয়ালে গরু দান</t>
  </si>
  <si>
    <t>অন্যের সম্পদে দান</t>
  </si>
  <si>
    <t>Donating a cow in someone else's shed</t>
  </si>
  <si>
    <t>পরের ঘরে খায় দায়, আঠারো মাসে বছর যায়</t>
  </si>
  <si>
    <t>পরের ঘরে খায়, আঠারো মাসে বছর যায়</t>
  </si>
  <si>
    <t>পরের ঘরে থাকলে দিন দীর্ঘ</t>
  </si>
  <si>
    <t>Eating in another's house makes the year eighteen months</t>
  </si>
  <si>
    <t>পরের ঘাড়ে বন্দুক রেখে শিকার</t>
  </si>
  <si>
    <t>অপরকে বিপদে ফেলে নিজের লাভ</t>
  </si>
  <si>
    <t>Hunting with gun on another's shoulder</t>
  </si>
  <si>
    <t>পরের ঘি পেলে প্রদীপে দেয় ঢেলে</t>
  </si>
  <si>
    <t>পরের ঘি পেলে প্রদীপে ঢেলে দেয়</t>
  </si>
  <si>
    <t>If given another's ghee, he pours it into the lamp—waste</t>
  </si>
  <si>
    <t>পরের ঘোল খাবার লোভে নিজের গোঁফ কামায়</t>
  </si>
  <si>
    <t>পরের ঘোল খাওয়ার লোভে নিজের গোঁফ কামায়</t>
  </si>
  <si>
    <t>পরের লোভে নিজের ক্ষতি</t>
  </si>
  <si>
    <t>For another's buttermilk, shaves own mustache—foolish</t>
  </si>
  <si>
    <t>পরের চাল পরের ডাল, নদে করেন বিয়ে</t>
  </si>
  <si>
    <t>পরের চাল, পরের ডাল, নদে বিয়ে</t>
  </si>
  <si>
    <t>সব পরের উপকরণে কাজ</t>
  </si>
  <si>
    <t>With others' rice and lentils, he hosts a wedding—pretence</t>
  </si>
  <si>
    <t>পরের ছেলে/বিড়াল খায় বনে পানে চায়</t>
  </si>
  <si>
    <t>পরের ছেলে/বিড়াল খায় বনে, পানে চায়</t>
  </si>
  <si>
    <t>পরের জিনিস নষ্ট করে</t>
  </si>
  <si>
    <t>Another's child/cat eats in the forest and looks for betel</t>
  </si>
  <si>
    <t>পরের ছেলেটা খায় এতটা, বেড়ায় যেন বাঁদরটা; নিজের ছেলেটি খায় এতটি, বেড়ায় যেন লাটিম্‌টি</t>
  </si>
  <si>
    <t>পরের ছেলে খায় বেশি, বাঁদরের মতো; নিজের ছেলে খায় কম, লাটিমের মতো</t>
  </si>
  <si>
    <t>নিজের প্রতি পক্ষপাত</t>
  </si>
  <si>
    <t>Other's child eats much, moves like monkey; own child eats little, spins like top—bias</t>
  </si>
  <si>
    <t>পরের ছেলে মোটাই/হাঁদাই</t>
  </si>
  <si>
    <t>পরের সন্তান গুণহীন</t>
  </si>
  <si>
    <t>Another's child is dull—bias</t>
  </si>
  <si>
    <t>পরের জন্য গর্ত করে, নিজেই তাতে পড়ে মরে</t>
  </si>
  <si>
    <t>পরের জন্য গর্ত করে, নিজেই পড়ে মরে</t>
  </si>
  <si>
    <t>অন্যের ক্ষতি করতে গিয়ে নিজের ক্ষতি</t>
  </si>
  <si>
    <t>Digging a pit for others, falls in himself</t>
  </si>
  <si>
    <t>পরের জিনিস পায়, হেগো পোঁদে খায়</t>
  </si>
  <si>
    <t>পরের জিনিস পায়, হাগে পোঁদে খায়?</t>
  </si>
  <si>
    <t>পরের জিনিস নষ্ট</t>
  </si>
  <si>
    <t>Gets others' things and wastes them</t>
  </si>
  <si>
    <t>পরের তরফে খায় ঘি, তার আবার খরচ কি</t>
  </si>
  <si>
    <t>পরের পক্ষে ঘি খায়, খরচ কী? (পুনরুক্তি)</t>
  </si>
  <si>
    <t>Eats ghee on another's account, what cost?</t>
  </si>
  <si>
    <t>পরের তেলে কাপড় নষ্ট</t>
  </si>
  <si>
    <t>পরের জিনিসে অবহেলা</t>
  </si>
  <si>
    <t>Ruining cloth with another's oil</t>
  </si>
  <si>
    <t>পরের দুঃখ কেউ বোঝে না</t>
  </si>
  <si>
    <t>নিজের কষ্ট নিজেই জানে</t>
  </si>
  <si>
    <t>No one understands another's sorrow</t>
  </si>
  <si>
    <t>পরের দুধে দিয়ে ফুঁ, পুড়িয়ে এলেন নিজের মু</t>
  </si>
  <si>
    <t>পরের দুধে ফুঁ দিয়ে নিজের মুখ পোড়ানো</t>
  </si>
  <si>
    <t>Blowing on another's milk, burning own mouth</t>
  </si>
  <si>
    <t>পরের দেখে তোলে হাই, যা আছে তাও নাই</t>
  </si>
  <si>
    <t>পরের দেখে হাই তোলে, যা আছে তাও নাই</t>
  </si>
  <si>
    <t>অনুকরণে নিজের ক্ষতি</t>
  </si>
  <si>
    <t>Yawning after others, loses what he has</t>
  </si>
  <si>
    <t>পরের ধন আপন ছালা, যত ইচ্ছা ভরে ফেলা</t>
  </si>
  <si>
    <t>পরের ধন নিজের ছালা, যত ইচ্ছা ভরে ফেলা</t>
  </si>
  <si>
    <t>Others' wealth as own sack, fill as you like</t>
  </si>
  <si>
    <t>পরের ধন নিজের বুদ্ধি কেউ কম দেখে না</t>
  </si>
  <si>
    <t>পরের ধন, নিজের বুদ্ধি কেউ কম দেখে না</t>
  </si>
  <si>
    <t>সবাই নিজেকে বড় ভাবে</t>
  </si>
  <si>
    <t>No one underestimates own wisdom or others' wealth</t>
  </si>
  <si>
    <t>পরের ধনে পোদ্দারি১</t>
  </si>
  <si>
    <t>পরের ধনে পোদ্দারি</t>
  </si>
  <si>
    <t>অন্যের সম্পদে কর্তৃত্ব</t>
  </si>
  <si>
    <t>Being treasurer of others' money—pretence</t>
  </si>
  <si>
    <t>পরের ধনে পোদ্দারি২</t>
  </si>
  <si>
    <t>পরের ধনে পোদ্দারি (দ্বিতীয়)</t>
  </si>
  <si>
    <t>পরের সম্পদে বড়াই</t>
  </si>
  <si>
    <t>Acting rich on others' wealth</t>
  </si>
  <si>
    <t>পরের ধনে পোদ্দারি৩</t>
  </si>
  <si>
    <t>পরের ধনে পোদ্দারি (তৃতীয়)</t>
  </si>
  <si>
    <t>নিজের নয়, কিন্তু কর্তৃত্ব দেখায়</t>
  </si>
  <si>
    <t>Posing as owner of others' money</t>
  </si>
  <si>
    <t>পরের ধনে পোদ্দারগিরি</t>
  </si>
  <si>
    <t>পরের ধনে পোদ্দারগিরি (চতুর্থ)</t>
  </si>
  <si>
    <t>পরের সম্পদে অহংকার</t>
  </si>
  <si>
    <t>Playing banker with others' money</t>
  </si>
  <si>
    <t>পরের ধনে বরের বাপ</t>
  </si>
  <si>
    <t>পরের ধনে বরের বাবা</t>
  </si>
  <si>
    <t>অন্যের টাকায় বাবাগিরি</t>
  </si>
  <si>
    <t>Being father of the groom with others' money</t>
  </si>
  <si>
    <t>পরের পিঠে বড় মিঠে</t>
  </si>
  <si>
    <t>পরের পিঠে বড় মিষ্টি</t>
  </si>
  <si>
    <t>অন্যকে দিয়ে কাজ করানো সহজ</t>
  </si>
  <si>
    <t>Another's back is very sweet to beat</t>
  </si>
  <si>
    <t>পরের বয়স নিজের পরমায়ু কেউ কম দেখে না</t>
  </si>
  <si>
    <t>পরের বয়স, নিজের আয়ু কেউ কম দেখে না (পুনরুক্তি)</t>
  </si>
  <si>
    <t>সবাই দীর্ঘজীবী ভাবে</t>
  </si>
  <si>
    <t>No one underestimates own lifespan or another's age</t>
  </si>
  <si>
    <t>পরের ভাতে কুকুর পোষা</t>
  </si>
  <si>
    <t>অন্যের খরচে প্রতিপালন</t>
  </si>
  <si>
    <t>Raising a dog on others' rice</t>
  </si>
  <si>
    <t>পরের মন্দ করতে গেলে নিজের মন্দ আগে হয়</t>
  </si>
  <si>
    <t>পরের খারাপ করতে গেলে নিজের খারাপ আগে</t>
  </si>
  <si>
    <t>অনিষ্টের ফল নিজে</t>
  </si>
  <si>
    <t>Wanting evil for others brings own evil first</t>
  </si>
  <si>
    <t>পরের মন আঁধার কোণ</t>
  </si>
  <si>
    <t>পরের মন অন্ধকার কোণ</t>
  </si>
  <si>
    <t>পরের মন বোঝা কঠিন</t>
  </si>
  <si>
    <t>Another's mind is a dark corner</t>
  </si>
  <si>
    <t>পরের মাথা কেটে নাপিত</t>
  </si>
  <si>
    <t>অপরের ক্ষতি করে নিজের পেশা</t>
  </si>
  <si>
    <t>Becoming a barber by cutting others' heads</t>
  </si>
  <si>
    <t>পরের মাথায় কাঁঠাল ভেঙে নিজে খায় কোষ</t>
  </si>
  <si>
    <t>অপরকে দিয়ে নিজের স্বার্থ</t>
  </si>
  <si>
    <t>Breaking jackfruit on another's head, eating the seeds</t>
  </si>
  <si>
    <t>পরের মাথায় দিয়ে হাত কিরা/দিব্বি করে নির্ঘাত</t>
  </si>
  <si>
    <t>পরের মাথায় হাত দিয়ে শপথ করে নিশ্চিন্ত</t>
  </si>
  <si>
    <t>অপরকে দিয়ে ঝুঁকি</t>
  </si>
  <si>
    <t>Taking oath on another's head without risk</t>
  </si>
  <si>
    <t>পরের মাথায় হাত বুলানো</t>
  </si>
  <si>
    <t>চাটুকারিতা; ফাঁকি</t>
  </si>
  <si>
    <t>Patting another's head—flattery or fraud</t>
  </si>
  <si>
    <t>পরের মুখে ঝাল খাওয়া</t>
  </si>
  <si>
    <t>Tasting chili through another's mouth</t>
  </si>
  <si>
    <t>পরের লেজে পড়লে পা তুলোপানা ঠেকে, নিজের লেজে পড়লে পা আগুনপানা ঠেকে</t>
  </si>
  <si>
    <t>পরের লেজে পড়লে পা তুলোর মতো, নিজের লেজে পড়লে পা আগুনের মতো</t>
  </si>
  <si>
    <t>অপরের ক্ষতিতে বোধ কম, নিজের ক্ষতিতে বেশি</t>
  </si>
  <si>
    <t>Another's tail underfoot feels soft; own tail feels fire</t>
  </si>
  <si>
    <t>পরের সুখ কাড়তে যেও না নিজের সুখ হারিয়ে যাবে</t>
  </si>
  <si>
    <t>পরের সুখ কেড়ে নিতে যেও না, নিজের সুখ হারাবে</t>
  </si>
  <si>
    <t>পরের ক্ষতি করলে নিজের ক্ষতি</t>
  </si>
  <si>
    <t>Don't steal others' happiness, you'll lose yours</t>
  </si>
  <si>
    <t>পরের সোনা দিও না কানে, কেড়ে নেবে হ্যাঁচকা টানে</t>
  </si>
  <si>
    <t>পরের সোনা কানে দিও না, টানে কেড়ে নেবে</t>
  </si>
  <si>
    <t>পরের জিনিসে স্থায়িত্ব নেই</t>
  </si>
  <si>
    <t>Don't wear another's gold, it'll be snatched</t>
  </si>
  <si>
    <t>পরের হাতে ধন, পেতে অনেকক্ষণ</t>
  </si>
  <si>
    <t>পরের হাতে ধন, পেতে দেরি</t>
  </si>
  <si>
    <t>পরের কাছ থেকে পাওয়া দেরি</t>
  </si>
  <si>
    <t>Another's hand, wealth delayed</t>
  </si>
  <si>
    <t>পরের হাতে ধন, যেতে কতকক্ষণ</t>
  </si>
  <si>
    <t>পরের হাতে ধন, যেতে সময় লাগে না</t>
  </si>
  <si>
    <t>পরের হাতে জিনিস দ্রুত যায়</t>
  </si>
  <si>
    <t>Wealth in another's hand, goes quickly</t>
  </si>
  <si>
    <t>পরোক্ষে কার্যহন্তারং প্রত্যক্ষে প্রিয়বাদিনম, বর্জয়েৎ তাদৃশ্যং বন্ধুং বিষকুম্ভং পয়োমুখম্‌</t>
  </si>
  <si>
    <t>পরোক্ষে কাজ নষ্টকারী, প্রত্যক্ষে মিষ্টভাষী—এই বন্ধুকে ত্যাগ কর, বিষের ঘড়ি দুধের মুখ</t>
  </si>
  <si>
    <t>যে পেছনে ক্ষতি করে, মুখে মিষ্টি</t>
  </si>
  <si>
    <t>Shun a friend who harms behind and speaks sweetly—a poison pot with milk face</t>
  </si>
  <si>
    <t>পরোপকার করে যাও কিন্তু কৃতজ্ঞতা প্রত্যাশা করো না</t>
  </si>
  <si>
    <t>পরোপকার কর, কৃতজ্ঞতা চাইও না</t>
  </si>
  <si>
    <t>নিঃস্বার্থ পরোপকার</t>
  </si>
  <si>
    <t>Do good without expecting gratitude</t>
  </si>
  <si>
    <t>পরোপদেশে পাণ্ডিত্যং সর্বেষাং সুকরং নৃণাম্</t>
  </si>
  <si>
    <t>পরোপদেশে সবাই পণ্ডিত</t>
  </si>
  <si>
    <t>অন্যকে উপদেশ দেওয়া সহজ</t>
  </si>
  <si>
    <t>It's easy to be wise for others</t>
  </si>
  <si>
    <t>পর্বত মহম্মদের কাছে না গেলে মহম্মদ পর্বতের কাছে যাবে</t>
  </si>
  <si>
    <t>পাহাড় মহম্মদের কাছে না এলে মহম্মদ পাহাড়ের কাছে যাবে</t>
  </si>
  <si>
    <t>নিষ্ক্রিয়তার বদলে সক্রিয়তা</t>
  </si>
  <si>
    <t>If the mountain won't come to Muhammad, Muhammad goes to the mountain</t>
  </si>
  <si>
    <t>পর্বতের মূষিক প্রসব</t>
  </si>
  <si>
    <t>পাহাড়ের মূষিক প্রসব</t>
  </si>
  <si>
    <t>অনেক আড়ম্বরে সামান্য ফল</t>
  </si>
  <si>
    <t>The mountain labors and brings forth a mouse</t>
  </si>
  <si>
    <t>পর্বতো বহ্নিমান্ ধুমাৎ</t>
  </si>
  <si>
    <t>পাহাড়ে আগুন, ধোঁয়া থেকে জানা যায়</t>
  </si>
  <si>
    <t>লক্ষণ দেখে কিছু বোঝা যায়</t>
  </si>
  <si>
    <t>A mountain has fire, known by smoke</t>
  </si>
  <si>
    <t>পশ্চিমে ধনু নিত্য খরা, পূর্বে ধনু বর্ষে ধারা- খনা</t>
  </si>
  <si>
    <t>পশ্চিমে ধনুক (রামধনু) থাকলে খরা, পূর্বে থাকলে বৃষ্টি</t>
  </si>
  <si>
    <t>প্রাকৃতিক লক্ষণ</t>
  </si>
  <si>
    <t>Rainbow in west means drought; in east, rain</t>
  </si>
  <si>
    <t>পহেলে দর্শনধারী, পিছে গুণবিচারী</t>
  </si>
  <si>
    <t>আগে রূপদর্শী, পরে গুণবিচার</t>
  </si>
  <si>
    <t>প্রথমে বাহ্যিক, পরে গুণ</t>
  </si>
  <si>
    <t>First judge by looks, later by merit</t>
  </si>
  <si>
    <t>পাঁকালমাছের গায়ে পাঁক লাগে না</t>
  </si>
  <si>
    <t>পাঁকাল মাছের গায়ে পাঁক লাগে না</t>
  </si>
  <si>
    <t>নিজের পরিবেশে মন্দ প্রভাব পড়ে না</t>
  </si>
  <si>
    <t>A mudfish doesn't get muddy—immune in its element</t>
  </si>
  <si>
    <t>পাঁকের গোঁজ</t>
  </si>
  <si>
    <t>অচল, পুঁতে রাখা</t>
  </si>
  <si>
    <t>A peg in mud—fixed</t>
  </si>
  <si>
    <t>পাঁকের মাঝে পদ্ম ফুটেছে</t>
  </si>
  <si>
    <t>পাঁকের মধ্যে পদ্ম ফুটেছে</t>
  </si>
  <si>
    <t>প্রতিকূল পরিবেশে ভালো কিছু</t>
  </si>
  <si>
    <t>A lotus blooms in mud</t>
  </si>
  <si>
    <t>পাঁচ নকলে আসল খাস্তা</t>
  </si>
  <si>
    <t>পাঁচ নকলে আসল নষ্ট</t>
  </si>
  <si>
    <t>অনেক অনুকরণে আসল নষ্ট</t>
  </si>
  <si>
    <t>Five copies ruin original</t>
  </si>
  <si>
    <t>পাঁচ পাগলের ঘর, খোদা রক্ষা কর</t>
  </si>
  <si>
    <t>অনেক পাগলে বিপদ</t>
  </si>
  <si>
    <t>Five madmen's house, God save us</t>
  </si>
  <si>
    <t>পাঁচ রবি যে মাসে পায় ঝরা কিংবা খরায় যায়- খনা</t>
  </si>
  <si>
    <t>মাসে পাঁচ রবিবার পড়লে বৃষ্টি বা খরা</t>
  </si>
  <si>
    <t>কৃষি সংক্রান্ত বিশ্বাস</t>
  </si>
  <si>
    <t>Five Sundays in a month bring rain or drought</t>
  </si>
  <si>
    <t>পাঁচহাত বুকের পাটা</t>
  </si>
  <si>
    <t>পাঁচ হাত বুকের পাটা</t>
  </si>
  <si>
    <t>প্রশস্ত বক্ষ, সাহসী</t>
  </si>
  <si>
    <t>Five-cubit chest—brave</t>
  </si>
  <si>
    <t>পাঁচো আঙ্গুলি ঘি মে</t>
  </si>
  <si>
    <t>পাঁচ আঙুল ঘিয়ে</t>
  </si>
  <si>
    <t>সুবিধাজনক অবস্থায় থাকা</t>
  </si>
  <si>
    <t>Five fingers in ghee—prosperous</t>
  </si>
  <si>
    <t>পাঁড়ে জী পছ্‌তায়ে উওহী চানাগুড় খায়ে</t>
  </si>
  <si>
    <t>পাঁড়ে জী অনুশোচনা করে, সেই চানা গুড় খায়</t>
  </si>
  <si>
    <t>যে খায় সে অনুশোচনা করে</t>
  </si>
  <si>
    <t>The eater regrets eating the gram-jaggery</t>
  </si>
  <si>
    <t>পাঁশ (ছাই) পেড়ে কাটি, ভুঁয়ে না রক্ত পড়ে১</t>
  </si>
  <si>
    <t>ছাই পেড়ে কাটি, মাটিতে রক্ত পড়ে না</t>
  </si>
  <si>
    <t>সামান্য কাজে রক্তপাত হয় না</t>
  </si>
  <si>
    <t>Cutting ash, no blood on ground—harmless</t>
  </si>
  <si>
    <t>পাঁশ (ছাই) পেড়ে কাটি, ভুঁয়ে না রক্ত পড়ে২</t>
  </si>
  <si>
    <t>ছাই পেড়ে কাটি, মাটিতে রক্ত পড়ে না (দ্বিতীয়)</t>
  </si>
  <si>
    <t>তুচ্ছ কাজে বিপদ নেই</t>
  </si>
  <si>
    <t>Cutting ashes, no blood</t>
  </si>
  <si>
    <t>পাইলাম থালে দিলাম গালে; পাপ নাই তার কোনকালে</t>
  </si>
  <si>
    <t>পেয়েছিলাম থালে, দিলাম গালে; কোনো পাপ নেই</t>
  </si>
  <si>
    <t>অপ্রত্যাশিত লাভ উপভোগ</t>
  </si>
  <si>
    <t>Got a plate, put it on cheek; no sin—innocent joy</t>
  </si>
  <si>
    <t>পাকা আম দাঁড়কাকে খায়১</t>
  </si>
  <si>
    <t>পাকা আম দাঁড়কাকে খায়</t>
  </si>
  <si>
    <t>ভালো জিনিস অযোগ্যের ভোগে</t>
  </si>
  <si>
    <t>A ripe mango eaten by a crow—waste</t>
  </si>
  <si>
    <t>পাকা আম দাঁড়কাকে খায়২</t>
  </si>
  <si>
    <t>পাকা আম দাঁড়কাকে খায় (দ্বিতীয়)</t>
  </si>
  <si>
    <t>উত্তমের অপব্যবহার</t>
  </si>
  <si>
    <t>Ripe mango goes to the crow</t>
  </si>
  <si>
    <t>পাকা আম দাঁড়কাকে ঠোকরায়</t>
  </si>
  <si>
    <t>মূল্যবান জিনিস নষ্ট</t>
  </si>
  <si>
    <t>Crow pecks ripe mango—spoilage</t>
  </si>
  <si>
    <t>পাকা ধানে মই দেওয়া১</t>
  </si>
  <si>
    <t>শেষ মুহূর্তে ক্ষতি</t>
  </si>
  <si>
    <t>Harrowing ripe paddy—destruction</t>
  </si>
  <si>
    <t>পাকা ধানে মই দেওয়া২</t>
  </si>
  <si>
    <t>পাকা ধানে মই দেওয়া (দ্বিতীয়)</t>
  </si>
  <si>
    <t>ফল পাকার সময় নষ্ট</t>
  </si>
  <si>
    <t>Dragging ladder over ripe crop</t>
  </si>
  <si>
    <t>পাকা ধানে মই দেওয়া৩</t>
  </si>
  <si>
    <t>পাকা ধানে মই দেওয়া (তৃতীয়)</t>
  </si>
  <si>
    <t>সাফল্যের আগে ধ্বংস</t>
  </si>
  <si>
    <t>Ruin just before harvest</t>
  </si>
  <si>
    <t>অভিজ্ঞ ব্যক্তি প্রতারিত হয় না</t>
  </si>
  <si>
    <t>A mature person isn't fooled by empty words</t>
  </si>
  <si>
    <t>পাখি উড়ে যায় তার পালকের গুণে</t>
  </si>
  <si>
    <t>পাখি উড়ে যায় পালকের গুণে</t>
  </si>
  <si>
    <t>নিজের যোগ্যতায় সফল</t>
  </si>
  <si>
    <t>A bird flies by its feathers—own merit</t>
  </si>
  <si>
    <t>পাখি চিনে উঁচু ডাল, মাছ চিনে গভীর জল</t>
  </si>
  <si>
    <t>পাখি জানে উঁচু ডাল, মাছ জানে গভীর জল</t>
  </si>
  <si>
    <t>প্রত্যেকে নিজের জায়গা জানে</t>
  </si>
  <si>
    <t>Birds know high branches, fish know deep water</t>
  </si>
  <si>
    <t>পাখিমারার ঘরে চড়ুইয়ের বাসা</t>
  </si>
  <si>
    <t>পাখি মারার ঘরে চড়ুইয়ের বাসা</t>
  </si>
  <si>
    <t>শত্রুর ঘরে আশ্রয়</t>
  </si>
  <si>
    <t>A sparrow nests in a bird-catcher's house—irony</t>
  </si>
  <si>
    <t>পাখির চোখ</t>
  </si>
  <si>
    <t>তীক্ষ্ণ দৃষ্টি; লক্ষ্যভেদ</t>
  </si>
  <si>
    <t>Bird's eye—sharp aim</t>
  </si>
  <si>
    <t>পাখির পরিচয় তার গানে মানুষের পরিচয় তার কথায়</t>
  </si>
  <si>
    <t>পাখির পরিচয় তার গানে, মানুষের পরিচয় কথায়</t>
  </si>
  <si>
    <t>কথায় মানুষ চেনা</t>
  </si>
  <si>
    <t>A bird is known by its song, a man by his words</t>
  </si>
  <si>
    <t>পাখির প্রাণ অল্পেই যান</t>
  </si>
  <si>
    <t>পাখির প্রাণ অল্পেই যায়</t>
  </si>
  <si>
    <t>দুর্বল প্রাণী সহজে মরে</t>
  </si>
  <si>
    <t>A bird's life goes easily—fragile</t>
  </si>
  <si>
    <t>পাখির মধ্যে ওঁচা নাম কাদাখোঁচা</t>
  </si>
  <si>
    <t>পাখির মধ্যে নীচ নাম কাদাখোঁচা (পুনরুক্তি)</t>
  </si>
  <si>
    <t>পাগল কি গাছে ফলে, আক্কেলেতে পাগল বলে</t>
  </si>
  <si>
    <t>পাগল কি গাছে ফলে, বুদ্ধিতে পাগল বলা হয়</t>
  </si>
  <si>
    <t>পাগল চেনা যায় বুদ্ধিতে</t>
  </si>
  <si>
    <t>Madness doesn't grow on trees; known by sense</t>
  </si>
  <si>
    <t>পাগলা সাঁকো নাড়িস নে, ভাল মনে করে দিয়েছিস</t>
  </si>
  <si>
    <t>পাগলা সাঁকো নাড়িস না, ভালো মনে করে দিয়েছিস</t>
  </si>
  <si>
    <t>বিপজ্জনক জিনিস না নাড়ানো</t>
  </si>
  <si>
    <t>Don't shake the madman's bridge; he thinks you're kind</t>
  </si>
  <si>
    <t>পাগলের গোবধে আনন্দ</t>
  </si>
  <si>
    <t>পাগলের গোহত্যায় আনন্দ</t>
  </si>
  <si>
    <t>মূর্খের পাপে আনন্দ</t>
  </si>
  <si>
    <t>A madman rejoices in slaughter</t>
  </si>
  <si>
    <t>পাগলের সাত খুন মাপ</t>
  </si>
  <si>
    <t>পাগলের সাত খুন মাফ</t>
  </si>
  <si>
    <t>অজ্ঞানকৃত অপরাধ ক্ষমা</t>
  </si>
  <si>
    <t>A madman's seven murders are forgiven</t>
  </si>
  <si>
    <t>পাগের বড়াই মাগের কাছে</t>
  </si>
  <si>
    <t>পাগড়ির বড়াই স্ত্রীর কাছে</t>
  </si>
  <si>
    <t>নিজের লোকের কাছে বড়াই</t>
  </si>
  <si>
    <t>Boasting to wife about turban</t>
  </si>
  <si>
    <t>পাঠান মুঘল হদ্দ হল, ফারসি পড়ে তাঁতি</t>
  </si>
  <si>
    <t>পাঠান মুঘল শেষ হল, ফারসি পড়ে তাঁতি</t>
  </si>
  <si>
    <t>রাজবংশ শেষ, নিচু লোক শিক্ষিত</t>
  </si>
  <si>
    <t>Pathans and Mughals are gone, a weaver reads Persian—change</t>
  </si>
  <si>
    <t>পা ঢাকে তো (চাদরে) মাথা ঢাকে না, মাথা ঢাকে তো পা ঢাকে না</t>
  </si>
  <si>
    <t>চাদরে পা ঢাকলে মাথা ঢাকে না, মাথা ঢাকলে পা ঢাকে না</t>
  </si>
  <si>
    <t>দুই দিক সামলানো কঠিন</t>
  </si>
  <si>
    <t>Cover feet, head uncovered; cover head, feet uncovered—shortage</t>
  </si>
  <si>
    <t>পাণৌ পয়সা দগ্ধে তক্রং ফুৎকৃত্য পামরাঃ পিবন্তি</t>
  </si>
  <si>
    <t>হাতে পয়সা পুড়ে গেলে মাঠা ফুঁ দিয়ে খায়</t>
  </si>
  <si>
    <t>গরিব অভিজ্ঞতায় সতর্ক</t>
  </si>
  <si>
    <t>The poor blow on buttermilk when money burns</t>
  </si>
  <si>
    <t>পাণ্ডববর্জিত দেশ</t>
  </si>
  <si>
    <t>যেখানে ভালো লোক নেই</t>
  </si>
  <si>
    <t>A land without Pandavas—no good men</t>
  </si>
  <si>
    <t>পাত কাটতে/পাড়তে দেরী সয় না</t>
  </si>
  <si>
    <t>পাত কাটতে দেরি সয় না</t>
  </si>
  <si>
    <t>প্রস্তুতিতে দেরি নয়</t>
  </si>
  <si>
    <t>No delay in cutting leaves</t>
  </si>
  <si>
    <t>পাততাড়ি গুটানো</t>
  </si>
  <si>
    <t>স্থান ছেড়ে পালানো</t>
  </si>
  <si>
    <t>Rolling up bedding—leaving</t>
  </si>
  <si>
    <t>পলায়ন</t>
  </si>
  <si>
    <t>পাতাচাপা কপাল আর পাথরচাপা কপাল</t>
  </si>
  <si>
    <t>পাতাচাপা কপাল, পাথরচাপা কপাল</t>
  </si>
  <si>
    <t>ভাগ্য খারাপের মাত্রা</t>
  </si>
  <si>
    <t>Luck pressed by leaf or stone—bad luck</t>
  </si>
  <si>
    <t>পাথর জলে গলে/পচে না১</t>
  </si>
  <si>
    <t>পাথর জলে গলে না</t>
  </si>
  <si>
    <t>কঠোর হৃদয় গলে না</t>
  </si>
  <si>
    <t>Stone doesn't dissolve in water</t>
  </si>
  <si>
    <t>পাথর জলে গলে/পচে না২</t>
  </si>
  <si>
    <t>পাথর জলে পচে না</t>
  </si>
  <si>
    <t>শক্ত মন বদলায় না</t>
  </si>
  <si>
    <t>Stone doesn't rot in water</t>
  </si>
  <si>
    <t>পাথর জলে হাজার বছর ডুবে থাকলেও রসসিক্ত হয় না</t>
  </si>
  <si>
    <t>পাথর জলে হাজার বছর ডুবেও ভেজে না</t>
  </si>
  <si>
    <t>A stone soaked a thousand years doesn't absorb</t>
  </si>
  <si>
    <t>পাথরে ঘুণ ধরে না</t>
  </si>
  <si>
    <t>শক্ত জিনিসে পোকা ধরে না</t>
  </si>
  <si>
    <t>A stone doesn't get worm-eaten</t>
  </si>
  <si>
    <t>পাথরে পাঁচ কিল২</t>
  </si>
  <si>
    <t>পাথরে পাঁচ কিল (দ্বিতীয়)</t>
  </si>
  <si>
    <t>কঠিনকে আঘাত করে লাভ নেই</t>
  </si>
  <si>
    <t>Five punches on stone</t>
  </si>
  <si>
    <t>পাথরে লেখা মোছে না</t>
  </si>
  <si>
    <t>চিরস্থায়ী লেখা</t>
  </si>
  <si>
    <t>Writing on stone never erased</t>
  </si>
  <si>
    <t>পাদপানাং ভয়ং বাতাৎ পদ্মানাং শিশিরাদ্ভয়ম্, পর্বতানাং ভয়ং বজ্রাৎ সাধূনাং দুর্জনাদ্ভয়ম্</t>
  </si>
  <si>
    <t>গাছের ভয় বাতাসে, পদ্মের ভয় শিশিরে, পর্বতের ভয় বজ্রে, সাধুর ভয় দুর্জনে</t>
  </si>
  <si>
    <t>প্রত্যেকের শত্রু</t>
  </si>
  <si>
    <t>Trees fear wind, lotus dew, mountains thunderbolt, saints wicked</t>
  </si>
  <si>
    <t>পান পান্তা ভক্ষণ ঐ তো পুরুষের লক্ষণ আমি অভাগী তপ্ত খাই কোন দিন বা মরে যাই</t>
  </si>
  <si>
    <t>পান, পান্তা খাওয়া পুরুষের লক্ষণ, আমি অভাগী গরম খাই, কবে মরি</t>
  </si>
  <si>
    <t>নারী নিম্নমানের খাবার পায়</t>
  </si>
  <si>
    <t>Eating betel and stale rice is man's sign; I, unfortunate, eat hot, when will I die</t>
  </si>
  <si>
    <t>পান পুত্লে শ্রাবণে খেয়ে না ফুরায় রাবণে</t>
  </si>
  <si>
    <t>পান পুতুলে শ্রাবণে খেয়ে না ফুরায় রাবণে</t>
  </si>
  <si>
    <t>অর্থগত অস্পষ্ট; সম্ভবত প্রচুর সম্পদ</t>
  </si>
  <si>
    <t>Betel doll, not finished in Shravan, continues to Ravan—abundance</t>
  </si>
  <si>
    <t>পান হতে চূন খসে না১</t>
  </si>
  <si>
    <t>পান থেকে চুন খসে না</t>
  </si>
  <si>
    <t>প্রয়োজনীয় জিনিসের কমতি নেই</t>
  </si>
  <si>
    <t>Lime doesn't fall from betel—nothing lost</t>
  </si>
  <si>
    <t>পান হতে চূন খসে না২</t>
  </si>
  <si>
    <t>পান থেকে চুন খসে না (দ্বিতীয়)</t>
  </si>
  <si>
    <t>কিছুই নষ্ট হয় না</t>
  </si>
  <si>
    <t>No lime drops from paan</t>
  </si>
  <si>
    <t>পানাপুকুরে ডুবে মরা</t>
  </si>
  <si>
    <t>পানা পুকুরে ডুবে মরা</t>
  </si>
  <si>
    <t>তুচ্ছ জায়গায় মৃত্যু</t>
  </si>
  <si>
    <t>Drowning in a mossy pond—disgrace</t>
  </si>
  <si>
    <t>পা বড় না পেট বড়?</t>
  </si>
  <si>
    <t>কোনটা বড়: পরিশ্রম না খাওয়া?</t>
  </si>
  <si>
    <t>Which is bigger, foot or belly?</t>
  </si>
  <si>
    <t>পান্তাভাতে ঘি নষ্ট, বাপের বাড়ী ঝি নষ্ট</t>
  </si>
  <si>
    <t>পান্তাভাতে ঘি নষ্ট, বাপের বাড়ি মেয়ে নষ্ট</t>
  </si>
  <si>
    <t>বেমানান জিনিস নষ্ট</t>
  </si>
  <si>
    <t>Ghee wasted on stale rice, daughter wasted at father's house</t>
  </si>
  <si>
    <t>মেয়ে</t>
  </si>
  <si>
    <t>পাপছাড়া সব কাজই ছোট আকারে শুরু হয়</t>
  </si>
  <si>
    <t>পাপ ছাড়া সব কাজ ছোট আকারে শুরু হয়</t>
  </si>
  <si>
    <t>বড় কাজের শুরু ছোট</t>
  </si>
  <si>
    <t>Every great work starts small, except sin</t>
  </si>
  <si>
    <t>পাপ বাবাকেও ছাড়ে না</t>
  </si>
  <si>
    <t>পাপের ফল সবাইকে</t>
  </si>
  <si>
    <t>Sin spares not even father</t>
  </si>
  <si>
    <t>পাপও লুকায় না, সাগরও শুকায় না</t>
  </si>
  <si>
    <t>পাপ লুকায় না, সাগর শুকায় না</t>
  </si>
  <si>
    <t>সত্য গোপন হয় না</t>
  </si>
  <si>
    <t>Sin can't hide, ocean can't dry</t>
  </si>
  <si>
    <t>পা পিছলে পড়ে যাওয়া লজ্জার নয়, সময়মত উঠতে না পারাটা লজ্জার</t>
  </si>
  <si>
    <t>পা পিছলে পড়া লজ্জার নয়, সময়মতো উঠতে না পারা লজ্জার</t>
  </si>
  <si>
    <t>ব্যর্থতা নয়, নিরুদ্যম লজ্জার</t>
  </si>
  <si>
    <t>Slipping isn't shame; not rising is</t>
  </si>
  <si>
    <t>পাপীদের দেখে জীবন কি জানা যায়</t>
  </si>
  <si>
    <t>পাপীর জীবন থেকে শিক্ষা</t>
  </si>
  <si>
    <t>Can one learn life from sinners?</t>
  </si>
  <si>
    <t>অসৎ উপার্জন নষ্ট</t>
  </si>
  <si>
    <t>Ill-gotten wealth goes in penance</t>
  </si>
  <si>
    <t>পাপের লেশ সুখের শেষ১</t>
  </si>
  <si>
    <t>পাপের লেশ সুখের শেষ</t>
  </si>
  <si>
    <t>সামান্য পাপে সুখ নষ্ট</t>
  </si>
  <si>
    <t>A touch of sin ends happiness</t>
  </si>
  <si>
    <t>পাপের লেশ সুখের শেষ২</t>
  </si>
  <si>
    <t>পাপের লেশ সুখের শেষ (দ্বিতীয়)</t>
  </si>
  <si>
    <t>পাপ সুখ নষ্ট করে</t>
  </si>
  <si>
    <t>Sin spoils joy</t>
  </si>
  <si>
    <t>পাবার আশে পুরুত ঘেষে</t>
  </si>
  <si>
    <t>পাওয়ার আশায় পুরোহিত ঘেঁষে</t>
  </si>
  <si>
    <t>সুবিধার জন্য কাছে থাকা</t>
  </si>
  <si>
    <t>Sticking to priest hoping for gain</t>
  </si>
  <si>
    <t>পায়স সিঞ্চতে নিত্যং ন নিম্বং মধুরায়তে</t>
  </si>
  <si>
    <t>দুধ ঢাললেও নিম মিষ্টি হয় না (পুনরুক্তি)</t>
  </si>
  <si>
    <t>Even with milk, neem stays bitter</t>
  </si>
  <si>
    <t>পায়ের জুতা মাথায় চড়েছে</t>
  </si>
  <si>
    <t>নীচ জিনিস উঁচুতে</t>
  </si>
  <si>
    <t>Shoe on head—upstart</t>
  </si>
  <si>
    <t>পায়ের যোগ্য মানুষ নয় গায়ে হাত দিয়ে কথা কয়</t>
  </si>
  <si>
    <t>পায়ের যোগ্য নয়, গায়ে হাত দিয়ে কথা বলে</t>
  </si>
  <si>
    <t>অযোগ্য ব্যক্তি ঘনিষ্ঠতা</t>
  </si>
  <si>
    <t>Not fit for feet, touches body while speaking—cheeky</t>
  </si>
  <si>
    <t>পার (খাল) হ'লে পাটনি শালা</t>
  </si>
  <si>
    <t>খাল পার হলে পাটনি শালা</t>
  </si>
  <si>
    <t>বিপদ কেটে গেলে অকৃতজ্ঞতা</t>
  </si>
  <si>
    <t>After crossing, boatman called brother-in-law</t>
  </si>
  <si>
    <t>পালাতে না পেরে পোষ মানা</t>
  </si>
  <si>
    <t>নিরুপায় হয়ে বশ্যতা</t>
  </si>
  <si>
    <t>Unable to flee, becomes tame</t>
  </si>
  <si>
    <t>পালাতে না পেরে মোড়লের বেহাই</t>
  </si>
  <si>
    <t>বাধ্য হয়ে সম্পর্ক</t>
  </si>
  <si>
    <t>Cannot escape, becomes in-law of chief</t>
  </si>
  <si>
    <t>পালে পালে মিশে গেছে১</t>
  </si>
  <si>
    <t>পালে পালে মিশে গেছে</t>
  </si>
  <si>
    <t>সবাই এক হয়ে গেছে</t>
  </si>
  <si>
    <t>All flocks mixed—unity</t>
  </si>
  <si>
    <t>পাশের বাড়ী বিয়ালো গাই, সেইসুত্রে চাচাতো/পাড়াতো ভাই</t>
  </si>
  <si>
    <t>পাশের বাড়ি বিয়ালো গাই, সেই সূত্রে চাচাতো/পাড়াতো ভাই</t>
  </si>
  <si>
    <t>সামান্য সম্পর্ককে বড় করা</t>
  </si>
  <si>
    <t>Neighbor's cow calved, so we're cousins—absurd</t>
  </si>
  <si>
    <t>পাষণ্ডের পাপবোধ নাই</t>
  </si>
  <si>
    <t>পাষণ্ডের পাপবোধ নেই</t>
  </si>
  <si>
    <t>দুষ্টের অনুশোচনা নেই</t>
  </si>
  <si>
    <t>A wicked man has no sense of sin</t>
  </si>
  <si>
    <t>পাহাড়ের চূড়ায় চড়ো না, তাহলে চূড়া থেকে তুমি নীচের সকলকে ছোট দেখবে আর নীচের সকলে তোমাকেও ছোট দেখবে</t>
  </si>
  <si>
    <t>পাহাড়ের চূড়ায় চড়ো না, তাহলে তুমি সকলকে ছোট দেখবে, তারাও তোমাকে ছোট দেখবে</t>
  </si>
  <si>
    <t>উচ্চতা বিচ্ছিন্ন করে</t>
  </si>
  <si>
    <t>Don't climb peak; you'll see everyone small, and they'll see you small</t>
  </si>
  <si>
    <t>পিঁড়েয় বসে পেঁড়োর খবর</t>
  </si>
  <si>
    <t>পিঁড়িতে বসে পেঁড়োর খবর</t>
  </si>
  <si>
    <t>অন্যের দোষ খোঁজা</t>
  </si>
  <si>
    <t>Sitting on stool, inquiring about a peg</t>
  </si>
  <si>
    <t>দোষান্বেষণ</t>
  </si>
  <si>
    <t>পিঁপড়ে চলতে থাকলে শত যোজন এগুতে পারে</t>
  </si>
  <si>
    <t>পিঁপড়ে চলতে থাকলে শত যোজন এগোয়</t>
  </si>
  <si>
    <t>ধীরে চললেও লক্ষ্যে</t>
  </si>
  <si>
    <t>An ant moving can cover hundred leagues</t>
  </si>
  <si>
    <t>পিঁয়াজ বলে রসুন ভাই তোমার বড় খোসা</t>
  </si>
  <si>
    <t>পেঁয়াজ রসুনকে বলে তোমার বড় খোসা</t>
  </si>
  <si>
    <t>Onion tells garlic you have thick skin</t>
  </si>
  <si>
    <t>পিঠা খায় পিঠের ফোঁড় গণে না</t>
  </si>
  <si>
    <t>পিঠা খায়, পিঠের ফোঁড় গণে না</t>
  </si>
  <si>
    <t>ভোগ করে, পরিশ্রম বোঝে না</t>
  </si>
  <si>
    <t>Eats cake, doesn't count the stitches</t>
  </si>
  <si>
    <t>পিঠে বলো মিঠা বলো ভাতের বাড়া নাই</t>
  </si>
  <si>
    <t>পিঠে বলো, মিঠা বলো, ভাতের বাড়া নেই</t>
  </si>
  <si>
    <t>Call it sweet or whatever, no extra rice—reality</t>
  </si>
  <si>
    <t>পিড়েয় বসে পেঁড়োর খবর</t>
  </si>
  <si>
    <t>পিঁড়িতে বসে পেঁড়োর খবর (পুনরুক্তি)</t>
  </si>
  <si>
    <t>Sitting on stool, asks about peg</t>
  </si>
  <si>
    <t>পিন্ডি পায় না, কেত্তন চায়/গায়</t>
  </si>
  <si>
    <t>পিণ্ডি পায় না, কীর্তন চায়</t>
  </si>
  <si>
    <t>মূল কাজ নেই, অনুষঙ্গ চায়</t>
  </si>
  <si>
    <t>No offerings, but wants kirtan</t>
  </si>
  <si>
    <t>পিতলের কাটারি কাজে নেই ধার, ঝকমকই সার</t>
  </si>
  <si>
    <t>পিতলের ছুরি ধার নেই, শুধু ঝকঝক</t>
  </si>
  <si>
    <t>বাহ্যিক সাজ, কাজ নেই</t>
  </si>
  <si>
    <t>Brass knife has no edge, only shine</t>
  </si>
  <si>
    <t>পিতলের সরা জাঁকে ভরা</t>
  </si>
  <si>
    <t>পিতলের সরা (পাত্র) জাঁকে ভরা</t>
  </si>
  <si>
    <t>বাহ্যিক আড়ম্বর</t>
  </si>
  <si>
    <t>Brass dish full of pomp</t>
  </si>
  <si>
    <t>পিতা রক্ষতি কৌমার্যে, ভর্তা রক্ষতি যৌবনে পুত্রশ্চ রক্ষতি স্থবিরে</t>
  </si>
  <si>
    <t>কুমারীকালে পিতা, যৌবনে স্বামী, বৃদ্ধকালে পুত্র রক্ষা করে</t>
  </si>
  <si>
    <t>নারীর আজীবন পুরুষের আশ্রয়</t>
  </si>
  <si>
    <t>Father protects in childhood, husband in youth, son in old age</t>
  </si>
  <si>
    <t>পিপাসার অন্ত নেই</t>
  </si>
  <si>
    <t>পিপাসার শেষ নেই</t>
  </si>
  <si>
    <t>আকাঙ্ক্ষার শেষ নেই</t>
  </si>
  <si>
    <t>Thirst has no end</t>
  </si>
  <si>
    <t>পিপীলিকার পাখা/ডানা গজায় মরিবার তরে</t>
  </si>
  <si>
    <t>পিঁপড়ার ডানা গজায় মরার জন্য</t>
  </si>
  <si>
    <t>অতিরিক্ত সুবিধা মৃত্যুর কারণ</t>
  </si>
  <si>
    <t>An ant grows wings to die—excess is fatal</t>
  </si>
  <si>
    <t>পিয়াদার আবার শ্বশুরবাড়ী</t>
  </si>
  <si>
    <t>পিয়াদার আবার শ্বশুরবাড়ি</t>
  </si>
  <si>
    <t>ছোট কর্মচারীরও সংসার</t>
  </si>
  <si>
    <t>Even a peon has in-laws' house</t>
  </si>
  <si>
    <t>পীত্বা কর্দমপানীয়ং ভেক মকমকায়তে</t>
  </si>
  <si>
    <t>কাদা জল পান করে ব্যাঙ মকমক করে</t>
  </si>
  <si>
    <t>নোংরা পেয়েও আনন্দ</t>
  </si>
  <si>
    <t>A frog croaks after drinking muddy water—lowly joy</t>
  </si>
  <si>
    <t>পীর বরাবর নেড়ে, সোনার খুরে এঁড়ে</t>
  </si>
  <si>
    <t>পীরের সমান ন্যাড়া, সোনার খুরে এঁড়ে</t>
  </si>
  <si>
    <t>অযোগ্যকে অযোগ্য</t>
  </si>
  <si>
    <t>A bald man as saint, a bull with golden hoof—mismatch</t>
  </si>
  <si>
    <t>পীরিত বিনে সুহৃদ নেই</t>
  </si>
  <si>
    <t>প্রীতি ছাড়া সুহৃদ নেই</t>
  </si>
  <si>
    <t>ভালোবাসাই বন্ধুত্ব</t>
  </si>
  <si>
    <t>No friend without love</t>
  </si>
  <si>
    <t>পীরিত যেখানে বিচ্ছেদ সেখানে</t>
  </si>
  <si>
    <t>প্রীতি যেখানে, বিচ্ছেদ সেখানে</t>
  </si>
  <si>
    <t>অতি প্রেমে বিচ্ছেদ</t>
  </si>
  <si>
    <t>Where love is, separation follows</t>
  </si>
  <si>
    <t>পীরিতের নৌকা পাহাড়ে চলে</t>
  </si>
  <si>
    <t>প্রীতির নৌকা পাহাড়ে চলে</t>
  </si>
  <si>
    <t>ভালোবাসার শক্তি অসম্ভব সম্ভব</t>
  </si>
  <si>
    <t>The boat of love sails over mountains</t>
  </si>
  <si>
    <t>পীরিতি গাছের ফল নয়, যেখান সেখানে মেলে না</t>
  </si>
  <si>
    <t>প্রীতি গাছের ফল নয়, সহজে মেলে না</t>
  </si>
  <si>
    <t>প্রেম সহজলভ্য নয়</t>
  </si>
  <si>
    <t>Love isn't a fruit to be found everywhere</t>
  </si>
  <si>
    <t>পীরিতের পেত্নী ভালো</t>
  </si>
  <si>
    <t>প্রীতির পেত্নী ভালো</t>
  </si>
  <si>
    <t>প্রেমের অলৌকিক শক্তি</t>
  </si>
  <si>
    <t>Love's ghost is good—love is powerful</t>
  </si>
  <si>
    <t>পীরের কাছে মামদোবাজী</t>
  </si>
  <si>
    <t>ওস্তাদের কাছে বাহাদুরি</t>
  </si>
  <si>
    <t>Showing off before a saint</t>
  </si>
  <si>
    <t>পীরের সঙ্গে মুখ বাঁকানি</t>
  </si>
  <si>
    <t>পীরের সাথে মুখ বাঁকানো</t>
  </si>
  <si>
    <t>সম্মানিতের সাথে বেয়াদবি</t>
  </si>
  <si>
    <t>Making faces at the saint—disrespect</t>
  </si>
  <si>
    <t>পুঁজি নেই তার পাঁজি আছে</t>
  </si>
  <si>
    <t>পুঁজি নেই, পাঁজি আছে</t>
  </si>
  <si>
    <t>অর্থ নেই, কিন্তু অহংকার</t>
  </si>
  <si>
    <t>No capital, but has ledger—pretence</t>
  </si>
  <si>
    <t>পুঁজি ভেঙে খেতে ভালো ভেটেন গাঙে যেতে ভালো যত কষ্ট উজুতে আর বুঝুতে</t>
  </si>
  <si>
    <t>পুঁজি ভেঙে খাওয়া ভালো, ভেটেন গাঙে যাওয়া ভালো, কষ্ট বোঝা কঠিন</t>
  </si>
  <si>
    <t>সঞ্চয় ভেঙে খাওয়া কষ্টকর</t>
  </si>
  <si>
    <t>Breaking capital to eat, crossing river—sorrow hard to understand</t>
  </si>
  <si>
    <t>পুঁজির উপর একটি১</t>
  </si>
  <si>
    <t>পুঁজির উপর একটি</t>
  </si>
  <si>
    <t>সঞ্চয়ের ওপর লাভ</t>
  </si>
  <si>
    <t>One on capital—profit</t>
  </si>
  <si>
    <t>পুঁটিমাছের প্রাণ</t>
  </si>
  <si>
    <t>পুঁটি মাছের প্রাণ</t>
  </si>
  <si>
    <t>ক্ষুদ্র প্রাণ সহজে যায়</t>
  </si>
  <si>
    <t>Small fish's life—fragile</t>
  </si>
  <si>
    <t>পুঁটিমাছের ফরফরানি</t>
  </si>
  <si>
    <t>পুঁটি মাছের লাফালাফি</t>
  </si>
  <si>
    <t>অল্পজ্ঞানীর বাড়াবাড়ি</t>
  </si>
  <si>
    <t>A small fish's fluttering—shallow</t>
  </si>
  <si>
    <t>পুঁড়োর (কৃষিজীবী জাতি) মেয়ে বেগুন চেনে না</t>
  </si>
  <si>
    <t>পুঁড়োর মেয়ে বেগুন চেনে না</t>
  </si>
  <si>
    <t>অতি পরিচিত জিনিস চেনে না</t>
  </si>
  <si>
    <t>A farmer's daughter doesn't know eggplant—ignorance</t>
  </si>
  <si>
    <t>পুঁথিগত বিদ্যা/ শিক্ষা</t>
  </si>
  <si>
    <t>পুঁথিগত বিদ্যা</t>
  </si>
  <si>
    <t>বইয়ের বিদ্যা, প্রায়োগিক নয়</t>
  </si>
  <si>
    <t>Bookish knowledge—theoretical</t>
  </si>
  <si>
    <t>পুড়লো মেয়ে উড়লো ছাই তবে তার গুণ গাই</t>
  </si>
  <si>
    <t>পুড়ে মেয়ে ছাই, তবু গুণ গাই</t>
  </si>
  <si>
    <t>মৃত্যুতে গুণ কীর্তন</t>
  </si>
  <si>
    <t>Girl burnt to ash, yet sing her praises</t>
  </si>
  <si>
    <t>পুকুর কাত</t>
  </si>
  <si>
    <t>পুকুরের মাছ ধরা</t>
  </si>
  <si>
    <t>Netting the pond—fishing</t>
  </si>
  <si>
    <t>পুকুর কেটে নাওয়া</t>
  </si>
  <si>
    <t>পুকুর কেটে গোসল</t>
  </si>
  <si>
    <t>নিজের জন্য নিজে কাজ</t>
  </si>
  <si>
    <t>Digging pond to bathe—self-service</t>
  </si>
  <si>
    <t>পুকুরের আপদ/শত্রু পানা বাড়ীর আপদ/শত্রু কানা</t>
  </si>
  <si>
    <t>পুকুরের শত্রু পানা, বাড়ির শত্রু কানা</t>
  </si>
  <si>
    <t>Pond's enemy is moss, house's enemy is blind</t>
  </si>
  <si>
    <t>পুত না ভূত</t>
  </si>
  <si>
    <t>ছেলে না ভূত—বাজে</t>
  </si>
  <si>
    <t>Neither son nor ghost—useless</t>
  </si>
  <si>
    <t>পুতুল যেমন পুতুল কাচে, যেমনি নাচায় তেমনি নাচে</t>
  </si>
  <si>
    <t>পুতুল যেমন, যেমন নাচায় তেমন নাচে</t>
  </si>
  <si>
    <t>পরের নিয়ন্ত্রণে</t>
  </si>
  <si>
    <t>Puppet dances as pulled</t>
  </si>
  <si>
    <t>পুত্রভাগ্যে যশ ভরে; কন্যা ভাগ্যে লক্ষ্মী ঘরে</t>
  </si>
  <si>
    <t>পুত্রের ভাগ্যে যশ, কন্যার ভাগ্যে লক্ষ্মী ঘরে</t>
  </si>
  <si>
    <t>সন্তানের ভাগ্যে বাবা-মায়ের সুখ</t>
  </si>
  <si>
    <t>Son brings fame, daughter brings wealth</t>
  </si>
  <si>
    <t>পুনকে (=১/১৬ভাগ) শত্রু বড় আপদ</t>
  </si>
  <si>
    <t>পুনকে (সামান্য) শত্রু বড় বিপদ</t>
  </si>
  <si>
    <t>ছোট শত্রুও ভয়ানক</t>
  </si>
  <si>
    <t>Even a tiny enemy is a big trouble</t>
  </si>
  <si>
    <t>পুনর্মূষিকো ভব</t>
  </si>
  <si>
    <t>আবার ইঁদুর হও</t>
  </si>
  <si>
    <t>আগের অবস্থায় ফিরে যাও</t>
  </si>
  <si>
    <t>Be a mouse again—back to square one</t>
  </si>
  <si>
    <t>পুরানো চাল ভাতে বাড়ে পুরানো ঘিয়ে মাথা ছাড়ে</t>
  </si>
  <si>
    <t>পুরনো চাল ভাতে বাড়ে, পুরনো ঘিয়ে মাথা ছাড়ে</t>
  </si>
  <si>
    <t>পুরনো কিছু জিনিস ভালো</t>
  </si>
  <si>
    <t>Old rice increases in cooking, old ghee reduces head heat</t>
  </si>
  <si>
    <t>পুরানো বসন ভাতি অবলাজনের জাতি</t>
  </si>
  <si>
    <t>পুরনো কাপড়ের মতো অবলার জাতি</t>
  </si>
  <si>
    <t>স্ত্রীলোকের মতো পুরনো কাপড়ও ভালো?</t>
  </si>
  <si>
    <t>Old cloth and woman's race—worn</t>
  </si>
  <si>
    <t>পুরানো বন্ধু ও পুরানো মদ সর্বোৎকৃষ্ট</t>
  </si>
  <si>
    <t>পুরনো বন্ধু ও পুরনো মদ সেরা</t>
  </si>
  <si>
    <t>পুরনো সম্পর্ক দামি</t>
  </si>
  <si>
    <t>Old friends and old wine are best</t>
  </si>
  <si>
    <t>পুরানো বন্ধুর চেয়ে ভাল আয়না হয় না</t>
  </si>
  <si>
    <t>পুরনো বন্ধুর চেয়ে ভালো আয়না নেই</t>
  </si>
  <si>
    <t>পুরনো বন্ধু সেরা</t>
  </si>
  <si>
    <t>No mirror better than an old friend</t>
  </si>
  <si>
    <t>পুরুষের দশ দশা, কখনো হাতী কখনো মশা</t>
  </si>
  <si>
    <t>পুরুষের দশ অবস্থা, কখনো হাতি কখনো মশা</t>
  </si>
  <si>
    <t>ভাগ্যের উত্থান-পতন</t>
  </si>
  <si>
    <t>Man has ten states, sometimes elephant, sometimes mosquito</t>
  </si>
  <si>
    <t>পুস্তকাস্থ চ যা বিদ্যা পরহস্তগতং ধনম্, কার্যকালে সমুৎপন্নে ন সা বিদ্যা ন তদ্ধনম</t>
  </si>
  <si>
    <t>পুস্তকের বিদ্যা, পরহস্তের ধন—প্রয়োজনে সেই বিদ্যা নয়, সেই ধন নয়</t>
  </si>
  <si>
    <t>অপ্রয়োজনীয় জিনিস</t>
  </si>
  <si>
    <t>Book knowledge and wealth in other's hand are useless in crisis</t>
  </si>
  <si>
    <t>পূজার সঙ্গে খোঁজ/যোগ নেই, কপালজোড়া ফোঁটা</t>
  </si>
  <si>
    <t>পূজার সঙ্গে যোগ নেই, কপালজোড়া ফোঁটা</t>
  </si>
  <si>
    <t>কাজ না করে আড়ম্বর</t>
  </si>
  <si>
    <t>No relation to worship, yet big tilak</t>
  </si>
  <si>
    <t>পূণ্যস্য ফলমিচ্ছন্তি পূণ্যং নেচ্ছন্তি মানবাঃ</t>
  </si>
  <si>
    <t>পুণ্যের ফল চায়, পুণ্য কাজ চায় না</t>
  </si>
  <si>
    <t>ফল চায় কিন্তু কাজ নয়</t>
  </si>
  <si>
    <t>Man wants fruit of virtue but not virtue</t>
  </si>
  <si>
    <t>পূণ্যকর্ম পুরস্কারের অপেক্ষায় থাকে না</t>
  </si>
  <si>
    <t>পুণ্যকর্ম পুরস্কার চায় না</t>
  </si>
  <si>
    <t>নিঃস্বার্থ পুণ্য</t>
  </si>
  <si>
    <t>Good deeds don't wait for reward</t>
  </si>
  <si>
    <t>পুণ্য</t>
  </si>
  <si>
    <t>পূবে হাঁস, পশ্চিমে বাঁস; উত্তরে কলা, দক্ষিণে খোলা/মেলা- খনা</t>
  </si>
  <si>
    <t>পূর্বে হাঁস, পশ্চিমে বাঁশ, উত্তরে কলা, দক্ষিণে খোলা</t>
  </si>
  <si>
    <t>বাড়ির চারপাশে কী লাগাবে</t>
  </si>
  <si>
    <t>Duck east, bamboo west, banana north, open south—Khana</t>
  </si>
  <si>
    <t>পূবে হাঁস, পশ্চিমে বাঁস, দক্ষিণে ছেড়ে উত্তরে বেড়ে  বাড়ী করগে পোতা জুড়ে- খনা</t>
  </si>
  <si>
    <t>পূর্বে হাঁস, পশ্চিমে বাঁশ, দক্ষিণ ছেড়ে উত্তর বেড়, বাড়ি কর পুঁতে</t>
  </si>
  <si>
    <t>বাড়ি নির্মাণের নিয়ম</t>
  </si>
  <si>
    <t>Duck east, bamboo west, leave south, north high, build house with posts</t>
  </si>
  <si>
    <t>পূর্ণ আষাঢ়ে দক্ষিণা বয়, সেই বছরে বন্যা হয়- খনা</t>
  </si>
  <si>
    <t>পূর্ণ আষাঢ়ে দক্ষিণা বাতাস বইলে বন্যা</t>
  </si>
  <si>
    <t>আবহাওয়ার পূর্বাভাস</t>
  </si>
  <si>
    <t>Full Ashadh with south wind brings flood</t>
  </si>
  <si>
    <t>পূর্ণচন্দ্র মাত্র একরাত্রি স্থায়ী হয়</t>
  </si>
  <si>
    <t>পূর্ণ চাঁদ একরাত্রি থাকে</t>
  </si>
  <si>
    <t>সৌন্দর্য ক্ষণস্থায়ী</t>
  </si>
  <si>
    <t>Full moon lasts one night</t>
  </si>
  <si>
    <t>পেঁয়াজও গেল পয়জারও হল</t>
  </si>
  <si>
    <t>পেঁয়াজও গেল, জুতাও হল</t>
  </si>
  <si>
    <t>ক্ষতির পর অপমান</t>
  </si>
  <si>
    <t>Lost onion and got shoe—double trouble</t>
  </si>
  <si>
    <t>পেট কাটলে মশাও মরে, হাতিও মরে</t>
  </si>
  <si>
    <t>পেট কাটলে মশা ও হাতি দুজনেই মরে</t>
  </si>
  <si>
    <t>শরীরের ভেতর একই</t>
  </si>
  <si>
    <t>Cut belly kills mosquito and elephant alike</t>
  </si>
  <si>
    <t>পেট খুঁজলে ক অক্ষর পাওয়া যায় না</t>
  </si>
  <si>
    <t>পেট খুঁজলে 'ক' অক্ষর পাওয়া যায় না</t>
  </si>
  <si>
    <t>খালি পেটে জ্ঞান নেই</t>
  </si>
  <si>
    <t>Empty belly has no letter 'Ka'</t>
  </si>
  <si>
    <t>পেট জ্বলে ভাতে সোনার আংটি হাতে</t>
  </si>
  <si>
    <t>পেট জ্বলে ভাতে, হাতে সোনার আংটি</t>
  </si>
  <si>
    <t>অভাবে বাহ্যিক আড়ম্বর</t>
  </si>
  <si>
    <t>Belly burns for rice, yet gold ring on hand</t>
  </si>
  <si>
    <t>ভাণ্ডামি</t>
  </si>
  <si>
    <t>পেট ভরলে পাথরে গন্ধ</t>
  </si>
  <si>
    <t>পেট ভরলে পাথরেও গন্ধ</t>
  </si>
  <si>
    <t>ক্ষুধা মিটলে সব ভালো</t>
  </si>
  <si>
    <t>When full, even stone smells—satisfaction</t>
  </si>
  <si>
    <t>পেট ভরলে মণ্ডার খোসা ছাড়ায়</t>
  </si>
  <si>
    <t>প্রাচুর্যে অপচয়</t>
  </si>
  <si>
    <t>When full, peels even sweets—waste</t>
  </si>
  <si>
    <t>পেট ভালো নয় চালভাজা খায়</t>
  </si>
  <si>
    <t>পেট ভালো নয়, চালভাজা খায়</t>
  </si>
  <si>
    <t>অসুস্থেও খারাপ খায়</t>
  </si>
  <si>
    <t>Stomach bad, yet eats rice crisps</t>
  </si>
  <si>
    <t>পেট ভালো নয় ডাল রাঁধবো কার তরে১</t>
  </si>
  <si>
    <t>পেট ভালো নয়, ডাল রাঁধব কার জন্য?</t>
  </si>
  <si>
    <t>কর্তা অসুস্থ, কাজ বৃথা</t>
  </si>
  <si>
    <t>Stomach bad, for whom cook dal?</t>
  </si>
  <si>
    <t>পেট ভালো নয় ডাল রাঁধবো কার তরে২</t>
  </si>
  <si>
    <t>পেট ভালো নয়, ডাল রাঁধব কার জন্য (দ্বিতীয়)</t>
  </si>
  <si>
    <t>অসুস্থের জন্য রান্না অর্থহীন</t>
  </si>
  <si>
    <t>If stomach bad, why cook?</t>
  </si>
  <si>
    <t>খেলে প্রহার সহ্য</t>
  </si>
  <si>
    <t>If fed, can bear beating</t>
  </si>
  <si>
    <t>পেটের আপদ/শত্রু মুড়ি বাড়ীর আপদ/শত্রু বুড়ি</t>
  </si>
  <si>
    <t>পেটের শত্রু মুড়ি, বাড়ির শত্রু বুড়ি</t>
  </si>
  <si>
    <t>প্রত্যেকের সমস্যা</t>
  </si>
  <si>
    <t>Belly's enemy is puffed rice, house's enemy old woman</t>
  </si>
  <si>
    <t>পৈতে পুড়িয়ে ব্রহ্মচারী/সন্যাসী১</t>
  </si>
  <si>
    <t>পৈতা পুড়িয়ে ব্রহ্মচারী/সন্ন্যাসী</t>
  </si>
  <si>
    <t>গেরুয়া পরে সন্ন্যাসী</t>
  </si>
  <si>
    <t>Burning sacred thread, becomes monk</t>
  </si>
  <si>
    <t>প্রতি ডুবেই শামুক/শালুক উঠে না</t>
  </si>
  <si>
    <t>প্রতিবার ডুব দিলে শামুক/শালুক ওঠে না</t>
  </si>
  <si>
    <t>প্রতিবার সফল হয় না</t>
  </si>
  <si>
    <t>Every dive doesn't bring snail/water-lily</t>
  </si>
  <si>
    <t>প্রত্যাশা</t>
  </si>
  <si>
    <t>প্রতিকার অপেক্ষা প্রতিষেধ ভাল</t>
  </si>
  <si>
    <t>প্রতিকারের চেয়ে প্রতিষেধ ভালো (পুনরুক্তি)</t>
  </si>
  <si>
    <t>প্রতিরোধ শ্রেয়</t>
  </si>
  <si>
    <t>Prevention better than cure</t>
  </si>
  <si>
    <t>প্রদীপের কোলেই/নীচেই অন্ধকার১</t>
  </si>
  <si>
    <t>প্রদীপের নিচেই অন্ধকার</t>
  </si>
  <si>
    <t>নিজের জায়গায় অবহেলা</t>
  </si>
  <si>
    <t>Darkness under the lamp</t>
  </si>
  <si>
    <t>প্রদীপের কোলেই/নীচেই অন্ধকার২</t>
  </si>
  <si>
    <t>প্রদীপের কোলেই অন্ধকার (দ্বিতীয়)</t>
  </si>
  <si>
    <t>কাছের জিনিসের অবহেলা</t>
  </si>
  <si>
    <t>Under the lamp is dark</t>
  </si>
  <si>
    <t>প্রয়োজনে খোঁড়াও লাফায়</t>
  </si>
  <si>
    <t>প্রয়োজনে খোঁড়াও লাফায় (পুনরুক্তি)</t>
  </si>
  <si>
    <t>প্রয়োজন বাধ্য করে</t>
  </si>
  <si>
    <t>Need makes a lame man jump</t>
  </si>
  <si>
    <t>প্রাপ্তে তু ষোড়শে বর্ষে পুত্রং মিত্রবদাচরেৎ</t>
  </si>
  <si>
    <t>ষোল বছর হলে পুত্রকে মিত্রের মতো আচরণ</t>
  </si>
  <si>
    <t>বড় ছেলেকে বন্ধু ভাব</t>
  </si>
  <si>
    <t>When son reaches sixteen, treat him as friend</t>
  </si>
  <si>
    <t>ফকিরে ফকিরে ভাই ভাই, ফকিরের রাজত্ব সব ঠাঁই</t>
  </si>
  <si>
    <t>ফকিরে ফকিরে ভাই, ফকিরের রাজত্ব সব জায়গায়</t>
  </si>
  <si>
    <t>দরিদ্রের সব জায়গায় ঠাঁই</t>
  </si>
  <si>
    <t>Fakirs are brothers, their kingdom everywhere</t>
  </si>
  <si>
    <t>ফতোবাবুর গালগল্প সার</t>
  </si>
  <si>
    <t>ফতো বাবুর গল্পই সার</t>
  </si>
  <si>
    <t>শুধু কথা, কাজ নেই</t>
  </si>
  <si>
    <t>The show-off's tales are all talk</t>
  </si>
  <si>
    <t>ফর্সা কাপড়ে মান বাড়ে</t>
  </si>
  <si>
    <t>সাদা কাপড়ে সম্মান</t>
  </si>
  <si>
    <t>Fair clothes increase honor</t>
  </si>
  <si>
    <t>ফর্সা মুখ কালো হৃদয় লুকাতে পারে</t>
  </si>
  <si>
    <t>ফর্সা মুখ কালো মন ঢাকতে পারে</t>
  </si>
  <si>
    <t>সুন্দর মুখে কুচরিত্র</t>
  </si>
  <si>
    <t>Fair face may hide black heart</t>
  </si>
  <si>
    <t>ফল ও ছায়াযুক্ত গাছকে আশ্রয় করতে হয়</t>
  </si>
  <si>
    <t>ফল ও ছায়াযুক্ত গাছকে আশ্রয় করা</t>
  </si>
  <si>
    <t>উপকারীকে আশ্রয়</t>
  </si>
  <si>
    <t>Take shelter under a tree with fruit and shade</t>
  </si>
  <si>
    <t>ফল খেয়ে জল খায়; যম ডাকে আয় আয়</t>
  </si>
  <si>
    <t>ফল খেয়ে জল খায়, যম ডাকে</t>
  </si>
  <si>
    <t>ফল খেয়ে জল পান ক্ষতিকর</t>
  </si>
  <si>
    <t>Eating fruit then water invites death</t>
  </si>
  <si>
    <t>ফল্গুনদী অন্তঃসলিলা</t>
  </si>
  <si>
    <t>ফল্গু নদী অন্তঃসলিলা</t>
  </si>
  <si>
    <t>বাহিরে শুকনো, ভেতরে জল</t>
  </si>
  <si>
    <t>The Falgu river flows beneath—hidden depth</t>
  </si>
  <si>
    <t>ফাঁক পেলে সবাই চোর</t>
  </si>
  <si>
    <t>সুযোগ পেলে সবাই অসৎ</t>
  </si>
  <si>
    <t>Given a gap, everyone is a thief</t>
  </si>
  <si>
    <t>ফাঁকা কথায়/বুলিতে পাকা লোক ভোলে না</t>
  </si>
  <si>
    <t>ফাঁকা কথায় পাকা লোক ভোলে না</t>
  </si>
  <si>
    <t>অভিজ্ঞ ব্যক্তি প্রতারিত নয়</t>
  </si>
  <si>
    <t>Mature person not fooled by empty words</t>
  </si>
  <si>
    <t>ফাঁকাকলসি বাজে বেশি</t>
  </si>
  <si>
    <t>ফাঁকা কলসি বাজে বেশি (পুনরুক্তি)</t>
  </si>
  <si>
    <t>অল্পজ্ঞানীর বড়াই</t>
  </si>
  <si>
    <t>Empty pot sounds loudest</t>
  </si>
  <si>
    <t>ফাঁকি দিলে ফাঁকে পড়তে হয়</t>
  </si>
  <si>
    <t>ফাঁকি দিলে ফাঁদে পড়তে হয়</t>
  </si>
  <si>
    <t>প্রতারণায় নিজের ক্ষতি</t>
  </si>
  <si>
    <t>Deceit leads to trap</t>
  </si>
  <si>
    <t>ফাঁদ পেতে ফাঁদে পড়া</t>
  </si>
  <si>
    <t>ফাঁদ পেতে নিজে ফাঁদে পড়া</t>
  </si>
  <si>
    <t>নিজের ফাঁদে নিজে</t>
  </si>
  <si>
    <t>Setting trap and falling in it</t>
  </si>
  <si>
    <t>ফাঁন্দে পড়িয়া বগা কান্দে</t>
  </si>
  <si>
    <t>ফাঁদে পড়ে বগা কাঁদে</t>
  </si>
  <si>
    <t>বিপদে প্রাণী কাঁদে</t>
  </si>
  <si>
    <t>A heron cries in a snare</t>
  </si>
  <si>
    <t>ফাঁপা কলসির আওয়াজ বড়</t>
  </si>
  <si>
    <t>ফাঁপা কলসির শব্দ বড় (পুনরুক্তি)</t>
  </si>
  <si>
    <t>Hollow pot makes big noise</t>
  </si>
  <si>
    <t>ফাগুনে না রুলে ওল শেষে হবে গণ্ডগোল- খনা</t>
  </si>
  <si>
    <t>ফাগুনে ওল না লাগালে শেষে ঝামেলা</t>
  </si>
  <si>
    <t>ফাগুনে ওল চাষ না করলে ক্ষতি</t>
  </si>
  <si>
    <t>If you don't plant ol in Falgun, later trouble</t>
  </si>
  <si>
    <t>ফাটা-কাঁসর বেসুরে বাজে</t>
  </si>
  <si>
    <t>ফাটা কাঁসর বেসুরে বাজে</t>
  </si>
  <si>
    <t>ত্রুটিপূর্ণ জিনিস বাজে</t>
  </si>
  <si>
    <t>A cracked bell sounds off-key</t>
  </si>
  <si>
    <t>ফুটলো কেশে ফুরালো বার্ষে- খনা</t>
  </si>
  <si>
    <t>ফুটলো কেশে, ফুরালো বার্ষে</t>
  </si>
  <si>
    <t>চুল ফুটলে বর্ষা শেষ</t>
  </si>
  <si>
    <t>When hair sprouts, rains end</t>
  </si>
  <si>
    <t>ফুলবাবুর ধরাচূড়াই সার</t>
  </si>
  <si>
    <t>ফুলবাবুর চালই সার</t>
  </si>
  <si>
    <t>The dandy's style is all show</t>
  </si>
  <si>
    <t>ফুলে নাই গন্ধ, চক্ষু থাকতে অন্ধ</t>
  </si>
  <si>
    <t>ফুলে গন্ধ নেই, চোখ থাকতে অন্ধ</t>
  </si>
  <si>
    <t>গুণহীন সৌন্দর্য</t>
  </si>
  <si>
    <t>Flower without scent, blind despite eyes</t>
  </si>
  <si>
    <t>ফুলের ঘায়ে মূর্ছা যায়২</t>
  </si>
  <si>
    <t>ফুলের ঘায়ে মূর্ছা যায় (দ্বিতীয়)</t>
  </si>
  <si>
    <t>সামান্য আঘাতে কাতর</t>
  </si>
  <si>
    <t>Swoons at a flower</t>
  </si>
  <si>
    <t>ফুলের মধ্যে মালা, বাসনের মধ্যে থালা, কুটুম্বের মধ্যে শালা</t>
  </si>
  <si>
    <t>প্রত্যেকের সেরা</t>
  </si>
  <si>
    <t>Among flowers garland, among utensils plate, among relatives brother-in-law</t>
  </si>
  <si>
    <t>ফুলের শোভা ভোমরা, গাইয়ের শোভা চোমরা (চমরী গাই)</t>
  </si>
  <si>
    <t>ফুলের শোভা ভোমরা, গাইয়ের শোভা চোমরা</t>
  </si>
  <si>
    <t>প্রত্যেকের সঙ্গী</t>
  </si>
  <si>
    <t>Beauty of flower is bee, of cow is chomra</t>
  </si>
  <si>
    <t>ফেলো কড়ি মাখ তেল, তুমি কি আমার পর?</t>
  </si>
  <si>
    <t>ফেলো কড়ি মাখো তেল, তুমি কি আমার পর?</t>
  </si>
  <si>
    <t>টাকা দিলে সব আপন</t>
  </si>
  <si>
    <t>Spend money, oil yourself; are you a stranger?</t>
  </si>
  <si>
    <t>ফোঁড়ার উপর বিস্ফোটক</t>
  </si>
  <si>
    <t>ফোঁড়ার উপর বিষফোঁড়া</t>
  </si>
  <si>
    <t>দুঃখের উপর দুঃখ</t>
  </si>
  <si>
    <t>A boil upon a boil</t>
  </si>
  <si>
    <t>বইয়ে থাকা বিদ্যা আর পরের হাতে থাকা ধন সমান কথা</t>
  </si>
  <si>
    <t>বইয়ের বিদ্যা, পরের হাতে ধন সমান</t>
  </si>
  <si>
    <t>অপ্রয়োজনীয় জ্ঞান</t>
  </si>
  <si>
    <t>Knowledge in book and wealth in other's hand are same</t>
  </si>
  <si>
    <t>বউ গিন্নি হলে তার বড় ফরফড়ানি</t>
  </si>
  <si>
    <t>গৃহিণী হলে বড়াই</t>
  </si>
  <si>
    <t>When daughter-in-law becomes mistress, she struts</t>
  </si>
  <si>
    <t>বউ ভাঙলে চাড়া শাশুড়ী ভাঙলে খোলা</t>
  </si>
  <si>
    <t>বউ ভাঙলে চাড়া, শাশুড়ি ভাঙলে খোলা</t>
  </si>
  <si>
    <t>একই দোষ ভিন্ন শাস্তি</t>
  </si>
  <si>
    <t>If wife breaks, it's a shard; if mother-in-law breaks, a pot—double standard</t>
  </si>
  <si>
    <t>বউয়ের কাছে চৌকিদারের বড়াই১</t>
  </si>
  <si>
    <t>বউয়ের কাছে চৌকিদারের বড়াই</t>
  </si>
  <si>
    <t>নিজের কাছে বড়াই</t>
  </si>
  <si>
    <t>Guarding one's wife, boaster</t>
  </si>
  <si>
    <t>বউয়ের কাছে চৌকিদারের বড়াই২</t>
  </si>
  <si>
    <t>বউয়ের কাছে চৌকিদারের বড়াই (দ্বিতীয়)</t>
  </si>
  <si>
    <t>নিজের স্ত্রীর কাছে বীরত্ব</t>
  </si>
  <si>
    <t>The watchman brags to wife</t>
  </si>
  <si>
    <t>বক বলে প্রাণে মলাম গৃহস্থ বলে আলুনি খেলাম</t>
  </si>
  <si>
    <t>বক বলে প্রাণে মরলাম, গৃহস্থ বলে লবণহীন খেয়েছি</t>
  </si>
  <si>
    <t>দুই পক্ষের অভিযোগ</t>
  </si>
  <si>
    <t>The heron says it died, the householder says unsalted—both complain</t>
  </si>
  <si>
    <t>বক হাঁসের দলে শোভা পায় না</t>
  </si>
  <si>
    <t>বক রাজহাঁসের দলে শোভা পায় না</t>
  </si>
  <si>
    <t>মন্দ ভালোর সাথে মেলে না</t>
  </si>
  <si>
    <t>A heron doesn't look good among swans</t>
  </si>
  <si>
    <t>বকরা অপনে জানসে গয়া, খানেওয়ালা স্বাদহীন পায়া</t>
  </si>
  <si>
    <t>বকরারা নিজে জেনে যায়, খাদক স্বাদহীন পায়</t>
  </si>
  <si>
    <t>যে খায় সে বোঝে</t>
  </si>
  <si>
    <t>The goat knows, the eater gets tasteless</t>
  </si>
  <si>
    <t>বগলে কাস্তে/ছাতা/পুঁথি দেশময় খোঁজে</t>
  </si>
  <si>
    <t>বগলে কাস্তে/ছাতা/পুঁথি, দেশময় খোঁজে</t>
  </si>
  <si>
    <t>নিজের জিনিস ভুলে খোঁজা</t>
  </si>
  <si>
    <t>With sickle under arm, searches everywhere</t>
  </si>
  <si>
    <t>বচনে কো দরিদ্র</t>
  </si>
  <si>
    <t>কথায় দরিদ্র?</t>
  </si>
  <si>
    <t>কথায় কেউ গরিব নয়</t>
  </si>
  <si>
    <t>No one is poor in words</t>
  </si>
  <si>
    <t>বজ্র আঁটুনি ফস্কা গেরো১</t>
  </si>
  <si>
    <t>শক্ত বাঁধন, আলগা গিঁট</t>
  </si>
  <si>
    <t>Tight binding, loose knot</t>
  </si>
  <si>
    <t>বজ্র আঁটুনি ফস্কা গেরো২</t>
  </si>
  <si>
    <t>বজ্র আঁটুনি ফস্কা গেরো (দ্বিতীয়)</t>
  </si>
  <si>
    <t>আয়োজন বড়, ফল ছোট</t>
  </si>
  <si>
    <t>Thunder fastening, loose knot</t>
  </si>
  <si>
    <t>বজ্র আঁটুনি ফস্কা গেরো৩</t>
  </si>
  <si>
    <t>বজ্র আঁটুনি ফস্কা গেরো (তৃতীয়)</t>
  </si>
  <si>
    <t>শক্তি আছে, কিন্তু ফাঁক</t>
  </si>
  <si>
    <t>Strong but loose</t>
  </si>
  <si>
    <t>বজ্রাঘাতে রামনাম</t>
  </si>
  <si>
    <t>বজ্রপাতে রামনাম</t>
  </si>
  <si>
    <t>বিপদে ঈশ্বরের নাম</t>
  </si>
  <si>
    <t>Thunder strikes, Ram's name</t>
  </si>
  <si>
    <t>বজ্রাদপি কঠোরাণি মৃদুনি কুসুমাদপি</t>
  </si>
  <si>
    <t>বজ্রের চেয়ে কঠোর, ফুলের চেয়ে কোমল</t>
  </si>
  <si>
    <t>মন একাধারে কঠোর ও কোমল</t>
  </si>
  <si>
    <t>Harder than thunderbolt, softer than flower</t>
  </si>
  <si>
    <t>বটবৃক্ষ নিরস পাথর থেকেও রস আহরণ করে</t>
  </si>
  <si>
    <t>বটগাছ রসহীন পাথর থেকেও রস টানে</t>
  </si>
  <si>
    <t>মহৎ ব্যক্তি গুণহীন থেকেও গুণ নেয়</t>
  </si>
  <si>
    <t>A banyan draws sap even from a dry stone</t>
  </si>
  <si>
    <t>বড় ক্ষুধায় পাটকেলে কামড়</t>
  </si>
  <si>
    <t>বড় ক্ষুধায় পাটকেল কামড় (পুনরুক্তি)</t>
  </si>
  <si>
    <t>প্রচণ্ড ক্ষুধায় অখাদ্য</t>
  </si>
  <si>
    <t>In great hunger, bite brick</t>
  </si>
  <si>
    <t>বড় গাঁ তার মাঝের পাড়া১</t>
  </si>
  <si>
    <t>বড় গ্রাম, তার মাঝের পাড়া</t>
  </si>
  <si>
    <t>ক্ষুদ্র বস্তুর বড়াই</t>
  </si>
  <si>
    <t>Big village, its middle quarter</t>
  </si>
  <si>
    <t>বড়গাছের তলায় বাস, ডাল ভাঙলেই সর্বনাশ</t>
  </si>
  <si>
    <t>বড় গাছের তলায় বাস, ডাল ভাঙলে সর্বনাশ</t>
  </si>
  <si>
    <t>শক্তিশালীর আশ্রয় বিপজ্জনক</t>
  </si>
  <si>
    <t>Living under big tree, breaking branch brings ruin</t>
  </si>
  <si>
    <t>বড়ঘরের বড়কথা, গরিবের ছেঁড়াকথা</t>
  </si>
  <si>
    <t>বড় ঘরের বড় কথা, গরিবের ছেঁড়া কথা</t>
  </si>
  <si>
    <t>ধনীর আড়ম্বর, গরিবের অভাব</t>
  </si>
  <si>
    <t>Big house's big words, poor's torn words</t>
  </si>
  <si>
    <t>বড় জাহাজের গভীর জল চাই</t>
  </si>
  <si>
    <t>বড় জাহাজের গভীর জল লাগে</t>
  </si>
  <si>
    <t>বড় কাজে বড় প্রস্তুতি</t>
  </si>
  <si>
    <t>Big ship needs deep water</t>
  </si>
  <si>
    <t>বড় নাক তার গোঁফের বাহার</t>
  </si>
  <si>
    <t>বড় নাক, তার গোঁফের বাহার</t>
  </si>
  <si>
    <t>Big nose, proud mustache</t>
  </si>
  <si>
    <t>বড়বড় বানরের বড়বড় লেজ</t>
  </si>
  <si>
    <t>বড় বানরের বড় লেজ</t>
  </si>
  <si>
    <t>আকার বড়, কাজ ছোট</t>
  </si>
  <si>
    <t>Big monkeys, big tails</t>
  </si>
  <si>
    <t>বড় বাড় ভালো নয়</t>
  </si>
  <si>
    <t>বড় হওয়া ভালো নয়</t>
  </si>
  <si>
    <t>অতিরিক্ত বৃদ্ধি ভালো নয়</t>
  </si>
  <si>
    <t>Being too big is not good</t>
  </si>
  <si>
    <t>বড়বাড়ী তার ঢেঁকিশাল/ বসার ঘর</t>
  </si>
  <si>
    <t>বড় বাড়ি, তার ঢেঁকিশাল/বসার ঘর</t>
  </si>
  <si>
    <t>বড় জিনিসের ছোট অংশ</t>
  </si>
  <si>
    <t>Big house, its husking shed/sitting room</t>
  </si>
  <si>
    <t>অসংগতি</t>
  </si>
  <si>
    <t>বড় বিয়ে তার দু'পায়ে আলতা</t>
  </si>
  <si>
    <t>বড় বিয়ে, তার দুই পায়ে আলতা</t>
  </si>
  <si>
    <t>আড়ম্বরপূর্ণ আয়োজনে ছোট খুঁত</t>
  </si>
  <si>
    <t>Big wedding, but alta on both feet—show with flaw</t>
  </si>
  <si>
    <t>বড়মাছের কাঁটা, ঘনদুধের ফোঁটা</t>
  </si>
  <si>
    <t>বড় মাছের কাঁটা, ঘন দুধের ফোঁটা</t>
  </si>
  <si>
    <t>ভালো জিনিসেরও দোষ আছে</t>
  </si>
  <si>
    <t>Big fish has bones, thick milk has drops—flaws in good</t>
  </si>
  <si>
    <t>বড়মাছের কাঁটাও ভালো১</t>
  </si>
  <si>
    <t>বড় মাছের কাঁটাও ভালো</t>
  </si>
  <si>
    <t>বড় জিনিসের অংশও মূল্যবান</t>
  </si>
  <si>
    <t>Even big fish bones are good</t>
  </si>
  <si>
    <t>বড়মাছের কাঁটাও ভালো২</t>
  </si>
  <si>
    <t>বড় মাছের কাঁটাও ভালো (দ্বিতীয়)</t>
  </si>
  <si>
    <t>বড় আশ্রয়ে সুবিধা</t>
  </si>
  <si>
    <t>Bones of big fish are fine too</t>
  </si>
  <si>
    <t>বড়র পীরিতি বালির বাঁধ ক্ষণে হাতে দড়ি ক্ষণে চাঁদ</t>
  </si>
  <si>
    <t>বড়র প্রীতি বালির বাঁধ, কখনো হাতে দড়ি কখনো চাঁদ</t>
  </si>
  <si>
    <t>বড়লোকের ভালোবাসা ক্ষণস্থায়ী</t>
  </si>
  <si>
    <t>The love of the great is a sand dam—sometimes rope, sometimes moon</t>
  </si>
  <si>
    <t>বড়লোকে কথা কয়, সবে বলে জয় জয়</t>
  </si>
  <si>
    <t>বড়লোক কথা বললে সবাই জয় জয় বলে</t>
  </si>
  <si>
    <t>ধনীর কথার সম্মান</t>
  </si>
  <si>
    <t>When the rich speak, everyone cheers</t>
  </si>
  <si>
    <t>বড়লোকের/ বনেদীঘরের আস্তাকুঁড়ও ভালো</t>
  </si>
  <si>
    <t>বড়লোকের আস্তাকুঁড়ও ভালো</t>
  </si>
  <si>
    <t>ধনীর বর্জ্যও মূল্যবান</t>
  </si>
  <si>
    <t>Even rich man's trash is valued</t>
  </si>
  <si>
    <t>বড়লোকের খেয়াল, ভাঙাদেয়াল ও খ্যাপাশেয়াল- এই তিনে বিশ্বাস নেই</t>
  </si>
  <si>
    <t>বড়লোকের খেয়াল, ভাঙা দেওয়াল, খ্যাপা শেয়াল—এই তিনে বিশ্বাস নেই</t>
  </si>
  <si>
    <t>তিনটিই বিপজ্জনক</t>
  </si>
  <si>
    <t>Don't trust rich man's whim, broken wall, mad jackal</t>
  </si>
  <si>
    <t>বড়লোকের ভুরিভোজ থেকে গরিবের শাকান্ন ভাল</t>
  </si>
  <si>
    <t>বড়লোকের ভুরিভোজ থেকে গরিবের শাকান্ন ভালো</t>
  </si>
  <si>
    <t>সাদামাটা খাওয়া ভালো</t>
  </si>
  <si>
    <t>Poor man's greens better than rich feast</t>
  </si>
  <si>
    <t>বড়লোকের খাদ্য আছে, ক্ষিদে নেই; গরিবের ক্ষিদে আছে, খাদ্য নেই</t>
  </si>
  <si>
    <t>বড়লোকের খাবার আছে ক্ষিধে নেই, গরিবের ক্ষিধে আছে খাবার নেই</t>
  </si>
  <si>
    <t>অভাব ও প্রাচুর্যের অসামঞ্জস্য</t>
  </si>
  <si>
    <t>Rich has food but no hunger; poor has hunger but no food</t>
  </si>
  <si>
    <t>বড় হবে তো ছোট হও</t>
  </si>
  <si>
    <t>বড় হবে তো ছোট হও (পুনরুক্তি)</t>
  </si>
  <si>
    <t>বিনয় থেকে উন্নতি</t>
  </si>
  <si>
    <t>To be great, be small</t>
  </si>
  <si>
    <t>বৎসরের প্রথম ঈশান বয় হবেই বর্ষা খনা কয়</t>
  </si>
  <si>
    <t>বছরের প্রথম ঈশান বাতাস বইলে বর্ষা হবে—খনার বচন</t>
  </si>
  <si>
    <t>If first wind is northeast, rain will come</t>
  </si>
  <si>
    <t>বদনাম হয়েছে তো কি হয়েছে, নাম তো হয়েছে</t>
  </si>
  <si>
    <t>বদনাম হলেও নাম হয়েছে</t>
  </si>
  <si>
    <t>খ্যাতি অখ্যাতিও সমান</t>
  </si>
  <si>
    <t>If you're infamous, at least you're known</t>
  </si>
  <si>
    <t>বদরোগ সারানো যায়, বদনাম তাড়ানো যায় না</t>
  </si>
  <si>
    <t>দুর্নাম চিরস্থায়ী</t>
  </si>
  <si>
    <t>Bad disease cured, bad name never</t>
  </si>
  <si>
    <t>বদের আবার সৎসঙ্গ</t>
  </si>
  <si>
    <t>খারাপ লোকও সৎ সঙ্গ দাবি করে</t>
  </si>
  <si>
    <t>Even a bad person seeks good company</t>
  </si>
  <si>
    <t>বনগাঁয়ে শিয়াল রাজা</t>
  </si>
  <si>
    <t>যেখানে ভালো নেই, সেখানে নিকৃষ্টও রাজা</t>
  </si>
  <si>
    <t>In a jungle village, jackal is king</t>
  </si>
  <si>
    <t>বন থেকে বেরুলো টিয়ে সোনার মুকুট মাথায় দিয়ে</t>
  </si>
  <si>
    <t>বন থেকে বেরুলো টিয়ে, সোনার মুকুট মাথায় দিয়ে</t>
  </si>
  <si>
    <t>অযোগ্যের বড় সাজ</t>
  </si>
  <si>
    <t>Parrot came from forest with golden crown—incongruous</t>
  </si>
  <si>
    <t>বন পোড়ে সবাই দেখে, মন পোড়ে কেউ না দেখে</t>
  </si>
  <si>
    <t>বন পোড়ে সবাই দেখে, মন পোড়ে কেউ দেখে না</t>
  </si>
  <si>
    <t>অন্তরের দুঃখ গোপন</t>
  </si>
  <si>
    <t>Everyone sees forest fire, no one sees heartache</t>
  </si>
  <si>
    <t>বনরক্ষক বাঘ, বাঘরক্ষক বন</t>
  </si>
  <si>
    <t>পরস্পর নির্ভরতা</t>
  </si>
  <si>
    <t>Forest protects tiger, tiger protects forest</t>
  </si>
  <si>
    <t>বনের পশু ধরে আনা যায়, তার মন থেকে বন তাড়ানো যায় না</t>
  </si>
  <si>
    <t>বনের পশু ধরে আনা যায়, মন থেকে বন তাড়ানো যায় না</t>
  </si>
  <si>
    <t>You can take animal from forest, but not forest from its heart</t>
  </si>
  <si>
    <t>বনের পশু/পাখি পোষ মানে</t>
  </si>
  <si>
    <t>বন্যপ্রাণী বশ হয়</t>
  </si>
  <si>
    <t>Forest animals can be tamed</t>
  </si>
  <si>
    <t>নের পশু/পাখি পোষ মানে না</t>
  </si>
  <si>
    <t>বনের পশু/পাখি পোষ মানে না</t>
  </si>
  <si>
    <t>বন্য প্রকৃতি বশ হয় না</t>
  </si>
  <si>
    <t>Wild animals don't tame</t>
  </si>
  <si>
    <t>বন্দর ক্যা জানে অদরকা (আদা) স্বাদ</t>
  </si>
  <si>
    <t>বানর কী জানে আদার স্বাদ</t>
  </si>
  <si>
    <t>মূর্খ গুণ বোঝে না</t>
  </si>
  <si>
    <t>What does a monkey know of ginger's taste</t>
  </si>
  <si>
    <t>বন্দে মাতরম্‌</t>
  </si>
  <si>
    <t>বন্দে মাতরম্</t>
  </si>
  <si>
    <t>মাতৃভূমিকে প্রণাম</t>
  </si>
  <si>
    <t>Hail to the Mother</t>
  </si>
  <si>
    <t>বন্ধমুখে মাছি ঢোকে না১</t>
  </si>
  <si>
    <t>বন্ধ মুখে মাছি ঢোকে না</t>
  </si>
  <si>
    <t>চুপ থাকলে ঝগড়া হয় না</t>
  </si>
  <si>
    <t>Fly doesn't enter closed mouth</t>
  </si>
  <si>
    <t>বন্ধমুখে মাছি ঢোকে না২</t>
  </si>
  <si>
    <t>বন্ধ মুখে মাছি ঢোকে না (দ্বিতীয়)</t>
  </si>
  <si>
    <t>সংযত কথায় বিপদ নেই</t>
  </si>
  <si>
    <t>Closed mouth, no flies</t>
  </si>
  <si>
    <t>বন্ধু চেয়ো না, শত্রু চাও যে তোমার ভুলগুলি ধরিয়ে দেবে</t>
  </si>
  <si>
    <t>বন্ধু নয়, শত্রু চাও যে ভুল ধরিয়ে দেবে</t>
  </si>
  <si>
    <t>সত্য বলার শত্রু ভালো</t>
  </si>
  <si>
    <t>Don't wish for friend, wish for enemy who points faults</t>
  </si>
  <si>
    <t>বন্ধুপ্রাপ্তি থেকে বন্ধু হারানো সহজ</t>
  </si>
  <si>
    <t>বন্ধু পাওয়ার চেয়ে হারানো সহজ</t>
  </si>
  <si>
    <t>বন্ধুত্ব ভঙ্গুর</t>
  </si>
  <si>
    <t>Easier to lose friend than gain</t>
  </si>
  <si>
    <t>বন্ধুকেও বিশ্বাস করবে না, বন্ধু যদি কখনও ক্রুদ্ধ হয়, সমস্ত গুপ্তকথা প্রকাশ করে দিতে পারে</t>
  </si>
  <si>
    <t>বন্ধুকেও বেশি বিশ্বাস নয়, ক্রুদ্ধ হলে গোপন কথা প্রকাশ করে</t>
  </si>
  <si>
    <t>বন্ধুকে সতর্ক বিশ্বাস</t>
  </si>
  <si>
    <t>Don't fully trust friend; if angry, he may reveal secrets</t>
  </si>
  <si>
    <t>বন্ধুত্ব একবার ছিঁড়লে পৃথিবীর সব সুতো দিয়েও সেলাই হয় না</t>
  </si>
  <si>
    <t>বন্ধুত্ব ছিঁড়লে সব সুতো দিয়েও সেলাই হয় না</t>
  </si>
  <si>
    <t>বন্ধুত্ব ভাঙলে জোড়া লাগে না</t>
  </si>
  <si>
    <t>Friendship once torn can't be sewn with all threads</t>
  </si>
  <si>
    <t>বন্ধুত্ব ছাতার মত, বৃষ্টি যত প্রবল হয় ছাতার তত বেশি প্রয়োজন হয়</t>
  </si>
  <si>
    <t>বন্ধুত্ব ছাতার মতো, বৃষ্টি যত প্রবল তত বেশি প্রয়োজন</t>
  </si>
  <si>
    <t>বিপদে বন্ধুর প্রয়োজন</t>
  </si>
  <si>
    <t>Friendship is like umbrella; more needed in storm</t>
  </si>
  <si>
    <t>বন্ধুত্ব ছিন্ন করে অর্থ উপার্জন করতে যেও না বন্ধুত্বস্থাপন অর্থোপার্জনের প্রকৃষ্ট মাধ্যম</t>
  </si>
  <si>
    <t>বন্ধুত্ব ভেঙে অর্থ উপার্জন নয়, বন্ধুত্ব স্থাপনই উপার্জনের উপায়</t>
  </si>
  <si>
    <t>বন্ধুত্বই সম্পদ</t>
  </si>
  <si>
    <t>Don't break friendship for money; friendship is the best earning</t>
  </si>
  <si>
    <t>বন্ধ্যানারী প্রসববেদনার কষ্ট কি জানে১</t>
  </si>
  <si>
    <t>বন্ধ্যা নারী প্রসববেদনা জানে না</t>
  </si>
  <si>
    <t>A barren woman doesn't know labor pain</t>
  </si>
  <si>
    <t>বন্যেরা বনে সুন্দর, শিশুরা মাতৃক্রোড়ে- সঞ্জীবচন্দ্র চট্টোপাধ্যায়</t>
  </si>
  <si>
    <t>বন্যেরা বনে সুন্দর, শিশুরা মায়ের কোলে</t>
  </si>
  <si>
    <t>নিজের স্থানে সবই সুন্দর</t>
  </si>
  <si>
    <t>Wild things beautiful in forest, children in mother's lap</t>
  </si>
  <si>
    <t>মা/শিশু</t>
  </si>
  <si>
    <t>বয়সে চুল পাকে, বুদ্ধি পাকে না</t>
  </si>
  <si>
    <t>বুদ্ধি বয়সে বাড়ে না</t>
  </si>
  <si>
    <t>Hair grays with age, sense doesn't</t>
  </si>
  <si>
    <t>বয়সে নবীন বুদ্ধিতে প্রবীণ</t>
  </si>
  <si>
    <t>বয়সে ছোট, বুদ্ধিতে বড়</t>
  </si>
  <si>
    <t>বুদ্ধি বয়সের ঊর্ধ্বে</t>
  </si>
  <si>
    <t>Young in age, old in wisdom</t>
  </si>
  <si>
    <t>বয়সের গাছপাথর নেই</t>
  </si>
  <si>
    <t>বয়সের গাছ-পাথর নেই</t>
  </si>
  <si>
    <t>বয়স কোনো বাধা নয়</t>
  </si>
  <si>
    <t>Age has no tree or stone—no obstacle</t>
  </si>
  <si>
    <t>বয়োগতে কিং বনিতাবিলাস</t>
  </si>
  <si>
    <t>বয়স গেলে নারী বিলাসে কী?</t>
  </si>
  <si>
    <t>বৃদ্ধে যৌনতা অসার</t>
  </si>
  <si>
    <t>What use women's company in old age?</t>
  </si>
  <si>
    <t>বরং অবসন্ন হবে তবু হীনতা স্বীকার করবে না</t>
  </si>
  <si>
    <t>বরং ক্লান্ত হবে, তবু হীনতা স্বীকার নয়</t>
  </si>
  <si>
    <t>আত্মসম্মান বজায়</t>
  </si>
  <si>
    <t>Better be exhausted than admit meanness</t>
  </si>
  <si>
    <t>বরং চ পণ্ডিতঃ শত্রু ন চ মূর্খেণ মিত্রতা</t>
  </si>
  <si>
    <t>পণ্ডিত শত্রু ভালো, মূর্খ মিত্র নয়</t>
  </si>
  <si>
    <t>জ্ঞানী শত্রু শ্রেয়</t>
  </si>
  <si>
    <t>Better a wise enemy than a foolish friend</t>
  </si>
  <si>
    <t>বরং ভিক্ষাশিত্বং ন চ পরধনাস্বাদনসুখম</t>
  </si>
  <si>
    <t>ভিক্ষা করা ভালো, পরের ধন ভোগ নয়</t>
  </si>
  <si>
    <t>পরের সম্পদ লোভ নয়</t>
  </si>
  <si>
    <t>Better beg than enjoy others' wealth</t>
  </si>
  <si>
    <t>বরং রামশরোগ্রাহ্য ন চ বৈভীষনং বচ</t>
  </si>
  <si>
    <t>রামের শর গ্রহণযোগ্য, বিভীষণের কথা নয়</t>
  </si>
  <si>
    <t>মৃত্যুও ভালো, বিশ্বাসঘাতকতা নয়</t>
  </si>
  <si>
    <t>Better Ram's arrow than Vibhishan's word</t>
  </si>
  <si>
    <t>বরঞ্চ পণ্ডিতঃ শত্রু ন চ মূর্খেণ মিত্রতা</t>
  </si>
  <si>
    <t>পণ্ডিত শত্রু, মূর্খ মিত্র নয় (পুনরুক্তি)</t>
  </si>
  <si>
    <t>Wise enemy better than foolish friend</t>
  </si>
  <si>
    <t>বরের ঘরের পিসী, কনের ঘরের মাসী</t>
  </si>
  <si>
    <t>বরের ঘরের পিসি, কনের ঘরের মাসি</t>
  </si>
  <si>
    <t>উভয় পক্ষের আত্মীয়</t>
  </si>
  <si>
    <t>Groom's aunt, bride's aunt—relatives</t>
  </si>
  <si>
    <t>বর্ণচোরা আম১</t>
  </si>
  <si>
    <t>বর্ণচোরা আম</t>
  </si>
  <si>
    <t>বাহ্যিক রঙে বিভ্রান্ত</t>
  </si>
  <si>
    <t>Deceptive-colored mango</t>
  </si>
  <si>
    <t>বর্ণচোরা আম২</t>
  </si>
  <si>
    <t>বর্ণচোরা আম (দ্বিতীয়)</t>
  </si>
  <si>
    <t>দেখে বোঝা যায় না</t>
  </si>
  <si>
    <t>Color-deceiving mango</t>
  </si>
  <si>
    <t>বর্ণানাং ব্রাহ্মণ গুরু</t>
  </si>
  <si>
    <t>বর্ণের মধ্যে ব্রাহ্মণ গুরু</t>
  </si>
  <si>
    <t>ব্রাহ্মণ শ্রেষ্ঠ</t>
  </si>
  <si>
    <t>Among castes, Brahmin is guru</t>
  </si>
  <si>
    <t>বর্ষণ নেই গর্জন সার</t>
  </si>
  <si>
    <t>বৃষ্টি নেই, গর্জনই সার</t>
  </si>
  <si>
    <t>কাজ নেই, শুধু কথা</t>
  </si>
  <si>
    <t>No rain, only thunder—all talk</t>
  </si>
  <si>
    <t>বল বল আপনার বল; জল জল ইন্দ্রের জল</t>
  </si>
  <si>
    <t>বল বলতে নিজের বল, জল বলতে ইন্দ্রের জল</t>
  </si>
  <si>
    <t>নিজের শক্তিই আসল</t>
  </si>
  <si>
    <t>Strength means own strength; water means rain water</t>
  </si>
  <si>
    <t>বল, বুদ্ধি/বৃদ্ধি, ভরসা- তিন তিরিশে ফরসা</t>
  </si>
  <si>
    <t>বল, বুদ্ধি, ভরসা—তিন তিরিশে ফরসা</t>
  </si>
  <si>
    <t>এই তিনটি তিরিশে ভালো</t>
  </si>
  <si>
    <t>Strength, wisdom, hope—three good at thirty</t>
  </si>
  <si>
    <t>বলং বলং বাহুবলং</t>
  </si>
  <si>
    <t>বল বল বাহুবল</t>
  </si>
  <si>
    <t>শারীরিক শক্তিই বল</t>
  </si>
  <si>
    <t>Strength is arm strength</t>
  </si>
  <si>
    <t>বলদ থাকতে করে না চাষ, তার দুঃখ বারো মাস- খনা</t>
  </si>
  <si>
    <t>বলদ থাকতে চাষ না করলে বারো মাস দুঃখ</t>
  </si>
  <si>
    <t>সুযোগ নষ্ট করলে দুঃখ</t>
  </si>
  <si>
    <t>Having ox but not ploughing, sorrow twelve months</t>
  </si>
  <si>
    <t>বলতে গেলে জাত থাকে না</t>
  </si>
  <si>
    <t>কথা বললে জাতি লুকানো যায় না</t>
  </si>
  <si>
    <t>When speaking, caste is revealed</t>
  </si>
  <si>
    <t>বলতে জানলে ঠকব না, বসতে জানলে উঠব না</t>
  </si>
  <si>
    <t>সতর্কতা ও জ্ঞান</t>
  </si>
  <si>
    <t>If I can speak, I won't be cheated; if I can sit, I won't rise</t>
  </si>
  <si>
    <t>বলতে/কইতে পারি, সইতে পারি না</t>
  </si>
  <si>
    <t>অপমান সহ্য হয় না</t>
  </si>
  <si>
    <t>I can speak but not tolerate</t>
  </si>
  <si>
    <t>বল মা তারা দাঁড়াই কোথা</t>
  </si>
  <si>
    <t>বল মা তারা, কোথায় দাঁড়াই</t>
  </si>
  <si>
    <t>বিপদে মায়ের কাছে প্রার্থনা</t>
  </si>
  <si>
    <t>Mother Tara, where do I stand?</t>
  </si>
  <si>
    <t>বললাম কথা সবার মাঝে, যার কথা তার গায়ে বাজে</t>
  </si>
  <si>
    <t>কথা সবার মাঝে বললাম, যার কথা তার গায়ে বাজে</t>
  </si>
  <si>
    <t>পরোক্ষে সমালোচনা</t>
  </si>
  <si>
    <t>Said words in public, the intended feels</t>
  </si>
  <si>
    <t>বলা ও করা, সম্পূর্ণ দুটি ভিন্ন বিষয়</t>
  </si>
  <si>
    <t>বলা ও করা সম্পূর্ণ ভিন্ন</t>
  </si>
  <si>
    <t>কথা আর কাজ আলাদা</t>
  </si>
  <si>
    <t>Saying and doing are two different things</t>
  </si>
  <si>
    <t>বলা কথা ফেরে না</t>
  </si>
  <si>
    <t>কথা ফেরানো যায় না</t>
  </si>
  <si>
    <t>Spoken words never return</t>
  </si>
  <si>
    <t>বলীর ঘাম, নির্বলীর ঘুম</t>
  </si>
  <si>
    <t>বলবানের ঘাম, দুর্বলের ঘুম</t>
  </si>
  <si>
    <t>সবল পরিশ্রম, দুর্বল বিশ্রাম</t>
  </si>
  <si>
    <t>Strong man sweats, weak sleeps</t>
  </si>
  <si>
    <t>বলে- আরে মোর তুমি, তোমার জন্য চাল ভিজিয়ে খেয়ে মরি আমি</t>
  </si>
  <si>
    <t>বলে, তুমি আমার, তোমার জন্য চাল ভিজিয়ে খেয়ে মরি</t>
  </si>
  <si>
    <t>মিথ্যা ভালোবাসা</t>
  </si>
  <si>
    <t>Says 'you're mine, I die for you'—false love</t>
  </si>
  <si>
    <t>বসতে জানলে উঠতে হয় না</t>
  </si>
  <si>
    <t>সঠিকভাবে বসলে ওঠা লাগে না</t>
  </si>
  <si>
    <t>If you know how to sit, no need to rise</t>
  </si>
  <si>
    <t>বসতে জায়গা পেলে, শোবার জায়গা মেলে</t>
  </si>
  <si>
    <t>বসতে জায়গা পেলে শোবার জায়গা পাওয়া যায়</t>
  </si>
  <si>
    <t>একটু সুযোগ পেলে আরও সুযোগ</t>
  </si>
  <si>
    <t>If you get a place to sit, you'll find to lie</t>
  </si>
  <si>
    <t>বসতে দিলে/পেলে শুতে চায়</t>
  </si>
  <si>
    <t>বসতে দিলে শুতে চায়</t>
  </si>
  <si>
    <t>প্রশ্রয়ে লোভ বাড়ে</t>
  </si>
  <si>
    <t>Given seat, wants bed</t>
  </si>
  <si>
    <t>বসবি তো ছেলে ধর, উঠবি তো কাঠ কাট্</t>
  </si>
  <si>
    <t>বসবে তো ছেলে ধরো, উঠবে তো কাঠ কাটো</t>
  </si>
  <si>
    <t>যে যেখানে থাকবে, সেই কাজ করবে</t>
  </si>
  <si>
    <t>If you sit, hold child; if you rise, chop wood</t>
  </si>
  <si>
    <t>বসে খেলে কলসির জল ফুরায়</t>
  </si>
  <si>
    <t>অলসতায় সঞ্চয় ফুরায়</t>
  </si>
  <si>
    <t>Idle eating empties water pot</t>
  </si>
  <si>
    <t>বসে না থাকি বেগার খাটি/যাই</t>
  </si>
  <si>
    <t>অলস না থেকে বেগার খাটি</t>
  </si>
  <si>
    <t>বেকার থেকে বেগার ভালো</t>
  </si>
  <si>
    <t>Rather do forced labor than sit idle</t>
  </si>
  <si>
    <t>বসে বসে লেজ নাড়া</t>
  </si>
  <si>
    <t>অলসভাবে সময় কাটানো</t>
  </si>
  <si>
    <t>বহু সন্ন্যাসীতে গাজন নষ্ট</t>
  </si>
  <si>
    <t>অনেক সন্ন্যাসীতে গাজন নষ্ট</t>
  </si>
  <si>
    <t>এক কাজে অনেক লোক ক্ষতিকর</t>
  </si>
  <si>
    <t>Too many monks spoil the festival</t>
  </si>
  <si>
    <t>বহ্বারম্ভে লঘুক্রিয়া</t>
  </si>
  <si>
    <t>আড়ম্বর বেশি, কাজ কম</t>
  </si>
  <si>
    <t>শুরু বড়, ফল ছোট</t>
  </si>
  <si>
    <t>Much ado, little done</t>
  </si>
  <si>
    <t>বাঁকারে বাঁকায় চেনে</t>
  </si>
  <si>
    <t>বাঁকা লোক বাঁকায় চেনে</t>
  </si>
  <si>
    <t>দুষ্ট দুষ্টকে চেনে</t>
  </si>
  <si>
    <t>A crooked one knows another crooked</t>
  </si>
  <si>
    <t>বাঁচলে কত দেখবো আর, ছুঁচোর/বাঁদরের গলায় চন্দ্রহার</t>
  </si>
  <si>
    <t>বাঁচলে আর কত দেখব, ছুঁচোর গলায় চন্দ্রহার</t>
  </si>
  <si>
    <t>How long see necklace on a mole/monkey</t>
  </si>
  <si>
    <t>বাঁজি জানে না প্রসববেদনা</t>
  </si>
  <si>
    <t>Barren woman knows not labor pain</t>
  </si>
  <si>
    <t>বাঁদরকে কলা দেখানো২</t>
  </si>
  <si>
    <t>বাঁদরকে কলা দেখানো (দ্বিতীয়)</t>
  </si>
  <si>
    <t>লোভ দেখিয়ে কাজ আদায়</t>
  </si>
  <si>
    <t>Showing banana to monkey</t>
  </si>
  <si>
    <t>বাঁদী পরের পা ধোয়, নিজের ধোয় না</t>
  </si>
  <si>
    <t>দাসী পরের পা ধোয়, নিজের নয়</t>
  </si>
  <si>
    <t>পরের কাজ করে, নিজের না</t>
  </si>
  <si>
    <t>Maid washes other's feet, not own</t>
  </si>
  <si>
    <t>বাঁদী মারতে মঙ্গলবার</t>
  </si>
  <si>
    <t>দাসী মারতে মঙ্গলবার</t>
  </si>
  <si>
    <t>অন্যায়ের দিনক্ষণ</t>
  </si>
  <si>
    <t>Tuesday for beating maid—cruelty</t>
  </si>
  <si>
    <t>বাঁশ কেন ঝাড়ে, আয় আমার ঘাড়ে</t>
  </si>
  <si>
    <t>অন্যের দোষ নিজের ঘাড়ে</t>
  </si>
  <si>
    <t>Why bamboo in grove? It falls on my neck—blame</t>
  </si>
  <si>
    <t>বাঁশতলাতে বিয়ালো গাই সেইসম্পর্কে মামাতো ভাই</t>
  </si>
  <si>
    <t>বাঁশতলায় গাই বিয়োল, সেই সম্পর্কে মামাতো ভাই</t>
  </si>
  <si>
    <t>সামান্য সম্পর্ক বড় করা</t>
  </si>
  <si>
    <t>Cow calved under bamboo, so we're cousins</t>
  </si>
  <si>
    <t>বাঁশবনে ডোম কানা</t>
  </si>
  <si>
    <t>নিজের এলাকায় অক্ষমও বীর</t>
  </si>
  <si>
    <t>A dom in bamboo grove is blind—local advantage</t>
  </si>
  <si>
    <t>আত্মবিশ্বাস</t>
  </si>
  <si>
    <t>বাঁশবনে শিয়াল রাজা</t>
  </si>
  <si>
    <t>বাঁশবনে শিয়াল রাজা (পুনরুক্তি)</t>
  </si>
  <si>
    <t>নিকৃষ্ট স্থানে নিকৃষ্ট শাসক</t>
  </si>
  <si>
    <t>Jackal king in bamboo grove</t>
  </si>
  <si>
    <t>বাঁশ মরে ফুলে, মানুষ মরে ভুলে</t>
  </si>
  <si>
    <t>ভুল মানুষের মৃত্যু</t>
  </si>
  <si>
    <t>Bamboo dies by flowering, man dies by mistake</t>
  </si>
  <si>
    <t>বাঁশ যদি পরে জলে, কি করতে পারে তালে</t>
  </si>
  <si>
    <t>বাঁশ জলে পড়লে তাল কী করবে?</t>
  </si>
  <si>
    <t>শক্তিশালী অবস্থায় কেউ ক্ষতি করতে পারে না</t>
  </si>
  <si>
    <t>If bamboo falls in water, what can palm do?</t>
  </si>
  <si>
    <t>বাঁশি হারিয়ে শিঙায় ফুঁ১</t>
  </si>
  <si>
    <t>বাঁশি হারিয়ে শিঙায় ফুঁ</t>
  </si>
  <si>
    <t>মূল হারিয়ে বিকল্প</t>
  </si>
  <si>
    <t>Lost flute, blows horn—substitute</t>
  </si>
  <si>
    <t>বাঁশের চেয়ে কঞ্চি দড়১</t>
  </si>
  <si>
    <t>ছোটরাও বড়র চেয়ে শক্ত</t>
  </si>
  <si>
    <t>Twig stronger than bamboo</t>
  </si>
  <si>
    <t>বাঁশের চেয়ে কঞ্চি দড়২</t>
  </si>
  <si>
    <t>বাঁশের চেয়ে কঞ্চি শক্ত (দ্বিতীয়)</t>
  </si>
  <si>
    <t>ক্ষুদ্র শক্তিশালী</t>
  </si>
  <si>
    <t>A twig tougher than bamboo</t>
  </si>
  <si>
    <t>বাইরে কোঁচার পত্তন ভিতরে ছুঁচার কেত্তন</t>
  </si>
  <si>
    <t>বাইরে কোঁচার আড়ম্বর, ভিতরে ছুঁচার কীর্তন</t>
  </si>
  <si>
    <t>বাহ্যিক আড়ম্বর, ভেতরে নোংরা</t>
  </si>
  <si>
    <t>Outside grand, inside a shrew's noise</t>
  </si>
  <si>
    <t>বাইরে দেখতে সাদা সাজ ভিতরে আছে ঢাকাই কাজ</t>
  </si>
  <si>
    <t>বাইরে সাদা সাজ, ভিতরে ঢাকাই কাজ</t>
  </si>
  <si>
    <t>বাইরে সরল, ভেতরে জটিল</t>
  </si>
  <si>
    <t>Outside plain, inside intricate</t>
  </si>
  <si>
    <t>বাইরের জামাই কৃষ্ণকান্ত/মধুসূদন ঘরের জামাই কেষ্টো/মেধো</t>
  </si>
  <si>
    <t>বাইরের জামাই কৃষ্ণকান্ত, ঘরের জামাই কেষ্ট</t>
  </si>
  <si>
    <t>পরের প্রশংসা, নিজের অবহেলা</t>
  </si>
  <si>
    <t>Outside son-in-law praised, own son-in-law belittled</t>
  </si>
  <si>
    <t>বাক্যেতে পর্বত, কার্যে তূলাকার</t>
  </si>
  <si>
    <t>কথায় পাহাড়, কাজে তূলা</t>
  </si>
  <si>
    <t>কথায় বড়, কাজে ছোট</t>
  </si>
  <si>
    <t>Mountain in words, cotton in deeds</t>
  </si>
  <si>
    <t>বাগানে গাছার সাথে আগাছাও থাকে</t>
  </si>
  <si>
    <t>বাগানে গাছের সাথে আগাছাও থাকে</t>
  </si>
  <si>
    <t>ভালো-মন্দ একসাথে</t>
  </si>
  <si>
    <t>Garden has weeds with plants</t>
  </si>
  <si>
    <t>বাঘ নেই বাঘিনীর উৎপাত</t>
  </si>
  <si>
    <t>বাঘ নেই, বাঘিনীর উৎপাত</t>
  </si>
  <si>
    <t>আসল নেই, নকলের দাপট</t>
  </si>
  <si>
    <t>No tiger, but tigress's nuisance</t>
  </si>
  <si>
    <t>বিপজ্জনক স্পর্শ</t>
  </si>
  <si>
    <t>A tiger's touch gives eighteen wounds</t>
  </si>
  <si>
    <t>বাঘে বাঘে যুদ্ধ হয় নলখাগড়ার প্রাণ যায়</t>
  </si>
  <si>
    <t>বাঘে বাঘে লড়াই, নলখাগড়ার প্রাণ যায়</t>
  </si>
  <si>
    <t>শক্তিধরের লড়াইয়ে দুর্বলের ক্ষতি</t>
  </si>
  <si>
    <t>Tigers fight, reed dies</t>
  </si>
  <si>
    <t>বাঘের খাঁচায় না ঢুকলে বাঘের বাচ্চা পাওয়া যায় না</t>
  </si>
  <si>
    <t>বাঘের খাঁচায় না ঢুকলে বাচ্চা পাওয়া যায় না</t>
  </si>
  <si>
    <t>ঝুঁকি না নিলে লাভ নেই</t>
  </si>
  <si>
    <t>No cub without entering tiger's cage</t>
  </si>
  <si>
    <t>বাঘের ঘরে ঘোগের বাসা</t>
  </si>
  <si>
    <t>দুই শত্রু এক জায়গায়</t>
  </si>
  <si>
    <t>A wolf lives in tiger's den—dangerous</t>
  </si>
  <si>
    <t>বাঘের আবার চক্ষুলজ্জা</t>
  </si>
  <si>
    <t>বাঘের আবার চোখের লজ্জা</t>
  </si>
  <si>
    <t>হিংস্রের লজ্জা নেই</t>
  </si>
  <si>
    <t>Does a tiger have shame?</t>
  </si>
  <si>
    <t>বাঘের পাছায় ঘা</t>
  </si>
  <si>
    <t>বাঘের পিঠে ঘা</t>
  </si>
  <si>
    <t>বিপজ্জনক স্থানে আঘাত</t>
  </si>
  <si>
    <t>A sore on tiger's back—risky</t>
  </si>
  <si>
    <t>বাঘের পিছনে ফেউ</t>
  </si>
  <si>
    <t>দুর্বল শত্রুকে তাড়া করে</t>
  </si>
  <si>
    <t>A jackal behind tiger—opportunist</t>
  </si>
  <si>
    <t>বাঘের ভয় যেখানে সন্ধ্যে হয় সেখানে</t>
  </si>
  <si>
    <t>বাঘের ভয় যেখানে, সন্ধ্যা হয় সেখানে</t>
  </si>
  <si>
    <t>যেখানে বিপদ সেখানে দ্রুত অন্ধকার</t>
  </si>
  <si>
    <t>Where tiger fear, night falls there</t>
  </si>
  <si>
    <t>বাঙালকে হাইকোর্ট দেখানো</t>
  </si>
  <si>
    <t>মূর্খকে বড় জিনিস দেখানো</t>
  </si>
  <si>
    <t>Showing High Court to a Bengali bumpkin</t>
  </si>
  <si>
    <t>বাঙালীর ইজ্জত যাওয়ার আগে প্রেস্টিজ যায়- রবীন্দ্রনাথ</t>
  </si>
  <si>
    <t>বাঙালির ইজ্জতের আগে প্রেস্টিজ যায়</t>
  </si>
  <si>
    <t>মর্যাদা আগে নষ্ট</t>
  </si>
  <si>
    <t>Bengali loses prestige before honor</t>
  </si>
  <si>
    <t>বাছা শাকে পোকা বেশী</t>
  </si>
  <si>
    <t>বাছা শাকে পোকা বেশি</t>
  </si>
  <si>
    <t>পছন্দের জিনিসে দোষ বেশি</t>
  </si>
  <si>
    <t>Chosen greens have more worms</t>
  </si>
  <si>
    <t>বাছার আমার এত বাড়ি ছ-আনার কাপড়ে ন-আনার পাড়ি</t>
  </si>
  <si>
    <t>বাছার আমার এত বাড়ি, ছ-আনার কাপড়ে ন-আনার পাড়ি</t>
  </si>
  <si>
    <t>ছোট জিনিসের বড়াই</t>
  </si>
  <si>
    <t>My dear has a big house, six-anna cloth with nine-anna border</t>
  </si>
  <si>
    <t>বাজাতে বাজাতে বায়েন, গাইতে গাইয়ে গায়েন</t>
  </si>
  <si>
    <t>বাজাতে বাজাতে বাদক, গাইতে গাইতে গায়ক</t>
  </si>
  <si>
    <t>অনুশীলনে দক্ষতা</t>
  </si>
  <si>
    <t>Practice makes musician, singer</t>
  </si>
  <si>
    <t>বাজারে যাচ্ছেন? না, বাজারে যাচ্ছি; ও আমি ভাবলাম বাজারে যাচ্ছেন</t>
  </si>
  <si>
    <t>বাজারে যাচ্ছেন? না, বাজারে যাচ্ছি; ভাবলাম বাজারে যাচ্ছেন</t>
  </si>
  <si>
    <t>একই কথা ঘুরিয়ে</t>
  </si>
  <si>
    <t>Going to market? No, going to market—confusion</t>
  </si>
  <si>
    <t>বাড়ন্তরা বেশি খায়</t>
  </si>
  <si>
    <t>বর্ধনশীল বেশি খায়</t>
  </si>
  <si>
    <t>Growing children eat more</t>
  </si>
  <si>
    <t>বাড়া ভাতে ছাই১</t>
  </si>
  <si>
    <t>বাড়া ভাতে ছাই</t>
  </si>
  <si>
    <t>বেশি খাবারে ছাই</t>
  </si>
  <si>
    <t>Extra rice gets ash—waste</t>
  </si>
  <si>
    <t>বাড়া ভাতে শত্রু বাড়ে</t>
  </si>
  <si>
    <t>অতিরিক্ত খাবারে শত্রু</t>
  </si>
  <si>
    <t>Extra rice invites enemies</t>
  </si>
  <si>
    <t>বাড়ীর আপদ/শত্রু কানা পুকুরের আপদ/শত্রু পানা</t>
  </si>
  <si>
    <t>বাড়ির শত্রু কানা, পুকুরের শত্রু পানা (পুনরুক্তি)</t>
  </si>
  <si>
    <t>House enemy blind, pond enemy moss</t>
  </si>
  <si>
    <t>বাড়ীর আপদ/শত্রু বুড়ি পেটের আপদ/শত্রু মুড়ি</t>
  </si>
  <si>
    <t>বাড়ির শত্রু বুড়ি, পেটের শত্রু মুড়ি</t>
  </si>
  <si>
    <t>House enemy old woman, belly enemy puffed rice</t>
  </si>
  <si>
    <t>বাড়ীর মধ্যে এক ঘর, তার আবার অন্দরমহল/সদর-অন্দর১</t>
  </si>
  <si>
    <t>বাড়িতে এক ঘর, তার আবার অন্দরমহল</t>
  </si>
  <si>
    <t>অতিরিক্ত বিভাজন</t>
  </si>
  <si>
    <t>One room, yet inner/outer</t>
  </si>
  <si>
    <t>বাড়ীর মধ্যে এক ঘর, তার আবার অন্দরমহল/সদর-অন্দর২</t>
  </si>
  <si>
    <t>বাড়িতে এক ঘর, আবার অন্দরমহল (দ্বিতীয়)</t>
  </si>
  <si>
    <t>ছোট জিনিসের আড়ম্বর</t>
  </si>
  <si>
    <t>One room with inner chamber</t>
  </si>
  <si>
    <t>বাড়ির গরু উঠানের ঘাস খায় না১</t>
  </si>
  <si>
    <t>বাড়ির গরু উঠানের ঘাস খায় না</t>
  </si>
  <si>
    <t>নিজের জিনিস অবহেলা</t>
  </si>
  <si>
    <t>Home cow doesn't eat courtyard grass</t>
  </si>
  <si>
    <t>বাড়ির গরু উঠানের ঘাস খায় না২</t>
  </si>
  <si>
    <t>বাড়ির গরু উঠানের ঘাস খায় না (দ্বিতীয়)</t>
  </si>
  <si>
    <t>পরিচিতের প্রতি অনীহা</t>
  </si>
  <si>
    <t>Own cow won't eat own grass</t>
  </si>
  <si>
    <t>বাড়ির গাছ, পেটের সন্তান</t>
  </si>
  <si>
    <t>সন্তান সবচেয়ে প্রিয়</t>
  </si>
  <si>
    <t>Home tree, belly child—beloved</t>
  </si>
  <si>
    <t>বাণিজ্যে বসতে লক্ষ্মী; তদর্ধং কৃষি-কর্মণি, তদর্ধং রাজসেবায়াৎ ভিক্ষায়াৎ নৈব নৈব চ</t>
  </si>
  <si>
    <t>বাণিজ্যে লক্ষ্মী; তার অর্ধেক কৃষিতে, অর্ধেক রাজসেবায়, ভিক্ষায় নয়</t>
  </si>
  <si>
    <t>ব্যবসা শ্রেষ্ঠ জীবিকা</t>
  </si>
  <si>
    <t>Trade has Lakshmi; half in farming, half in royal service, never in begging</t>
  </si>
  <si>
    <t>বাতাস আগুন জ্বালায়, প্রদীপ নেভায়</t>
  </si>
  <si>
    <t>একই জিনিস দুই কাজ</t>
  </si>
  <si>
    <t>Wind fuels fire, extinguishes lamp</t>
  </si>
  <si>
    <t>বাতাসের সঙ্গে ঝগড়া/লড়াই করা২</t>
  </si>
  <si>
    <t>বাতাসের সঙ্গে লড়াই (দ্বিতীয়)</t>
  </si>
  <si>
    <t>অর্থহীন সংগ্রাম</t>
  </si>
  <si>
    <t>Struggling with air</t>
  </si>
  <si>
    <t>বাতাসের সঙ্গে ঝগড়া/লড়াই করা৩</t>
  </si>
  <si>
    <t>বাতাসের সঙ্গে ঝগড়া (তৃতীয়)</t>
  </si>
  <si>
    <t>শক্তিহীনের লড়াই</t>
  </si>
  <si>
    <t>Quarrel with wind</t>
  </si>
  <si>
    <t>বাতির নীচেই অন্ধকার১</t>
  </si>
  <si>
    <t>Dark under lamp</t>
  </si>
  <si>
    <t>বাতির নীচেই অন্ধকার২</t>
  </si>
  <si>
    <t>প্রদীপের নিচেই অন্ধকার (দ্বিতীয়)</t>
  </si>
  <si>
    <t>Dark beneath light</t>
  </si>
  <si>
    <t>বাদ থেকে প্রতিবাদ, প্রতিবাদ থেকে সম্বাদ</t>
  </si>
  <si>
    <t>তর্ক থেকে আলোচনা</t>
  </si>
  <si>
    <t>From dispute to protest, from protest to dialogue</t>
  </si>
  <si>
    <t>বাদল, বামুন, বান দক্ষিণা পেলে যান- খনা</t>
  </si>
  <si>
    <t>বাদল, বামুন, বান দক্ষিণা পেলে যান</t>
  </si>
  <si>
    <t>তিনজন দক্ষিণায় চলে</t>
  </si>
  <si>
    <t>Rain, Brahmin, flood—leave after offering</t>
  </si>
  <si>
    <t>বাধা মানে না গাধা</t>
  </si>
  <si>
    <t>গাধা বাধা মানে না</t>
  </si>
  <si>
    <t>A donkey doesn't heed obstacles</t>
  </si>
  <si>
    <t>গাধা</t>
  </si>
  <si>
    <t>বানরের গলায় মুক্তামালা১</t>
  </si>
  <si>
    <t>বানরের গলায় মুক্তার মালা</t>
  </si>
  <si>
    <t>Pearl necklace on monkey</t>
  </si>
  <si>
    <t>বানরের সম্পত্তি গালে১</t>
  </si>
  <si>
    <t>বানরের সম্পত্তি গালে</t>
  </si>
  <si>
    <t>অস্থায়ী সঞ্চয়</t>
  </si>
  <si>
    <t>Monkey's wealth in cheeks—temporary</t>
  </si>
  <si>
    <t>বানরের হাতে খন্তা</t>
  </si>
  <si>
    <t>অযোগ্যের হাতে যন্ত্র</t>
  </si>
  <si>
    <t>Monkey with a spade—dangerous</t>
  </si>
  <si>
    <t>বানের আগে জেলেডিঙি</t>
  </si>
  <si>
    <t>বানের আগে জেলে ডিঙি</t>
  </si>
  <si>
    <t>সময়ের আগে প্রস্তুতি</t>
  </si>
  <si>
    <t>Fisher's dinghy before flood—early</t>
  </si>
  <si>
    <t>বাপ খেদানো মায় তাড়ানো ছেলে</t>
  </si>
  <si>
    <t>বাপ খেদানো, মা তাড়ানো ছেলে</t>
  </si>
  <si>
    <t>সব কর্তৃক বিতাড়িত</t>
  </si>
  <si>
    <t>Boy driven away by father and mother</t>
  </si>
  <si>
    <t>বাপ গুণে পো মা গুণে ঝি</t>
  </si>
  <si>
    <t>বাবার গুণে পো, মায়ের গুণে ঝি</t>
  </si>
  <si>
    <t>সন্তান পিতামাতার মতো</t>
  </si>
  <si>
    <t>Father's son, mother's daughter</t>
  </si>
  <si>
    <t>বাপ জানে না সুরতি (জুয়া) খেলা, বেটা তীরন্দাজ</t>
  </si>
  <si>
    <t>বাবা জুয়া জানে না, ছেলে তীরন্দাজ</t>
  </si>
  <si>
    <t>ছেলে বাবার চেয়ে চতুর</t>
  </si>
  <si>
    <t>Father no gambler, son an archer—surprising</t>
  </si>
  <si>
    <t>বাপ-মা মরা দায়</t>
  </si>
  <si>
    <t>বাবা-মা মরা দায়</t>
  </si>
  <si>
    <t>পিতামাতার মৃত্যু কষ্ট</t>
  </si>
  <si>
    <t>Death of parents is sorrow</t>
  </si>
  <si>
    <t>বাপের উপরোধে সৎমায়ের পায়ে গড়</t>
  </si>
  <si>
    <t>বাবার অনুরোধে সৎমায়ের পায়ে প্রণাম</t>
  </si>
  <si>
    <t>অনিচ্ছায় সম্মান</t>
  </si>
  <si>
    <t>Bowing to stepmother on father's request</t>
  </si>
  <si>
    <t>বাপের গাঁতি না ধাপের গাঁতি যে রেখে খেতে পারে তারই গাঁতি</t>
  </si>
  <si>
    <t>বাবার গাঁতি নয়, ধাপের গাঁতি; যে রেখে খেতে পারে তারই</t>
  </si>
  <si>
    <t>পরিশ্রমে সম্পত্তি</t>
  </si>
  <si>
    <t>Not father's spade but one's own effort owns</t>
  </si>
  <si>
    <t>বাপের চেয়ে ছেলে কড়া</t>
  </si>
  <si>
    <t>বাবার চেয়ে ছেলে কঠোর</t>
  </si>
  <si>
    <t>ছেলে বাবার চেয়ে শক্ত</t>
  </si>
  <si>
    <t>Son stricter than father</t>
  </si>
  <si>
    <t>বাপের জন্মে নেইকো চাষ কার ধান কাটতে যাস?</t>
  </si>
  <si>
    <t>বাবার জীবনে চাষ নেই, কার ধান কাটতে যাস?</t>
  </si>
  <si>
    <t>অভিজ্ঞতা ছাড়া কাজ</t>
  </si>
  <si>
    <t>No farming ever, whose paddy to cut?</t>
  </si>
  <si>
    <t>বাপের বাড়ীর ঝি পান্তাভাতে ঘি</t>
  </si>
  <si>
    <t>বাবার বাড়ির মেয়ে পান্তাভাতে ঘি</t>
  </si>
  <si>
    <t>নিজের বাড়িতে আদর</t>
  </si>
  <si>
    <t>Daughter at father's house gets ghee on stale rice</t>
  </si>
  <si>
    <t>বামণ/বামন/বামুন গেল ঘর তো লাঙ্গল তুলে ধর</t>
  </si>
  <si>
    <t>ব্রাহ্মণ ঘর থেকে গেল, লাঙ্গল ধর</t>
  </si>
  <si>
    <t>কাজের লোক চলে গেলে কাজ বন্ধ</t>
  </si>
  <si>
    <t>When Brahmin leaves home, take plough—shift work</t>
  </si>
  <si>
    <t>বামণ/বামন/বামুন পরের জন্য নয়, বাউড়ি ঘরের জন্য নয়</t>
  </si>
  <si>
    <t>ব্রাহ্মণ পরের নয়, বাউড়ি ঘরের নয়</t>
  </si>
  <si>
    <t>সবাই নিজের জন্য</t>
  </si>
  <si>
    <t>Brahmin not for others, maid not for house—selfish</t>
  </si>
  <si>
    <t>বামণ/বামন/বামুন বাদল বান দক্ষিণা পেলেই যান- খনা</t>
  </si>
  <si>
    <t>ব্রাহ্মণ, বাদল, বান দক্ষিণা পেলে যান</t>
  </si>
  <si>
    <t>প্রাপ্তিতে কাজ শেষ</t>
  </si>
  <si>
    <t>Brahmin, rain, flood leave after offering</t>
  </si>
  <si>
    <t>বা্মণের/বামনের/বামুনের গরু খায় অল্প, নাদে বেশি, দুধ দেয় কলসি কলসি</t>
  </si>
  <si>
    <t>ব্রাহ্মণের গরু অল্প খায়, নাদে বেশি, দুধ কলসি কলসি</t>
  </si>
  <si>
    <t>কম খরচে বেশি উৎপাদন</t>
  </si>
  <si>
    <t>Brahmin's cow eats little, gives much milk</t>
  </si>
  <si>
    <t>বারাঙ্গনা বৃদ্ধা হলে তপস্বিনী হয়</t>
  </si>
  <si>
    <t>বেশ্যা বৃদ্ধা হলে তপস্বিনী হয়</t>
  </si>
  <si>
    <t>অক্ষমতায় ধার্মিকতা</t>
  </si>
  <si>
    <t>An aged prostitute becomes ascetic</t>
  </si>
  <si>
    <t>বারোবছর চোঙার মধ্যে থাকলেও কুত্তার লেজ সোজা হয় না</t>
  </si>
  <si>
    <t>বারো বছর চোঙায় থাকলেও কুকুরের লেজ সোজা হয় না</t>
  </si>
  <si>
    <t>Dog's tail not straight even in tube</t>
  </si>
  <si>
    <t>বারোমাসে বারোফল, না খেলে যা রসাতল- খনা</t>
  </si>
  <si>
    <t>বারো মাসে বারো ফল, না খেলে রসাতল</t>
  </si>
  <si>
    <t>প্রত্যেক ঋতুতে ফল</t>
  </si>
  <si>
    <t>Twelve fruits in twelve months; if not eaten, waste</t>
  </si>
  <si>
    <t>বালানাং রোদনাং বলং১</t>
  </si>
  <si>
    <t>বালকের কান্নাই বল</t>
  </si>
  <si>
    <t>শিশুর কান্নাই শক্তি</t>
  </si>
  <si>
    <t>Crying is child's strength</t>
  </si>
  <si>
    <t>বালানাং রোদনাং বলং২</t>
  </si>
  <si>
    <t>বালকের কান্নাই বল (দ্বিতীয়)</t>
  </si>
  <si>
    <t>দুর্বলের অস্ত্র</t>
  </si>
  <si>
    <t>Weeping is strength of children</t>
  </si>
  <si>
    <t>বালির বাঁধ শঠের পীরিতি এই দুইয়ের একই রীতি</t>
  </si>
  <si>
    <t>বালির বাঁধ ও শঠের প্রীতি একই রকম</t>
  </si>
  <si>
    <t>Sand dam and rogue's love are alike</t>
  </si>
  <si>
    <t>বাসনায় সন্তোষ থাকা বিধেয়</t>
  </si>
  <si>
    <t>আকাঙ্ক্ষায় সন্তোষ রাখা উচিত</t>
  </si>
  <si>
    <t>আকাঙ্ক্ষায় সংযম</t>
  </si>
  <si>
    <t>Be content in desires</t>
  </si>
  <si>
    <t>বাসনায় অর্ধেক ফল</t>
  </si>
  <si>
    <t>আকাঙ্ক্ষায় অর্ধেক ফল</t>
  </si>
  <si>
    <t>চাহিদা পূরণ অর্ধেক</t>
  </si>
  <si>
    <t>Half the fruit in desire</t>
  </si>
  <si>
    <t>বাস্তবচিত্র অনেক সময় কল্পনা/গল্পকেও হার মানায়</t>
  </si>
  <si>
    <t>বাস্তব ঘটনা কল্পনাকেও হার মানায়</t>
  </si>
  <si>
    <t>সত্য কল্পনার চেয়ে অদ্ভুত</t>
  </si>
  <si>
    <t>Reality often beats fiction</t>
  </si>
  <si>
    <t>বাস্তুঘুঘু</t>
  </si>
  <si>
    <t>বাস্তু ঘুঘু</t>
  </si>
  <si>
    <t>ঘরের কোণের পেঁচা; অলস</t>
  </si>
  <si>
    <t>House owl—idle</t>
  </si>
  <si>
    <t>বাহাত্তুরে</t>
  </si>
  <si>
    <t>বার্ধক্যজনিত ভীমরতি</t>
  </si>
  <si>
    <t>Second childhood at seventy-two</t>
  </si>
  <si>
    <t>বাহিরে সাদা সাজ, ভিতরে ঢাকাই কাজ</t>
  </si>
  <si>
    <t>বাইরে সাদা সাজ, ভিতরে ঢাকাই কাজ (পুনরুক্তি)</t>
  </si>
  <si>
    <t>বাহ্যিক সরলতা, ভেতরে জটিল</t>
  </si>
  <si>
    <t>বাহিরের জামাই মধুসূদন ঘরের জামাই মধো</t>
  </si>
  <si>
    <t>বাইরের জামাই মধুসূদন, ঘরের জামাই মধো</t>
  </si>
  <si>
    <t>Outer son-in-law praised, own called simple</t>
  </si>
  <si>
    <t>বিকারী রোগীর জলপান</t>
  </si>
  <si>
    <t>অবস্থা অনুযায়ী সেবা</t>
  </si>
  <si>
    <t>A patient's drink of water</t>
  </si>
  <si>
    <t>বিক্রমপুর পাঠানো</t>
  </si>
  <si>
    <t>নির্বাসনে পাঠানো</t>
  </si>
  <si>
    <t>Sending to Bikrampur—exile</t>
  </si>
  <si>
    <t>বিক্রীতে করিণি, কিমঙ্কুশ বিবাদঃ</t>
  </si>
  <si>
    <t>হাতি বিক্রি হয়ে গেছে, অঙ্কুশ নিয়ে বিবাদ কী?</t>
  </si>
  <si>
    <t>মূল জিনিস শেষ, অনুষঙ্গে তর্ক</t>
  </si>
  <si>
    <t>Elephant sold, why quarrel about goad?</t>
  </si>
  <si>
    <t>বিচারে এড়া, আচারে বাড়া</t>
  </si>
  <si>
    <t>বিচারে এড়া, আচারে বাড়া (পুনরুক্তি)</t>
  </si>
  <si>
    <t>যুক্তি নেই, আচার বেশি</t>
  </si>
  <si>
    <t>Lacking judgment, overdoing rituals</t>
  </si>
  <si>
    <t>বিছার ভয়ে পালিয়ে এসে সাপের মুখে পতন</t>
  </si>
  <si>
    <t>বিছার ভয়ে পালিয়ে সাপের মুখে</t>
  </si>
  <si>
    <t>এক বিপদ থেকে আরেক বিপদে</t>
  </si>
  <si>
    <t>Fleeing scorpion, fell into snake's mouth</t>
  </si>
  <si>
    <t>বিজ্ঞ যেথায় ভয় পায়, অজ্ঞ সেথায় আগে ধায়</t>
  </si>
  <si>
    <t>জ্ঞানী যেখানে ভয় পায়, অজ্ঞ সেখানে আগে যায়</t>
  </si>
  <si>
    <t>মূর্খ বিপদ বোঝে না</t>
  </si>
  <si>
    <t>বিড়াল কাঠের হোক, ইঁদুর ধরতে পারলেই হলো</t>
  </si>
  <si>
    <t>বিড়াল কাঠের হলেও ইঁদুর ধরতে পারলেই হলো</t>
  </si>
  <si>
    <t>উপায় নয়, ফল আসল</t>
  </si>
  <si>
    <t>Even wooden cat if catches mouse</t>
  </si>
  <si>
    <t>বিড়াল দূরে/সরে গেলে ইঁদুরেরা খেলে বেড়ায়</t>
  </si>
  <si>
    <t>বিড়াল দূরে গেলে ইঁদুর খেলে</t>
  </si>
  <si>
    <t>দর্শক নেই, দুষ্টামি</t>
  </si>
  <si>
    <t>When cat's away, mice play</t>
  </si>
  <si>
    <t>বিড়াল তাড়িও না বরং খাবার থালা সরাও</t>
  </si>
  <si>
    <t>বিড়াল তাড়িও না, বরং খাবার সরাও</t>
  </si>
  <si>
    <t>মূল কারণ দূর করো</t>
  </si>
  <si>
    <t>Don't shoo cat; remove food</t>
  </si>
  <si>
    <t>বিড়াল বনে গেলে বনবিড়াল (বাঘ) হয়</t>
  </si>
  <si>
    <t>বিড়াল বনে গেলে বনবিড়াল হয়</t>
  </si>
  <si>
    <t>পরিবেশ পাল্টালে স্বভাব</t>
  </si>
  <si>
    <t>Cat in jungle becomes wild</t>
  </si>
  <si>
    <t>বিড়াল ভীরু হলে ইঁদুর বাহাদুর</t>
  </si>
  <si>
    <t>দুর্বল পেলে দুর্বলও বড়</t>
  </si>
  <si>
    <t>If cat is timid, mouse is brave</t>
  </si>
  <si>
    <t>বিড়ালকে মাছ খাইতে শিখাইও না</t>
  </si>
  <si>
    <t>বিড়ালকে মাছ খেতে শেখাও না</t>
  </si>
  <si>
    <t>দুষ্টকে সুযোগ নয়</t>
  </si>
  <si>
    <t>Don't teach cat to eat fish</t>
  </si>
  <si>
    <t>বিড়ালের পেচ্ছাবে আছাড় খাওয়া</t>
  </si>
  <si>
    <t>বিড়ালের প্রস্রাবে আছাড় খাওয়া</t>
  </si>
  <si>
    <t>তুচ্ছ কারণেও বিপদ</t>
  </si>
  <si>
    <t>Slipping on cat's urine—minor cause</t>
  </si>
  <si>
    <t>বিড়ালের ভাগ্যে শিকে ছেঁড়া</t>
  </si>
  <si>
    <t>বিড়ালের ভাগ্যে শিক ছেঁড়া</t>
  </si>
  <si>
    <t>ভাগ্যে কিছু নেই</t>
  </si>
  <si>
    <t>Cat's luck has torn rope—nothing</t>
  </si>
  <si>
    <t>বিদেশে বন্ধুলাভো হি মরাবমৃতনির্ঝর</t>
  </si>
  <si>
    <t>বিদেশে বন্ধু লাভ মরুতে অমৃত ঝরনার মতো</t>
  </si>
  <si>
    <t>বিদেশে বন্ধু দামি</t>
  </si>
  <si>
    <t>A friend abroad is like nectar in desert</t>
  </si>
  <si>
    <t>বিদ্যয়া পূজ্যতে লোকে বিদ্যয়া সুখমন্নতে</t>
  </si>
  <si>
    <t>বিদ্যা মানুষকে পূজিত করে, বিদ্যা সুখ দেয়</t>
  </si>
  <si>
    <t>বিদ্যা সম্মান ও সুখ</t>
  </si>
  <si>
    <t>Learning brings worship and happiness</t>
  </si>
  <si>
    <t>বিদ্যা কামদুঘা ধেনু</t>
  </si>
  <si>
    <t>বিদ্যা কামধেনু</t>
  </si>
  <si>
    <t>বিদ্যা সর্বকাম পূর্ণ করে</t>
  </si>
  <si>
    <t>Knowledge is wish-fulfilling cow</t>
  </si>
  <si>
    <t>বিদ্যা ও বিত্ত কখনো সমান হয় না</t>
  </si>
  <si>
    <t>বিদ্যা ও অর্থ কখনো সমান নয়</t>
  </si>
  <si>
    <t>জ্ঞান ও সম্পদের তুলনা</t>
  </si>
  <si>
    <t>Knowledge and wealth never equal</t>
  </si>
  <si>
    <t>বিদ্যাতুরাণাং ন সুখং ন নিদ্রা</t>
  </si>
  <si>
    <t>বিদ্যার্থীর সুখ নেই, ঘুম নেই</t>
  </si>
  <si>
    <t>জ্ঞানী কষ্ট করে</t>
  </si>
  <si>
    <t>A seeker has no comfort or sleep</t>
  </si>
  <si>
    <t>বিদ্যা বিনয়ং দদাতি</t>
  </si>
  <si>
    <t>বিদ্যা বিনয় দেয়</t>
  </si>
  <si>
    <t>জ্ঞান বিনয় আনে</t>
  </si>
  <si>
    <t>Knowledge gives humility</t>
  </si>
  <si>
    <t>বিদ্যা, বিনয়, ভদ্রতাছাড়া কোন জিনিসই অতিরিক্ত ভালো নয়।</t>
  </si>
  <si>
    <t>বিদ্যা, বিনয়, ভদ্রতা ছাড়া কিছু অতিরিক্ত ভালো নয়</t>
  </si>
  <si>
    <t>এই তিন অতিরিক্ত ভালো</t>
  </si>
  <si>
    <t>Only knowledge, humility, politeness are good in excess</t>
  </si>
  <si>
    <t>বিদ্যা মিত্রং প্রবাসে চ মাতা মিত্রং গৃহেষু চ</t>
  </si>
  <si>
    <t>বিদেশে বিদ্যা বন্ধু, ঘরে মা বন্ধু</t>
  </si>
  <si>
    <t>প্রত্যেকের স্থানে বন্ধু</t>
  </si>
  <si>
    <t>Knowledge is friend abroad, mother at home</t>
  </si>
  <si>
    <t>বিদ্যার চেয়ে বন্ধু নাই, ব্যাধির চেয়ে শত্রু নাই</t>
  </si>
  <si>
    <t>বিদ্যার চেয়ে বন্ধু নেই, রোগের চেয়ে শত্রু নেই</t>
  </si>
  <si>
    <t>জ্ঞান শ্রেষ্ঠ বন্ধু, রোগ শ্রেষ্ঠ শত্রু</t>
  </si>
  <si>
    <t>No friend like knowledge, no enemy like disease</t>
  </si>
  <si>
    <t>বিদ্যারত্নং মহাধনম</t>
  </si>
  <si>
    <t>জ্ঞানই বড় সম্পদ</t>
  </si>
  <si>
    <t>The gem of knowledge is great wealth</t>
  </si>
  <si>
    <t>বিদ্যা শুভকরী কিন্তু স্বল্পাবিদ্যা ভয়ঙ্করী</t>
  </si>
  <si>
    <t>বিদ্যা শুভ, অল্পবিদ্যা ভয়ংকর</t>
  </si>
  <si>
    <t>অল্প জ্ঞান বিপজ্জনক</t>
  </si>
  <si>
    <t>Knowledge is good, little knowledge dangerous</t>
  </si>
  <si>
    <t>বিদ্যা স্তব্ধস্য নিস্ফলা</t>
  </si>
  <si>
    <t>বিদ্যা স্তব্ধের নিষ্ফল</t>
  </si>
  <si>
    <t>নীরব বিদ্যা অকার্যকর</t>
  </si>
  <si>
    <t>Knowledge of the silent is fruitless</t>
  </si>
  <si>
    <t>বিদ্যাহীনা ন শোভন্তে নির্গন্ধা ইব কিংশুকাঃ</t>
  </si>
  <si>
    <t>বিদ্যাহীন শোভা পায় না, গন্ধহীন পলাশের মতো</t>
  </si>
  <si>
    <t>বিদ্যাহীন সৌন্দর্য অর্থহীন</t>
  </si>
  <si>
    <t>The unlearned don't shine like scentless flowers</t>
  </si>
  <si>
    <t>বিদ্বত্বঞ্চ নৃপত্বঞ্চ নৈব তুলং কদাচন, স্বদেশে পূজ্যতে রাজা বিদ্বান সর্বত্র পূজ্যতে</t>
  </si>
  <si>
    <t>বিদ্বান ও রাজা সমান নয়; রাজা স্বদেশে, বিদ্বান সর্বত্র পূজিত</t>
  </si>
  <si>
    <t>জ্ঞান রাজত্বের চেয়ে বড়</t>
  </si>
  <si>
    <t>A king is honored in own country, a scholar everywhere</t>
  </si>
  <si>
    <t>বিদ্বান সকল গুণের আধার, অজ্ঞ সকল দোষের আকর</t>
  </si>
  <si>
    <t>বিদ্বান সব গুণের আধার, অজ্ঞ সব দোষের আকর</t>
  </si>
  <si>
    <t>জ্ঞানী গুণী, অজ্ঞ দোষী</t>
  </si>
  <si>
    <t>The learned are source of virtues, the ignorant of vices</t>
  </si>
  <si>
    <t>বিধবার একাদশী</t>
  </si>
  <si>
    <t>মৃতপ্রায় অবস্থা</t>
  </si>
  <si>
    <t>Widow's fasting—deprivation</t>
  </si>
  <si>
    <t>বিধি যখন চাইবেন তখন ছুটি পাইবেন</t>
  </si>
  <si>
    <t>বিধি চাইলে তখনই ছুটি পাবেন</t>
  </si>
  <si>
    <t>মৃত্যু অনিবার্য</t>
  </si>
  <si>
    <t>When God wills, you'll get leave</t>
  </si>
  <si>
    <t>বিধি যখন মাপায় অল্প-অল্প/উপরি-উপরি চাপায় চাপায়</t>
  </si>
  <si>
    <t>বিধি যখন মাপায় অল্প অল্প, উপর উপর চাপায়</t>
  </si>
  <si>
    <t>ভাগ্য ধীরে দেয়</t>
  </si>
  <si>
    <t>Fate gives little by little, adds on</t>
  </si>
  <si>
    <t>বিধি যদি করে মন, তুষ্ট হতে কতক্ষণ</t>
  </si>
  <si>
    <t>বিধি খুশি হলে কতক্ষণ?</t>
  </si>
  <si>
    <t>ভাগ্য খুলতে দেরি নয়</t>
  </si>
  <si>
    <t>If fate wills, how long to be happy?</t>
  </si>
  <si>
    <t>বিধি যদি বিপরীত, কেবা করে তার হিত</t>
  </si>
  <si>
    <t>বিধি বিপরীত হলে কে হিত করবে?</t>
  </si>
  <si>
    <t>ভাগ্য বিরূপে অসহায়</t>
  </si>
  <si>
    <t>If fate opposes, who can help?</t>
  </si>
  <si>
    <t>বিধির বিধান/লিপি কপালজোড়া/কপালে লেখা</t>
  </si>
  <si>
    <t>বিধির লেখা কপালে</t>
  </si>
  <si>
    <t>ভাগ্য অপরিবর্তনীয়</t>
  </si>
  <si>
    <t>God's writ on forehead</t>
  </si>
  <si>
    <t>বিধির বিপাক</t>
  </si>
  <si>
    <t>ভাগ্যের খারাপ ফল</t>
  </si>
  <si>
    <t>Misfortune of fate</t>
  </si>
  <si>
    <t>বিনাকারণে কাউকে দোষারোপ করো না, সে যখন তোমার কোন ক্ষতি করে নি</t>
  </si>
  <si>
    <t>অকারণে দোষ দিও না</t>
  </si>
  <si>
    <t>নির্দোষকে দোষ নয়</t>
  </si>
  <si>
    <t>Don't blame innocents</t>
  </si>
  <si>
    <t>বিনাকারণে কেউ কারও বন্ধু নয়, কেউ কারও শত্রু নয়</t>
  </si>
  <si>
    <t>অকারণে বন্ধু শত্রু হয় না</t>
  </si>
  <si>
    <t>সম্পর্ক স্বার্থে</t>
  </si>
  <si>
    <t>No one is friend or foe without cause</t>
  </si>
  <si>
    <t>বিনাদানে মথুরা পার</t>
  </si>
  <si>
    <t>বিনা দানে মথুরা পার</t>
  </si>
  <si>
    <t>অসম্ভব পার হওয়া</t>
  </si>
  <si>
    <t>Crossing Mathura without toll—impossible</t>
  </si>
  <si>
    <t>বিনাবাতাসে গাছের পাতা নড়ে না</t>
  </si>
  <si>
    <t>বিনা বাতাসে পাতা নড়ে না</t>
  </si>
  <si>
    <t>কারণ ছাড়া কিছু হয় না</t>
  </si>
  <si>
    <t>Leaves don't move without wind</t>
  </si>
  <si>
    <t>বিনামেঘে বজ্রপাত</t>
  </si>
  <si>
    <t>অপ্রত্যাশিত বিপদ</t>
  </si>
  <si>
    <t>Thunder without cloud</t>
  </si>
  <si>
    <t>বিনা যুদ্ধেন কেশব</t>
  </si>
  <si>
    <t>বিনা যুদ্ধে কেশব</t>
  </si>
  <si>
    <t>বিনা চেষ্টায় ফল</t>
  </si>
  <si>
    <t>Keshav without battle—easy win</t>
  </si>
  <si>
    <t>বিনাশকালে বিপরীতবুদ্ধি১</t>
  </si>
  <si>
    <t>বিনাশকালে বিপরীত বুদ্ধি</t>
  </si>
  <si>
    <t>ধ্বংসের সময় বুদ্ধি উল্টো</t>
  </si>
  <si>
    <t>In destruction, wisdom reversed</t>
  </si>
  <si>
    <t>বিনাশকালে বিপরীতবুদ্ধি২</t>
  </si>
  <si>
    <t>বিনাশকালে বিপরীত বুদ্ধি (দ্বিতীয়)</t>
  </si>
  <si>
    <t>বিপদে বুদ্ধি লোপ</t>
  </si>
  <si>
    <t>At ruin, wit inverts</t>
  </si>
  <si>
    <t>বিনাশকালে ভগবান</t>
  </si>
  <si>
    <t>ধ্বংসের সময় ঈশ্বরকে স্মরণ</t>
  </si>
  <si>
    <t>God at destruction</t>
  </si>
  <si>
    <t>বিনাশ্রয়ং ন তিষ্ঠন্তি কবয়োবনিতা লতাঃ</t>
  </si>
  <si>
    <t>আশ্রয় ছাড়া কবি, নারী, লতা থাকে না</t>
  </si>
  <si>
    <t>আশ্রয় প্রয়োজন</t>
  </si>
  <si>
    <t>Poets, women, creepers need support</t>
  </si>
  <si>
    <t>বিনাসম্বলে পথ চলতে নাই</t>
  </si>
  <si>
    <t>বিনা পুঁজিতে পথ চলা নেই</t>
  </si>
  <si>
    <t>প্রস্তুতি প্রয়োজন</t>
  </si>
  <si>
    <t>Don't travel without means</t>
  </si>
  <si>
    <t>বিনাস্বদেশীভাষা মেটে কি আশা</t>
  </si>
  <si>
    <t>দেশি ভাষা ছাড়া আশা মেটে না</t>
  </si>
  <si>
    <t>মাতৃভাষার গুরুত্ব</t>
  </si>
  <si>
    <t>Without mother tongue, hopes unmet</t>
  </si>
  <si>
    <t>বিন্দু বলে আয়রে বিন্দু গড়ে তুলি মহাসিন্ধু</t>
  </si>
  <si>
    <t>বিন্দু বলে আয়, মিলে মহাসিন্ধু</t>
  </si>
  <si>
    <t>ক্ষুদ্র মিলে বড়</t>
  </si>
  <si>
    <t>Drops come, build ocean</t>
  </si>
  <si>
    <t>বিন্দুবিন্দু জল পাথর ফুটো করে১</t>
  </si>
  <si>
    <t>ফোঁটা ফোঁটা জল পাথর ফুটো করে</t>
  </si>
  <si>
    <t>অধ্যবসায়ে কঠিনও ভাঙে</t>
  </si>
  <si>
    <t>Drops pierce stone</t>
  </si>
  <si>
    <t>বিপদ দল বেঁধে আসে</t>
  </si>
  <si>
    <t>Misfortunes never come alone</t>
  </si>
  <si>
    <t>বিপদই মানুষের প্রকৃত কষ্টিপাথর</t>
  </si>
  <si>
    <t>বিপদই প্রকৃত কষ্টিপাথর</t>
  </si>
  <si>
    <t>বিপদে মানুষ চেনা</t>
  </si>
  <si>
    <t>Adversity is true test</t>
  </si>
  <si>
    <t>বিপদকালে ছাগলও চাট মারে</t>
  </si>
  <si>
    <t>বিপদে ছাগলও চাট মারে</t>
  </si>
  <si>
    <t>বিপদে দুর্বলও আক্রমণ</t>
  </si>
  <si>
    <t>In trouble, even goat butts</t>
  </si>
  <si>
    <t>বিপদকালে বন্ধুর পরীক্ষা</t>
  </si>
  <si>
    <t>বিপদে বন্ধুর পরীক্ষা</t>
  </si>
  <si>
    <t>প্রকৃত বন্ধু চেনা</t>
  </si>
  <si>
    <t>A friend is tested in adversity</t>
  </si>
  <si>
    <t>বিপদকালে বুদ্ধিনাশ</t>
  </si>
  <si>
    <t>বিপদে বুদ্ধি নাশ</t>
  </si>
  <si>
    <t>Danger destroys wit</t>
  </si>
  <si>
    <t>বিপদকালে মধুসূদন/হরিনাম১</t>
  </si>
  <si>
    <t>বিপদে মধুসূদন/হরিনাম</t>
  </si>
  <si>
    <t>In danger, call God</t>
  </si>
  <si>
    <t>বিপদ জেনেও যে পদক্ষেপ নেয় না, সেই প্রকৃত মূর্খ</t>
  </si>
  <si>
    <t>বিপদ জেনেও যে এগোয় না সে মূর্খ</t>
  </si>
  <si>
    <t>বিপদে নিষ্ক্রিয়তা</t>
  </si>
  <si>
    <t>He who doesn't act knowing danger is fool</t>
  </si>
  <si>
    <t>বিপদে পড়ে রামনাম/শ্রীমধুসূদন১</t>
  </si>
  <si>
    <t>বিপদে পড়ে রামনাম/শ্রীমধুসূদন</t>
  </si>
  <si>
    <t>বিপদে ঈশ্বর স্মরণ</t>
  </si>
  <si>
    <t>In danger, chant God's name</t>
  </si>
  <si>
    <t>বিপদে বন্ধু চেনা যায়</t>
  </si>
  <si>
    <t>বিপদে প্রকৃত বন্ধু</t>
  </si>
  <si>
    <t>A friend in need is known</t>
  </si>
  <si>
    <t>বিপদে যে হতবুদ্ধি হয় না সে বিপদ কাটিয়ে ওঠে</t>
  </si>
  <si>
    <t>বিপদে যে ভাবে না সে ওঠে</t>
  </si>
  <si>
    <t>ধৈর্যে বিপদ জয়</t>
  </si>
  <si>
    <t>He who doesn't panic overcomes</t>
  </si>
  <si>
    <t>বিপদে শালগ্রাম, নইলে শিলা১</t>
  </si>
  <si>
    <t>বিপদে শালগ্রাম, নইলে শিলা</t>
  </si>
  <si>
    <t>প্রয়োজনে মূল্যবান</t>
  </si>
  <si>
    <t>In need it's sacred, otherwise stone</t>
  </si>
  <si>
    <t>বিপদে শালগ্রাম, নইলে শিলা২</t>
  </si>
  <si>
    <t>বিপদে শালগ্রাম, নইলে শিলা (দ্বিতীয়)</t>
  </si>
  <si>
    <t>প্রয়োজনে গুরুত্ব</t>
  </si>
  <si>
    <t>Need makes sacred</t>
  </si>
  <si>
    <t>বিবাহ প্রেমের গোরস্থান, কিন্তু শান্তির আস্তানা</t>
  </si>
  <si>
    <t>বিবাহ প্রেমের কবর, কিন্তু শান্তির বাসা</t>
  </si>
  <si>
    <t>বিয়েতে প্রেম মরে, শান্তি থাকে</t>
  </si>
  <si>
    <t>Marriage is grave of love but abode of peace</t>
  </si>
  <si>
    <t>বিবি সেজে বসে আছে, ডুলি/কাহারের দেখা নেই</t>
  </si>
  <si>
    <t>বিবি সেজে বসে, ডুলি/কাহার নেই</t>
  </si>
  <si>
    <t>উপকরণ ছাড়া প্রস্তুতি</t>
  </si>
  <si>
    <t>Lady ready, no palanquin bearer</t>
  </si>
  <si>
    <t>বিয়ে কর কালো তাই গৃহস্থের ভালো</t>
  </si>
  <si>
    <t>কালো মেয়ে বিয়ে কর, ঘরের ভালো</t>
  </si>
  <si>
    <t>কালো হলেও ঘরনী ভালো</t>
  </si>
  <si>
    <t>Marry dark girl, good for home</t>
  </si>
  <si>
    <t>বিয়ে ফুরালে ছাদনাতলায় লাথি</t>
  </si>
  <si>
    <t>বিয়ে শেষে ছাদনাতলায় লাথি</t>
  </si>
  <si>
    <t>কাজ শেষে অবহেলা</t>
  </si>
  <si>
    <t>After wedding, kick the canopy</t>
  </si>
  <si>
    <t>বিয়ে হলে ঘর চলে না</t>
  </si>
  <si>
    <t>বিয়ে সংসারে অসুবিধা</t>
  </si>
  <si>
    <t>Marriage doesn't run house</t>
  </si>
  <si>
    <t>বিলম্বিত বিচার অবিচারের সমান</t>
  </si>
  <si>
    <t>বিলম্বিত বিচার অবিচার</t>
  </si>
  <si>
    <t>বিচারে দেরি অন্যায়</t>
  </si>
  <si>
    <t>Delayed justice is injustice</t>
  </si>
  <si>
    <t>বিলম্বিত স্বীকৃতি থেকে তৎক্ষনাৎ অস্বীকৃতি ভাল</t>
  </si>
  <si>
    <t>দেরি স্বীকৃতির চেয়ে দ্রুত অস্বীকৃতি ভালো</t>
  </si>
  <si>
    <t>তাড়াতাড়ি না ভালো</t>
  </si>
  <si>
    <t>Better instant denial than delayed approval</t>
  </si>
  <si>
    <t>বিল শুকালে বকের আমোদ</t>
  </si>
  <si>
    <t>বিল শুকালে বকের আনন্দ</t>
  </si>
  <si>
    <t>একজনের ক্ষতিতে অন্যের লাভ</t>
  </si>
  <si>
    <t>When lake dries, heron delights</t>
  </si>
  <si>
    <t>বিশিষ্টৈচ বিশিষ্টাতাম</t>
  </si>
  <si>
    <t>বিশিষ্টের সাথে বিশিষ্টতা</t>
  </si>
  <si>
    <t>বিশেষের সাথে বিশেষ</t>
  </si>
  <si>
    <t>Excellence with excellent</t>
  </si>
  <si>
    <t>বিশ্বকর্মা কেমন কারিগর তা জগন্নাথদেবেই প্রকাশ</t>
  </si>
  <si>
    <t>বিশ্বকর্মা কেমন কারিগর জগন্নাথদেবেই প্রকাশ</t>
  </si>
  <si>
    <t>কারিগর তার কাজে</t>
  </si>
  <si>
    <t>Artisan shown in work</t>
  </si>
  <si>
    <t>বিশ্বকর্মার সূঁচ গড়া</t>
  </si>
  <si>
    <t>খুব সূক্ষ্ম কাজ</t>
  </si>
  <si>
    <t>Vishwakarma making needle</t>
  </si>
  <si>
    <t>বিশ্বকর্মার বেটা বিয়াল্লিশ কর্মা</t>
  </si>
  <si>
    <t>বিশ্বকর্মার ছেলে বিয়াল্লিশ কাজ</t>
  </si>
  <si>
    <t>কারিগরের ছেলে বহুকাজ</t>
  </si>
  <si>
    <t>Artisan's son forty-two crafts</t>
  </si>
  <si>
    <t>বিশ্বাসঘাতক নিজের মৃত্যু ডেকে আনে</t>
  </si>
  <si>
    <t>বিশ্বাসঘাতক নিজের মৃত্যু আনে</t>
  </si>
  <si>
    <t>বিশ্বাসঘাতকতা মারাত্মক</t>
  </si>
  <si>
    <t>Traitor invites own death</t>
  </si>
  <si>
    <t>বিশ্বাসে পাহাড় টলে</t>
  </si>
  <si>
    <t>বিশ্বাস শক্তিশালী</t>
  </si>
  <si>
    <t>Faith moves mountains</t>
  </si>
  <si>
    <t>বিশ্বাসে পেট ভরে না, খাদ্য লাগে</t>
  </si>
  <si>
    <t>বিশ্বাসে কাজ হয় না</t>
  </si>
  <si>
    <t>Faith doesn't fill belly, food needed</t>
  </si>
  <si>
    <t>বিশ্বাসে ভাত সিদ্ধ হয় না, আগুন লাগে</t>
  </si>
  <si>
    <t>বিশ্বাসে ভাত সিদ্ধ নয়, আগুন লাগে</t>
  </si>
  <si>
    <t>কাজের জন্য চেষ্টা</t>
  </si>
  <si>
    <t>Faith alone doesn't cook rice, fire needed</t>
  </si>
  <si>
    <t>বিষকুম্ভম পয়োমুখম</t>
  </si>
  <si>
    <t>বিষের ঘড়ি, দুধের মুখ</t>
  </si>
  <si>
    <t>বাইরে মিষ্টি, ভেতরে বিষ</t>
  </si>
  <si>
    <t>Poison pot with milk face</t>
  </si>
  <si>
    <t>বিষবৃক্ষোপি সংবর্দ্ধ্য স্বয়ং ছেত্তুমসাম্প্রতম</t>
  </si>
  <si>
    <t>বিষবৃক্ষ বড় করে নিজে কাটা যায় না</t>
  </si>
  <si>
    <t>পালনকারী ধ্বংস করতে পারে না</t>
  </si>
  <si>
    <t>A poison tree grown can't be cut by grower</t>
  </si>
  <si>
    <t>বিষয় বুঝে ব্যবস্থা</t>
  </si>
  <si>
    <t>পরিস্থিতি বুঝে কাজ</t>
  </si>
  <si>
    <t>Act according to subject</t>
  </si>
  <si>
    <t>বিষস্য বিষসৌধম</t>
  </si>
  <si>
    <t>বিষের ওষুধ বিষ</t>
  </si>
  <si>
    <t>Poison cures poison</t>
  </si>
  <si>
    <t>বিষহারা/হীন সাপকেও ফণা ধরতে হয়</t>
  </si>
  <si>
    <t>বিষহীন সাপকেও ফণা ধরতে হয়</t>
  </si>
  <si>
    <t>অক্ষমকে ভয় দেখাতে হয়</t>
  </si>
  <si>
    <t>Even non-venomous must spread hood</t>
  </si>
  <si>
    <t>বিষে বিষে বিষক্ষয়</t>
  </si>
  <si>
    <t>এক বিষে অন্য বিষ নাশ</t>
  </si>
  <si>
    <t>Poison destroys poison</t>
  </si>
  <si>
    <t>বিষ্ঠায় ঢিল/ঢেলা মারলে নিজের গায়ে ছিটকে পড়ে</t>
  </si>
  <si>
    <t>মলে ঢিল মারলে নিজের গায়ে ছিটকে</t>
  </si>
  <si>
    <t>মন্দ কাজে নিজের ক্ষতি</t>
  </si>
  <si>
    <t>Throw stone at dung, it splashes back</t>
  </si>
  <si>
    <t>বীরভোগ্যা বসুন্ধরা</t>
  </si>
  <si>
    <t>পৃথিবী বীরের ভোগ্য</t>
  </si>
  <si>
    <t>সাহসীরাই পৃথিবী ভোগ করে</t>
  </si>
  <si>
    <t>Earth belongs to brave</t>
  </si>
  <si>
    <t>বুক ফাটে তো মুখ ফোটে না</t>
  </si>
  <si>
    <t>বুক ফাটে, মুখ ফোটে না</t>
  </si>
  <si>
    <t>কষ্ট মুখে আসে না</t>
  </si>
  <si>
    <t>Heart breaks but mouth doesn't open</t>
  </si>
  <si>
    <t>বুঝলাম তোমার গিন্নিপনা, তেল থাকে তো নুন থাকে না</t>
  </si>
  <si>
    <t>বুঝলাম তোমার গৃহিণীপনা, তেল থাকে তো নুন নেই</t>
  </si>
  <si>
    <t>গৃহিণীর অক্ষমতা</t>
  </si>
  <si>
    <t>I see your housekeeping, oil but no salt</t>
  </si>
  <si>
    <t>বুড়োদাদাকে গায়ত্রী শিখানো</t>
  </si>
  <si>
    <t>বুড়ো দাদাকে গায়ত্রী শেখানো</t>
  </si>
  <si>
    <t>অভিজ্ঞকে শেখানো</t>
  </si>
  <si>
    <t>Teaching elder Gayatri</t>
  </si>
  <si>
    <t>বুড়োবয়সে চূড়াকরণ</t>
  </si>
  <si>
    <t>বৃদ্ধে সন্ন্যাস</t>
  </si>
  <si>
    <t>Taking tonsure in old age</t>
  </si>
  <si>
    <t>বুড়োবয়সে ভীমরতি</t>
  </si>
  <si>
    <t>বৃদ্ধের স্মৃতিভ্রম</t>
  </si>
  <si>
    <t>Old age forgetfulness</t>
  </si>
  <si>
    <t>বুড়ো মেরে খুনের দায়১</t>
  </si>
  <si>
    <t>বুড়ো মেরে খুনের দায়</t>
  </si>
  <si>
    <t>সামান্য কাজে বড় দায়</t>
  </si>
  <si>
    <t>Killing old man, murder charge</t>
  </si>
  <si>
    <t>বুড়ো মেরে খুনের দায়২</t>
  </si>
  <si>
    <t>বুড়ো মেরে খুনের দায় (দ্বিতীয়)</t>
  </si>
  <si>
    <t>ছোট অপরাধে বড় শাস্তি</t>
  </si>
  <si>
    <t>Killing old, accused of murder</t>
  </si>
  <si>
    <t>বুড়োয় বুড়োয় কথা প্রতিকথায় কাশি, যুবায় যুবায় কথা প্রতিকথায় হাসি</t>
  </si>
  <si>
    <t>বুড়োরা কথায় কাশি, যুবকরা কথায় হাসি</t>
  </si>
  <si>
    <t>বয়সের পার্থক্য</t>
  </si>
  <si>
    <t>Old cough, young laugh</t>
  </si>
  <si>
    <t>বুড়োর নেই কাজ (বেড়া) ভাঙে আর বাঁধে, বুড়ির নেই কাজ চালধান ফেলে আর বাছে</t>
  </si>
  <si>
    <t>বুড়োর কাজ নেই বেড়া ভাঙে-বাঁধে, বুড়ির কাজ নেই চাল ফেলে-বাছে</t>
  </si>
  <si>
    <t>অলসের অনর্থক কাজ</t>
  </si>
  <si>
    <t>Old man breaks-fixes fence, old woman winnows rice</t>
  </si>
  <si>
    <t>বুড়োশালিক পোষ মানে না</t>
  </si>
  <si>
    <t>বুড়ো শালিক পোষ মানে না</t>
  </si>
  <si>
    <t>বৃদ্ধ স্বভাব বদলায় না</t>
  </si>
  <si>
    <t>Old bird won't tame</t>
  </si>
  <si>
    <t>বুদ্ধিগুণে হা-ভাত, বুদ্ধিগুণে খা-ভাত</t>
  </si>
  <si>
    <t>বুদ্ধিতে না ভাত, বুদ্ধিতে খা ভাত</t>
  </si>
  <si>
    <t>বুদ্ধিতে ভাত জোটে</t>
  </si>
  <si>
    <t>By wit, hunger or feast</t>
  </si>
  <si>
    <t>বুদ্ধি না থাকলে বাপের পুকুরে ডুবে মরে</t>
  </si>
  <si>
    <t>বুদ্ধি না থাকলে বাবার পুকুরে ডুবে মরে</t>
  </si>
  <si>
    <t>মূর্খ নিজের বাড়িতেও বিপদে</t>
  </si>
  <si>
    <t>Fool drowns in father's pond</t>
  </si>
  <si>
    <t>বুদ্ধিমানলোকের কাছে সুখ একটি বিরল বিষয়</t>
  </si>
  <si>
    <t>জ্ঞানীর কাছে সুখ বিরল</t>
  </si>
  <si>
    <t>জ্ঞানী সুখ কম পায়</t>
  </si>
  <si>
    <t>Happiness rare for wise</t>
  </si>
  <si>
    <t>বুদ্ধিমানের কাছে ছোট্ট একটা ইঙ্গিতই যথেষ্ট</t>
  </si>
  <si>
    <t>জ্ঞানীর কাছে ছোট ইঙ্গিতই যথেষ্ট</t>
  </si>
  <si>
    <t>জ্ঞানী সহজে বোঝে</t>
  </si>
  <si>
    <t>A hint suffices wise</t>
  </si>
  <si>
    <t>বুদ্ধি যার যশ তার</t>
  </si>
  <si>
    <t>বুদ্ধি যার, যশ তার</t>
  </si>
  <si>
    <t>বুদ্ধিতে খ্যাতি</t>
  </si>
  <si>
    <t>Whose wisdom, his fame</t>
  </si>
  <si>
    <t>বুদ্ধিহীনতাই সর্ববাধিক দারিদ্র</t>
  </si>
  <si>
    <t>বুদ্ধিহীনতা সবচেয়ে বড় দারিদ্র্য</t>
  </si>
  <si>
    <t>জ্ঞানহীনতা বড় অভাব</t>
  </si>
  <si>
    <t>Ignorance is greatest poverty</t>
  </si>
  <si>
    <t>বুনলাম ধান, হল তিল</t>
  </si>
  <si>
    <t>ধান বুনলাম, তিল হল</t>
  </si>
  <si>
    <t>প্রত্যাশা ব্যর্থ</t>
  </si>
  <si>
    <t>Sowed paddy, got sesame</t>
  </si>
  <si>
    <t>বুভুক্ষিত কিং দ্বিকরেণ ভুঙ্‌তে</t>
  </si>
  <si>
    <t>ক্ষুধার্ত কি দুই হাতে খায়?</t>
  </si>
  <si>
    <t>ক্ষুধার্ত সব ভাবে</t>
  </si>
  <si>
    <t>Does hungry eat with two hands?</t>
  </si>
  <si>
    <t>বৃক্ষহীনদেশে ভেরেণ্ডাও বৃক্ষ</t>
  </si>
  <si>
    <t>গাছহীন দেশে ভেরেণ্ডাও গাছ</t>
  </si>
  <si>
    <t>যেখানে ভালো নেই, সেখানে নিকৃষ্টও</t>
  </si>
  <si>
    <t>বৃথা আড়ম্বরে কাজ হারানো</t>
  </si>
  <si>
    <t>বৃথা আড়ম্বরে কাজ নষ্ট</t>
  </si>
  <si>
    <t>আড়ম্বরে কাজ নষ্ট</t>
  </si>
  <si>
    <t>Vain pomp loses work</t>
  </si>
  <si>
    <t>বৃদ্ধস্য তরুণী বিষং</t>
  </si>
  <si>
    <t>বৃদ্ধের তরুণী বিষ</t>
  </si>
  <si>
    <t>বৃদ্ধের তরুণী স্ত্রী বিষ</t>
  </si>
  <si>
    <t>A young wife is poison to old man</t>
  </si>
  <si>
    <t>বৃদ্ধস্য বচনং গ্রাহ্যমাপৎকালে হ্যপস্থিতে</t>
  </si>
  <si>
    <t>বৃদ্ধের কথা বিপদকালে মান্য</t>
  </si>
  <si>
    <t>বিপদে বৃদ্ধের পরামর্শ</t>
  </si>
  <si>
    <t>Accept elder's word in calamity</t>
  </si>
  <si>
    <t>বৃশ্চিকভিয়া পলায়মানেস অহিমুখে নিপাতঃ</t>
  </si>
  <si>
    <t>এক বিপদ এড়িয়ে অন্য বিপদ</t>
  </si>
  <si>
    <t>Fleeing scorpion, falling into snake's mouth</t>
  </si>
  <si>
    <t>বেঁচে থাক মোর চুড়াবাঁশি মিলবে মেলা রাণীদাসী</t>
  </si>
  <si>
    <t>বেঁচে থাক, চুড়াবাঁশি, মিলবে মেলা রাণীদাসী</t>
  </si>
  <si>
    <t>বেঁচে থাকলে সুখ</t>
  </si>
  <si>
    <t>Live my flute, get many queens</t>
  </si>
  <si>
    <t>বেঁটে লোক হেঁট হয়</t>
  </si>
  <si>
    <t>বেঁটে লোক ছোট হয়</t>
  </si>
  <si>
    <t>Short man stoops</t>
  </si>
  <si>
    <t>বেঁড়ে গরুর ওকড়া (কাঁটাফল) বনে ভয় নেই১</t>
  </si>
  <si>
    <t>লেজহীন গরুর কাঁটাফল বনে ভয় নেই</t>
  </si>
  <si>
    <t>Tail-less cow fears no thorny bush</t>
  </si>
  <si>
    <t>বেঁড়ে গরুর ওকড়া (কাঁটাফল) বনে ভয় নেই২</t>
  </si>
  <si>
    <t>লেজহীন গরুর কাঁটাফল বনে ভয় নেই (দ্বিতীয়)</t>
  </si>
  <si>
    <t>Tail-less cow no fear</t>
  </si>
  <si>
    <t>বেঁধে মারে সয় ভাল১</t>
  </si>
  <si>
    <t>বেঁধে মারা সহ্য হয়</t>
  </si>
  <si>
    <t>শাস্তি মেনে নেওয়া</t>
  </si>
  <si>
    <t>Being beaten bound is bearable</t>
  </si>
  <si>
    <t>বেঁধে মারে সয় ভাল২</t>
  </si>
  <si>
    <t>বেঁধে মারা সহ্য (দ্বিতীয়)</t>
  </si>
  <si>
    <t>নিষ্ক্রিয়ভাবে শাস্তি</t>
  </si>
  <si>
    <t>Bound beating tolerable</t>
  </si>
  <si>
    <t>বে-আক্কেলরে আক্কেল দিলে নিজের আক্কেল ক্ষয়, আক্কেল্রে আক্কেল দিলে আরো আক্কেল হয়</t>
  </si>
  <si>
    <t>বোকাকে বুদ্ধি দিলে নিজের বুদ্ধি ক্ষয়, বুদ্ধিমানকে দিলে বাড়ে</t>
  </si>
  <si>
    <t>ভালো জায়গায় বুদ্ধি</t>
  </si>
  <si>
    <t>Giving sense to fool loses, to wise gains</t>
  </si>
  <si>
    <t>বেকারের চেয়ে বেগার ভাল</t>
  </si>
  <si>
    <t>বেকারের চেয়ে বেগার ভালো</t>
  </si>
  <si>
    <t>নিষ্ক্রিয়তার চেয়ে কাজ ভালো</t>
  </si>
  <si>
    <t>Forced labor better than idle</t>
  </si>
  <si>
    <t>বেগার খাটবে তো বেকার থাকবে না</t>
  </si>
  <si>
    <t>বেগার খাটলে বেকার থাকবে না</t>
  </si>
  <si>
    <t>কাজ করলে অলস নয়</t>
  </si>
  <si>
    <t>Forced labor avoids idleness</t>
  </si>
  <si>
    <t>বেগারের দৌলতে গঙ্গাস্নান১</t>
  </si>
  <si>
    <t>বেগারের কারণে গঙ্গাস্নান</t>
  </si>
  <si>
    <t>অন্যের খরচে সুবিধা</t>
  </si>
  <si>
    <t>Bath in Ganga at forced labor's cost</t>
  </si>
  <si>
    <t>বেগুনগাছে আঁকশি২</t>
  </si>
  <si>
    <t>বেগুন গাছে আঁকশি (দ্বিতীয়)</t>
  </si>
  <si>
    <t>দুর্বলের আশ্রয়</t>
  </si>
  <si>
    <t>Support for brinjal</t>
  </si>
  <si>
    <t>বেড়া নেড়ে গৃহস্থের মন বুঝা১</t>
  </si>
  <si>
    <t>বেড়া নেড়ে গৃহস্থের মন বোঝা</t>
  </si>
  <si>
    <t>ইঙ্গিতে মন বোঝা</t>
  </si>
  <si>
    <t>Shaking fence to read owner's mind</t>
  </si>
  <si>
    <t>বেদনাবোধ না থাকার অর্থ তুমি মানুষ নও</t>
  </si>
  <si>
    <t>বেদনাবোধ নেই মানে মানুষ নও</t>
  </si>
  <si>
    <t>সহানুভূতিই মানুষ</t>
  </si>
  <si>
    <t>Without pain, not human</t>
  </si>
  <si>
    <t>বেদে চেনে সাপের হাঁচি</t>
  </si>
  <si>
    <t>বেদে সাপের হাঁচি চেনে</t>
  </si>
  <si>
    <t>অভিজ্ঞ বিশেষজ্ঞ</t>
  </si>
  <si>
    <t>বেদের মরণ সাপের হাতে</t>
  </si>
  <si>
    <t>নিজের কাজে মৃত্যু</t>
  </si>
  <si>
    <t>Snake charmer dies by snake</t>
  </si>
  <si>
    <t>বেনাবনে মুক্তা ছড়ানো২</t>
  </si>
  <si>
    <t>বেনাবনে মুক্তা ছড়ানো (দ্বিতীয়)</t>
  </si>
  <si>
    <t>মূল্যহীন স্থানে মূল্যবান</t>
  </si>
  <si>
    <t>Pearls in reed forest</t>
  </si>
  <si>
    <t>বেনোজল ঢুকিয়ে খরজল বার করা১</t>
  </si>
  <si>
    <t>বেনো জল ঢুকিয়ে খর জল বার</t>
  </si>
  <si>
    <t>নোংরা ঢুকিয়ে পরিষ্কার বার</t>
  </si>
  <si>
    <t>Letting dirty water in, clean out</t>
  </si>
  <si>
    <t>বেনোজল ঢুকিয়ে খরজল বার করা২</t>
  </si>
  <si>
    <t>বেনো জল ঢুকিয়ে খর জল বার (দ্বিতীয়)</t>
  </si>
  <si>
    <t>অনিষ্ট করে উপকার</t>
  </si>
  <si>
    <t>Muddy in, clean out</t>
  </si>
  <si>
    <t>বেল পাকলে কাকের কী?</t>
  </si>
  <si>
    <t>ফল পাকলে অন্যের লাভ</t>
  </si>
  <si>
    <t>When bel ripens, what's crow's?</t>
  </si>
  <si>
    <t>বেশি কচলালে লেবু তিতা/তেতো১</t>
  </si>
  <si>
    <t>বেশি কচলালে লেবু তেতো</t>
  </si>
  <si>
    <t>অতিরিক্ত ব্যবহার নষ্ট</t>
  </si>
  <si>
    <t>Over-rubbing lemon bitter</t>
  </si>
  <si>
    <t>বেশি কচলালে লেবু তিতা/তেতো২</t>
  </si>
  <si>
    <t>বেশি কচলালে লেবু তেতো (দ্বিতীয়)</t>
  </si>
  <si>
    <t>বাড়াবাড়ি ক্ষতিকর</t>
  </si>
  <si>
    <t>Over-handling lemon bitter</t>
  </si>
  <si>
    <t>বেশি জ্বালে ব্যঞ্জন মিষ্ট</t>
  </si>
  <si>
    <t>বেশি জ্বালে ব্যঞ্জন মিষ্টি</t>
  </si>
  <si>
    <t>অতিরিক্তে মিষ্টি</t>
  </si>
  <si>
    <t>Overcooking makes curry sweet?</t>
  </si>
  <si>
    <t>বেশি টানলে সূতা ছেঁড়ে১</t>
  </si>
  <si>
    <t>বেশি টানলে সুতা ছেঁড়ে</t>
  </si>
  <si>
    <t>অতিরিক্ত চাপ নষ্ট</t>
  </si>
  <si>
    <t>Over-pulling breaks thread</t>
  </si>
  <si>
    <t>বেশি টানলে সূতা ছেঁড়ে২</t>
  </si>
  <si>
    <t>বেশি টানলে সুতা ছেঁড়ে (দ্বিতীয়)</t>
  </si>
  <si>
    <t>বাড়াবাড়ি ভাঙে</t>
  </si>
  <si>
    <t>Too much tension breaks thread</t>
  </si>
  <si>
    <t>বেশি তাড়াহুড়া করলে বিলম্ব হতে পারে</t>
  </si>
  <si>
    <t>বেশি তাড়াহুড়া করলে দেরি</t>
  </si>
  <si>
    <t>তাড়াহুড়ো বিলম্ব</t>
  </si>
  <si>
    <t>Haste makes delay</t>
  </si>
  <si>
    <t>বেহায়ার বালাই নেই</t>
  </si>
  <si>
    <t>বেহায়ার কোনো বালাই নেই</t>
  </si>
  <si>
    <t>নির্লজ্জের কোনো চিন্তা নেই</t>
  </si>
  <si>
    <t>Shameless has no trouble</t>
  </si>
  <si>
    <t>বেহায়ার নেই লাজ নেই অপমান সুজনের এককথা মরণ সমান</t>
  </si>
  <si>
    <t>বেহায়ার লাজ নেই, অপমান নেই; সুজনের এক কথা মরণ</t>
  </si>
  <si>
    <t>ভালো মানুষ অপমান সহ্য করতে পারে না</t>
  </si>
  <si>
    <t>Shameless no shame; good man one word kills</t>
  </si>
  <si>
    <t>বৈরিতা অন্যকে আঘাত করে, কিন্তু নিজে আহত হয়</t>
  </si>
  <si>
    <t>শত্রুতা অপরকে আঘাত করে, নিজে আহত</t>
  </si>
  <si>
    <t>বিদ্বেষে নিজের ক্ষতি</t>
  </si>
  <si>
    <t>Enmity harms self and others</t>
  </si>
  <si>
    <t>বিদ্বেষ</t>
  </si>
  <si>
    <t>বোকাবন্ধুর চেয়ে বুদ্ধিমানশত্রু থাকা ভাল</t>
  </si>
  <si>
    <t>বোকা বন্ধুর চেয়ে জ্ঞানী শত্রু ভালো</t>
  </si>
  <si>
    <t>Better wise enemy than fool friend</t>
  </si>
  <si>
    <t>বোকার সাথে মোকাবিলা করা বোকামি</t>
  </si>
  <si>
    <t>বোকার সাথে লড়া বোকামি</t>
  </si>
  <si>
    <t>মূর্খের সাথে নয়</t>
  </si>
  <si>
    <t>Fighting fool is foolish</t>
  </si>
  <si>
    <t>বোঝার উপর শাকের আঁটি২</t>
  </si>
  <si>
    <t>বোঝার উপর শাকের আঁটি (দ্বিতীয়)</t>
  </si>
  <si>
    <t>ইতিমধ্যে ভার, আরও</t>
  </si>
  <si>
    <t>Extra burden</t>
  </si>
  <si>
    <t>বোধা যেদিকে যেতে সাহস করে না অবোধা সেদিকে ধায়</t>
  </si>
  <si>
    <t>জ্ঞানী যেদিকে ভয় পায়, অজ্ঞ সেদিকে যায়</t>
  </si>
  <si>
    <t>Where wise fear, fool goes</t>
  </si>
  <si>
    <t>বোবা কালার একগুণ বাড়া</t>
  </si>
  <si>
    <t>বোবা ও কালার এক গুণ বেশি</t>
  </si>
  <si>
    <t>প্রতিবন্ধীর অতিরিক্ত গুণ</t>
  </si>
  <si>
    <t>Dumb and deaf have extra sense</t>
  </si>
  <si>
    <t>বোবা যখন পুডিং খায় সে জানে কটা খেয়েছে</t>
  </si>
  <si>
    <t>বোবা পুডিং খেলে সে জানে কটা</t>
  </si>
  <si>
    <t>যে ভোগ করে সে জানে</t>
  </si>
  <si>
    <t>Dumb knows how many puddings eaten</t>
  </si>
  <si>
    <t>বোবার শত্রু নেই১</t>
  </si>
  <si>
    <t>বোবার শত্রু নেই</t>
  </si>
  <si>
    <t>চুপ থাকলে শত্রু কম</t>
  </si>
  <si>
    <t>Dumb has no enemy</t>
  </si>
  <si>
    <t>ব্যতিক্রম নিয়মকে প্রতিষ্ঠিত করে</t>
  </si>
  <si>
    <t>ব্যতিক্রম নিয়মকে বোঝায়</t>
  </si>
  <si>
    <t>Exception proves rule</t>
  </si>
  <si>
    <t>ব্যর্থতা সাফল্যের ভিত্তি/সোপান</t>
  </si>
  <si>
    <t>ব্যর্থতা সাফল্যের সোপান</t>
  </si>
  <si>
    <t>ব্যর্থতা শিক্ষা</t>
  </si>
  <si>
    <t>Failure is stepping stone</t>
  </si>
  <si>
    <t>ব্যবহারে মানুষকে চেনা যায়</t>
  </si>
  <si>
    <t>ব্যবহারে মানুষ চেনা</t>
  </si>
  <si>
    <t>মানুষের পরিচয় আচরণে</t>
  </si>
  <si>
    <t>Man known by behavior</t>
  </si>
  <si>
    <t>ব্যাঙ ডাকে ঘন ঘন; বৃষ্টি হবে শীঘ্র জান- খনা</t>
  </si>
  <si>
    <t>ব্যাঙ ঘন ঘন ডাকলে; বৃষ্টি হবে শীঘ্র জান- খনা</t>
  </si>
  <si>
    <t>ব্যাঙ ডাকলে বৃষ্টি আসে</t>
  </si>
  <si>
    <t>If frogs croak frequently, rain will come soon.</t>
  </si>
  <si>
    <t>ব্যাঙ বলে সাপকে কারও কড়ি ধারি না</t>
  </si>
  <si>
    <t>ব্যাঙ সাপকে বলে কারও কড়ি ধারি না</t>
  </si>
  <si>
    <t>দুর্বল শক্তিশালীর কাছে বড়াই</t>
  </si>
  <si>
    <t>Frog says to snake, I owe no one.</t>
  </si>
  <si>
    <t>ব্যাঙ মারতে তীরধনুক/সোনার কাঁড় (তীরধনুক)</t>
  </si>
  <si>
    <t>ব্যাঙ মারতে তীরধনুক/সোনার কাঁড়</t>
  </si>
  <si>
    <t>সামান্য কাজে বড় অস্ত্র</t>
  </si>
  <si>
    <t>Using a bow and golden arrow to kill a frog.</t>
  </si>
  <si>
    <t>ব্যাঙের মাথায় ছাতি ধরে</t>
  </si>
  <si>
    <t>সামান্যকে অতিরিক্ত সম্মান</t>
  </si>
  <si>
    <t>Holding an umbrella over a frog's head.</t>
  </si>
  <si>
    <t>ব্যাঙের শোকে সাপের চোখে জল</t>
  </si>
  <si>
    <t>শত্রুর মৃত্যুতে ভান</t>
  </si>
  <si>
    <t>Snake weeps for frog—false sympathy.</t>
  </si>
  <si>
    <t>ব্যাঙেরা যেখানে মকমক করে সেখানে চূপ করে থাকাই শ্রেয়</t>
  </si>
  <si>
    <t>ব্যাঙেরা যেখানে মকমক করে সেখানে চুপ থাকাই ভালো</t>
  </si>
  <si>
    <t>মূর্খদের সভায় চুপ থাকা</t>
  </si>
  <si>
    <t>Where frogs croak, it's better to be silent.</t>
  </si>
  <si>
    <t>ব্যাধিতস্যৌধং পথ্যম নিরুজস্য কিমৌষধে</t>
  </si>
  <si>
    <t>ব্যাধির ওষুধ পথ্য, নিরোগের ওষুধ কী?</t>
  </si>
  <si>
    <t>রোগীর পথ্য, সুস্থের ওষুধ নেই</t>
  </si>
  <si>
    <t>Diet for the sick, medicine for the healthy?</t>
  </si>
  <si>
    <t>ব্যাধির চেয়ে আধি হল বড়ো</t>
  </si>
  <si>
    <t>ব্যাধির চেয়ে আধি (মানসিক দুশ্চিন্তা) বড়</t>
  </si>
  <si>
    <t>চিন্তা রোগের চেয়ে ভয়ানক</t>
  </si>
  <si>
    <t>Worry is worse than disease.</t>
  </si>
  <si>
    <t>ব্রণ চুলকে ঘা করা</t>
  </si>
  <si>
    <t>ছোট সমস্যা বাড়ানো</t>
  </si>
  <si>
    <t>Scratching a pimple to make a sore.</t>
  </si>
  <si>
    <t>ব্রাহ্মণ আর চণ্ডালে হাতী আর বিড়ালে</t>
  </si>
  <si>
    <t>ভালো-মন্দ পাশাপাশি</t>
  </si>
  <si>
    <t>Brahmin and chandal, elephant and cat.</t>
  </si>
  <si>
    <t>ব্রাহ্মণস্য ব্রাহ্মণো গতি</t>
  </si>
  <si>
    <t>ব্রাহ্মণের গতি ব্রাহ্মণ</t>
  </si>
  <si>
    <t>যেমন জাত তেমন গতি</t>
  </si>
  <si>
    <t>A Brahmin's refuge is a Brahmin.</t>
  </si>
  <si>
    <t>ভক্তিতে ভগবান তুষ্ট</t>
  </si>
  <si>
    <t>ভক্তিতে ঈশ্বর খুশি</t>
  </si>
  <si>
    <t>God is pleased with devotion.</t>
  </si>
  <si>
    <t>ভক্তিহীন ভজন আর লবনহীন ব্যঞ্জন/রন্ধন</t>
  </si>
  <si>
    <t>ভক্তিহীন ভজন, লবণহীন রান্না</t>
  </si>
  <si>
    <t>মূল উপাদান ছাড়া অর্থহীন</t>
  </si>
  <si>
    <t>Devotion without faith, cooking without salt.</t>
  </si>
  <si>
    <t>ভগবৎ কৃপাহি কেবলম্</t>
  </si>
  <si>
    <t>শুধু ঈশ্বরের কৃপা</t>
  </si>
  <si>
    <t>সব ঈশ্বরের ইচ্ছা</t>
  </si>
  <si>
    <t>Only God's grace.</t>
  </si>
  <si>
    <t>ভগবতি বসুধে কথং বহসি</t>
  </si>
  <si>
    <t>পৃথিবী, তুমি কীভাবে বহন কর</t>
  </si>
  <si>
    <t>পাপীদের বোঝা পৃথিবী বহন করে</t>
  </si>
  <si>
    <t>O Earth, how do you bear the sinners?</t>
  </si>
  <si>
    <t>বিস্ময়</t>
  </si>
  <si>
    <t>ভগবান অন্ততঃ ব্যয়বহুল পাপ করা থেকে গরিবকে রক্ষা করেন</t>
  </si>
  <si>
    <t>ঈশ্বর গরিবকে দামী পাপ থেকে রক্ষা করেন</t>
  </si>
  <si>
    <t>দারিদ্র্য পাপের সুযোগ কমায়</t>
  </si>
  <si>
    <t>God at least saves the poor from expensive sins.</t>
  </si>
  <si>
    <t>ভগবান তৎক্ষনাৎ সব জায়গায় উপস্থিত হতে পারেন না, তাই তিনি মা সৃষ্টি করছেন</t>
  </si>
  <si>
    <t>ঈশ্বর সব জায়গায় থাকতে পারেন না, তাই মা সৃষ্টি</t>
  </si>
  <si>
    <t>মায়ের ভালোবাসা</t>
  </si>
  <si>
    <t>God couldn't be everywhere, so He created mother.</t>
  </si>
  <si>
    <t>ভগবান যা করেন মঙ্গলের জন্যই করেন</t>
  </si>
  <si>
    <t>ঈশ্বর যা করেন মঙ্গলের জন্য</t>
  </si>
  <si>
    <t>ঈশ্বরের ইচ্ছা মঙ্গল</t>
  </si>
  <si>
    <t>God does all for good.</t>
  </si>
  <si>
    <t>ভগবানের দেখা নাই বলে ভগবানের প্রতি অটুট শ্রদ্ধা</t>
  </si>
  <si>
    <t>ভগবানকে না দেখায় অটুট শ্রদ্ধা</t>
  </si>
  <si>
    <t>না দেখা ঈশ্বরের প্রতি বিশ্বাস</t>
  </si>
  <si>
    <t>Not seeing God keeps faith firm.</t>
  </si>
  <si>
    <t>ভজন নেই ভোজন আছে</t>
  </si>
  <si>
    <t>ভজন নেই, ভোজন আছে</t>
  </si>
  <si>
    <t>ভক্তি নেই, ভোগ আছে</t>
  </si>
  <si>
    <t>No devotion, but eating exists.</t>
  </si>
  <si>
    <t>ভদ্রলোক গাছে ফলে না।</t>
  </si>
  <si>
    <t>ভদ্রলোক গাছে ফলে না</t>
  </si>
  <si>
    <t>ভদ্রতা সহজাত নয়</t>
  </si>
  <si>
    <t>A gentleman doesn't grow on trees.</t>
  </si>
  <si>
    <t>ভদ্রলোক গায়ে লেখা থাকে না</t>
  </si>
  <si>
    <t>ভদ্রলোক গায়ে লেখা নেই</t>
  </si>
  <si>
    <t>বাহ্যিক চেহারায় ভদ্রতা নয়</t>
  </si>
  <si>
    <t>A gentleman has no label.</t>
  </si>
  <si>
    <t>ভদ্রলোকের আস্তাকুঁড় ভালো</t>
  </si>
  <si>
    <t>ভদ্র লোকের বর্জ্যও মানানসই</t>
  </si>
  <si>
    <t>Even a gentleman's trash is good.</t>
  </si>
  <si>
    <t>ভদ্রলোকের সাথে শখ্যতা সাফা জলের মত স্বাদহীন</t>
  </si>
  <si>
    <t>ভদ্রলোকের সাথে সম্পর্ক স্বাদহীন</t>
  </si>
  <si>
    <t>ভদ্রতা কখনো কখনো আবেগহীন</t>
  </si>
  <si>
    <t>Friendship with a gentleman is tasteless like plain water.</t>
  </si>
  <si>
    <t>ভবচন্দ্র রাজার গবচন্দ্র মন্ত্রী</t>
  </si>
  <si>
    <t>অযোগ্য শাসক ও মন্ত্রী</t>
  </si>
  <si>
    <t>King Bhabachandra, minister Gabachandra—fools.</t>
  </si>
  <si>
    <t>ভবতি বিজ্ঞতম ক্রমশো জনঃ</t>
  </si>
  <si>
    <t>ক্রমে মানুষ জ্ঞানী হয়</t>
  </si>
  <si>
    <t>অভিজ্ঞতায় জ্ঞান</t>
  </si>
  <si>
    <t>A person becomes wise gradually.</t>
  </si>
  <si>
    <t>ভবন্তু্যদয়কালে হি সৎকল্যাণপরম্পরাঃ</t>
  </si>
  <si>
    <t>উন্নতির সময়ে মঙ্গল ঘটনা</t>
  </si>
  <si>
    <t>উন্নতিতে ধারাবাহিক কল্যাণ</t>
  </si>
  <si>
    <t>In prosperity, good fortunes follow.</t>
  </si>
  <si>
    <t>ভবানীন্দ্রকুটভঙ্গিম ভবো বেত্তি ন ভূধরঃ২</t>
  </si>
  <si>
    <t>ভবানী-ইন্দ্রের কুটভঙ্গি শিব জানেন, পর্বত নয় (দ্বিতীয়)</t>
  </si>
  <si>
    <t>গূঢ় ইঙ্গিত রসিক বোঝে</t>
  </si>
  <si>
    <t>Only Shiva understands Bhavani's hint, not the mountain.</t>
  </si>
  <si>
    <t>ভবি ভুলিবার নয়</t>
  </si>
  <si>
    <t>ভবি ভোলার নয়</t>
  </si>
  <si>
    <t>যা ভোলা যায় না</t>
  </si>
  <si>
    <t>Not to be forgotten.</t>
  </si>
  <si>
    <t>ভবিতব্যানাং দ্বারাণি ভবন্তি সর্বত্র</t>
  </si>
  <si>
    <t>যা হবার তার দরজা সর্বত্র</t>
  </si>
  <si>
    <t>ভাগ্য সব জায়গায়</t>
  </si>
  <si>
    <t>Doors of destiny are everywhere.</t>
  </si>
  <si>
    <t>ভবিষৎকে জানার জন্যই অতীত জানা উচিত</t>
  </si>
  <si>
    <t>ভবিষ্যতের জন্য অতীত</t>
  </si>
  <si>
    <t>অতীত থেকে শিক্ষা</t>
  </si>
  <si>
    <t>Know the past to know the future.</t>
  </si>
  <si>
    <t>ভরাডুবির মুঠা লাভ</t>
  </si>
  <si>
    <t>ডুবে গিয়ে সামান্য লাভ</t>
  </si>
  <si>
    <t>A handful gain from a shipwreck.</t>
  </si>
  <si>
    <t>ভরাথলি খাড়া থাকে</t>
  </si>
  <si>
    <t>ভরা থলি খাড়া থাকে</t>
  </si>
  <si>
    <t>সমৃদ্ধি আত্মবিশ্বাস</t>
  </si>
  <si>
    <t>A full bag stands upright.</t>
  </si>
  <si>
    <t>ভরানদী ছোটে না</t>
  </si>
  <si>
    <t>সমৃদ্ধ অবস্থা চঞ্চল নয়</t>
  </si>
  <si>
    <t>A full river doesn't rush.</t>
  </si>
  <si>
    <t>ভরাপেটে মণ্ডা তেতো</t>
  </si>
  <si>
    <t>প্রাচুর্যে ভালো জিনিসও তেতো</t>
  </si>
  <si>
    <t>When full, sweets are bitter.</t>
  </si>
  <si>
    <t>ভরাপেটে মুড়ি শান্ত</t>
  </si>
  <si>
    <t>ভরাপেটে সব শান্ত</t>
  </si>
  <si>
    <t>Full belly, puffed rice tastes good.</t>
  </si>
  <si>
    <t>ভাঁড়ে নেই ঘি, ঠকঠকালে হবে কি১</t>
  </si>
  <si>
    <t>ভাঁড়ে নেই ঘি, ঠকাঠক করে লাভ?</t>
  </si>
  <si>
    <t>মূল জিনিসহীন চেষ্টা</t>
  </si>
  <si>
    <t>No ghee in pot, what use clattering?</t>
  </si>
  <si>
    <t>ভাঁড়ে নেই ঘি, ঠকঠকালে হবে কি২</t>
  </si>
  <si>
    <t>ভাঁড়ে নেই ঘি, ঠকাঠক (দ্বিতীয়)</t>
  </si>
  <si>
    <t>সামর্থ্যহীন চেষ্টা</t>
  </si>
  <si>
    <t>No ghee, why noise?</t>
  </si>
  <si>
    <t>ভাঁড়ে মা ভবানী</t>
  </si>
  <si>
    <t>সব জায়গায় ঈশ্বর</t>
  </si>
  <si>
    <t>Mother Bhavani in a pot.</t>
  </si>
  <si>
    <t>ভাই বড় ধন রক্তের বাধঁন, যদিও পৃথক হয় নারীর কারণ</t>
  </si>
  <si>
    <t>ভাই রক্তের বাঁধন, যদিও নারীর কারণে পৃথক</t>
  </si>
  <si>
    <t>ভাইয়ের সম্পর্ক নারীর কারণে ভাঙে</t>
  </si>
  <si>
    <t>Brothers are blood, though separated by women.</t>
  </si>
  <si>
    <t>ভাই ভাই ঠাঁই ঠাঁই</t>
  </si>
  <si>
    <t>ভাইয়ে ভাইয়ে আলাদা</t>
  </si>
  <si>
    <t>Brothers live separately.</t>
  </si>
  <si>
    <t>ভাই ভাই মেরে যাই তো ফিরে চাই</t>
  </si>
  <si>
    <t>ভাইয়ে ভাইয়ে মারামারি করেও ফিরে চায়</t>
  </si>
  <si>
    <t>ভাইয়ের সম্পর্ক সহজে ভাঙে না</t>
  </si>
  <si>
    <t>Brothers fight but reconcile.</t>
  </si>
  <si>
    <t>ভাইয়ের ভাই ডানহাত দিলে বাঁহাত পাই</t>
  </si>
  <si>
    <t>ভাইয়ের ভাই ডান হাত দিলে বাম হাত পাই</t>
  </si>
  <si>
    <t>ভাইয়ের বন্ধুও ভাই</t>
  </si>
  <si>
    <t>A brother's friend is also a brother.</t>
  </si>
  <si>
    <t>ভাইয়ের ভাত ভাজের হাত</t>
  </si>
  <si>
    <t>ভাইয়ের খাবার ভাগ</t>
  </si>
  <si>
    <t>Brother's rice, cousin's hand.</t>
  </si>
  <si>
    <t>ভাইয়ের শত্রু ভাই মাছের শত্রু ছাই</t>
  </si>
  <si>
    <t>ভাইয়ের শত্রু ভাই, মাছের শত্রু ছাই</t>
  </si>
  <si>
    <t>নিজের লোকই শত্রু</t>
  </si>
  <si>
    <t>Brother's enemy is brother; fish's enemy is ash.</t>
  </si>
  <si>
    <t>ভাগাড়ে গরু পড়া</t>
  </si>
  <si>
    <t>A cow in a carcass pit.</t>
  </si>
  <si>
    <t>ভাগাড়ে মড়া পড়ে, শকুনির টনক/মাথা নড়ে১</t>
  </si>
  <si>
    <t>ভাগাড়ে মড়া পড়লে শকুনির মাথা নড়ে</t>
  </si>
  <si>
    <t>When a carcass falls, the vulture's head turns.</t>
  </si>
  <si>
    <t>ভাগের কড়ি সাঙ্গা (সঙ্গী) বয়</t>
  </si>
  <si>
    <t>ভাগের কড়ি সাঙ্গা বয়</t>
  </si>
  <si>
    <t>ভাগের টাকা সঙ্গী বহন করে</t>
  </si>
  <si>
    <t>A partner carries shared money.</t>
  </si>
  <si>
    <t>ভাগের মা গঙ্গা পায় না১</t>
  </si>
  <si>
    <t>ভাগাভাগিতে কিছু মেলে না</t>
  </si>
  <si>
    <t>A shared mother doesn't get Ganga.</t>
  </si>
  <si>
    <t>ভাগ্যবানের বোঝা ভগবানে বয়১</t>
  </si>
  <si>
    <t>ভাগ্যবানের সাহায্য</t>
  </si>
  <si>
    <t>God carries the lucky man's burden.</t>
  </si>
  <si>
    <t>ভাগ্য সবার দ্বারে একবার আসে, উপযাজক হয়ে নয়, আহ্বানে</t>
  </si>
  <si>
    <t>ভাগ্য সবার দ্বারে একবার আসে আহ্বানে</t>
  </si>
  <si>
    <t>ভাগ্যকে ডেকে আনতে হয়</t>
  </si>
  <si>
    <t>Fortune knocks once; invite it.</t>
  </si>
  <si>
    <t>ভাগ্যের লিখন না যায় খণ্ডন</t>
  </si>
  <si>
    <t>ভাগ্যের লেখা খণ্ডানো যায় না</t>
  </si>
  <si>
    <t>Fate's writing cannot be erased.</t>
  </si>
  <si>
    <t>ভাগ্যের ফের কাপুরুষের উক্তি</t>
  </si>
  <si>
    <t>ভাগ্যের ফের কাপুরুষের কথা</t>
  </si>
  <si>
    <t>কাপুরুষ ভাগ্যকে দোষ দেয়</t>
  </si>
  <si>
    <t>Blaming fate is a coward's word.</t>
  </si>
  <si>
    <t>ভাঙবে তবু মচকাবে১</t>
  </si>
  <si>
    <t>ভাঙবে তবু মচকাবে</t>
  </si>
  <si>
    <t>ভেঙে গেলেও আওয়াজ করবে না</t>
  </si>
  <si>
    <t>Break but won't creak.</t>
  </si>
  <si>
    <t>ভাঙা ঘরে চাঁদের/জোছনার আলো, যেদিন যায় সেদিন ভালো</t>
  </si>
  <si>
    <t>ভাঙা ঘরে চাঁদের আলো, যেদিন যায় সেদিন ভালো</t>
  </si>
  <si>
    <t>অভাবেও সান্ত্বনা</t>
  </si>
  <si>
    <t>Moonlight in a broken home; good while it lasts.</t>
  </si>
  <si>
    <t>ভাঙাঘরে ভূতের বাসা</t>
  </si>
  <si>
    <t>ভাঙা ঘরে ভূতের বাসা</t>
  </si>
  <si>
    <t>বিপদগ্রস্ত স্থানে অশুভ</t>
  </si>
  <si>
    <t>A broken house is haunted.</t>
  </si>
  <si>
    <t>ভাঙা পা খানায় পড়ে</t>
  </si>
  <si>
    <t>ভাঙা পা গর্তে পড়ে</t>
  </si>
  <si>
    <t>দুর্বল জায়গায় বিপদ</t>
  </si>
  <si>
    <t>A broken leg falls into a hole.</t>
  </si>
  <si>
    <t>ভাঙাবন্ধুত্ব জোড়া লাগে না</t>
  </si>
  <si>
    <t>ভাঙা বন্ধুত্ব জোড়া লাগে না</t>
  </si>
  <si>
    <t>বন্ধুত্ব ফিরে না</t>
  </si>
  <si>
    <t>Broken friendship can't be mended.</t>
  </si>
  <si>
    <t>ভাঙাশাঁখা জোড়া লাগে না১</t>
  </si>
  <si>
    <t>ভাঙা শাঁখা জোড়া লাগে না</t>
  </si>
  <si>
    <t>ভাঙা সম্পর্ক জোড়া নয়</t>
  </si>
  <si>
    <t>A broken conch can't be joined.</t>
  </si>
  <si>
    <t>ভাঙাহাটে ঢাক পেটানো</t>
  </si>
  <si>
    <t>ভাঙা হাটে ঢাক পেটানো</t>
  </si>
  <si>
    <t>নিষ্প্রয়োজন কাজ</t>
  </si>
  <si>
    <t>Beating drum in a deserted market.</t>
  </si>
  <si>
    <t>ভাজা খেতে সাধ হয় তেলে বড় কড়ি</t>
  </si>
  <si>
    <t>ভাজা খেতে সাধ, তেলে বড় কড়ি</t>
  </si>
  <si>
    <t>ইচ্ছা আছে, টাকা নেই</t>
  </si>
  <si>
    <t>Want fried food, oil costly.</t>
  </si>
  <si>
    <t>ভাজা বল ভুজো বল ভাতের সমান নয় মাসি বল পিসি বল মায়ের মত নয়</t>
  </si>
  <si>
    <t>ভাজা, ভুজো, ভাতের সমান নয়; মাসি, পিসি মায়ের মতো নয়</t>
  </si>
  <si>
    <t>মায়ের তুলনা নেই</t>
  </si>
  <si>
    <t>Fried food not like rice; aunt not like mother.</t>
  </si>
  <si>
    <t>ভাত কখনও পেট খোঁজে না</t>
  </si>
  <si>
    <t>ভাত পেট খোঁজে না</t>
  </si>
  <si>
    <t>ভাত আপনিই পেটে যায়</t>
  </si>
  <si>
    <t>Rice never seeks belly.</t>
  </si>
  <si>
    <t>ভাত ছড়ালে কাকের অভাব হয় না১</t>
  </si>
  <si>
    <t>ভাত ছড়ালে কাকের অভাব হয় না</t>
  </si>
  <si>
    <t>দান করলে গ্রহীতা আসে</t>
  </si>
  <si>
    <t>If you scatter rice, crows come.</t>
  </si>
  <si>
    <t>ভাত ছড়ালে কাকের অভাব হয় না২</t>
  </si>
  <si>
    <t>ভাত ছড়ালে কাকের অভাব হয় না (দ্বিতীয়)</t>
  </si>
  <si>
    <t>সুযোগ পেলে সবাই</t>
  </si>
  <si>
    <t>Scatter rice, no lack of crows.</t>
  </si>
  <si>
    <t>ভাত নেই যার জাত (মান) নেই তার</t>
  </si>
  <si>
    <t>ভাত নেই যার, জাত নেই তার</t>
  </si>
  <si>
    <t>দরিদ্রের সম্মান নেই</t>
  </si>
  <si>
    <t>One without rice has no caste.</t>
  </si>
  <si>
    <t>ভাত পায় না ভাতার চায়</t>
  </si>
  <si>
    <t>ভাত পায় না, ভাতার (ব্যঞ্জন?) চায়</t>
  </si>
  <si>
    <t>অভাবে বেশি চাওয়া</t>
  </si>
  <si>
    <t>No rice, wants side dish.</t>
  </si>
  <si>
    <t>ভাতের খিদে ভাজায় মেটানো</t>
  </si>
  <si>
    <t>আসল নয়, বিকল্পে তুষ্টি</t>
  </si>
  <si>
    <t>Satisfying rice-hunger with fried snacks.</t>
  </si>
  <si>
    <t>ভাতের খিদে কি ভাজায় মেটে?</t>
  </si>
  <si>
    <t>Can fried food satisfy rice hunger?</t>
  </si>
  <si>
    <t>ভাদুরেমেঘ বিপরীত বয়, সেদিনই বৃষ্টি হয়- খনা</t>
  </si>
  <si>
    <t>ভাদুরে মেঘ বিপরীত বয়, সেদিনই বৃষ্টি হয়</t>
  </si>
  <si>
    <t>Bhadra clouds reversed, rain that day.</t>
  </si>
  <si>
    <t>ভাবের ঘরে চুরি১</t>
  </si>
  <si>
    <t>ভাবের ঘরে চুরি</t>
  </si>
  <si>
    <t>প্রেমে প্রতারণা</t>
  </si>
  <si>
    <t>Theft in love's house.</t>
  </si>
  <si>
    <t>ভাবের ঘরে চুরি৩</t>
  </si>
  <si>
    <t>ভাবের ঘরে চুরি (তৃতীয়)</t>
  </si>
  <si>
    <t>অন্তরঙ্গে ক্ষতি</t>
  </si>
  <si>
    <t>Theft in affection.</t>
  </si>
  <si>
    <t>ভারী নইলে ভার বয় কে১</t>
  </si>
  <si>
    <t>ভারী না হলে ভার বহে কে?</t>
  </si>
  <si>
    <t>দক্ষ লোকই ভার নেয়</t>
  </si>
  <si>
    <t>Who carries load if not strong?</t>
  </si>
  <si>
    <t>ভাল ওষুধ তেতো হয়১</t>
  </si>
  <si>
    <t>ভালো ওষুধ তেতো</t>
  </si>
  <si>
    <t>ভালো কিছু কষ্টকর</t>
  </si>
  <si>
    <t>Good medicine is bitter.</t>
  </si>
  <si>
    <t>ভালকথার ঝুটাও ভাল</t>
  </si>
  <si>
    <t>ভালো কথার মিথ্যাও ভালো</t>
  </si>
  <si>
    <t>মিথ্যা হলেও সুখকর</t>
  </si>
  <si>
    <t>ভাল করতে পারি না, মন্দ করতে পারি</t>
  </si>
  <si>
    <t>ভালো করতে পারি না, মন্দ করতে পারি</t>
  </si>
  <si>
    <t>ক্ষমতা নেই কিন্তু দুষ্টুমি</t>
  </si>
  <si>
    <t>Can't do good, can do evil.</t>
  </si>
  <si>
    <t>ভাল নয় অতিশয় বুদ্ধি হলেই পড়তে হয়</t>
  </si>
  <si>
    <t>ভালো নয় অতিশয়, বুদ্ধি হলেই পড়তে হয়</t>
  </si>
  <si>
    <t>অতিরিক্ত ক্ষতিকর</t>
  </si>
  <si>
    <t>Too much is bad; too clever falls.</t>
  </si>
  <si>
    <t>ভালবাসায় জল যথেষ্ট, বিনা-ভালবাসায় খাদ্যও সন্তুষ্ট করে না</t>
  </si>
  <si>
    <t>ভালোবাসায় জল যথেষ্ট, ভালোবাসা ছাড়া খাদ্যও নয়</t>
  </si>
  <si>
    <t>ভালোবাসার শক্তি</t>
  </si>
  <si>
    <t>Love makes water enough; without it, food dissatisfies.</t>
  </si>
  <si>
    <t>ভালবাসার এমন গুণ পানের সঙ্গে যেমন চুন; কম হলে লাগে ঝাল বেশি হলে পোড়ে গাল</t>
  </si>
  <si>
    <t>ভালোবাসার গুণ পানের চুনের মতো; কমে ঝাল, বেশি পোড়ে</t>
  </si>
  <si>
    <t>ভালোবাসায় মাত্রা</t>
  </si>
  <si>
    <t>Love like lime in betel; less spicy, more burns.</t>
  </si>
  <si>
    <t>ভালমানুষকে ভাল কথা বজ্জাতকে কিল</t>
  </si>
  <si>
    <t>ভালো মানুষকে ভালো কথা, বজ্জাতকে কিল</t>
  </si>
  <si>
    <t>যেমন মানুষ তেমন</t>
  </si>
  <si>
    <t>Good words to good, blows to wicked.</t>
  </si>
  <si>
    <t>ভালমানুষের বাপ আটকুঁড়া</t>
  </si>
  <si>
    <t>ভালো মানুষের বাবা নিঃসন্তান</t>
  </si>
  <si>
    <t>ভালো মানুষ বিরল</t>
  </si>
  <si>
    <t>Good man's father is childless.</t>
  </si>
  <si>
    <t>ভালর ভাল সর্বকাল মন্দের ভাল আগে</t>
  </si>
  <si>
    <t>ভালোর ভালো সর্বকাল, মন্দের ভালো আগে</t>
  </si>
  <si>
    <t>মন্দের ভালো অস্থায়ী</t>
  </si>
  <si>
    <t>Good of good is forever, good of evil is temporary.</t>
  </si>
  <si>
    <t>ভালর ভাল সবঠাঁই মন্দের ভাল কোথাও নাই</t>
  </si>
  <si>
    <t>ভালোর ভালো সব জায়গায়, মন্দের ভালো কোথাও নেই</t>
  </si>
  <si>
    <t>ভালো সব জায়গায়</t>
  </si>
  <si>
    <t>Good is good everywhere, evil's good nowhere.</t>
  </si>
  <si>
    <t>ভাললোকের কিল চুরি</t>
  </si>
  <si>
    <t>ভালো লোকের কিল চুরি</t>
  </si>
  <si>
    <t>ভালো লোক অপমান সহে</t>
  </si>
  <si>
    <t>A good man hides blows.</t>
  </si>
  <si>
    <t>ভাসুর-ভাদ্রবৌ সম্পর্ক১</t>
  </si>
  <si>
    <t>ভাসুর-ভাদ্রবৌ সম্পর্ক</t>
  </si>
  <si>
    <t>কৌতুকপূর্ণ সম্পর্ক</t>
  </si>
  <si>
    <t>Brother-in-law and sister-in-law relation.</t>
  </si>
  <si>
    <t>ভিক্ষা করতে এসে গাঁয়ের খবর নেয়</t>
  </si>
  <si>
    <t>ভিক্ষা করতে এসে গ্রামের খবর</t>
  </si>
  <si>
    <t>Came to beg, asks village news.</t>
  </si>
  <si>
    <t>ভিক্ষা চাই না কুত্তা সামলাও</t>
  </si>
  <si>
    <t>ভিক্ষা চাই না, কুকুর সামলাও</t>
  </si>
  <si>
    <t>বিপদ থেকে রক্ষা কর</t>
  </si>
  <si>
    <t>Don't want alms, control dogs.</t>
  </si>
  <si>
    <t>ভিক্ষুক কখনো দেউলিয়া হয় না</t>
  </si>
  <si>
    <t>যার কিছু নেই তার দেউলিয়া হয় না</t>
  </si>
  <si>
    <t>A beggar never goes bankrupt.</t>
  </si>
  <si>
    <t>ভিক্ষুকের এক দুয়ার বন্ধ, হাজার দুয়ার খোলা১</t>
  </si>
  <si>
    <t>ভিক্ষুকের এক দরজা বন্ধ, হাজার খোলা</t>
  </si>
  <si>
    <t>অভাবীর অনেক সুযোগ</t>
  </si>
  <si>
    <t>Beggar's one door shut, thousand open.</t>
  </si>
  <si>
    <t>ভিজে মাটিতে বেড়াল আঁচড়ায়</t>
  </si>
  <si>
    <t>ভিজে মাটিতে বিড়াল আঁচড়ায়</t>
  </si>
  <si>
    <t>সুযোগ পেলে দুর্বলও</t>
  </si>
  <si>
    <t>A cat scratches wet soil.</t>
  </si>
  <si>
    <t>ভিটায় সরষে বুনে খাওয়া১</t>
  </si>
  <si>
    <t>ভিটায় সরষে বুনে খাওয়া</t>
  </si>
  <si>
    <t>নিজের ভিটায় চাষ</t>
  </si>
  <si>
    <t>Cultivating mustard on homestead.</t>
  </si>
  <si>
    <t>ভিটা/ভিটে কামড়ে পড়ে থাকা</t>
  </si>
  <si>
    <t>ভিটা কামড়ে পড়ে থাকা</t>
  </si>
  <si>
    <t>নিজের স্থানে আঁকড়ে</t>
  </si>
  <si>
    <t>Biting one's homestead.</t>
  </si>
  <si>
    <t>ভুল মানুষমাত্রেরই হয়</t>
  </si>
  <si>
    <t>ভুল সকলের হয়</t>
  </si>
  <si>
    <t>মানুষ মাত্রেই ভুল</t>
  </si>
  <si>
    <t>ভূত দিয়ে ভূত ছাড়ানো/তাড়ানো</t>
  </si>
  <si>
    <t>ভূত দিয়ে ভূত তাড়ানো</t>
  </si>
  <si>
    <t>এক দুষ্ট দিয়ে অন্য দুষ্ট</t>
  </si>
  <si>
    <t>Use ghost to scare ghost.</t>
  </si>
  <si>
    <t>ভূমের্গরীয়সী মাতা স্বর্গাদোচ্চতর পিতা, জননী জন্মভূমিশ্চ স্বর্গাদোপি গরীয়সী</t>
  </si>
  <si>
    <t>পৃথিবীর চেয়ে মা, স্বর্গের চেয়ে পিতা, জন্মভূমি স্বর্গের চেয়ে বড়</t>
  </si>
  <si>
    <t>মা, পিতা, জন্মভূমি</t>
  </si>
  <si>
    <t>Mother greater than earth, father than heaven, motherland than heaven.</t>
  </si>
  <si>
    <t>মা/পিতা</t>
  </si>
  <si>
    <t>দেশপ্রেম</t>
  </si>
  <si>
    <t>ভেড়া দিয়ে যব মাড়া</t>
  </si>
  <si>
    <t>ভেড়া দিয়ে যব মাড়ানো</t>
  </si>
  <si>
    <t>অযোগ্য দিয়ে কাজ</t>
  </si>
  <si>
    <t>Threshing barley with sheep.</t>
  </si>
  <si>
    <t>ভেনি, ভিডি, ভিসি- জুলিয়াস সিজার</t>
  </si>
  <si>
    <t>ভেনি, ভিডি, ভিসি</t>
  </si>
  <si>
    <t>এসেছি, দেখেছি, জয় করেছি</t>
  </si>
  <si>
    <t>I came, I saw, I conquered.</t>
  </si>
  <si>
    <t>ভেবে দেখ মন কেউ কারো নয় মিছেই ফেরো ভূমণ্ডলে</t>
  </si>
  <si>
    <t>ভাব, কেউ কারো নয়, মিছে ফেরা</t>
  </si>
  <si>
    <t>সংসারে আসক্তি নয়</t>
  </si>
  <si>
    <t>Think, none belongs to none; wandering earth in vain.</t>
  </si>
  <si>
    <t>ভেয়ের (ভেড়া) শত্রু ভেয়ে নেয়ের শত্রু নেয়ে</t>
  </si>
  <si>
    <t>ভেড়ার শত্রু ভেড়া, নেয়ের শত্রু নেয়ে</t>
  </si>
  <si>
    <t>নিজের লোক শত্রু</t>
  </si>
  <si>
    <t>Sheep's enemy sheep, boatman's enemy boatman.</t>
  </si>
  <si>
    <t>ভেলায় চড়ে সিন্ধু পার</t>
  </si>
  <si>
    <t>ভেলায় চড়ে সমুদ্র পার</t>
  </si>
  <si>
    <t>সামান্য উপায়ে বড় কাজ</t>
  </si>
  <si>
    <t>Cross sea on raft.</t>
  </si>
  <si>
    <t>ভৈঁস্‌কে আগে বীণ বাজৈে ভৈঁস ঠাঢ় পগুরায়</t>
  </si>
  <si>
    <t>মোষের সামনে বীণা বাজাও, মোষ জাবর কাটে</t>
  </si>
  <si>
    <t>মূর্খকে জ্ঞান দিলে</t>
  </si>
  <si>
    <t>Play lute before buffalo, it chews cud.</t>
  </si>
  <si>
    <t>ভোগবাসনায় বুদ্ধি আচ্ছন্ন হয়</t>
  </si>
  <si>
    <t>ভোগবাসনায় বুদ্ধি আচ্ছন্ন</t>
  </si>
  <si>
    <t>লোভে বুদ্ধি নষ্ট</t>
  </si>
  <si>
    <t>Desire clouds intellect.</t>
  </si>
  <si>
    <t>ভোগের কর্তা ভগবান</t>
  </si>
  <si>
    <t>ভোগের কর্তা ঈশ্বর</t>
  </si>
  <si>
    <t>ঈশ্বরই ভোগ কর্তা</t>
  </si>
  <si>
    <t>God is enjoyer.</t>
  </si>
  <si>
    <t>ভোজনে পেট বাড়ে</t>
  </si>
  <si>
    <t>খেতে খেতে পেট বাড়ে</t>
  </si>
  <si>
    <t>Eating increases belly.</t>
  </si>
  <si>
    <t>মক্কার মানুষ হজ্জ পায় না</t>
  </si>
  <si>
    <t>নিজের জিনিসের অবহেলা</t>
  </si>
  <si>
    <t>Mecca people miss Hajj.</t>
  </si>
  <si>
    <t>মড়া মেরে খুনের দায়</t>
  </si>
  <si>
    <t>Killing dead, murder charge.</t>
  </si>
  <si>
    <t>মড়ার উপর খাঁড়ার ঘা১</t>
  </si>
  <si>
    <t>মড়ার উপর খাঁড়ার ঘা</t>
  </si>
  <si>
    <t>দুর্বলের উপর আঘাত</t>
  </si>
  <si>
    <t>Strike on corpse.</t>
  </si>
  <si>
    <t>মতের মিলে সঙ্গী হয়, মনের মিলে বন্ধু হয়</t>
  </si>
  <si>
    <t>মতের মিলে সঙ্গী, মনের মিলে বন্ধু</t>
  </si>
  <si>
    <t>বন্ধুত্ব মনের মিল</t>
  </si>
  <si>
    <t>Agreement makes companions, heart makes friends.</t>
  </si>
  <si>
    <t>মধুপান করতে পারি, মাছির কামড় সইতে নারি</t>
  </si>
  <si>
    <t>মধু খেতে পারি, মাছির কামড় সহ্য নয়</t>
  </si>
  <si>
    <t>ভোগ চাই, কষ্ট নয়</t>
  </si>
  <si>
    <t>Can drink honey, not bear sting.</t>
  </si>
  <si>
    <t>মধুরেণ সমাপয়েৎ</t>
  </si>
  <si>
    <t>মধুরে শেষ করবে</t>
  </si>
  <si>
    <t>মিষ্টি দিয়ে শেষ</t>
  </si>
  <si>
    <t>End with sweetness.</t>
  </si>
  <si>
    <t>মন ছাড়া পাপ নাই মা ছাড়া বাপ নাই</t>
  </si>
  <si>
    <t>মন ছাড়া পাপ নেই, মা ছাড়া বাপ নেই</t>
  </si>
  <si>
    <t>মনই পাপ, মাই বাপ</t>
  </si>
  <si>
    <t>No sin without mind, no father without mother.</t>
  </si>
  <si>
    <t>মনটি শখের বটে হাতে কিন্তু পয়সা নাই</t>
  </si>
  <si>
    <t>মনটি শখের, হাতে পয়সা নেই</t>
  </si>
  <si>
    <t>Heart desires, pocket empty.</t>
  </si>
  <si>
    <t>মনিব গেলে ঘোল পায় না চাকরকে পাঠায় দুধের তরে</t>
  </si>
  <si>
    <t>মনিব গেলে ঘোল পায় না, চাকরকে পাঠায় দুধে</t>
  </si>
  <si>
    <t>নিজে অক্ষম, অন্যকে</t>
  </si>
  <si>
    <t>Master can't get buttermilk, sends servant for milk.</t>
  </si>
  <si>
    <t>মনে করি করি করী, ঘোড়া বই হয় না</t>
  </si>
  <si>
    <t>কল্পনায় কাজ হয় না</t>
  </si>
  <si>
    <t>Imagining elephant doesn't make it.</t>
  </si>
  <si>
    <t>মনে মনে লঙ্কাভাগ</t>
  </si>
  <si>
    <t>মনে মনে লঙ্কা ভাগ</t>
  </si>
  <si>
    <t>কল্পনায় রাজত্ব</t>
  </si>
  <si>
    <t>Dividing Lanka in mind.</t>
  </si>
  <si>
    <t>মনের অগোচরে পাপ নেই, মায়ের অগোচরে বাপ নেই</t>
  </si>
  <si>
    <t>মন ও মা সব জানে</t>
  </si>
  <si>
    <t>No sin unknown to mind, no father unknown to mother.</t>
  </si>
  <si>
    <t>মনের কথা ফুটিলে লোকে বলে পাগল</t>
  </si>
  <si>
    <t>মনের কথা ফুটলে পাগল</t>
  </si>
  <si>
    <t>মনের কথা প্রকাশ নয়</t>
  </si>
  <si>
    <t>Revealing mind's thoughts makes one mad.</t>
  </si>
  <si>
    <t>লোকলজ্জা</t>
  </si>
  <si>
    <t>মন্দবাতাস কারো জন্য ভাল কিছু বয়ে আনে না</t>
  </si>
  <si>
    <t>মন্দ বাতাস ভাল কিছু আনে না</t>
  </si>
  <si>
    <t>খারাপ কিছু ভাল নয়</t>
  </si>
  <si>
    <t>An ill wind blows no good.</t>
  </si>
  <si>
    <t>মন্দের ভালো</t>
  </si>
  <si>
    <t>মন্দের মধ্যে ভালো</t>
  </si>
  <si>
    <t>Good of evil.</t>
  </si>
  <si>
    <t>মন্যে দুর্জনচিত্তহরণে ধাতাপি ভগ্নোদ্যম</t>
  </si>
  <si>
    <t>দুর্জনের চিত্ত হরণে বিধাতাও ব্যর্থ</t>
  </si>
  <si>
    <t>দুর্জন বদলানো যায় না</t>
  </si>
  <si>
    <t>Even God fails to change wicked heart.</t>
  </si>
  <si>
    <t>ময়না টিয়ে উড়িয়ে দিয়ে খাঁচায় পোষে কাক</t>
  </si>
  <si>
    <t>ময়না উড়িয়ে খাঁচায় কাক পোষে</t>
  </si>
  <si>
    <t>ভালো ছেড়ে মন্দ</t>
  </si>
  <si>
    <t>Let go mynah, keep crow.</t>
  </si>
  <si>
    <t>ময়রা সন্দেশ খায় না১</t>
  </si>
  <si>
    <t>ময়রা সন্দেশ খায় না</t>
  </si>
  <si>
    <t>নিজের কাজের জিনিস খায় না</t>
  </si>
  <si>
    <t>Sweetmaker doesn't eat sweets.</t>
  </si>
  <si>
    <t>ময়রা সন্দেশ খায় না২</t>
  </si>
  <si>
    <t>ময়রা সন্দেশ খায় না (দ্বিতীয়)</t>
  </si>
  <si>
    <t>অভ্যস্তের অরুচি</t>
  </si>
  <si>
    <t>Sweetmaker dislikes sweets.</t>
  </si>
  <si>
    <t>মরণকালে ঔষুধ নাই</t>
  </si>
  <si>
    <t>No medicine at death.</t>
  </si>
  <si>
    <t>মরণকালে গঙ্গাজলে/পানে পা১</t>
  </si>
  <si>
    <t>মরণকালে গঙ্গাজলে পা</t>
  </si>
  <si>
    <t>শেষ মুহূর্তে পুণ্য</t>
  </si>
  <si>
    <t>At death, feet in Ganga.</t>
  </si>
  <si>
    <t>মরবে মেয়ে উড়বে ছাই তবে মেয়ের গুণ গাই</t>
  </si>
  <si>
    <t>মরবে মেয়ে, উড়বে ছাই, তবে গুণ গাই</t>
  </si>
  <si>
    <t>মৃত্যুর পরে প্রশংসা</t>
  </si>
  <si>
    <t>When daughter dies, then praise.</t>
  </si>
  <si>
    <t>মরাগরুতে ঘাস খায় না</t>
  </si>
  <si>
    <t>মরা গরু ঘাস খায় না</t>
  </si>
  <si>
    <t>মৃত বস্তু নিষ্ক্রিয়</t>
  </si>
  <si>
    <t>Dead cow doesn't graze.</t>
  </si>
  <si>
    <t>মরাবাঘের দাঁতখামাটি/খিঁচানি</t>
  </si>
  <si>
    <t>মরা বাঘের দাঁত খিঁচানো</t>
  </si>
  <si>
    <t>দুর্বলের ভয় দেখানো</t>
  </si>
  <si>
    <t>Dead tiger bares teeth.</t>
  </si>
  <si>
    <t>মরার বাড়া গাল নেই</t>
  </si>
  <si>
    <t>মৃত্যুর চেয়ে বড় শাস্তি নেই</t>
  </si>
  <si>
    <t>No insult greater than death.</t>
  </si>
  <si>
    <t>মরার সময় মকরধ্বজ</t>
  </si>
  <si>
    <t>শেষ সময়ে মকরধ্বজ</t>
  </si>
  <si>
    <t>At death, Makaradhwaja.</t>
  </si>
  <si>
    <t>মশা/মাছি মেরে হাত কালো</t>
  </si>
  <si>
    <t>মশা মেরে হাত কালো</t>
  </si>
  <si>
    <t>ছোট অপকারে কলঙ্ক</t>
  </si>
  <si>
    <t>Kill mosquito, blacken hand.</t>
  </si>
  <si>
    <t>মশা হাতীর ওজন জানতে চায়</t>
  </si>
  <si>
    <t>ছোট বড়কে বোঝে না</t>
  </si>
  <si>
    <t>Mosquito wants to know elephant's weight.</t>
  </si>
  <si>
    <t>মশালটি আপনি কানা১</t>
  </si>
  <si>
    <t>মশালটি নিজে কানা</t>
  </si>
  <si>
    <t>যে আলো দেয় সে অন্ধ</t>
  </si>
  <si>
    <t>The torch itself is blind.</t>
  </si>
  <si>
    <t>মহাগজা পলায়ন্তে মশকানাং তু কা গতিঃ</t>
  </si>
  <si>
    <t>হাতি পালায়, মশার গতি কী?</t>
  </si>
  <si>
    <t>বড়দের পথ ছোটরা</t>
  </si>
  <si>
    <t>When elephants flee, what of mosquitoes?</t>
  </si>
  <si>
    <t>মাকড় মারলে ধোকড় হয়</t>
  </si>
  <si>
    <t>মাকড় মারলে ধোকড়</t>
  </si>
  <si>
    <t>সামান্য কাজে বড়</t>
  </si>
  <si>
    <t>Killing spider causes lump.</t>
  </si>
  <si>
    <t>মা গঙ্গা১</t>
  </si>
  <si>
    <t>মা গঙ্গা</t>
  </si>
  <si>
    <t>গঙ্গার প্রতি শ্রদ্ধা</t>
  </si>
  <si>
    <t>Mother Ganga.</t>
  </si>
  <si>
    <t>মাগনার/মাঙনার উপর টাকনা</t>
  </si>
  <si>
    <t>মাগনার উপর টাকনা</t>
  </si>
  <si>
    <t>অভাবের উপর আবরণ</t>
  </si>
  <si>
    <t>Cover over beggar.</t>
  </si>
  <si>
    <t>মাগের কাছে পেগের বড়াই১</t>
  </si>
  <si>
    <t>স্ত্রীর কাছে পেগের বড়াই</t>
  </si>
  <si>
    <t>Bragging about drink to wife.</t>
  </si>
  <si>
    <t>মাঘের মাটি সারের পাটি</t>
  </si>
  <si>
    <t>মাঘ মাসের মাটি সার</t>
  </si>
  <si>
    <t>Magh soil is like manure.</t>
  </si>
  <si>
    <t>মাছ ধুলে মিঠে মাংস ধুলে শিঠে</t>
  </si>
  <si>
    <t>মাছ ধুলে মিঠে, মাংস ধুলে শিঠে</t>
  </si>
  <si>
    <t>প্রত্যেকের নিয়ম</t>
  </si>
  <si>
    <t>Wash fish sweet, meat tough.</t>
  </si>
  <si>
    <t>মাছিমারা কেরাণী</t>
  </si>
  <si>
    <t>মাছিমারা কেরানী</t>
  </si>
  <si>
    <t>ছোট কাজে ব্যস্ত</t>
  </si>
  <si>
    <t>A clerk killing flies.</t>
  </si>
  <si>
    <t>মাছের তেলে মাছ ভাজা১</t>
  </si>
  <si>
    <t>নিজের সম্পদে কাজ</t>
  </si>
  <si>
    <t>Fry fish in fish oil.</t>
  </si>
  <si>
    <t>মাছের মায়ের কান্না/পুত্রশোক১</t>
  </si>
  <si>
    <t>মাছের মায়ের কান্না</t>
  </si>
  <si>
    <t>নিজের সন্তানের শোক</t>
  </si>
  <si>
    <t>Fish mother's tears.</t>
  </si>
  <si>
    <t>মাজো, ঘষো, কর ক্ষয়, কালো কি কখনো ধলো হয়?১</t>
  </si>
  <si>
    <t>মাজো ঘষো, কালো কি সাদা হয়?</t>
  </si>
  <si>
    <t>Scrub as you may, black won't turn white.</t>
  </si>
  <si>
    <t>মাটিতে থাপ্পড় পরলে গুনাহগার চমকে ওঠে</t>
  </si>
  <si>
    <t>মাটিতে থাপ্পড় পড়লে গুনাহগার চমকে</t>
  </si>
  <si>
    <t>অপরাধী শব্দে ভয়</t>
  </si>
  <si>
    <t>The guilty startle at a sound.</t>
  </si>
  <si>
    <t>অপরাধ</t>
  </si>
  <si>
    <t>মাণিকে মাণিক চেনে রসিকে চেনে রসিক১</t>
  </si>
  <si>
    <t>মাণিকে মাণিক চেনে, রসিকে রসিক</t>
  </si>
  <si>
    <t>গুণীই গুণী চেনে</t>
  </si>
  <si>
    <t>Gem knows gem, connoisseur knows connoisseur.</t>
  </si>
  <si>
    <t>মাণিকের খানিক ভাল</t>
  </si>
  <si>
    <t>মাণিকের একটুই ভালো</t>
  </si>
  <si>
    <t>সামান্য মূল্যবান</t>
  </si>
  <si>
    <t>A bit of gem is good.</t>
  </si>
  <si>
    <t>মাতঙ্গ পড়িলে দহে পতঙ্গ লাথি মারে১</t>
  </si>
  <si>
    <t>হাতি পড়লে পতঙ্গ লাথি মারে</t>
  </si>
  <si>
    <t>বিপদে দুর্বলও আঘাত</t>
  </si>
  <si>
    <t>When elephant falls, insect kicks.</t>
  </si>
  <si>
    <t>মাতালে দাঁতালে বিশ্বাস নেই</t>
  </si>
  <si>
    <t>মাতাল ও দাঁতাল অবিশ্বাসী</t>
  </si>
  <si>
    <t>Trust not drunkard or toothed beast.</t>
  </si>
  <si>
    <t>মাতৃবৎ পরদারেষু পরদ্রব্যেষু লোষ্টবৎ, আত্মবৎ সর্বভূতেষু যঃ পশ্যতি স পণ্ডিত</t>
  </si>
  <si>
    <t>পরের স্ত্রীকে মায়ের মতো, পরের ধনকে মাটির মতো, সবভূতে নিজেকে দেখে যে, সে পণ্ডিত</t>
  </si>
  <si>
    <t>সর্বভূতে আত্মদর্শন</t>
  </si>
  <si>
    <t>He who sees other's wife as mother, other's wealth as clay, all beings as self is wise.</t>
  </si>
  <si>
    <t>মাথা গরম হলে বুদ্ধি গলে</t>
  </si>
  <si>
    <t>রাগে বুদ্ধি নষ্ট</t>
  </si>
  <si>
    <t>When head heated, wit melts.</t>
  </si>
  <si>
    <t>মাথায় রাখলে উকুনে খায় ভূঁয়ে রাখলে পিঁপড়েতে খায়১</t>
  </si>
  <si>
    <t>মাথায় রাখলে উকুন, মাটিতে রাখলে পিঁপড়ে</t>
  </si>
  <si>
    <t>কোথাও রক্ষা নেই</t>
  </si>
  <si>
    <t>Lice if on head, ants if on ground.</t>
  </si>
  <si>
    <t>মাথার ঘাম পায়ে পড়া/ফেলা</t>
  </si>
  <si>
    <t>প্রচণ্ড পরিশ্রম</t>
  </si>
  <si>
    <t>Sweat from head to feet.</t>
  </si>
  <si>
    <t>মা নয় যে তাড়িয়ে দেবো, বাপ নয় যে ভাত দেবো না, পরের মেয়ে রাখি কোথা</t>
  </si>
  <si>
    <t>মা নয় তাড়াবো, বাপ নয় ভাত দেবো না, পরের মেয়ে কোথায় রাখি</t>
  </si>
  <si>
    <t>সংসারে সীমাবদ্ধতা</t>
  </si>
  <si>
    <t>Not mother to send away, not father to feed, where to keep another's daughter.</t>
  </si>
  <si>
    <t>মানুষ মরে মড়া হয়, কৃষ্টি মরে আচার হয়</t>
  </si>
  <si>
    <t>মানুষ মরে মড়া, কৃষ্টি মরে আচার</t>
  </si>
  <si>
    <t>মৃত্যুর পরিবর্তন</t>
  </si>
  <si>
    <t>Man dies to corpse, culture to ritual.</t>
  </si>
  <si>
    <t>মানুষের কুটুম এলে গেলে</t>
  </si>
  <si>
    <t>সম্পর্কের অনিত্যতা</t>
  </si>
  <si>
    <t>Man's relatives come and go.</t>
  </si>
  <si>
    <t>মানে ম্লানে কুত সুখম</t>
  </si>
  <si>
    <t>মান গেলে সুখ কোথায়</t>
  </si>
  <si>
    <t>সম্মান ছাড়া সুখ নেই</t>
  </si>
  <si>
    <t>Where is happiness if honor fades?</t>
  </si>
  <si>
    <t>মা পায় না কাঁথা সেলাইয়ের সূতো, ছেলের পায়ে চোদ্দসিকার জুতো</t>
  </si>
  <si>
    <t>মা সূতো পায় না, ছেলের দামী জুতো</t>
  </si>
  <si>
    <t>স্বার্থপর সন্তান</t>
  </si>
  <si>
    <t>Mother lacks thread, son wears costly shoes.</t>
  </si>
  <si>
    <t>মামার গোয়ালে বিয়ালো গাই সেই সূত্রে মামাতো ভাই</t>
  </si>
  <si>
    <t>মামার গোয়ালে গাই বিয়োল, মামাতো ভাই</t>
  </si>
  <si>
    <t>সামান্য সম্পর্ক</t>
  </si>
  <si>
    <t>Uncle's cow calved, hence cousin.</t>
  </si>
  <si>
    <t>মায়ের কাছে মামারবাড়ীর/মাসির গল্প</t>
  </si>
  <si>
    <t>মায়ের কাছে মামারবাড়ির গল্প</t>
  </si>
  <si>
    <t>মায়ের কাছে শোনানো</t>
  </si>
  <si>
    <t>Tell mother about uncle's house.</t>
  </si>
  <si>
    <t>মায়ের মায়াই আসল মায়া, অশত্থের ছায়াই আসল ছায়া</t>
  </si>
  <si>
    <t>মায়ের মায়াই আসল, অশত্থের ছায়া আসল</t>
  </si>
  <si>
    <t>Mother's love is true, banyan's shade true.</t>
  </si>
  <si>
    <t>মার চেয়ে যার দরদ বেশি তারে বলে ডাইন</t>
  </si>
  <si>
    <t>মায়ের চেয়ে বেশি দরদীকে ডাইন বলে</t>
  </si>
  <si>
    <t>অতিরিক্ত ভালোবাসা</t>
  </si>
  <si>
    <t>One with more love than mother called witch.</t>
  </si>
  <si>
    <t>মার সোহাগে বাপের আদর</t>
  </si>
  <si>
    <t>মায়ের সোহাগে বাবার আদর</t>
  </si>
  <si>
    <t>মাতৃ-পিতৃ স্নেহ</t>
  </si>
  <si>
    <t>Mother's affection, father's love.</t>
  </si>
  <si>
    <t>মারের সাবধান নাই; সাবধানেরও মার নাই</t>
  </si>
  <si>
    <t>প্রহারের সাবধান নেই; সাবধানীরও প্রহার নেই</t>
  </si>
  <si>
    <t>মারের ভয় নেই, সতর্কেরও আঘাত নেই</t>
  </si>
  <si>
    <t>No caution for blows, no blows for the cautious</t>
  </si>
  <si>
    <t>মারে হরি রাখে কে?</t>
  </si>
  <si>
    <t>হরি মারলে কে রাখে?</t>
  </si>
  <si>
    <t>ঈশ্বর মারলে কেউ বাঁচাতে পারে না</t>
  </si>
  <si>
    <t>If Hari strikes, who can save?</t>
  </si>
  <si>
    <t>মারে হরি রাখে কে? রাখে হরি মারে কে?</t>
  </si>
  <si>
    <t>হরি মারলে কে রাখে? হরি রাখলে কে মারে?</t>
  </si>
  <si>
    <t>If Hari kills, who saves? If Hari saves, who kills?</t>
  </si>
  <si>
    <t>মারো আর ধরো পিঠে দিয়েছি কুলো, বকো আর ঝকো কানে দিয়েছি তুলো</t>
  </si>
  <si>
    <t>মারো ধরো, পিঠে কুলো; বকো ঝকো, কানে তুলো</t>
  </si>
  <si>
    <t>সব সহ্য করার প্রস্তুতি</t>
  </si>
  <si>
    <t>Beat me, I have shield on back; scold me, cotton in ears</t>
  </si>
  <si>
    <t>মা লক্ষ্মী ঘরে এসো অলক্ষ্মী বিদায় হও</t>
  </si>
  <si>
    <t>মা লক্ষ্মী ঘরে এসো, অলক্ষ্মী বিদায়</t>
  </si>
  <si>
    <t>সমৃদ্ধি আসুক, দারিদ্র্য যাক</t>
  </si>
  <si>
    <t>Welcome Lakshmi, farewell Alakshmi</t>
  </si>
  <si>
    <t>মা লক্ষ্মী ভিক্ষা মাগে</t>
  </si>
  <si>
    <t>মা লক্ষ্মী ভিক্ষা করে</t>
  </si>
  <si>
    <t>ধনীরাও কখনো ভিক্ষা করে</t>
  </si>
  <si>
    <t>Even Lakshmi begs</t>
  </si>
  <si>
    <t>মা' সব থেকে ছোট শব্দ, 'মা' সব থেকে বড় অনুভূতি</t>
  </si>
  <si>
    <t>মা' সবচেয়ে ছোট শব্দ, সবচেয়ে বড় অনুভূতি</t>
  </si>
  <si>
    <t>মায়ের ভালোবাসা বিশাল</t>
  </si>
  <si>
    <t>Mother' is smallest word, greatest feeling</t>
  </si>
  <si>
    <t>মাসামাসি গেছে, সাঁঝাসাঁঝি আছে</t>
  </si>
  <si>
    <t>মাসমাসি সম্পর্ক শেষ, সাঁঝাসাঁঝি আছে</t>
  </si>
  <si>
    <t>দূরে থাকাই ভালো</t>
  </si>
  <si>
    <t>Kin by marriage gone, only evening greeting left</t>
  </si>
  <si>
    <t>মিছরির ছুরি</t>
  </si>
  <si>
    <t>মিষ্টি অস্ত্র; ভণ্ডামি</t>
  </si>
  <si>
    <t>A sugar knife—sweet but dangerous</t>
  </si>
  <si>
    <t>মিছরির টুকরাও ভাল; মুড়ির আড়িও ভাল নয়</t>
  </si>
  <si>
    <t>মিছরির টুকরো ভাল, মুড়ির আড়ি ভাল নয়</t>
  </si>
  <si>
    <t>ভালো জিনিস ভালো, মন্দ জিনিস মন্দ</t>
  </si>
  <si>
    <t>A bit of sugar is good; a heap of puffed rice isn't</t>
  </si>
  <si>
    <t>মিছে কর আম্বা আম্বা, যা করেন জগদম্বা</t>
  </si>
  <si>
    <t>মিছে হৈ চৈ, ঈশ্বর যা করেন</t>
  </si>
  <si>
    <t>চেঁচিয়ে লাভ নেই</t>
  </si>
  <si>
    <t>Vain shouts; what the Mother does is final</t>
  </si>
  <si>
    <t>মিছে কাজে কাটনি কামাই</t>
  </si>
  <si>
    <t>মিথ্যা কাজে কাটনির অভাব</t>
  </si>
  <si>
    <t>বাজে কাজে সময় নষ্ট</t>
  </si>
  <si>
    <t>Useless work, no shortage of cutting</t>
  </si>
  <si>
    <t>মিঞা-বিবি রাজী তো কিয়া করেগা কাজী</t>
  </si>
  <si>
    <t>স্বামী-স্ত্রী রাজি, কাজী কী করবে?</t>
  </si>
  <si>
    <t>পক্ষ রাজি হলে বিচারক নয়</t>
  </si>
  <si>
    <t>If husband-wife agree, what can judge do?</t>
  </si>
  <si>
    <t>মিতং চ সারং চ বচোহি বাগ্মিতা</t>
  </si>
  <si>
    <t>মিত ও সারগর্ভ বাক্যই বাগ্মিতা</t>
  </si>
  <si>
    <t>সংক্ষিপ্ত সার কথা</t>
  </si>
  <si>
    <t>Measured and essential speech is eloquence</t>
  </si>
  <si>
    <t>মিথ্যাবাদীর স্মৃতিশক্তি ভাল হয়</t>
  </si>
  <si>
    <t>মিথ্যাবাদীর স্মৃতি ভালো</t>
  </si>
  <si>
    <t>মিথ্যা মনে রাখতে হয়</t>
  </si>
  <si>
    <t>A liar needs good memory</t>
  </si>
  <si>
    <t>মিষ্টভাষীর কাছে কেউই পর নয়</t>
  </si>
  <si>
    <t>মিষ্টভাষীর কাছে কেউ পর নয়</t>
  </si>
  <si>
    <t>মিষ্টি কথা সবাইকে আপন</t>
  </si>
  <si>
    <t>To a sweet speaker, none are strangers</t>
  </si>
  <si>
    <t>মিষ্টান্নমিতরে জনাঃ/ মিষ্টান্মম ইতরে জনাঃ</t>
  </si>
  <si>
    <t>মিষ্টান্নে সবাই ইতর</t>
  </si>
  <si>
    <t>মিষ্টি খেতে সবাই আসে</t>
  </si>
  <si>
    <t>All are lowly before sweets</t>
  </si>
  <si>
    <t>মিষ্টি আম খেলে কি আঁটি শুদ্ধ খায়?</t>
  </si>
  <si>
    <t>মিষ্টি আম খেলে কি আঁটিও খায়?</t>
  </si>
  <si>
    <t>ভালো জিনিসের সবটুকু ভালো নয়</t>
  </si>
  <si>
    <t>Does one eat the pit with sweet mango?</t>
  </si>
  <si>
    <t>মিষ্টি আমে পোকা ধরে</t>
  </si>
  <si>
    <t>মিষ্টি আমে পোকা</t>
  </si>
  <si>
    <t>ভালো জিনিসে দোষ</t>
  </si>
  <si>
    <t>Worms infest sweet mangoes</t>
  </si>
  <si>
    <t>মিষ্টি কথায় চিড়া ভিজে না</t>
  </si>
  <si>
    <t>মিষ্টি কথায় চিড়া ভেজে না</t>
  </si>
  <si>
    <t>কথায় কাজ হয় না</t>
  </si>
  <si>
    <t>Sweet words don't soak flattened rice</t>
  </si>
  <si>
    <t>মিষ্টি কথায় সৃষ্টিনাশ</t>
  </si>
  <si>
    <t>মিষ্টি কথায় সৃষ্টি নাশ</t>
  </si>
  <si>
    <t>মিষ্টি কথা বিপদ</t>
  </si>
  <si>
    <t>Sweet words can destroy creation</t>
  </si>
  <si>
    <t>মিষ্টি কথার খরচ নেই</t>
  </si>
  <si>
    <t>মিষ্টি কথা সস্তা</t>
  </si>
  <si>
    <t>Sweet words cost nothing</t>
  </si>
  <si>
    <t>মিষ্টি মানুষ পাকলে তিতা</t>
  </si>
  <si>
    <t>বয়সে মানুষ তিতা</t>
  </si>
  <si>
    <t>A sweet person turns bitter when ripe</t>
  </si>
  <si>
    <t>মুখ না থাকলে শিয়ালে খেতো১</t>
  </si>
  <si>
    <t>মুখ না থাকলে শিয়াল খেত</t>
  </si>
  <si>
    <t>মুখ না থাকলে রক্ষা</t>
  </si>
  <si>
    <t>If no face, jackal would eat</t>
  </si>
  <si>
    <t>মুখ পুড়িয়ে লঙ্কায় আগুন</t>
  </si>
  <si>
    <t>নিজে বিপদে পরের ক্ষতি</t>
  </si>
  <si>
    <t>Burn mouth to set Lanka afire</t>
  </si>
  <si>
    <t>মুঘল পাঠান হদ্দ হল ফারসি পড়েন তাঁতী</t>
  </si>
  <si>
    <t>মুঘল পাঠান শেষ, ফারসি পড়ে তাঁতি</t>
  </si>
  <si>
    <t>রাজবংশ শেষ, নিচু শিক্ষিত</t>
  </si>
  <si>
    <t>Mughals and Pathans gone, weaver reads Persian</t>
  </si>
  <si>
    <t>মুচির নেই নাক শুঁড়ির নেই কান২</t>
  </si>
  <si>
    <t>মুচির নাক নেই, শুঁড়ির কান নেই (দ্বিতীয়)</t>
  </si>
  <si>
    <t>দুই ত্রুটিপূর্ণ</t>
  </si>
  <si>
    <t>Cobbler no nose, drinker no ear</t>
  </si>
  <si>
    <t>মুড়া কোদালে দীঘি কাটা</t>
  </si>
  <si>
    <t>সামান্য যন্ত্রে বড় কাজ</t>
  </si>
  <si>
    <t>Digging a lake with a hoe</t>
  </si>
  <si>
    <t>মুড়ি মিছরির একদর২</t>
  </si>
  <si>
    <t>মুড়ি মিছরির একদর (দ্বিতীয়)</t>
  </si>
  <si>
    <t>গুণের বিচার নেই</t>
  </si>
  <si>
    <t>Same price for rice crisps and sugar</t>
  </si>
  <si>
    <t>মুনির মন টলে</t>
  </si>
  <si>
    <t>জ্ঞানীরও মন টলে</t>
  </si>
  <si>
    <t>Even a sage's mind wavers</t>
  </si>
  <si>
    <t>মুরাস্তৃতীয়ঃ পন্থাঃ</t>
  </si>
  <si>
    <t>তৃতীয় পন্থা মূঢ়তা</t>
  </si>
  <si>
    <t>মধ্যম পথ ছেড়ে তৃতীয়</t>
  </si>
  <si>
    <t>The third path is foolishness</t>
  </si>
  <si>
    <t>মূর্খশ্চ পুত্রো বিনাগ্নিনা সংদহতে শরীরম</t>
  </si>
  <si>
    <t>মূর্খ পুত্র আগুন ছাড়াই শরীর দহন করে</t>
  </si>
  <si>
    <t>কুপুত্র সর্বনাশ</t>
  </si>
  <si>
    <t>A foolish son burns the body without fire</t>
  </si>
  <si>
    <t>মূর্খস্য নাস্ত্যৌষধম</t>
  </si>
  <si>
    <t>মূর্খের কোনো ওষুধ নেই</t>
  </si>
  <si>
    <t>মূর্খ নিরাময় হয় না</t>
  </si>
  <si>
    <t>There is no medicine for a fool</t>
  </si>
  <si>
    <t>মূর্খের কাছে টাকা থাকে না</t>
  </si>
  <si>
    <t>মূর্খ অপচয় করে</t>
  </si>
  <si>
    <t>A fool cannot keep money</t>
  </si>
  <si>
    <t>মূর্খের কাছে মুর্খতাই শেখা যায়</t>
  </si>
  <si>
    <t>মূর্খের কাছে মূর্খতা শেখা যায়</t>
  </si>
  <si>
    <t>মূর্খের সঙ্গ খারাপ</t>
  </si>
  <si>
    <t>From a fool, only foolishness is learned</t>
  </si>
  <si>
    <t>মূলা খেলে মূলার ঢেঁকুর উঠে</t>
  </si>
  <si>
    <t>মূলা খেলে মূলার ঢেঁকুর</t>
  </si>
  <si>
    <t>যেমন খাওয়া তেমন</t>
  </si>
  <si>
    <t>As you eat radish, you burp radish</t>
  </si>
  <si>
    <t>মূলাচোরের ফাঁসি</t>
  </si>
  <si>
    <t>মূলা চোরের ফাঁসি</t>
  </si>
  <si>
    <t>সামান্য চুরিতে বড় শাস্তি</t>
  </si>
  <si>
    <t>Hanging for stealing radish</t>
  </si>
  <si>
    <t>মৃত্যু জন্মের মতই স্বাভাবিক</t>
  </si>
  <si>
    <t>মৃত্যু জন্মের মতো স্বাভাবিক</t>
  </si>
  <si>
    <t>মৃত্যু স্বাভাবিক</t>
  </si>
  <si>
    <t>Death is as natural as birth</t>
  </si>
  <si>
    <t>মৃত্যু পাঁজি রাখে না</t>
  </si>
  <si>
    <t>মৃত্যু পঞ্জিকা রাখে না</t>
  </si>
  <si>
    <t>মৃত্যুর সময় অজানা</t>
  </si>
  <si>
    <t>মৃত্যু পালাবার পথ নয়</t>
  </si>
  <si>
    <t>মৃত্যু পালানোর পথ নয়</t>
  </si>
  <si>
    <t>মৃত্যু সমাধান নয়</t>
  </si>
  <si>
    <t>Death is no escape</t>
  </si>
  <si>
    <t>মেঘ চমকালেই বৃষ্টি হয় না</t>
  </si>
  <si>
    <t>মেঘ চমকালেই বৃষ্টি নয়</t>
  </si>
  <si>
    <t>হুমকি মানে কাজ নয়</t>
  </si>
  <si>
    <t>Lightning doesn't mean rain</t>
  </si>
  <si>
    <t>মেঘের মতো জল নেই, অন্নের মত খাদ্য নেই</t>
  </si>
  <si>
    <t>মেঘের মতো জল, অন্নের মতো খাদ্য নেই</t>
  </si>
  <si>
    <t>জল ও অন্ন শ্রেষ্ঠ</t>
  </si>
  <si>
    <t>No water like rain, no food like rice</t>
  </si>
  <si>
    <t>মেজে ঘষে কর ক্ষয়, কালো কভু ধলো নয়</t>
  </si>
  <si>
    <t>মেজে ঘষে ক্ষয়, কালো সাদা নয়</t>
  </si>
  <si>
    <t>Scrub, black never white</t>
  </si>
  <si>
    <t>মেয়ের মায়ের পাঁচটা প্রাণ</t>
  </si>
  <si>
    <t>মেয়ের মায়ের উদ্বেগ</t>
  </si>
  <si>
    <t>A daughter's mother has five lives</t>
  </si>
  <si>
    <t>মেরেছে মেরেছে কলসির কানা তাই বলে কি প্রেম দেব না?</t>
  </si>
  <si>
    <t>মেরেছে কলসির কানা, তবু কি প্রেম দেব না?</t>
  </si>
  <si>
    <t>ভালোবাসা থেকে সরে না</t>
  </si>
  <si>
    <t>Even if pot edge hit, will I not love?</t>
  </si>
  <si>
    <t>মৌনং সম্মতি লক্ষনম্</t>
  </si>
  <si>
    <t>মৌন সম্মতির লক্ষণ</t>
  </si>
  <si>
    <t>চুপ থাকা সম্মতি</t>
  </si>
  <si>
    <t>Silence is sign of consent</t>
  </si>
  <si>
    <t>মৌনীনঃ কলহো নাস্তি</t>
  </si>
  <si>
    <t>মৌনীর কলহ নেই</t>
  </si>
  <si>
    <t>চুপ থাকলে ঝগড়া নেই</t>
  </si>
  <si>
    <t>The silent have no quarrel</t>
  </si>
  <si>
    <t>যখন আদর জুটে, ফুটকলাই দিয়ে ফুটে; যখন আদর টুটে, ঢেঁকি দিয়ে কুটে</t>
  </si>
  <si>
    <t>আদর পেলে ফুটকলাই দিয়ে ফুটে, আদর টুটলে ঢেঁকি দিয়ে কুটে</t>
  </si>
  <si>
    <t>ভালোবাসা ও অবহেলা</t>
  </si>
  <si>
    <t>When loved, boiled; when hated, crushed</t>
  </si>
  <si>
    <t>যখন তুমি রোমে তখন তুমি রোমান</t>
  </si>
  <si>
    <t>রোমে থাকলে রোমান</t>
  </si>
  <si>
    <t>পরিবেশ অনুযায়ী</t>
  </si>
  <si>
    <t>When in Rome, be Roman</t>
  </si>
  <si>
    <t>যখন যেমন তখন তেমন</t>
  </si>
  <si>
    <t>As the time, so the manner</t>
  </si>
  <si>
    <t>যতই মানুষকে দেখছি ততই কুকুরকে ভালো লাগছে</t>
  </si>
  <si>
    <t>মানুষকে দেখে কুকুর ভালো লাগে</t>
  </si>
  <si>
    <t>মানুষের প্রতি বিরক্তি</t>
  </si>
  <si>
    <t>The more I see people, the more I like dogs</t>
  </si>
  <si>
    <t>যত কয় তত নয়</t>
  </si>
  <si>
    <t>যত বলে তত নয়</t>
  </si>
  <si>
    <t>কথা কম কাজ বেশি</t>
  </si>
  <si>
    <t>Not as much as he says</t>
  </si>
  <si>
    <t>যত গর্জে তত বর্ষে না৩</t>
  </si>
  <si>
    <t>যত গর্জে তত বর্ষে না (তৃতীয়)</t>
  </si>
  <si>
    <t>কথা বেশি কাজ কম</t>
  </si>
  <si>
    <t>Loudest thunder, no rain</t>
  </si>
  <si>
    <t>যত গুড় তত মধুর১</t>
  </si>
  <si>
    <t>যত গুড় তত মিষ্টি</t>
  </si>
  <si>
    <t>প্রাচুর্যে মিষ্টি</t>
  </si>
  <si>
    <t>The more jaggery, the sweeter</t>
  </si>
  <si>
    <t>যত জ্বালে ব্যঞ্জন মিষ্ট, তত জ্বালে ভাত নষ্ট</t>
  </si>
  <si>
    <t>যত জ্বালে ব্যঞ্জন মিষ্টি, তত জ্বালে ভাত নষ্ট</t>
  </si>
  <si>
    <t>বেশি জ্বাল ক্ষতিকর</t>
  </si>
  <si>
    <t>More cooking sweetens curry, spoils rice</t>
  </si>
  <si>
    <t>যত দোষ নন্দঘোষ</t>
  </si>
  <si>
    <t>সব দোষ নন্দঘোষের</t>
  </si>
  <si>
    <t>একজনের ঘাড়ে সব দোষ</t>
  </si>
  <si>
    <t>All blame on Nandaghosh</t>
  </si>
  <si>
    <t>যত দোস্তি তত কুস্তি</t>
  </si>
  <si>
    <t>যত বন্ধুত্ব তত কুস্তি</t>
  </si>
  <si>
    <t>অন্তরঙ্গে ঝগড়া</t>
  </si>
  <si>
    <t>The more friendship, the more wrestling</t>
  </si>
  <si>
    <t>যত রক্তের কাছে তত বেশি রক্তারক্তি- সেক্সপিয়ার</t>
  </si>
  <si>
    <t>রক্তের কাছে বেশি রক্তারক্তি</t>
  </si>
  <si>
    <t>আত্মীয় দ্বন্দ্ব</t>
  </si>
  <si>
    <t>Nearer blood, deeper conflict</t>
  </si>
  <si>
    <t>যত সয় তত বয়</t>
  </si>
  <si>
    <t>যত সয় তত বহে</t>
  </si>
  <si>
    <t>সহ্য যত, ভার তত</t>
  </si>
  <si>
    <t>As much as one bears, one carries</t>
  </si>
  <si>
    <t>যত্র আয় তত্র ব্যয়১</t>
  </si>
  <si>
    <t>যেখানে আয় সেখানে ব্যয়</t>
  </si>
  <si>
    <t>আয় অনুযায়ী ব্যয়</t>
  </si>
  <si>
    <t>Spend where earn</t>
  </si>
  <si>
    <t>যদি কামড়াতে না পারো তবে দাঁত দেখিয়েও না</t>
  </si>
  <si>
    <t>কামড়াতে না পারলে দাঁত দেখিও না</t>
  </si>
  <si>
    <t>সামর্থ্যহীন হুমকি</t>
  </si>
  <si>
    <t>If you can't bite, don't show teeth</t>
  </si>
  <si>
    <t>যদ্যপি আমার গুরু শুড়িবাড়ি যায়, তথাপি আমার গুরু নিত্যানন্দ রায়১</t>
  </si>
  <si>
    <t>গুরু শুড়িবাড়ি গেলেও গুরু নিত্যানন্দ</t>
  </si>
  <si>
    <t>গুরুর প্রতি শ্রদ্ধা</t>
  </si>
  <si>
    <t>Even if guru goes to liquor house, he is still my guru Nityananda</t>
  </si>
  <si>
    <t>যাচনান্তং হি গৌরবম</t>
  </si>
  <si>
    <t>যাচ্ঞা শেষ গৌরব</t>
  </si>
  <si>
    <t>ভিক্ষায় ইজ্জত যায়</t>
  </si>
  <si>
    <t>Begging ends honor</t>
  </si>
  <si>
    <t>যার ধন তার ধন নয়, নেপোয় মারে দই১</t>
  </si>
  <si>
    <t>যার ধন তার ধন নয়, নেপো মারে দই</t>
  </si>
  <si>
    <t>সামর্থ্য অনুযায়ী</t>
  </si>
  <si>
    <t>Wealth not yours, weak buys curd</t>
  </si>
  <si>
    <t>যার পাঁঠা, সে লেজের দিকে কাটে</t>
  </si>
  <si>
    <t>যার পাঁঠা সে লেজে কাটে</t>
  </si>
  <si>
    <t>নিজের জিনিস নিজের ইচ্ছা</t>
  </si>
  <si>
    <t>Owner cuts own goat at tail</t>
  </si>
  <si>
    <t>যার বিয়ে তার খেয়াল/খোঁজে নেই পাড়া-পড়শির ঘুম নেই</t>
  </si>
  <si>
    <t>বিয়ের লোকের চিন্তা নেই, প্রতিবেশীর ঘুম নেই</t>
  </si>
  <si>
    <t>অপ্রাসঙ্গিক চিন্তা</t>
  </si>
  <si>
    <t>The groom careless, neighbors sleepless</t>
  </si>
  <si>
    <t>যার ভাত নাই তার জাত নাই</t>
  </si>
  <si>
    <t>ভাত নেই, জাত নেই</t>
  </si>
  <si>
    <t>No rice, no caste</t>
  </si>
  <si>
    <t>যার মরণ যেখানে</t>
  </si>
  <si>
    <t>মৃত্যু নির্ধারিত</t>
  </si>
  <si>
    <t>Where one's death is destined</t>
  </si>
  <si>
    <t>যার শিল তার নোড়া, তারই ভাঙ্গি দাঁতের গোড়া</t>
  </si>
  <si>
    <t>যার শিল-নোড়া, তারই দাঁত ভাঙি</t>
  </si>
  <si>
    <t>নিজের জিনিসে ক্ষতি</t>
  </si>
  <si>
    <t>Break teeth with his own grinding stone</t>
  </si>
  <si>
    <t>যারে নারি হাতে, তারে মারি ভাতে</t>
  </si>
  <si>
    <t>হাতে না পারি, ভাতে মারি</t>
  </si>
  <si>
    <t>পরোক্ষ প্রতিশোধ</t>
  </si>
  <si>
    <t>Can't beat with hand, harm through food</t>
  </si>
  <si>
    <t>যাহা বাহান্ন তাহা তিপ্পান্ন১</t>
  </si>
  <si>
    <t>যা বাহান্ন তা তিপ্পান্ন</t>
  </si>
  <si>
    <t>সামান্য পার্থক্য</t>
  </si>
  <si>
    <t>What's fifty-two is fifty-three</t>
  </si>
  <si>
    <t>যাহা বাহান্ন তাহা তিপ্পান্ন৩</t>
  </si>
  <si>
    <t>যা বাহান্ন তা তিপ্পান্ন (তৃতীয়)</t>
  </si>
  <si>
    <t>বিশেষ পার্থক্য নেই</t>
  </si>
  <si>
    <t>No difference between 52 and 53</t>
  </si>
  <si>
    <t>যেখানে আঁটাআঁটি সেখানেই খিটিমিটি/ফাটাফাটি</t>
  </si>
  <si>
    <t>আঁটাআঁটিতে খিটিমিটি</t>
  </si>
  <si>
    <t>ঘনিষ্ঠতায় ঝগড়া</t>
  </si>
  <si>
    <t>Where tightness, friction</t>
  </si>
  <si>
    <t>যেমন দান তেমন দক্ষিণা২</t>
  </si>
  <si>
    <t>দান অনুযায়ী প্রতিদান</t>
  </si>
  <si>
    <t>As the donation, so the fee</t>
  </si>
  <si>
    <t>যেমন দেবতা, তেমন পূজা</t>
  </si>
  <si>
    <t>যেমন দেবতা তেমন পূজা</t>
  </si>
  <si>
    <t>যার যেমন মর্যাদা তার তেমন সম্মান</t>
  </si>
  <si>
    <t>As the deity, so the worship</t>
  </si>
  <si>
    <t>যেমন দেবতা, তেমন বাহন</t>
  </si>
  <si>
    <t>যেমন দেবতা তেমন বাহন</t>
  </si>
  <si>
    <t>যেমন প্রভু তেমন অনুচর</t>
  </si>
  <si>
    <t>As the god, so the mount</t>
  </si>
  <si>
    <t>যেমন দেবা তেমনি দেবী</t>
  </si>
  <si>
    <t>যেমন দেবতা তেমনি দেবী</t>
  </si>
  <si>
    <t>যেমন স্বামী তেমন স্ত্রী</t>
  </si>
  <si>
    <t>As the god, so the goddess</t>
  </si>
  <si>
    <t>যেমন দেবা তেমনি বাহন</t>
  </si>
  <si>
    <t>যেমন দেবতা তেমনি বাহন</t>
  </si>
  <si>
    <t>As the god, so the vehicle</t>
  </si>
  <si>
    <t>যেমন দেবে তেমন পাবে</t>
  </si>
  <si>
    <t>কর্মফল অনুযায়ী</t>
  </si>
  <si>
    <t>As you give, so you receive</t>
  </si>
  <si>
    <t>যেমন দেশ, তেমন বেশ১</t>
  </si>
  <si>
    <t>পরিবেশ অনুযায়ী বেশ</t>
  </si>
  <si>
    <t>As the country, so the dress</t>
  </si>
  <si>
    <t>যেমন দেশ, তেমন বেশ২</t>
  </si>
  <si>
    <t>দেশাচার মেনে চলা</t>
  </si>
  <si>
    <t>As the land, so the attire</t>
  </si>
  <si>
    <t>যেমন বুনো ওল, তেমনি বাঘা তেঁতুল</t>
  </si>
  <si>
    <t>যেমন বুনো ওল তেমনি বাঘা তেঁতুল</t>
  </si>
  <si>
    <t>যেমন জিনিস তেমন ফল</t>
  </si>
  <si>
    <t>As the wild taro, so the tiger tamarind</t>
  </si>
  <si>
    <t>যেমন বেণী তেমনি রবে চুল ভিজাবো না</t>
  </si>
  <si>
    <t>যেমন বেণী তেমনি থাকবে, চুল ভিজাব না</t>
  </si>
  <si>
    <t>যেমন আছে তেমন থাকবে</t>
  </si>
  <si>
    <t>As the braid is, so it stays; I won't wet the hair</t>
  </si>
  <si>
    <t>যেমন বৃক্ষ তেমন ফল</t>
  </si>
  <si>
    <t>যেমন গাছ তেমন ফল</t>
  </si>
  <si>
    <t>As the tree, so the fruit</t>
  </si>
  <si>
    <t>ভাবনা অনুযায়ী পরিণতি</t>
  </si>
  <si>
    <t>As the mind, so the fate</t>
  </si>
  <si>
    <t>যেমন শয্যা তেমনই শয়ন</t>
  </si>
  <si>
    <t>যেমন শয্যা তেমন শয়ন</t>
  </si>
  <si>
    <t>যেমন আয়োজন তেমন আরাম</t>
  </si>
  <si>
    <t>As the bed, so the sleep</t>
  </si>
  <si>
    <t>যেমন সাপ তেমনই লাঠি</t>
  </si>
  <si>
    <t>যেমন সাপ তেমন লাঠি</t>
  </si>
  <si>
    <t>শত্রু অনুযায়ী প্রতিরোধ</t>
  </si>
  <si>
    <t>As the snake, so the stick</t>
  </si>
  <si>
    <t>যে মরতে ভয় পায় সে বাঁচতে শেখেনি</t>
  </si>
  <si>
    <t>ভয় জীবনকে সীমাবদ্ধ করে</t>
  </si>
  <si>
    <t>He who fears death has not learned to live</t>
  </si>
  <si>
    <t>যে মাথা নোয়ায়, সে মাথা খোয়ায় না১</t>
  </si>
  <si>
    <t>যে মাথা নোয়ায় সে মাথা খোয়ায় না</t>
  </si>
  <si>
    <t>বিনয়ী বিপদ এড়ায়</t>
  </si>
  <si>
    <t>He who bows his head does not lose it</t>
  </si>
  <si>
    <t>যে মানুষ প্রশ্ন করে সে একমুহূর্তের জন্য মুর্খ, আর যে মানুষ প্রশ্ন করে না সে সারাজীবনের জন্য মুর্খ- কনফুসিয়াস</t>
  </si>
  <si>
    <t>প্রশ্নকারী ক্ষণিক মূর্খ, প্রশ্নহীন সারাজীবন মূর্খ</t>
  </si>
  <si>
    <t>প্রশ্ন শিক্ষার পথ</t>
  </si>
  <si>
    <t>He who asks is a fool for a moment; he who never asks is a fool forever</t>
  </si>
  <si>
    <t>যে মানুষ বলে সে পারে এবং যে মানুষ বলে সে পারে না, তারা উভয়ই সত্য কথা বলে</t>
  </si>
  <si>
    <t>যে বলতে পারে এবং না পারে, দুজনেই সত্য</t>
  </si>
  <si>
    <t>আত্মবিশ্বাসই নির্ধারক</t>
  </si>
  <si>
    <t>Both who says he can and he cannot are right</t>
  </si>
  <si>
    <t>যে মানুষ সামান্যতম দুর্ভাগ্য সহ্য করতে পারে না, সে কোন বড় কাজ সাফল্যের সাথে সম্পন্ন করতে পারে না</t>
  </si>
  <si>
    <t>সামান্য দুর্ভাগ্য সহ্য না করলে বড় কাজ নয়</t>
  </si>
  <si>
    <t>সহিষ্ণুতা প্রয়োজন</t>
  </si>
  <si>
    <t>He who cannot bear small misfortune cannot achieve great work</t>
  </si>
  <si>
    <t>যে মুলোটা বাড়ে তা পত্তনেই বুঝা যায়</t>
  </si>
  <si>
    <t>যে মূলা বাড়ে তা পোঁতাতেই বোঝা</t>
  </si>
  <si>
    <t>শুরু দেখে শেষ বোঝা</t>
  </si>
  <si>
    <t>The radish's growth is known at planting</t>
  </si>
  <si>
    <t>যে যন্ত্র রক্ত খায় সে রাম চালালেও খাবে রাবণ চালালেও খাবে</t>
  </si>
  <si>
    <t>রক্ত খাওয়া যন্ত্র রাম-রাবণ নির্বিশেষে খায়</t>
  </si>
  <si>
    <t>মূল প্রকৃতি বদলায় না</t>
  </si>
  <si>
    <t>A machine that drinks blood will do so whether Ram or Ravan runs it</t>
  </si>
  <si>
    <t>যে যায় লঙ্কায় সেই হল রাক্ষস/রাবণ১</t>
  </si>
  <si>
    <t>পরিবেশ মানুষ বদলায়</t>
  </si>
  <si>
    <t>He who goes to Lanka becomes a demon</t>
  </si>
  <si>
    <t>যে যার সে তার১</t>
  </si>
  <si>
    <t>যে যার সেই তার</t>
  </si>
  <si>
    <t>নিজের জিনিস নিজের</t>
  </si>
  <si>
    <t>Each to his own</t>
  </si>
  <si>
    <t>যে রক্ষক সেই ভক্ষক১</t>
  </si>
  <si>
    <t>যে রক্ষক সেই ভক্ষক</t>
  </si>
  <si>
    <t>যে রক্ষার দায়িত্বে সে-ই ভক্ষণ করে</t>
  </si>
  <si>
    <t>The protector is the devourer</t>
  </si>
  <si>
    <t>যে সকলের বন্ধু সে কারোরই বন্ধু নয়১</t>
  </si>
  <si>
    <t>সবাইর বন্ধু কারোর বন্ধু নয়</t>
  </si>
  <si>
    <t>সবার সঙ্গে সুসম্পর্ক অসম্ভব</t>
  </si>
  <si>
    <t>A friend to all is a friend to none</t>
  </si>
  <si>
    <t>যে সকলের বন্ধু সে কারোরই বন্ধু নয়২</t>
  </si>
  <si>
    <t>সবাইর বন্ধু কারোর বন্ধু নয় (দ্বিতীয়)</t>
  </si>
  <si>
    <t>সত্যিকারের বন্ধু নয়</t>
  </si>
  <si>
    <t>Everyone's friend is no one's friend</t>
  </si>
  <si>
    <t>যো দেখতা হায়, উও বিক্‌তা হায়১</t>
  </si>
  <si>
    <t>যে দেখায় সে বিকায়</t>
  </si>
  <si>
    <t>প্রদর্শনীই বিক্রয়</t>
  </si>
  <si>
    <t>What is seen is sold</t>
  </si>
  <si>
    <t>যৌবন জোয়ারের জল</t>
  </si>
  <si>
    <t>ক্ষণস্থায়ী যৌবন</t>
  </si>
  <si>
    <t>Youth is like high tide</t>
  </si>
  <si>
    <t>যৌবন</t>
  </si>
  <si>
    <t>রক্ত গরম হলে বুদ্ধি গলে</t>
  </si>
  <si>
    <t>রক্ত গরমে বুদ্ধি গলে</t>
  </si>
  <si>
    <t>When blood heats, wisdom melts</t>
  </si>
  <si>
    <t>রক্তের টানে রক্তারক্তি</t>
  </si>
  <si>
    <t>Blood ties bring bloody conflicts</t>
  </si>
  <si>
    <t>রঙ থাকলে রঙে কড়ি, রঙ ফুরোলে গড়াগড়ি</t>
  </si>
  <si>
    <t>রঙ থাকলে কড়ি, রঙ গেলে গড়াগড়ি</t>
  </si>
  <si>
    <t>বাহ্যিক সৌন্দর্য</t>
  </si>
  <si>
    <t>With color, money; without, dust</t>
  </si>
  <si>
    <t>রঙ্গপ্রিয় লোকেরা সর্বদাই বিষন্ন</t>
  </si>
  <si>
    <t>রঙ্গপ্রিয় বিষন্ন</t>
  </si>
  <si>
    <t>বাহ্যিক আনন্দ ভেতরে দুঃখ</t>
  </si>
  <si>
    <t>Fun-loving people are often sad inside</t>
  </si>
  <si>
    <t>রতনে রতন চেনে শুয়োরে চেনে কচু</t>
  </si>
  <si>
    <t>রতন চেনে রতন, শুয়োর চেনে কচু</t>
  </si>
  <si>
    <t>প্রত্যেকে নিজ জিনিস চেনে</t>
  </si>
  <si>
    <t>Gem knows gem, pig knows tuber</t>
  </si>
  <si>
    <t>রত্ন খণ্ডিত হয় না</t>
  </si>
  <si>
    <t>মূল্যবান জিনিস ভাঙে না</t>
  </si>
  <si>
    <t>A gem is never broken</t>
  </si>
  <si>
    <t>রত্নগর্ভা/প্রসবিনী২</t>
  </si>
  <si>
    <t>রত্নগর্ভা (দ্বিতীয়)</t>
  </si>
  <si>
    <t>মূল্যবান সন্তান</t>
  </si>
  <si>
    <t>Bearer of precious child</t>
  </si>
  <si>
    <t>রত্নগর্ভের প্রথমসন্তান১</t>
  </si>
  <si>
    <t>রত্নগর্ভের প্রথম সন্তান</t>
  </si>
  <si>
    <t>মূল্যবান প্রথম সন্তান</t>
  </si>
  <si>
    <t>First child of gem-like womb</t>
  </si>
  <si>
    <t>রত্নগর্ভের প্রথমসন্তান২</t>
  </si>
  <si>
    <t>রত্নগর্ভের প্রথম সন্তান (দ্বিতীয়)</t>
  </si>
  <si>
    <t>প্রথম সন্তানের গুরুত্ব</t>
  </si>
  <si>
    <t>First child of a gem womb</t>
  </si>
  <si>
    <t>রন্ধনে দ্রৌপদী</t>
  </si>
  <si>
    <t>রান্নায় সিদ্ধহস্ত</t>
  </si>
  <si>
    <t>Draupadi in cooking</t>
  </si>
  <si>
    <t>রন্ধনের চাউল চর্বণে যায়১</t>
  </si>
  <si>
    <t>রান্নার চাল চিবিয়ে যায়</t>
  </si>
  <si>
    <t>রান্নার চাল নষ্ট</t>
  </si>
  <si>
    <t>Rice for cooking gets chewed</t>
  </si>
  <si>
    <t>রম্যাণি বীক্ষ্য মধুরাংশ্চ নিশম্য শব্দান পৰ্য্যুৎসুকী ভবতি যৎ সুখিতোহপি জন্তুঃ</t>
  </si>
  <si>
    <t>সুন্দর দেখে মধুর শুনে সুখীও আকুল</t>
  </si>
  <si>
    <t>সৌন্দর্য আকর্ষণ</t>
  </si>
  <si>
    <t>Seeing beautiful, hearing sweet, even the happy yearn</t>
  </si>
  <si>
    <t>রসুন বলে পিঁয়াজ ভাই তোমার বড় খোসা</t>
  </si>
  <si>
    <t>নিজের দোষ না দেখে</t>
  </si>
  <si>
    <t>Garlic says onion has thick skin</t>
  </si>
  <si>
    <t>রসের ঘরেই গৌর নাচে১</t>
  </si>
  <si>
    <t>রসের ঘরেই গৌর নাচে</t>
  </si>
  <si>
    <t>রসিকের কাছে গুণ প্রকাশ</t>
  </si>
  <si>
    <t>Gaur dances in the house of ras</t>
  </si>
  <si>
    <t>রাই কুড়িয়ে বেল</t>
  </si>
  <si>
    <t>ক্ষুদ্র থেকে বিশাল</t>
  </si>
  <si>
    <t>Gathering mustard to make a heap</t>
  </si>
  <si>
    <t>রাক্ষসের উপর খোক্কস</t>
  </si>
  <si>
    <t>দুষ্টের উপর দুষ্ট</t>
  </si>
  <si>
    <t>Demon upon demon</t>
  </si>
  <si>
    <t>রাক্ষসের বেটা খোক্কস</t>
  </si>
  <si>
    <t>রাক্ষসের ছেলে খোক্কস</t>
  </si>
  <si>
    <t>দুষ্টের সন্তান দুষ্ট</t>
  </si>
  <si>
    <t>Son of demon is demon</t>
  </si>
  <si>
    <t>রাগকে শাসন কর, নইলে রাগ তোমায় শাসন করবে</t>
  </si>
  <si>
    <t>রাগকে শাসন নইলে রাগ শাসন</t>
  </si>
  <si>
    <t>ক্রোধ নিয়ন্ত্রণ</t>
  </si>
  <si>
    <t>Control anger or it will control you</t>
  </si>
  <si>
    <t>রাগ না চণ্ডাল</t>
  </si>
  <si>
    <t>রাগ চণ্ডালের সমান</t>
  </si>
  <si>
    <t>Anger is like a chandal</t>
  </si>
  <si>
    <t>রাঙতাই গরিবের গহনা/সোনা</t>
  </si>
  <si>
    <t>রাঙতাই গরিবের সোনা</t>
  </si>
  <si>
    <t>গরিবের মূল্যবান</t>
  </si>
  <si>
    <t>Tinsel is poor man's gold</t>
  </si>
  <si>
    <t>রাজায় রাজায় যুদ্ধ হয়, উলুখাগড়ার প্রাণ যায়</t>
  </si>
  <si>
    <t>রাজায় রাজায় যুদ্ধ, উলুখাগড়ার প্রাণ</t>
  </si>
  <si>
    <t>বড়দের লড়াইয়ে ছোটের ক্ষতি</t>
  </si>
  <si>
    <t>Kings fight, grass perishes</t>
  </si>
  <si>
    <t>রাত নামলে লোকে দিনের প্রশংসা করে</t>
  </si>
  <si>
    <t>রাতে দিনের প্রশংসা</t>
  </si>
  <si>
    <t>হারানো জিনিসের মূল্য</t>
  </si>
  <si>
    <t>At night people praise day</t>
  </si>
  <si>
    <t>রাবণের দোষে সমুদ্রবন্ধন</t>
  </si>
  <si>
    <t>রাবণের দোষে সমুদ্র বাঁধা</t>
  </si>
  <si>
    <t>একজনের দোষে সবাই</t>
  </si>
  <si>
    <t>Sea bound due to Ravan</t>
  </si>
  <si>
    <t>রাবণের হাতে যথা মারীচ কুরঙ্গ</t>
  </si>
  <si>
    <t>রাবণের হাতে মারীচ মায়ামৃগ</t>
  </si>
  <si>
    <t>দুষ্টের হাতে প্রতারণা</t>
  </si>
  <si>
    <t>Like Maricha deer in Ravan's hands</t>
  </si>
  <si>
    <t>রাম রাবণের যুদ্ধ</t>
  </si>
  <si>
    <t>রাম-রাবণের যুদ্ধ</t>
  </si>
  <si>
    <t>ধর্ম-অধর্মের লড়াই</t>
  </si>
  <si>
    <t>War between Ram and Ravan</t>
  </si>
  <si>
    <t>রামে মারলেও মরব, রাবণে মারলেও মরব</t>
  </si>
  <si>
    <t>রামে মারলেও, রাবণে মারলেও</t>
  </si>
  <si>
    <t>দুই দিকেই মৃত্যু</t>
  </si>
  <si>
    <t>Whether Ram kills or Ravan kills, I die</t>
  </si>
  <si>
    <t>রুক্ষমাথায় তেল দেয় না, তেলামাথায় ঢালে তেল</t>
  </si>
  <si>
    <t>রুক্ষ মাথায় তেল নয়, তেলামাথায় তেল</t>
  </si>
  <si>
    <t>প্রয়োজন নয়, অতিরিক্ত</t>
  </si>
  <si>
    <t>No oil to dry head, pour on oily</t>
  </si>
  <si>
    <t>রূপ নিয়ে ধুয়ে খা</t>
  </si>
  <si>
    <t>রূপ নিয়ে ধুয়ে খাও</t>
  </si>
  <si>
    <t>সৌন্দর্য দিয়ে জীবিকা</t>
  </si>
  <si>
    <t>Earn by beauty</t>
  </si>
  <si>
    <t>রূপে ঢলঢল গুণে পসরা</t>
  </si>
  <si>
    <t>রূপে ঢলঢল, গুণে পসরা</t>
  </si>
  <si>
    <t>রূপের বাড়াবাড়ি</t>
  </si>
  <si>
    <t>Dripping beauty, shop of virtue</t>
  </si>
  <si>
    <t>রোগী তুষ্ট অম্বলে, যোগী তুষ্ট কম্বলে</t>
  </si>
  <si>
    <t>রোগী খুশি অম্বলে, যোগী কম্বলে</t>
  </si>
  <si>
    <t>প্রয়োজন অনুযায়ী</t>
  </si>
  <si>
    <t>Sick satisfied with sour, yogi with blanket</t>
  </si>
  <si>
    <t>রোমে বাস করে পোপের সাথে বিবাদ</t>
  </si>
  <si>
    <t>শক্তিশালীর সাথে বিরোধ</t>
  </si>
  <si>
    <t>Living in Rome and fighting Pope</t>
  </si>
  <si>
    <t>লক্ষঘাস মিলেমিশে থাকে, দুটি বটগাছ একসাথে থাকে না</t>
  </si>
  <si>
    <t>লক্ষ ঘাস একসাথে, দুই বট একসাথে নয়</t>
  </si>
  <si>
    <t>বড়দের দ্বন্দ্ব</t>
  </si>
  <si>
    <t>A thousand grass live together, two banyans don't</t>
  </si>
  <si>
    <t>লক্ষ্মী আসতে কি দুয়ারে আগল/খিল</t>
  </si>
  <si>
    <t>লক্ষ্মী আসতে খিল?</t>
  </si>
  <si>
    <t>সৌভাগ্য বাধা দেয় না</t>
  </si>
  <si>
    <t>Can bar hold Lakshmi's coming?</t>
  </si>
  <si>
    <t>লক্ষ্মী নিঃসাড়ে আসেন যান</t>
  </si>
  <si>
    <t>লক্ষ্মী নিঃশব্দে আসে যায়</t>
  </si>
  <si>
    <t>সৌভাগ্য অজ্ঞাতে</t>
  </si>
  <si>
    <t>Lakshmi comes and goes quietly</t>
  </si>
  <si>
    <t>লজ্জা, ঘেন্না, ভয়, তিন থাকতে নয়</t>
  </si>
  <si>
    <t>লজ্জা, ঘেন্না, ভয় তিন থাকতে নয়</t>
  </si>
  <si>
    <t>এই তিন না থাকা ভালো</t>
  </si>
  <si>
    <t>Shame, disgust, fear—these three should not exist</t>
  </si>
  <si>
    <t>লাজ নেই যার রাজা হারে তার</t>
  </si>
  <si>
    <t>লাজ নেই, রাজা হারে</t>
  </si>
  <si>
    <t>লজ্জাহীন হারায়</t>
  </si>
  <si>
    <t>Who has no shame, even king loses</t>
  </si>
  <si>
    <t>লবণান্নকটুঞ্চানি বিদাহীনি যাতি চ তু, তদ্দোষং হর্তুমাহারং মধুরেণ সমাপয়েৎ</t>
  </si>
  <si>
    <t>লবণ, অন্ন, কটু ইত্যাদির দোষ মিষ্টিতে শেষ</t>
  </si>
  <si>
    <t>মিষ্টিতে খাবার শেষ</t>
  </si>
  <si>
    <t>End meal with sweet to remove faults of salt, rice, bitter</t>
  </si>
  <si>
    <t>লম্বাকোঁচা ফতোজারি</t>
  </si>
  <si>
    <t>লম্বা কোঁচা ফতো জারি</t>
  </si>
  <si>
    <t>Long sash, fake show</t>
  </si>
  <si>
    <t>লাই দিলে কুকুর মাথা ওঠে</t>
  </si>
  <si>
    <t>লাই দিলে কুকুর মাথা তোলে</t>
  </si>
  <si>
    <t>Give a dog affection, it raises head</t>
  </si>
  <si>
    <t>লাথি মেরে পায়ে ধরে১</t>
  </si>
  <si>
    <t>লাথি মেরে পায়ে ধরে</t>
  </si>
  <si>
    <t>অপমান করে অনুনয়</t>
  </si>
  <si>
    <t>Kick then hold feet</t>
  </si>
  <si>
    <t>লাথি মেরে বিষ্ণবে নমঃ</t>
  </si>
  <si>
    <t>লাথি মেরে বিষ্ণুকে নম</t>
  </si>
  <si>
    <t>অপমান করে ভক্তি</t>
  </si>
  <si>
    <t>Kick and salute Vishnu</t>
  </si>
  <si>
    <t>লাভ পরং গোবধঃ</t>
  </si>
  <si>
    <t>গোবধ মহাপাপ</t>
  </si>
  <si>
    <t>গরু হত্যা মহাপাপ</t>
  </si>
  <si>
    <t>Cow killing is great sin</t>
  </si>
  <si>
    <t>লেখা নয় যেন আরশোলার পায়ের ছাপ</t>
  </si>
  <si>
    <t>খারাপ হাতের লেখা</t>
  </si>
  <si>
    <t>Writing like cockroach footprints</t>
  </si>
  <si>
    <t>লেখা</t>
  </si>
  <si>
    <t>লোহা পাথরে যুদ্ধ করে শোলাদিদি পুড়ে মরে১</t>
  </si>
  <si>
    <t>লোহা-পাথরে লড়াই, শোলাদিদি মরে</t>
  </si>
  <si>
    <t>দুই শক্তির লড়াইয়ে তৃতীয়</t>
  </si>
  <si>
    <t>Iron fights stone, Shola dies</t>
  </si>
  <si>
    <t>শকুনের অভিশাপে গরু মরে না</t>
  </si>
  <si>
    <t>দুর্বলের অভিশাপ</t>
  </si>
  <si>
    <t>Vulture's curse doesn't kill cow</t>
  </si>
  <si>
    <t>শঙ্খবণিকের করাত আসতে কাটে যেতেও কাটা২</t>
  </si>
  <si>
    <t>শঙ্খবণিকের করাত দুই দিকে কাটে (দ্বিতীয়)</t>
  </si>
  <si>
    <t>দুই দিকেই ক্ষতি</t>
  </si>
  <si>
    <t>Saw cuts coming and going</t>
  </si>
  <si>
    <t>শঠে শাঠ্যং সমাচরেৎ</t>
  </si>
  <si>
    <t>শঠের সাথে শাঠ্য</t>
  </si>
  <si>
    <t>প্রতারণার প্রতারণা</t>
  </si>
  <si>
    <t>Use cunning with cunning</t>
  </si>
  <si>
    <t>শাঁখের করাত আসতেও কাটে যেতেও কাটে</t>
  </si>
  <si>
    <t>শাঁখের করাত দুই দিকে কাটে</t>
  </si>
  <si>
    <t>Conch saw cuts both ways</t>
  </si>
  <si>
    <t>শাকচোরকে শুলে</t>
  </si>
  <si>
    <t>শাক চোরকে শূলে</t>
  </si>
  <si>
    <t>Hang thief of greens</t>
  </si>
  <si>
    <t>ভালো জিনিস লুকানো</t>
  </si>
  <si>
    <t>Cover fish with greens</t>
  </si>
  <si>
    <t>শানকির (ছোট থালা) পর বজ্রাঘাত</t>
  </si>
  <si>
    <t>শানকির উপর বজ্রাঘাত</t>
  </si>
  <si>
    <t>সামান্যের উপর বড় বিপদ</t>
  </si>
  <si>
    <t>Thunder on a small plate</t>
  </si>
  <si>
    <t>শান্তনদী দক্ষ মাঝি তৈরী করে না</t>
  </si>
  <si>
    <t>শান্ত নদী দক্ষ মাঝি তৈরি করে না</t>
  </si>
  <si>
    <t>আরামে দক্ষতা নয়</t>
  </si>
  <si>
    <t>Calm river makes no expert boatman</t>
  </si>
  <si>
    <t>শামুক দিয়ে পুকুর কাটা</t>
  </si>
  <si>
    <t>Dig pond with snail</t>
  </si>
  <si>
    <t>শিবরক্ষক বন, বনরক্ষক শিব</t>
  </si>
  <si>
    <t>শিব বন রক্ষা, বন শিব রক্ষা</t>
  </si>
  <si>
    <t>Shiva protects forest, forest protects Shiva</t>
  </si>
  <si>
    <t>শিয়ালের/শেয়ালের কাছে মুর্গী বর্গা</t>
  </si>
  <si>
    <t>শিয়ালের কাছে মুরগি বর্গা</t>
  </si>
  <si>
    <t>দুষ্টের কাছে নিরীহ</t>
  </si>
  <si>
    <t>Hen left with fox</t>
  </si>
  <si>
    <t>শিশুর বল কান্না</t>
  </si>
  <si>
    <t>শিশুর শক্তি কান্না</t>
  </si>
  <si>
    <t>Child's strength is crying</t>
  </si>
  <si>
    <t>শুধু হাত মুখে ওঠে না</t>
  </si>
  <si>
    <t>খাবার মুখে যায়</t>
  </si>
  <si>
    <t>Food goes to mouth by hand</t>
  </si>
  <si>
    <t>শূন্যকলসি বাজে বেশি</t>
  </si>
  <si>
    <t>Empty pot sounds more</t>
  </si>
  <si>
    <t>শেয়ানে শেয়ানে কোলাকুলি১</t>
  </si>
  <si>
    <t>দুই চতুরে বোঝাপড়া</t>
  </si>
  <si>
    <t>শ্বশুরবাড়ী মথুরাপুরী তিনদিন পর ঝাঁটার বাড়ি</t>
  </si>
  <si>
    <t>শ্বশুরবাড়ি মথুরাপুরী, তিনদিন পরে ঝাঁটার বাড়ি</t>
  </si>
  <si>
    <t>শ্বশুরবাড়ির আদর ক্ষণস্থায়ী</t>
  </si>
  <si>
    <t>In-law's house is Mathura for three days, then broom</t>
  </si>
  <si>
    <t>ষত্ব-ণত্ব জ্ঞান নেই</t>
  </si>
  <si>
    <t>বাংলা ব্যাকরণ জ্ঞানহীন</t>
  </si>
  <si>
    <t>No knowledge of sh/na</t>
  </si>
  <si>
    <t>ষোলআনা ভূয়া</t>
  </si>
  <si>
    <t>ষোল আনা ভুয়া</t>
  </si>
  <si>
    <t>সম্পূর্ণ মিথ্যা</t>
  </si>
  <si>
    <t>Complete lie</t>
  </si>
  <si>
    <t>সৎসঙ্গে স্বর্গবাস অসৎসঙ্গে সর্বনাশ</t>
  </si>
  <si>
    <t>সৎসঙ্গে স্বর্গবাস, অসৎসঙ্গে সর্বনাশ</t>
  </si>
  <si>
    <t>ভালো সঙ্গ স্বর্গের সুখ, খারাপ সঙ্গ সর্বনাশ ডেকে আনে</t>
  </si>
  <si>
    <t>Good company brings heaven; bad company brings ruin</t>
  </si>
  <si>
    <t>সত্য কখনো গোপন/চাপা থাকে না</t>
  </si>
  <si>
    <t>সত্য কখনো গোপন থাকে না</t>
  </si>
  <si>
    <t>সত্য চাপা থাকে না</t>
  </si>
  <si>
    <t>Truth never stays hidden</t>
  </si>
  <si>
    <t>সত্যং কণ্ঠস্য ভূষণম</t>
  </si>
  <si>
    <t>সত্যই কণ্ঠের অলংকার</t>
  </si>
  <si>
    <t>সত্যই শ্রেষ্ঠ অলংকার</t>
  </si>
  <si>
    <t>Truth is the ornament of speech</t>
  </si>
  <si>
    <t>সত্যং ব্রুয়াৎ প্রিয়ং ব্রুয়াৎ, ন ব্রুয়াৎ সত্যমপ্রিয়ম</t>
  </si>
  <si>
    <t>সত্য বল, প্রিয় বল, অপ্রিয় সত্য বলো না</t>
  </si>
  <si>
    <t>সত্য বলো কিন্তু অপ্রিয় নয়</t>
  </si>
  <si>
    <t>Speak truth, speak pleasant, not unpleasant truth</t>
  </si>
  <si>
    <t>সত্যকথার ডালপালা নেই</t>
  </si>
  <si>
    <t>সত্য কথার ডালপালা নেই</t>
  </si>
  <si>
    <t>সত্য সরল, অতিরিক্ত ব্যাখ্যা লাগে না</t>
  </si>
  <si>
    <t>Truth has no branches</t>
  </si>
  <si>
    <t>সত্যের কাটাছেঁড়া হলে সত্য স্পষ্টতর হয়</t>
  </si>
  <si>
    <t>সত্য যাচাই হলে স্পষ্ট</t>
  </si>
  <si>
    <t>বিচারে সত্য আরও পরিষ্কার</t>
  </si>
  <si>
    <t>Truth becomes clearer when scrutinized</t>
  </si>
  <si>
    <t>সত্যবাদী দুইজন অজ্ঞ ও বালকগণ</t>
  </si>
  <si>
    <t>সত্যবাদী দুইজন: অজ্ঞ ও শিশু</t>
  </si>
  <si>
    <t>অজ্ঞ ও শিশু সত্য বলে</t>
  </si>
  <si>
    <t>Two truth-tellers: the ignorant and children</t>
  </si>
  <si>
    <t>সত্যবাদী যুধিষ্ঠির১</t>
  </si>
  <si>
    <t>সত্যবাদী যুধিষ্ঠির</t>
  </si>
  <si>
    <t>ধার্মিক সত্যবাদী</t>
  </si>
  <si>
    <t>সত্যম্‌ শিবম্‌ সুন্দরম্‌</t>
  </si>
  <si>
    <t>সত্য, শিব, সুন্দর</t>
  </si>
  <si>
    <t>সত্য, মঙ্গল, সৌন্দর্য</t>
  </si>
  <si>
    <t>Truth, goodness, beauty</t>
  </si>
  <si>
    <t>সত্যের দ্বারে আগড় নাই</t>
  </si>
  <si>
    <t>সত্যের দরজায় আগল নেই</t>
  </si>
  <si>
    <t>সত্য সবার জন্য উন্মুক্ত</t>
  </si>
  <si>
    <t>Truth's door has no bar</t>
  </si>
  <si>
    <t>সত্যের বাড়া ধর্ম নাই মিথ্যার বাড়া পাপ নাই</t>
  </si>
  <si>
    <t>সত্যের চেয়ে ধর্ম নেই, মিথ্যার চেয়ে পাপ নেই</t>
  </si>
  <si>
    <t>সত্য শ্রেষ্ঠ, মিথ্যা অধম</t>
  </si>
  <si>
    <t>No religion greater than truth, no sin greater than falsehood</t>
  </si>
  <si>
    <t>সদর বন্ধ খিড়কি ফাঁক</t>
  </si>
  <si>
    <t>সদর দরজা বন্ধ, পিছন ফাঁক</t>
  </si>
  <si>
    <t>বাইরে কঠোর, ভেতরে শিথিল</t>
  </si>
  <si>
    <t>Front closed, back door open</t>
  </si>
  <si>
    <t>সন্তানমাত্রই পুরুষের পিতা</t>
  </si>
  <si>
    <t>সন্তানই পুরুষের পিতা</t>
  </si>
  <si>
    <t>শিশু ভবিষ্যতের মানুষ</t>
  </si>
  <si>
    <t>Child is father of the man</t>
  </si>
  <si>
    <t>সন্দেশওয়ালা মুড়ি খায়</t>
  </si>
  <si>
    <t>যে বানায় সে খায় না</t>
  </si>
  <si>
    <t>The sweetmaker eats puffed rice</t>
  </si>
  <si>
    <t>সন্দেশের খোসা ফেলে খাওয়া</t>
  </si>
  <si>
    <t>ভালো জিনিসের সেরা অংশ ছেড়ে তুচ্ছ খাওয়া</t>
  </si>
  <si>
    <t>Eat only the shell, discard the sweet</t>
  </si>
  <si>
    <t>সন্ধ্যা হলে সকলে দিনের গান গায়</t>
  </si>
  <si>
    <t>সন্ধ্যায় দিনের গান</t>
  </si>
  <si>
    <t>সময় গেলে প্রশংসা</t>
  </si>
  <si>
    <t>At dusk all sing day's praise</t>
  </si>
  <si>
    <t>সন্ন্যাসীর অল্পছিদ্র গায় সর্বজন, শুভ্রবস্ত্রে মসীবিন্দু দেখায় যেমন</t>
  </si>
  <si>
    <t>সন্ন্যাসীর ছোট দোষ সবাই দেখে, সাদা কাপড়ে কালির দাগের মতো</t>
  </si>
  <si>
    <t>সাধুর সামান্য দোষও প্রকাশ</t>
  </si>
  <si>
    <t>A monk's small fault is visible like ink on white</t>
  </si>
  <si>
    <t>সফরী ফরফরায়তে</t>
  </si>
  <si>
    <t>পুঁটিমাছ ফরফর করে</t>
  </si>
  <si>
    <t>অল্পজ্ঞানী বড়াই</t>
  </si>
  <si>
    <t>A small fish flutters</t>
  </si>
  <si>
    <t>সবকাজ ছোট আকারে শুরু হয়, শুধু পাপ ছাড়া</t>
  </si>
  <si>
    <t>সবকাজ ছোট শুরু, পাপ ছাড়া</t>
  </si>
  <si>
    <t>সবকিছু ছোট থেকে</t>
  </si>
  <si>
    <t>All works start small except sin</t>
  </si>
  <si>
    <t>সবকাজের কেষ্টা কোন কাজের নয়</t>
  </si>
  <si>
    <t>সব কাজের কেষ্টা কোন কাজের নয়</t>
  </si>
  <si>
    <t>সবজান্তা কিছুই জানে না</t>
  </si>
  <si>
    <t>সবজান্তা</t>
  </si>
  <si>
    <t>সবকায়দায় ফয়দা নাই</t>
  </si>
  <si>
    <t>সব কায়দায় ফায়দা নেই</t>
  </si>
  <si>
    <t>সব কৌশলে লাভ নেই</t>
  </si>
  <si>
    <t>Not every trick profits</t>
  </si>
  <si>
    <t>সবকিছু সবসময় হিসাবমত হয় না</t>
  </si>
  <si>
    <t>সবকিছু হিসাব মতো হয় না</t>
  </si>
  <si>
    <t>সব পরিকল্পনা মতো হয় না</t>
  </si>
  <si>
    <t>Everything doesn't always go as planned</t>
  </si>
  <si>
    <t>সবকিছুরই সৌন্দর্য আছে, কিন্তু সবাই সেটা দেখতে পায় না</t>
  </si>
  <si>
    <t>সবকিছুর সৌন্দর্য আছে, সবাই দেখে না</t>
  </si>
  <si>
    <t>সৌন্দর্য দৃষ্টির উপর</t>
  </si>
  <si>
    <t>Beauty exists everywhere, but not all see it</t>
  </si>
  <si>
    <t>সব গাধা কান নাড়ে</t>
  </si>
  <si>
    <t>সবাই নিজের কাজ করে</t>
  </si>
  <si>
    <t>All donkeys wag ears</t>
  </si>
  <si>
    <t>সব জন্তু মোট বয়, ধরা পড়ে গাধা</t>
  </si>
  <si>
    <t>সব প্রাণী বোঝা বহে, গাধাই ধরা পড়ে</t>
  </si>
  <si>
    <t>দোষ সব গাধার ঘাড়ে</t>
  </si>
  <si>
    <t>All animals carry loads, only donkey is caught</t>
  </si>
  <si>
    <t>সব জানার চেষ্টা করলে কিছুই জানা যায় না</t>
  </si>
  <si>
    <t>সব জানতে চাইলে কিছু জানা যায় না</t>
  </si>
  <si>
    <t>অতিরিক্ত চেষ্টা ব্যর্থ</t>
  </si>
  <si>
    <t>Trying to know all ends knowing none</t>
  </si>
  <si>
    <t>সবনুড়ি শালগ্রাম নয়১</t>
  </si>
  <si>
    <t>সব নুড়ি শালগ্রাম নয়</t>
  </si>
  <si>
    <t>সবাই মূল্যবান নয়</t>
  </si>
  <si>
    <t>সব নৈবেদ্যে ঠোকর মারে</t>
  </si>
  <si>
    <t>সব নৈবেদ্যে ঠোকর</t>
  </si>
  <si>
    <t>সব বিষয়ে নাক গলায়</t>
  </si>
  <si>
    <t>Pecks at all offerings</t>
  </si>
  <si>
    <t>সব নোড়াই যদি শাল্গ্রাম হয় তবে হলুদ বাটি কিসে?</t>
  </si>
  <si>
    <t>সব নোড়া শালগ্রাম হলে হলুদ বাটা যায় কীসে?</t>
  </si>
  <si>
    <t>সবাই যদি পবিত্র হয় তবে সাধারণ কাজ কে করবে?</t>
  </si>
  <si>
    <t>If every stone is sacred, what will grind turmeric?</t>
  </si>
  <si>
    <t>সব পাখিতে মাছ খায় মাছরাঙার কলঙ্ক</t>
  </si>
  <si>
    <t>সব পাখি মাছ খায়, দোষ মাছরাঙার</t>
  </si>
  <si>
    <t>সবার দোষ একজনের</t>
  </si>
  <si>
    <t>All birds eat fish, blame kingfisher</t>
  </si>
  <si>
    <t>সব বিড়াল মাছ পছন্দ করে কিন্তু পা ভিজাতে পছন্দ করে না</t>
  </si>
  <si>
    <t>বিড়াল মাছ চায় কিন্তু পা ভেজায় না</t>
  </si>
  <si>
    <t>ফল চায়, পরিশ্রম নয়</t>
  </si>
  <si>
    <t>Cats love fish but hate wet feet</t>
  </si>
  <si>
    <t>সব ব্যাটাকে ছেড়ে দিয়ে বেড়ে ব্যাটাকে ধর</t>
  </si>
  <si>
    <t>সব ব্যাটাকে ছেড়ে বেড়ে ব্যাটাকে ধর</t>
  </si>
  <si>
    <t>অসার ছেড়ে সার ধরা</t>
  </si>
  <si>
    <t>Leave all, catch the substantial</t>
  </si>
  <si>
    <t>সব ভাল ওষুধ তেতো হয়</t>
  </si>
  <si>
    <t>সব ভালো ওষুধ তেতো</t>
  </si>
  <si>
    <t>All good medicines are bitter</t>
  </si>
  <si>
    <t>সব ভাল যার শেষ ভাল</t>
  </si>
  <si>
    <t>শেষ ভালো মানে সব ভালো</t>
  </si>
  <si>
    <t>শেষ ভালো হলে সব ভালো</t>
  </si>
  <si>
    <t>সব মাছ গু খায়, দোষের ভাগী শোল</t>
  </si>
  <si>
    <t>সব মাছ মল খায়, দোষ শোলের</t>
  </si>
  <si>
    <t>All fish eat filth, blame shol</t>
  </si>
  <si>
    <t>সব শিয়াল খেলো কাঁঠাল বকের ঠোঁটে আঠা</t>
  </si>
  <si>
    <t>সব শিয়াল কাঁঠাল খেল, বকের ঠোঁটে আঠা</t>
  </si>
  <si>
    <t>All foxes ate jackfruit, stork's beak sticky</t>
  </si>
  <si>
    <t>সবশিলা শালগ্রাম নয়১</t>
  </si>
  <si>
    <t>সব শিলা শালগ্রাম নয়</t>
  </si>
  <si>
    <t>সবাই পবিত্র নয়</t>
  </si>
  <si>
    <t>Not every stone is Shaligram</t>
  </si>
  <si>
    <t>সবাই পাহাড়ের চূড়ায় উঠে না</t>
  </si>
  <si>
    <t>সবাই চূড়ায় ওঠে না</t>
  </si>
  <si>
    <t>সবাই সফল হয় না</t>
  </si>
  <si>
    <t>Not all climb to the peak</t>
  </si>
  <si>
    <t>সবাই গেল আলায় আলায় বুড়ি মরে আপন জ্বালায়</t>
  </si>
  <si>
    <t>সবাই গেল আলায় আলায়, বুড়ি মরে নিজের জ্বালায়</t>
  </si>
  <si>
    <t>সবাই গেলেও একা বুড়ি</t>
  </si>
  <si>
    <t>All went to light, old woman dies of own pain</t>
  </si>
  <si>
    <t>সবার বন্ধু কারো বন্ধু নয়</t>
  </si>
  <si>
    <t>সবার সঙ্গে মিশলে কারো নয়</t>
  </si>
  <si>
    <t>Friend to all is friend to none</t>
  </si>
  <si>
    <t>সবার ব্যবসা কারো ব্যবসা নয়</t>
  </si>
  <si>
    <t>দায়িত্বহীন ব্যবসা</t>
  </si>
  <si>
    <t>Everyone's business is no one's business</t>
  </si>
  <si>
    <t>সবারে বাসরে ভালো নইলে মনের কালি ঘুচবে না- অতুলপ্রসাদের গান</t>
  </si>
  <si>
    <t>সবাইকে ভালোবাসলে মনের কালি ঘুচবে</t>
  </si>
  <si>
    <t>সবার প্রতি ভালোবাসা</t>
  </si>
  <si>
    <t>If you love all, heart's stain washes away</t>
  </si>
  <si>
    <t>সবে তো কলির সন্ধ্যা২</t>
  </si>
  <si>
    <t>সবে কলির সন্ধ্যা (দ্বিতীয়)</t>
  </si>
  <si>
    <t>খারাপ সময়ের শুরু</t>
  </si>
  <si>
    <t>Just the dusk of Kali Yuga</t>
  </si>
  <si>
    <t>সবৈ সহায়ক সবলকে কৌ ন নিবল্‌ সহায়, পবন জগাওতে আগকো দীপহিঁ দেত বুজায়</t>
  </si>
  <si>
    <t>সবাই সবলকে সাহায্য করে, দুর্বলকে কেউ নয়; বাতাস আগুন জ্বালায়, প্রদীপ নেভায়</t>
  </si>
  <si>
    <t>সবল সাহায্য পায়</t>
  </si>
  <si>
    <t>All help the strong, none the weak; wind fuels fire, extinguishes lamp</t>
  </si>
  <si>
    <t>সমুদ্রে বাস করে শিশিরে ভয়</t>
  </si>
  <si>
    <t>বড় অথচ ক্ষুদ্র ভয়</t>
  </si>
  <si>
    <t>Living in sea, afraid of dew</t>
  </si>
  <si>
    <t>সমুদ্রের জল বাড়েও না কমেও না</t>
  </si>
  <si>
    <t>সমুদ্রের জল বাড়ে না কমে না</t>
  </si>
  <si>
    <t>Sea water neither increases nor decreases</t>
  </si>
  <si>
    <t>সম্পদে বন্ধু লাভ বিপদে পরীক্ষা</t>
  </si>
  <si>
    <t>সম্পদে বন্ধু, বিপদে পরীক্ষা</t>
  </si>
  <si>
    <t>বিপদে বন্ধু চেনা</t>
  </si>
  <si>
    <t>Wealth brings friends, adversity tests them</t>
  </si>
  <si>
    <t>সর্পঃ ক্রূরঃ খলঃ ক্রূরঃ সর্পাৎ ক্রূরতরঃ খলঃ</t>
  </si>
  <si>
    <t>সাপ নিষ্ঠুর, খল নিষ্ঠুর, সাপের চেয়ে খল বেশি</t>
  </si>
  <si>
    <t>খল বেশি নিষ্ঠুর</t>
  </si>
  <si>
    <t>Snake is cruel, wicked is crueler than snake</t>
  </si>
  <si>
    <t>সর্ব্বম অত্যন্তম গর্হিতম্</t>
  </si>
  <si>
    <t>সব অতিশয় নিন্দিত</t>
  </si>
  <si>
    <t>বাড়াবাড়ি নিন্দা</t>
  </si>
  <si>
    <t>Excess is always condemned</t>
  </si>
  <si>
    <t>সর্ব্বস্যৌষধমস্তি খাস্ত্রবিহিতং মূর্খস্য নাস্ত্যৌষধম</t>
  </si>
  <si>
    <t>সবের ওষুধ আছে, মূর্খের নেই</t>
  </si>
  <si>
    <t>মূর্খের ওষুধ নেই</t>
  </si>
  <si>
    <t>There is medicine for all, none for fools</t>
  </si>
  <si>
    <t>সর্ব্বোনাশো সমুৎপন্নে অর্ধং ত্যজতি পণ্ডিতঃ</t>
  </si>
  <si>
    <t>সর্বনাশ উপস্থিত হলে পণ্ডিত অর্ধেক ত্যাগ করে</t>
  </si>
  <si>
    <t>ক্ষতির সময় অর্ধেক বাঁচায়</t>
  </si>
  <si>
    <t>In total loss, wise man sacrifices half</t>
  </si>
  <si>
    <t>সর্ষের মধ্যে ভূত</t>
  </si>
  <si>
    <t>ছোট জায়গায় বড়</t>
  </si>
  <si>
    <t>Ghost in mustard</t>
  </si>
  <si>
    <t>সলতে কাটা হলোে লম্ফের আলো উজ্জ্বলতর হয়</t>
  </si>
  <si>
    <t>সলতে কাটলে প্রদীপের আলো উজ্জ্বল</t>
  </si>
  <si>
    <t>প্রতিবন্ধকতায় উজ্জ্বল</t>
  </si>
  <si>
    <t>Trimming wick brightens lamp</t>
  </si>
  <si>
    <t>সহায়ঃ বলবত্তর</t>
  </si>
  <si>
    <t>সহায় বলবত্তর</t>
  </si>
  <si>
    <t>সাহায্য শক্তিশালী</t>
  </si>
  <si>
    <t>Support is stronger</t>
  </si>
  <si>
    <t>সাতগেঁয়ের কাছে মামদাবাজী</t>
  </si>
  <si>
    <t>সাত গাঁয়ের কাছে বাহাদুরি</t>
  </si>
  <si>
    <t>নিজের এলাকায় বাহাদুরি</t>
  </si>
  <si>
    <t>Showing off before seven villages</t>
  </si>
  <si>
    <t>সাতঘাটের জল খাওয়ানো</t>
  </si>
  <si>
    <t>সাত ঘাটের জল খাওয়ানো</t>
  </si>
  <si>
    <t>অভিজ্ঞতাসম্পন্ন</t>
  </si>
  <si>
    <t>Make one drink seven waters</t>
  </si>
  <si>
    <t>সাতচড়ে রা কাড়ে/বেড়োয় না</t>
  </si>
  <si>
    <t>সাত চড়ে রা বেরোয় না</t>
  </si>
  <si>
    <t>অতিরিক্ত শাস্তি</t>
  </si>
  <si>
    <t>Seven slaps draw no cry</t>
  </si>
  <si>
    <t>সাতচোঙার বুদ্ধি একচোঙায় ঢোকাবে</t>
  </si>
  <si>
    <t>সাত চোঙার বুদ্ধি এক চোঙায়</t>
  </si>
  <si>
    <t>অনেক বুদ্ধি এক জায়গায়</t>
  </si>
  <si>
    <t>Fit seven barrels' wit into one</t>
  </si>
  <si>
    <t>সাতপাঁচ খতিয়ে মনে চাষ করে না সোনার বেনে</t>
  </si>
  <si>
    <t>সাতপাঁচ ভেবে সোনার বেনে চাষ করে না</t>
  </si>
  <si>
    <t>অতিরিক্ত চিন্তা</t>
  </si>
  <si>
    <t>Overthinking prevents action</t>
  </si>
  <si>
    <t>সাধের কাজল পরতে গিয়ে কাজলনয়না হল কানা</t>
  </si>
  <si>
    <t>সাধের কাজল পরতে গিয়ে চোখ নষ্ট</t>
  </si>
  <si>
    <t>সৌন্দর্যের ক্ষতি</t>
  </si>
  <si>
    <t>Applying collyrium, became blind</t>
  </si>
  <si>
    <t>সানকির উপর বজ্রাঘাত</t>
  </si>
  <si>
    <t>Thunder on small plate</t>
  </si>
  <si>
    <t>সাপের হাতে বেদের মরণ</t>
  </si>
  <si>
    <t>সিধা/সোজা আঙুলে ঘি উঠে না১</t>
  </si>
  <si>
    <t>সোজা আঙুলে ঘি ওঠে না</t>
  </si>
  <si>
    <t>সরলতায় কাজ নয়</t>
  </si>
  <si>
    <t>Ghee doesn't come with straight finger</t>
  </si>
  <si>
    <t>সূঁচ হয়ে ঢোকে ফাল (লাঙলের ফলা) হয়ে বেরোয়১</t>
  </si>
  <si>
    <t>সুঁচ হয়ে ঢোকে, ফাল হয়ে বেরোয়</t>
  </si>
  <si>
    <t>ক্ষুদ্র থেকে বড়</t>
  </si>
  <si>
    <t>Enter as needle, exit as ploughshare</t>
  </si>
  <si>
    <t>সেধে পেড়ে ভাব মেজে ঘষে রূপ</t>
  </si>
  <si>
    <t>সেধে পেড়ে ভাব, মেজে ঘষে রূপ</t>
  </si>
  <si>
    <t>প্রেম ও সৌন্দর্য</t>
  </si>
  <si>
    <t>Love by asking, beauty by polishing</t>
  </si>
  <si>
    <t>সোজা আঙুলে ঘি ওঠে/বেরোয় না</t>
  </si>
  <si>
    <t>সোনা বাইরে ফেলে আঁচলে গেরো</t>
  </si>
  <si>
    <t>সোনা ফেলে আঁচলে গেরো</t>
  </si>
  <si>
    <t>মূল ছেড়ে তুচ্ছ</t>
  </si>
  <si>
    <t>Throw gold, knot cloth</t>
  </si>
  <si>
    <t>সোনার থালে ক্ষুদের জাউ</t>
  </si>
  <si>
    <t>মূল্যবান পাত্রে তুচ্ছ</t>
  </si>
  <si>
    <t>Rice gruel on gold plate</t>
  </si>
  <si>
    <t>স্নেহ নিম্নগামী</t>
  </si>
  <si>
    <t>স্নেহ নীচের দিকে</t>
  </si>
  <si>
    <t>Love flows downward</t>
  </si>
  <si>
    <t>স্বখাত সলিল ডুবে মরা</t>
  </si>
  <si>
    <t>নিজের খনন করা জলে ডুবে মরা</t>
  </si>
  <si>
    <t>Drown in own dug water</t>
  </si>
  <si>
    <t>হক কথার ভাত নেই</t>
  </si>
  <si>
    <t>ন্যায় কথায় ভাত নেই</t>
  </si>
  <si>
    <t>কথায় খাদ্য নয়</t>
  </si>
  <si>
    <t>Truth doesn't fill belly</t>
  </si>
  <si>
    <t>হক কথার মার নেই</t>
  </si>
  <si>
    <t>ন্যায় কথায় মার নেই</t>
  </si>
  <si>
    <t>সত্য বলা নিষেধ নয়</t>
  </si>
  <si>
    <t>No beating for truth</t>
  </si>
  <si>
    <t>হরিণের শত্রু তার মাংস</t>
  </si>
  <si>
    <t>নিজের গুণ শত্রু</t>
  </si>
  <si>
    <t>Deer's enemy is its flesh</t>
  </si>
  <si>
    <t>হাত ঝাড়া দিলে পর্বত</t>
  </si>
  <si>
    <t>হাত ঝাড়লে পর্বত</t>
  </si>
  <si>
    <t>সামান্য থেকে বড়</t>
  </si>
  <si>
    <t>Shake hand, mountain</t>
  </si>
  <si>
    <t>হাতি যেমন খায় তেমনি নাদে</t>
  </si>
  <si>
    <t>As elephant eats, so defecates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</si>
</sst>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sz val="6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  <font>
      <sz val="9.0"/>
      <color rgb="FF1F2328"/>
      <name val="&quot;Mona Sans VF&quot;"/>
    </font>
    <font>
      <sz val="12.0"/>
      <color rgb="FF000000"/>
      <name val="&quot;Times New Roman&quot;"/>
    </font>
    <font>
      <u/>
      <sz val="11.0"/>
      <color rgb="FF000000"/>
      <name val="Calibri"/>
    </font>
    <font>
      <u/>
      <sz val="11.0"/>
      <color rgb="FF000000"/>
      <name val="Calibri"/>
    </font>
    <font>
      <color rgb="FF000000"/>
      <name val="Arial"/>
      <scheme val="minor"/>
    </font>
    <font>
      <sz val="12.0"/>
      <color rgb="FF000000"/>
      <name val="&quot;Tiro Bangla&quot;"/>
    </font>
    <font>
      <sz val="11.0"/>
      <color rgb="FF000000"/>
      <name val="Arial"/>
    </font>
    <font>
      <sz val="12.0"/>
      <color rgb="FF000000"/>
      <name val="Roboto"/>
    </font>
    <font>
      <u/>
      <sz val="11.0"/>
      <color rgb="FF0000FF"/>
      <name val="Calibri"/>
    </font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E2EFDA"/>
        <bgColor rgb="FFE2EFDA"/>
      </patternFill>
    </fill>
    <fill>
      <patternFill patternType="solid">
        <fgColor rgb="FFF8CBAD"/>
        <bgColor rgb="FFF8CBAD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right" readingOrder="0" shrinkToFit="0" wrapText="0"/>
    </xf>
    <xf borderId="0" fillId="0" fontId="3" numFmtId="0" xfId="0" applyFont="1"/>
    <xf borderId="0" fillId="2" fontId="4" numFmtId="0" xfId="0" applyAlignment="1" applyFill="1" applyFon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shrinkToFit="0" wrapText="0"/>
    </xf>
    <xf borderId="0" fillId="0" fontId="6" numFmtId="0" xfId="0" applyAlignment="1" applyFont="1">
      <alignment readingOrder="0" shrinkToFit="0" wrapText="0"/>
    </xf>
    <xf borderId="0" fillId="3" fontId="2" numFmtId="0" xfId="0" applyAlignment="1" applyFill="1" applyFont="1">
      <alignment horizontal="left" readingOrder="0" vertical="top"/>
    </xf>
    <xf borderId="0" fillId="4" fontId="2" numFmtId="0" xfId="0" applyAlignment="1" applyFill="1" applyFont="1">
      <alignment horizontal="left" readingOrder="0" vertical="top"/>
    </xf>
    <xf borderId="0" fillId="0" fontId="7" numFmtId="0" xfId="0" applyAlignment="1" applyFont="1">
      <alignment readingOrder="0" shrinkToFit="0" wrapText="0"/>
    </xf>
    <xf borderId="0" fillId="0" fontId="8" numFmtId="0" xfId="0" applyFont="1"/>
    <xf quotePrefix="1" borderId="0" fillId="0" fontId="2" numFmtId="0" xfId="0" applyAlignment="1" applyFont="1">
      <alignment readingOrder="0" shrinkToFit="0" wrapText="0"/>
    </xf>
    <xf borderId="0" fillId="0" fontId="8" numFmtId="0" xfId="0" applyAlignment="1" applyFont="1">
      <alignment readingOrder="0"/>
    </xf>
    <xf borderId="0" fillId="2" fontId="9" numFmtId="0" xfId="0" applyAlignment="1" applyFill="1" applyFont="1">
      <alignment horizontal="left" readingOrder="0"/>
    </xf>
    <xf borderId="0" fillId="5" fontId="9" numFmtId="0" xfId="0" applyAlignment="1" applyFill="1" applyFont="1">
      <alignment horizontal="left" readingOrder="0"/>
    </xf>
    <xf borderId="0" fillId="2" fontId="10" numFmtId="0" xfId="0" applyAlignment="1" applyFill="1" applyFont="1">
      <alignment readingOrder="0"/>
    </xf>
    <xf borderId="0" fillId="6" fontId="11" numFmtId="0" xfId="0" applyAlignment="1" applyFill="1" applyFont="1">
      <alignment horizontal="left" readingOrder="0"/>
    </xf>
    <xf borderId="0" fillId="5" fontId="11" numFmtId="0" xfId="0" applyAlignment="1" applyFill="1" applyFont="1">
      <alignment horizontal="left" readingOrder="0"/>
    </xf>
    <xf borderId="0" fillId="0" fontId="12" numFmtId="0" xfId="0" applyAlignment="1" applyFont="1">
      <alignment readingOrder="0" shrinkToFit="0" wrapText="0"/>
    </xf>
    <xf borderId="0" fillId="5" fontId="2" numFmtId="0" xfId="0" applyAlignment="1" applyFill="1" applyFont="1">
      <alignment horizontal="right" readingOrder="0" shrinkToFit="0" wrapText="0"/>
    </xf>
    <xf borderId="0" fillId="7" fontId="2" numFmtId="0" xfId="0" applyAlignment="1" applyFill="1" applyFont="1">
      <alignment horizontal="left" readingOrder="0" vertical="top"/>
    </xf>
    <xf borderId="0" fillId="8" fontId="2" numFmtId="0" xfId="0" applyAlignment="1" applyFill="1" applyFont="1">
      <alignment horizontal="left" readingOrder="0" vertical="top"/>
    </xf>
    <xf quotePrefix="1" borderId="0" fillId="8" fontId="2" numFmtId="0" xfId="0" applyAlignment="1" applyFill="1" applyFont="1">
      <alignment horizontal="left" readingOrder="0" vertical="top"/>
    </xf>
    <xf borderId="0" fillId="5" fontId="3" numFmtId="0" xfId="0" applyAlignment="1" applyFill="1" applyFont="1">
      <alignment readingOrder="0"/>
    </xf>
    <xf borderId="0" fillId="0" fontId="13" numFmtId="0" xfId="0" applyAlignment="1" applyFont="1">
      <alignment readingOrder="0"/>
    </xf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1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0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0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0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0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0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0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009" Type="http://schemas.openxmlformats.org/officeDocument/2006/relationships/drawing" Target="../drawings/drawing1.xml"/><Relationship Id="rId70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0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0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69" Type="http://schemas.openxmlformats.org/officeDocument/2006/relationships/hyperlink" Target="https://banglaproverbs.blogspot.com/" TargetMode="External"/><Relationship Id="rId35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60" Type="http://schemas.openxmlformats.org/officeDocument/2006/relationships/hyperlink" Target="https://banglaproverbs.blogspot.com/" TargetMode="External"/><Relationship Id="rId35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61" Type="http://schemas.openxmlformats.org/officeDocument/2006/relationships/hyperlink" Target="https://banglaproverbs.blogspot.com/" TargetMode="External"/><Relationship Id="rId35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62" Type="http://schemas.openxmlformats.org/officeDocument/2006/relationships/hyperlink" Target="https://banglaproverbs.blogspot.com/" TargetMode="External"/><Relationship Id="rId35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63" Type="http://schemas.openxmlformats.org/officeDocument/2006/relationships/hyperlink" Target="https://banglaproverbs.blogspot.com/" TargetMode="External"/><Relationship Id="rId35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64" Type="http://schemas.openxmlformats.org/officeDocument/2006/relationships/hyperlink" Target="https://banglaproverbs.blogspot.com/" TargetMode="External"/><Relationship Id="rId35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65" Type="http://schemas.openxmlformats.org/officeDocument/2006/relationships/hyperlink" Target="https://banglaproverbs.blogspot.com/" TargetMode="External"/><Relationship Id="rId35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66" Type="http://schemas.openxmlformats.org/officeDocument/2006/relationships/hyperlink" Target="https://banglaproverbs.blogspot.com/" TargetMode="External"/><Relationship Id="rId35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67" Type="http://schemas.openxmlformats.org/officeDocument/2006/relationships/hyperlink" Target="https://banglaproverbs.blogspot.com/" TargetMode="External"/><Relationship Id="rId35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68" Type="http://schemas.openxmlformats.org/officeDocument/2006/relationships/hyperlink" Target="https://banglaproverbs.blogspot.com/" TargetMode="External"/><Relationship Id="rId35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58" Type="http://schemas.openxmlformats.org/officeDocument/2006/relationships/hyperlink" Target="https://banglaproverbs.blogspot.com/" TargetMode="External"/><Relationship Id="rId2259" Type="http://schemas.openxmlformats.org/officeDocument/2006/relationships/hyperlink" Target="https://banglaproverbs.blogspot.com/" TargetMode="External"/><Relationship Id="rId35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50" Type="http://schemas.openxmlformats.org/officeDocument/2006/relationships/hyperlink" Target="https://banglaproverbs.blogspot.com/" TargetMode="External"/><Relationship Id="rId35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51" Type="http://schemas.openxmlformats.org/officeDocument/2006/relationships/hyperlink" Target="https://banglaproverbs.blogspot.com/" TargetMode="External"/><Relationship Id="rId35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52" Type="http://schemas.openxmlformats.org/officeDocument/2006/relationships/hyperlink" Target="https://banglaproverbs.blogspot.com/" TargetMode="External"/><Relationship Id="rId35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53" Type="http://schemas.openxmlformats.org/officeDocument/2006/relationships/hyperlink" Target="https://banglaproverbs.blogspot.com/" TargetMode="External"/><Relationship Id="rId35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54" Type="http://schemas.openxmlformats.org/officeDocument/2006/relationships/hyperlink" Target="https://banglaproverbs.blogspot.com/" TargetMode="External"/><Relationship Id="rId35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55" Type="http://schemas.openxmlformats.org/officeDocument/2006/relationships/hyperlink" Target="https://banglaproverbs.blogspot.com/" TargetMode="External"/><Relationship Id="rId35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56" Type="http://schemas.openxmlformats.org/officeDocument/2006/relationships/hyperlink" Target="https://banglaproverbs.blogspot.com/" TargetMode="External"/><Relationship Id="rId35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57" Type="http://schemas.openxmlformats.org/officeDocument/2006/relationships/hyperlink" Target="https://banglaproverbs.blogspot.com/" TargetMode="External"/><Relationship Id="rId35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80" Type="http://schemas.openxmlformats.org/officeDocument/2006/relationships/hyperlink" Target="https://banglaproverbs.blogspot.com/" TargetMode="External"/><Relationship Id="rId2281" Type="http://schemas.openxmlformats.org/officeDocument/2006/relationships/hyperlink" Target="https://banglaproverbs.blogspot.com/" TargetMode="External"/><Relationship Id="rId2282" Type="http://schemas.openxmlformats.org/officeDocument/2006/relationships/hyperlink" Target="https://banglaproverbs.blogspot.com/" TargetMode="External"/><Relationship Id="rId2283" Type="http://schemas.openxmlformats.org/officeDocument/2006/relationships/hyperlink" Target="https://banglaproverbs.blogspot.com/" TargetMode="External"/><Relationship Id="rId2284" Type="http://schemas.openxmlformats.org/officeDocument/2006/relationships/hyperlink" Target="https://banglaproverbs.blogspot.com/" TargetMode="External"/><Relationship Id="rId2285" Type="http://schemas.openxmlformats.org/officeDocument/2006/relationships/hyperlink" Target="https://banglaproverbs.blogspot.com/" TargetMode="External"/><Relationship Id="rId2286" Type="http://schemas.openxmlformats.org/officeDocument/2006/relationships/hyperlink" Target="https://banglaproverbs.blogspot.com/" TargetMode="External"/><Relationship Id="rId2287" Type="http://schemas.openxmlformats.org/officeDocument/2006/relationships/hyperlink" Target="https://banglaproverbs.blogspot.com/" TargetMode="External"/><Relationship Id="rId2288" Type="http://schemas.openxmlformats.org/officeDocument/2006/relationships/hyperlink" Target="https://banglaproverbs.blogspot.com/" TargetMode="External"/><Relationship Id="rId2289" Type="http://schemas.openxmlformats.org/officeDocument/2006/relationships/hyperlink" Target="https://banglaproverbs.blogspot.com/" TargetMode="External"/><Relationship Id="rId2270" Type="http://schemas.openxmlformats.org/officeDocument/2006/relationships/hyperlink" Target="https://banglaproverbs.blogspot.com/" TargetMode="External"/><Relationship Id="rId2271" Type="http://schemas.openxmlformats.org/officeDocument/2006/relationships/hyperlink" Target="https://banglaproverbs.blogspot.com/" TargetMode="External"/><Relationship Id="rId2272" Type="http://schemas.openxmlformats.org/officeDocument/2006/relationships/hyperlink" Target="https://banglaproverbs.blogspot.com/" TargetMode="External"/><Relationship Id="rId2273" Type="http://schemas.openxmlformats.org/officeDocument/2006/relationships/hyperlink" Target="https://banglaproverbs.blogspot.com/" TargetMode="External"/><Relationship Id="rId2274" Type="http://schemas.openxmlformats.org/officeDocument/2006/relationships/hyperlink" Target="https://banglaproverbs.blogspot.com/" TargetMode="External"/><Relationship Id="rId2275" Type="http://schemas.openxmlformats.org/officeDocument/2006/relationships/hyperlink" Target="https://banglaproverbs.blogspot.com/" TargetMode="External"/><Relationship Id="rId2276" Type="http://schemas.openxmlformats.org/officeDocument/2006/relationships/hyperlink" Target="https://banglaproverbs.blogspot.com/" TargetMode="External"/><Relationship Id="rId2277" Type="http://schemas.openxmlformats.org/officeDocument/2006/relationships/hyperlink" Target="https://banglaproverbs.blogspot.com/" TargetMode="External"/><Relationship Id="rId2278" Type="http://schemas.openxmlformats.org/officeDocument/2006/relationships/hyperlink" Target="https://banglaproverbs.blogspot.com/" TargetMode="External"/><Relationship Id="rId2279" Type="http://schemas.openxmlformats.org/officeDocument/2006/relationships/hyperlink" Target="https://banglaproverbs.blogspot.com/" TargetMode="External"/><Relationship Id="rId22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47" Type="http://schemas.openxmlformats.org/officeDocument/2006/relationships/hyperlink" Target="https://banglaproverbs.blogspot.com/" TargetMode="External"/><Relationship Id="rId35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48" Type="http://schemas.openxmlformats.org/officeDocument/2006/relationships/hyperlink" Target="https://banglaproverbs.blogspot.com/" TargetMode="External"/><Relationship Id="rId35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49" Type="http://schemas.openxmlformats.org/officeDocument/2006/relationships/hyperlink" Target="https://banglaproverbs.blogspot.com/" TargetMode="External"/><Relationship Id="rId35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45" Type="http://schemas.openxmlformats.org/officeDocument/2006/relationships/hyperlink" Target="https://banglaproverbs.blogspot.com/" TargetMode="External"/><Relationship Id="rId35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46" Type="http://schemas.openxmlformats.org/officeDocument/2006/relationships/hyperlink" Target="https://banglaproverbs.blogspot.com/" TargetMode="External"/><Relationship Id="rId35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90" Type="http://schemas.openxmlformats.org/officeDocument/2006/relationships/hyperlink" Target="https://banglaproverbs.blogspot.com/" TargetMode="External"/><Relationship Id="rId2291" Type="http://schemas.openxmlformats.org/officeDocument/2006/relationships/hyperlink" Target="https://banglaproverbs.blogspot.com/" TargetMode="External"/><Relationship Id="rId2292" Type="http://schemas.openxmlformats.org/officeDocument/2006/relationships/hyperlink" Target="https://banglaproverbs.blogspot.com/" TargetMode="External"/><Relationship Id="rId2293" Type="http://schemas.openxmlformats.org/officeDocument/2006/relationships/hyperlink" Target="https://banglaproverbs.blogspot.com/" TargetMode="External"/><Relationship Id="rId2294" Type="http://schemas.openxmlformats.org/officeDocument/2006/relationships/hyperlink" Target="https://banglaproverbs.blogspot.com/" TargetMode="External"/><Relationship Id="rId2295" Type="http://schemas.openxmlformats.org/officeDocument/2006/relationships/hyperlink" Target="https://banglaproverbs.blogspot.com/" TargetMode="External"/><Relationship Id="rId2296" Type="http://schemas.openxmlformats.org/officeDocument/2006/relationships/hyperlink" Target="https://banglaproverbs.blogspot.com/" TargetMode="External"/><Relationship Id="rId2297" Type="http://schemas.openxmlformats.org/officeDocument/2006/relationships/hyperlink" Target="https://banglaproverbs.blogspot.com/" TargetMode="External"/><Relationship Id="rId2298" Type="http://schemas.openxmlformats.org/officeDocument/2006/relationships/hyperlink" Target="https://banglaproverbs.blogspot.com/" TargetMode="External"/><Relationship Id="rId2299" Type="http://schemas.openxmlformats.org/officeDocument/2006/relationships/hyperlink" Target="https://banglaproverbs.blogspot.com/" TargetMode="External"/><Relationship Id="rId49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02" Type="http://schemas.openxmlformats.org/officeDocument/2006/relationships/hyperlink" Target="https://banglaproverbs.blogspot.com/" TargetMode="External"/><Relationship Id="rId36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03" Type="http://schemas.openxmlformats.org/officeDocument/2006/relationships/hyperlink" Target="https://banglaproverbs.blogspot.com/" TargetMode="External"/><Relationship Id="rId36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04" Type="http://schemas.openxmlformats.org/officeDocument/2006/relationships/hyperlink" Target="https://banglaproverbs.blogspot.com/" TargetMode="External"/><Relationship Id="rId36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05" Type="http://schemas.openxmlformats.org/officeDocument/2006/relationships/hyperlink" Target="https://banglaproverbs.blogspot.com/" TargetMode="External"/><Relationship Id="rId36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06" Type="http://schemas.openxmlformats.org/officeDocument/2006/relationships/hyperlink" Target="https://banglaproverbs.blogspot.com/" TargetMode="External"/><Relationship Id="rId36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07" Type="http://schemas.openxmlformats.org/officeDocument/2006/relationships/hyperlink" Target="https://banglaproverbs.blogspot.com/" TargetMode="External"/><Relationship Id="rId36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08" Type="http://schemas.openxmlformats.org/officeDocument/2006/relationships/hyperlink" Target="https://banglaproverbs.blogspot.com/" TargetMode="External"/><Relationship Id="rId2309" Type="http://schemas.openxmlformats.org/officeDocument/2006/relationships/hyperlink" Target="https://banglaproverbs.blogspot.com/" TargetMode="External"/><Relationship Id="rId36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6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00" Type="http://schemas.openxmlformats.org/officeDocument/2006/relationships/hyperlink" Target="https://banglaproverbs.blogspot.com/" TargetMode="External"/><Relationship Id="rId36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01" Type="http://schemas.openxmlformats.org/officeDocument/2006/relationships/hyperlink" Target="https://banglaproverbs.blogspot.com/" TargetMode="External"/><Relationship Id="rId36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6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6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6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6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6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6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6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6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6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6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24" Type="http://schemas.openxmlformats.org/officeDocument/2006/relationships/hyperlink" Target="https://banglaproverbs.blogspot.com/" TargetMode="External"/><Relationship Id="rId36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25" Type="http://schemas.openxmlformats.org/officeDocument/2006/relationships/hyperlink" Target="https://banglaproverbs.blogspot.com/" TargetMode="External"/><Relationship Id="rId36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26" Type="http://schemas.openxmlformats.org/officeDocument/2006/relationships/hyperlink" Target="https://banglaproverbs.blogspot.com/" TargetMode="External"/><Relationship Id="rId36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27" Type="http://schemas.openxmlformats.org/officeDocument/2006/relationships/hyperlink" Target="https://banglaproverbs.blogspot.com/" TargetMode="External"/><Relationship Id="rId36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28" Type="http://schemas.openxmlformats.org/officeDocument/2006/relationships/hyperlink" Target="https://banglaproverbs.blogspot.com/" TargetMode="External"/><Relationship Id="rId2329" Type="http://schemas.openxmlformats.org/officeDocument/2006/relationships/hyperlink" Target="https://banglaproverbs.blogspot.com/" TargetMode="External"/><Relationship Id="rId36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6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20" Type="http://schemas.openxmlformats.org/officeDocument/2006/relationships/hyperlink" Target="https://banglaproverbs.blogspot.com/" TargetMode="External"/><Relationship Id="rId36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21" Type="http://schemas.openxmlformats.org/officeDocument/2006/relationships/hyperlink" Target="https://banglaproverbs.blogspot.com/" TargetMode="External"/><Relationship Id="rId36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22" Type="http://schemas.openxmlformats.org/officeDocument/2006/relationships/hyperlink" Target="https://banglaproverbs.blogspot.com/" TargetMode="External"/><Relationship Id="rId36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23" Type="http://schemas.openxmlformats.org/officeDocument/2006/relationships/hyperlink" Target="https://banglaproverbs.blogspot.com/" TargetMode="External"/><Relationship Id="rId36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13" Type="http://schemas.openxmlformats.org/officeDocument/2006/relationships/hyperlink" Target="https://banglaproverbs.blogspot.com/" TargetMode="External"/><Relationship Id="rId36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14" Type="http://schemas.openxmlformats.org/officeDocument/2006/relationships/hyperlink" Target="https://banglaproverbs.blogspot.com/" TargetMode="External"/><Relationship Id="rId36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15" Type="http://schemas.openxmlformats.org/officeDocument/2006/relationships/hyperlink" Target="https://banglaproverbs.blogspot.com/" TargetMode="External"/><Relationship Id="rId36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16" Type="http://schemas.openxmlformats.org/officeDocument/2006/relationships/hyperlink" Target="https://banglaproverbs.blogspot.com/" TargetMode="External"/><Relationship Id="rId36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17" Type="http://schemas.openxmlformats.org/officeDocument/2006/relationships/hyperlink" Target="https://banglaproverbs.blogspot.com/" TargetMode="External"/><Relationship Id="rId36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18" Type="http://schemas.openxmlformats.org/officeDocument/2006/relationships/hyperlink" Target="https://banglaproverbs.blogspot.com/" TargetMode="External"/><Relationship Id="rId36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19" Type="http://schemas.openxmlformats.org/officeDocument/2006/relationships/hyperlink" Target="https://banglaproverbs.blogspot.com/" TargetMode="External"/><Relationship Id="rId49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6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10" Type="http://schemas.openxmlformats.org/officeDocument/2006/relationships/hyperlink" Target="https://banglaproverbs.blogspot.com/" TargetMode="External"/><Relationship Id="rId36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11" Type="http://schemas.openxmlformats.org/officeDocument/2006/relationships/hyperlink" Target="https://banglaproverbs.blogspot.com/" TargetMode="External"/><Relationship Id="rId36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12" Type="http://schemas.openxmlformats.org/officeDocument/2006/relationships/hyperlink" Target="https://banglaproverbs.blogspot.com/" TargetMode="External"/><Relationship Id="rId36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6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6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6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6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6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6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6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6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6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6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6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6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6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6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6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6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6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6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6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6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80" Type="http://schemas.openxmlformats.org/officeDocument/2006/relationships/hyperlink" Target="https://banglaproverbs.blogspot.com/" TargetMode="External"/><Relationship Id="rId10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81" Type="http://schemas.openxmlformats.org/officeDocument/2006/relationships/hyperlink" Target="https://banglaproverbs.blogspot.com/" TargetMode="External"/><Relationship Id="rId10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82" Type="http://schemas.openxmlformats.org/officeDocument/2006/relationships/hyperlink" Target="https://banglaproverbs.blogspot.com/" TargetMode="External"/><Relationship Id="rId10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83" Type="http://schemas.openxmlformats.org/officeDocument/2006/relationships/hyperlink" Target="https://banglaproverbs.blogspot.com/" TargetMode="External"/><Relationship Id="rId10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84" Type="http://schemas.openxmlformats.org/officeDocument/2006/relationships/hyperlink" Target="https://banglaproverbs.blogspot.com/" TargetMode="External"/><Relationship Id="rId10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85" Type="http://schemas.openxmlformats.org/officeDocument/2006/relationships/hyperlink" Target="https://banglaproverbs.blogspot.com/" TargetMode="External"/><Relationship Id="rId10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86" Type="http://schemas.openxmlformats.org/officeDocument/2006/relationships/hyperlink" Target="https://banglaproverbs.blogspot.com/" TargetMode="External"/><Relationship Id="rId10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87" Type="http://schemas.openxmlformats.org/officeDocument/2006/relationships/hyperlink" Target="https://banglaproverbs.blogspot.com/" TargetMode="External"/><Relationship Id="rId10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88" Type="http://schemas.openxmlformats.org/officeDocument/2006/relationships/hyperlink" Target="https://banglaproverbs.blogspot.com/" TargetMode="External"/><Relationship Id="rId10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89" Type="http://schemas.openxmlformats.org/officeDocument/2006/relationships/hyperlink" Target="https://banglaproverbs.blogspot.com/" TargetMode="External"/><Relationship Id="rId10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79" Type="http://schemas.openxmlformats.org/officeDocument/2006/relationships/hyperlink" Target="https://banglaproverbs.blogspot.com/" TargetMode="External"/><Relationship Id="rId10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70" Type="http://schemas.openxmlformats.org/officeDocument/2006/relationships/hyperlink" Target="https://banglaproverbs.blogspot.com/" TargetMode="External"/><Relationship Id="rId10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71" Type="http://schemas.openxmlformats.org/officeDocument/2006/relationships/hyperlink" Target="https://banglaproverbs.blogspot.com/" TargetMode="External"/><Relationship Id="rId10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72" Type="http://schemas.openxmlformats.org/officeDocument/2006/relationships/hyperlink" Target="https://banglaproverbs.blogspot.com/" TargetMode="External"/><Relationship Id="rId10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73" Type="http://schemas.openxmlformats.org/officeDocument/2006/relationships/hyperlink" Target="https://banglaproverbs.blogspot.com/" TargetMode="External"/><Relationship Id="rId10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74" Type="http://schemas.openxmlformats.org/officeDocument/2006/relationships/hyperlink" Target="https://banglaproverbs.blogspot.com/" TargetMode="External"/><Relationship Id="rId10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75" Type="http://schemas.openxmlformats.org/officeDocument/2006/relationships/hyperlink" Target="https://banglaproverbs.blogspot.com/" TargetMode="External"/><Relationship Id="rId10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76" Type="http://schemas.openxmlformats.org/officeDocument/2006/relationships/hyperlink" Target="https://banglaproverbs.blogspot.com/" TargetMode="External"/><Relationship Id="rId10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77" Type="http://schemas.openxmlformats.org/officeDocument/2006/relationships/hyperlink" Target="https://banglaproverbs.blogspot.com/" TargetMode="External"/><Relationship Id="rId10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78" Type="http://schemas.openxmlformats.org/officeDocument/2006/relationships/hyperlink" Target="https://banglaproverbs.blogspot.com/" TargetMode="External"/><Relationship Id="rId10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90" Type="http://schemas.openxmlformats.org/officeDocument/2006/relationships/hyperlink" Target="https://banglaproverbs.blogspot.com/" TargetMode="External"/><Relationship Id="rId10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91" Type="http://schemas.openxmlformats.org/officeDocument/2006/relationships/hyperlink" Target="https://banglaproverbs.blogspot.com/" TargetMode="External"/><Relationship Id="rId10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92" Type="http://schemas.openxmlformats.org/officeDocument/2006/relationships/hyperlink" Target="https://banglaproverbs.blogspot.com/" TargetMode="External"/><Relationship Id="rId10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93" Type="http://schemas.openxmlformats.org/officeDocument/2006/relationships/hyperlink" Target="https://banglaproverbs.blogspot.com/" TargetMode="External"/><Relationship Id="rId10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94" Type="http://schemas.openxmlformats.org/officeDocument/2006/relationships/hyperlink" Target="https://banglaproverbs.blogspot.com/" TargetMode="External"/><Relationship Id="rId10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95" Type="http://schemas.openxmlformats.org/officeDocument/2006/relationships/hyperlink" Target="https://banglaproverbs.blogspot.com/" TargetMode="External"/><Relationship Id="rId10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96" Type="http://schemas.openxmlformats.org/officeDocument/2006/relationships/hyperlink" Target="https://banglaproverbs.blogspot.com/" TargetMode="External"/><Relationship Id="rId10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97" Type="http://schemas.openxmlformats.org/officeDocument/2006/relationships/hyperlink" Target="https://banglaproverbs.blogspot.com/" TargetMode="External"/><Relationship Id="rId10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98" Type="http://schemas.openxmlformats.org/officeDocument/2006/relationships/hyperlink" Target="https://banglaproverbs.blogspot.com/" TargetMode="External"/><Relationship Id="rId10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99" Type="http://schemas.openxmlformats.org/officeDocument/2006/relationships/hyperlink" Target="https://banglaproverbs.blogspot.com/" TargetMode="External"/><Relationship Id="rId10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46" Type="http://schemas.openxmlformats.org/officeDocument/2006/relationships/hyperlink" Target="https://banglaproverbs.blogspot.com/" TargetMode="External"/><Relationship Id="rId36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47" Type="http://schemas.openxmlformats.org/officeDocument/2006/relationships/hyperlink" Target="https://banglaproverbs.blogspot.com/" TargetMode="External"/><Relationship Id="rId36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48" Type="http://schemas.openxmlformats.org/officeDocument/2006/relationships/hyperlink" Target="https://banglaproverbs.blogspot.com/" TargetMode="External"/><Relationship Id="rId10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49" Type="http://schemas.openxmlformats.org/officeDocument/2006/relationships/hyperlink" Target="https://banglaproverbs.blogspot.com/" TargetMode="External"/><Relationship Id="rId36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6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40" Type="http://schemas.openxmlformats.org/officeDocument/2006/relationships/hyperlink" Target="https://banglaproverbs.blogspot.com/" TargetMode="External"/><Relationship Id="rId36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41" Type="http://schemas.openxmlformats.org/officeDocument/2006/relationships/hyperlink" Target="https://banglaproverbs.blogspot.com/" TargetMode="External"/><Relationship Id="rId36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42" Type="http://schemas.openxmlformats.org/officeDocument/2006/relationships/hyperlink" Target="https://banglaproverbs.blogspot.com/" TargetMode="External"/><Relationship Id="rId36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43" Type="http://schemas.openxmlformats.org/officeDocument/2006/relationships/hyperlink" Target="https://banglaproverbs.blogspot.com/" TargetMode="External"/><Relationship Id="rId36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44" Type="http://schemas.openxmlformats.org/officeDocument/2006/relationships/hyperlink" Target="https://banglaproverbs.blogspot.com/" TargetMode="External"/><Relationship Id="rId36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45" Type="http://schemas.openxmlformats.org/officeDocument/2006/relationships/hyperlink" Target="https://banglaproverbs.blogspot.com/" TargetMode="External"/><Relationship Id="rId36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35" Type="http://schemas.openxmlformats.org/officeDocument/2006/relationships/hyperlink" Target="https://banglaproverbs.blogspot.com/" TargetMode="External"/><Relationship Id="rId36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36" Type="http://schemas.openxmlformats.org/officeDocument/2006/relationships/hyperlink" Target="https://banglaproverbs.blogspot.com/" TargetMode="External"/><Relationship Id="rId36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37" Type="http://schemas.openxmlformats.org/officeDocument/2006/relationships/hyperlink" Target="https://banglaproverbs.blogspot.com/" TargetMode="External"/><Relationship Id="rId36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38" Type="http://schemas.openxmlformats.org/officeDocument/2006/relationships/hyperlink" Target="https://banglaproverbs.blogspot.com/" TargetMode="External"/><Relationship Id="rId36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39" Type="http://schemas.openxmlformats.org/officeDocument/2006/relationships/hyperlink" Target="https://banglaproverbs.blogspot.com/" TargetMode="External"/><Relationship Id="rId10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6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30" Type="http://schemas.openxmlformats.org/officeDocument/2006/relationships/hyperlink" Target="https://banglaproverbs.blogspot.com/" TargetMode="External"/><Relationship Id="rId36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31" Type="http://schemas.openxmlformats.org/officeDocument/2006/relationships/hyperlink" Target="https://banglaproverbs.blogspot.com/" TargetMode="External"/><Relationship Id="rId36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32" Type="http://schemas.openxmlformats.org/officeDocument/2006/relationships/hyperlink" Target="https://banglaproverbs.blogspot.com/" TargetMode="External"/><Relationship Id="rId36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33" Type="http://schemas.openxmlformats.org/officeDocument/2006/relationships/hyperlink" Target="https://banglaproverbs.blogspot.com/" TargetMode="External"/><Relationship Id="rId36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34" Type="http://schemas.openxmlformats.org/officeDocument/2006/relationships/hyperlink" Target="https://banglaproverbs.blogspot.com/" TargetMode="External"/><Relationship Id="rId36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68" Type="http://schemas.openxmlformats.org/officeDocument/2006/relationships/hyperlink" Target="https://banglaproverbs.blogspot.com/" TargetMode="External"/><Relationship Id="rId10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69" Type="http://schemas.openxmlformats.org/officeDocument/2006/relationships/hyperlink" Target="https://banglaproverbs.blogspot.com/" TargetMode="External"/><Relationship Id="rId36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6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60" Type="http://schemas.openxmlformats.org/officeDocument/2006/relationships/hyperlink" Target="https://banglaproverbs.blogspot.com/" TargetMode="External"/><Relationship Id="rId36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61" Type="http://schemas.openxmlformats.org/officeDocument/2006/relationships/hyperlink" Target="https://banglaproverbs.blogspot.com/" TargetMode="External"/><Relationship Id="rId36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62" Type="http://schemas.openxmlformats.org/officeDocument/2006/relationships/hyperlink" Target="https://banglaproverbs.blogspot.com/" TargetMode="External"/><Relationship Id="rId36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63" Type="http://schemas.openxmlformats.org/officeDocument/2006/relationships/hyperlink" Target="https://banglaproverbs.blogspot.com/" TargetMode="External"/><Relationship Id="rId36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64" Type="http://schemas.openxmlformats.org/officeDocument/2006/relationships/hyperlink" Target="https://banglaproverbs.blogspot.com/" TargetMode="External"/><Relationship Id="rId36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65" Type="http://schemas.openxmlformats.org/officeDocument/2006/relationships/hyperlink" Target="https://banglaproverbs.blogspot.com/" TargetMode="External"/><Relationship Id="rId36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66" Type="http://schemas.openxmlformats.org/officeDocument/2006/relationships/hyperlink" Target="https://banglaproverbs.blogspot.com/" TargetMode="External"/><Relationship Id="rId36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67" Type="http://schemas.openxmlformats.org/officeDocument/2006/relationships/hyperlink" Target="https://banglaproverbs.blogspot.com/" TargetMode="External"/><Relationship Id="rId36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57" Type="http://schemas.openxmlformats.org/officeDocument/2006/relationships/hyperlink" Target="https://banglaproverbs.blogspot.com/" TargetMode="External"/><Relationship Id="rId36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58" Type="http://schemas.openxmlformats.org/officeDocument/2006/relationships/hyperlink" Target="https://banglaproverbs.blogspot.com/" TargetMode="External"/><Relationship Id="rId36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59" Type="http://schemas.openxmlformats.org/officeDocument/2006/relationships/hyperlink" Target="https://banglaproverbs.blogspot.com/" TargetMode="External"/><Relationship Id="rId10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6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50" Type="http://schemas.openxmlformats.org/officeDocument/2006/relationships/hyperlink" Target="https://banglaproverbs.blogspot.com/" TargetMode="External"/><Relationship Id="rId36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51" Type="http://schemas.openxmlformats.org/officeDocument/2006/relationships/hyperlink" Target="https://banglaproverbs.blogspot.com/" TargetMode="External"/><Relationship Id="rId36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52" Type="http://schemas.openxmlformats.org/officeDocument/2006/relationships/hyperlink" Target="https://banglaproverbs.blogspot.com/" TargetMode="External"/><Relationship Id="rId36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53" Type="http://schemas.openxmlformats.org/officeDocument/2006/relationships/hyperlink" Target="https://banglaproverbs.blogspot.com/" TargetMode="External"/><Relationship Id="rId36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54" Type="http://schemas.openxmlformats.org/officeDocument/2006/relationships/hyperlink" Target="https://banglaproverbs.blogspot.com/" TargetMode="External"/><Relationship Id="rId36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55" Type="http://schemas.openxmlformats.org/officeDocument/2006/relationships/hyperlink" Target="https://banglaproverbs.blogspot.com/" TargetMode="External"/><Relationship Id="rId36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56" Type="http://schemas.openxmlformats.org/officeDocument/2006/relationships/hyperlink" Target="https://banglaproverbs.blogspot.com/" TargetMode="External"/><Relationship Id="rId36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23" Type="http://schemas.openxmlformats.org/officeDocument/2006/relationships/hyperlink" Target="https://banglaproverbs.blogspot.com/" TargetMode="External"/><Relationship Id="rId37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24" Type="http://schemas.openxmlformats.org/officeDocument/2006/relationships/hyperlink" Target="https://banglaproverbs.blogspot.com/" TargetMode="External"/><Relationship Id="rId37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25" Type="http://schemas.openxmlformats.org/officeDocument/2006/relationships/hyperlink" Target="https://banglaproverbs.blogspot.com/" TargetMode="External"/><Relationship Id="rId37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26" Type="http://schemas.openxmlformats.org/officeDocument/2006/relationships/hyperlink" Target="https://banglaproverbs.blogspot.com/" TargetMode="External"/><Relationship Id="rId37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27" Type="http://schemas.openxmlformats.org/officeDocument/2006/relationships/hyperlink" Target="https://banglaproverbs.blogspot.com/" TargetMode="External"/><Relationship Id="rId37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28" Type="http://schemas.openxmlformats.org/officeDocument/2006/relationships/hyperlink" Target="https://banglaproverbs.blogspot.com/" TargetMode="External"/><Relationship Id="rId37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29" Type="http://schemas.openxmlformats.org/officeDocument/2006/relationships/hyperlink" Target="https://banglaproverbs.blogspot.com/" TargetMode="External"/><Relationship Id="rId37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20" Type="http://schemas.openxmlformats.org/officeDocument/2006/relationships/hyperlink" Target="https://banglaproverbs.blogspot.com/" TargetMode="External"/><Relationship Id="rId37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21" Type="http://schemas.openxmlformats.org/officeDocument/2006/relationships/hyperlink" Target="https://banglaproverbs.blogspot.com/" TargetMode="External"/><Relationship Id="rId37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22" Type="http://schemas.openxmlformats.org/officeDocument/2006/relationships/hyperlink" Target="https://banglaproverbs.blogspot.com/" TargetMode="External"/><Relationship Id="rId37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12" Type="http://schemas.openxmlformats.org/officeDocument/2006/relationships/hyperlink" Target="https://banglaproverbs.blogspot.com/" TargetMode="External"/><Relationship Id="rId37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13" Type="http://schemas.openxmlformats.org/officeDocument/2006/relationships/hyperlink" Target="https://banglaproverbs.blogspot.com/" TargetMode="External"/><Relationship Id="rId37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14" Type="http://schemas.openxmlformats.org/officeDocument/2006/relationships/hyperlink" Target="https://banglaproverbs.blogspot.com/" TargetMode="External"/><Relationship Id="rId37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15" Type="http://schemas.openxmlformats.org/officeDocument/2006/relationships/hyperlink" Target="https://banglaproverbs.blogspot.com/" TargetMode="External"/><Relationship Id="rId37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16" Type="http://schemas.openxmlformats.org/officeDocument/2006/relationships/hyperlink" Target="https://banglaproverbs.blogspot.com/" TargetMode="External"/><Relationship Id="rId37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17" Type="http://schemas.openxmlformats.org/officeDocument/2006/relationships/hyperlink" Target="https://banglaproverbs.blogspot.com/" TargetMode="External"/><Relationship Id="rId37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18" Type="http://schemas.openxmlformats.org/officeDocument/2006/relationships/hyperlink" Target="https://banglaproverbs.blogspot.com/" TargetMode="External"/><Relationship Id="rId2419" Type="http://schemas.openxmlformats.org/officeDocument/2006/relationships/hyperlink" Target="https://banglaproverbs.blogspot.com/" TargetMode="External"/><Relationship Id="rId37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7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10" Type="http://schemas.openxmlformats.org/officeDocument/2006/relationships/hyperlink" Target="https://banglaproverbs.blogspot.com/" TargetMode="External"/><Relationship Id="rId37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11" Type="http://schemas.openxmlformats.org/officeDocument/2006/relationships/hyperlink" Target="https://banglaproverbs.blogspot.com/" TargetMode="External"/><Relationship Id="rId37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45" Type="http://schemas.openxmlformats.org/officeDocument/2006/relationships/hyperlink" Target="https://banglaproverbs.blogspot.com/" TargetMode="External"/><Relationship Id="rId37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46" Type="http://schemas.openxmlformats.org/officeDocument/2006/relationships/hyperlink" Target="https://banglaproverbs.blogspot.com/" TargetMode="External"/><Relationship Id="rId37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47" Type="http://schemas.openxmlformats.org/officeDocument/2006/relationships/hyperlink" Target="https://banglaproverbs.blogspot.com/" TargetMode="External"/><Relationship Id="rId37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48" Type="http://schemas.openxmlformats.org/officeDocument/2006/relationships/hyperlink" Target="https://banglaproverbs.blogspot.com/" TargetMode="External"/><Relationship Id="rId37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49" Type="http://schemas.openxmlformats.org/officeDocument/2006/relationships/hyperlink" Target="https://banglaproverbs.blogspot.com/" TargetMode="External"/><Relationship Id="rId11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7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40" Type="http://schemas.openxmlformats.org/officeDocument/2006/relationships/hyperlink" Target="https://banglaproverbs.blogspot.com/" TargetMode="External"/><Relationship Id="rId37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41" Type="http://schemas.openxmlformats.org/officeDocument/2006/relationships/hyperlink" Target="https://banglaproverbs.blogspot.com/" TargetMode="External"/><Relationship Id="rId37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42" Type="http://schemas.openxmlformats.org/officeDocument/2006/relationships/hyperlink" Target="https://banglaproverbs.blogspot.com/" TargetMode="External"/><Relationship Id="rId37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43" Type="http://schemas.openxmlformats.org/officeDocument/2006/relationships/hyperlink" Target="https://banglaproverbs.blogspot.com/" TargetMode="External"/><Relationship Id="rId37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44" Type="http://schemas.openxmlformats.org/officeDocument/2006/relationships/hyperlink" Target="https://banglaproverbs.blogspot.com/" TargetMode="External"/><Relationship Id="rId37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34" Type="http://schemas.openxmlformats.org/officeDocument/2006/relationships/hyperlink" Target="https://banglaproverbs.blogspot.com/" TargetMode="External"/><Relationship Id="rId37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35" Type="http://schemas.openxmlformats.org/officeDocument/2006/relationships/hyperlink" Target="https://banglaproverbs.blogspot.com/" TargetMode="External"/><Relationship Id="rId37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36" Type="http://schemas.openxmlformats.org/officeDocument/2006/relationships/hyperlink" Target="https://banglaproverbs.blogspot.com/" TargetMode="External"/><Relationship Id="rId37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37" Type="http://schemas.openxmlformats.org/officeDocument/2006/relationships/hyperlink" Target="https://banglaproverbs.blogspot.com/" TargetMode="External"/><Relationship Id="rId37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38" Type="http://schemas.openxmlformats.org/officeDocument/2006/relationships/hyperlink" Target="https://banglaproverbs.blogspot.com/" TargetMode="External"/><Relationship Id="rId11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39" Type="http://schemas.openxmlformats.org/officeDocument/2006/relationships/hyperlink" Target="https://banglaproverbs.blogspot.com/" TargetMode="External"/><Relationship Id="rId37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7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30" Type="http://schemas.openxmlformats.org/officeDocument/2006/relationships/hyperlink" Target="https://banglaproverbs.blogspot.com/" TargetMode="External"/><Relationship Id="rId37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31" Type="http://schemas.openxmlformats.org/officeDocument/2006/relationships/hyperlink" Target="https://banglaproverbs.blogspot.com/" TargetMode="External"/><Relationship Id="rId37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32" Type="http://schemas.openxmlformats.org/officeDocument/2006/relationships/hyperlink" Target="https://banglaproverbs.blogspot.com/" TargetMode="External"/><Relationship Id="rId37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33" Type="http://schemas.openxmlformats.org/officeDocument/2006/relationships/hyperlink" Target="https://banglaproverbs.blogspot.com/" TargetMode="External"/><Relationship Id="rId37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7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7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7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7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7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7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7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7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7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7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7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7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7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7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7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7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7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7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7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7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01" Type="http://schemas.openxmlformats.org/officeDocument/2006/relationships/hyperlink" Target="https://banglaproverbs.blogspot.com/" TargetMode="External"/><Relationship Id="rId37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02" Type="http://schemas.openxmlformats.org/officeDocument/2006/relationships/hyperlink" Target="https://banglaproverbs.blogspot.com/" TargetMode="External"/><Relationship Id="rId37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03" Type="http://schemas.openxmlformats.org/officeDocument/2006/relationships/hyperlink" Target="https://banglaproverbs.blogspot.com/" TargetMode="External"/><Relationship Id="rId37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04" Type="http://schemas.openxmlformats.org/officeDocument/2006/relationships/hyperlink" Target="https://banglaproverbs.blogspot.com/" TargetMode="External"/><Relationship Id="rId37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05" Type="http://schemas.openxmlformats.org/officeDocument/2006/relationships/hyperlink" Target="https://banglaproverbs.blogspot.com/" TargetMode="External"/><Relationship Id="rId37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06" Type="http://schemas.openxmlformats.org/officeDocument/2006/relationships/hyperlink" Target="https://banglaproverbs.blogspot.com/" TargetMode="External"/><Relationship Id="rId37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07" Type="http://schemas.openxmlformats.org/officeDocument/2006/relationships/hyperlink" Target="https://banglaproverbs.blogspot.com/" TargetMode="External"/><Relationship Id="rId37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08" Type="http://schemas.openxmlformats.org/officeDocument/2006/relationships/hyperlink" Target="https://banglaproverbs.blogspot.com/" TargetMode="External"/><Relationship Id="rId37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09" Type="http://schemas.openxmlformats.org/officeDocument/2006/relationships/hyperlink" Target="https://banglaproverbs.blogspot.com/" TargetMode="External"/><Relationship Id="rId37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00" Type="http://schemas.openxmlformats.org/officeDocument/2006/relationships/hyperlink" Target="https://banglaproverbs.blogspot.com/" TargetMode="External"/><Relationship Id="rId37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7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7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7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7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7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7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7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7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7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7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90" Type="http://schemas.openxmlformats.org/officeDocument/2006/relationships/hyperlink" Target="https://banglaproverbs.blogspot.com/" TargetMode="External"/><Relationship Id="rId11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91" Type="http://schemas.openxmlformats.org/officeDocument/2006/relationships/hyperlink" Target="https://banglaproverbs.blogspot.com/" TargetMode="External"/><Relationship Id="rId11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92" Type="http://schemas.openxmlformats.org/officeDocument/2006/relationships/hyperlink" Target="https://banglaproverbs.blogspot.com/" TargetMode="External"/><Relationship Id="rId11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93" Type="http://schemas.openxmlformats.org/officeDocument/2006/relationships/hyperlink" Target="https://banglaproverbs.blogspot.com/" TargetMode="External"/><Relationship Id="rId11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94" Type="http://schemas.openxmlformats.org/officeDocument/2006/relationships/hyperlink" Target="https://banglaproverbs.blogspot.com/" TargetMode="External"/><Relationship Id="rId11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95" Type="http://schemas.openxmlformats.org/officeDocument/2006/relationships/hyperlink" Target="https://banglaproverbs.blogspot.com/" TargetMode="External"/><Relationship Id="rId11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96" Type="http://schemas.openxmlformats.org/officeDocument/2006/relationships/hyperlink" Target="https://banglaproverbs.blogspot.com/" TargetMode="External"/><Relationship Id="rId11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97" Type="http://schemas.openxmlformats.org/officeDocument/2006/relationships/hyperlink" Target="https://banglaproverbs.blogspot.com/" TargetMode="External"/><Relationship Id="rId11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98" Type="http://schemas.openxmlformats.org/officeDocument/2006/relationships/hyperlink" Target="https://banglaproverbs.blogspot.com/" TargetMode="External"/><Relationship Id="rId11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99" Type="http://schemas.openxmlformats.org/officeDocument/2006/relationships/hyperlink" Target="https://banglaproverbs.blogspot.com/" TargetMode="External"/><Relationship Id="rId11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67" Type="http://schemas.openxmlformats.org/officeDocument/2006/relationships/hyperlink" Target="https://banglaproverbs.blogspot.com/" TargetMode="External"/><Relationship Id="rId37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68" Type="http://schemas.openxmlformats.org/officeDocument/2006/relationships/hyperlink" Target="https://banglaproverbs.blogspot.com/" TargetMode="External"/><Relationship Id="rId37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69" Type="http://schemas.openxmlformats.org/officeDocument/2006/relationships/hyperlink" Target="https://banglaproverbs.blogspot.com/" TargetMode="External"/><Relationship Id="rId11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7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60" Type="http://schemas.openxmlformats.org/officeDocument/2006/relationships/hyperlink" Target="https://banglaproverbs.blogspot.com/" TargetMode="External"/><Relationship Id="rId37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61" Type="http://schemas.openxmlformats.org/officeDocument/2006/relationships/hyperlink" Target="https://banglaproverbs.blogspot.com/" TargetMode="External"/><Relationship Id="rId37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62" Type="http://schemas.openxmlformats.org/officeDocument/2006/relationships/hyperlink" Target="https://banglaproverbs.blogspot.com/" TargetMode="External"/><Relationship Id="rId37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63" Type="http://schemas.openxmlformats.org/officeDocument/2006/relationships/hyperlink" Target="https://banglaproverbs.blogspot.com/" TargetMode="External"/><Relationship Id="rId37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64" Type="http://schemas.openxmlformats.org/officeDocument/2006/relationships/hyperlink" Target="https://banglaproverbs.blogspot.com/" TargetMode="External"/><Relationship Id="rId37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65" Type="http://schemas.openxmlformats.org/officeDocument/2006/relationships/hyperlink" Target="https://banglaproverbs.blogspot.com/" TargetMode="External"/><Relationship Id="rId37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66" Type="http://schemas.openxmlformats.org/officeDocument/2006/relationships/hyperlink" Target="https://banglaproverbs.blogspot.com/" TargetMode="External"/><Relationship Id="rId37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56" Type="http://schemas.openxmlformats.org/officeDocument/2006/relationships/hyperlink" Target="https://banglaproverbs.blogspot.com/" TargetMode="External"/><Relationship Id="rId37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57" Type="http://schemas.openxmlformats.org/officeDocument/2006/relationships/hyperlink" Target="https://banglaproverbs.blogspot.com/" TargetMode="External"/><Relationship Id="rId37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58" Type="http://schemas.openxmlformats.org/officeDocument/2006/relationships/hyperlink" Target="https://banglaproverbs.blogspot.com/" TargetMode="External"/><Relationship Id="rId11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59" Type="http://schemas.openxmlformats.org/officeDocument/2006/relationships/hyperlink" Target="https://banglaproverbs.blogspot.com/" TargetMode="External"/><Relationship Id="rId37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7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50" Type="http://schemas.openxmlformats.org/officeDocument/2006/relationships/hyperlink" Target="https://banglaproverbs.blogspot.com/" TargetMode="External"/><Relationship Id="rId37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51" Type="http://schemas.openxmlformats.org/officeDocument/2006/relationships/hyperlink" Target="https://banglaproverbs.blogspot.com/" TargetMode="External"/><Relationship Id="rId37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52" Type="http://schemas.openxmlformats.org/officeDocument/2006/relationships/hyperlink" Target="https://banglaproverbs.blogspot.com/" TargetMode="External"/><Relationship Id="rId37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53" Type="http://schemas.openxmlformats.org/officeDocument/2006/relationships/hyperlink" Target="https://banglaproverbs.blogspot.com/" TargetMode="External"/><Relationship Id="rId37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54" Type="http://schemas.openxmlformats.org/officeDocument/2006/relationships/hyperlink" Target="https://banglaproverbs.blogspot.com/" TargetMode="External"/><Relationship Id="rId37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55" Type="http://schemas.openxmlformats.org/officeDocument/2006/relationships/hyperlink" Target="https://banglaproverbs.blogspot.com/" TargetMode="External"/><Relationship Id="rId37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89" Type="http://schemas.openxmlformats.org/officeDocument/2006/relationships/hyperlink" Target="https://banglaproverbs.blogspot.com/" TargetMode="External"/><Relationship Id="rId11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80" Type="http://schemas.openxmlformats.org/officeDocument/2006/relationships/hyperlink" Target="https://banglaproverbs.blogspot.com/" TargetMode="External"/><Relationship Id="rId11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81" Type="http://schemas.openxmlformats.org/officeDocument/2006/relationships/hyperlink" Target="https://banglaproverbs.blogspot.com/" TargetMode="External"/><Relationship Id="rId11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82" Type="http://schemas.openxmlformats.org/officeDocument/2006/relationships/hyperlink" Target="https://banglaproverbs.blogspot.com/" TargetMode="External"/><Relationship Id="rId11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83" Type="http://schemas.openxmlformats.org/officeDocument/2006/relationships/hyperlink" Target="https://banglaproverbs.blogspot.com/" TargetMode="External"/><Relationship Id="rId11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84" Type="http://schemas.openxmlformats.org/officeDocument/2006/relationships/hyperlink" Target="https://banglaproverbs.blogspot.com/" TargetMode="External"/><Relationship Id="rId11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85" Type="http://schemas.openxmlformats.org/officeDocument/2006/relationships/hyperlink" Target="https://banglaproverbs.blogspot.com/" TargetMode="External"/><Relationship Id="rId11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86" Type="http://schemas.openxmlformats.org/officeDocument/2006/relationships/hyperlink" Target="https://banglaproverbs.blogspot.com/" TargetMode="External"/><Relationship Id="rId11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87" Type="http://schemas.openxmlformats.org/officeDocument/2006/relationships/hyperlink" Target="https://banglaproverbs.blogspot.com/" TargetMode="External"/><Relationship Id="rId11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88" Type="http://schemas.openxmlformats.org/officeDocument/2006/relationships/hyperlink" Target="https://banglaproverbs.blogspot.com/" TargetMode="External"/><Relationship Id="rId11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78" Type="http://schemas.openxmlformats.org/officeDocument/2006/relationships/hyperlink" Target="https://banglaproverbs.blogspot.com/" TargetMode="External"/><Relationship Id="rId11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79" Type="http://schemas.openxmlformats.org/officeDocument/2006/relationships/hyperlink" Target="https://banglaproverbs.blogspot.com/" TargetMode="External"/><Relationship Id="rId11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70" Type="http://schemas.openxmlformats.org/officeDocument/2006/relationships/hyperlink" Target="https://banglaproverbs.blogspot.com/" TargetMode="External"/><Relationship Id="rId11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71" Type="http://schemas.openxmlformats.org/officeDocument/2006/relationships/hyperlink" Target="https://banglaproverbs.blogspot.com/" TargetMode="External"/><Relationship Id="rId11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72" Type="http://schemas.openxmlformats.org/officeDocument/2006/relationships/hyperlink" Target="https://banglaproverbs.blogspot.com/" TargetMode="External"/><Relationship Id="rId11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73" Type="http://schemas.openxmlformats.org/officeDocument/2006/relationships/hyperlink" Target="https://banglaproverbs.blogspot.com/" TargetMode="External"/><Relationship Id="rId11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74" Type="http://schemas.openxmlformats.org/officeDocument/2006/relationships/hyperlink" Target="https://banglaproverbs.blogspot.com/" TargetMode="External"/><Relationship Id="rId11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75" Type="http://schemas.openxmlformats.org/officeDocument/2006/relationships/hyperlink" Target="https://banglaproverbs.blogspot.com/" TargetMode="External"/><Relationship Id="rId11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76" Type="http://schemas.openxmlformats.org/officeDocument/2006/relationships/hyperlink" Target="https://banglaproverbs.blogspot.com/" TargetMode="External"/><Relationship Id="rId11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77" Type="http://schemas.openxmlformats.org/officeDocument/2006/relationships/hyperlink" Target="https://banglaproverbs.blogspot.com/" TargetMode="External"/><Relationship Id="rId60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8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8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8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8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8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8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8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8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8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8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8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8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8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8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8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8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8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8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8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8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44" Type="http://schemas.openxmlformats.org/officeDocument/2006/relationships/hyperlink" Target="https://banglaproverbs.blogspot.com/" TargetMode="External"/><Relationship Id="rId38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45" Type="http://schemas.openxmlformats.org/officeDocument/2006/relationships/hyperlink" Target="https://banglaproverbs.blogspot.com/" TargetMode="External"/><Relationship Id="rId38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46" Type="http://schemas.openxmlformats.org/officeDocument/2006/relationships/hyperlink" Target="https://banglaproverbs.blogspot.com/" TargetMode="External"/><Relationship Id="rId38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47" Type="http://schemas.openxmlformats.org/officeDocument/2006/relationships/hyperlink" Target="https://banglaproverbs.blogspot.com/" TargetMode="External"/><Relationship Id="rId38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48" Type="http://schemas.openxmlformats.org/officeDocument/2006/relationships/hyperlink" Target="https://banglaproverbs.blogspot.com/" TargetMode="External"/><Relationship Id="rId12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49" Type="http://schemas.openxmlformats.org/officeDocument/2006/relationships/hyperlink" Target="https://banglaproverbs.blogspot.com/" TargetMode="External"/><Relationship Id="rId38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8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40" Type="http://schemas.openxmlformats.org/officeDocument/2006/relationships/hyperlink" Target="https://banglaproverbs.blogspot.com/" TargetMode="External"/><Relationship Id="rId38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41" Type="http://schemas.openxmlformats.org/officeDocument/2006/relationships/hyperlink" Target="https://banglaproverbs.blogspot.com/" TargetMode="External"/><Relationship Id="rId38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42" Type="http://schemas.openxmlformats.org/officeDocument/2006/relationships/hyperlink" Target="https://banglaproverbs.blogspot.com/" TargetMode="External"/><Relationship Id="rId38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43" Type="http://schemas.openxmlformats.org/officeDocument/2006/relationships/hyperlink" Target="https://banglaproverbs.blogspot.com/" TargetMode="External"/><Relationship Id="rId38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33" Type="http://schemas.openxmlformats.org/officeDocument/2006/relationships/hyperlink" Target="https://banglaproverbs.blogspot.com/" TargetMode="External"/><Relationship Id="rId38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34" Type="http://schemas.openxmlformats.org/officeDocument/2006/relationships/hyperlink" Target="https://banglaproverbs.blogspot.com/" TargetMode="External"/><Relationship Id="rId38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35" Type="http://schemas.openxmlformats.org/officeDocument/2006/relationships/hyperlink" Target="https://banglaproverbs.blogspot.com/" TargetMode="External"/><Relationship Id="rId38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36" Type="http://schemas.openxmlformats.org/officeDocument/2006/relationships/hyperlink" Target="https://banglaproverbs.blogspot.com/" TargetMode="External"/><Relationship Id="rId38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37" Type="http://schemas.openxmlformats.org/officeDocument/2006/relationships/hyperlink" Target="https://banglaproverbs.blogspot.com/" TargetMode="External"/><Relationship Id="rId38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38" Type="http://schemas.openxmlformats.org/officeDocument/2006/relationships/hyperlink" Target="https://banglaproverbs.blogspot.com/" TargetMode="External"/><Relationship Id="rId38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39" Type="http://schemas.openxmlformats.org/officeDocument/2006/relationships/hyperlink" Target="https://banglaproverbs.blogspot.com/" TargetMode="External"/><Relationship Id="rId12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8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30" Type="http://schemas.openxmlformats.org/officeDocument/2006/relationships/hyperlink" Target="https://banglaproverbs.blogspot.com/" TargetMode="External"/><Relationship Id="rId38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31" Type="http://schemas.openxmlformats.org/officeDocument/2006/relationships/hyperlink" Target="https://banglaproverbs.blogspot.com/" TargetMode="External"/><Relationship Id="rId38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32" Type="http://schemas.openxmlformats.org/officeDocument/2006/relationships/hyperlink" Target="https://banglaproverbs.blogspot.com/" TargetMode="External"/><Relationship Id="rId38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66" Type="http://schemas.openxmlformats.org/officeDocument/2006/relationships/hyperlink" Target="https://banglaproverbs.blogspot.com/" TargetMode="External"/><Relationship Id="rId38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67" Type="http://schemas.openxmlformats.org/officeDocument/2006/relationships/hyperlink" Target="https://banglaproverbs.blogspot.com/" TargetMode="External"/><Relationship Id="rId38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68" Type="http://schemas.openxmlformats.org/officeDocument/2006/relationships/hyperlink" Target="https://banglaproverbs.blogspot.com/" TargetMode="External"/><Relationship Id="rId12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69" Type="http://schemas.openxmlformats.org/officeDocument/2006/relationships/hyperlink" Target="https://banglaproverbs.blogspot.com/" TargetMode="External"/><Relationship Id="rId38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8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60" Type="http://schemas.openxmlformats.org/officeDocument/2006/relationships/hyperlink" Target="https://banglaproverbs.blogspot.com/" TargetMode="External"/><Relationship Id="rId38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61" Type="http://schemas.openxmlformats.org/officeDocument/2006/relationships/hyperlink" Target="https://banglaproverbs.blogspot.com/" TargetMode="External"/><Relationship Id="rId38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62" Type="http://schemas.openxmlformats.org/officeDocument/2006/relationships/hyperlink" Target="https://banglaproverbs.blogspot.com/" TargetMode="External"/><Relationship Id="rId38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63" Type="http://schemas.openxmlformats.org/officeDocument/2006/relationships/hyperlink" Target="https://banglaproverbs.blogspot.com/" TargetMode="External"/><Relationship Id="rId38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64" Type="http://schemas.openxmlformats.org/officeDocument/2006/relationships/hyperlink" Target="https://banglaproverbs.blogspot.com/" TargetMode="External"/><Relationship Id="rId38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65" Type="http://schemas.openxmlformats.org/officeDocument/2006/relationships/hyperlink" Target="https://banglaproverbs.blogspot.com/" TargetMode="External"/><Relationship Id="rId38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55" Type="http://schemas.openxmlformats.org/officeDocument/2006/relationships/hyperlink" Target="https://banglaproverbs.blogspot.com/" TargetMode="External"/><Relationship Id="rId38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56" Type="http://schemas.openxmlformats.org/officeDocument/2006/relationships/hyperlink" Target="https://banglaproverbs.blogspot.com/" TargetMode="External"/><Relationship Id="rId38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57" Type="http://schemas.openxmlformats.org/officeDocument/2006/relationships/hyperlink" Target="https://banglaproverbs.blogspot.com/" TargetMode="External"/><Relationship Id="rId38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58" Type="http://schemas.openxmlformats.org/officeDocument/2006/relationships/hyperlink" Target="https://banglaproverbs.blogspot.com/" TargetMode="External"/><Relationship Id="rId38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59" Type="http://schemas.openxmlformats.org/officeDocument/2006/relationships/hyperlink" Target="https://banglaproverbs.blogspot.com/" TargetMode="External"/><Relationship Id="rId12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8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50" Type="http://schemas.openxmlformats.org/officeDocument/2006/relationships/hyperlink" Target="https://banglaproverbs.blogspot.com/" TargetMode="External"/><Relationship Id="rId38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51" Type="http://schemas.openxmlformats.org/officeDocument/2006/relationships/hyperlink" Target="https://banglaproverbs.blogspot.com/" TargetMode="External"/><Relationship Id="rId38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52" Type="http://schemas.openxmlformats.org/officeDocument/2006/relationships/hyperlink" Target="https://banglaproverbs.blogspot.com/" TargetMode="External"/><Relationship Id="rId38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53" Type="http://schemas.openxmlformats.org/officeDocument/2006/relationships/hyperlink" Target="https://banglaproverbs.blogspot.com/" TargetMode="External"/><Relationship Id="rId38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54" Type="http://schemas.openxmlformats.org/officeDocument/2006/relationships/hyperlink" Target="https://banglaproverbs.blogspot.com/" TargetMode="External"/><Relationship Id="rId38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00" Type="http://schemas.openxmlformats.org/officeDocument/2006/relationships/hyperlink" Target="https://banglaproverbs.blogspot.com/" TargetMode="External"/><Relationship Id="rId38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01" Type="http://schemas.openxmlformats.org/officeDocument/2006/relationships/hyperlink" Target="https://banglaproverbs.blogspot.com/" TargetMode="External"/><Relationship Id="rId38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02" Type="http://schemas.openxmlformats.org/officeDocument/2006/relationships/hyperlink" Target="https://banglaproverbs.blogspot.com/" TargetMode="External"/><Relationship Id="rId38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03" Type="http://schemas.openxmlformats.org/officeDocument/2006/relationships/hyperlink" Target="https://banglaproverbs.blogspot.com/" TargetMode="External"/><Relationship Id="rId38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04" Type="http://schemas.openxmlformats.org/officeDocument/2006/relationships/hyperlink" Target="https://banglaproverbs.blogspot.com/" TargetMode="External"/><Relationship Id="rId38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05" Type="http://schemas.openxmlformats.org/officeDocument/2006/relationships/hyperlink" Target="https://banglaproverbs.blogspot.com/" TargetMode="External"/><Relationship Id="rId38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06" Type="http://schemas.openxmlformats.org/officeDocument/2006/relationships/hyperlink" Target="https://banglaproverbs.blogspot.com/" TargetMode="External"/><Relationship Id="rId38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07" Type="http://schemas.openxmlformats.org/officeDocument/2006/relationships/hyperlink" Target="https://banglaproverbs.blogspot.com/" TargetMode="External"/><Relationship Id="rId38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08" Type="http://schemas.openxmlformats.org/officeDocument/2006/relationships/hyperlink" Target="https://banglaproverbs.blogspot.com/" TargetMode="External"/><Relationship Id="rId2509" Type="http://schemas.openxmlformats.org/officeDocument/2006/relationships/hyperlink" Target="https://banglaproverbs.blogspot.com/" TargetMode="External"/><Relationship Id="rId38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8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8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8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8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8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8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8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8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8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8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8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22" Type="http://schemas.openxmlformats.org/officeDocument/2006/relationships/hyperlink" Target="https://banglaproverbs.blogspot.com/" TargetMode="External"/><Relationship Id="rId38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23" Type="http://schemas.openxmlformats.org/officeDocument/2006/relationships/hyperlink" Target="https://banglaproverbs.blogspot.com/" TargetMode="External"/><Relationship Id="rId38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24" Type="http://schemas.openxmlformats.org/officeDocument/2006/relationships/hyperlink" Target="https://banglaproverbs.blogspot.com/" TargetMode="External"/><Relationship Id="rId38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25" Type="http://schemas.openxmlformats.org/officeDocument/2006/relationships/hyperlink" Target="https://banglaproverbs.blogspot.com/" TargetMode="External"/><Relationship Id="rId38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26" Type="http://schemas.openxmlformats.org/officeDocument/2006/relationships/hyperlink" Target="https://banglaproverbs.blogspot.com/" TargetMode="External"/><Relationship Id="rId38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27" Type="http://schemas.openxmlformats.org/officeDocument/2006/relationships/hyperlink" Target="https://banglaproverbs.blogspot.com/" TargetMode="External"/><Relationship Id="rId38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28" Type="http://schemas.openxmlformats.org/officeDocument/2006/relationships/hyperlink" Target="https://banglaproverbs.blogspot.com/" TargetMode="External"/><Relationship Id="rId2529" Type="http://schemas.openxmlformats.org/officeDocument/2006/relationships/hyperlink" Target="https://banglaproverbs.blogspot.com/" TargetMode="External"/><Relationship Id="rId38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8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20" Type="http://schemas.openxmlformats.org/officeDocument/2006/relationships/hyperlink" Target="https://banglaproverbs.blogspot.com/" TargetMode="External"/><Relationship Id="rId38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21" Type="http://schemas.openxmlformats.org/officeDocument/2006/relationships/hyperlink" Target="https://banglaproverbs.blogspot.com/" TargetMode="External"/><Relationship Id="rId38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11" Type="http://schemas.openxmlformats.org/officeDocument/2006/relationships/hyperlink" Target="https://banglaproverbs.blogspot.com/" TargetMode="External"/><Relationship Id="rId38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12" Type="http://schemas.openxmlformats.org/officeDocument/2006/relationships/hyperlink" Target="https://banglaproverbs.blogspot.com/" TargetMode="External"/><Relationship Id="rId38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13" Type="http://schemas.openxmlformats.org/officeDocument/2006/relationships/hyperlink" Target="https://banglaproverbs.blogspot.com/" TargetMode="External"/><Relationship Id="rId38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14" Type="http://schemas.openxmlformats.org/officeDocument/2006/relationships/hyperlink" Target="https://banglaproverbs.blogspot.com/" TargetMode="External"/><Relationship Id="rId38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15" Type="http://schemas.openxmlformats.org/officeDocument/2006/relationships/hyperlink" Target="https://banglaproverbs.blogspot.com/" TargetMode="External"/><Relationship Id="rId38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16" Type="http://schemas.openxmlformats.org/officeDocument/2006/relationships/hyperlink" Target="https://banglaproverbs.blogspot.com/" TargetMode="External"/><Relationship Id="rId38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17" Type="http://schemas.openxmlformats.org/officeDocument/2006/relationships/hyperlink" Target="https://banglaproverbs.blogspot.com/" TargetMode="External"/><Relationship Id="rId38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18" Type="http://schemas.openxmlformats.org/officeDocument/2006/relationships/hyperlink" Target="https://banglaproverbs.blogspot.com/" TargetMode="External"/><Relationship Id="rId38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19" Type="http://schemas.openxmlformats.org/officeDocument/2006/relationships/hyperlink" Target="https://banglaproverbs.blogspot.com/" TargetMode="External"/><Relationship Id="rId38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10" Type="http://schemas.openxmlformats.org/officeDocument/2006/relationships/hyperlink" Target="https://banglaproverbs.blogspot.com/" TargetMode="External"/><Relationship Id="rId38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88" Type="http://schemas.openxmlformats.org/officeDocument/2006/relationships/hyperlink" Target="https://banglaproverbs.blogspot.com/" TargetMode="External"/><Relationship Id="rId12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89" Type="http://schemas.openxmlformats.org/officeDocument/2006/relationships/hyperlink" Target="https://banglaproverbs.blogspot.com/" TargetMode="External"/><Relationship Id="rId12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80" Type="http://schemas.openxmlformats.org/officeDocument/2006/relationships/hyperlink" Target="https://banglaproverbs.blogspot.com/" TargetMode="External"/><Relationship Id="rId12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81" Type="http://schemas.openxmlformats.org/officeDocument/2006/relationships/hyperlink" Target="https://banglaproverbs.blogspot.com/" TargetMode="External"/><Relationship Id="rId12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82" Type="http://schemas.openxmlformats.org/officeDocument/2006/relationships/hyperlink" Target="https://banglaproverbs.blogspot.com/" TargetMode="External"/><Relationship Id="rId12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83" Type="http://schemas.openxmlformats.org/officeDocument/2006/relationships/hyperlink" Target="https://banglaproverbs.blogspot.com/" TargetMode="External"/><Relationship Id="rId12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84" Type="http://schemas.openxmlformats.org/officeDocument/2006/relationships/hyperlink" Target="https://banglaproverbs.blogspot.com/" TargetMode="External"/><Relationship Id="rId12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85" Type="http://schemas.openxmlformats.org/officeDocument/2006/relationships/hyperlink" Target="https://banglaproverbs.blogspot.com/" TargetMode="External"/><Relationship Id="rId12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86" Type="http://schemas.openxmlformats.org/officeDocument/2006/relationships/hyperlink" Target="https://banglaproverbs.blogspot.com/" TargetMode="External"/><Relationship Id="rId12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87" Type="http://schemas.openxmlformats.org/officeDocument/2006/relationships/hyperlink" Target="https://banglaproverbs.blogspot.com/" TargetMode="External"/><Relationship Id="rId12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77" Type="http://schemas.openxmlformats.org/officeDocument/2006/relationships/hyperlink" Target="https://banglaproverbs.blogspot.com/" TargetMode="External"/><Relationship Id="rId12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78" Type="http://schemas.openxmlformats.org/officeDocument/2006/relationships/hyperlink" Target="https://banglaproverbs.blogspot.com/" TargetMode="External"/><Relationship Id="rId12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79" Type="http://schemas.openxmlformats.org/officeDocument/2006/relationships/hyperlink" Target="https://banglaproverbs.blogspot.com/" TargetMode="External"/><Relationship Id="rId12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70" Type="http://schemas.openxmlformats.org/officeDocument/2006/relationships/hyperlink" Target="https://banglaproverbs.blogspot.com/" TargetMode="External"/><Relationship Id="rId12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71" Type="http://schemas.openxmlformats.org/officeDocument/2006/relationships/hyperlink" Target="https://banglaproverbs.blogspot.com/" TargetMode="External"/><Relationship Id="rId12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72" Type="http://schemas.openxmlformats.org/officeDocument/2006/relationships/hyperlink" Target="https://banglaproverbs.blogspot.com/" TargetMode="External"/><Relationship Id="rId12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73" Type="http://schemas.openxmlformats.org/officeDocument/2006/relationships/hyperlink" Target="https://banglaproverbs.blogspot.com/" TargetMode="External"/><Relationship Id="rId12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74" Type="http://schemas.openxmlformats.org/officeDocument/2006/relationships/hyperlink" Target="https://banglaproverbs.blogspot.com/" TargetMode="External"/><Relationship Id="rId12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75" Type="http://schemas.openxmlformats.org/officeDocument/2006/relationships/hyperlink" Target="https://banglaproverbs.blogspot.com/" TargetMode="External"/><Relationship Id="rId12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76" Type="http://schemas.openxmlformats.org/officeDocument/2006/relationships/hyperlink" Target="https://banglaproverbs.blogspot.com/" TargetMode="External"/><Relationship Id="rId12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99" Type="http://schemas.openxmlformats.org/officeDocument/2006/relationships/hyperlink" Target="https://banglaproverbs.blogspot.com/" TargetMode="External"/><Relationship Id="rId12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90" Type="http://schemas.openxmlformats.org/officeDocument/2006/relationships/hyperlink" Target="https://banglaproverbs.blogspot.com/" TargetMode="External"/><Relationship Id="rId12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91" Type="http://schemas.openxmlformats.org/officeDocument/2006/relationships/hyperlink" Target="https://banglaproverbs.blogspot.com/" TargetMode="External"/><Relationship Id="rId12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92" Type="http://schemas.openxmlformats.org/officeDocument/2006/relationships/hyperlink" Target="https://banglaproverbs.blogspot.com/" TargetMode="External"/><Relationship Id="rId12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93" Type="http://schemas.openxmlformats.org/officeDocument/2006/relationships/hyperlink" Target="https://banglaproverbs.blogspot.com/" TargetMode="External"/><Relationship Id="rId12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94" Type="http://schemas.openxmlformats.org/officeDocument/2006/relationships/hyperlink" Target="https://banglaproverbs.blogspot.com/" TargetMode="External"/><Relationship Id="rId12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95" Type="http://schemas.openxmlformats.org/officeDocument/2006/relationships/hyperlink" Target="https://banglaproverbs.blogspot.com/" TargetMode="External"/><Relationship Id="rId12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96" Type="http://schemas.openxmlformats.org/officeDocument/2006/relationships/hyperlink" Target="https://banglaproverbs.blogspot.com/" TargetMode="External"/><Relationship Id="rId12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97" Type="http://schemas.openxmlformats.org/officeDocument/2006/relationships/hyperlink" Target="https://banglaproverbs.blogspot.com/" TargetMode="External"/><Relationship Id="rId12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98" Type="http://schemas.openxmlformats.org/officeDocument/2006/relationships/hyperlink" Target="https://banglaproverbs.blogspot.com/" TargetMode="External"/><Relationship Id="rId30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" Type="http://schemas.openxmlformats.org/officeDocument/2006/relationships/hyperlink" Target="https://banglaproverbs.blogspot.com/" TargetMode="External"/><Relationship Id="rId42" Type="http://schemas.openxmlformats.org/officeDocument/2006/relationships/hyperlink" Target="https://banglaproverbs.blogspot.com/" TargetMode="External"/><Relationship Id="rId41" Type="http://schemas.openxmlformats.org/officeDocument/2006/relationships/hyperlink" Target="https://banglaproverbs.blogspot.com/" TargetMode="External"/><Relationship Id="rId44" Type="http://schemas.openxmlformats.org/officeDocument/2006/relationships/hyperlink" Target="https://banglaproverbs.blogspot.com/" TargetMode="External"/><Relationship Id="rId43" Type="http://schemas.openxmlformats.org/officeDocument/2006/relationships/hyperlink" Target="https://banglaproverbs.blogspot.com/" TargetMode="External"/><Relationship Id="rId46" Type="http://schemas.openxmlformats.org/officeDocument/2006/relationships/hyperlink" Target="https://banglaproverbs.blogspot.com/" TargetMode="External"/><Relationship Id="rId45" Type="http://schemas.openxmlformats.org/officeDocument/2006/relationships/hyperlink" Target="https://banglaproverbs.blogspot.com/" TargetMode="External"/><Relationship Id="rId48" Type="http://schemas.openxmlformats.org/officeDocument/2006/relationships/hyperlink" Target="https://banglaproverbs.blogspot.com/" TargetMode="External"/><Relationship Id="rId47" Type="http://schemas.openxmlformats.org/officeDocument/2006/relationships/hyperlink" Target="https://banglaproverbs.blogspot.com/" TargetMode="External"/><Relationship Id="rId49" Type="http://schemas.openxmlformats.org/officeDocument/2006/relationships/hyperlink" Target="https://banglaproverbs.blogspot.com/" TargetMode="External"/><Relationship Id="rId31" Type="http://schemas.openxmlformats.org/officeDocument/2006/relationships/hyperlink" Target="https://banglaproverbs.blogspot.com/" TargetMode="External"/><Relationship Id="rId30" Type="http://schemas.openxmlformats.org/officeDocument/2006/relationships/hyperlink" Target="https://banglaproverbs.blogspot.com/" TargetMode="External"/><Relationship Id="rId33" Type="http://schemas.openxmlformats.org/officeDocument/2006/relationships/hyperlink" Target="https://banglaproverbs.blogspot.com/" TargetMode="External"/><Relationship Id="rId32" Type="http://schemas.openxmlformats.org/officeDocument/2006/relationships/hyperlink" Target="https://banglaproverbs.blogspot.com/" TargetMode="External"/><Relationship Id="rId35" Type="http://schemas.openxmlformats.org/officeDocument/2006/relationships/hyperlink" Target="https://banglaproverbs.blogspot.com/" TargetMode="External"/><Relationship Id="rId34" Type="http://schemas.openxmlformats.org/officeDocument/2006/relationships/hyperlink" Target="https://banglaproverbs.blogspot.com/" TargetMode="External"/><Relationship Id="rId37" Type="http://schemas.openxmlformats.org/officeDocument/2006/relationships/hyperlink" Target="https://banglaproverbs.blogspot.com/" TargetMode="External"/><Relationship Id="rId36" Type="http://schemas.openxmlformats.org/officeDocument/2006/relationships/hyperlink" Target="https://banglaproverbs.blogspot.com/" TargetMode="External"/><Relationship Id="rId39" Type="http://schemas.openxmlformats.org/officeDocument/2006/relationships/hyperlink" Target="https://banglaproverbs.blogspot.com/" TargetMode="External"/><Relationship Id="rId38" Type="http://schemas.openxmlformats.org/officeDocument/2006/relationships/hyperlink" Target="https://banglaproverbs.blogspot.com/" TargetMode="External"/><Relationship Id="rId20" Type="http://schemas.openxmlformats.org/officeDocument/2006/relationships/hyperlink" Target="https://banglaproverbs.blogspot.com/" TargetMode="External"/><Relationship Id="rId22" Type="http://schemas.openxmlformats.org/officeDocument/2006/relationships/hyperlink" Target="https://banglaproverbs.blogspot.com/" TargetMode="External"/><Relationship Id="rId21" Type="http://schemas.openxmlformats.org/officeDocument/2006/relationships/hyperlink" Target="https://banglaproverbs.blogspot.com/" TargetMode="External"/><Relationship Id="rId24" Type="http://schemas.openxmlformats.org/officeDocument/2006/relationships/hyperlink" Target="https://banglaproverbs.blogspot.com/" TargetMode="External"/><Relationship Id="rId23" Type="http://schemas.openxmlformats.org/officeDocument/2006/relationships/hyperlink" Target="https://banglaproverbs.blogspot.com/" TargetMode="External"/><Relationship Id="rId26" Type="http://schemas.openxmlformats.org/officeDocument/2006/relationships/hyperlink" Target="https://banglaproverbs.blogspot.com/" TargetMode="External"/><Relationship Id="rId25" Type="http://schemas.openxmlformats.org/officeDocument/2006/relationships/hyperlink" Target="https://banglaproverbs.blogspot.com/" TargetMode="External"/><Relationship Id="rId28" Type="http://schemas.openxmlformats.org/officeDocument/2006/relationships/hyperlink" Target="https://banglaproverbs.blogspot.com/" TargetMode="External"/><Relationship Id="rId27" Type="http://schemas.openxmlformats.org/officeDocument/2006/relationships/hyperlink" Target="https://banglaproverbs.blogspot.com/" TargetMode="External"/><Relationship Id="rId29" Type="http://schemas.openxmlformats.org/officeDocument/2006/relationships/hyperlink" Target="https://banglaproverbs.blogspot.com/" TargetMode="External"/><Relationship Id="rId11" Type="http://schemas.openxmlformats.org/officeDocument/2006/relationships/hyperlink" Target="https://banglaproverbs.blogspot.com/" TargetMode="External"/><Relationship Id="rId10" Type="http://schemas.openxmlformats.org/officeDocument/2006/relationships/hyperlink" Target="https://banglaproverbs.blogspot.com/" TargetMode="External"/><Relationship Id="rId13" Type="http://schemas.openxmlformats.org/officeDocument/2006/relationships/hyperlink" Target="https://banglaproverbs.blogspot.com/" TargetMode="External"/><Relationship Id="rId12" Type="http://schemas.openxmlformats.org/officeDocument/2006/relationships/hyperlink" Target="https://banglaproverbs.blogspot.com/" TargetMode="External"/><Relationship Id="rId15" Type="http://schemas.openxmlformats.org/officeDocument/2006/relationships/hyperlink" Target="https://banglaproverbs.blogspot.com/" TargetMode="External"/><Relationship Id="rId14" Type="http://schemas.openxmlformats.org/officeDocument/2006/relationships/hyperlink" Target="https://banglaproverbs.blogspot.com/" TargetMode="External"/><Relationship Id="rId17" Type="http://schemas.openxmlformats.org/officeDocument/2006/relationships/hyperlink" Target="https://banglaproverbs.blogspot.com/" TargetMode="External"/><Relationship Id="rId16" Type="http://schemas.openxmlformats.org/officeDocument/2006/relationships/hyperlink" Target="https://banglaproverbs.blogspot.com/" TargetMode="External"/><Relationship Id="rId19" Type="http://schemas.openxmlformats.org/officeDocument/2006/relationships/hyperlink" Target="https://banglaproverbs.blogspot.com/" TargetMode="External"/><Relationship Id="rId18" Type="http://schemas.openxmlformats.org/officeDocument/2006/relationships/hyperlink" Target="https://banglaproverbs.blogspot.com/" TargetMode="External"/><Relationship Id="rId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" Type="http://schemas.openxmlformats.org/officeDocument/2006/relationships/hyperlink" Target="https://banglaproverbs.blogspot.com/" TargetMode="External"/><Relationship Id="rId17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" Type="http://schemas.openxmlformats.org/officeDocument/2006/relationships/hyperlink" Target="https://banglaproverbs.blogspot.com/" TargetMode="External"/><Relationship Id="rId17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17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" Type="http://schemas.openxmlformats.org/officeDocument/2006/relationships/hyperlink" Target="https://banglaproverbs.blogspot.com/" TargetMode="External"/><Relationship Id="rId17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65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" Type="http://schemas.openxmlformats.org/officeDocument/2006/relationships/hyperlink" Target="https://banglaproverbs.blogspot.com/" TargetMode="External"/><Relationship Id="rId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" Type="http://schemas.openxmlformats.org/officeDocument/2006/relationships/hyperlink" Target="https://banglaproverbs.blogspot.com/" TargetMode="External"/><Relationship Id="rId17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" Type="http://schemas.openxmlformats.org/officeDocument/2006/relationships/hyperlink" Target="https://banglaproverbs.blogspot.com/" TargetMode="External"/><Relationship Id="rId17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" Type="http://schemas.openxmlformats.org/officeDocument/2006/relationships/hyperlink" Target="https://banglaproverbs.blogspot.com/" TargetMode="External"/><Relationship Id="rId17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" Type="http://schemas.openxmlformats.org/officeDocument/2006/relationships/hyperlink" Target="https://banglaproverbs.blogspot.com/" TargetMode="External"/><Relationship Id="rId17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" Type="http://schemas.openxmlformats.org/officeDocument/2006/relationships/hyperlink" Target="https://banglaproverbs.blogspot.com/" TargetMode="External"/><Relationship Id="rId17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" Type="http://schemas.openxmlformats.org/officeDocument/2006/relationships/hyperlink" Target="https://banglaproverbs.blogspot.com/" TargetMode="External"/><Relationship Id="rId57" Type="http://schemas.openxmlformats.org/officeDocument/2006/relationships/hyperlink" Target="https://banglaproverbs.blogspot.com/" TargetMode="External"/><Relationship Id="rId56" Type="http://schemas.openxmlformats.org/officeDocument/2006/relationships/hyperlink" Target="https://banglaproverbs.blogspot.com/" TargetMode="External"/><Relationship Id="rId59" Type="http://schemas.openxmlformats.org/officeDocument/2006/relationships/hyperlink" Target="https://banglaproverbs.blogspot.com/" TargetMode="External"/><Relationship Id="rId58" Type="http://schemas.openxmlformats.org/officeDocument/2006/relationships/hyperlink" Target="https://banglaproverbs.blogspot.com/" TargetMode="External"/><Relationship Id="rId17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7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8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9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5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0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4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6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" Type="http://schemas.openxmlformats.org/officeDocument/2006/relationships/hyperlink" Target="https://banglaproverbs.blogspot.com/" TargetMode="External"/><Relationship Id="rId2" Type="http://schemas.openxmlformats.org/officeDocument/2006/relationships/hyperlink" Target="https://banglaproverbs.blogspot.com/" TargetMode="External"/><Relationship Id="rId3" Type="http://schemas.openxmlformats.org/officeDocument/2006/relationships/hyperlink" Target="https://banglaproverbs.blogspot.com/" TargetMode="External"/><Relationship Id="rId4" Type="http://schemas.openxmlformats.org/officeDocument/2006/relationships/hyperlink" Target="https://banglaproverbs.blogspot.com/" TargetMode="External"/><Relationship Id="rId9" Type="http://schemas.openxmlformats.org/officeDocument/2006/relationships/hyperlink" Target="https://banglaproverbs.blogspot.com/" TargetMode="External"/><Relationship Id="rId5" Type="http://schemas.openxmlformats.org/officeDocument/2006/relationships/hyperlink" Target="https://banglaproverbs.blogspot.com/" TargetMode="External"/><Relationship Id="rId6" Type="http://schemas.openxmlformats.org/officeDocument/2006/relationships/hyperlink" Target="https://banglaproverbs.blogspot.com/" TargetMode="External"/><Relationship Id="rId7" Type="http://schemas.openxmlformats.org/officeDocument/2006/relationships/hyperlink" Target="https://banglaproverbs.blogspot.com/" TargetMode="External"/><Relationship Id="rId8" Type="http://schemas.openxmlformats.org/officeDocument/2006/relationships/hyperlink" Target="https://banglaproverbs.blogspot.com/" TargetMode="External"/><Relationship Id="rId39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9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9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9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9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9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9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9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9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9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9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9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9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9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9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9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9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9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9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9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9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00" Type="http://schemas.openxmlformats.org/officeDocument/2006/relationships/hyperlink" Target="https://banglaproverbs.blogspot.com/" TargetMode="External"/><Relationship Id="rId39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01" Type="http://schemas.openxmlformats.org/officeDocument/2006/relationships/hyperlink" Target="https://banglaproverbs.blogspot.com/" TargetMode="External"/><Relationship Id="rId39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02" Type="http://schemas.openxmlformats.org/officeDocument/2006/relationships/hyperlink" Target="https://banglaproverbs.blogspot.com/" TargetMode="External"/><Relationship Id="rId39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03" Type="http://schemas.openxmlformats.org/officeDocument/2006/relationships/hyperlink" Target="https://banglaproverbs.blogspot.com/" TargetMode="External"/><Relationship Id="rId39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04" Type="http://schemas.openxmlformats.org/officeDocument/2006/relationships/hyperlink" Target="https://banglaproverbs.blogspot.com/" TargetMode="External"/><Relationship Id="rId39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05" Type="http://schemas.openxmlformats.org/officeDocument/2006/relationships/hyperlink" Target="https://banglaproverbs.blogspot.com/" TargetMode="External"/><Relationship Id="rId39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06" Type="http://schemas.openxmlformats.org/officeDocument/2006/relationships/hyperlink" Target="https://banglaproverbs.blogspot.com/" TargetMode="External"/><Relationship Id="rId39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07" Type="http://schemas.openxmlformats.org/officeDocument/2006/relationships/hyperlink" Target="https://banglaproverbs.blogspot.com/" TargetMode="External"/><Relationship Id="rId39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08" Type="http://schemas.openxmlformats.org/officeDocument/2006/relationships/hyperlink" Target="https://banglaproverbs.blogspot.com/" TargetMode="External"/><Relationship Id="rId39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09" Type="http://schemas.openxmlformats.org/officeDocument/2006/relationships/hyperlink" Target="https://banglaproverbs.blogspot.com/" TargetMode="External"/><Relationship Id="rId8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9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9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9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9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9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9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9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9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9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9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65" Type="http://schemas.openxmlformats.org/officeDocument/2006/relationships/hyperlink" Target="https://banglaproverbs.blogspot.com/" TargetMode="External"/><Relationship Id="rId39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66" Type="http://schemas.openxmlformats.org/officeDocument/2006/relationships/hyperlink" Target="https://banglaproverbs.blogspot.com/" TargetMode="External"/><Relationship Id="rId39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67" Type="http://schemas.openxmlformats.org/officeDocument/2006/relationships/hyperlink" Target="https://banglaproverbs.blogspot.com/" TargetMode="External"/><Relationship Id="rId39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68" Type="http://schemas.openxmlformats.org/officeDocument/2006/relationships/hyperlink" Target="https://banglaproverbs.blogspot.com/" TargetMode="External"/><Relationship Id="rId39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69" Type="http://schemas.openxmlformats.org/officeDocument/2006/relationships/hyperlink" Target="https://banglaproverbs.blogspot.com/" TargetMode="External"/><Relationship Id="rId13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9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60" Type="http://schemas.openxmlformats.org/officeDocument/2006/relationships/hyperlink" Target="https://banglaproverbs.blogspot.com/" TargetMode="External"/><Relationship Id="rId39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61" Type="http://schemas.openxmlformats.org/officeDocument/2006/relationships/hyperlink" Target="https://banglaproverbs.blogspot.com/" TargetMode="External"/><Relationship Id="rId39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62" Type="http://schemas.openxmlformats.org/officeDocument/2006/relationships/hyperlink" Target="https://banglaproverbs.blogspot.com/" TargetMode="External"/><Relationship Id="rId39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63" Type="http://schemas.openxmlformats.org/officeDocument/2006/relationships/hyperlink" Target="https://banglaproverbs.blogspot.com/" TargetMode="External"/><Relationship Id="rId39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64" Type="http://schemas.openxmlformats.org/officeDocument/2006/relationships/hyperlink" Target="https://banglaproverbs.blogspot.com/" TargetMode="External"/><Relationship Id="rId39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54" Type="http://schemas.openxmlformats.org/officeDocument/2006/relationships/hyperlink" Target="https://banglaproverbs.blogspot.com/" TargetMode="External"/><Relationship Id="rId39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55" Type="http://schemas.openxmlformats.org/officeDocument/2006/relationships/hyperlink" Target="https://banglaproverbs.blogspot.com/" TargetMode="External"/><Relationship Id="rId39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56" Type="http://schemas.openxmlformats.org/officeDocument/2006/relationships/hyperlink" Target="https://banglaproverbs.blogspot.com/" TargetMode="External"/><Relationship Id="rId39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57" Type="http://schemas.openxmlformats.org/officeDocument/2006/relationships/hyperlink" Target="https://banglaproverbs.blogspot.com/" TargetMode="External"/><Relationship Id="rId39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58" Type="http://schemas.openxmlformats.org/officeDocument/2006/relationships/hyperlink" Target="https://banglaproverbs.blogspot.com/" TargetMode="External"/><Relationship Id="rId13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59" Type="http://schemas.openxmlformats.org/officeDocument/2006/relationships/hyperlink" Target="https://banglaproverbs.blogspot.com/" TargetMode="External"/><Relationship Id="rId39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9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50" Type="http://schemas.openxmlformats.org/officeDocument/2006/relationships/hyperlink" Target="https://banglaproverbs.blogspot.com/" TargetMode="External"/><Relationship Id="rId39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51" Type="http://schemas.openxmlformats.org/officeDocument/2006/relationships/hyperlink" Target="https://banglaproverbs.blogspot.com/" TargetMode="External"/><Relationship Id="rId39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52" Type="http://schemas.openxmlformats.org/officeDocument/2006/relationships/hyperlink" Target="https://banglaproverbs.blogspot.com/" TargetMode="External"/><Relationship Id="rId39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53" Type="http://schemas.openxmlformats.org/officeDocument/2006/relationships/hyperlink" Target="https://banglaproverbs.blogspot.com/" TargetMode="External"/><Relationship Id="rId39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87" Type="http://schemas.openxmlformats.org/officeDocument/2006/relationships/hyperlink" Target="https://banglaproverbs.blogspot.com/" TargetMode="External"/><Relationship Id="rId13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88" Type="http://schemas.openxmlformats.org/officeDocument/2006/relationships/hyperlink" Target="https://banglaproverbs.blogspot.com/" TargetMode="External"/><Relationship Id="rId13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89" Type="http://schemas.openxmlformats.org/officeDocument/2006/relationships/hyperlink" Target="https://banglaproverbs.blogspot.com/" TargetMode="External"/><Relationship Id="rId13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80" Type="http://schemas.openxmlformats.org/officeDocument/2006/relationships/hyperlink" Target="https://banglaproverbs.blogspot.com/" TargetMode="External"/><Relationship Id="rId13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81" Type="http://schemas.openxmlformats.org/officeDocument/2006/relationships/hyperlink" Target="https://banglaproverbs.blogspot.com/" TargetMode="External"/><Relationship Id="rId13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82" Type="http://schemas.openxmlformats.org/officeDocument/2006/relationships/hyperlink" Target="https://banglaproverbs.blogspot.com/" TargetMode="External"/><Relationship Id="rId7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83" Type="http://schemas.openxmlformats.org/officeDocument/2006/relationships/hyperlink" Target="https://banglaproverbs.blogspot.com/" TargetMode="External"/><Relationship Id="rId7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84" Type="http://schemas.openxmlformats.org/officeDocument/2006/relationships/hyperlink" Target="https://banglaproverbs.blogspot.com/" TargetMode="External"/><Relationship Id="rId7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85" Type="http://schemas.openxmlformats.org/officeDocument/2006/relationships/hyperlink" Target="https://banglaproverbs.blogspot.com/" TargetMode="External"/><Relationship Id="rId7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86" Type="http://schemas.openxmlformats.org/officeDocument/2006/relationships/hyperlink" Target="https://banglaproverbs.blogspot.com/" TargetMode="External"/><Relationship Id="rId13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76" Type="http://schemas.openxmlformats.org/officeDocument/2006/relationships/hyperlink" Target="https://banglaproverbs.blogspot.com/" TargetMode="External"/><Relationship Id="rId13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77" Type="http://schemas.openxmlformats.org/officeDocument/2006/relationships/hyperlink" Target="https://banglaproverbs.blogspot.com/" TargetMode="External"/><Relationship Id="rId13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78" Type="http://schemas.openxmlformats.org/officeDocument/2006/relationships/hyperlink" Target="https://banglaproverbs.blogspot.com/" TargetMode="External"/><Relationship Id="rId13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79" Type="http://schemas.openxmlformats.org/officeDocument/2006/relationships/hyperlink" Target="https://banglaproverbs.blogspot.com/" TargetMode="External"/><Relationship Id="rId13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70" Type="http://schemas.openxmlformats.org/officeDocument/2006/relationships/hyperlink" Target="https://banglaproverbs.blogspot.com/" TargetMode="External"/><Relationship Id="rId13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71" Type="http://schemas.openxmlformats.org/officeDocument/2006/relationships/hyperlink" Target="https://banglaproverbs.blogspot.com/" TargetMode="External"/><Relationship Id="rId7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72" Type="http://schemas.openxmlformats.org/officeDocument/2006/relationships/hyperlink" Target="https://banglaproverbs.blogspot.com/" TargetMode="External"/><Relationship Id="rId7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73" Type="http://schemas.openxmlformats.org/officeDocument/2006/relationships/hyperlink" Target="https://banglaproverbs.blogspot.com/" TargetMode="External"/><Relationship Id="rId7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74" Type="http://schemas.openxmlformats.org/officeDocument/2006/relationships/hyperlink" Target="https://banglaproverbs.blogspot.com/" TargetMode="External"/><Relationship Id="rId13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75" Type="http://schemas.openxmlformats.org/officeDocument/2006/relationships/hyperlink" Target="https://banglaproverbs.blogspot.com/" TargetMode="External"/><Relationship Id="rId2621" Type="http://schemas.openxmlformats.org/officeDocument/2006/relationships/hyperlink" Target="https://banglaproverbs.blogspot.com/" TargetMode="External"/><Relationship Id="rId39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22" Type="http://schemas.openxmlformats.org/officeDocument/2006/relationships/hyperlink" Target="https://banglaproverbs.blogspot.com/" TargetMode="External"/><Relationship Id="rId39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23" Type="http://schemas.openxmlformats.org/officeDocument/2006/relationships/hyperlink" Target="https://banglaproverbs.blogspot.com/" TargetMode="External"/><Relationship Id="rId39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24" Type="http://schemas.openxmlformats.org/officeDocument/2006/relationships/hyperlink" Target="https://banglaproverbs.blogspot.com/" TargetMode="External"/><Relationship Id="rId39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25" Type="http://schemas.openxmlformats.org/officeDocument/2006/relationships/hyperlink" Target="https://banglaproverbs.blogspot.com/" TargetMode="External"/><Relationship Id="rId39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26" Type="http://schemas.openxmlformats.org/officeDocument/2006/relationships/hyperlink" Target="https://banglaproverbs.blogspot.com/" TargetMode="External"/><Relationship Id="rId39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27" Type="http://schemas.openxmlformats.org/officeDocument/2006/relationships/hyperlink" Target="https://banglaproverbs.blogspot.com/" TargetMode="External"/><Relationship Id="rId39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28" Type="http://schemas.openxmlformats.org/officeDocument/2006/relationships/hyperlink" Target="https://banglaproverbs.blogspot.com/" TargetMode="External"/><Relationship Id="rId39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29" Type="http://schemas.openxmlformats.org/officeDocument/2006/relationships/hyperlink" Target="https://banglaproverbs.blogspot.com/" TargetMode="External"/><Relationship Id="rId7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9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20" Type="http://schemas.openxmlformats.org/officeDocument/2006/relationships/hyperlink" Target="https://banglaproverbs.blogspot.com/" TargetMode="External"/><Relationship Id="rId39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10" Type="http://schemas.openxmlformats.org/officeDocument/2006/relationships/hyperlink" Target="https://banglaproverbs.blogspot.com/" TargetMode="External"/><Relationship Id="rId39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11" Type="http://schemas.openxmlformats.org/officeDocument/2006/relationships/hyperlink" Target="https://banglaproverbs.blogspot.com/" TargetMode="External"/><Relationship Id="rId39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12" Type="http://schemas.openxmlformats.org/officeDocument/2006/relationships/hyperlink" Target="https://banglaproverbs.blogspot.com/" TargetMode="External"/><Relationship Id="rId39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13" Type="http://schemas.openxmlformats.org/officeDocument/2006/relationships/hyperlink" Target="https://banglaproverbs.blogspot.com/" TargetMode="External"/><Relationship Id="rId39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14" Type="http://schemas.openxmlformats.org/officeDocument/2006/relationships/hyperlink" Target="https://banglaproverbs.blogspot.com/" TargetMode="External"/><Relationship Id="rId39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15" Type="http://schemas.openxmlformats.org/officeDocument/2006/relationships/hyperlink" Target="https://banglaproverbs.blogspot.com/" TargetMode="External"/><Relationship Id="rId39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16" Type="http://schemas.openxmlformats.org/officeDocument/2006/relationships/hyperlink" Target="https://banglaproverbs.blogspot.com/" TargetMode="External"/><Relationship Id="rId39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17" Type="http://schemas.openxmlformats.org/officeDocument/2006/relationships/hyperlink" Target="https://banglaproverbs.blogspot.com/" TargetMode="External"/><Relationship Id="rId39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18" Type="http://schemas.openxmlformats.org/officeDocument/2006/relationships/hyperlink" Target="https://banglaproverbs.blogspot.com/" TargetMode="External"/><Relationship Id="rId2619" Type="http://schemas.openxmlformats.org/officeDocument/2006/relationships/hyperlink" Target="https://banglaproverbs.blogspot.com/" TargetMode="External"/><Relationship Id="rId39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9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43" Type="http://schemas.openxmlformats.org/officeDocument/2006/relationships/hyperlink" Target="https://banglaproverbs.blogspot.com/" TargetMode="External"/><Relationship Id="rId39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44" Type="http://schemas.openxmlformats.org/officeDocument/2006/relationships/hyperlink" Target="https://banglaproverbs.blogspot.com/" TargetMode="External"/><Relationship Id="rId39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45" Type="http://schemas.openxmlformats.org/officeDocument/2006/relationships/hyperlink" Target="https://banglaproverbs.blogspot.com/" TargetMode="External"/><Relationship Id="rId39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46" Type="http://schemas.openxmlformats.org/officeDocument/2006/relationships/hyperlink" Target="https://banglaproverbs.blogspot.com/" TargetMode="External"/><Relationship Id="rId39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47" Type="http://schemas.openxmlformats.org/officeDocument/2006/relationships/hyperlink" Target="https://banglaproverbs.blogspot.com/" TargetMode="External"/><Relationship Id="rId39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48" Type="http://schemas.openxmlformats.org/officeDocument/2006/relationships/hyperlink" Target="https://banglaproverbs.blogspot.com/" TargetMode="External"/><Relationship Id="rId39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49" Type="http://schemas.openxmlformats.org/officeDocument/2006/relationships/hyperlink" Target="https://banglaproverbs.blogspot.com/" TargetMode="External"/><Relationship Id="rId13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9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40" Type="http://schemas.openxmlformats.org/officeDocument/2006/relationships/hyperlink" Target="https://banglaproverbs.blogspot.com/" TargetMode="External"/><Relationship Id="rId39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41" Type="http://schemas.openxmlformats.org/officeDocument/2006/relationships/hyperlink" Target="https://banglaproverbs.blogspot.com/" TargetMode="External"/><Relationship Id="rId39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42" Type="http://schemas.openxmlformats.org/officeDocument/2006/relationships/hyperlink" Target="https://banglaproverbs.blogspot.com/" TargetMode="External"/><Relationship Id="rId39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32" Type="http://schemas.openxmlformats.org/officeDocument/2006/relationships/hyperlink" Target="https://banglaproverbs.blogspot.com/" TargetMode="External"/><Relationship Id="rId39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33" Type="http://schemas.openxmlformats.org/officeDocument/2006/relationships/hyperlink" Target="https://banglaproverbs.blogspot.com/" TargetMode="External"/><Relationship Id="rId39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34" Type="http://schemas.openxmlformats.org/officeDocument/2006/relationships/hyperlink" Target="https://banglaproverbs.blogspot.com/" TargetMode="External"/><Relationship Id="rId39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35" Type="http://schemas.openxmlformats.org/officeDocument/2006/relationships/hyperlink" Target="https://banglaproverbs.blogspot.com/" TargetMode="External"/><Relationship Id="rId39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36" Type="http://schemas.openxmlformats.org/officeDocument/2006/relationships/hyperlink" Target="https://banglaproverbs.blogspot.com/" TargetMode="External"/><Relationship Id="rId39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37" Type="http://schemas.openxmlformats.org/officeDocument/2006/relationships/hyperlink" Target="https://banglaproverbs.blogspot.com/" TargetMode="External"/><Relationship Id="rId39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38" Type="http://schemas.openxmlformats.org/officeDocument/2006/relationships/hyperlink" Target="https://banglaproverbs.blogspot.com/" TargetMode="External"/><Relationship Id="rId13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39" Type="http://schemas.openxmlformats.org/officeDocument/2006/relationships/hyperlink" Target="https://banglaproverbs.blogspot.com/" TargetMode="External"/><Relationship Id="rId39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39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30" Type="http://schemas.openxmlformats.org/officeDocument/2006/relationships/hyperlink" Target="https://banglaproverbs.blogspot.com/" TargetMode="External"/><Relationship Id="rId39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31" Type="http://schemas.openxmlformats.org/officeDocument/2006/relationships/hyperlink" Target="https://banglaproverbs.blogspot.com/" TargetMode="External"/><Relationship Id="rId39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98" Type="http://schemas.openxmlformats.org/officeDocument/2006/relationships/hyperlink" Target="https://banglaproverbs.blogspot.com/" TargetMode="External"/><Relationship Id="rId13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99" Type="http://schemas.openxmlformats.org/officeDocument/2006/relationships/hyperlink" Target="https://banglaproverbs.blogspot.com/" TargetMode="External"/><Relationship Id="rId13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90" Type="http://schemas.openxmlformats.org/officeDocument/2006/relationships/hyperlink" Target="https://banglaproverbs.blogspot.com/" TargetMode="External"/><Relationship Id="rId13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91" Type="http://schemas.openxmlformats.org/officeDocument/2006/relationships/hyperlink" Target="https://banglaproverbs.blogspot.com/" TargetMode="External"/><Relationship Id="rId13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92" Type="http://schemas.openxmlformats.org/officeDocument/2006/relationships/hyperlink" Target="https://banglaproverbs.blogspot.com/" TargetMode="External"/><Relationship Id="rId13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93" Type="http://schemas.openxmlformats.org/officeDocument/2006/relationships/hyperlink" Target="https://banglaproverbs.blogspot.com/" TargetMode="External"/><Relationship Id="rId7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94" Type="http://schemas.openxmlformats.org/officeDocument/2006/relationships/hyperlink" Target="https://banglaproverbs.blogspot.com/" TargetMode="External"/><Relationship Id="rId7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95" Type="http://schemas.openxmlformats.org/officeDocument/2006/relationships/hyperlink" Target="https://banglaproverbs.blogspot.com/" TargetMode="External"/><Relationship Id="rId7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96" Type="http://schemas.openxmlformats.org/officeDocument/2006/relationships/hyperlink" Target="https://banglaproverbs.blogspot.com/" TargetMode="External"/><Relationship Id="rId7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697" Type="http://schemas.openxmlformats.org/officeDocument/2006/relationships/hyperlink" Target="https://banglaproverbs.blogspot.com/" TargetMode="External"/><Relationship Id="rId13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7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3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00" Type="http://schemas.openxmlformats.org/officeDocument/2006/relationships/hyperlink" Target="https://banglaproverbs.blogspot.com/" TargetMode="External"/><Relationship Id="rId2701" Type="http://schemas.openxmlformats.org/officeDocument/2006/relationships/hyperlink" Target="https://banglaproverbs.blogspot.com/" TargetMode="External"/><Relationship Id="rId2702" Type="http://schemas.openxmlformats.org/officeDocument/2006/relationships/hyperlink" Target="https://banglaproverbs.blogspot.com/" TargetMode="External"/><Relationship Id="rId2703" Type="http://schemas.openxmlformats.org/officeDocument/2006/relationships/hyperlink" Target="https://banglaproverbs.blogspot.com/" TargetMode="External"/><Relationship Id="rId2704" Type="http://schemas.openxmlformats.org/officeDocument/2006/relationships/hyperlink" Target="https://banglaproverbs.blogspot.com/" TargetMode="External"/><Relationship Id="rId2705" Type="http://schemas.openxmlformats.org/officeDocument/2006/relationships/hyperlink" Target="https://banglaproverbs.blogspot.com/" TargetMode="External"/><Relationship Id="rId2706" Type="http://schemas.openxmlformats.org/officeDocument/2006/relationships/hyperlink" Target="https://banglaproverbs.blogspot.com/" TargetMode="External"/><Relationship Id="rId2707" Type="http://schemas.openxmlformats.org/officeDocument/2006/relationships/hyperlink" Target="https://banglaproverbs.blogspot.com/" TargetMode="External"/><Relationship Id="rId2708" Type="http://schemas.openxmlformats.org/officeDocument/2006/relationships/hyperlink" Target="https://banglaproverbs.blogspot.com/" TargetMode="External"/><Relationship Id="rId2709" Type="http://schemas.openxmlformats.org/officeDocument/2006/relationships/hyperlink" Target="https://banglaproverbs.blogspot.com/" TargetMode="External"/><Relationship Id="rId62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20" Type="http://schemas.openxmlformats.org/officeDocument/2006/relationships/hyperlink" Target="https://banglaproverbs.blogspot.com/" TargetMode="External"/><Relationship Id="rId2721" Type="http://schemas.openxmlformats.org/officeDocument/2006/relationships/hyperlink" Target="https://banglaproverbs.blogspot.com/" TargetMode="External"/><Relationship Id="rId2722" Type="http://schemas.openxmlformats.org/officeDocument/2006/relationships/hyperlink" Target="https://banglaproverbs.blogspot.com/" TargetMode="External"/><Relationship Id="rId2723" Type="http://schemas.openxmlformats.org/officeDocument/2006/relationships/hyperlink" Target="https://banglaproverbs.blogspot.com/" TargetMode="External"/><Relationship Id="rId2724" Type="http://schemas.openxmlformats.org/officeDocument/2006/relationships/hyperlink" Target="https://banglaproverbs.blogspot.com/" TargetMode="External"/><Relationship Id="rId2725" Type="http://schemas.openxmlformats.org/officeDocument/2006/relationships/hyperlink" Target="https://banglaproverbs.blogspot.com/" TargetMode="External"/><Relationship Id="rId2726" Type="http://schemas.openxmlformats.org/officeDocument/2006/relationships/hyperlink" Target="https://banglaproverbs.blogspot.com/" TargetMode="External"/><Relationship Id="rId2727" Type="http://schemas.openxmlformats.org/officeDocument/2006/relationships/hyperlink" Target="https://banglaproverbs.blogspot.com/" TargetMode="External"/><Relationship Id="rId2728" Type="http://schemas.openxmlformats.org/officeDocument/2006/relationships/hyperlink" Target="https://banglaproverbs.blogspot.com/" TargetMode="External"/><Relationship Id="rId2729" Type="http://schemas.openxmlformats.org/officeDocument/2006/relationships/hyperlink" Target="https://banglaproverbs.blogspot.com/" TargetMode="External"/><Relationship Id="rId2710" Type="http://schemas.openxmlformats.org/officeDocument/2006/relationships/hyperlink" Target="https://banglaproverbs.blogspot.com/" TargetMode="External"/><Relationship Id="rId2711" Type="http://schemas.openxmlformats.org/officeDocument/2006/relationships/hyperlink" Target="https://banglaproverbs.blogspot.com/" TargetMode="External"/><Relationship Id="rId2712" Type="http://schemas.openxmlformats.org/officeDocument/2006/relationships/hyperlink" Target="https://banglaproverbs.blogspot.com/" TargetMode="External"/><Relationship Id="rId2713" Type="http://schemas.openxmlformats.org/officeDocument/2006/relationships/hyperlink" Target="https://banglaproverbs.blogspot.com/" TargetMode="External"/><Relationship Id="rId2714" Type="http://schemas.openxmlformats.org/officeDocument/2006/relationships/hyperlink" Target="https://banglaproverbs.blogspot.com/" TargetMode="External"/><Relationship Id="rId2715" Type="http://schemas.openxmlformats.org/officeDocument/2006/relationships/hyperlink" Target="https://banglaproverbs.blogspot.com/" TargetMode="External"/><Relationship Id="rId2716" Type="http://schemas.openxmlformats.org/officeDocument/2006/relationships/hyperlink" Target="https://banglaproverbs.blogspot.com/" TargetMode="External"/><Relationship Id="rId2717" Type="http://schemas.openxmlformats.org/officeDocument/2006/relationships/hyperlink" Target="https://banglaproverbs.blogspot.com/" TargetMode="External"/><Relationship Id="rId2718" Type="http://schemas.openxmlformats.org/officeDocument/2006/relationships/hyperlink" Target="https://banglaproverbs.blogspot.com/" TargetMode="External"/><Relationship Id="rId2719" Type="http://schemas.openxmlformats.org/officeDocument/2006/relationships/hyperlink" Target="https://banglaproverbs.blogspot.com/" TargetMode="External"/><Relationship Id="rId62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4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86" Type="http://schemas.openxmlformats.org/officeDocument/2006/relationships/hyperlink" Target="https://banglaproverbs.blogspot.com/" TargetMode="External"/><Relationship Id="rId14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87" Type="http://schemas.openxmlformats.org/officeDocument/2006/relationships/hyperlink" Target="https://banglaproverbs.blogspot.com/" TargetMode="External"/><Relationship Id="rId14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88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14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89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14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80" Type="http://schemas.openxmlformats.org/officeDocument/2006/relationships/hyperlink" Target="https://banglaproverbs.blogspot.com/" TargetMode="External"/><Relationship Id="rId14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81" Type="http://schemas.openxmlformats.org/officeDocument/2006/relationships/hyperlink" Target="https://banglaproverbs.blogspot.com/" TargetMode="External"/><Relationship Id="rId6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4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82" Type="http://schemas.openxmlformats.org/officeDocument/2006/relationships/hyperlink" Target="https://banglaproverbs.blogspot.com/" TargetMode="External"/><Relationship Id="rId14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83" Type="http://schemas.openxmlformats.org/officeDocument/2006/relationships/hyperlink" Target="https://banglaproverbs.blogspot.com/" TargetMode="External"/><Relationship Id="rId14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84" Type="http://schemas.openxmlformats.org/officeDocument/2006/relationships/hyperlink" Target="https://banglaproverbs.blogspot.com/" TargetMode="External"/><Relationship Id="rId14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85" Type="http://schemas.openxmlformats.org/officeDocument/2006/relationships/hyperlink" Target="https://banglaproverbs.blogspot.com/" TargetMode="External"/><Relationship Id="rId14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75" Type="http://schemas.openxmlformats.org/officeDocument/2006/relationships/hyperlink" Target="https://banglaproverbs.blogspot.com/" TargetMode="External"/><Relationship Id="rId14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76" Type="http://schemas.openxmlformats.org/officeDocument/2006/relationships/hyperlink" Target="https://banglaproverbs.blogspot.com/" TargetMode="External"/><Relationship Id="rId14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77" Type="http://schemas.openxmlformats.org/officeDocument/2006/relationships/hyperlink" Target="https://banglaproverbs.blogspot.com/" TargetMode="External"/><Relationship Id="rId14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78" Type="http://schemas.openxmlformats.org/officeDocument/2006/relationships/hyperlink" Target="https://banglaproverbs.blogspot.com/" TargetMode="External"/><Relationship Id="rId14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79" Type="http://schemas.openxmlformats.org/officeDocument/2006/relationships/hyperlink" Target="https://banglaproverbs.blogspot.com/" TargetMode="External"/><Relationship Id="rId14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70" Type="http://schemas.openxmlformats.org/officeDocument/2006/relationships/hyperlink" Target="https://banglaproverbs.blogspot.com/" TargetMode="External"/><Relationship Id="rId14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71" Type="http://schemas.openxmlformats.org/officeDocument/2006/relationships/hyperlink" Target="https://banglaproverbs.blogspot.com/" TargetMode="External"/><Relationship Id="rId14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72" Type="http://schemas.openxmlformats.org/officeDocument/2006/relationships/hyperlink" Target="https://banglaproverbs.blogspot.com/" TargetMode="External"/><Relationship Id="rId14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73" Type="http://schemas.openxmlformats.org/officeDocument/2006/relationships/hyperlink" Target="https://banglaproverbs.blogspot.com/" TargetMode="External"/><Relationship Id="rId14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74" Type="http://schemas.openxmlformats.org/officeDocument/2006/relationships/hyperlink" Target="https://banglaproverbs.blogspot.com/" TargetMode="External"/><Relationship Id="rId14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4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4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4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4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4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4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4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4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4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4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97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14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98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14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99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14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90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14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91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14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92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6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4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93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6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4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94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14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95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14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96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14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42" Type="http://schemas.openxmlformats.org/officeDocument/2006/relationships/hyperlink" Target="https://banglaproverbs.blogspot.com/" TargetMode="External"/><Relationship Id="rId14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43" Type="http://schemas.openxmlformats.org/officeDocument/2006/relationships/hyperlink" Target="https://banglaproverbs.blogspot.com/" TargetMode="External"/><Relationship Id="rId14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44" Type="http://schemas.openxmlformats.org/officeDocument/2006/relationships/hyperlink" Target="https://banglaproverbs.blogspot.com/" TargetMode="External"/><Relationship Id="rId14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45" Type="http://schemas.openxmlformats.org/officeDocument/2006/relationships/hyperlink" Target="https://banglaproverbs.blogspot.com/" TargetMode="External"/><Relationship Id="rId14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46" Type="http://schemas.openxmlformats.org/officeDocument/2006/relationships/hyperlink" Target="https://banglaproverbs.blogspot.com/" TargetMode="External"/><Relationship Id="rId14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47" Type="http://schemas.openxmlformats.org/officeDocument/2006/relationships/hyperlink" Target="https://banglaproverbs.blogspot.com/" TargetMode="External"/><Relationship Id="rId14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48" Type="http://schemas.openxmlformats.org/officeDocument/2006/relationships/hyperlink" Target="https://banglaproverbs.blogspot.com/" TargetMode="External"/><Relationship Id="rId14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49" Type="http://schemas.openxmlformats.org/officeDocument/2006/relationships/hyperlink" Target="https://banglaproverbs.blogspot.com/" TargetMode="External"/><Relationship Id="rId14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40" Type="http://schemas.openxmlformats.org/officeDocument/2006/relationships/hyperlink" Target="https://banglaproverbs.blogspot.com/" TargetMode="External"/><Relationship Id="rId14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41" Type="http://schemas.openxmlformats.org/officeDocument/2006/relationships/hyperlink" Target="https://banglaproverbs.blogspot.com/" TargetMode="External"/><Relationship Id="rId14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31" Type="http://schemas.openxmlformats.org/officeDocument/2006/relationships/hyperlink" Target="https://banglaproverbs.blogspot.com/" TargetMode="External"/><Relationship Id="rId14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32" Type="http://schemas.openxmlformats.org/officeDocument/2006/relationships/hyperlink" Target="https://banglaproverbs.blogspot.com/" TargetMode="External"/><Relationship Id="rId14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33" Type="http://schemas.openxmlformats.org/officeDocument/2006/relationships/hyperlink" Target="https://banglaproverbs.blogspot.com/" TargetMode="External"/><Relationship Id="rId14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34" Type="http://schemas.openxmlformats.org/officeDocument/2006/relationships/hyperlink" Target="https://banglaproverbs.blogspot.com/" TargetMode="External"/><Relationship Id="rId14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35" Type="http://schemas.openxmlformats.org/officeDocument/2006/relationships/hyperlink" Target="https://banglaproverbs.blogspot.com/" TargetMode="External"/><Relationship Id="rId14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36" Type="http://schemas.openxmlformats.org/officeDocument/2006/relationships/hyperlink" Target="https://banglaproverbs.blogspot.com/" TargetMode="External"/><Relationship Id="rId14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37" Type="http://schemas.openxmlformats.org/officeDocument/2006/relationships/hyperlink" Target="https://banglaproverbs.blogspot.com/" TargetMode="External"/><Relationship Id="rId14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38" Type="http://schemas.openxmlformats.org/officeDocument/2006/relationships/hyperlink" Target="https://banglaproverbs.blogspot.com/" TargetMode="External"/><Relationship Id="rId14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39" Type="http://schemas.openxmlformats.org/officeDocument/2006/relationships/hyperlink" Target="https://banglaproverbs.blogspot.com/" TargetMode="External"/><Relationship Id="rId14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30" Type="http://schemas.openxmlformats.org/officeDocument/2006/relationships/hyperlink" Target="https://banglaproverbs.blogspot.com/" TargetMode="External"/><Relationship Id="rId14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64" Type="http://schemas.openxmlformats.org/officeDocument/2006/relationships/hyperlink" Target="https://banglaproverbs.blogspot.com/" TargetMode="External"/><Relationship Id="rId14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65" Type="http://schemas.openxmlformats.org/officeDocument/2006/relationships/hyperlink" Target="https://banglaproverbs.blogspot.com/" TargetMode="External"/><Relationship Id="rId14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66" Type="http://schemas.openxmlformats.org/officeDocument/2006/relationships/hyperlink" Target="https://banglaproverbs.blogspot.com/" TargetMode="External"/><Relationship Id="rId14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67" Type="http://schemas.openxmlformats.org/officeDocument/2006/relationships/hyperlink" Target="https://banglaproverbs.blogspot.com/" TargetMode="External"/><Relationship Id="rId14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68" Type="http://schemas.openxmlformats.org/officeDocument/2006/relationships/hyperlink" Target="https://banglaproverbs.blogspot.com/" TargetMode="External"/><Relationship Id="rId14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69" Type="http://schemas.openxmlformats.org/officeDocument/2006/relationships/hyperlink" Target="https://banglaproverbs.blogspot.com/" TargetMode="External"/><Relationship Id="rId14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60" Type="http://schemas.openxmlformats.org/officeDocument/2006/relationships/hyperlink" Target="https://banglaproverbs.blogspot.com/" TargetMode="External"/><Relationship Id="rId14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61" Type="http://schemas.openxmlformats.org/officeDocument/2006/relationships/hyperlink" Target="https://banglaproverbs.blogspot.com/" TargetMode="External"/><Relationship Id="rId14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62" Type="http://schemas.openxmlformats.org/officeDocument/2006/relationships/hyperlink" Target="https://banglaproverbs.blogspot.com/" TargetMode="External"/><Relationship Id="rId14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63" Type="http://schemas.openxmlformats.org/officeDocument/2006/relationships/hyperlink" Target="https://banglaproverbs.blogspot.com/" TargetMode="External"/><Relationship Id="rId14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53" Type="http://schemas.openxmlformats.org/officeDocument/2006/relationships/hyperlink" Target="https://banglaproverbs.blogspot.com/" TargetMode="External"/><Relationship Id="rId14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54" Type="http://schemas.openxmlformats.org/officeDocument/2006/relationships/hyperlink" Target="https://banglaproverbs.blogspot.com/" TargetMode="External"/><Relationship Id="rId14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55" Type="http://schemas.openxmlformats.org/officeDocument/2006/relationships/hyperlink" Target="https://banglaproverbs.blogspot.com/" TargetMode="External"/><Relationship Id="rId14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56" Type="http://schemas.openxmlformats.org/officeDocument/2006/relationships/hyperlink" Target="https://banglaproverbs.blogspot.com/" TargetMode="External"/><Relationship Id="rId14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57" Type="http://schemas.openxmlformats.org/officeDocument/2006/relationships/hyperlink" Target="https://banglaproverbs.blogspot.com/" TargetMode="External"/><Relationship Id="rId14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58" Type="http://schemas.openxmlformats.org/officeDocument/2006/relationships/hyperlink" Target="https://banglaproverbs.blogspot.com/" TargetMode="External"/><Relationship Id="rId14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59" Type="http://schemas.openxmlformats.org/officeDocument/2006/relationships/hyperlink" Target="https://banglaproverbs.blogspot.com/" TargetMode="External"/><Relationship Id="rId14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50" Type="http://schemas.openxmlformats.org/officeDocument/2006/relationships/hyperlink" Target="https://banglaproverbs.blogspot.com/" TargetMode="External"/><Relationship Id="rId14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51" Type="http://schemas.openxmlformats.org/officeDocument/2006/relationships/hyperlink" Target="https://banglaproverbs.blogspot.com/" TargetMode="External"/><Relationship Id="rId14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752" Type="http://schemas.openxmlformats.org/officeDocument/2006/relationships/hyperlink" Target="https://banglaproverbs.blogspot.com/" TargetMode="External"/><Relationship Id="rId6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4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4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4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4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4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4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4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4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4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4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4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4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4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4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4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4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4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4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4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4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20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2821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2822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2823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2824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2825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2826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2827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2828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2829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50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10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2811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2812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2813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2814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2815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2816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2817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2818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2819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50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5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41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15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42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15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43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15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44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15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45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15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46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15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47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15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48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15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49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15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40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2830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15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31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15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32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15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33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15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34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15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35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15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36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15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37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15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38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15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39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15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00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2801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2802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2803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2804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2805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2806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2807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2808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2809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50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0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3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5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5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5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5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5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5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5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5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5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5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5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5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5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5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5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5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5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5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5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5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5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5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5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5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5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5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5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5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5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5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5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5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5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5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5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5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5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5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5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5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5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63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15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64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15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65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15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66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15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67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15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68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15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69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15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60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15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61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15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62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15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52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15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53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15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54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15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55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15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56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15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57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15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58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15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59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15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50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15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51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15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5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5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5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5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5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80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9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5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81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9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5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82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15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83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15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84" Type="http://schemas.openxmlformats.org/officeDocument/2006/relationships/hyperlink" Target="https://www.teachers.gov.bd/blog/details/693061" TargetMode="External"/><Relationship Id="rId15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74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15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75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15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76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15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77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15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78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15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79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15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70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15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71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15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72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15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873" Type="http://schemas.openxmlformats.org/officeDocument/2006/relationships/hyperlink" Target="https://bn.wikisource.org/wiki/%E0%A6%AA%E0%A7%8D%E0%A6%B0%E0%A6%AC%E0%A6%BE%E0%A6%A6_%E0%A6%AE%E0%A6%BE%E0%A6%B2%E0%A6%BE_(%E0%A7%A7%E0%A7%AE%E0%A7%AF%E0%A7%AA)" TargetMode="External"/><Relationship Id="rId64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9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4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51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5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8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5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8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5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8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5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8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5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8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5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8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5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8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5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8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5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8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5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8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7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7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7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7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7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4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4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4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4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4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4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4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4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4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7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4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7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7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7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7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6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6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6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6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6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6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3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3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3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3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3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3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3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3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3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3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6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6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6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166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29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0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0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0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0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0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0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0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0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0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0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2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2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2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2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2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2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2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2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2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2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1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1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1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1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1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1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1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1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1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651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99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98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97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96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91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90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95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94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93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Relationship Id="rId892" Type="http://schemas.openxmlformats.org/officeDocument/2006/relationships/hyperlink" Target="https://bn.wikipedia.org/wiki/%E0%A6%AC%E0%A6%BE%E0%A6%82%E0%A6%B2%E0%A6%BE_%E0%A6%AA%E0%A7%8D%E0%A6%B0%E0%A6%AC%E0%A6%BE%E0%A6%A6-%E0%A6%AA%E0%A7%8D%E0%A6%B0%E0%A6%AC%E0%A6%9A%E0%A6%A8%E0%A7%87%E0%A6%B0_%E0%A6%A4%E0%A6%BE%E0%A6%B2%E0%A6%BF%E0%A6%95%E0%A6%B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4.13"/>
    <col customWidth="1" min="3" max="3" width="52.25"/>
    <col customWidth="1" min="4" max="4" width="58.63"/>
    <col customWidth="1" min="14" max="14" width="93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</row>
    <row r="2">
      <c r="A2" s="4">
        <v>1.0</v>
      </c>
      <c r="B2" s="2" t="s">
        <v>17</v>
      </c>
      <c r="C2" s="2" t="s">
        <v>18</v>
      </c>
      <c r="D2" s="2" t="s">
        <v>19</v>
      </c>
      <c r="E2" s="2" t="s">
        <v>20</v>
      </c>
      <c r="F2" s="2" t="b">
        <v>1</v>
      </c>
      <c r="G2" s="2" t="b">
        <v>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/>
      <c r="P2" s="5" t="str">
        <f>IFERROR(__xludf.DUMMYFUNCTION("TEXTJOIN("" | "",TRUE,IF(OR(D2="""",E2="""",I2="""",J2="""",H2=""""),""ফাঁকা ঘর"",""""),IF(AND(C2&lt;&gt;"""",D2&lt;&gt;"""",C2=D2),""gloss=figurative"",""""),IF(LEN(D2)&lt;15,""figurative ছোট"",""""),IF(AND(I2=""Positive"",REGEXMATCH(H2,""মূর্খ|ভণ্ড|প্রতার|অলস|লোভ|স্বা"&amp;"র্থ|অক্ষম|অযোগ্য|বোকা|কৃপণ|হিংস"")),""valence-target অমিল"",""""),IF(COUNTIF($B:$B,B2)&gt;1,""ডুপ্লিকেট"",""""))"),"ডুপ্লিকেট")</f>
        <v>ডুপ্লিকেট</v>
      </c>
      <c r="Q2" s="5" t="str">
        <f t="shared" ref="Q2:Q7977" si="1">IF(P2="","২ পরে","১ আগে দেখো")</f>
        <v>১ আগে দেখো</v>
      </c>
    </row>
    <row r="3">
      <c r="A3" s="4">
        <v>4.0</v>
      </c>
      <c r="B3" s="2" t="s">
        <v>27</v>
      </c>
      <c r="C3" s="2" t="s">
        <v>28</v>
      </c>
      <c r="D3" s="2" t="s">
        <v>29</v>
      </c>
      <c r="E3" s="2" t="s">
        <v>30</v>
      </c>
      <c r="F3" s="2" t="b">
        <v>1</v>
      </c>
      <c r="G3" s="2" t="b">
        <v>0</v>
      </c>
      <c r="H3" s="2" t="s">
        <v>31</v>
      </c>
      <c r="I3" s="2" t="s">
        <v>32</v>
      </c>
      <c r="J3" s="2" t="s">
        <v>33</v>
      </c>
      <c r="K3" s="2" t="s">
        <v>24</v>
      </c>
      <c r="L3" s="2" t="s">
        <v>25</v>
      </c>
      <c r="M3" s="2" t="s">
        <v>26</v>
      </c>
      <c r="N3" s="2"/>
      <c r="P3" s="5" t="str">
        <f>IFERROR(__xludf.DUMMYFUNCTION("TEXTJOIN("" | "",TRUE,IF(OR(D3="""",E3="""",I3="""",J3="""",H3=""""),""ফাঁকা ঘর"",""""),IF(AND(C3&lt;&gt;"""",D3&lt;&gt;"""",C3=D3),""gloss=figurative"",""""),IF(LEN(D3)&lt;15,""figurative ছোট"",""""),IF(AND(I3=""Positive"",REGEXMATCH(H3,""মূর্খ|ভণ্ড|প্রতার|অলস|লোভ|স্বা"&amp;"র্থ|অক্ষম|অযোগ্য|বোকা|কৃপণ|হিংস"")),""valence-target অমিল"",""""),IF(COUNTIF($B:$B,B3)&gt;1,""ডুপ্লিকেট"",""""))"),"ডুপ্লিকেট")</f>
        <v>ডুপ্লিকেট</v>
      </c>
      <c r="Q3" s="5" t="str">
        <f t="shared" si="1"/>
        <v>১ আগে দেখো</v>
      </c>
    </row>
    <row r="4">
      <c r="A4" s="3">
        <v>11.0</v>
      </c>
      <c r="B4" s="3" t="s">
        <v>34</v>
      </c>
      <c r="C4" s="3" t="s">
        <v>34</v>
      </c>
      <c r="D4" s="3" t="s">
        <v>35</v>
      </c>
      <c r="E4" s="6" t="s">
        <v>36</v>
      </c>
      <c r="F4" s="3" t="b">
        <v>1</v>
      </c>
      <c r="G4" s="3" t="b">
        <v>0</v>
      </c>
      <c r="H4" s="2" t="s">
        <v>37</v>
      </c>
      <c r="I4" s="3" t="s">
        <v>32</v>
      </c>
      <c r="J4" s="2" t="s">
        <v>37</v>
      </c>
      <c r="K4" s="2" t="s">
        <v>24</v>
      </c>
      <c r="L4" s="2" t="s">
        <v>25</v>
      </c>
      <c r="M4" s="3" t="s">
        <v>38</v>
      </c>
      <c r="P4" s="5" t="str">
        <f>IFERROR(__xludf.DUMMYFUNCTION("TEXTJOIN("" | "",TRUE,IF(OR(D4="""",E4="""",I4="""",J4="""",H4=""""),""ফাঁকা ঘর"",""""),IF(AND(C4&lt;&gt;"""",D4&lt;&gt;"""",C4=D4),""gloss=figurative"",""""),IF(LEN(D4)&lt;15,""figurative ছোট"",""""),IF(AND(I4=""Positive"",REGEXMATCH(H4,""মূর্খ|ভণ্ড|প্রতার|অলস|লোভ|স্বা"&amp;"র্থ|অক্ষম|অযোগ্য|বোকা|কৃপণ|হিংস"")),""valence-target অমিল"",""""),IF(COUNTIF($B:$B,B4)&gt;1,""ডুপ্লিকেট"",""""))"),"ডুপ্লিকেট")</f>
        <v>ডুপ্লিকেট</v>
      </c>
      <c r="Q4" s="5" t="str">
        <f t="shared" si="1"/>
        <v>১ আগে দেখো</v>
      </c>
    </row>
    <row r="5">
      <c r="A5" s="7">
        <v>15.0</v>
      </c>
      <c r="B5" s="8" t="s">
        <v>39</v>
      </c>
      <c r="C5" s="8" t="s">
        <v>39</v>
      </c>
      <c r="D5" s="3" t="s">
        <v>40</v>
      </c>
      <c r="E5" s="7" t="s">
        <v>41</v>
      </c>
      <c r="F5" s="3" t="b">
        <v>1</v>
      </c>
      <c r="G5" s="3" t="b">
        <v>0</v>
      </c>
      <c r="H5" s="3" t="s">
        <v>42</v>
      </c>
      <c r="I5" s="3" t="s">
        <v>22</v>
      </c>
      <c r="J5" s="3" t="s">
        <v>43</v>
      </c>
      <c r="K5" s="2" t="s">
        <v>24</v>
      </c>
      <c r="L5" s="2" t="s">
        <v>25</v>
      </c>
      <c r="M5" s="3" t="s">
        <v>38</v>
      </c>
      <c r="N5" s="9"/>
      <c r="O5" s="9"/>
      <c r="P5" s="5" t="str">
        <f>IFERROR(__xludf.DUMMYFUNCTION("TEXTJOIN("" | "",TRUE,IF(OR(D5="""",E5="""",I5="""",J5="""",H5=""""),""ফাঁকা ঘর"",""""),IF(AND(C5&lt;&gt;"""",D5&lt;&gt;"""",C5=D5),""gloss=figurative"",""""),IF(LEN(D5)&lt;15,""figurative ছোট"",""""),IF(AND(I5=""Positive"",REGEXMATCH(H5,""মূর্খ|ভণ্ড|প্রতার|অলস|লোভ|স্বা"&amp;"র্থ|অক্ষম|অযোগ্য|বোকা|কৃপণ|হিংস"")),""valence-target অমিল"",""""),IF(COUNTIF($B:$B,B5)&gt;1,""ডুপ্লিকেট"",""""))"),"ডুপ্লিকেট")</f>
        <v>ডুপ্লিকেট</v>
      </c>
      <c r="Q5" s="5" t="str">
        <f t="shared" si="1"/>
        <v>১ আগে দেখো</v>
      </c>
    </row>
    <row r="6">
      <c r="A6" s="4">
        <v>53.0</v>
      </c>
      <c r="B6" s="2" t="s">
        <v>44</v>
      </c>
      <c r="C6" s="2" t="s">
        <v>45</v>
      </c>
      <c r="D6" s="2" t="s">
        <v>46</v>
      </c>
      <c r="E6" s="2" t="s">
        <v>47</v>
      </c>
      <c r="F6" s="2" t="b">
        <v>1</v>
      </c>
      <c r="G6" s="2" t="b">
        <v>0</v>
      </c>
      <c r="H6" s="2" t="s">
        <v>48</v>
      </c>
      <c r="I6" s="2" t="s">
        <v>49</v>
      </c>
      <c r="J6" s="2" t="s">
        <v>50</v>
      </c>
      <c r="K6" s="2" t="s">
        <v>24</v>
      </c>
      <c r="L6" s="10" t="s">
        <v>51</v>
      </c>
      <c r="M6" s="2" t="s">
        <v>26</v>
      </c>
      <c r="N6" s="11" t="s">
        <v>52</v>
      </c>
      <c r="O6" s="12" t="s">
        <v>53</v>
      </c>
      <c r="P6" s="5" t="str">
        <f>IFERROR(__xludf.DUMMYFUNCTION("TEXTJOIN("" | "",TRUE,IF(OR(D6="""",E6="""",I6="""",J6="""",H6=""""),""ফাঁকা ঘর"",""""),IF(AND(C6&lt;&gt;"""",D6&lt;&gt;"""",C6=D6),""gloss=figurative"",""""),IF(LEN(D6)&lt;15,""figurative ছোট"",""""),IF(AND(I6=""Positive"",REGEXMATCH(H6,""মূর্খ|ভণ্ড|প্রতার|অলস|লোভ|স্বা"&amp;"র্থ|অক্ষম|অযোগ্য|বোকা|কৃপণ|হিংস"")),""valence-target অমিল"",""""),IF(COUNTIF($B:$B,B6)&gt;1,""ডুপ্লিকেট"",""""))"),"valence-target অমিল")</f>
        <v>valence-target অমিল</v>
      </c>
      <c r="Q6" s="5" t="str">
        <f t="shared" si="1"/>
        <v>১ আগে দেখো</v>
      </c>
    </row>
    <row r="7">
      <c r="A7" s="4">
        <v>72.0</v>
      </c>
      <c r="B7" s="2" t="s">
        <v>54</v>
      </c>
      <c r="C7" s="2" t="s">
        <v>55</v>
      </c>
      <c r="D7" s="2" t="s">
        <v>56</v>
      </c>
      <c r="E7" s="2" t="s">
        <v>57</v>
      </c>
      <c r="F7" s="2" t="b">
        <v>1</v>
      </c>
      <c r="G7" s="2" t="b">
        <v>0</v>
      </c>
      <c r="H7" s="2" t="s">
        <v>58</v>
      </c>
      <c r="I7" s="2" t="s">
        <v>22</v>
      </c>
      <c r="J7" s="2" t="s">
        <v>59</v>
      </c>
      <c r="K7" s="2" t="s">
        <v>24</v>
      </c>
      <c r="L7" s="13" t="s">
        <v>51</v>
      </c>
      <c r="M7" s="2" t="s">
        <v>26</v>
      </c>
      <c r="N7" s="11" t="s">
        <v>60</v>
      </c>
      <c r="O7" s="12" t="s">
        <v>53</v>
      </c>
      <c r="P7" s="5" t="str">
        <f>IFERROR(__xludf.DUMMYFUNCTION("TEXTJOIN("" | "",TRUE,IF(OR(D7="""",E7="""",I7="""",J7="""",H7=""""),""ফাঁকা ঘর"",""""),IF(AND(C7&lt;&gt;"""",D7&lt;&gt;"""",C7=D7),""gloss=figurative"",""""),IF(LEN(D7)&lt;15,""figurative ছোট"",""""),IF(AND(I7=""Positive"",REGEXMATCH(H7,""মূর্খ|ভণ্ড|প্রতার|অলস|লোভ|স্বা"&amp;"র্থ|অক্ষম|অযোগ্য|বোকা|কৃপণ|হিংস"")),""valence-target অমিল"",""""),IF(COUNTIF($B:$B,B7)&gt;1,""ডুপ্লিকেট"",""""))"),"ডুপ্লিকেট")</f>
        <v>ডুপ্লিকেট</v>
      </c>
      <c r="Q7" s="5" t="str">
        <f t="shared" si="1"/>
        <v>১ আগে দেখো</v>
      </c>
    </row>
    <row r="8">
      <c r="A8" s="4">
        <v>77.0</v>
      </c>
      <c r="B8" s="2" t="s">
        <v>61</v>
      </c>
      <c r="C8" s="2" t="s">
        <v>62</v>
      </c>
      <c r="D8" s="2" t="s">
        <v>63</v>
      </c>
      <c r="E8" s="2" t="s">
        <v>64</v>
      </c>
      <c r="F8" s="2" t="b">
        <v>1</v>
      </c>
      <c r="G8" s="2" t="b">
        <v>0</v>
      </c>
      <c r="H8" s="2" t="s">
        <v>65</v>
      </c>
      <c r="I8" s="2" t="s">
        <v>22</v>
      </c>
      <c r="J8" s="2" t="s">
        <v>59</v>
      </c>
      <c r="K8" s="2" t="s">
        <v>24</v>
      </c>
      <c r="L8" s="13" t="s">
        <v>51</v>
      </c>
      <c r="M8" s="2" t="s">
        <v>26</v>
      </c>
      <c r="N8" s="11" t="s">
        <v>66</v>
      </c>
      <c r="O8" s="12" t="s">
        <v>53</v>
      </c>
      <c r="P8" s="5" t="str">
        <f>IFERROR(__xludf.DUMMYFUNCTION("TEXTJOIN("" | "",TRUE,IF(OR(D8="""",E8="""",I8="""",J8="""",H8=""""),""ফাঁকা ঘর"",""""),IF(AND(C8&lt;&gt;"""",D8&lt;&gt;"""",C8=D8),""gloss=figurative"",""""),IF(LEN(D8)&lt;15,""figurative ছোট"",""""),IF(AND(I8=""Positive"",REGEXMATCH(H8,""মূর্খ|ভণ্ড|প্রতার|অলস|লোভ|স্বা"&amp;"র্থ|অক্ষম|অযোগ্য|বোকা|কৃপণ|হিংস"")),""valence-target অমিল"",""""),IF(COUNTIF($B:$B,B8)&gt;1,""ডুপ্লিকেট"",""""))"),"ডুপ্লিকেট")</f>
        <v>ডুপ্লিকেট</v>
      </c>
      <c r="Q8" s="5" t="str">
        <f t="shared" si="1"/>
        <v>১ আগে দেখো</v>
      </c>
    </row>
    <row r="9">
      <c r="A9" s="4">
        <v>89.0</v>
      </c>
      <c r="B9" s="2" t="s">
        <v>67</v>
      </c>
      <c r="C9" s="2" t="s">
        <v>68</v>
      </c>
      <c r="D9" s="2" t="s">
        <v>69</v>
      </c>
      <c r="E9" s="2" t="s">
        <v>70</v>
      </c>
      <c r="F9" s="2" t="b">
        <v>1</v>
      </c>
      <c r="G9" s="2" t="b">
        <v>0</v>
      </c>
      <c r="H9" s="2" t="s">
        <v>37</v>
      </c>
      <c r="I9" s="2" t="s">
        <v>32</v>
      </c>
      <c r="J9" s="2" t="s">
        <v>71</v>
      </c>
      <c r="K9" s="2" t="s">
        <v>24</v>
      </c>
      <c r="L9" s="13" t="s">
        <v>51</v>
      </c>
      <c r="M9" s="2" t="s">
        <v>26</v>
      </c>
      <c r="N9" s="11" t="s">
        <v>72</v>
      </c>
      <c r="O9" s="12" t="s">
        <v>53</v>
      </c>
      <c r="P9" s="5" t="str">
        <f>IFERROR(__xludf.DUMMYFUNCTION("TEXTJOIN("" | "",TRUE,IF(OR(D9="""",E9="""",I9="""",J9="""",H9=""""),""ফাঁকা ঘর"",""""),IF(AND(C9&lt;&gt;"""",D9&lt;&gt;"""",C9=D9),""gloss=figurative"",""""),IF(LEN(D9)&lt;15,""figurative ছোট"",""""),IF(AND(I9=""Positive"",REGEXMATCH(H9,""মূর্খ|ভণ্ড|প্রতার|অলস|লোভ|স্বা"&amp;"র্থ|অক্ষম|অযোগ্য|বোকা|কৃপণ|হিংস"")),""valence-target অমিল"",""""),IF(COUNTIF($B:$B,B9)&gt;1,""ডুপ্লিকেট"",""""))"),"ডুপ্লিকেট")</f>
        <v>ডুপ্লিকেট</v>
      </c>
      <c r="Q9" s="5" t="str">
        <f t="shared" si="1"/>
        <v>১ আগে দেখো</v>
      </c>
    </row>
    <row r="10">
      <c r="A10" s="4">
        <v>113.0</v>
      </c>
      <c r="B10" s="2" t="s">
        <v>73</v>
      </c>
      <c r="C10" s="2" t="s">
        <v>74</v>
      </c>
      <c r="D10" s="2" t="s">
        <v>75</v>
      </c>
      <c r="E10" s="2" t="s">
        <v>76</v>
      </c>
      <c r="F10" s="2" t="b">
        <v>1</v>
      </c>
      <c r="G10" s="2" t="b">
        <v>0</v>
      </c>
      <c r="H10" s="2" t="s">
        <v>77</v>
      </c>
      <c r="I10" s="2" t="s">
        <v>22</v>
      </c>
      <c r="J10" s="2" t="s">
        <v>59</v>
      </c>
      <c r="K10" s="2" t="s">
        <v>24</v>
      </c>
      <c r="L10" s="13" t="s">
        <v>51</v>
      </c>
      <c r="M10" s="2" t="s">
        <v>26</v>
      </c>
      <c r="N10" s="11" t="s">
        <v>78</v>
      </c>
      <c r="O10" s="12" t="s">
        <v>53</v>
      </c>
      <c r="P10" s="5" t="str">
        <f>IFERROR(__xludf.DUMMYFUNCTION("TEXTJOIN("" | "",TRUE,IF(OR(D10="""",E10="""",I10="""",J10="""",H10=""""),""ফাঁকা ঘর"",""""),IF(AND(C10&lt;&gt;"""",D10&lt;&gt;"""",C10=D10),""gloss=figurative"",""""),IF(LEN(D10)&lt;15,""figurative ছোট"",""""),IF(AND(I10=""Positive"",REGEXMATCH(H10,""মূর্খ|ভণ্ড|প্রতার|"&amp;"অলস|লোভ|স্বার্থ|অক্ষম|অযোগ্য|বোকা|কৃপণ|হিংস"")),""valence-target অমিল"",""""),IF(COUNTIF($B:$B,B10)&gt;1,""ডুপ্লিকেট"",""""))"),"ডুপ্লিকেট")</f>
        <v>ডুপ্লিকেট</v>
      </c>
      <c r="Q10" s="5" t="str">
        <f t="shared" si="1"/>
        <v>১ আগে দেখো</v>
      </c>
    </row>
    <row r="11">
      <c r="A11" s="4">
        <v>124.0</v>
      </c>
      <c r="B11" s="2" t="s">
        <v>79</v>
      </c>
      <c r="C11" s="2" t="s">
        <v>80</v>
      </c>
      <c r="D11" s="2" t="s">
        <v>81</v>
      </c>
      <c r="E11" s="2" t="s">
        <v>82</v>
      </c>
      <c r="F11" s="2" t="b">
        <v>1</v>
      </c>
      <c r="G11" s="2" t="b">
        <v>0</v>
      </c>
      <c r="H11" s="2" t="s">
        <v>83</v>
      </c>
      <c r="I11" s="2" t="s">
        <v>49</v>
      </c>
      <c r="J11" s="2" t="s">
        <v>50</v>
      </c>
      <c r="K11" s="2" t="s">
        <v>24</v>
      </c>
      <c r="L11" s="13" t="s">
        <v>51</v>
      </c>
      <c r="M11" s="2" t="s">
        <v>26</v>
      </c>
      <c r="N11" s="11" t="s">
        <v>84</v>
      </c>
      <c r="O11" s="12" t="s">
        <v>53</v>
      </c>
      <c r="P11" s="5" t="str">
        <f>IFERROR(__xludf.DUMMYFUNCTION("TEXTJOIN("" | "",TRUE,IF(OR(D11="""",E11="""",I11="""",J11="""",H11=""""),""ফাঁকা ঘর"",""""),IF(AND(C11&lt;&gt;"""",D11&lt;&gt;"""",C11=D11),""gloss=figurative"",""""),IF(LEN(D11)&lt;15,""figurative ছোট"",""""),IF(AND(I11=""Positive"",REGEXMATCH(H11,""মূর্খ|ভণ্ড|প্রতার|"&amp;"অলস|লোভ|স্বার্থ|অক্ষম|অযোগ্য|বোকা|কৃপণ|হিংস"")),""valence-target অমিল"",""""),IF(COUNTIF($B:$B,B11)&gt;1,""ডুপ্লিকেট"",""""))"),"valence-target অমিল")</f>
        <v>valence-target অমিল</v>
      </c>
      <c r="Q11" s="5" t="str">
        <f t="shared" si="1"/>
        <v>১ আগে দেখো</v>
      </c>
    </row>
    <row r="12">
      <c r="A12" s="4">
        <v>140.0</v>
      </c>
      <c r="B12" s="2" t="s">
        <v>85</v>
      </c>
      <c r="C12" s="2" t="s">
        <v>86</v>
      </c>
      <c r="D12" s="2" t="s">
        <v>87</v>
      </c>
      <c r="E12" s="2" t="s">
        <v>88</v>
      </c>
      <c r="F12" s="2" t="b">
        <v>1</v>
      </c>
      <c r="G12" s="2" t="b">
        <v>0</v>
      </c>
      <c r="H12" s="2" t="s">
        <v>89</v>
      </c>
      <c r="I12" s="2" t="s">
        <v>22</v>
      </c>
      <c r="J12" s="2" t="s">
        <v>59</v>
      </c>
      <c r="K12" s="2" t="s">
        <v>24</v>
      </c>
      <c r="L12" s="13" t="s">
        <v>51</v>
      </c>
      <c r="M12" s="2" t="s">
        <v>26</v>
      </c>
      <c r="N12" s="11" t="s">
        <v>90</v>
      </c>
      <c r="O12" s="12" t="s">
        <v>53</v>
      </c>
      <c r="P12" s="5" t="str">
        <f>IFERROR(__xludf.DUMMYFUNCTION("TEXTJOIN("" | "",TRUE,IF(OR(D12="""",E12="""",I12="""",J12="""",H12=""""),""ফাঁকা ঘর"",""""),IF(AND(C12&lt;&gt;"""",D12&lt;&gt;"""",C12=D12),""gloss=figurative"",""""),IF(LEN(D12)&lt;15,""figurative ছোট"",""""),IF(AND(I12=""Positive"",REGEXMATCH(H12,""মূর্খ|ভণ্ড|প্রতার|"&amp;"অলস|লোভ|স্বার্থ|অক্ষম|অযোগ্য|বোকা|কৃপণ|হিংস"")),""valence-target অমিল"",""""),IF(COUNTIF($B:$B,B12)&gt;1,""ডুপ্লিকেট"",""""))"),"ডুপ্লিকেট")</f>
        <v>ডুপ্লিকেট</v>
      </c>
      <c r="Q12" s="5" t="str">
        <f t="shared" si="1"/>
        <v>১ আগে দেখো</v>
      </c>
    </row>
    <row r="13">
      <c r="A13" s="4">
        <v>150.0</v>
      </c>
      <c r="B13" s="2" t="s">
        <v>91</v>
      </c>
      <c r="C13" s="2" t="s">
        <v>92</v>
      </c>
      <c r="D13" s="2" t="s">
        <v>93</v>
      </c>
      <c r="E13" s="2" t="s">
        <v>94</v>
      </c>
      <c r="F13" s="2" t="b">
        <v>1</v>
      </c>
      <c r="G13" s="2" t="b">
        <v>0</v>
      </c>
      <c r="H13" s="2" t="s">
        <v>95</v>
      </c>
      <c r="I13" s="2" t="s">
        <v>32</v>
      </c>
      <c r="J13" s="2" t="s">
        <v>96</v>
      </c>
      <c r="K13" s="2" t="s">
        <v>24</v>
      </c>
      <c r="L13" s="13" t="s">
        <v>51</v>
      </c>
      <c r="M13" s="2" t="s">
        <v>26</v>
      </c>
      <c r="N13" s="11" t="s">
        <v>97</v>
      </c>
      <c r="O13" s="12" t="s">
        <v>53</v>
      </c>
      <c r="P13" s="5" t="str">
        <f>IFERROR(__xludf.DUMMYFUNCTION("TEXTJOIN("" | "",TRUE,IF(OR(D13="""",E13="""",I13="""",J13="""",H13=""""),""ফাঁকা ঘর"",""""),IF(AND(C13&lt;&gt;"""",D13&lt;&gt;"""",C13=D13),""gloss=figurative"",""""),IF(LEN(D13)&lt;15,""figurative ছোট"",""""),IF(AND(I13=""Positive"",REGEXMATCH(H13,""মূর্খ|ভণ্ড|প্রতার|"&amp;"অলস|লোভ|স্বার্থ|অক্ষম|অযোগ্য|বোকা|কৃপণ|হিংস"")),""valence-target অমিল"",""""),IF(COUNTIF($B:$B,B13)&gt;1,""ডুপ্লিকেট"",""""))"),"ডুপ্লিকেট")</f>
        <v>ডুপ্লিকেট</v>
      </c>
      <c r="Q13" s="5" t="str">
        <f t="shared" si="1"/>
        <v>১ আগে দেখো</v>
      </c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4">
        <v>151.0</v>
      </c>
      <c r="B14" s="2" t="s">
        <v>91</v>
      </c>
      <c r="C14" s="2" t="s">
        <v>92</v>
      </c>
      <c r="D14" s="2" t="s">
        <v>93</v>
      </c>
      <c r="E14" s="2" t="s">
        <v>98</v>
      </c>
      <c r="F14" s="2" t="b">
        <v>1</v>
      </c>
      <c r="G14" s="2" t="b">
        <v>0</v>
      </c>
      <c r="H14" s="2" t="s">
        <v>95</v>
      </c>
      <c r="I14" s="2" t="s">
        <v>32</v>
      </c>
      <c r="J14" s="2" t="s">
        <v>96</v>
      </c>
      <c r="K14" s="2" t="s">
        <v>24</v>
      </c>
      <c r="L14" s="13" t="s">
        <v>51</v>
      </c>
      <c r="M14" s="2" t="s">
        <v>26</v>
      </c>
      <c r="N14" s="11" t="s">
        <v>99</v>
      </c>
      <c r="O14" s="12" t="s">
        <v>53</v>
      </c>
      <c r="P14" s="5" t="str">
        <f>IFERROR(__xludf.DUMMYFUNCTION("TEXTJOIN("" | "",TRUE,IF(OR(D14="""",E14="""",I14="""",J14="""",H14=""""),""ফাঁকা ঘর"",""""),IF(AND(C14&lt;&gt;"""",D14&lt;&gt;"""",C14=D14),""gloss=figurative"",""""),IF(LEN(D14)&lt;15,""figurative ছোট"",""""),IF(AND(I14=""Positive"",REGEXMATCH(H14,""মূর্খ|ভণ্ড|প্রতার|"&amp;"অলস|লোভ|স্বার্থ|অক্ষম|অযোগ্য|বোকা|কৃপণ|হিংস"")),""valence-target অমিল"",""""),IF(COUNTIF($B:$B,B14)&gt;1,""ডুপ্লিকেট"",""""))"),"ডুপ্লিকেট")</f>
        <v>ডুপ্লিকেট</v>
      </c>
      <c r="Q14" s="5" t="str">
        <f t="shared" si="1"/>
        <v>১ আগে দেখো</v>
      </c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4">
        <v>181.0</v>
      </c>
      <c r="B15" s="2" t="s">
        <v>100</v>
      </c>
      <c r="C15" s="2" t="s">
        <v>101</v>
      </c>
      <c r="D15" s="2" t="s">
        <v>102</v>
      </c>
      <c r="E15" s="2" t="s">
        <v>103</v>
      </c>
      <c r="F15" s="2" t="b">
        <v>1</v>
      </c>
      <c r="G15" s="2" t="b">
        <v>0</v>
      </c>
      <c r="H15" s="2" t="s">
        <v>104</v>
      </c>
      <c r="I15" s="2" t="s">
        <v>32</v>
      </c>
      <c r="J15" s="2" t="s">
        <v>59</v>
      </c>
      <c r="K15" s="2" t="s">
        <v>24</v>
      </c>
      <c r="L15" s="13" t="s">
        <v>51</v>
      </c>
      <c r="M15" s="2" t="s">
        <v>26</v>
      </c>
      <c r="N15" s="11" t="s">
        <v>105</v>
      </c>
      <c r="O15" s="12" t="s">
        <v>53</v>
      </c>
      <c r="P15" s="5" t="str">
        <f>IFERROR(__xludf.DUMMYFUNCTION("TEXTJOIN("" | "",TRUE,IF(OR(D15="""",E15="""",I15="""",J15="""",H15=""""),""ফাঁকা ঘর"",""""),IF(AND(C15&lt;&gt;"""",D15&lt;&gt;"""",C15=D15),""gloss=figurative"",""""),IF(LEN(D15)&lt;15,""figurative ছোট"",""""),IF(AND(I15=""Positive"",REGEXMATCH(H15,""মূর্খ|ভণ্ড|প্রতার|"&amp;"অলস|লোভ|স্বার্থ|অক্ষম|অযোগ্য|বোকা|কৃপণ|হিংস"")),""valence-target অমিল"",""""),IF(COUNTIF($B:$B,B15)&gt;1,""ডুপ্লিকেট"",""""))"),"ডুপ্লিকেট")</f>
        <v>ডুপ্লিকেট</v>
      </c>
      <c r="Q15" s="5" t="str">
        <f t="shared" si="1"/>
        <v>১ আগে দেখো</v>
      </c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4">
        <v>192.0</v>
      </c>
      <c r="B16" s="2" t="s">
        <v>106</v>
      </c>
      <c r="C16" s="2" t="s">
        <v>107</v>
      </c>
      <c r="D16" s="2" t="s">
        <v>108</v>
      </c>
      <c r="E16" s="2" t="s">
        <v>109</v>
      </c>
      <c r="F16" s="2" t="b">
        <v>1</v>
      </c>
      <c r="G16" s="2" t="b">
        <v>0</v>
      </c>
      <c r="H16" s="2" t="s">
        <v>110</v>
      </c>
      <c r="I16" s="2" t="s">
        <v>32</v>
      </c>
      <c r="J16" s="2" t="s">
        <v>59</v>
      </c>
      <c r="K16" s="2" t="s">
        <v>24</v>
      </c>
      <c r="L16" s="13" t="s">
        <v>51</v>
      </c>
      <c r="M16" s="2" t="s">
        <v>26</v>
      </c>
      <c r="N16" s="11" t="s">
        <v>111</v>
      </c>
      <c r="O16" s="12" t="s">
        <v>53</v>
      </c>
      <c r="P16" s="5" t="str">
        <f>IFERROR(__xludf.DUMMYFUNCTION("TEXTJOIN("" | "",TRUE,IF(OR(D16="""",E16="""",I16="""",J16="""",H16=""""),""ফাঁকা ঘর"",""""),IF(AND(C16&lt;&gt;"""",D16&lt;&gt;"""",C16=D16),""gloss=figurative"",""""),IF(LEN(D16)&lt;15,""figurative ছোট"",""""),IF(AND(I16=""Positive"",REGEXMATCH(H16,""মূর্খ|ভণ্ড|প্রতার|"&amp;"অলস|লোভ|স্বার্থ|অক্ষম|অযোগ্য|বোকা|কৃপণ|হিংস"")),""valence-target অমিল"",""""),IF(COUNTIF($B:$B,B16)&gt;1,""ডুপ্লিকেট"",""""))"),"ডুপ্লিকেট")</f>
        <v>ডুপ্লিকেট</v>
      </c>
      <c r="Q16" s="5" t="str">
        <f t="shared" si="1"/>
        <v>১ আগে দেখো</v>
      </c>
      <c r="R16" s="9"/>
      <c r="S16" s="9"/>
      <c r="T16" s="9"/>
      <c r="U16" s="9"/>
      <c r="V16" s="9"/>
      <c r="W16" s="9"/>
      <c r="X16" s="9"/>
      <c r="Y16" s="9"/>
      <c r="Z16" s="9"/>
    </row>
    <row r="17">
      <c r="A17" s="4">
        <v>213.0</v>
      </c>
      <c r="B17" s="2" t="s">
        <v>112</v>
      </c>
      <c r="C17" s="2" t="s">
        <v>113</v>
      </c>
      <c r="D17" s="2" t="s">
        <v>114</v>
      </c>
      <c r="E17" s="2" t="s">
        <v>115</v>
      </c>
      <c r="F17" s="2" t="b">
        <v>1</v>
      </c>
      <c r="G17" s="2" t="b">
        <v>0</v>
      </c>
      <c r="H17" s="2" t="s">
        <v>116</v>
      </c>
      <c r="I17" s="2" t="s">
        <v>49</v>
      </c>
      <c r="J17" s="2" t="s">
        <v>117</v>
      </c>
      <c r="K17" s="2" t="s">
        <v>24</v>
      </c>
      <c r="L17" s="13" t="s">
        <v>51</v>
      </c>
      <c r="M17" s="2" t="s">
        <v>26</v>
      </c>
      <c r="N17" s="11" t="s">
        <v>118</v>
      </c>
      <c r="O17" s="12" t="s">
        <v>53</v>
      </c>
      <c r="P17" s="5" t="str">
        <f>IFERROR(__xludf.DUMMYFUNCTION("TEXTJOIN("" | "",TRUE,IF(OR(D17="""",E17="""",I17="""",J17="""",H17=""""),""ফাঁকা ঘর"",""""),IF(AND(C17&lt;&gt;"""",D17&lt;&gt;"""",C17=D17),""gloss=figurative"",""""),IF(LEN(D17)&lt;15,""figurative ছোট"",""""),IF(AND(I17=""Positive"",REGEXMATCH(H17,""মূর্খ|ভণ্ড|প্রতার|"&amp;"অলস|লোভ|স্বার্থ|অক্ষম|অযোগ্য|বোকা|কৃপণ|হিংস"")),""valence-target অমিল"",""""),IF(COUNTIF($B:$B,B17)&gt;1,""ডুপ্লিকেট"",""""))"),"valence-target অমিল")</f>
        <v>valence-target অমিল</v>
      </c>
      <c r="Q17" s="5" t="str">
        <f t="shared" si="1"/>
        <v>১ আগে দেখো</v>
      </c>
      <c r="R17" s="9"/>
      <c r="S17" s="9"/>
      <c r="T17" s="9"/>
      <c r="U17" s="9"/>
      <c r="V17" s="9"/>
      <c r="W17" s="9"/>
      <c r="X17" s="9"/>
      <c r="Y17" s="9"/>
      <c r="Z17" s="9"/>
    </row>
    <row r="18">
      <c r="A18" s="4">
        <v>221.0</v>
      </c>
      <c r="B18" s="2" t="s">
        <v>119</v>
      </c>
      <c r="C18" s="2" t="s">
        <v>120</v>
      </c>
      <c r="D18" s="2" t="s">
        <v>121</v>
      </c>
      <c r="E18" s="2" t="s">
        <v>122</v>
      </c>
      <c r="F18" s="2" t="b">
        <v>1</v>
      </c>
      <c r="G18" s="2" t="b">
        <v>0</v>
      </c>
      <c r="H18" s="2" t="s">
        <v>37</v>
      </c>
      <c r="I18" s="2" t="s">
        <v>32</v>
      </c>
      <c r="J18" s="2" t="s">
        <v>123</v>
      </c>
      <c r="K18" s="2" t="s">
        <v>24</v>
      </c>
      <c r="L18" s="13" t="s">
        <v>51</v>
      </c>
      <c r="M18" s="2" t="s">
        <v>26</v>
      </c>
      <c r="N18" s="11" t="s">
        <v>124</v>
      </c>
      <c r="O18" s="12" t="s">
        <v>53</v>
      </c>
      <c r="P18" s="5" t="str">
        <f>IFERROR(__xludf.DUMMYFUNCTION("TEXTJOIN("" | "",TRUE,IF(OR(D18="""",E18="""",I18="""",J18="""",H18=""""),""ফাঁকা ঘর"",""""),IF(AND(C18&lt;&gt;"""",D18&lt;&gt;"""",C18=D18),""gloss=figurative"",""""),IF(LEN(D18)&lt;15,""figurative ছোট"",""""),IF(AND(I18=""Positive"",REGEXMATCH(H18,""মূর্খ|ভণ্ড|প্রতার|"&amp;"অলস|লোভ|স্বার্থ|অক্ষম|অযোগ্য|বোকা|কৃপণ|হিংস"")),""valence-target অমিল"",""""),IF(COUNTIF($B:$B,B18)&gt;1,""ডুপ্লিকেট"",""""))"),"ডুপ্লিকেট")</f>
        <v>ডুপ্লিকেট</v>
      </c>
      <c r="Q18" s="5" t="str">
        <f t="shared" si="1"/>
        <v>১ আগে দেখো</v>
      </c>
    </row>
    <row r="19">
      <c r="A19" s="4">
        <v>223.0</v>
      </c>
      <c r="B19" s="2" t="s">
        <v>125</v>
      </c>
      <c r="C19" s="2" t="s">
        <v>126</v>
      </c>
      <c r="D19" s="2" t="s">
        <v>127</v>
      </c>
      <c r="E19" s="2" t="s">
        <v>128</v>
      </c>
      <c r="F19" s="2" t="b">
        <v>1</v>
      </c>
      <c r="G19" s="2" t="b">
        <v>0</v>
      </c>
      <c r="H19" s="2" t="s">
        <v>110</v>
      </c>
      <c r="I19" s="2" t="s">
        <v>22</v>
      </c>
      <c r="J19" s="2" t="s">
        <v>59</v>
      </c>
      <c r="K19" s="2" t="s">
        <v>24</v>
      </c>
      <c r="L19" s="13" t="s">
        <v>51</v>
      </c>
      <c r="M19" s="2" t="s">
        <v>26</v>
      </c>
      <c r="N19" s="11" t="s">
        <v>129</v>
      </c>
      <c r="O19" s="12" t="s">
        <v>53</v>
      </c>
      <c r="P19" s="5" t="str">
        <f>IFERROR(__xludf.DUMMYFUNCTION("TEXTJOIN("" | "",TRUE,IF(OR(D19="""",E19="""",I19="""",J19="""",H19=""""),""ফাঁকা ঘর"",""""),IF(AND(C19&lt;&gt;"""",D19&lt;&gt;"""",C19=D19),""gloss=figurative"",""""),IF(LEN(D19)&lt;15,""figurative ছোট"",""""),IF(AND(I19=""Positive"",REGEXMATCH(H19,""মূর্খ|ভণ্ড|প্রতার|"&amp;"অলস|লোভ|স্বার্থ|অক্ষম|অযোগ্য|বোকা|কৃপণ|হিংস"")),""valence-target অমিল"",""""),IF(COUNTIF($B:$B,B19)&gt;1,""ডুপ্লিকেট"",""""))"),"ডুপ্লিকেট")</f>
        <v>ডুপ্লিকেট</v>
      </c>
      <c r="Q19" s="5" t="str">
        <f t="shared" si="1"/>
        <v>১ আগে দেখো</v>
      </c>
    </row>
    <row r="20">
      <c r="A20" s="4">
        <v>231.0</v>
      </c>
      <c r="B20" s="2" t="s">
        <v>61</v>
      </c>
      <c r="C20" s="2" t="s">
        <v>130</v>
      </c>
      <c r="D20" s="2" t="s">
        <v>63</v>
      </c>
      <c r="E20" s="2" t="s">
        <v>131</v>
      </c>
      <c r="F20" s="2" t="b">
        <v>1</v>
      </c>
      <c r="G20" s="2" t="b">
        <v>0</v>
      </c>
      <c r="H20" s="2" t="s">
        <v>65</v>
      </c>
      <c r="I20" s="2" t="s">
        <v>22</v>
      </c>
      <c r="J20" s="2" t="s">
        <v>59</v>
      </c>
      <c r="K20" s="2" t="s">
        <v>24</v>
      </c>
      <c r="L20" s="13" t="s">
        <v>51</v>
      </c>
      <c r="M20" s="2" t="s">
        <v>26</v>
      </c>
      <c r="N20" s="11" t="s">
        <v>132</v>
      </c>
      <c r="O20" s="12" t="s">
        <v>53</v>
      </c>
      <c r="P20" s="5" t="str">
        <f>IFERROR(__xludf.DUMMYFUNCTION("TEXTJOIN("" | "",TRUE,IF(OR(D20="""",E20="""",I20="""",J20="""",H20=""""),""ফাঁকা ঘর"",""""),IF(AND(C20&lt;&gt;"""",D20&lt;&gt;"""",C20=D20),""gloss=figurative"",""""),IF(LEN(D20)&lt;15,""figurative ছোট"",""""),IF(AND(I20=""Positive"",REGEXMATCH(H20,""মূর্খ|ভণ্ড|প্রতার|"&amp;"অলস|লোভ|স্বার্থ|অক্ষম|অযোগ্য|বোকা|কৃপণ|হিংস"")),""valence-target অমিল"",""""),IF(COUNTIF($B:$B,B20)&gt;1,""ডুপ্লিকেট"",""""))"),"ডুপ্লিকেট")</f>
        <v>ডুপ্লিকেট</v>
      </c>
      <c r="Q20" s="5" t="str">
        <f t="shared" si="1"/>
        <v>১ আগে দেখো</v>
      </c>
    </row>
    <row r="21">
      <c r="A21" s="4">
        <v>262.0</v>
      </c>
      <c r="B21" s="2" t="s">
        <v>133</v>
      </c>
      <c r="C21" s="2" t="s">
        <v>134</v>
      </c>
      <c r="D21" s="2" t="s">
        <v>135</v>
      </c>
      <c r="E21" s="2" t="s">
        <v>136</v>
      </c>
      <c r="F21" s="2" t="b">
        <v>1</v>
      </c>
      <c r="G21" s="2" t="b">
        <v>0</v>
      </c>
      <c r="H21" s="2" t="s">
        <v>137</v>
      </c>
      <c r="I21" s="2" t="s">
        <v>22</v>
      </c>
      <c r="J21" s="2" t="s">
        <v>59</v>
      </c>
      <c r="K21" s="2" t="s">
        <v>24</v>
      </c>
      <c r="L21" s="13" t="s">
        <v>51</v>
      </c>
      <c r="M21" s="2" t="s">
        <v>26</v>
      </c>
      <c r="N21" s="11" t="s">
        <v>138</v>
      </c>
      <c r="O21" s="12" t="s">
        <v>53</v>
      </c>
      <c r="P21" s="5" t="str">
        <f>IFERROR(__xludf.DUMMYFUNCTION("TEXTJOIN("" | "",TRUE,IF(OR(D21="""",E21="""",I21="""",J21="""",H21=""""),""ফাঁকা ঘর"",""""),IF(AND(C21&lt;&gt;"""",D21&lt;&gt;"""",C21=D21),""gloss=figurative"",""""),IF(LEN(D21)&lt;15,""figurative ছোট"",""""),IF(AND(I21=""Positive"",REGEXMATCH(H21,""মূর্খ|ভণ্ড|প্রতার|"&amp;"অলস|লোভ|স্বার্থ|অক্ষম|অযোগ্য|বোকা|কৃপণ|হিংস"")),""valence-target অমিল"",""""),IF(COUNTIF($B:$B,B21)&gt;1,""ডুপ্লিকেট"",""""))"),"ডুপ্লিকেট")</f>
        <v>ডুপ্লিকেট</v>
      </c>
      <c r="Q21" s="5" t="str">
        <f t="shared" si="1"/>
        <v>১ আগে দেখো</v>
      </c>
    </row>
    <row r="22">
      <c r="A22" s="4">
        <v>296.0</v>
      </c>
      <c r="B22" s="2" t="s">
        <v>139</v>
      </c>
      <c r="C22" s="2" t="s">
        <v>34</v>
      </c>
      <c r="D22" s="2" t="s">
        <v>140</v>
      </c>
      <c r="E22" s="2" t="s">
        <v>141</v>
      </c>
      <c r="F22" s="2" t="b">
        <v>1</v>
      </c>
      <c r="G22" s="2" t="b">
        <v>0</v>
      </c>
      <c r="H22" s="2" t="s">
        <v>37</v>
      </c>
      <c r="I22" s="2" t="s">
        <v>32</v>
      </c>
      <c r="J22" s="2" t="s">
        <v>142</v>
      </c>
      <c r="K22" s="2" t="s">
        <v>24</v>
      </c>
      <c r="L22" s="13" t="s">
        <v>51</v>
      </c>
      <c r="M22" s="2" t="s">
        <v>26</v>
      </c>
      <c r="N22" s="11" t="s">
        <v>143</v>
      </c>
      <c r="O22" s="12" t="s">
        <v>53</v>
      </c>
      <c r="P22" s="5" t="str">
        <f>IFERROR(__xludf.DUMMYFUNCTION("TEXTJOIN("" | "",TRUE,IF(OR(D22="""",E22="""",I22="""",J22="""",H22=""""),""ফাঁকা ঘর"",""""),IF(AND(C22&lt;&gt;"""",D22&lt;&gt;"""",C22=D22),""gloss=figurative"",""""),IF(LEN(D22)&lt;15,""figurative ছোট"",""""),IF(AND(I22=""Positive"",REGEXMATCH(H22,""মূর্খ|ভণ্ড|প্রতার|"&amp;"অলস|লোভ|স্বার্থ|অক্ষম|অযোগ্য|বোকা|কৃপণ|হিংস"")),""valence-target অমিল"",""""),IF(COUNTIF($B:$B,B22)&gt;1,""ডুপ্লিকেট"",""""))"),"ডুপ্লিকেট")</f>
        <v>ডুপ্লিকেট</v>
      </c>
      <c r="Q22" s="5" t="str">
        <f t="shared" si="1"/>
        <v>১ আগে দেখো</v>
      </c>
    </row>
    <row r="23">
      <c r="A23" s="4">
        <v>297.0</v>
      </c>
      <c r="B23" s="2" t="s">
        <v>144</v>
      </c>
      <c r="C23" s="2" t="s">
        <v>145</v>
      </c>
      <c r="D23" s="2" t="s">
        <v>146</v>
      </c>
      <c r="E23" s="2" t="s">
        <v>147</v>
      </c>
      <c r="F23" s="2" t="b">
        <v>1</v>
      </c>
      <c r="G23" s="2" t="b">
        <v>0</v>
      </c>
      <c r="H23" s="2" t="s">
        <v>148</v>
      </c>
      <c r="I23" s="2" t="s">
        <v>32</v>
      </c>
      <c r="J23" s="2" t="s">
        <v>59</v>
      </c>
      <c r="K23" s="2" t="s">
        <v>24</v>
      </c>
      <c r="L23" s="13" t="s">
        <v>51</v>
      </c>
      <c r="M23" s="2" t="s">
        <v>26</v>
      </c>
      <c r="N23" s="11" t="s">
        <v>149</v>
      </c>
      <c r="O23" s="12" t="s">
        <v>53</v>
      </c>
      <c r="P23" s="5" t="str">
        <f>IFERROR(__xludf.DUMMYFUNCTION("TEXTJOIN("" | "",TRUE,IF(OR(D23="""",E23="""",I23="""",J23="""",H23=""""),""ফাঁকা ঘর"",""""),IF(AND(C23&lt;&gt;"""",D23&lt;&gt;"""",C23=D23),""gloss=figurative"",""""),IF(LEN(D23)&lt;15,""figurative ছোট"",""""),IF(AND(I23=""Positive"",REGEXMATCH(H23,""মূর্খ|ভণ্ড|প্রতার|"&amp;"অলস|লোভ|স্বার্থ|অক্ষম|অযোগ্য|বোকা|কৃপণ|হিংস"")),""valence-target অমিল"",""""),IF(COUNTIF($B:$B,B23)&gt;1,""ডুপ্লিকেট"",""""))"),"figurative ছোট")</f>
        <v>figurative ছোট</v>
      </c>
      <c r="Q23" s="5" t="str">
        <f t="shared" si="1"/>
        <v>১ আগে দেখো</v>
      </c>
    </row>
    <row r="24">
      <c r="A24" s="4">
        <v>300.0</v>
      </c>
      <c r="B24" s="2" t="s">
        <v>61</v>
      </c>
      <c r="C24" s="2" t="s">
        <v>130</v>
      </c>
      <c r="D24" s="2" t="s">
        <v>63</v>
      </c>
      <c r="E24" s="2" t="s">
        <v>150</v>
      </c>
      <c r="F24" s="2" t="b">
        <v>1</v>
      </c>
      <c r="G24" s="2" t="b">
        <v>0</v>
      </c>
      <c r="H24" s="2" t="s">
        <v>65</v>
      </c>
      <c r="I24" s="2" t="s">
        <v>22</v>
      </c>
      <c r="J24" s="2" t="s">
        <v>59</v>
      </c>
      <c r="K24" s="2" t="s">
        <v>24</v>
      </c>
      <c r="L24" s="13" t="s">
        <v>51</v>
      </c>
      <c r="M24" s="2" t="s">
        <v>26</v>
      </c>
      <c r="N24" s="11" t="s">
        <v>151</v>
      </c>
      <c r="O24" s="12" t="s">
        <v>53</v>
      </c>
      <c r="P24" s="5" t="str">
        <f>IFERROR(__xludf.DUMMYFUNCTION("TEXTJOIN("" | "",TRUE,IF(OR(D24="""",E24="""",I24="""",J24="""",H24=""""),""ফাঁকা ঘর"",""""),IF(AND(C24&lt;&gt;"""",D24&lt;&gt;"""",C24=D24),""gloss=figurative"",""""),IF(LEN(D24)&lt;15,""figurative ছোট"",""""),IF(AND(I24=""Positive"",REGEXMATCH(H24,""মূর্খ|ভণ্ড|প্রতার|"&amp;"অলস|লোভ|স্বার্থ|অক্ষম|অযোগ্য|বোকা|কৃপণ|হিংস"")),""valence-target অমিল"",""""),IF(COUNTIF($B:$B,B24)&gt;1,""ডুপ্লিকেট"",""""))"),"ডুপ্লিকেট")</f>
        <v>ডুপ্লিকেট</v>
      </c>
      <c r="Q24" s="5" t="str">
        <f t="shared" si="1"/>
        <v>১ আগে দেখো</v>
      </c>
    </row>
    <row r="25">
      <c r="A25" s="4">
        <v>301.0</v>
      </c>
      <c r="B25" s="2" t="s">
        <v>152</v>
      </c>
      <c r="C25" s="2" t="s">
        <v>153</v>
      </c>
      <c r="D25" s="2" t="s">
        <v>154</v>
      </c>
      <c r="E25" s="2" t="s">
        <v>155</v>
      </c>
      <c r="F25" s="2" t="b">
        <v>1</v>
      </c>
      <c r="G25" s="2" t="b">
        <v>0</v>
      </c>
      <c r="H25" s="2" t="s">
        <v>156</v>
      </c>
      <c r="I25" s="2" t="s">
        <v>49</v>
      </c>
      <c r="J25" s="2" t="s">
        <v>157</v>
      </c>
      <c r="K25" s="2" t="s">
        <v>24</v>
      </c>
      <c r="L25" s="13" t="s">
        <v>51</v>
      </c>
      <c r="M25" s="2" t="s">
        <v>26</v>
      </c>
      <c r="N25" s="11" t="s">
        <v>149</v>
      </c>
      <c r="O25" s="12" t="s">
        <v>53</v>
      </c>
      <c r="P25" s="5" t="str">
        <f>IFERROR(__xludf.DUMMYFUNCTION("TEXTJOIN("" | "",TRUE,IF(OR(D25="""",E25="""",I25="""",J25="""",H25=""""),""ফাঁকা ঘর"",""""),IF(AND(C25&lt;&gt;"""",D25&lt;&gt;"""",C25=D25),""gloss=figurative"",""""),IF(LEN(D25)&lt;15,""figurative ছোট"",""""),IF(AND(I25=""Positive"",REGEXMATCH(H25,""মূর্খ|ভণ্ড|প্রতার|"&amp;"অলস|লোভ|স্বার্থ|অক্ষম|অযোগ্য|বোকা|কৃপণ|হিংস"")),""valence-target অমিল"",""""),IF(COUNTIF($B:$B,B25)&gt;1,""ডুপ্লিকেট"",""""))"),"figurative ছোট")</f>
        <v>figurative ছোট</v>
      </c>
      <c r="Q25" s="5" t="str">
        <f t="shared" si="1"/>
        <v>১ আগে দেখো</v>
      </c>
    </row>
    <row r="26">
      <c r="A26" s="4">
        <v>312.0</v>
      </c>
      <c r="B26" s="2" t="s">
        <v>158</v>
      </c>
      <c r="C26" s="2" t="s">
        <v>159</v>
      </c>
      <c r="D26" s="2" t="s">
        <v>160</v>
      </c>
      <c r="E26" s="2" t="s">
        <v>161</v>
      </c>
      <c r="F26" s="2" t="b">
        <v>1</v>
      </c>
      <c r="G26" s="2" t="b">
        <v>0</v>
      </c>
      <c r="H26" s="2" t="s">
        <v>37</v>
      </c>
      <c r="I26" s="2" t="s">
        <v>32</v>
      </c>
      <c r="J26" s="2" t="s">
        <v>162</v>
      </c>
      <c r="K26" s="2" t="s">
        <v>24</v>
      </c>
      <c r="L26" s="13" t="s">
        <v>51</v>
      </c>
      <c r="M26" s="2" t="s">
        <v>26</v>
      </c>
      <c r="N26" s="11" t="s">
        <v>163</v>
      </c>
      <c r="O26" s="12" t="s">
        <v>53</v>
      </c>
      <c r="P26" s="5" t="str">
        <f>IFERROR(__xludf.DUMMYFUNCTION("TEXTJOIN("" | "",TRUE,IF(OR(D26="""",E26="""",I26="""",J26="""",H26=""""),""ফাঁকা ঘর"",""""),IF(AND(C26&lt;&gt;"""",D26&lt;&gt;"""",C26=D26),""gloss=figurative"",""""),IF(LEN(D26)&lt;15,""figurative ছোট"",""""),IF(AND(I26=""Positive"",REGEXMATCH(H26,""মূর্খ|ভণ্ড|প্রতার|"&amp;"অলস|লোভ|স্বার্থ|অক্ষম|অযোগ্য|বোকা|কৃপণ|হিংস"")),""valence-target অমিল"",""""),IF(COUNTIF($B:$B,B26)&gt;1,""ডুপ্লিকেট"",""""))"),"figurative ছোট")</f>
        <v>figurative ছোট</v>
      </c>
      <c r="Q26" s="5" t="str">
        <f t="shared" si="1"/>
        <v>১ আগে দেখো</v>
      </c>
    </row>
    <row r="27">
      <c r="A27" s="4">
        <v>325.0</v>
      </c>
      <c r="B27" s="2" t="s">
        <v>164</v>
      </c>
      <c r="C27" s="2" t="s">
        <v>165</v>
      </c>
      <c r="D27" s="2" t="s">
        <v>166</v>
      </c>
      <c r="E27" s="2" t="s">
        <v>167</v>
      </c>
      <c r="F27" s="2" t="b">
        <v>1</v>
      </c>
      <c r="G27" s="2" t="b">
        <v>0</v>
      </c>
      <c r="H27" s="2" t="s">
        <v>168</v>
      </c>
      <c r="I27" s="2" t="s">
        <v>49</v>
      </c>
      <c r="J27" s="2" t="s">
        <v>169</v>
      </c>
      <c r="K27" s="2" t="s">
        <v>24</v>
      </c>
      <c r="L27" s="13" t="s">
        <v>51</v>
      </c>
      <c r="M27" s="2" t="s">
        <v>26</v>
      </c>
      <c r="N27" s="11" t="s">
        <v>170</v>
      </c>
      <c r="O27" s="12" t="s">
        <v>53</v>
      </c>
      <c r="P27" s="5" t="str">
        <f>IFERROR(__xludf.DUMMYFUNCTION("TEXTJOIN("" | "",TRUE,IF(OR(D27="""",E27="""",I27="""",J27="""",H27=""""),""ফাঁকা ঘর"",""""),IF(AND(C27&lt;&gt;"""",D27&lt;&gt;"""",C27=D27),""gloss=figurative"",""""),IF(LEN(D27)&lt;15,""figurative ছোট"",""""),IF(AND(I27=""Positive"",REGEXMATCH(H27,""মূর্খ|ভণ্ড|প্রতার|"&amp;"অলস|লোভ|স্বার্থ|অক্ষম|অযোগ্য|বোকা|কৃপণ|হিংস"")),""valence-target অমিল"",""""),IF(COUNTIF($B:$B,B27)&gt;1,""ডুপ্লিকেট"",""""))"),"valence-target অমিল")</f>
        <v>valence-target অমিল</v>
      </c>
      <c r="Q27" s="5" t="str">
        <f t="shared" si="1"/>
        <v>১ আগে দেখো</v>
      </c>
    </row>
    <row r="28">
      <c r="A28" s="4">
        <v>326.0</v>
      </c>
      <c r="B28" s="2" t="s">
        <v>171</v>
      </c>
      <c r="C28" s="2" t="s">
        <v>172</v>
      </c>
      <c r="D28" s="2" t="s">
        <v>173</v>
      </c>
      <c r="E28" s="2" t="s">
        <v>174</v>
      </c>
      <c r="F28" s="2" t="b">
        <v>1</v>
      </c>
      <c r="G28" s="2" t="b">
        <v>0</v>
      </c>
      <c r="H28" s="2" t="s">
        <v>175</v>
      </c>
      <c r="I28" s="2" t="s">
        <v>22</v>
      </c>
      <c r="J28" s="2" t="s">
        <v>176</v>
      </c>
      <c r="K28" s="2" t="s">
        <v>24</v>
      </c>
      <c r="L28" s="13" t="s">
        <v>51</v>
      </c>
      <c r="M28" s="2" t="s">
        <v>26</v>
      </c>
      <c r="N28" s="11" t="s">
        <v>149</v>
      </c>
      <c r="O28" s="12" t="s">
        <v>53</v>
      </c>
      <c r="P28" s="5" t="str">
        <f>IFERROR(__xludf.DUMMYFUNCTION("TEXTJOIN("" | "",TRUE,IF(OR(D28="""",E28="""",I28="""",J28="""",H28=""""),""ফাঁকা ঘর"",""""),IF(AND(C28&lt;&gt;"""",D28&lt;&gt;"""",C28=D28),""gloss=figurative"",""""),IF(LEN(D28)&lt;15,""figurative ছোট"",""""),IF(AND(I28=""Positive"",REGEXMATCH(H28,""মূর্খ|ভণ্ড|প্রতার|"&amp;"অলস|লোভ|স্বার্থ|অক্ষম|অযোগ্য|বোকা|কৃপণ|হিংস"")),""valence-target অমিল"",""""),IF(COUNTIF($B:$B,B28)&gt;1,""ডুপ্লিকেট"",""""))"),"figurative ছোট")</f>
        <v>figurative ছোট</v>
      </c>
      <c r="Q28" s="5" t="str">
        <f t="shared" si="1"/>
        <v>১ আগে দেখো</v>
      </c>
    </row>
    <row r="29">
      <c r="A29" s="4">
        <v>339.0</v>
      </c>
      <c r="B29" s="2" t="s">
        <v>177</v>
      </c>
      <c r="C29" s="2" t="s">
        <v>178</v>
      </c>
      <c r="D29" s="2" t="s">
        <v>179</v>
      </c>
      <c r="E29" s="2" t="s">
        <v>180</v>
      </c>
      <c r="F29" s="2" t="b">
        <v>1</v>
      </c>
      <c r="G29" s="2" t="b">
        <v>0</v>
      </c>
      <c r="H29" s="2" t="s">
        <v>181</v>
      </c>
      <c r="I29" s="2" t="s">
        <v>22</v>
      </c>
      <c r="J29" s="2" t="s">
        <v>71</v>
      </c>
      <c r="K29" s="2" t="s">
        <v>24</v>
      </c>
      <c r="L29" s="13" t="s">
        <v>51</v>
      </c>
      <c r="M29" s="2" t="s">
        <v>26</v>
      </c>
      <c r="N29" s="11" t="s">
        <v>182</v>
      </c>
      <c r="O29" s="12" t="s">
        <v>53</v>
      </c>
      <c r="P29" s="5" t="str">
        <f>IFERROR(__xludf.DUMMYFUNCTION("TEXTJOIN("" | "",TRUE,IF(OR(D29="""",E29="""",I29="""",J29="""",H29=""""),""ফাঁকা ঘর"",""""),IF(AND(C29&lt;&gt;"""",D29&lt;&gt;"""",C29=D29),""gloss=figurative"",""""),IF(LEN(D29)&lt;15,""figurative ছোট"",""""),IF(AND(I29=""Positive"",REGEXMATCH(H29,""মূর্খ|ভণ্ড|প্রতার|"&amp;"অলস|লোভ|স্বার্থ|অক্ষম|অযোগ্য|বোকা|কৃপণ|হিংস"")),""valence-target অমিল"",""""),IF(COUNTIF($B:$B,B29)&gt;1,""ডুপ্লিকেট"",""""))"),"figurative ছোট")</f>
        <v>figurative ছোট</v>
      </c>
      <c r="Q29" s="5" t="str">
        <f t="shared" si="1"/>
        <v>১ আগে দেখো</v>
      </c>
    </row>
    <row r="30">
      <c r="A30" s="4">
        <v>349.0</v>
      </c>
      <c r="B30" s="2" t="s">
        <v>73</v>
      </c>
      <c r="C30" s="2" t="s">
        <v>74</v>
      </c>
      <c r="D30" s="2" t="s">
        <v>75</v>
      </c>
      <c r="E30" s="2" t="s">
        <v>183</v>
      </c>
      <c r="F30" s="2" t="b">
        <v>1</v>
      </c>
      <c r="G30" s="2" t="b">
        <v>0</v>
      </c>
      <c r="H30" s="2" t="s">
        <v>77</v>
      </c>
      <c r="I30" s="2" t="s">
        <v>22</v>
      </c>
      <c r="J30" s="2" t="s">
        <v>59</v>
      </c>
      <c r="K30" s="2" t="s">
        <v>24</v>
      </c>
      <c r="L30" s="13" t="s">
        <v>51</v>
      </c>
      <c r="M30" s="2" t="s">
        <v>26</v>
      </c>
      <c r="N30" s="11" t="s">
        <v>184</v>
      </c>
      <c r="O30" s="12" t="s">
        <v>53</v>
      </c>
      <c r="P30" s="5" t="str">
        <f>IFERROR(__xludf.DUMMYFUNCTION("TEXTJOIN("" | "",TRUE,IF(OR(D30="""",E30="""",I30="""",J30="""",H30=""""),""ফাঁকা ঘর"",""""),IF(AND(C30&lt;&gt;"""",D30&lt;&gt;"""",C30=D30),""gloss=figurative"",""""),IF(LEN(D30)&lt;15,""figurative ছোট"",""""),IF(AND(I30=""Positive"",REGEXMATCH(H30,""মূর্খ|ভণ্ড|প্রতার|"&amp;"অলস|লোভ|স্বার্থ|অক্ষম|অযোগ্য|বোকা|কৃপণ|হিংস"")),""valence-target অমিল"",""""),IF(COUNTIF($B:$B,B30)&gt;1,""ডুপ্লিকেট"",""""))"),"ডুপ্লিকেট")</f>
        <v>ডুপ্লিকেট</v>
      </c>
      <c r="Q30" s="5" t="str">
        <f t="shared" si="1"/>
        <v>১ আগে দেখো</v>
      </c>
    </row>
    <row r="31">
      <c r="A31" s="4">
        <v>357.0</v>
      </c>
      <c r="B31" s="2" t="s">
        <v>185</v>
      </c>
      <c r="C31" s="2" t="s">
        <v>186</v>
      </c>
      <c r="D31" s="2" t="s">
        <v>187</v>
      </c>
      <c r="E31" s="2" t="s">
        <v>188</v>
      </c>
      <c r="F31" s="2" t="b">
        <v>1</v>
      </c>
      <c r="G31" s="2" t="b">
        <v>0</v>
      </c>
      <c r="H31" s="2" t="s">
        <v>189</v>
      </c>
      <c r="I31" s="2" t="s">
        <v>49</v>
      </c>
      <c r="J31" s="2" t="s">
        <v>190</v>
      </c>
      <c r="K31" s="2" t="s">
        <v>24</v>
      </c>
      <c r="L31" s="13" t="s">
        <v>51</v>
      </c>
      <c r="M31" s="2" t="s">
        <v>26</v>
      </c>
      <c r="N31" s="11" t="s">
        <v>191</v>
      </c>
      <c r="O31" s="12" t="s">
        <v>53</v>
      </c>
      <c r="P31" s="5" t="str">
        <f>IFERROR(__xludf.DUMMYFUNCTION("TEXTJOIN("" | "",TRUE,IF(OR(D31="""",E31="""",I31="""",J31="""",H31=""""),""ফাঁকা ঘর"",""""),IF(AND(C31&lt;&gt;"""",D31&lt;&gt;"""",C31=D31),""gloss=figurative"",""""),IF(LEN(D31)&lt;15,""figurative ছোট"",""""),IF(AND(I31=""Positive"",REGEXMATCH(H31,""মূর্খ|ভণ্ড|প্রতার|"&amp;"অলস|লোভ|স্বার্থ|অক্ষম|অযোগ্য|বোকা|কৃপণ|হিংস"")),""valence-target অমিল"",""""),IF(COUNTIF($B:$B,B31)&gt;1,""ডুপ্লিকেট"",""""))"),"valence-target অমিল")</f>
        <v>valence-target অমিল</v>
      </c>
      <c r="Q31" s="5" t="str">
        <f t="shared" si="1"/>
        <v>১ আগে দেখো</v>
      </c>
    </row>
    <row r="32">
      <c r="A32" s="4">
        <v>364.0</v>
      </c>
      <c r="B32" s="2" t="s">
        <v>192</v>
      </c>
      <c r="C32" s="2" t="s">
        <v>193</v>
      </c>
      <c r="D32" s="2" t="s">
        <v>194</v>
      </c>
      <c r="E32" s="2" t="s">
        <v>195</v>
      </c>
      <c r="F32" s="2" t="b">
        <v>1</v>
      </c>
      <c r="G32" s="2" t="b">
        <v>0</v>
      </c>
      <c r="H32" s="2" t="s">
        <v>196</v>
      </c>
      <c r="I32" s="2" t="s">
        <v>22</v>
      </c>
      <c r="J32" s="2" t="s">
        <v>197</v>
      </c>
      <c r="K32" s="2" t="s">
        <v>24</v>
      </c>
      <c r="L32" s="13" t="s">
        <v>51</v>
      </c>
      <c r="M32" s="2" t="s">
        <v>26</v>
      </c>
      <c r="N32" s="11" t="s">
        <v>149</v>
      </c>
      <c r="O32" s="12" t="s">
        <v>53</v>
      </c>
      <c r="P32" s="5" t="str">
        <f>IFERROR(__xludf.DUMMYFUNCTION("TEXTJOIN("" | "",TRUE,IF(OR(D32="""",E32="""",I32="""",J32="""",H32=""""),""ফাঁকা ঘর"",""""),IF(AND(C32&lt;&gt;"""",D32&lt;&gt;"""",C32=D32),""gloss=figurative"",""""),IF(LEN(D32)&lt;15,""figurative ছোট"",""""),IF(AND(I32=""Positive"",REGEXMATCH(H32,""মূর্খ|ভণ্ড|প্রতার|"&amp;"অলস|লোভ|স্বার্থ|অক্ষম|অযোগ্য|বোকা|কৃপণ|হিংস"")),""valence-target অমিল"",""""),IF(COUNTIF($B:$B,B32)&gt;1,""ডুপ্লিকেট"",""""))"),"figurative ছোট")</f>
        <v>figurative ছোট</v>
      </c>
      <c r="Q32" s="5" t="str">
        <f t="shared" si="1"/>
        <v>১ আগে দেখো</v>
      </c>
    </row>
    <row r="33">
      <c r="A33" s="4">
        <v>370.0</v>
      </c>
      <c r="B33" s="2" t="s">
        <v>198</v>
      </c>
      <c r="C33" s="2" t="s">
        <v>199</v>
      </c>
      <c r="D33" s="2" t="s">
        <v>200</v>
      </c>
      <c r="E33" s="2" t="s">
        <v>201</v>
      </c>
      <c r="F33" s="2" t="b">
        <v>1</v>
      </c>
      <c r="G33" s="2" t="b">
        <v>0</v>
      </c>
      <c r="H33" s="2" t="s">
        <v>37</v>
      </c>
      <c r="I33" s="2" t="s">
        <v>22</v>
      </c>
      <c r="J33" s="2" t="s">
        <v>202</v>
      </c>
      <c r="K33" s="2" t="s">
        <v>24</v>
      </c>
      <c r="L33" s="13" t="s">
        <v>51</v>
      </c>
      <c r="M33" s="2" t="s">
        <v>26</v>
      </c>
      <c r="N33" s="11" t="s">
        <v>149</v>
      </c>
      <c r="O33" s="12" t="s">
        <v>53</v>
      </c>
      <c r="P33" s="5" t="str">
        <f>IFERROR(__xludf.DUMMYFUNCTION("TEXTJOIN("" | "",TRUE,IF(OR(D33="""",E33="""",I33="""",J33="""",H33=""""),""ফাঁকা ঘর"",""""),IF(AND(C33&lt;&gt;"""",D33&lt;&gt;"""",C33=D33),""gloss=figurative"",""""),IF(LEN(D33)&lt;15,""figurative ছোট"",""""),IF(AND(I33=""Positive"",REGEXMATCH(H33,""মূর্খ|ভণ্ড|প্রতার|"&amp;"অলস|লোভ|স্বার্থ|অক্ষম|অযোগ্য|বোকা|কৃপণ|হিংস"")),""valence-target অমিল"",""""),IF(COUNTIF($B:$B,B33)&gt;1,""ডুপ্লিকেট"",""""))"),"figurative ছোট")</f>
        <v>figurative ছোট</v>
      </c>
      <c r="Q33" s="5" t="str">
        <f t="shared" si="1"/>
        <v>১ আগে দেখো</v>
      </c>
    </row>
    <row r="34">
      <c r="A34" s="4">
        <v>395.0</v>
      </c>
      <c r="B34" s="2" t="s">
        <v>203</v>
      </c>
      <c r="C34" s="2" t="s">
        <v>204</v>
      </c>
      <c r="D34" s="2" t="s">
        <v>205</v>
      </c>
      <c r="E34" s="2" t="s">
        <v>206</v>
      </c>
      <c r="F34" s="2" t="b">
        <v>1</v>
      </c>
      <c r="G34" s="2" t="b">
        <v>0</v>
      </c>
      <c r="H34" s="2" t="s">
        <v>207</v>
      </c>
      <c r="I34" s="2" t="s">
        <v>49</v>
      </c>
      <c r="J34" s="2" t="s">
        <v>208</v>
      </c>
      <c r="K34" s="2" t="s">
        <v>24</v>
      </c>
      <c r="L34" s="13" t="s">
        <v>51</v>
      </c>
      <c r="M34" s="2" t="s">
        <v>26</v>
      </c>
      <c r="N34" s="11" t="s">
        <v>209</v>
      </c>
      <c r="O34" s="12" t="s">
        <v>53</v>
      </c>
      <c r="P34" s="5" t="str">
        <f>IFERROR(__xludf.DUMMYFUNCTION("TEXTJOIN("" | "",TRUE,IF(OR(D34="""",E34="""",I34="""",J34="""",H34=""""),""ফাঁকা ঘর"",""""),IF(AND(C34&lt;&gt;"""",D34&lt;&gt;"""",C34=D34),""gloss=figurative"",""""),IF(LEN(D34)&lt;15,""figurative ছোট"",""""),IF(AND(I34=""Positive"",REGEXMATCH(H34,""মূর্খ|ভণ্ড|প্রতার|"&amp;"অলস|লোভ|স্বার্থ|অক্ষম|অযোগ্য|বোকা|কৃপণ|হিংস"")),""valence-target অমিল"",""""),IF(COUNTIF($B:$B,B34)&gt;1,""ডুপ্লিকেট"",""""))"),"ডুপ্লিকেট")</f>
        <v>ডুপ্লিকেট</v>
      </c>
      <c r="Q34" s="5" t="str">
        <f t="shared" si="1"/>
        <v>১ আগে দেখো</v>
      </c>
    </row>
    <row r="35">
      <c r="A35" s="4">
        <v>414.0</v>
      </c>
      <c r="B35" s="2" t="s">
        <v>119</v>
      </c>
      <c r="C35" s="2" t="s">
        <v>120</v>
      </c>
      <c r="D35" s="2" t="s">
        <v>121</v>
      </c>
      <c r="E35" s="2" t="s">
        <v>210</v>
      </c>
      <c r="F35" s="2" t="b">
        <v>1</v>
      </c>
      <c r="G35" s="2" t="b">
        <v>0</v>
      </c>
      <c r="H35" s="2" t="s">
        <v>37</v>
      </c>
      <c r="I35" s="2" t="s">
        <v>32</v>
      </c>
      <c r="J35" s="2" t="s">
        <v>123</v>
      </c>
      <c r="K35" s="2" t="s">
        <v>24</v>
      </c>
      <c r="L35" s="13" t="s">
        <v>51</v>
      </c>
      <c r="M35" s="2" t="s">
        <v>26</v>
      </c>
      <c r="N35" s="11" t="s">
        <v>211</v>
      </c>
      <c r="O35" s="12" t="s">
        <v>53</v>
      </c>
      <c r="P35" s="5" t="str">
        <f>IFERROR(__xludf.DUMMYFUNCTION("TEXTJOIN("" | "",TRUE,IF(OR(D35="""",E35="""",I35="""",J35="""",H35=""""),""ফাঁকা ঘর"",""""),IF(AND(C35&lt;&gt;"""",D35&lt;&gt;"""",C35=D35),""gloss=figurative"",""""),IF(LEN(D35)&lt;15,""figurative ছোট"",""""),IF(AND(I35=""Positive"",REGEXMATCH(H35,""মূর্খ|ভণ্ড|প্রতার|"&amp;"অলস|লোভ|স্বার্থ|অক্ষম|অযোগ্য|বোকা|কৃপণ|হিংস"")),""valence-target অমিল"",""""),IF(COUNTIF($B:$B,B35)&gt;1,""ডুপ্লিকেট"",""""))"),"ডুপ্লিকেট")</f>
        <v>ডুপ্লিকেট</v>
      </c>
      <c r="Q35" s="5" t="str">
        <f t="shared" si="1"/>
        <v>১ আগে দেখো</v>
      </c>
    </row>
    <row r="36">
      <c r="A36" s="4">
        <v>423.0</v>
      </c>
      <c r="B36" s="2" t="s">
        <v>106</v>
      </c>
      <c r="C36" s="2" t="s">
        <v>107</v>
      </c>
      <c r="D36" s="2" t="s">
        <v>212</v>
      </c>
      <c r="E36" s="2" t="s">
        <v>213</v>
      </c>
      <c r="F36" s="2" t="b">
        <v>1</v>
      </c>
      <c r="G36" s="2" t="b">
        <v>0</v>
      </c>
      <c r="H36" s="2" t="s">
        <v>110</v>
      </c>
      <c r="I36" s="2" t="s">
        <v>32</v>
      </c>
      <c r="J36" s="2" t="s">
        <v>59</v>
      </c>
      <c r="K36" s="2" t="s">
        <v>24</v>
      </c>
      <c r="L36" s="13" t="s">
        <v>51</v>
      </c>
      <c r="M36" s="2" t="s">
        <v>26</v>
      </c>
      <c r="N36" s="11" t="s">
        <v>214</v>
      </c>
      <c r="O36" s="12" t="s">
        <v>53</v>
      </c>
      <c r="P36" s="5" t="str">
        <f>IFERROR(__xludf.DUMMYFUNCTION("TEXTJOIN("" | "",TRUE,IF(OR(D36="""",E36="""",I36="""",J36="""",H36=""""),""ফাঁকা ঘর"",""""),IF(AND(C36&lt;&gt;"""",D36&lt;&gt;"""",C36=D36),""gloss=figurative"",""""),IF(LEN(D36)&lt;15,""figurative ছোট"",""""),IF(AND(I36=""Positive"",REGEXMATCH(H36,""মূর্খ|ভণ্ড|প্রতার|"&amp;"অলস|লোভ|স্বার্থ|অক্ষম|অযোগ্য|বোকা|কৃপণ|হিংস"")),""valence-target অমিল"",""""),IF(COUNTIF($B:$B,B36)&gt;1,""ডুপ্লিকেট"",""""))"),"ডুপ্লিকেট")</f>
        <v>ডুপ্লিকেট</v>
      </c>
      <c r="Q36" s="5" t="str">
        <f t="shared" si="1"/>
        <v>১ আগে দেখো</v>
      </c>
    </row>
    <row r="37">
      <c r="A37" s="4">
        <v>425.0</v>
      </c>
      <c r="B37" s="2" t="s">
        <v>215</v>
      </c>
      <c r="C37" s="2" t="s">
        <v>216</v>
      </c>
      <c r="D37" s="2" t="s">
        <v>217</v>
      </c>
      <c r="E37" s="2" t="s">
        <v>218</v>
      </c>
      <c r="F37" s="2" t="b">
        <v>1</v>
      </c>
      <c r="G37" s="2" t="b">
        <v>0</v>
      </c>
      <c r="H37" s="2" t="s">
        <v>219</v>
      </c>
      <c r="I37" s="2" t="s">
        <v>22</v>
      </c>
      <c r="J37" s="2" t="s">
        <v>59</v>
      </c>
      <c r="K37" s="2" t="s">
        <v>24</v>
      </c>
      <c r="L37" s="13" t="s">
        <v>51</v>
      </c>
      <c r="M37" s="2" t="s">
        <v>26</v>
      </c>
      <c r="N37" s="11" t="s">
        <v>149</v>
      </c>
      <c r="O37" s="12" t="s">
        <v>53</v>
      </c>
      <c r="P37" s="5" t="str">
        <f>IFERROR(__xludf.DUMMYFUNCTION("TEXTJOIN("" | "",TRUE,IF(OR(D37="""",E37="""",I37="""",J37="""",H37=""""),""ফাঁকা ঘর"",""""),IF(AND(C37&lt;&gt;"""",D37&lt;&gt;"""",C37=D37),""gloss=figurative"",""""),IF(LEN(D37)&lt;15,""figurative ছোট"",""""),IF(AND(I37=""Positive"",REGEXMATCH(H37,""মূর্খ|ভণ্ড|প্রতার|"&amp;"অলস|লোভ|স্বার্থ|অক্ষম|অযোগ্য|বোকা|কৃপণ|হিংস"")),""valence-target অমিল"",""""),IF(COUNTIF($B:$B,B37)&gt;1,""ডুপ্লিকেট"",""""))"),"figurative ছোট")</f>
        <v>figurative ছোট</v>
      </c>
      <c r="Q37" s="5" t="str">
        <f t="shared" si="1"/>
        <v>১ আগে দেখো</v>
      </c>
    </row>
    <row r="38">
      <c r="A38" s="4">
        <v>464.0</v>
      </c>
      <c r="B38" s="2" t="s">
        <v>220</v>
      </c>
      <c r="C38" s="2" t="s">
        <v>221</v>
      </c>
      <c r="D38" s="2" t="s">
        <v>222</v>
      </c>
      <c r="E38" s="2" t="s">
        <v>223</v>
      </c>
      <c r="F38" s="2" t="b">
        <v>1</v>
      </c>
      <c r="G38" s="2" t="b">
        <v>0</v>
      </c>
      <c r="H38" s="2" t="s">
        <v>224</v>
      </c>
      <c r="I38" s="2" t="s">
        <v>22</v>
      </c>
      <c r="J38" s="2" t="s">
        <v>225</v>
      </c>
      <c r="K38" s="2" t="s">
        <v>24</v>
      </c>
      <c r="L38" s="13" t="s">
        <v>51</v>
      </c>
      <c r="M38" s="2" t="s">
        <v>26</v>
      </c>
      <c r="N38" s="11" t="s">
        <v>149</v>
      </c>
      <c r="O38" s="12" t="s">
        <v>53</v>
      </c>
      <c r="P38" s="5" t="str">
        <f>IFERROR(__xludf.DUMMYFUNCTION("TEXTJOIN("" | "",TRUE,IF(OR(D38="""",E38="""",I38="""",J38="""",H38=""""),""ফাঁকা ঘর"",""""),IF(AND(C38&lt;&gt;"""",D38&lt;&gt;"""",C38=D38),""gloss=figurative"",""""),IF(LEN(D38)&lt;15,""figurative ছোট"",""""),IF(AND(I38=""Positive"",REGEXMATCH(H38,""মূর্খ|ভণ্ড|প্রতার|"&amp;"অলস|লোভ|স্বার্থ|অক্ষম|অযোগ্য|বোকা|কৃপণ|হিংস"")),""valence-target অমিল"",""""),IF(COUNTIF($B:$B,B38)&gt;1,""ডুপ্লিকেট"",""""))"),"figurative ছোট")</f>
        <v>figurative ছোট</v>
      </c>
      <c r="Q38" s="5" t="str">
        <f t="shared" si="1"/>
        <v>১ আগে দেখো</v>
      </c>
    </row>
    <row r="39">
      <c r="A39" s="4">
        <v>474.0</v>
      </c>
      <c r="B39" s="2" t="s">
        <v>226</v>
      </c>
      <c r="C39" s="2" t="s">
        <v>227</v>
      </c>
      <c r="D39" s="2" t="s">
        <v>228</v>
      </c>
      <c r="E39" s="2" t="s">
        <v>229</v>
      </c>
      <c r="F39" s="2" t="b">
        <v>1</v>
      </c>
      <c r="G39" s="2" t="b">
        <v>0</v>
      </c>
      <c r="H39" s="2" t="s">
        <v>230</v>
      </c>
      <c r="I39" s="2" t="s">
        <v>32</v>
      </c>
      <c r="J39" s="2" t="s">
        <v>231</v>
      </c>
      <c r="K39" s="2" t="s">
        <v>24</v>
      </c>
      <c r="L39" s="13" t="s">
        <v>51</v>
      </c>
      <c r="M39" s="2" t="s">
        <v>26</v>
      </c>
      <c r="N39" s="11" t="s">
        <v>149</v>
      </c>
      <c r="O39" s="12" t="s">
        <v>53</v>
      </c>
      <c r="P39" s="5" t="str">
        <f>IFERROR(__xludf.DUMMYFUNCTION("TEXTJOIN("" | "",TRUE,IF(OR(D39="""",E39="""",I39="""",J39="""",H39=""""),""ফাঁকা ঘর"",""""),IF(AND(C39&lt;&gt;"""",D39&lt;&gt;"""",C39=D39),""gloss=figurative"",""""),IF(LEN(D39)&lt;15,""figurative ছোট"",""""),IF(AND(I39=""Positive"",REGEXMATCH(H39,""মূর্খ|ভণ্ড|প্রতার|"&amp;"অলস|লোভ|স্বার্থ|অক্ষম|অযোগ্য|বোকা|কৃপণ|হিংস"")),""valence-target অমিল"",""""),IF(COUNTIF($B:$B,B39)&gt;1,""ডুপ্লিকেট"",""""))"),"figurative ছোট")</f>
        <v>figurative ছোট</v>
      </c>
      <c r="Q39" s="5" t="str">
        <f t="shared" si="1"/>
        <v>১ আগে দেখো</v>
      </c>
    </row>
    <row r="40">
      <c r="A40" s="4">
        <v>483.0</v>
      </c>
      <c r="B40" s="2" t="s">
        <v>232</v>
      </c>
      <c r="C40" s="2" t="s">
        <v>233</v>
      </c>
      <c r="D40" s="2" t="s">
        <v>234</v>
      </c>
      <c r="E40" s="2" t="s">
        <v>235</v>
      </c>
      <c r="F40" s="2" t="b">
        <v>1</v>
      </c>
      <c r="G40" s="2" t="b">
        <v>0</v>
      </c>
      <c r="H40" s="2" t="s">
        <v>236</v>
      </c>
      <c r="I40" s="2" t="s">
        <v>32</v>
      </c>
      <c r="J40" s="2" t="s">
        <v>59</v>
      </c>
      <c r="K40" s="2" t="s">
        <v>24</v>
      </c>
      <c r="L40" s="13" t="s">
        <v>51</v>
      </c>
      <c r="M40" s="2" t="s">
        <v>26</v>
      </c>
      <c r="N40" s="11" t="s">
        <v>149</v>
      </c>
      <c r="O40" s="12" t="s">
        <v>53</v>
      </c>
      <c r="P40" s="5" t="str">
        <f>IFERROR(__xludf.DUMMYFUNCTION("TEXTJOIN("" | "",TRUE,IF(OR(D40="""",E40="""",I40="""",J40="""",H40=""""),""ফাঁকা ঘর"",""""),IF(AND(C40&lt;&gt;"""",D40&lt;&gt;"""",C40=D40),""gloss=figurative"",""""),IF(LEN(D40)&lt;15,""figurative ছোট"",""""),IF(AND(I40=""Positive"",REGEXMATCH(H40,""মূর্খ|ভণ্ড|প্রতার|"&amp;"অলস|লোভ|স্বার্থ|অক্ষম|অযোগ্য|বোকা|কৃপণ|হিংস"")),""valence-target অমিল"",""""),IF(COUNTIF($B:$B,B40)&gt;1,""ডুপ্লিকেট"",""""))"),"figurative ছোট")</f>
        <v>figurative ছোট</v>
      </c>
      <c r="Q40" s="5" t="str">
        <f t="shared" si="1"/>
        <v>১ আগে দেখো</v>
      </c>
    </row>
    <row r="41">
      <c r="A41" s="4">
        <v>486.0</v>
      </c>
      <c r="B41" s="2" t="s">
        <v>237</v>
      </c>
      <c r="C41" s="2" t="s">
        <v>238</v>
      </c>
      <c r="D41" s="2" t="s">
        <v>239</v>
      </c>
      <c r="E41" s="2" t="s">
        <v>240</v>
      </c>
      <c r="F41" s="2" t="b">
        <v>1</v>
      </c>
      <c r="G41" s="2" t="b">
        <v>0</v>
      </c>
      <c r="H41" s="2" t="s">
        <v>241</v>
      </c>
      <c r="I41" s="2" t="s">
        <v>22</v>
      </c>
      <c r="J41" s="2" t="s">
        <v>59</v>
      </c>
      <c r="K41" s="2" t="s">
        <v>24</v>
      </c>
      <c r="L41" s="13" t="s">
        <v>51</v>
      </c>
      <c r="M41" s="2" t="s">
        <v>26</v>
      </c>
      <c r="N41" s="11" t="s">
        <v>149</v>
      </c>
      <c r="O41" s="12" t="s">
        <v>53</v>
      </c>
      <c r="P41" s="5" t="str">
        <f>IFERROR(__xludf.DUMMYFUNCTION("TEXTJOIN("" | "",TRUE,IF(OR(D41="""",E41="""",I41="""",J41="""",H41=""""),""ফাঁকা ঘর"",""""),IF(AND(C41&lt;&gt;"""",D41&lt;&gt;"""",C41=D41),""gloss=figurative"",""""),IF(LEN(D41)&lt;15,""figurative ছোট"",""""),IF(AND(I41=""Positive"",REGEXMATCH(H41,""মূর্খ|ভণ্ড|প্রতার|"&amp;"অলস|লোভ|স্বার্থ|অক্ষম|অযোগ্য|বোকা|কৃপণ|হিংস"")),""valence-target অমিল"",""""),IF(COUNTIF($B:$B,B41)&gt;1,""ডুপ্লিকেট"",""""))"),"figurative ছোট")</f>
        <v>figurative ছোট</v>
      </c>
      <c r="Q41" s="5" t="str">
        <f t="shared" si="1"/>
        <v>১ আগে দেখো</v>
      </c>
    </row>
    <row r="42">
      <c r="A42" s="4">
        <v>488.0</v>
      </c>
      <c r="B42" s="2" t="s">
        <v>242</v>
      </c>
      <c r="C42" s="2" t="s">
        <v>243</v>
      </c>
      <c r="D42" s="2" t="s">
        <v>244</v>
      </c>
      <c r="E42" s="2" t="s">
        <v>245</v>
      </c>
      <c r="F42" s="2" t="b">
        <v>1</v>
      </c>
      <c r="G42" s="2" t="b">
        <v>0</v>
      </c>
      <c r="H42" s="2" t="s">
        <v>246</v>
      </c>
      <c r="I42" s="2" t="s">
        <v>22</v>
      </c>
      <c r="J42" s="2" t="s">
        <v>59</v>
      </c>
      <c r="K42" s="2" t="s">
        <v>24</v>
      </c>
      <c r="L42" s="13" t="s">
        <v>51</v>
      </c>
      <c r="M42" s="2" t="s">
        <v>26</v>
      </c>
      <c r="N42" s="11" t="s">
        <v>149</v>
      </c>
      <c r="O42" s="12" t="s">
        <v>53</v>
      </c>
      <c r="P42" s="5" t="str">
        <f>IFERROR(__xludf.DUMMYFUNCTION("TEXTJOIN("" | "",TRUE,IF(OR(D42="""",E42="""",I42="""",J42="""",H42=""""),""ফাঁকা ঘর"",""""),IF(AND(C42&lt;&gt;"""",D42&lt;&gt;"""",C42=D42),""gloss=figurative"",""""),IF(LEN(D42)&lt;15,""figurative ছোট"",""""),IF(AND(I42=""Positive"",REGEXMATCH(H42,""মূর্খ|ভণ্ড|প্রতার|"&amp;"অলস|লোভ|স্বার্থ|অক্ষম|অযোগ্য|বোকা|কৃপণ|হিংস"")),""valence-target অমিল"",""""),IF(COUNTIF($B:$B,B42)&gt;1,""ডুপ্লিকেট"",""""))"),"figurative ছোট")</f>
        <v>figurative ছোট</v>
      </c>
      <c r="Q42" s="5" t="str">
        <f t="shared" si="1"/>
        <v>১ আগে দেখো</v>
      </c>
    </row>
    <row r="43">
      <c r="A43" s="4">
        <v>490.0</v>
      </c>
      <c r="B43" s="2" t="s">
        <v>247</v>
      </c>
      <c r="C43" s="2" t="s">
        <v>248</v>
      </c>
      <c r="D43" s="2" t="s">
        <v>249</v>
      </c>
      <c r="E43" s="2" t="s">
        <v>250</v>
      </c>
      <c r="F43" s="2" t="b">
        <v>1</v>
      </c>
      <c r="G43" s="2" t="b">
        <v>0</v>
      </c>
      <c r="H43" s="2" t="s">
        <v>251</v>
      </c>
      <c r="I43" s="2" t="s">
        <v>22</v>
      </c>
      <c r="J43" s="2" t="s">
        <v>197</v>
      </c>
      <c r="K43" s="2" t="s">
        <v>24</v>
      </c>
      <c r="L43" s="13" t="s">
        <v>51</v>
      </c>
      <c r="M43" s="2" t="s">
        <v>26</v>
      </c>
      <c r="N43" s="11" t="s">
        <v>149</v>
      </c>
      <c r="O43" s="12" t="s">
        <v>53</v>
      </c>
      <c r="P43" s="5" t="str">
        <f>IFERROR(__xludf.DUMMYFUNCTION("TEXTJOIN("" | "",TRUE,IF(OR(D43="""",E43="""",I43="""",J43="""",H43=""""),""ফাঁকা ঘর"",""""),IF(AND(C43&lt;&gt;"""",D43&lt;&gt;"""",C43=D43),""gloss=figurative"",""""),IF(LEN(D43)&lt;15,""figurative ছোট"",""""),IF(AND(I43=""Positive"",REGEXMATCH(H43,""মূর্খ|ভণ্ড|প্রতার|"&amp;"অলস|লোভ|স্বার্থ|অক্ষম|অযোগ্য|বোকা|কৃপণ|হিংস"")),""valence-target অমিল"",""""),IF(COUNTIF($B:$B,B43)&gt;1,""ডুপ্লিকেট"",""""))"),"figurative ছোট")</f>
        <v>figurative ছোট</v>
      </c>
      <c r="Q43" s="5" t="str">
        <f t="shared" si="1"/>
        <v>১ আগে দেখো</v>
      </c>
    </row>
    <row r="44">
      <c r="A44" s="4">
        <v>494.0</v>
      </c>
      <c r="B44" s="2" t="s">
        <v>252</v>
      </c>
      <c r="C44" s="2" t="s">
        <v>253</v>
      </c>
      <c r="D44" s="2" t="s">
        <v>228</v>
      </c>
      <c r="E44" s="2" t="s">
        <v>254</v>
      </c>
      <c r="F44" s="2" t="b">
        <v>1</v>
      </c>
      <c r="G44" s="2" t="b">
        <v>0</v>
      </c>
      <c r="H44" s="2" t="s">
        <v>255</v>
      </c>
      <c r="I44" s="2" t="s">
        <v>32</v>
      </c>
      <c r="J44" s="2" t="s">
        <v>231</v>
      </c>
      <c r="K44" s="2" t="s">
        <v>24</v>
      </c>
      <c r="L44" s="13" t="s">
        <v>51</v>
      </c>
      <c r="M44" s="2" t="s">
        <v>26</v>
      </c>
      <c r="N44" s="11" t="s">
        <v>149</v>
      </c>
      <c r="O44" s="12" t="s">
        <v>53</v>
      </c>
      <c r="P44" s="5" t="str">
        <f>IFERROR(__xludf.DUMMYFUNCTION("TEXTJOIN("" | "",TRUE,IF(OR(D44="""",E44="""",I44="""",J44="""",H44=""""),""ফাঁকা ঘর"",""""),IF(AND(C44&lt;&gt;"""",D44&lt;&gt;"""",C44=D44),""gloss=figurative"",""""),IF(LEN(D44)&lt;15,""figurative ছোট"",""""),IF(AND(I44=""Positive"",REGEXMATCH(H44,""মূর্খ|ভণ্ড|প্রতার|"&amp;"অলস|লোভ|স্বার্থ|অক্ষম|অযোগ্য|বোকা|কৃপণ|হিংস"")),""valence-target অমিল"",""""),IF(COUNTIF($B:$B,B44)&gt;1,""ডুপ্লিকেট"",""""))"),"figurative ছোট")</f>
        <v>figurative ছোট</v>
      </c>
      <c r="Q44" s="5" t="str">
        <f t="shared" si="1"/>
        <v>১ আগে দেখো</v>
      </c>
    </row>
    <row r="45">
      <c r="A45" s="4">
        <v>495.0</v>
      </c>
      <c r="B45" s="2" t="s">
        <v>256</v>
      </c>
      <c r="C45" s="2" t="s">
        <v>257</v>
      </c>
      <c r="D45" s="2" t="s">
        <v>258</v>
      </c>
      <c r="E45" s="2" t="s">
        <v>259</v>
      </c>
      <c r="F45" s="2" t="b">
        <v>1</v>
      </c>
      <c r="G45" s="2" t="b">
        <v>0</v>
      </c>
      <c r="H45" s="2" t="s">
        <v>260</v>
      </c>
      <c r="I45" s="2" t="s">
        <v>49</v>
      </c>
      <c r="J45" s="2" t="s">
        <v>59</v>
      </c>
      <c r="K45" s="2" t="s">
        <v>24</v>
      </c>
      <c r="L45" s="13" t="s">
        <v>51</v>
      </c>
      <c r="M45" s="2" t="s">
        <v>26</v>
      </c>
      <c r="N45" s="11" t="s">
        <v>149</v>
      </c>
      <c r="O45" s="12" t="s">
        <v>53</v>
      </c>
      <c r="P45" s="5" t="str">
        <f>IFERROR(__xludf.DUMMYFUNCTION("TEXTJOIN("" | "",TRUE,IF(OR(D45="""",E45="""",I45="""",J45="""",H45=""""),""ফাঁকা ঘর"",""""),IF(AND(C45&lt;&gt;"""",D45&lt;&gt;"""",C45=D45),""gloss=figurative"",""""),IF(LEN(D45)&lt;15,""figurative ছোট"",""""),IF(AND(I45=""Positive"",REGEXMATCH(H45,""মূর্খ|ভণ্ড|প্রতার|"&amp;"অলস|লোভ|স্বার্থ|অক্ষম|অযোগ্য|বোকা|কৃপণ|হিংস"")),""valence-target অমিল"",""""),IF(COUNTIF($B:$B,B45)&gt;1,""ডুপ্লিকেট"",""""))"),"figurative ছোট")</f>
        <v>figurative ছোট</v>
      </c>
      <c r="Q45" s="5" t="str">
        <f t="shared" si="1"/>
        <v>১ আগে দেখো</v>
      </c>
    </row>
    <row r="46">
      <c r="A46" s="4">
        <v>498.0</v>
      </c>
      <c r="B46" s="2" t="s">
        <v>261</v>
      </c>
      <c r="C46" s="2" t="s">
        <v>262</v>
      </c>
      <c r="D46" s="2" t="s">
        <v>263</v>
      </c>
      <c r="E46" s="2" t="s">
        <v>264</v>
      </c>
      <c r="F46" s="2" t="b">
        <v>1</v>
      </c>
      <c r="G46" s="2" t="b">
        <v>0</v>
      </c>
      <c r="H46" s="2" t="s">
        <v>37</v>
      </c>
      <c r="I46" s="2" t="s">
        <v>32</v>
      </c>
      <c r="J46" s="2" t="s">
        <v>265</v>
      </c>
      <c r="K46" s="2" t="s">
        <v>24</v>
      </c>
      <c r="L46" s="13" t="s">
        <v>51</v>
      </c>
      <c r="M46" s="2" t="s">
        <v>26</v>
      </c>
      <c r="N46" s="11" t="s">
        <v>266</v>
      </c>
      <c r="O46" s="12" t="s">
        <v>53</v>
      </c>
      <c r="P46" s="5" t="str">
        <f>IFERROR(__xludf.DUMMYFUNCTION("TEXTJOIN("" | "",TRUE,IF(OR(D46="""",E46="""",I46="""",J46="""",H46=""""),""ফাঁকা ঘর"",""""),IF(AND(C46&lt;&gt;"""",D46&lt;&gt;"""",C46=D46),""gloss=figurative"",""""),IF(LEN(D46)&lt;15,""figurative ছোট"",""""),IF(AND(I46=""Positive"",REGEXMATCH(H46,""মূর্খ|ভণ্ড|প্রতার|"&amp;"অলস|লোভ|স্বার্থ|অক্ষম|অযোগ্য|বোকা|কৃপণ|হিংস"")),""valence-target অমিল"",""""),IF(COUNTIF($B:$B,B46)&gt;1,""ডুপ্লিকেট"",""""))"),"figurative ছোট")</f>
        <v>figurative ছোট</v>
      </c>
      <c r="Q46" s="5" t="str">
        <f t="shared" si="1"/>
        <v>১ আগে দেখো</v>
      </c>
    </row>
    <row r="47">
      <c r="A47" s="4">
        <v>504.0</v>
      </c>
      <c r="B47" s="2" t="s">
        <v>267</v>
      </c>
      <c r="C47" s="2" t="s">
        <v>268</v>
      </c>
      <c r="D47" s="2" t="s">
        <v>269</v>
      </c>
      <c r="E47" s="2" t="s">
        <v>270</v>
      </c>
      <c r="F47" s="2" t="b">
        <v>1</v>
      </c>
      <c r="G47" s="2" t="b">
        <v>0</v>
      </c>
      <c r="H47" s="2" t="s">
        <v>271</v>
      </c>
      <c r="I47" s="2" t="s">
        <v>22</v>
      </c>
      <c r="J47" s="2" t="s">
        <v>59</v>
      </c>
      <c r="K47" s="2" t="s">
        <v>24</v>
      </c>
      <c r="L47" s="13" t="s">
        <v>51</v>
      </c>
      <c r="M47" s="2" t="s">
        <v>26</v>
      </c>
      <c r="N47" s="11" t="s">
        <v>149</v>
      </c>
      <c r="O47" s="12" t="s">
        <v>53</v>
      </c>
      <c r="P47" s="5" t="str">
        <f>IFERROR(__xludf.DUMMYFUNCTION("TEXTJOIN("" | "",TRUE,IF(OR(D47="""",E47="""",I47="""",J47="""",H47=""""),""ফাঁকা ঘর"",""""),IF(AND(C47&lt;&gt;"""",D47&lt;&gt;"""",C47=D47),""gloss=figurative"",""""),IF(LEN(D47)&lt;15,""figurative ছোট"",""""),IF(AND(I47=""Positive"",REGEXMATCH(H47,""মূর্খ|ভণ্ড|প্রতার|"&amp;"অলস|লোভ|স্বার্থ|অক্ষম|অযোগ্য|বোকা|কৃপণ|হিংস"")),""valence-target অমিল"",""""),IF(COUNTIF($B:$B,B47)&gt;1,""ডুপ্লিকেট"",""""))"),"figurative ছোট")</f>
        <v>figurative ছোট</v>
      </c>
      <c r="Q47" s="5" t="str">
        <f t="shared" si="1"/>
        <v>১ আগে দেখো</v>
      </c>
    </row>
    <row r="48">
      <c r="A48" s="4">
        <v>507.0</v>
      </c>
      <c r="B48" s="2" t="s">
        <v>85</v>
      </c>
      <c r="C48" s="2" t="s">
        <v>272</v>
      </c>
      <c r="D48" s="2" t="s">
        <v>273</v>
      </c>
      <c r="E48" s="2" t="s">
        <v>274</v>
      </c>
      <c r="F48" s="2" t="b">
        <v>1</v>
      </c>
      <c r="G48" s="2" t="b">
        <v>0</v>
      </c>
      <c r="H48" s="2" t="s">
        <v>89</v>
      </c>
      <c r="I48" s="2" t="s">
        <v>22</v>
      </c>
      <c r="J48" s="2" t="s">
        <v>59</v>
      </c>
      <c r="K48" s="2" t="s">
        <v>24</v>
      </c>
      <c r="L48" s="13" t="s">
        <v>51</v>
      </c>
      <c r="M48" s="2" t="s">
        <v>26</v>
      </c>
      <c r="N48" s="11" t="s">
        <v>275</v>
      </c>
      <c r="O48" s="12" t="s">
        <v>53</v>
      </c>
      <c r="P48" s="5" t="str">
        <f>IFERROR(__xludf.DUMMYFUNCTION("TEXTJOIN("" | "",TRUE,IF(OR(D48="""",E48="""",I48="""",J48="""",H48=""""),""ফাঁকা ঘর"",""""),IF(AND(C48&lt;&gt;"""",D48&lt;&gt;"""",C48=D48),""gloss=figurative"",""""),IF(LEN(D48)&lt;15,""figurative ছোট"",""""),IF(AND(I48=""Positive"",REGEXMATCH(H48,""মূর্খ|ভণ্ড|প্রতার|"&amp;"অলস|লোভ|স্বার্থ|অক্ষম|অযোগ্য|বোকা|কৃপণ|হিংস"")),""valence-target অমিল"",""""),IF(COUNTIF($B:$B,B48)&gt;1,""ডুপ্লিকেট"",""""))"),"ডুপ্লিকেট")</f>
        <v>ডুপ্লিকেট</v>
      </c>
      <c r="Q48" s="5" t="str">
        <f t="shared" si="1"/>
        <v>১ আগে দেখো</v>
      </c>
    </row>
    <row r="49">
      <c r="A49" s="4">
        <v>522.0</v>
      </c>
      <c r="B49" s="2" t="s">
        <v>276</v>
      </c>
      <c r="C49" s="2" t="s">
        <v>277</v>
      </c>
      <c r="D49" s="2" t="s">
        <v>278</v>
      </c>
      <c r="E49" s="2" t="s">
        <v>279</v>
      </c>
      <c r="F49" s="2" t="b">
        <v>1</v>
      </c>
      <c r="G49" s="2" t="b">
        <v>0</v>
      </c>
      <c r="H49" s="2" t="s">
        <v>280</v>
      </c>
      <c r="I49" s="2" t="s">
        <v>32</v>
      </c>
      <c r="J49" s="2" t="s">
        <v>123</v>
      </c>
      <c r="K49" s="2" t="s">
        <v>24</v>
      </c>
      <c r="L49" s="13" t="s">
        <v>51</v>
      </c>
      <c r="M49" s="2" t="s">
        <v>26</v>
      </c>
      <c r="N49" s="11" t="s">
        <v>149</v>
      </c>
      <c r="O49" s="12" t="s">
        <v>53</v>
      </c>
      <c r="P49" s="5" t="str">
        <f>IFERROR(__xludf.DUMMYFUNCTION("TEXTJOIN("" | "",TRUE,IF(OR(D49="""",E49="""",I49="""",J49="""",H49=""""),""ফাঁকা ঘর"",""""),IF(AND(C49&lt;&gt;"""",D49&lt;&gt;"""",C49=D49),""gloss=figurative"",""""),IF(LEN(D49)&lt;15,""figurative ছোট"",""""),IF(AND(I49=""Positive"",REGEXMATCH(H49,""মূর্খ|ভণ্ড|প্রতার|"&amp;"অলস|লোভ|স্বার্থ|অক্ষম|অযোগ্য|বোকা|কৃপণ|হিংস"")),""valence-target অমিল"",""""),IF(COUNTIF($B:$B,B49)&gt;1,""ডুপ্লিকেট"",""""))"),"figurative ছোট")</f>
        <v>figurative ছোট</v>
      </c>
      <c r="Q49" s="5" t="str">
        <f t="shared" si="1"/>
        <v>১ আগে দেখো</v>
      </c>
    </row>
    <row r="50">
      <c r="A50" s="4">
        <v>529.0</v>
      </c>
      <c r="B50" s="2" t="s">
        <v>281</v>
      </c>
      <c r="C50" s="2" t="s">
        <v>282</v>
      </c>
      <c r="D50" s="2" t="s">
        <v>283</v>
      </c>
      <c r="E50" s="2" t="s">
        <v>284</v>
      </c>
      <c r="F50" s="2" t="b">
        <v>1</v>
      </c>
      <c r="G50" s="2" t="b">
        <v>0</v>
      </c>
      <c r="H50" s="2" t="s">
        <v>285</v>
      </c>
      <c r="I50" s="2" t="s">
        <v>22</v>
      </c>
      <c r="J50" s="2" t="s">
        <v>286</v>
      </c>
      <c r="K50" s="2" t="s">
        <v>24</v>
      </c>
      <c r="L50" s="13" t="s">
        <v>51</v>
      </c>
      <c r="M50" s="2" t="s">
        <v>26</v>
      </c>
      <c r="N50" s="11" t="s">
        <v>287</v>
      </c>
      <c r="O50" s="12" t="s">
        <v>53</v>
      </c>
      <c r="P50" s="5" t="str">
        <f>IFERROR(__xludf.DUMMYFUNCTION("TEXTJOIN("" | "",TRUE,IF(OR(D50="""",E50="""",I50="""",J50="""",H50=""""),""ফাঁকা ঘর"",""""),IF(AND(C50&lt;&gt;"""",D50&lt;&gt;"""",C50=D50),""gloss=figurative"",""""),IF(LEN(D50)&lt;15,""figurative ছোট"",""""),IF(AND(I50=""Positive"",REGEXMATCH(H50,""মূর্খ|ভণ্ড|প্রতার|"&amp;"অলস|লোভ|স্বার্থ|অক্ষম|অযোগ্য|বোকা|কৃপণ|হিংস"")),""valence-target অমিল"",""""),IF(COUNTIF($B:$B,B50)&gt;1,""ডুপ্লিকেট"",""""))"),"figurative ছোট")</f>
        <v>figurative ছোট</v>
      </c>
      <c r="Q50" s="5" t="str">
        <f t="shared" si="1"/>
        <v>১ আগে দেখো</v>
      </c>
    </row>
    <row r="51">
      <c r="A51" s="4">
        <v>530.0</v>
      </c>
      <c r="B51" s="2" t="s">
        <v>133</v>
      </c>
      <c r="C51" s="2" t="s">
        <v>134</v>
      </c>
      <c r="D51" s="2" t="s">
        <v>288</v>
      </c>
      <c r="E51" s="2" t="s">
        <v>289</v>
      </c>
      <c r="F51" s="2" t="b">
        <v>1</v>
      </c>
      <c r="G51" s="2" t="b">
        <v>0</v>
      </c>
      <c r="H51" s="2" t="s">
        <v>137</v>
      </c>
      <c r="I51" s="2" t="s">
        <v>22</v>
      </c>
      <c r="J51" s="2" t="s">
        <v>59</v>
      </c>
      <c r="K51" s="2" t="s">
        <v>24</v>
      </c>
      <c r="L51" s="13" t="s">
        <v>51</v>
      </c>
      <c r="M51" s="2" t="s">
        <v>26</v>
      </c>
      <c r="N51" s="11" t="s">
        <v>290</v>
      </c>
      <c r="O51" s="12" t="s">
        <v>53</v>
      </c>
      <c r="P51" s="5" t="str">
        <f>IFERROR(__xludf.DUMMYFUNCTION("TEXTJOIN("" | "",TRUE,IF(OR(D51="""",E51="""",I51="""",J51="""",H51=""""),""ফাঁকা ঘর"",""""),IF(AND(C51&lt;&gt;"""",D51&lt;&gt;"""",C51=D51),""gloss=figurative"",""""),IF(LEN(D51)&lt;15,""figurative ছোট"",""""),IF(AND(I51=""Positive"",REGEXMATCH(H51,""মূর্খ|ভণ্ড|প্রতার|"&amp;"অলস|লোভ|স্বার্থ|অক্ষম|অযোগ্য|বোকা|কৃপণ|হিংস"")),""valence-target অমিল"",""""),IF(COUNTIF($B:$B,B51)&gt;1,""ডুপ্লিকেট"",""""))"),"ডুপ্লিকেট")</f>
        <v>ডুপ্লিকেট</v>
      </c>
      <c r="Q51" s="5" t="str">
        <f t="shared" si="1"/>
        <v>১ আগে দেখো</v>
      </c>
    </row>
    <row r="52">
      <c r="A52" s="4">
        <v>532.0</v>
      </c>
      <c r="B52" s="2" t="s">
        <v>291</v>
      </c>
      <c r="C52" s="2" t="s">
        <v>292</v>
      </c>
      <c r="D52" s="2" t="s">
        <v>293</v>
      </c>
      <c r="E52" s="2" t="s">
        <v>294</v>
      </c>
      <c r="F52" s="2" t="b">
        <v>1</v>
      </c>
      <c r="G52" s="2" t="b">
        <v>0</v>
      </c>
      <c r="H52" s="2" t="s">
        <v>236</v>
      </c>
      <c r="I52" s="2" t="s">
        <v>32</v>
      </c>
      <c r="J52" s="2" t="s">
        <v>59</v>
      </c>
      <c r="K52" s="2" t="s">
        <v>24</v>
      </c>
      <c r="L52" s="13" t="s">
        <v>51</v>
      </c>
      <c r="M52" s="2" t="s">
        <v>26</v>
      </c>
      <c r="N52" s="11" t="s">
        <v>149</v>
      </c>
      <c r="O52" s="12" t="s">
        <v>53</v>
      </c>
      <c r="P52" s="5" t="str">
        <f>IFERROR(__xludf.DUMMYFUNCTION("TEXTJOIN("" | "",TRUE,IF(OR(D52="""",E52="""",I52="""",J52="""",H52=""""),""ফাঁকা ঘর"",""""),IF(AND(C52&lt;&gt;"""",D52&lt;&gt;"""",C52=D52),""gloss=figurative"",""""),IF(LEN(D52)&lt;15,""figurative ছোট"",""""),IF(AND(I52=""Positive"",REGEXMATCH(H52,""মূর্খ|ভণ্ড|প্রতার|"&amp;"অলস|লোভ|স্বার্থ|অক্ষম|অযোগ্য|বোকা|কৃপণ|হিংস"")),""valence-target অমিল"",""""),IF(COUNTIF($B:$B,B52)&gt;1,""ডুপ্লিকেট"",""""))"),"figurative ছোট")</f>
        <v>figurative ছোট</v>
      </c>
      <c r="Q52" s="5" t="str">
        <f t="shared" si="1"/>
        <v>১ আগে দেখো</v>
      </c>
    </row>
    <row r="53">
      <c r="A53" s="4">
        <v>534.0</v>
      </c>
      <c r="B53" s="2" t="s">
        <v>295</v>
      </c>
      <c r="C53" s="2" t="s">
        <v>296</v>
      </c>
      <c r="D53" s="2" t="s">
        <v>297</v>
      </c>
      <c r="E53" s="2" t="s">
        <v>298</v>
      </c>
      <c r="F53" s="2" t="b">
        <v>1</v>
      </c>
      <c r="G53" s="2" t="b">
        <v>0</v>
      </c>
      <c r="H53" s="2" t="s">
        <v>299</v>
      </c>
      <c r="I53" s="2" t="s">
        <v>32</v>
      </c>
      <c r="J53" s="2" t="s">
        <v>300</v>
      </c>
      <c r="K53" s="2" t="s">
        <v>24</v>
      </c>
      <c r="L53" s="13" t="s">
        <v>51</v>
      </c>
      <c r="M53" s="2" t="s">
        <v>26</v>
      </c>
      <c r="N53" s="11" t="s">
        <v>149</v>
      </c>
      <c r="O53" s="12" t="s">
        <v>53</v>
      </c>
      <c r="P53" s="5" t="str">
        <f>IFERROR(__xludf.DUMMYFUNCTION("TEXTJOIN("" | "",TRUE,IF(OR(D53="""",E53="""",I53="""",J53="""",H53=""""),""ফাঁকা ঘর"",""""),IF(AND(C53&lt;&gt;"""",D53&lt;&gt;"""",C53=D53),""gloss=figurative"",""""),IF(LEN(D53)&lt;15,""figurative ছোট"",""""),IF(AND(I53=""Positive"",REGEXMATCH(H53,""মূর্খ|ভণ্ড|প্রতার|"&amp;"অলস|লোভ|স্বার্থ|অক্ষম|অযোগ্য|বোকা|কৃপণ|হিংস"")),""valence-target অমিল"",""""),IF(COUNTIF($B:$B,B53)&gt;1,""ডুপ্লিকেট"",""""))"),"figurative ছোট")</f>
        <v>figurative ছোট</v>
      </c>
      <c r="Q53" s="5" t="str">
        <f t="shared" si="1"/>
        <v>১ আগে দেখো</v>
      </c>
    </row>
    <row r="54">
      <c r="A54" s="4">
        <v>537.0</v>
      </c>
      <c r="B54" s="2" t="s">
        <v>54</v>
      </c>
      <c r="C54" s="2" t="s">
        <v>301</v>
      </c>
      <c r="D54" s="2" t="s">
        <v>302</v>
      </c>
      <c r="E54" s="2" t="s">
        <v>303</v>
      </c>
      <c r="F54" s="2" t="b">
        <v>1</v>
      </c>
      <c r="G54" s="2" t="b">
        <v>0</v>
      </c>
      <c r="H54" s="2" t="s">
        <v>58</v>
      </c>
      <c r="I54" s="2" t="s">
        <v>22</v>
      </c>
      <c r="J54" s="2" t="s">
        <v>59</v>
      </c>
      <c r="K54" s="2" t="s">
        <v>24</v>
      </c>
      <c r="L54" s="13" t="s">
        <v>51</v>
      </c>
      <c r="M54" s="2" t="s">
        <v>26</v>
      </c>
      <c r="N54" s="11" t="s">
        <v>304</v>
      </c>
      <c r="O54" s="12" t="s">
        <v>53</v>
      </c>
      <c r="P54" s="5" t="str">
        <f>IFERROR(__xludf.DUMMYFUNCTION("TEXTJOIN("" | "",TRUE,IF(OR(D54="""",E54="""",I54="""",J54="""",H54=""""),""ফাঁকা ঘর"",""""),IF(AND(C54&lt;&gt;"""",D54&lt;&gt;"""",C54=D54),""gloss=figurative"",""""),IF(LEN(D54)&lt;15,""figurative ছোট"",""""),IF(AND(I54=""Positive"",REGEXMATCH(H54,""মূর্খ|ভণ্ড|প্রতার|"&amp;"অলস|লোভ|স্বার্থ|অক্ষম|অযোগ্য|বোকা|কৃপণ|হিংস"")),""valence-target অমিল"",""""),IF(COUNTIF($B:$B,B54)&gt;1,""ডুপ্লিকেট"",""""))"),"ডুপ্লিকেট")</f>
        <v>ডুপ্লিকেট</v>
      </c>
      <c r="Q54" s="5" t="str">
        <f t="shared" si="1"/>
        <v>১ আগে দেখো</v>
      </c>
    </row>
    <row r="55">
      <c r="A55" s="4">
        <v>546.0</v>
      </c>
      <c r="B55" s="2" t="s">
        <v>305</v>
      </c>
      <c r="C55" s="2" t="s">
        <v>306</v>
      </c>
      <c r="D55" s="2" t="s">
        <v>269</v>
      </c>
      <c r="E55" s="2" t="s">
        <v>307</v>
      </c>
      <c r="F55" s="2" t="b">
        <v>1</v>
      </c>
      <c r="G55" s="2" t="b">
        <v>0</v>
      </c>
      <c r="H55" s="2" t="s">
        <v>308</v>
      </c>
      <c r="I55" s="2" t="s">
        <v>22</v>
      </c>
      <c r="J55" s="2" t="s">
        <v>59</v>
      </c>
      <c r="K55" s="2" t="s">
        <v>24</v>
      </c>
      <c r="L55" s="13" t="s">
        <v>51</v>
      </c>
      <c r="M55" s="2" t="s">
        <v>26</v>
      </c>
      <c r="N55" s="11" t="s">
        <v>149</v>
      </c>
      <c r="O55" s="12" t="s">
        <v>53</v>
      </c>
      <c r="P55" s="5" t="str">
        <f>IFERROR(__xludf.DUMMYFUNCTION("TEXTJOIN("" | "",TRUE,IF(OR(D55="""",E55="""",I55="""",J55="""",H55=""""),""ফাঁকা ঘর"",""""),IF(AND(C55&lt;&gt;"""",D55&lt;&gt;"""",C55=D55),""gloss=figurative"",""""),IF(LEN(D55)&lt;15,""figurative ছোট"",""""),IF(AND(I55=""Positive"",REGEXMATCH(H55,""মূর্খ|ভণ্ড|প্রতার|"&amp;"অলস|লোভ|স্বার্থ|অক্ষম|অযোগ্য|বোকা|কৃপণ|হিংস"")),""valence-target অমিল"",""""),IF(COUNTIF($B:$B,B55)&gt;1,""ডুপ্লিকেট"",""""))"),"figurative ছোট")</f>
        <v>figurative ছোট</v>
      </c>
      <c r="Q55" s="5" t="str">
        <f t="shared" si="1"/>
        <v>১ আগে দেখো</v>
      </c>
    </row>
    <row r="56">
      <c r="A56" s="4">
        <v>548.0</v>
      </c>
      <c r="B56" s="2" t="s">
        <v>309</v>
      </c>
      <c r="C56" s="2" t="s">
        <v>310</v>
      </c>
      <c r="D56" s="2" t="s">
        <v>311</v>
      </c>
      <c r="E56" s="2" t="s">
        <v>312</v>
      </c>
      <c r="F56" s="2" t="b">
        <v>1</v>
      </c>
      <c r="G56" s="2" t="b">
        <v>0</v>
      </c>
      <c r="H56" s="2" t="s">
        <v>104</v>
      </c>
      <c r="I56" s="2" t="s">
        <v>22</v>
      </c>
      <c r="J56" s="2" t="s">
        <v>59</v>
      </c>
      <c r="K56" s="2" t="s">
        <v>24</v>
      </c>
      <c r="L56" s="13" t="s">
        <v>51</v>
      </c>
      <c r="M56" s="2" t="s">
        <v>26</v>
      </c>
      <c r="N56" s="11" t="s">
        <v>313</v>
      </c>
      <c r="O56" s="12" t="s">
        <v>53</v>
      </c>
      <c r="P56" s="5" t="str">
        <f>IFERROR(__xludf.DUMMYFUNCTION("TEXTJOIN("" | "",TRUE,IF(OR(D56="""",E56="""",I56="""",J56="""",H56=""""),""ফাঁকা ঘর"",""""),IF(AND(C56&lt;&gt;"""",D56&lt;&gt;"""",C56=D56),""gloss=figurative"",""""),IF(LEN(D56)&lt;15,""figurative ছোট"",""""),IF(AND(I56=""Positive"",REGEXMATCH(H56,""মূর্খ|ভণ্ড|প্রতার|"&amp;"অলস|লোভ|স্বার্থ|অক্ষম|অযোগ্য|বোকা|কৃপণ|হিংস"")),""valence-target অমিল"",""""),IF(COUNTIF($B:$B,B56)&gt;1,""ডুপ্লিকেট"",""""))"),"figurative ছোট | ডুপ্লিকেট")</f>
        <v>figurative ছোট | ডুপ্লিকেট</v>
      </c>
      <c r="Q56" s="5" t="str">
        <f t="shared" si="1"/>
        <v>১ আগে দেখো</v>
      </c>
    </row>
    <row r="57">
      <c r="A57" s="4">
        <v>555.0</v>
      </c>
      <c r="B57" s="2" t="s">
        <v>314</v>
      </c>
      <c r="C57" s="2" t="s">
        <v>315</v>
      </c>
      <c r="D57" s="2" t="s">
        <v>316</v>
      </c>
      <c r="E57" s="2" t="s">
        <v>317</v>
      </c>
      <c r="F57" s="2" t="b">
        <v>1</v>
      </c>
      <c r="G57" s="2" t="b">
        <v>0</v>
      </c>
      <c r="H57" s="2" t="s">
        <v>285</v>
      </c>
      <c r="I57" s="2" t="s">
        <v>32</v>
      </c>
      <c r="J57" s="2" t="s">
        <v>286</v>
      </c>
      <c r="K57" s="2" t="s">
        <v>24</v>
      </c>
      <c r="L57" s="13" t="s">
        <v>51</v>
      </c>
      <c r="M57" s="2" t="s">
        <v>26</v>
      </c>
      <c r="N57" s="11" t="s">
        <v>318</v>
      </c>
      <c r="O57" s="12" t="s">
        <v>53</v>
      </c>
      <c r="P57" s="5" t="str">
        <f>IFERROR(__xludf.DUMMYFUNCTION("TEXTJOIN("" | "",TRUE,IF(OR(D57="""",E57="""",I57="""",J57="""",H57=""""),""ফাঁকা ঘর"",""""),IF(AND(C57&lt;&gt;"""",D57&lt;&gt;"""",C57=D57),""gloss=figurative"",""""),IF(LEN(D57)&lt;15,""figurative ছোট"",""""),IF(AND(I57=""Positive"",REGEXMATCH(H57,""মূর্খ|ভণ্ড|প্রতার|"&amp;"অলস|লোভ|স্বার্থ|অক্ষম|অযোগ্য|বোকা|কৃপণ|হিংস"")),""valence-target অমিল"",""""),IF(COUNTIF($B:$B,B57)&gt;1,""ডুপ্লিকেট"",""""))"),"figurative ছোট")</f>
        <v>figurative ছোট</v>
      </c>
      <c r="Q57" s="5" t="str">
        <f t="shared" si="1"/>
        <v>১ আগে দেখো</v>
      </c>
    </row>
    <row r="58">
      <c r="A58" s="4">
        <v>562.0</v>
      </c>
      <c r="B58" s="2" t="s">
        <v>319</v>
      </c>
      <c r="C58" s="2" t="s">
        <v>320</v>
      </c>
      <c r="D58" s="2" t="s">
        <v>321</v>
      </c>
      <c r="E58" s="2" t="s">
        <v>322</v>
      </c>
      <c r="F58" s="2" t="b">
        <v>1</v>
      </c>
      <c r="G58" s="2" t="b">
        <v>0</v>
      </c>
      <c r="H58" s="2" t="s">
        <v>323</v>
      </c>
      <c r="I58" s="2" t="s">
        <v>49</v>
      </c>
      <c r="J58" s="2" t="s">
        <v>324</v>
      </c>
      <c r="K58" s="2" t="s">
        <v>24</v>
      </c>
      <c r="L58" s="13" t="s">
        <v>51</v>
      </c>
      <c r="M58" s="2" t="s">
        <v>26</v>
      </c>
      <c r="N58" s="11" t="s">
        <v>149</v>
      </c>
      <c r="O58" s="12" t="s">
        <v>53</v>
      </c>
      <c r="P58" s="5" t="str">
        <f>IFERROR(__xludf.DUMMYFUNCTION("TEXTJOIN("" | "",TRUE,IF(OR(D58="""",E58="""",I58="""",J58="""",H58=""""),""ফাঁকা ঘর"",""""),IF(AND(C58&lt;&gt;"""",D58&lt;&gt;"""",C58=D58),""gloss=figurative"",""""),IF(LEN(D58)&lt;15,""figurative ছোট"",""""),IF(AND(I58=""Positive"",REGEXMATCH(H58,""মূর্খ|ভণ্ড|প্রতার|"&amp;"অলস|লোভ|স্বার্থ|অক্ষম|অযোগ্য|বোকা|কৃপণ|হিংস"")),""valence-target অমিল"",""""),IF(COUNTIF($B:$B,B58)&gt;1,""ডুপ্লিকেট"",""""))"),"figurative ছোট")</f>
        <v>figurative ছোট</v>
      </c>
      <c r="Q58" s="5" t="str">
        <f t="shared" si="1"/>
        <v>১ আগে দেখো</v>
      </c>
    </row>
    <row r="59">
      <c r="A59" s="4">
        <v>563.0</v>
      </c>
      <c r="B59" s="2" t="s">
        <v>325</v>
      </c>
      <c r="C59" s="2" t="s">
        <v>134</v>
      </c>
      <c r="D59" s="2" t="s">
        <v>326</v>
      </c>
      <c r="E59" s="2" t="s">
        <v>327</v>
      </c>
      <c r="F59" s="2" t="b">
        <v>1</v>
      </c>
      <c r="G59" s="2" t="b">
        <v>0</v>
      </c>
      <c r="H59" s="2" t="s">
        <v>137</v>
      </c>
      <c r="I59" s="2" t="s">
        <v>22</v>
      </c>
      <c r="J59" s="2" t="s">
        <v>59</v>
      </c>
      <c r="K59" s="2" t="s">
        <v>24</v>
      </c>
      <c r="L59" s="13" t="s">
        <v>51</v>
      </c>
      <c r="M59" s="2" t="s">
        <v>26</v>
      </c>
      <c r="N59" s="11" t="s">
        <v>328</v>
      </c>
      <c r="O59" s="12" t="s">
        <v>53</v>
      </c>
      <c r="P59" s="5" t="str">
        <f>IFERROR(__xludf.DUMMYFUNCTION("TEXTJOIN("" | "",TRUE,IF(OR(D59="""",E59="""",I59="""",J59="""",H59=""""),""ফাঁকা ঘর"",""""),IF(AND(C59&lt;&gt;"""",D59&lt;&gt;"""",C59=D59),""gloss=figurative"",""""),IF(LEN(D59)&lt;15,""figurative ছোট"",""""),IF(AND(I59=""Positive"",REGEXMATCH(H59,""মূর্খ|ভণ্ড|প্রতার|"&amp;"অলস|লোভ|স্বার্থ|অক্ষম|অযোগ্য|বোকা|কৃপণ|হিংস"")),""valence-target অমিল"",""""),IF(COUNTIF($B:$B,B59)&gt;1,""ডুপ্লিকেট"",""""))"),"ডুপ্লিকেট")</f>
        <v>ডুপ্লিকেট</v>
      </c>
      <c r="Q59" s="5" t="str">
        <f t="shared" si="1"/>
        <v>১ আগে দেখো</v>
      </c>
    </row>
    <row r="60">
      <c r="A60" s="4">
        <v>567.0</v>
      </c>
      <c r="B60" s="2" t="s">
        <v>329</v>
      </c>
      <c r="C60" s="2" t="s">
        <v>330</v>
      </c>
      <c r="D60" s="2" t="s">
        <v>331</v>
      </c>
      <c r="E60" s="2" t="s">
        <v>332</v>
      </c>
      <c r="F60" s="2" t="b">
        <v>1</v>
      </c>
      <c r="G60" s="2" t="b">
        <v>0</v>
      </c>
      <c r="H60" s="2" t="s">
        <v>333</v>
      </c>
      <c r="I60" s="2" t="s">
        <v>22</v>
      </c>
      <c r="J60" s="2" t="s">
        <v>59</v>
      </c>
      <c r="K60" s="2" t="s">
        <v>24</v>
      </c>
      <c r="L60" s="13" t="s">
        <v>51</v>
      </c>
      <c r="M60" s="2" t="s">
        <v>26</v>
      </c>
      <c r="N60" s="11" t="s">
        <v>334</v>
      </c>
      <c r="O60" s="12" t="s">
        <v>53</v>
      </c>
      <c r="P60" s="5" t="str">
        <f>IFERROR(__xludf.DUMMYFUNCTION("TEXTJOIN("" | "",TRUE,IF(OR(D60="""",E60="""",I60="""",J60="""",H60=""""),""ফাঁকা ঘর"",""""),IF(AND(C60&lt;&gt;"""",D60&lt;&gt;"""",C60=D60),""gloss=figurative"",""""),IF(LEN(D60)&lt;15,""figurative ছোট"",""""),IF(AND(I60=""Positive"",REGEXMATCH(H60,""মূর্খ|ভণ্ড|প্রতার|"&amp;"অলস|লোভ|স্বার্থ|অক্ষম|অযোগ্য|বোকা|কৃপণ|হিংস"")),""valence-target অমিল"",""""),IF(COUNTIF($B:$B,B60)&gt;1,""ডুপ্লিকেট"",""""))"),"ডুপ্লিকেট")</f>
        <v>ডুপ্লিকেট</v>
      </c>
      <c r="Q60" s="5" t="str">
        <f t="shared" si="1"/>
        <v>১ আগে দেখো</v>
      </c>
    </row>
    <row r="61">
      <c r="A61" s="4">
        <v>569.0</v>
      </c>
      <c r="B61" s="2" t="s">
        <v>335</v>
      </c>
      <c r="C61" s="2" t="s">
        <v>336</v>
      </c>
      <c r="D61" s="2" t="s">
        <v>337</v>
      </c>
      <c r="E61" s="2" t="s">
        <v>338</v>
      </c>
      <c r="F61" s="2" t="b">
        <v>1</v>
      </c>
      <c r="G61" s="2" t="b">
        <v>0</v>
      </c>
      <c r="H61" s="2" t="s">
        <v>339</v>
      </c>
      <c r="I61" s="2" t="s">
        <v>49</v>
      </c>
      <c r="J61" s="2" t="s">
        <v>340</v>
      </c>
      <c r="K61" s="2" t="s">
        <v>24</v>
      </c>
      <c r="L61" s="13" t="s">
        <v>51</v>
      </c>
      <c r="M61" s="2" t="s">
        <v>26</v>
      </c>
      <c r="N61" s="11" t="s">
        <v>149</v>
      </c>
      <c r="O61" s="12" t="s">
        <v>53</v>
      </c>
      <c r="P61" s="5" t="str">
        <f>IFERROR(__xludf.DUMMYFUNCTION("TEXTJOIN("" | "",TRUE,IF(OR(D61="""",E61="""",I61="""",J61="""",H61=""""),""ফাঁকা ঘর"",""""),IF(AND(C61&lt;&gt;"""",D61&lt;&gt;"""",C61=D61),""gloss=figurative"",""""),IF(LEN(D61)&lt;15,""figurative ছোট"",""""),IF(AND(I61=""Positive"",REGEXMATCH(H61,""মূর্খ|ভণ্ড|প্রতার|"&amp;"অলস|লোভ|স্বার্থ|অক্ষম|অযোগ্য|বোকা|কৃপণ|হিংস"")),""valence-target অমিল"",""""),IF(COUNTIF($B:$B,B61)&gt;1,""ডুপ্লিকেট"",""""))"),"figurative ছোট")</f>
        <v>figurative ছোট</v>
      </c>
      <c r="Q61" s="5" t="str">
        <f t="shared" si="1"/>
        <v>১ আগে দেখো</v>
      </c>
    </row>
    <row r="62">
      <c r="A62" s="4">
        <v>577.0</v>
      </c>
      <c r="B62" s="2" t="s">
        <v>341</v>
      </c>
      <c r="C62" s="2" t="s">
        <v>342</v>
      </c>
      <c r="D62" s="2" t="s">
        <v>343</v>
      </c>
      <c r="E62" s="2" t="s">
        <v>344</v>
      </c>
      <c r="F62" s="2" t="b">
        <v>1</v>
      </c>
      <c r="G62" s="2" t="b">
        <v>0</v>
      </c>
      <c r="H62" s="2" t="s">
        <v>189</v>
      </c>
      <c r="I62" s="2" t="s">
        <v>22</v>
      </c>
      <c r="J62" s="2" t="s">
        <v>59</v>
      </c>
      <c r="K62" s="2" t="s">
        <v>24</v>
      </c>
      <c r="L62" s="13" t="s">
        <v>51</v>
      </c>
      <c r="M62" s="2" t="s">
        <v>26</v>
      </c>
      <c r="N62" s="11" t="s">
        <v>149</v>
      </c>
      <c r="O62" s="12" t="s">
        <v>53</v>
      </c>
      <c r="P62" s="5" t="str">
        <f>IFERROR(__xludf.DUMMYFUNCTION("TEXTJOIN("" | "",TRUE,IF(OR(D62="""",E62="""",I62="""",J62="""",H62=""""),""ফাঁকা ঘর"",""""),IF(AND(C62&lt;&gt;"""",D62&lt;&gt;"""",C62=D62),""gloss=figurative"",""""),IF(LEN(D62)&lt;15,""figurative ছোট"",""""),IF(AND(I62=""Positive"",REGEXMATCH(H62,""মূর্খ|ভণ্ড|প্রতার|"&amp;"অলস|লোভ|স্বার্থ|অক্ষম|অযোগ্য|বোকা|কৃপণ|হিংস"")),""valence-target অমিল"",""""),IF(COUNTIF($B:$B,B62)&gt;1,""ডুপ্লিকেট"",""""))"),"figurative ছোট")</f>
        <v>figurative ছোট</v>
      </c>
      <c r="Q62" s="5" t="str">
        <f t="shared" si="1"/>
        <v>১ আগে দেখো</v>
      </c>
    </row>
    <row r="63">
      <c r="A63" s="4">
        <v>581.0</v>
      </c>
      <c r="B63" s="2" t="s">
        <v>125</v>
      </c>
      <c r="C63" s="2" t="s">
        <v>126</v>
      </c>
      <c r="D63" s="2" t="s">
        <v>127</v>
      </c>
      <c r="E63" s="2" t="s">
        <v>345</v>
      </c>
      <c r="F63" s="2" t="b">
        <v>1</v>
      </c>
      <c r="G63" s="2" t="b">
        <v>0</v>
      </c>
      <c r="H63" s="2" t="s">
        <v>110</v>
      </c>
      <c r="I63" s="2" t="s">
        <v>22</v>
      </c>
      <c r="J63" s="2" t="s">
        <v>59</v>
      </c>
      <c r="K63" s="2" t="s">
        <v>24</v>
      </c>
      <c r="L63" s="13" t="s">
        <v>51</v>
      </c>
      <c r="M63" s="2" t="s">
        <v>26</v>
      </c>
      <c r="N63" s="11" t="s">
        <v>346</v>
      </c>
      <c r="O63" s="12" t="s">
        <v>53</v>
      </c>
      <c r="P63" s="5" t="str">
        <f>IFERROR(__xludf.DUMMYFUNCTION("TEXTJOIN("" | "",TRUE,IF(OR(D63="""",E63="""",I63="""",J63="""",H63=""""),""ফাঁকা ঘর"",""""),IF(AND(C63&lt;&gt;"""",D63&lt;&gt;"""",C63=D63),""gloss=figurative"",""""),IF(LEN(D63)&lt;15,""figurative ছোট"",""""),IF(AND(I63=""Positive"",REGEXMATCH(H63,""মূর্খ|ভণ্ড|প্রতার|"&amp;"অলস|লোভ|স্বার্থ|অক্ষম|অযোগ্য|বোকা|কৃপণ|হিংস"")),""valence-target অমিল"",""""),IF(COUNTIF($B:$B,B63)&gt;1,""ডুপ্লিকেট"",""""))"),"ডুপ্লিকেট")</f>
        <v>ডুপ্লিকেট</v>
      </c>
      <c r="Q63" s="5" t="str">
        <f t="shared" si="1"/>
        <v>১ আগে দেখো</v>
      </c>
    </row>
    <row r="64">
      <c r="A64" s="4">
        <v>583.0</v>
      </c>
      <c r="B64" s="2" t="s">
        <v>347</v>
      </c>
      <c r="C64" s="2" t="s">
        <v>348</v>
      </c>
      <c r="D64" s="2" t="s">
        <v>349</v>
      </c>
      <c r="E64" s="2" t="s">
        <v>350</v>
      </c>
      <c r="F64" s="2" t="b">
        <v>1</v>
      </c>
      <c r="G64" s="2" t="b">
        <v>0</v>
      </c>
      <c r="H64" s="2" t="s">
        <v>351</v>
      </c>
      <c r="I64" s="2" t="s">
        <v>49</v>
      </c>
      <c r="J64" s="2" t="s">
        <v>123</v>
      </c>
      <c r="K64" s="2" t="s">
        <v>24</v>
      </c>
      <c r="L64" s="13" t="s">
        <v>51</v>
      </c>
      <c r="M64" s="2" t="s">
        <v>26</v>
      </c>
      <c r="N64" s="11" t="s">
        <v>149</v>
      </c>
      <c r="O64" s="12" t="s">
        <v>53</v>
      </c>
      <c r="P64" s="5" t="str">
        <f>IFERROR(__xludf.DUMMYFUNCTION("TEXTJOIN("" | "",TRUE,IF(OR(D64="""",E64="""",I64="""",J64="""",H64=""""),""ফাঁকা ঘর"",""""),IF(AND(C64&lt;&gt;"""",D64&lt;&gt;"""",C64=D64),""gloss=figurative"",""""),IF(LEN(D64)&lt;15,""figurative ছোট"",""""),IF(AND(I64=""Positive"",REGEXMATCH(H64,""মূর্খ|ভণ্ড|প্রতার|"&amp;"অলস|লোভ|স্বার্থ|অক্ষম|অযোগ্য|বোকা|কৃপণ|হিংস"")),""valence-target অমিল"",""""),IF(COUNTIF($B:$B,B64)&gt;1,""ডুপ্লিকেট"",""""))"),"figurative ছোট")</f>
        <v>figurative ছোট</v>
      </c>
      <c r="Q64" s="5" t="str">
        <f t="shared" si="1"/>
        <v>১ আগে দেখো</v>
      </c>
    </row>
    <row r="65">
      <c r="A65" s="4">
        <v>601.0</v>
      </c>
      <c r="B65" s="2" t="s">
        <v>352</v>
      </c>
      <c r="C65" s="2" t="s">
        <v>353</v>
      </c>
      <c r="D65" s="2" t="s">
        <v>354</v>
      </c>
      <c r="E65" s="2" t="s">
        <v>355</v>
      </c>
      <c r="F65" s="2" t="b">
        <v>1</v>
      </c>
      <c r="G65" s="2" t="b">
        <v>0</v>
      </c>
      <c r="H65" s="2" t="s">
        <v>356</v>
      </c>
      <c r="I65" s="2" t="s">
        <v>32</v>
      </c>
      <c r="J65" s="2" t="s">
        <v>357</v>
      </c>
      <c r="K65" s="2" t="s">
        <v>24</v>
      </c>
      <c r="L65" s="13" t="s">
        <v>51</v>
      </c>
      <c r="M65" s="2" t="s">
        <v>26</v>
      </c>
      <c r="N65" s="11" t="s">
        <v>358</v>
      </c>
      <c r="O65" s="12" t="s">
        <v>53</v>
      </c>
      <c r="P65" s="5" t="str">
        <f>IFERROR(__xludf.DUMMYFUNCTION("TEXTJOIN("" | "",TRUE,IF(OR(D65="""",E65="""",I65="""",J65="""",H65=""""),""ফাঁকা ঘর"",""""),IF(AND(C65&lt;&gt;"""",D65&lt;&gt;"""",C65=D65),""gloss=figurative"",""""),IF(LEN(D65)&lt;15,""figurative ছোট"",""""),IF(AND(I65=""Positive"",REGEXMATCH(H65,""মূর্খ|ভণ্ড|প্রতার|"&amp;"অলস|লোভ|স্বার্থ|অক্ষম|অযোগ্য|বোকা|কৃপণ|হিংস"")),""valence-target অমিল"",""""),IF(COUNTIF($B:$B,B65)&gt;1,""ডুপ্লিকেট"",""""))"),"figurative ছোট")</f>
        <v>figurative ছোট</v>
      </c>
      <c r="Q65" s="5" t="str">
        <f t="shared" si="1"/>
        <v>১ আগে দেখো</v>
      </c>
    </row>
    <row r="66">
      <c r="A66" s="4">
        <v>613.0</v>
      </c>
      <c r="B66" s="2" t="s">
        <v>359</v>
      </c>
      <c r="C66" s="2" t="s">
        <v>360</v>
      </c>
      <c r="D66" s="2" t="s">
        <v>263</v>
      </c>
      <c r="E66" s="2" t="s">
        <v>361</v>
      </c>
      <c r="F66" s="2" t="b">
        <v>1</v>
      </c>
      <c r="G66" s="2" t="b">
        <v>0</v>
      </c>
      <c r="H66" s="2" t="s">
        <v>37</v>
      </c>
      <c r="I66" s="2" t="s">
        <v>32</v>
      </c>
      <c r="J66" s="2" t="s">
        <v>265</v>
      </c>
      <c r="K66" s="2" t="s">
        <v>24</v>
      </c>
      <c r="L66" s="13" t="s">
        <v>51</v>
      </c>
      <c r="M66" s="2" t="s">
        <v>26</v>
      </c>
      <c r="N66" s="11" t="s">
        <v>362</v>
      </c>
      <c r="O66" s="12" t="s">
        <v>53</v>
      </c>
      <c r="P66" s="5" t="str">
        <f>IFERROR(__xludf.DUMMYFUNCTION("TEXTJOIN("" | "",TRUE,IF(OR(D66="""",E66="""",I66="""",J66="""",H66=""""),""ফাঁকা ঘর"",""""),IF(AND(C66&lt;&gt;"""",D66&lt;&gt;"""",C66=D66),""gloss=figurative"",""""),IF(LEN(D66)&lt;15,""figurative ছোট"",""""),IF(AND(I66=""Positive"",REGEXMATCH(H66,""মূর্খ|ভণ্ড|প্রতার|"&amp;"অলস|লোভ|স্বার্থ|অক্ষম|অযোগ্য|বোকা|কৃপণ|হিংস"")),""valence-target অমিল"",""""),IF(COUNTIF($B:$B,B66)&gt;1,""ডুপ্লিকেট"",""""))"),"figurative ছোট")</f>
        <v>figurative ছোট</v>
      </c>
      <c r="Q66" s="5" t="str">
        <f t="shared" si="1"/>
        <v>১ আগে দেখো</v>
      </c>
    </row>
    <row r="67">
      <c r="A67" s="4">
        <v>621.0</v>
      </c>
      <c r="B67" s="2" t="s">
        <v>363</v>
      </c>
      <c r="C67" s="2" t="s">
        <v>364</v>
      </c>
      <c r="D67" s="2" t="s">
        <v>365</v>
      </c>
      <c r="E67" s="2" t="s">
        <v>366</v>
      </c>
      <c r="F67" s="2" t="b">
        <v>1</v>
      </c>
      <c r="G67" s="2" t="b">
        <v>0</v>
      </c>
      <c r="H67" s="2" t="s">
        <v>65</v>
      </c>
      <c r="I67" s="2" t="s">
        <v>22</v>
      </c>
      <c r="J67" s="2" t="s">
        <v>59</v>
      </c>
      <c r="K67" s="2" t="s">
        <v>24</v>
      </c>
      <c r="L67" s="13" t="s">
        <v>51</v>
      </c>
      <c r="M67" s="2" t="s">
        <v>26</v>
      </c>
      <c r="N67" s="11" t="s">
        <v>367</v>
      </c>
      <c r="O67" s="12" t="s">
        <v>53</v>
      </c>
      <c r="P67" s="5" t="str">
        <f>IFERROR(__xludf.DUMMYFUNCTION("TEXTJOIN("" | "",TRUE,IF(OR(D67="""",E67="""",I67="""",J67="""",H67=""""),""ফাঁকা ঘর"",""""),IF(AND(C67&lt;&gt;"""",D67&lt;&gt;"""",C67=D67),""gloss=figurative"",""""),IF(LEN(D67)&lt;15,""figurative ছোট"",""""),IF(AND(I67=""Positive"",REGEXMATCH(H67,""মূর্খ|ভণ্ড|প্রতার|"&amp;"অলস|লোভ|স্বার্থ|অক্ষম|অযোগ্য|বোকা|কৃপণ|হিংস"")),""valence-target অমিল"",""""),IF(COUNTIF($B:$B,B67)&gt;1,""ডুপ্লিকেট"",""""))"),"ডুপ্লিকেট")</f>
        <v>ডুপ্লিকেট</v>
      </c>
      <c r="Q67" s="5" t="str">
        <f t="shared" si="1"/>
        <v>১ আগে দেখো</v>
      </c>
    </row>
    <row r="68">
      <c r="A68" s="4">
        <v>622.0</v>
      </c>
      <c r="B68" s="2" t="s">
        <v>363</v>
      </c>
      <c r="C68" s="2" t="s">
        <v>364</v>
      </c>
      <c r="D68" s="2" t="s">
        <v>368</v>
      </c>
      <c r="E68" s="2" t="s">
        <v>369</v>
      </c>
      <c r="F68" s="2" t="b">
        <v>1</v>
      </c>
      <c r="G68" s="2" t="b">
        <v>0</v>
      </c>
      <c r="H68" s="2" t="s">
        <v>370</v>
      </c>
      <c r="I68" s="2" t="s">
        <v>22</v>
      </c>
      <c r="J68" s="2" t="s">
        <v>59</v>
      </c>
      <c r="K68" s="2" t="s">
        <v>24</v>
      </c>
      <c r="L68" s="13" t="s">
        <v>51</v>
      </c>
      <c r="M68" s="2" t="s">
        <v>26</v>
      </c>
      <c r="N68" s="11" t="s">
        <v>371</v>
      </c>
      <c r="O68" s="12" t="s">
        <v>53</v>
      </c>
      <c r="P68" s="5" t="str">
        <f>IFERROR(__xludf.DUMMYFUNCTION("TEXTJOIN("" | "",TRUE,IF(OR(D68="""",E68="""",I68="""",J68="""",H68=""""),""ফাঁকা ঘর"",""""),IF(AND(C68&lt;&gt;"""",D68&lt;&gt;"""",C68=D68),""gloss=figurative"",""""),IF(LEN(D68)&lt;15,""figurative ছোট"",""""),IF(AND(I68=""Positive"",REGEXMATCH(H68,""মূর্খ|ভণ্ড|প্রতার|"&amp;"অলস|লোভ|স্বার্থ|অক্ষম|অযোগ্য|বোকা|কৃপণ|হিংস"")),""valence-target অমিল"",""""),IF(COUNTIF($B:$B,B68)&gt;1,""ডুপ্লিকেট"",""""))"),"ডুপ্লিকেট")</f>
        <v>ডুপ্লিকেট</v>
      </c>
      <c r="Q68" s="5" t="str">
        <f t="shared" si="1"/>
        <v>১ আগে দেখো</v>
      </c>
    </row>
    <row r="69">
      <c r="A69" s="4">
        <v>636.0</v>
      </c>
      <c r="B69" s="2" t="s">
        <v>329</v>
      </c>
      <c r="C69" s="2" t="s">
        <v>372</v>
      </c>
      <c r="D69" s="2" t="s">
        <v>373</v>
      </c>
      <c r="E69" s="2" t="s">
        <v>374</v>
      </c>
      <c r="F69" s="2" t="b">
        <v>1</v>
      </c>
      <c r="G69" s="2" t="b">
        <v>0</v>
      </c>
      <c r="H69" s="2" t="s">
        <v>375</v>
      </c>
      <c r="I69" s="2" t="s">
        <v>22</v>
      </c>
      <c r="J69" s="2" t="s">
        <v>59</v>
      </c>
      <c r="K69" s="2" t="s">
        <v>376</v>
      </c>
      <c r="L69" s="13" t="s">
        <v>377</v>
      </c>
      <c r="M69" s="2" t="s">
        <v>26</v>
      </c>
      <c r="N69" s="11" t="s">
        <v>378</v>
      </c>
      <c r="O69" s="12" t="s">
        <v>53</v>
      </c>
      <c r="P69" s="5" t="str">
        <f>IFERROR(__xludf.DUMMYFUNCTION("TEXTJOIN("" | "",TRUE,IF(OR(D69="""",E69="""",I69="""",J69="""",H69=""""),""ফাঁকা ঘর"",""""),IF(AND(C69&lt;&gt;"""",D69&lt;&gt;"""",C69=D69),""gloss=figurative"",""""),IF(LEN(D69)&lt;15,""figurative ছোট"",""""),IF(AND(I69=""Positive"",REGEXMATCH(H69,""মূর্খ|ভণ্ড|প্রতার|"&amp;"অলস|লোভ|স্বার্থ|অক্ষম|অযোগ্য|বোকা|কৃপণ|হিংস"")),""valence-target অমিল"",""""),IF(COUNTIF($B:$B,B69)&gt;1,""ডুপ্লিকেট"",""""))"),"ডুপ্লিকেট")</f>
        <v>ডুপ্লিকেট</v>
      </c>
      <c r="Q69" s="5" t="str">
        <f t="shared" si="1"/>
        <v>১ আগে দেখো</v>
      </c>
    </row>
    <row r="70">
      <c r="A70" s="4">
        <v>664.0</v>
      </c>
      <c r="B70" s="2" t="s">
        <v>379</v>
      </c>
      <c r="C70" s="2" t="s">
        <v>380</v>
      </c>
      <c r="D70" s="2" t="s">
        <v>381</v>
      </c>
      <c r="E70" s="2" t="s">
        <v>382</v>
      </c>
      <c r="F70" s="2" t="b">
        <v>1</v>
      </c>
      <c r="G70" s="2" t="b">
        <v>0</v>
      </c>
      <c r="H70" s="2" t="s">
        <v>189</v>
      </c>
      <c r="I70" s="2" t="s">
        <v>49</v>
      </c>
      <c r="J70" s="2" t="s">
        <v>50</v>
      </c>
      <c r="K70" s="2" t="s">
        <v>376</v>
      </c>
      <c r="L70" s="13" t="s">
        <v>377</v>
      </c>
      <c r="M70" s="2" t="s">
        <v>26</v>
      </c>
      <c r="N70" s="11" t="s">
        <v>383</v>
      </c>
      <c r="O70" s="12" t="s">
        <v>53</v>
      </c>
      <c r="P70" s="5" t="str">
        <f>IFERROR(__xludf.DUMMYFUNCTION("TEXTJOIN("" | "",TRUE,IF(OR(D70="""",E70="""",I70="""",J70="""",H70=""""),""ফাঁকা ঘর"",""""),IF(AND(C70&lt;&gt;"""",D70&lt;&gt;"""",C70=D70),""gloss=figurative"",""""),IF(LEN(D70)&lt;15,""figurative ছোট"",""""),IF(AND(I70=""Positive"",REGEXMATCH(H70,""মূর্খ|ভণ্ড|প্রতার|"&amp;"অলস|লোভ|স্বার্থ|অক্ষম|অযোগ্য|বোকা|কৃপণ|হিংস"")),""valence-target অমিল"",""""),IF(COUNTIF($B:$B,B70)&gt;1,""ডুপ্লিকেট"",""""))"),"valence-target অমিল")</f>
        <v>valence-target অমিল</v>
      </c>
      <c r="Q70" s="5" t="str">
        <f t="shared" si="1"/>
        <v>১ আগে দেখো</v>
      </c>
    </row>
    <row r="71">
      <c r="A71" s="4">
        <v>707.0</v>
      </c>
      <c r="B71" s="2" t="s">
        <v>139</v>
      </c>
      <c r="C71" s="2" t="s">
        <v>34</v>
      </c>
      <c r="D71" s="2" t="s">
        <v>140</v>
      </c>
      <c r="E71" s="2" t="s">
        <v>384</v>
      </c>
      <c r="F71" s="2" t="b">
        <v>1</v>
      </c>
      <c r="G71" s="2" t="b">
        <v>0</v>
      </c>
      <c r="H71" s="2" t="s">
        <v>37</v>
      </c>
      <c r="I71" s="2" t="s">
        <v>32</v>
      </c>
      <c r="J71" s="2" t="s">
        <v>142</v>
      </c>
      <c r="K71" s="2" t="s">
        <v>376</v>
      </c>
      <c r="L71" s="13" t="s">
        <v>377</v>
      </c>
      <c r="M71" s="2" t="s">
        <v>26</v>
      </c>
      <c r="N71" s="11" t="s">
        <v>385</v>
      </c>
      <c r="O71" s="12" t="s">
        <v>53</v>
      </c>
      <c r="P71" s="5" t="str">
        <f>IFERROR(__xludf.DUMMYFUNCTION("TEXTJOIN("" | "",TRUE,IF(OR(D71="""",E71="""",I71="""",J71="""",H71=""""),""ফাঁকা ঘর"",""""),IF(AND(C71&lt;&gt;"""",D71&lt;&gt;"""",C71=D71),""gloss=figurative"",""""),IF(LEN(D71)&lt;15,""figurative ছোট"",""""),IF(AND(I71=""Positive"",REGEXMATCH(H71,""মূর্খ|ভণ্ড|প্রতার|"&amp;"অলস|লোভ|স্বার্থ|অক্ষম|অযোগ্য|বোকা|কৃপণ|হিংস"")),""valence-target অমিল"",""""),IF(COUNTIF($B:$B,B71)&gt;1,""ডুপ্লিকেট"",""""))"),"ডুপ্লিকেট")</f>
        <v>ডুপ্লিকেট</v>
      </c>
      <c r="Q71" s="5" t="str">
        <f t="shared" si="1"/>
        <v>১ আগে দেখো</v>
      </c>
    </row>
    <row r="72">
      <c r="A72" s="4">
        <v>850.0</v>
      </c>
      <c r="B72" s="2" t="s">
        <v>386</v>
      </c>
      <c r="C72" s="2" t="s">
        <v>387</v>
      </c>
      <c r="D72" s="2" t="s">
        <v>388</v>
      </c>
      <c r="E72" s="2" t="s">
        <v>389</v>
      </c>
      <c r="F72" s="2" t="b">
        <v>1</v>
      </c>
      <c r="G72" s="2" t="b">
        <v>0</v>
      </c>
      <c r="H72" s="2" t="s">
        <v>390</v>
      </c>
      <c r="I72" s="2" t="s">
        <v>22</v>
      </c>
      <c r="J72" s="2" t="s">
        <v>123</v>
      </c>
      <c r="K72" s="2" t="s">
        <v>376</v>
      </c>
      <c r="L72" s="2" t="s">
        <v>391</v>
      </c>
      <c r="M72" s="2" t="s">
        <v>26</v>
      </c>
      <c r="N72" s="11" t="s">
        <v>149</v>
      </c>
      <c r="O72" s="12" t="s">
        <v>53</v>
      </c>
      <c r="P72" s="5" t="str">
        <f>IFERROR(__xludf.DUMMYFUNCTION("TEXTJOIN("" | "",TRUE,IF(OR(D72="""",E72="""",I72="""",J72="""",H72=""""),""ফাঁকা ঘর"",""""),IF(AND(C72&lt;&gt;"""",D72&lt;&gt;"""",C72=D72),""gloss=figurative"",""""),IF(LEN(D72)&lt;15,""figurative ছোট"",""""),IF(AND(I72=""Positive"",REGEXMATCH(H72,""মূর্খ|ভণ্ড|প্রতার|"&amp;"অলস|লোভ|স্বার্থ|অক্ষম|অযোগ্য|বোকা|কৃপণ|হিংস"")),""valence-target অমিল"",""""),IF(COUNTIF($B:$B,B72)&gt;1,""ডুপ্লিকেট"",""""))"),"figurative ছোট")</f>
        <v>figurative ছোট</v>
      </c>
      <c r="Q72" s="5" t="str">
        <f t="shared" si="1"/>
        <v>১ আগে দেখো</v>
      </c>
    </row>
    <row r="73">
      <c r="A73" s="4">
        <v>861.0</v>
      </c>
      <c r="B73" s="2" t="s">
        <v>392</v>
      </c>
      <c r="C73" s="2" t="s">
        <v>393</v>
      </c>
      <c r="D73" s="2" t="s">
        <v>394</v>
      </c>
      <c r="E73" s="2" t="s">
        <v>395</v>
      </c>
      <c r="F73" s="2" t="b">
        <v>1</v>
      </c>
      <c r="G73" s="2" t="b">
        <v>0</v>
      </c>
      <c r="H73" s="2" t="s">
        <v>396</v>
      </c>
      <c r="I73" s="2" t="s">
        <v>22</v>
      </c>
      <c r="J73" s="2" t="s">
        <v>123</v>
      </c>
      <c r="K73" s="2" t="s">
        <v>376</v>
      </c>
      <c r="L73" s="2" t="s">
        <v>391</v>
      </c>
      <c r="M73" s="2" t="s">
        <v>26</v>
      </c>
      <c r="N73" s="11" t="s">
        <v>397</v>
      </c>
      <c r="O73" s="12" t="s">
        <v>53</v>
      </c>
      <c r="P73" s="5" t="str">
        <f>IFERROR(__xludf.DUMMYFUNCTION("TEXTJOIN("" | "",TRUE,IF(OR(D73="""",E73="""",I73="""",J73="""",H73=""""),""ফাঁকা ঘর"",""""),IF(AND(C73&lt;&gt;"""",D73&lt;&gt;"""",C73=D73),""gloss=figurative"",""""),IF(LEN(D73)&lt;15,""figurative ছোট"",""""),IF(AND(I73=""Positive"",REGEXMATCH(H73,""মূর্খ|ভণ্ড|প্রতার|"&amp;"অলস|লোভ|স্বার্থ|অক্ষম|অযোগ্য|বোকা|কৃপণ|হিংস"")),""valence-target অমিল"",""""),IF(COUNTIF($B:$B,B73)&gt;1,""ডুপ্লিকেট"",""""))"),"figurative ছোট")</f>
        <v>figurative ছোট</v>
      </c>
      <c r="Q73" s="5" t="str">
        <f t="shared" si="1"/>
        <v>১ আগে দেখো</v>
      </c>
    </row>
    <row r="74">
      <c r="A74" s="3">
        <v>924.0</v>
      </c>
      <c r="B74" s="3" t="s">
        <v>398</v>
      </c>
      <c r="C74" s="3" t="s">
        <v>398</v>
      </c>
      <c r="D74" s="3" t="s">
        <v>399</v>
      </c>
      <c r="E74" s="3" t="s">
        <v>400</v>
      </c>
      <c r="F74" s="3" t="b">
        <v>1</v>
      </c>
      <c r="G74" s="3" t="b">
        <v>0</v>
      </c>
      <c r="H74" s="3" t="s">
        <v>401</v>
      </c>
      <c r="I74" s="3" t="s">
        <v>32</v>
      </c>
      <c r="J74" s="3" t="s">
        <v>59</v>
      </c>
      <c r="N74" s="11" t="s">
        <v>402</v>
      </c>
      <c r="O74" s="12" t="s">
        <v>53</v>
      </c>
      <c r="P74" s="5" t="str">
        <f>IFERROR(__xludf.DUMMYFUNCTION("TEXTJOIN("" | "",TRUE,IF(OR(D74="""",E74="""",I74="""",J74="""",H74=""""),""ফাঁকা ঘর"",""""),IF(AND(C74&lt;&gt;"""",D74&lt;&gt;"""",C74=D74),""gloss=figurative"",""""),IF(LEN(D74)&lt;15,""figurative ছোট"",""""),IF(AND(I74=""Positive"",REGEXMATCH(H74,""মূর্খ|ভণ্ড|প্রতার|"&amp;"অলস|লোভ|স্বার্থ|অক্ষম|অযোগ্য|বোকা|কৃপণ|হিংস"")),""valence-target অমিল"",""""),IF(COUNTIF($B:$B,B74)&gt;1,""ডুপ্লিকেট"",""""))"),"ডুপ্লিকেট")</f>
        <v>ডুপ্লিকেট</v>
      </c>
      <c r="Q74" s="5" t="str">
        <f t="shared" si="1"/>
        <v>১ আগে দেখো</v>
      </c>
    </row>
    <row r="75">
      <c r="A75" s="3">
        <v>926.0</v>
      </c>
      <c r="B75" s="3" t="s">
        <v>403</v>
      </c>
      <c r="C75" s="3" t="s">
        <v>404</v>
      </c>
      <c r="N75" s="11" t="s">
        <v>405</v>
      </c>
      <c r="O75" s="12" t="s">
        <v>53</v>
      </c>
      <c r="P75" s="5" t="str">
        <f>IFERROR(__xludf.DUMMYFUNCTION("TEXTJOIN("" | "",TRUE,IF(OR(D75="""",E75="""",I75="""",J75="""",H75=""""),""ফাঁকা ঘর"",""""),IF(AND(C75&lt;&gt;"""",D75&lt;&gt;"""",C75=D75),""gloss=figurative"",""""),IF(LEN(D75)&lt;15,""figurative ছোট"",""""),IF(AND(I75=""Positive"",REGEXMATCH(H75,""মূর্খ|ভণ্ড|প্রতার|"&amp;"অলস|লোভ|স্বার্থ|অক্ষম|অযোগ্য|বোকা|কৃপণ|হিংস"")),""valence-target অমিল"",""""),IF(COUNTIF($B:$B,B75)&gt;1,""ডুপ্লিকেট"",""""))"),"ফাঁকা ঘর | figurative ছোট")</f>
        <v>ফাঁকা ঘর | figurative ছোট</v>
      </c>
      <c r="Q75" s="5" t="str">
        <f t="shared" si="1"/>
        <v>১ আগে দেখো</v>
      </c>
    </row>
    <row r="76">
      <c r="A76" s="4">
        <v>927.0</v>
      </c>
      <c r="B76" s="2" t="s">
        <v>406</v>
      </c>
      <c r="C76" s="2" t="s">
        <v>407</v>
      </c>
      <c r="D76" s="2" t="s">
        <v>408</v>
      </c>
      <c r="E76" s="2" t="s">
        <v>409</v>
      </c>
      <c r="F76" s="2" t="b">
        <v>1</v>
      </c>
      <c r="G76" s="2" t="b">
        <v>1</v>
      </c>
      <c r="H76" s="2" t="s">
        <v>104</v>
      </c>
      <c r="I76" s="2" t="s">
        <v>22</v>
      </c>
      <c r="J76" s="2" t="s">
        <v>59</v>
      </c>
      <c r="K76" s="2" t="s">
        <v>376</v>
      </c>
      <c r="L76" s="2" t="s">
        <v>391</v>
      </c>
      <c r="M76" s="2" t="s">
        <v>26</v>
      </c>
      <c r="N76" s="11" t="s">
        <v>410</v>
      </c>
      <c r="O76" s="12" t="s">
        <v>53</v>
      </c>
      <c r="P76" s="5" t="str">
        <f>IFERROR(__xludf.DUMMYFUNCTION("TEXTJOIN("" | "",TRUE,IF(OR(D76="""",E76="""",I76="""",J76="""",H76=""""),""ফাঁকা ঘর"",""""),IF(AND(C76&lt;&gt;"""",D76&lt;&gt;"""",C76=D76),""gloss=figurative"",""""),IF(LEN(D76)&lt;15,""figurative ছোট"",""""),IF(AND(I76=""Positive"",REGEXMATCH(H76,""মূর্খ|ভণ্ড|প্রতার|"&amp;"অলস|লোভ|স্বার্থ|অক্ষম|অযোগ্য|বোকা|কৃপণ|হিংস"")),""valence-target অমিল"",""""),IF(COUNTIF($B:$B,B76)&gt;1,""ডুপ্লিকেট"",""""))"),"ডুপ্লিকেট")</f>
        <v>ডুপ্লিকেট</v>
      </c>
      <c r="Q76" s="5" t="str">
        <f t="shared" si="1"/>
        <v>১ আগে দেখো</v>
      </c>
    </row>
    <row r="77">
      <c r="A77" s="4">
        <v>956.0</v>
      </c>
      <c r="B77" s="2" t="s">
        <v>411</v>
      </c>
      <c r="C77" s="2" t="s">
        <v>178</v>
      </c>
      <c r="D77" s="2" t="s">
        <v>179</v>
      </c>
      <c r="E77" s="2" t="s">
        <v>412</v>
      </c>
      <c r="F77" s="2" t="b">
        <v>1</v>
      </c>
      <c r="G77" s="2" t="b">
        <v>0</v>
      </c>
      <c r="H77" s="2" t="s">
        <v>181</v>
      </c>
      <c r="I77" s="2" t="s">
        <v>32</v>
      </c>
      <c r="J77" s="2" t="s">
        <v>413</v>
      </c>
      <c r="K77" s="2" t="s">
        <v>376</v>
      </c>
      <c r="L77" s="2" t="s">
        <v>391</v>
      </c>
      <c r="M77" s="2" t="s">
        <v>26</v>
      </c>
      <c r="N77" s="11" t="s">
        <v>414</v>
      </c>
      <c r="O77" s="12" t="s">
        <v>53</v>
      </c>
      <c r="P77" s="5" t="str">
        <f>IFERROR(__xludf.DUMMYFUNCTION("TEXTJOIN("" | "",TRUE,IF(OR(D77="""",E77="""",I77="""",J77="""",H77=""""),""ফাঁকা ঘর"",""""),IF(AND(C77&lt;&gt;"""",D77&lt;&gt;"""",C77=D77),""gloss=figurative"",""""),IF(LEN(D77)&lt;15,""figurative ছোট"",""""),IF(AND(I77=""Positive"",REGEXMATCH(H77,""মূর্খ|ভণ্ড|প্রতার|"&amp;"অলস|লোভ|স্বার্থ|অক্ষম|অযোগ্য|বোকা|কৃপণ|হিংস"")),""valence-target অমিল"",""""),IF(COUNTIF($B:$B,B77)&gt;1,""ডুপ্লিকেট"",""""))"),"figurative ছোট")</f>
        <v>figurative ছোট</v>
      </c>
      <c r="Q77" s="5" t="str">
        <f t="shared" si="1"/>
        <v>১ আগে দেখো</v>
      </c>
    </row>
    <row r="78">
      <c r="A78" s="4">
        <v>988.0</v>
      </c>
      <c r="B78" s="2" t="s">
        <v>415</v>
      </c>
      <c r="C78" s="2" t="s">
        <v>415</v>
      </c>
      <c r="D78" s="2" t="s">
        <v>416</v>
      </c>
      <c r="E78" s="2" t="s">
        <v>417</v>
      </c>
      <c r="F78" s="2" t="b">
        <v>1</v>
      </c>
      <c r="G78" s="2" t="b">
        <v>0</v>
      </c>
      <c r="H78" s="2" t="s">
        <v>418</v>
      </c>
      <c r="I78" s="2" t="s">
        <v>22</v>
      </c>
      <c r="J78" s="2" t="s">
        <v>59</v>
      </c>
      <c r="K78" s="2" t="s">
        <v>376</v>
      </c>
      <c r="L78" s="2" t="s">
        <v>391</v>
      </c>
      <c r="M78" s="2" t="s">
        <v>26</v>
      </c>
      <c r="N78" s="11" t="s">
        <v>419</v>
      </c>
      <c r="O78" s="12" t="s">
        <v>53</v>
      </c>
      <c r="P78" s="5" t="str">
        <f>IFERROR(__xludf.DUMMYFUNCTION("TEXTJOIN("" | "",TRUE,IF(OR(D78="""",E78="""",I78="""",J78="""",H78=""""),""ফাঁকা ঘর"",""""),IF(AND(C78&lt;&gt;"""",D78&lt;&gt;"""",C78=D78),""gloss=figurative"",""""),IF(LEN(D78)&lt;15,""figurative ছোট"",""""),IF(AND(I78=""Positive"",REGEXMATCH(H78,""মূর্খ|ভণ্ড|প্রতার|"&amp;"অলস|লোভ|স্বার্থ|অক্ষম|অযোগ্য|বোকা|কৃপণ|হিংস"")),""valence-target অমিল"",""""),IF(COUNTIF($B:$B,B78)&gt;1,""ডুপ্লিকেট"",""""))"),"figurative ছোট")</f>
        <v>figurative ছোট</v>
      </c>
      <c r="Q78" s="5" t="str">
        <f t="shared" si="1"/>
        <v>১ আগে দেখো</v>
      </c>
    </row>
    <row r="79">
      <c r="A79" s="4">
        <v>1008.0</v>
      </c>
      <c r="B79" s="2" t="s">
        <v>420</v>
      </c>
      <c r="C79" s="2" t="s">
        <v>421</v>
      </c>
      <c r="D79" s="2" t="s">
        <v>422</v>
      </c>
      <c r="E79" s="2" t="s">
        <v>423</v>
      </c>
      <c r="F79" s="2" t="b">
        <v>1</v>
      </c>
      <c r="G79" s="2" t="b">
        <v>0</v>
      </c>
      <c r="H79" s="2" t="s">
        <v>424</v>
      </c>
      <c r="I79" s="2" t="s">
        <v>32</v>
      </c>
      <c r="J79" s="2" t="s">
        <v>424</v>
      </c>
      <c r="K79" s="2" t="s">
        <v>376</v>
      </c>
      <c r="L79" s="2" t="s">
        <v>391</v>
      </c>
      <c r="M79" s="2" t="s">
        <v>26</v>
      </c>
      <c r="N79" s="11" t="s">
        <v>425</v>
      </c>
      <c r="O79" s="12" t="s">
        <v>53</v>
      </c>
      <c r="P79" s="5" t="str">
        <f>IFERROR(__xludf.DUMMYFUNCTION("TEXTJOIN("" | "",TRUE,IF(OR(D79="""",E79="""",I79="""",J79="""",H79=""""),""ফাঁকা ঘর"",""""),IF(AND(C79&lt;&gt;"""",D79&lt;&gt;"""",C79=D79),""gloss=figurative"",""""),IF(LEN(D79)&lt;15,""figurative ছোট"",""""),IF(AND(I79=""Positive"",REGEXMATCH(H79,""মূর্খ|ভণ্ড|প্রতার|"&amp;"অলস|লোভ|স্বার্থ|অক্ষম|অযোগ্য|বোকা|কৃপণ|হিংস"")),""valence-target অমিল"",""""),IF(COUNTIF($B:$B,B79)&gt;1,""ডুপ্লিকেট"",""""))"),"figurative ছোট")</f>
        <v>figurative ছোট</v>
      </c>
      <c r="Q79" s="5" t="str">
        <f t="shared" si="1"/>
        <v>১ আগে দেখো</v>
      </c>
    </row>
    <row r="80">
      <c r="A80" s="4">
        <v>1048.0</v>
      </c>
      <c r="B80" s="2" t="s">
        <v>426</v>
      </c>
      <c r="C80" s="2" t="s">
        <v>427</v>
      </c>
      <c r="D80" s="2" t="s">
        <v>428</v>
      </c>
      <c r="E80" s="2" t="s">
        <v>429</v>
      </c>
      <c r="F80" s="2" t="b">
        <v>1</v>
      </c>
      <c r="G80" s="2" t="b">
        <v>0</v>
      </c>
      <c r="H80" s="2" t="s">
        <v>37</v>
      </c>
      <c r="I80" s="2" t="s">
        <v>32</v>
      </c>
      <c r="J80" s="2" t="s">
        <v>430</v>
      </c>
      <c r="K80" s="2" t="s">
        <v>376</v>
      </c>
      <c r="L80" s="2" t="s">
        <v>391</v>
      </c>
      <c r="M80" s="2" t="s">
        <v>26</v>
      </c>
      <c r="N80" s="11" t="s">
        <v>431</v>
      </c>
      <c r="O80" s="12" t="s">
        <v>53</v>
      </c>
      <c r="P80" s="5" t="str">
        <f>IFERROR(__xludf.DUMMYFUNCTION("TEXTJOIN("" | "",TRUE,IF(OR(D80="""",E80="""",I80="""",J80="""",H80=""""),""ফাঁকা ঘর"",""""),IF(AND(C80&lt;&gt;"""",D80&lt;&gt;"""",C80=D80),""gloss=figurative"",""""),IF(LEN(D80)&lt;15,""figurative ছোট"",""""),IF(AND(I80=""Positive"",REGEXMATCH(H80,""মূর্খ|ভণ্ড|প্রতার|"&amp;"অলস|লোভ|স্বার্থ|অক্ষম|অযোগ্য|বোকা|কৃপণ|হিংস"")),""valence-target অমিল"",""""),IF(COUNTIF($B:$B,B80)&gt;1,""ডুপ্লিকেট"",""""))"),"figurative ছোট")</f>
        <v>figurative ছোট</v>
      </c>
      <c r="Q80" s="5" t="str">
        <f t="shared" si="1"/>
        <v>১ আগে দেখো</v>
      </c>
    </row>
    <row r="81">
      <c r="A81" s="4">
        <v>1055.0</v>
      </c>
      <c r="B81" s="2" t="s">
        <v>432</v>
      </c>
      <c r="C81" s="2" t="s">
        <v>433</v>
      </c>
      <c r="D81" s="2" t="s">
        <v>434</v>
      </c>
      <c r="E81" s="2" t="s">
        <v>435</v>
      </c>
      <c r="F81" s="2" t="b">
        <v>1</v>
      </c>
      <c r="G81" s="2" t="b">
        <v>0</v>
      </c>
      <c r="H81" s="2" t="s">
        <v>37</v>
      </c>
      <c r="I81" s="2" t="s">
        <v>32</v>
      </c>
      <c r="J81" s="2" t="s">
        <v>436</v>
      </c>
      <c r="K81" s="2" t="s">
        <v>376</v>
      </c>
      <c r="L81" s="2" t="s">
        <v>391</v>
      </c>
      <c r="M81" s="2" t="s">
        <v>26</v>
      </c>
      <c r="N81" s="11" t="s">
        <v>149</v>
      </c>
      <c r="O81" s="12" t="s">
        <v>53</v>
      </c>
      <c r="P81" s="5" t="str">
        <f>IFERROR(__xludf.DUMMYFUNCTION("TEXTJOIN("" | "",TRUE,IF(OR(D81="""",E81="""",I81="""",J81="""",H81=""""),""ফাঁকা ঘর"",""""),IF(AND(C81&lt;&gt;"""",D81&lt;&gt;"""",C81=D81),""gloss=figurative"",""""),IF(LEN(D81)&lt;15,""figurative ছোট"",""""),IF(AND(I81=""Positive"",REGEXMATCH(H81,""মূর্খ|ভণ্ড|প্রতার|"&amp;"অলস|লোভ|স্বার্থ|অক্ষম|অযোগ্য|বোকা|কৃপণ|হিংস"")),""valence-target অমিল"",""""),IF(COUNTIF($B:$B,B81)&gt;1,""ডুপ্লিকেট"",""""))"),"figurative ছোট")</f>
        <v>figurative ছোট</v>
      </c>
      <c r="Q81" s="5" t="str">
        <f t="shared" si="1"/>
        <v>১ আগে দেখো</v>
      </c>
    </row>
    <row r="82">
      <c r="A82" s="4">
        <v>1062.0</v>
      </c>
      <c r="B82" s="2" t="s">
        <v>437</v>
      </c>
      <c r="C82" s="2" t="s">
        <v>438</v>
      </c>
      <c r="D82" s="2" t="s">
        <v>439</v>
      </c>
      <c r="E82" s="2" t="s">
        <v>440</v>
      </c>
      <c r="F82" s="2" t="b">
        <v>1</v>
      </c>
      <c r="G82" s="2" t="b">
        <v>0</v>
      </c>
      <c r="H82" s="2" t="s">
        <v>37</v>
      </c>
      <c r="I82" s="2" t="s">
        <v>32</v>
      </c>
      <c r="J82" s="2" t="s">
        <v>441</v>
      </c>
      <c r="K82" s="2" t="s">
        <v>376</v>
      </c>
      <c r="L82" s="2" t="s">
        <v>391</v>
      </c>
      <c r="M82" s="2" t="s">
        <v>26</v>
      </c>
      <c r="N82" s="11" t="s">
        <v>149</v>
      </c>
      <c r="O82" s="12" t="s">
        <v>53</v>
      </c>
      <c r="P82" s="5" t="str">
        <f>IFERROR(__xludf.DUMMYFUNCTION("TEXTJOIN("" | "",TRUE,IF(OR(D82="""",E82="""",I82="""",J82="""",H82=""""),""ফাঁকা ঘর"",""""),IF(AND(C82&lt;&gt;"""",D82&lt;&gt;"""",C82=D82),""gloss=figurative"",""""),IF(LEN(D82)&lt;15,""figurative ছোট"",""""),IF(AND(I82=""Positive"",REGEXMATCH(H82,""মূর্খ|ভণ্ড|প্রতার|"&amp;"অলস|লোভ|স্বার্থ|অক্ষম|অযোগ্য|বোকা|কৃপণ|হিংস"")),""valence-target অমিল"",""""),IF(COUNTIF($B:$B,B82)&gt;1,""ডুপ্লিকেট"",""""))"),"figurative ছোট")</f>
        <v>figurative ছোট</v>
      </c>
      <c r="Q82" s="5" t="str">
        <f t="shared" si="1"/>
        <v>১ আগে দেখো</v>
      </c>
    </row>
    <row r="83">
      <c r="A83" s="4">
        <v>1074.0</v>
      </c>
      <c r="B83" s="2" t="s">
        <v>442</v>
      </c>
      <c r="C83" s="2" t="s">
        <v>443</v>
      </c>
      <c r="D83" s="2" t="s">
        <v>444</v>
      </c>
      <c r="E83" s="2" t="s">
        <v>445</v>
      </c>
      <c r="F83" s="2" t="b">
        <v>1</v>
      </c>
      <c r="G83" s="2" t="b">
        <v>0</v>
      </c>
      <c r="H83" s="2" t="s">
        <v>446</v>
      </c>
      <c r="I83" s="2" t="s">
        <v>49</v>
      </c>
      <c r="J83" s="2" t="s">
        <v>447</v>
      </c>
      <c r="K83" s="2" t="s">
        <v>376</v>
      </c>
      <c r="L83" s="2" t="s">
        <v>391</v>
      </c>
      <c r="M83" s="2" t="s">
        <v>26</v>
      </c>
      <c r="N83" s="11" t="s">
        <v>448</v>
      </c>
      <c r="O83" s="12" t="s">
        <v>53</v>
      </c>
      <c r="P83" s="5" t="str">
        <f>IFERROR(__xludf.DUMMYFUNCTION("TEXTJOIN("" | "",TRUE,IF(OR(D83="""",E83="""",I83="""",J83="""",H83=""""),""ফাঁকা ঘর"",""""),IF(AND(C83&lt;&gt;"""",D83&lt;&gt;"""",C83=D83),""gloss=figurative"",""""),IF(LEN(D83)&lt;15,""figurative ছোট"",""""),IF(AND(I83=""Positive"",REGEXMATCH(H83,""মূর্খ|ভণ্ড|প্রতার|"&amp;"অলস|লোভ|স্বার্থ|অক্ষম|অযোগ্য|বোকা|কৃপণ|হিংস"")),""valence-target অমিল"",""""),IF(COUNTIF($B:$B,B83)&gt;1,""ডুপ্লিকেট"",""""))"),"valence-target অমিল")</f>
        <v>valence-target অমিল</v>
      </c>
      <c r="Q83" s="5" t="str">
        <f t="shared" si="1"/>
        <v>১ আগে দেখো</v>
      </c>
    </row>
    <row r="84">
      <c r="A84" s="4">
        <v>1189.0</v>
      </c>
      <c r="B84" s="2" t="s">
        <v>449</v>
      </c>
      <c r="C84" s="2" t="s">
        <v>450</v>
      </c>
      <c r="D84" s="2" t="s">
        <v>451</v>
      </c>
      <c r="E84" s="2" t="s">
        <v>452</v>
      </c>
      <c r="F84" s="2" t="b">
        <v>1</v>
      </c>
      <c r="G84" s="2" t="b">
        <v>0</v>
      </c>
      <c r="H84" s="2" t="s">
        <v>356</v>
      </c>
      <c r="I84" s="2" t="s">
        <v>22</v>
      </c>
      <c r="J84" s="2" t="s">
        <v>59</v>
      </c>
      <c r="K84" s="2" t="s">
        <v>376</v>
      </c>
      <c r="L84" s="2" t="s">
        <v>391</v>
      </c>
      <c r="M84" s="2" t="s">
        <v>26</v>
      </c>
      <c r="N84" s="11" t="s">
        <v>149</v>
      </c>
      <c r="O84" s="12" t="s">
        <v>53</v>
      </c>
      <c r="P84" s="5" t="str">
        <f>IFERROR(__xludf.DUMMYFUNCTION("TEXTJOIN("" | "",TRUE,IF(OR(D84="""",E84="""",I84="""",J84="""",H84=""""),""ফাঁকা ঘর"",""""),IF(AND(C84&lt;&gt;"""",D84&lt;&gt;"""",C84=D84),""gloss=figurative"",""""),IF(LEN(D84)&lt;15,""figurative ছোট"",""""),IF(AND(I84=""Positive"",REGEXMATCH(H84,""মূর্খ|ভণ্ড|প্রতার|"&amp;"অলস|লোভ|স্বার্থ|অক্ষম|অযোগ্য|বোকা|কৃপণ|হিংস"")),""valence-target অমিল"",""""),IF(COUNTIF($B:$B,B84)&gt;1,""ডুপ্লিকেট"",""""))"),"figurative ছোট")</f>
        <v>figurative ছোট</v>
      </c>
      <c r="Q84" s="5" t="str">
        <f t="shared" si="1"/>
        <v>১ আগে দেখো</v>
      </c>
    </row>
    <row r="85">
      <c r="A85" s="4">
        <v>1227.0</v>
      </c>
      <c r="B85" s="2" t="s">
        <v>453</v>
      </c>
      <c r="C85" s="2" t="s">
        <v>454</v>
      </c>
      <c r="D85" s="2" t="s">
        <v>455</v>
      </c>
      <c r="E85" s="2" t="s">
        <v>456</v>
      </c>
      <c r="F85" s="2" t="b">
        <v>1</v>
      </c>
      <c r="G85" s="2" t="b">
        <v>0</v>
      </c>
      <c r="H85" s="2" t="s">
        <v>457</v>
      </c>
      <c r="I85" s="2" t="s">
        <v>32</v>
      </c>
      <c r="J85" s="2" t="s">
        <v>142</v>
      </c>
      <c r="K85" s="2" t="s">
        <v>376</v>
      </c>
      <c r="L85" s="2" t="s">
        <v>391</v>
      </c>
      <c r="M85" s="2" t="s">
        <v>26</v>
      </c>
      <c r="N85" s="11" t="s">
        <v>458</v>
      </c>
      <c r="O85" s="12" t="s">
        <v>53</v>
      </c>
      <c r="P85" s="5" t="str">
        <f>IFERROR(__xludf.DUMMYFUNCTION("TEXTJOIN("" | "",TRUE,IF(OR(D85="""",E85="""",I85="""",J85="""",H85=""""),""ফাঁকা ঘর"",""""),IF(AND(C85&lt;&gt;"""",D85&lt;&gt;"""",C85=D85),""gloss=figurative"",""""),IF(LEN(D85)&lt;15,""figurative ছোট"",""""),IF(AND(I85=""Positive"",REGEXMATCH(H85,""মূর্খ|ভণ্ড|প্রতার|"&amp;"অলস|লোভ|স্বার্থ|অক্ষম|অযোগ্য|বোকা|কৃপণ|হিংস"")),""valence-target অমিল"",""""),IF(COUNTIF($B:$B,B85)&gt;1,""ডুপ্লিকেট"",""""))"),"ডুপ্লিকেট")</f>
        <v>ডুপ্লিকেট</v>
      </c>
      <c r="Q85" s="5" t="str">
        <f t="shared" si="1"/>
        <v>১ আগে দেখো</v>
      </c>
    </row>
    <row r="86">
      <c r="A86" s="4">
        <v>1242.0</v>
      </c>
      <c r="B86" s="2" t="s">
        <v>459</v>
      </c>
      <c r="C86" s="2" t="s">
        <v>310</v>
      </c>
      <c r="D86" s="2" t="s">
        <v>460</v>
      </c>
      <c r="E86" s="2" t="s">
        <v>461</v>
      </c>
      <c r="F86" s="2" t="b">
        <v>1</v>
      </c>
      <c r="G86" s="2" t="b">
        <v>0</v>
      </c>
      <c r="H86" s="2" t="s">
        <v>37</v>
      </c>
      <c r="I86" s="2" t="s">
        <v>22</v>
      </c>
      <c r="J86" s="2" t="s">
        <v>202</v>
      </c>
      <c r="K86" s="2" t="s">
        <v>376</v>
      </c>
      <c r="L86" s="2" t="s">
        <v>391</v>
      </c>
      <c r="M86" s="2" t="s">
        <v>26</v>
      </c>
      <c r="N86" s="11" t="s">
        <v>462</v>
      </c>
      <c r="O86" s="12" t="s">
        <v>53</v>
      </c>
      <c r="P86" s="5" t="str">
        <f>IFERROR(__xludf.DUMMYFUNCTION("TEXTJOIN("" | "",TRUE,IF(OR(D86="""",E86="""",I86="""",J86="""",H86=""""),""ফাঁকা ঘর"",""""),IF(AND(C86&lt;&gt;"""",D86&lt;&gt;"""",C86=D86),""gloss=figurative"",""""),IF(LEN(D86)&lt;15,""figurative ছোট"",""""),IF(AND(I86=""Positive"",REGEXMATCH(H86,""মূর্খ|ভণ্ড|প্রতার|"&amp;"অলস|লোভ|স্বার্থ|অক্ষম|অযোগ্য|বোকা|কৃপণ|হিংস"")),""valence-target অমিল"",""""),IF(COUNTIF($B:$B,B86)&gt;1,""ডুপ্লিকেট"",""""))"),"ডুপ্লিকেট")</f>
        <v>ডুপ্লিকেট</v>
      </c>
      <c r="Q86" s="5" t="str">
        <f t="shared" si="1"/>
        <v>১ আগে দেখো</v>
      </c>
    </row>
    <row r="87">
      <c r="A87" s="4">
        <v>1268.0</v>
      </c>
      <c r="B87" s="2" t="s">
        <v>463</v>
      </c>
      <c r="C87" s="2" t="s">
        <v>464</v>
      </c>
      <c r="D87" s="2" t="s">
        <v>465</v>
      </c>
      <c r="E87" s="2" t="s">
        <v>466</v>
      </c>
      <c r="F87" s="2" t="b">
        <v>1</v>
      </c>
      <c r="G87" s="2" t="b">
        <v>0</v>
      </c>
      <c r="H87" s="2" t="s">
        <v>390</v>
      </c>
      <c r="I87" s="2" t="s">
        <v>22</v>
      </c>
      <c r="J87" s="2" t="s">
        <v>123</v>
      </c>
      <c r="K87" s="2" t="s">
        <v>376</v>
      </c>
      <c r="L87" s="2" t="s">
        <v>391</v>
      </c>
      <c r="M87" s="2" t="s">
        <v>26</v>
      </c>
      <c r="N87" s="11" t="s">
        <v>467</v>
      </c>
      <c r="O87" s="12" t="s">
        <v>53</v>
      </c>
      <c r="P87" s="5" t="str">
        <f>IFERROR(__xludf.DUMMYFUNCTION("TEXTJOIN("" | "",TRUE,IF(OR(D87="""",E87="""",I87="""",J87="""",H87=""""),""ফাঁকা ঘর"",""""),IF(AND(C87&lt;&gt;"""",D87&lt;&gt;"""",C87=D87),""gloss=figurative"",""""),IF(LEN(D87)&lt;15,""figurative ছোট"",""""),IF(AND(I87=""Positive"",REGEXMATCH(H87,""মূর্খ|ভণ্ড|প্রতার|"&amp;"অলস|লোভ|স্বার্থ|অক্ষম|অযোগ্য|বোকা|কৃপণ|হিংস"")),""valence-target অমিল"",""""),IF(COUNTIF($B:$B,B87)&gt;1,""ডুপ্লিকেট"",""""))"),"figurative ছোট")</f>
        <v>figurative ছোট</v>
      </c>
      <c r="Q87" s="5" t="str">
        <f t="shared" si="1"/>
        <v>১ আগে দেখো</v>
      </c>
    </row>
    <row r="88">
      <c r="A88" s="4">
        <v>1401.0</v>
      </c>
      <c r="B88" s="2" t="s">
        <v>468</v>
      </c>
      <c r="C88" s="2" t="s">
        <v>469</v>
      </c>
      <c r="D88" s="2" t="s">
        <v>470</v>
      </c>
      <c r="E88" s="2" t="s">
        <v>471</v>
      </c>
      <c r="F88" s="2" t="b">
        <v>1</v>
      </c>
      <c r="G88" s="2" t="b">
        <v>0</v>
      </c>
      <c r="H88" s="2" t="s">
        <v>207</v>
      </c>
      <c r="I88" s="2" t="s">
        <v>49</v>
      </c>
      <c r="J88" s="2" t="s">
        <v>208</v>
      </c>
      <c r="K88" s="2" t="s">
        <v>376</v>
      </c>
      <c r="L88" s="2" t="s">
        <v>391</v>
      </c>
      <c r="M88" s="2" t="s">
        <v>26</v>
      </c>
      <c r="N88" s="11" t="s">
        <v>472</v>
      </c>
      <c r="O88" s="12" t="s">
        <v>53</v>
      </c>
      <c r="P88" s="5" t="str">
        <f>IFERROR(__xludf.DUMMYFUNCTION("TEXTJOIN("" | "",TRUE,IF(OR(D88="""",E88="""",I88="""",J88="""",H88=""""),""ফাঁকা ঘর"",""""),IF(AND(C88&lt;&gt;"""",D88&lt;&gt;"""",C88=D88),""gloss=figurative"",""""),IF(LEN(D88)&lt;15,""figurative ছোট"",""""),IF(AND(I88=""Positive"",REGEXMATCH(H88,""মূর্খ|ভণ্ড|প্রতার|"&amp;"অলস|লোভ|স্বার্থ|অক্ষম|অযোগ্য|বোকা|কৃপণ|হিংস"")),""valence-target অমিল"",""""),IF(COUNTIF($B:$B,B88)&gt;1,""ডুপ্লিকেট"",""""))"),"ডুপ্লিকেট")</f>
        <v>ডুপ্লিকেট</v>
      </c>
      <c r="Q88" s="5" t="str">
        <f t="shared" si="1"/>
        <v>১ আগে দেখো</v>
      </c>
    </row>
    <row r="89">
      <c r="A89" s="4">
        <v>1676.0</v>
      </c>
      <c r="B89" s="2" t="s">
        <v>17</v>
      </c>
      <c r="C89" s="2" t="s">
        <v>473</v>
      </c>
      <c r="D89" s="2" t="s">
        <v>474</v>
      </c>
      <c r="E89" s="2" t="s">
        <v>475</v>
      </c>
      <c r="F89" s="2" t="b">
        <v>1</v>
      </c>
      <c r="G89" s="2" t="b">
        <v>0</v>
      </c>
      <c r="H89" s="2" t="s">
        <v>476</v>
      </c>
      <c r="I89" s="2" t="s">
        <v>22</v>
      </c>
      <c r="J89" s="2" t="s">
        <v>43</v>
      </c>
      <c r="K89" s="2" t="s">
        <v>376</v>
      </c>
      <c r="L89" s="2" t="s">
        <v>391</v>
      </c>
      <c r="M89" s="2" t="s">
        <v>26</v>
      </c>
      <c r="N89" s="11" t="s">
        <v>477</v>
      </c>
      <c r="O89" s="12" t="s">
        <v>53</v>
      </c>
      <c r="P89" s="5" t="str">
        <f>IFERROR(__xludf.DUMMYFUNCTION("TEXTJOIN("" | "",TRUE,IF(OR(D89="""",E89="""",I89="""",J89="""",H89=""""),""ফাঁকা ঘর"",""""),IF(AND(C89&lt;&gt;"""",D89&lt;&gt;"""",C89=D89),""gloss=figurative"",""""),IF(LEN(D89)&lt;15,""figurative ছোট"",""""),IF(AND(I89=""Positive"",REGEXMATCH(H89,""মূর্খ|ভণ্ড|প্রতার|"&amp;"অলস|লোভ|স্বার্থ|অক্ষম|অযোগ্য|বোকা|কৃপণ|হিংস"")),""valence-target অমিল"",""""),IF(COUNTIF($B:$B,B89)&gt;1,""ডুপ্লিকেট"",""""))"),"ডুপ্লিকেট")</f>
        <v>ডুপ্লিকেট</v>
      </c>
      <c r="Q89" s="5" t="str">
        <f t="shared" si="1"/>
        <v>১ আগে দেখো</v>
      </c>
    </row>
    <row r="90">
      <c r="A90" s="4">
        <v>2069.0</v>
      </c>
      <c r="B90" s="2" t="s">
        <v>478</v>
      </c>
      <c r="C90" s="2" t="s">
        <v>479</v>
      </c>
      <c r="D90" s="2" t="s">
        <v>480</v>
      </c>
      <c r="E90" s="2" t="s">
        <v>481</v>
      </c>
      <c r="F90" s="2" t="b">
        <v>1</v>
      </c>
      <c r="G90" s="2" t="b">
        <v>0</v>
      </c>
      <c r="H90" s="2" t="s">
        <v>482</v>
      </c>
      <c r="I90" s="2" t="s">
        <v>22</v>
      </c>
      <c r="J90" s="2" t="s">
        <v>43</v>
      </c>
      <c r="K90" s="2" t="s">
        <v>376</v>
      </c>
      <c r="L90" s="2" t="s">
        <v>391</v>
      </c>
      <c r="M90" s="2" t="s">
        <v>26</v>
      </c>
      <c r="N90" s="11" t="s">
        <v>483</v>
      </c>
      <c r="O90" s="12" t="s">
        <v>53</v>
      </c>
      <c r="P90" s="5" t="str">
        <f>IFERROR(__xludf.DUMMYFUNCTION("TEXTJOIN("" | "",TRUE,IF(OR(D90="""",E90="""",I90="""",J90="""",H90=""""),""ফাঁকা ঘর"",""""),IF(AND(C90&lt;&gt;"""",D90&lt;&gt;"""",C90=D90),""gloss=figurative"",""""),IF(LEN(D90)&lt;15,""figurative ছোট"",""""),IF(AND(I90=""Positive"",REGEXMATCH(H90,""মূর্খ|ভণ্ড|প্রতার|"&amp;"অলস|লোভ|স্বার্থ|অক্ষম|অযোগ্য|বোকা|কৃপণ|হিংস"")),""valence-target অমিল"",""""),IF(COUNTIF($B:$B,B90)&gt;1,""ডুপ্লিকেট"",""""))"),"figurative ছোট")</f>
        <v>figurative ছোট</v>
      </c>
      <c r="Q90" s="5" t="str">
        <f t="shared" si="1"/>
        <v>১ আগে দেখো</v>
      </c>
    </row>
    <row r="91">
      <c r="A91" s="4">
        <v>2078.0</v>
      </c>
      <c r="B91" s="2" t="s">
        <v>484</v>
      </c>
      <c r="C91" s="2" t="s">
        <v>485</v>
      </c>
      <c r="D91" s="2" t="s">
        <v>486</v>
      </c>
      <c r="E91" s="2" t="s">
        <v>487</v>
      </c>
      <c r="F91" s="2" t="b">
        <v>1</v>
      </c>
      <c r="G91" s="2" t="b">
        <v>0</v>
      </c>
      <c r="H91" s="2" t="s">
        <v>488</v>
      </c>
      <c r="I91" s="2" t="s">
        <v>22</v>
      </c>
      <c r="J91" s="2" t="s">
        <v>43</v>
      </c>
      <c r="K91" s="2" t="s">
        <v>376</v>
      </c>
      <c r="L91" s="2" t="s">
        <v>391</v>
      </c>
      <c r="M91" s="2" t="s">
        <v>26</v>
      </c>
      <c r="N91" s="11" t="s">
        <v>489</v>
      </c>
      <c r="O91" s="12" t="s">
        <v>53</v>
      </c>
      <c r="P91" s="5" t="str">
        <f>IFERROR(__xludf.DUMMYFUNCTION("TEXTJOIN("" | "",TRUE,IF(OR(D91="""",E91="""",I91="""",J91="""",H91=""""),""ফাঁকা ঘর"",""""),IF(AND(C91&lt;&gt;"""",D91&lt;&gt;"""",C91=D91),""gloss=figurative"",""""),IF(LEN(D91)&lt;15,""figurative ছোট"",""""),IF(AND(I91=""Positive"",REGEXMATCH(H91,""মূর্খ|ভণ্ড|প্রতার|"&amp;"অলস|লোভ|স্বার্থ|অক্ষম|অযোগ্য|বোকা|কৃপণ|হিংস"")),""valence-target অমিল"",""""),IF(COUNTIF($B:$B,B91)&gt;1,""ডুপ্লিকেট"",""""))"),"ডুপ্লিকেট")</f>
        <v>ডুপ্লিকেট</v>
      </c>
      <c r="Q91" s="5" t="str">
        <f t="shared" si="1"/>
        <v>১ আগে দেখো</v>
      </c>
    </row>
    <row r="92">
      <c r="A92" s="4">
        <v>2079.0</v>
      </c>
      <c r="B92" s="2" t="s">
        <v>490</v>
      </c>
      <c r="C92" s="2" t="s">
        <v>491</v>
      </c>
      <c r="D92" s="2" t="s">
        <v>480</v>
      </c>
      <c r="E92" s="2" t="s">
        <v>481</v>
      </c>
      <c r="F92" s="2" t="b">
        <v>1</v>
      </c>
      <c r="G92" s="2" t="b">
        <v>0</v>
      </c>
      <c r="H92" s="2" t="s">
        <v>482</v>
      </c>
      <c r="I92" s="2" t="s">
        <v>22</v>
      </c>
      <c r="J92" s="2" t="s">
        <v>43</v>
      </c>
      <c r="K92" s="2" t="s">
        <v>376</v>
      </c>
      <c r="L92" s="2" t="s">
        <v>391</v>
      </c>
      <c r="M92" s="2" t="s">
        <v>26</v>
      </c>
      <c r="N92" s="11" t="s">
        <v>492</v>
      </c>
      <c r="O92" s="12" t="s">
        <v>53</v>
      </c>
      <c r="P92" s="5" t="str">
        <f>IFERROR(__xludf.DUMMYFUNCTION("TEXTJOIN("" | "",TRUE,IF(OR(D92="""",E92="""",I92="""",J92="""",H92=""""),""ফাঁকা ঘর"",""""),IF(AND(C92&lt;&gt;"""",D92&lt;&gt;"""",C92=D92),""gloss=figurative"",""""),IF(LEN(D92)&lt;15,""figurative ছোট"",""""),IF(AND(I92=""Positive"",REGEXMATCH(H92,""মূর্খ|ভণ্ড|প্রতার|"&amp;"অলস|লোভ|স্বার্থ|অক্ষম|অযোগ্য|বোকা|কৃপণ|হিংস"")),""valence-target অমিল"",""""),IF(COUNTIF($B:$B,B92)&gt;1,""ডুপ্লিকেট"",""""))"),"figurative ছোট")</f>
        <v>figurative ছোট</v>
      </c>
      <c r="Q92" s="5" t="str">
        <f t="shared" si="1"/>
        <v>১ আগে দেখো</v>
      </c>
    </row>
    <row r="93">
      <c r="A93" s="4">
        <v>2094.0</v>
      </c>
      <c r="B93" s="2" t="s">
        <v>484</v>
      </c>
      <c r="C93" s="2" t="s">
        <v>485</v>
      </c>
      <c r="D93" s="2" t="s">
        <v>493</v>
      </c>
      <c r="E93" s="2" t="s">
        <v>494</v>
      </c>
      <c r="F93" s="2" t="b">
        <v>1</v>
      </c>
      <c r="G93" s="2" t="b">
        <v>0</v>
      </c>
      <c r="H93" s="2" t="s">
        <v>488</v>
      </c>
      <c r="I93" s="2" t="s">
        <v>22</v>
      </c>
      <c r="J93" s="2" t="s">
        <v>43</v>
      </c>
      <c r="K93" s="2" t="s">
        <v>495</v>
      </c>
      <c r="L93" s="13" t="s">
        <v>496</v>
      </c>
      <c r="M93" s="2" t="s">
        <v>26</v>
      </c>
      <c r="N93" s="11" t="s">
        <v>497</v>
      </c>
      <c r="O93" s="12" t="s">
        <v>53</v>
      </c>
      <c r="P93" s="5" t="str">
        <f>IFERROR(__xludf.DUMMYFUNCTION("TEXTJOIN("" | "",TRUE,IF(OR(D93="""",E93="""",I93="""",J93="""",H93=""""),""ফাঁকা ঘর"",""""),IF(AND(C93&lt;&gt;"""",D93&lt;&gt;"""",C93=D93),""gloss=figurative"",""""),IF(LEN(D93)&lt;15,""figurative ছোট"",""""),IF(AND(I93=""Positive"",REGEXMATCH(H93,""মূর্খ|ভণ্ড|প্রতার|"&amp;"অলস|লোভ|স্বার্থ|অক্ষম|অযোগ্য|বোকা|কৃপণ|হিংস"")),""valence-target অমিল"",""""),IF(COUNTIF($B:$B,B93)&gt;1,""ডুপ্লিকেট"",""""))"),"ডুপ্লিকেট")</f>
        <v>ডুপ্লিকেট</v>
      </c>
      <c r="Q93" s="5" t="str">
        <f t="shared" si="1"/>
        <v>১ আগে দেখো</v>
      </c>
    </row>
    <row r="94">
      <c r="A94" s="4">
        <v>2196.0</v>
      </c>
      <c r="B94" s="2" t="s">
        <v>498</v>
      </c>
      <c r="C94" s="2" t="s">
        <v>499</v>
      </c>
      <c r="D94" s="2" t="s">
        <v>500</v>
      </c>
      <c r="E94" s="2" t="s">
        <v>501</v>
      </c>
      <c r="F94" s="2" t="b">
        <v>1</v>
      </c>
      <c r="G94" s="2" t="b">
        <v>0</v>
      </c>
      <c r="H94" s="2" t="s">
        <v>37</v>
      </c>
      <c r="I94" s="2" t="s">
        <v>32</v>
      </c>
      <c r="J94" s="2" t="s">
        <v>502</v>
      </c>
      <c r="K94" s="2" t="s">
        <v>376</v>
      </c>
      <c r="L94" s="2" t="s">
        <v>391</v>
      </c>
      <c r="M94" s="2" t="s">
        <v>26</v>
      </c>
      <c r="N94" s="11" t="s">
        <v>149</v>
      </c>
      <c r="O94" s="12" t="s">
        <v>53</v>
      </c>
      <c r="P94" s="5" t="str">
        <f>IFERROR(__xludf.DUMMYFUNCTION("TEXTJOIN("" | "",TRUE,IF(OR(D94="""",E94="""",I94="""",J94="""",H94=""""),""ফাঁকা ঘর"",""""),IF(AND(C94&lt;&gt;"""",D94&lt;&gt;"""",C94=D94),""gloss=figurative"",""""),IF(LEN(D94)&lt;15,""figurative ছোট"",""""),IF(AND(I94=""Positive"",REGEXMATCH(H94,""মূর্খ|ভণ্ড|প্রতার|"&amp;"অলস|লোভ|স্বার্থ|অক্ষম|অযোগ্য|বোকা|কৃপণ|হিংস"")),""valence-target অমিল"",""""),IF(COUNTIF($B:$B,B94)&gt;1,""ডুপ্লিকেট"",""""))"),"figurative ছোট")</f>
        <v>figurative ছোট</v>
      </c>
      <c r="Q94" s="5" t="str">
        <f t="shared" si="1"/>
        <v>১ আগে দেখো</v>
      </c>
    </row>
    <row r="95">
      <c r="A95" s="4">
        <v>2263.0</v>
      </c>
      <c r="B95" s="2" t="s">
        <v>503</v>
      </c>
      <c r="C95" s="2" t="s">
        <v>504</v>
      </c>
      <c r="D95" s="2" t="s">
        <v>505</v>
      </c>
      <c r="E95" s="2" t="s">
        <v>506</v>
      </c>
      <c r="F95" s="2" t="b">
        <v>1</v>
      </c>
      <c r="G95" s="2" t="b">
        <v>0</v>
      </c>
      <c r="H95" s="2" t="s">
        <v>37</v>
      </c>
      <c r="I95" s="2" t="s">
        <v>49</v>
      </c>
      <c r="J95" s="2" t="s">
        <v>447</v>
      </c>
      <c r="K95" s="2" t="s">
        <v>376</v>
      </c>
      <c r="L95" s="2" t="s">
        <v>391</v>
      </c>
      <c r="M95" s="2" t="s">
        <v>26</v>
      </c>
      <c r="N95" s="11" t="s">
        <v>477</v>
      </c>
      <c r="O95" s="12" t="s">
        <v>53</v>
      </c>
      <c r="P95" s="5" t="str">
        <f>IFERROR(__xludf.DUMMYFUNCTION("TEXTJOIN("" | "",TRUE,IF(OR(D95="""",E95="""",I95="""",J95="""",H95=""""),""ফাঁকা ঘর"",""""),IF(AND(C95&lt;&gt;"""",D95&lt;&gt;"""",C95=D95),""gloss=figurative"",""""),IF(LEN(D95)&lt;15,""figurative ছোট"",""""),IF(AND(I95=""Positive"",REGEXMATCH(H95,""মূর্খ|ভণ্ড|প্রতার|"&amp;"অলস|লোভ|স্বার্থ|অক্ষম|অযোগ্য|বোকা|কৃপণ|হিংস"")),""valence-target অমিল"",""""),IF(COUNTIF($B:$B,B95)&gt;1,""ডুপ্লিকেট"",""""))"),"ডুপ্লিকেট")</f>
        <v>ডুপ্লিকেট</v>
      </c>
      <c r="Q95" s="5" t="str">
        <f t="shared" si="1"/>
        <v>১ আগে দেখো</v>
      </c>
    </row>
    <row r="96">
      <c r="A96" s="4">
        <v>2293.0</v>
      </c>
      <c r="B96" s="2" t="s">
        <v>507</v>
      </c>
      <c r="C96" s="2" t="s">
        <v>507</v>
      </c>
      <c r="D96" s="2" t="s">
        <v>508</v>
      </c>
      <c r="E96" s="2" t="s">
        <v>509</v>
      </c>
      <c r="F96" s="2" t="b">
        <v>1</v>
      </c>
      <c r="G96" s="2" t="b">
        <v>0</v>
      </c>
      <c r="H96" s="2" t="s">
        <v>37</v>
      </c>
      <c r="I96" s="2" t="s">
        <v>32</v>
      </c>
      <c r="J96" s="2" t="s">
        <v>510</v>
      </c>
      <c r="K96" s="2" t="s">
        <v>495</v>
      </c>
      <c r="L96" s="13" t="s">
        <v>496</v>
      </c>
      <c r="M96" s="2" t="s">
        <v>26</v>
      </c>
      <c r="N96" s="11" t="s">
        <v>511</v>
      </c>
      <c r="O96" s="12" t="s">
        <v>53</v>
      </c>
      <c r="P96" s="5" t="str">
        <f>IFERROR(__xludf.DUMMYFUNCTION("TEXTJOIN("" | "",TRUE,IF(OR(D96="""",E96="""",I96="""",J96="""",H96=""""),""ফাঁকা ঘর"",""""),IF(AND(C96&lt;&gt;"""",D96&lt;&gt;"""",C96=D96),""gloss=figurative"",""""),IF(LEN(D96)&lt;15,""figurative ছোট"",""""),IF(AND(I96=""Positive"",REGEXMATCH(H96,""মূর্খ|ভণ্ড|প্রতার|"&amp;"অলস|লোভ|স্বার্থ|অক্ষম|অযোগ্য|বোকা|কৃপণ|হিংস"")),""valence-target অমিল"",""""),IF(COUNTIF($B:$B,B96)&gt;1,""ডুপ্লিকেট"",""""))"),"ডুপ্লিকেট")</f>
        <v>ডুপ্লিকেট</v>
      </c>
      <c r="Q96" s="5" t="str">
        <f t="shared" si="1"/>
        <v>১ আগে দেখো</v>
      </c>
    </row>
    <row r="97">
      <c r="A97" s="4">
        <v>2301.0</v>
      </c>
      <c r="B97" s="2" t="s">
        <v>507</v>
      </c>
      <c r="C97" s="2" t="s">
        <v>507</v>
      </c>
      <c r="D97" s="2" t="s">
        <v>508</v>
      </c>
      <c r="E97" s="2" t="s">
        <v>509</v>
      </c>
      <c r="F97" s="2" t="b">
        <v>1</v>
      </c>
      <c r="G97" s="2" t="b">
        <v>0</v>
      </c>
      <c r="H97" s="2" t="s">
        <v>37</v>
      </c>
      <c r="I97" s="2" t="s">
        <v>32</v>
      </c>
      <c r="J97" s="2" t="s">
        <v>510</v>
      </c>
      <c r="K97" s="2" t="s">
        <v>495</v>
      </c>
      <c r="L97" s="13" t="s">
        <v>496</v>
      </c>
      <c r="M97" s="2" t="s">
        <v>26</v>
      </c>
      <c r="N97" s="11" t="s">
        <v>512</v>
      </c>
      <c r="O97" s="12" t="s">
        <v>53</v>
      </c>
      <c r="P97" s="5" t="str">
        <f>IFERROR(__xludf.DUMMYFUNCTION("TEXTJOIN("" | "",TRUE,IF(OR(D97="""",E97="""",I97="""",J97="""",H97=""""),""ফাঁকা ঘর"",""""),IF(AND(C97&lt;&gt;"""",D97&lt;&gt;"""",C97=D97),""gloss=figurative"",""""),IF(LEN(D97)&lt;15,""figurative ছোট"",""""),IF(AND(I97=""Positive"",REGEXMATCH(H97,""মূর্খ|ভণ্ড|প্রতার|"&amp;"অলস|লোভ|স্বার্থ|অক্ষম|অযোগ্য|বোকা|কৃপণ|হিংস"")),""valence-target অমিল"",""""),IF(COUNTIF($B:$B,B97)&gt;1,""ডুপ্লিকেট"",""""))"),"ডুপ্লিকেট")</f>
        <v>ডুপ্লিকেট</v>
      </c>
      <c r="Q97" s="5" t="str">
        <f t="shared" si="1"/>
        <v>১ আগে দেখো</v>
      </c>
    </row>
    <row r="98">
      <c r="A98" s="4">
        <v>2354.0</v>
      </c>
      <c r="B98" s="2" t="s">
        <v>513</v>
      </c>
      <c r="C98" s="2" t="s">
        <v>514</v>
      </c>
      <c r="D98" s="2" t="s">
        <v>515</v>
      </c>
      <c r="E98" s="2" t="s">
        <v>516</v>
      </c>
      <c r="F98" s="2" t="b">
        <v>1</v>
      </c>
      <c r="G98" s="2" t="b">
        <v>0</v>
      </c>
      <c r="H98" s="2" t="s">
        <v>517</v>
      </c>
      <c r="I98" s="2" t="s">
        <v>22</v>
      </c>
      <c r="J98" s="2" t="s">
        <v>300</v>
      </c>
      <c r="K98" s="2" t="s">
        <v>495</v>
      </c>
      <c r="L98" s="13" t="s">
        <v>496</v>
      </c>
      <c r="M98" s="2" t="s">
        <v>26</v>
      </c>
      <c r="N98" s="11" t="s">
        <v>518</v>
      </c>
      <c r="O98" s="12" t="s">
        <v>53</v>
      </c>
      <c r="P98" s="5" t="str">
        <f>IFERROR(__xludf.DUMMYFUNCTION("TEXTJOIN("" | "",TRUE,IF(OR(D98="""",E98="""",I98="""",J98="""",H98=""""),""ফাঁকা ঘর"",""""),IF(AND(C98&lt;&gt;"""",D98&lt;&gt;"""",C98=D98),""gloss=figurative"",""""),IF(LEN(D98)&lt;15,""figurative ছোট"",""""),IF(AND(I98=""Positive"",REGEXMATCH(H98,""মূর্খ|ভণ্ড|প্রতার|"&amp;"অলস|লোভ|স্বার্থ|অক্ষম|অযোগ্য|বোকা|কৃপণ|হিংস"")),""valence-target অমিল"",""""),IF(COUNTIF($B:$B,B98)&gt;1,""ডুপ্লিকেট"",""""))"),"ডুপ্লিকেট")</f>
        <v>ডুপ্লিকেট</v>
      </c>
      <c r="Q98" s="5" t="str">
        <f t="shared" si="1"/>
        <v>১ আগে দেখো</v>
      </c>
    </row>
    <row r="99">
      <c r="A99" s="4">
        <v>2355.0</v>
      </c>
      <c r="B99" s="2" t="s">
        <v>513</v>
      </c>
      <c r="C99" s="2" t="s">
        <v>514</v>
      </c>
      <c r="D99" s="2" t="s">
        <v>519</v>
      </c>
      <c r="E99" s="2" t="s">
        <v>520</v>
      </c>
      <c r="F99" s="2" t="b">
        <v>1</v>
      </c>
      <c r="G99" s="2" t="b">
        <v>0</v>
      </c>
      <c r="H99" s="2" t="s">
        <v>521</v>
      </c>
      <c r="I99" s="2" t="s">
        <v>22</v>
      </c>
      <c r="J99" s="2" t="s">
        <v>300</v>
      </c>
      <c r="K99" s="2" t="s">
        <v>495</v>
      </c>
      <c r="L99" s="13" t="s">
        <v>496</v>
      </c>
      <c r="M99" s="2" t="s">
        <v>26</v>
      </c>
      <c r="N99" s="11" t="s">
        <v>522</v>
      </c>
      <c r="O99" s="12" t="s">
        <v>53</v>
      </c>
      <c r="P99" s="5" t="str">
        <f>IFERROR(__xludf.DUMMYFUNCTION("TEXTJOIN("" | "",TRUE,IF(OR(D99="""",E99="""",I99="""",J99="""",H99=""""),""ফাঁকা ঘর"",""""),IF(AND(C99&lt;&gt;"""",D99&lt;&gt;"""",C99=D99),""gloss=figurative"",""""),IF(LEN(D99)&lt;15,""figurative ছোট"",""""),IF(AND(I99=""Positive"",REGEXMATCH(H99,""মূর্খ|ভণ্ড|প্রতার|"&amp;"অলস|লোভ|স্বার্থ|অক্ষম|অযোগ্য|বোকা|কৃপণ|হিংস"")),""valence-target অমিল"",""""),IF(COUNTIF($B:$B,B99)&gt;1,""ডুপ্লিকেট"",""""))"),"ডুপ্লিকেট")</f>
        <v>ডুপ্লিকেট</v>
      </c>
      <c r="Q99" s="5" t="str">
        <f t="shared" si="1"/>
        <v>১ আগে দেখো</v>
      </c>
    </row>
    <row r="100">
      <c r="A100" s="4">
        <v>2386.0</v>
      </c>
      <c r="B100" s="2" t="s">
        <v>523</v>
      </c>
      <c r="C100" s="2" t="s">
        <v>524</v>
      </c>
      <c r="D100" s="2" t="s">
        <v>525</v>
      </c>
      <c r="E100" s="2" t="s">
        <v>526</v>
      </c>
      <c r="F100" s="2" t="b">
        <v>1</v>
      </c>
      <c r="G100" s="2" t="b">
        <v>0</v>
      </c>
      <c r="H100" s="2" t="s">
        <v>527</v>
      </c>
      <c r="I100" s="2" t="s">
        <v>22</v>
      </c>
      <c r="J100" s="2" t="s">
        <v>528</v>
      </c>
      <c r="K100" s="2" t="s">
        <v>495</v>
      </c>
      <c r="L100" s="13" t="s">
        <v>496</v>
      </c>
      <c r="M100" s="2" t="s">
        <v>26</v>
      </c>
      <c r="N100" s="11" t="s">
        <v>149</v>
      </c>
      <c r="O100" s="12" t="s">
        <v>53</v>
      </c>
      <c r="P100" s="5" t="str">
        <f>IFERROR(__xludf.DUMMYFUNCTION("TEXTJOIN("" | "",TRUE,IF(OR(D100="""",E100="""",I100="""",J100="""",H100=""""),""ফাঁকা ঘর"",""""),IF(AND(C100&lt;&gt;"""",D100&lt;&gt;"""",C100=D100),""gloss=figurative"",""""),IF(LEN(D100)&lt;15,""figurative ছোট"",""""),IF(AND(I100=""Positive"",REGEXMATCH(H100,""মূর্খ|"&amp;"ভণ্ড|প্রতার|অলস|লোভ|স্বার্থ|অক্ষম|অযোগ্য|বোকা|কৃপণ|হিংস"")),""valence-target অমিল"",""""),IF(COUNTIF($B:$B,B100)&gt;1,""ডুপ্লিকেট"",""""))"),"figurative ছোট")</f>
        <v>figurative ছোট</v>
      </c>
      <c r="Q100" s="5" t="str">
        <f t="shared" si="1"/>
        <v>১ আগে দেখো</v>
      </c>
    </row>
    <row r="101">
      <c r="A101" s="4">
        <v>2510.0</v>
      </c>
      <c r="B101" s="2" t="s">
        <v>529</v>
      </c>
      <c r="C101" s="2" t="s">
        <v>530</v>
      </c>
      <c r="D101" s="2" t="s">
        <v>531</v>
      </c>
      <c r="E101" s="2" t="s">
        <v>532</v>
      </c>
      <c r="F101" s="2" t="b">
        <v>1</v>
      </c>
      <c r="G101" s="2" t="b">
        <v>0</v>
      </c>
      <c r="H101" s="2" t="s">
        <v>37</v>
      </c>
      <c r="I101" s="2" t="s">
        <v>49</v>
      </c>
      <c r="J101" s="2" t="s">
        <v>533</v>
      </c>
      <c r="K101" s="2" t="s">
        <v>495</v>
      </c>
      <c r="L101" s="13" t="s">
        <v>496</v>
      </c>
      <c r="M101" s="2" t="s">
        <v>26</v>
      </c>
      <c r="N101" s="11" t="s">
        <v>534</v>
      </c>
      <c r="O101" s="12" t="s">
        <v>53</v>
      </c>
      <c r="P101" s="5" t="str">
        <f>IFERROR(__xludf.DUMMYFUNCTION("TEXTJOIN("" | "",TRUE,IF(OR(D101="""",E101="""",I101="""",J101="""",H101=""""),""ফাঁকা ঘর"",""""),IF(AND(C101&lt;&gt;"""",D101&lt;&gt;"""",C101=D101),""gloss=figurative"",""""),IF(LEN(D101)&lt;15,""figurative ছোট"",""""),IF(AND(I101=""Positive"",REGEXMATCH(H101,""মূর্খ|"&amp;"ভণ্ড|প্রতার|অলস|লোভ|স্বার্থ|অক্ষম|অযোগ্য|বোকা|কৃপণ|হিংস"")),""valence-target অমিল"",""""),IF(COUNTIF($B:$B,B101)&gt;1,""ডুপ্লিকেট"",""""))"),"figurative ছোট")</f>
        <v>figurative ছোট</v>
      </c>
      <c r="Q101" s="5" t="str">
        <f t="shared" si="1"/>
        <v>১ আগে দেখো</v>
      </c>
    </row>
    <row r="102">
      <c r="A102" s="4">
        <v>2534.0</v>
      </c>
      <c r="B102" s="2" t="s">
        <v>535</v>
      </c>
      <c r="C102" s="2" t="s">
        <v>535</v>
      </c>
      <c r="D102" s="2" t="s">
        <v>536</v>
      </c>
      <c r="E102" s="2" t="s">
        <v>537</v>
      </c>
      <c r="F102" s="2" t="b">
        <v>1</v>
      </c>
      <c r="G102" s="2" t="b">
        <v>0</v>
      </c>
      <c r="H102" s="2" t="s">
        <v>37</v>
      </c>
      <c r="I102" s="2" t="s">
        <v>49</v>
      </c>
      <c r="J102" s="2" t="s">
        <v>538</v>
      </c>
      <c r="K102" s="2" t="s">
        <v>495</v>
      </c>
      <c r="L102" s="13" t="s">
        <v>496</v>
      </c>
      <c r="M102" s="2" t="s">
        <v>26</v>
      </c>
      <c r="N102" s="11" t="s">
        <v>149</v>
      </c>
      <c r="O102" s="12" t="s">
        <v>53</v>
      </c>
      <c r="P102" s="5" t="str">
        <f>IFERROR(__xludf.DUMMYFUNCTION("TEXTJOIN("" | "",TRUE,IF(OR(D102="""",E102="""",I102="""",J102="""",H102=""""),""ফাঁকা ঘর"",""""),IF(AND(C102&lt;&gt;"""",D102&lt;&gt;"""",C102=D102),""gloss=figurative"",""""),IF(LEN(D102)&lt;15,""figurative ছোট"",""""),IF(AND(I102=""Positive"",REGEXMATCH(H102,""মূর্খ|"&amp;"ভণ্ড|প্রতার|অলস|লোভ|স্বার্থ|অক্ষম|অযোগ্য|বোকা|কৃপণ|হিংস"")),""valence-target অমিল"",""""),IF(COUNTIF($B:$B,B102)&gt;1,""ডুপ্লিকেট"",""""))"),"figurative ছোট")</f>
        <v>figurative ছোট</v>
      </c>
      <c r="Q102" s="5" t="str">
        <f t="shared" si="1"/>
        <v>১ আগে দেখো</v>
      </c>
    </row>
    <row r="103">
      <c r="A103" s="4">
        <v>2543.0</v>
      </c>
      <c r="B103" s="2" t="s">
        <v>539</v>
      </c>
      <c r="C103" s="2" t="s">
        <v>540</v>
      </c>
      <c r="D103" s="2" t="s">
        <v>541</v>
      </c>
      <c r="E103" s="2" t="s">
        <v>542</v>
      </c>
      <c r="F103" s="2" t="b">
        <v>1</v>
      </c>
      <c r="G103" s="2" t="b">
        <v>0</v>
      </c>
      <c r="H103" s="2" t="s">
        <v>37</v>
      </c>
      <c r="I103" s="2" t="s">
        <v>49</v>
      </c>
      <c r="J103" s="2" t="s">
        <v>533</v>
      </c>
      <c r="K103" s="2" t="s">
        <v>495</v>
      </c>
      <c r="L103" s="13" t="s">
        <v>496</v>
      </c>
      <c r="M103" s="2" t="s">
        <v>26</v>
      </c>
      <c r="N103" s="11" t="s">
        <v>543</v>
      </c>
      <c r="O103" s="12" t="s">
        <v>53</v>
      </c>
      <c r="P103" s="5" t="str">
        <f>IFERROR(__xludf.DUMMYFUNCTION("TEXTJOIN("" | "",TRUE,IF(OR(D103="""",E103="""",I103="""",J103="""",H103=""""),""ফাঁকা ঘর"",""""),IF(AND(C103&lt;&gt;"""",D103&lt;&gt;"""",C103=D103),""gloss=figurative"",""""),IF(LEN(D103)&lt;15,""figurative ছোট"",""""),IF(AND(I103=""Positive"",REGEXMATCH(H103,""মূর্খ|"&amp;"ভণ্ড|প্রতার|অলস|লোভ|স্বার্থ|অক্ষম|অযোগ্য|বোকা|কৃপণ|হিংস"")),""valence-target অমিল"",""""),IF(COUNTIF($B:$B,B103)&gt;1,""ডুপ্লিকেট"",""""))"),"figurative ছোট")</f>
        <v>figurative ছোট</v>
      </c>
      <c r="Q103" s="5" t="str">
        <f t="shared" si="1"/>
        <v>১ আগে দেখো</v>
      </c>
    </row>
    <row r="104">
      <c r="A104" s="4">
        <v>2544.0</v>
      </c>
      <c r="B104" s="2" t="s">
        <v>544</v>
      </c>
      <c r="C104" s="2" t="s">
        <v>545</v>
      </c>
      <c r="D104" s="2" t="s">
        <v>546</v>
      </c>
      <c r="E104" s="2" t="s">
        <v>547</v>
      </c>
      <c r="F104" s="2" t="b">
        <v>1</v>
      </c>
      <c r="G104" s="2" t="b">
        <v>0</v>
      </c>
      <c r="H104" s="2" t="s">
        <v>37</v>
      </c>
      <c r="I104" s="2" t="s">
        <v>22</v>
      </c>
      <c r="J104" s="2" t="s">
        <v>548</v>
      </c>
      <c r="K104" s="2" t="s">
        <v>495</v>
      </c>
      <c r="L104" s="13" t="s">
        <v>496</v>
      </c>
      <c r="M104" s="2" t="s">
        <v>26</v>
      </c>
      <c r="N104" s="11" t="s">
        <v>149</v>
      </c>
      <c r="O104" s="12" t="s">
        <v>53</v>
      </c>
      <c r="P104" s="5" t="str">
        <f>IFERROR(__xludf.DUMMYFUNCTION("TEXTJOIN("" | "",TRUE,IF(OR(D104="""",E104="""",I104="""",J104="""",H104=""""),""ফাঁকা ঘর"",""""),IF(AND(C104&lt;&gt;"""",D104&lt;&gt;"""",C104=D104),""gloss=figurative"",""""),IF(LEN(D104)&lt;15,""figurative ছোট"",""""),IF(AND(I104=""Positive"",REGEXMATCH(H104,""মূর্খ|"&amp;"ভণ্ড|প্রতার|অলস|লোভ|স্বার্থ|অক্ষম|অযোগ্য|বোকা|কৃপণ|হিংস"")),""valence-target অমিল"",""""),IF(COUNTIF($B:$B,B104)&gt;1,""ডুপ্লিকেট"",""""))"),"figurative ছোট")</f>
        <v>figurative ছোট</v>
      </c>
      <c r="Q104" s="5" t="str">
        <f t="shared" si="1"/>
        <v>১ আগে দেখো</v>
      </c>
    </row>
    <row r="105">
      <c r="A105" s="4">
        <v>2583.0</v>
      </c>
      <c r="B105" s="2" t="s">
        <v>549</v>
      </c>
      <c r="C105" s="2" t="s">
        <v>550</v>
      </c>
      <c r="D105" s="2" t="s">
        <v>551</v>
      </c>
      <c r="E105" s="2" t="s">
        <v>552</v>
      </c>
      <c r="F105" s="2" t="b">
        <v>1</v>
      </c>
      <c r="G105" s="2" t="b">
        <v>0</v>
      </c>
      <c r="H105" s="2" t="s">
        <v>37</v>
      </c>
      <c r="I105" s="2" t="s">
        <v>32</v>
      </c>
      <c r="J105" s="2" t="s">
        <v>553</v>
      </c>
      <c r="K105" s="2" t="s">
        <v>495</v>
      </c>
      <c r="L105" s="13" t="s">
        <v>496</v>
      </c>
      <c r="M105" s="2" t="s">
        <v>26</v>
      </c>
      <c r="N105" s="11" t="s">
        <v>554</v>
      </c>
      <c r="O105" s="12" t="s">
        <v>53</v>
      </c>
      <c r="P105" s="5" t="str">
        <f>IFERROR(__xludf.DUMMYFUNCTION("TEXTJOIN("" | "",TRUE,IF(OR(D105="""",E105="""",I105="""",J105="""",H105=""""),""ফাঁকা ঘর"",""""),IF(AND(C105&lt;&gt;"""",D105&lt;&gt;"""",C105=D105),""gloss=figurative"",""""),IF(LEN(D105)&lt;15,""figurative ছোট"",""""),IF(AND(I105=""Positive"",REGEXMATCH(H105,""মূর্খ|"&amp;"ভণ্ড|প্রতার|অলস|লোভ|স্বার্থ|অক্ষম|অযোগ্য|বোকা|কৃপণ|হিংস"")),""valence-target অমিল"",""""),IF(COUNTIF($B:$B,B105)&gt;1,""ডুপ্লিকেট"",""""))"),"ডুপ্লিকেট")</f>
        <v>ডুপ্লিকেট</v>
      </c>
      <c r="Q105" s="5" t="str">
        <f t="shared" si="1"/>
        <v>১ আগে দেখো</v>
      </c>
    </row>
    <row r="106">
      <c r="A106" s="4">
        <v>2584.0</v>
      </c>
      <c r="B106" s="2" t="s">
        <v>549</v>
      </c>
      <c r="C106" s="2" t="s">
        <v>555</v>
      </c>
      <c r="D106" s="2" t="s">
        <v>556</v>
      </c>
      <c r="E106" s="2" t="s">
        <v>557</v>
      </c>
      <c r="F106" s="2" t="b">
        <v>1</v>
      </c>
      <c r="G106" s="2" t="b">
        <v>0</v>
      </c>
      <c r="H106" s="2" t="s">
        <v>37</v>
      </c>
      <c r="I106" s="2" t="s">
        <v>32</v>
      </c>
      <c r="J106" s="2" t="s">
        <v>553</v>
      </c>
      <c r="K106" s="2" t="s">
        <v>495</v>
      </c>
      <c r="L106" s="13" t="s">
        <v>496</v>
      </c>
      <c r="M106" s="2" t="s">
        <v>26</v>
      </c>
      <c r="N106" s="11" t="s">
        <v>558</v>
      </c>
      <c r="O106" s="12" t="s">
        <v>53</v>
      </c>
      <c r="P106" s="5" t="str">
        <f>IFERROR(__xludf.DUMMYFUNCTION("TEXTJOIN("" | "",TRUE,IF(OR(D106="""",E106="""",I106="""",J106="""",H106=""""),""ফাঁকা ঘর"",""""),IF(AND(C106&lt;&gt;"""",D106&lt;&gt;"""",C106=D106),""gloss=figurative"",""""),IF(LEN(D106)&lt;15,""figurative ছোট"",""""),IF(AND(I106=""Positive"",REGEXMATCH(H106,""মূর্খ|"&amp;"ভণ্ড|প্রতার|অলস|লোভ|স্বার্থ|অক্ষম|অযোগ্য|বোকা|কৃপণ|হিংস"")),""valence-target অমিল"",""""),IF(COUNTIF($B:$B,B106)&gt;1,""ডুপ্লিকেট"",""""))"),"ডুপ্লিকেট")</f>
        <v>ডুপ্লিকেট</v>
      </c>
      <c r="Q106" s="5" t="str">
        <f t="shared" si="1"/>
        <v>১ আগে দেখো</v>
      </c>
    </row>
    <row r="107">
      <c r="A107" s="4">
        <v>2599.0</v>
      </c>
      <c r="B107" s="2" t="s">
        <v>34</v>
      </c>
      <c r="C107" s="2" t="s">
        <v>34</v>
      </c>
      <c r="D107" s="2" t="s">
        <v>559</v>
      </c>
      <c r="E107" s="2" t="s">
        <v>384</v>
      </c>
      <c r="F107" s="2" t="b">
        <v>1</v>
      </c>
      <c r="G107" s="2" t="b">
        <v>0</v>
      </c>
      <c r="H107" s="2" t="s">
        <v>37</v>
      </c>
      <c r="I107" s="2" t="s">
        <v>32</v>
      </c>
      <c r="J107" s="2" t="s">
        <v>553</v>
      </c>
      <c r="K107" s="2" t="s">
        <v>495</v>
      </c>
      <c r="L107" s="13" t="s">
        <v>496</v>
      </c>
      <c r="M107" s="2" t="s">
        <v>26</v>
      </c>
      <c r="N107" s="11" t="s">
        <v>560</v>
      </c>
      <c r="O107" s="12" t="s">
        <v>53</v>
      </c>
      <c r="P107" s="5" t="str">
        <f>IFERROR(__xludf.DUMMYFUNCTION("TEXTJOIN("" | "",TRUE,IF(OR(D107="""",E107="""",I107="""",J107="""",H107=""""),""ফাঁকা ঘর"",""""),IF(AND(C107&lt;&gt;"""",D107&lt;&gt;"""",C107=D107),""gloss=figurative"",""""),IF(LEN(D107)&lt;15,""figurative ছোট"",""""),IF(AND(I107=""Positive"",REGEXMATCH(H107,""মূর্খ|"&amp;"ভণ্ড|প্রতার|অলস|লোভ|স্বার্থ|অক্ষম|অযোগ্য|বোকা|কৃপণ|হিংস"")),""valence-target অমিল"",""""),IF(COUNTIF($B:$B,B107)&gt;1,""ডুপ্লিকেট"",""""))"),"ডুপ্লিকেট")</f>
        <v>ডুপ্লিকেট</v>
      </c>
      <c r="Q107" s="5" t="str">
        <f t="shared" si="1"/>
        <v>১ আগে দেখো</v>
      </c>
    </row>
    <row r="108">
      <c r="A108" s="4">
        <v>2686.0</v>
      </c>
      <c r="B108" s="2" t="s">
        <v>561</v>
      </c>
      <c r="C108" s="2" t="s">
        <v>562</v>
      </c>
      <c r="D108" s="2" t="s">
        <v>563</v>
      </c>
      <c r="E108" s="2" t="s">
        <v>564</v>
      </c>
      <c r="F108" s="2" t="b">
        <v>1</v>
      </c>
      <c r="G108" s="2" t="b">
        <v>0</v>
      </c>
      <c r="H108" s="2" t="s">
        <v>37</v>
      </c>
      <c r="I108" s="2" t="s">
        <v>49</v>
      </c>
      <c r="J108" s="2" t="s">
        <v>565</v>
      </c>
      <c r="K108" s="2" t="s">
        <v>495</v>
      </c>
      <c r="L108" s="13" t="s">
        <v>496</v>
      </c>
      <c r="M108" s="2" t="s">
        <v>26</v>
      </c>
      <c r="N108" s="11" t="s">
        <v>566</v>
      </c>
      <c r="O108" s="12" t="s">
        <v>53</v>
      </c>
      <c r="P108" s="5" t="str">
        <f>IFERROR(__xludf.DUMMYFUNCTION("TEXTJOIN("" | "",TRUE,IF(OR(D108="""",E108="""",I108="""",J108="""",H108=""""),""ফাঁকা ঘর"",""""),IF(AND(C108&lt;&gt;"""",D108&lt;&gt;"""",C108=D108),""gloss=figurative"",""""),IF(LEN(D108)&lt;15,""figurative ছোট"",""""),IF(AND(I108=""Positive"",REGEXMATCH(H108,""মূর্খ|"&amp;"ভণ্ড|প্রতার|অলস|লোভ|স্বার্থ|অক্ষম|অযোগ্য|বোকা|কৃপণ|হিংস"")),""valence-target অমিল"",""""),IF(COUNTIF($B:$B,B108)&gt;1,""ডুপ্লিকেট"",""""))"),"ডুপ্লিকেট")</f>
        <v>ডুপ্লিকেট</v>
      </c>
      <c r="Q108" s="5" t="str">
        <f t="shared" si="1"/>
        <v>১ আগে দেখো</v>
      </c>
    </row>
    <row r="109">
      <c r="A109" s="4">
        <v>2687.0</v>
      </c>
      <c r="B109" s="2" t="s">
        <v>561</v>
      </c>
      <c r="C109" s="2" t="s">
        <v>567</v>
      </c>
      <c r="D109" s="2" t="s">
        <v>568</v>
      </c>
      <c r="E109" s="2" t="s">
        <v>569</v>
      </c>
      <c r="F109" s="2" t="b">
        <v>1</v>
      </c>
      <c r="G109" s="2" t="b">
        <v>0</v>
      </c>
      <c r="H109" s="2" t="s">
        <v>37</v>
      </c>
      <c r="I109" s="2" t="s">
        <v>49</v>
      </c>
      <c r="J109" s="2" t="s">
        <v>565</v>
      </c>
      <c r="K109" s="2" t="s">
        <v>495</v>
      </c>
      <c r="L109" s="13" t="s">
        <v>496</v>
      </c>
      <c r="M109" s="2" t="s">
        <v>26</v>
      </c>
      <c r="N109" s="11" t="s">
        <v>570</v>
      </c>
      <c r="O109" s="12" t="s">
        <v>53</v>
      </c>
      <c r="P109" s="5" t="str">
        <f>IFERROR(__xludf.DUMMYFUNCTION("TEXTJOIN("" | "",TRUE,IF(OR(D109="""",E109="""",I109="""",J109="""",H109=""""),""ফাঁকা ঘর"",""""),IF(AND(C109&lt;&gt;"""",D109&lt;&gt;"""",C109=D109),""gloss=figurative"",""""),IF(LEN(D109)&lt;15,""figurative ছোট"",""""),IF(AND(I109=""Positive"",REGEXMATCH(H109,""মূর্খ|"&amp;"ভণ্ড|প্রতার|অলস|লোভ|স্বার্থ|অক্ষম|অযোগ্য|বোকা|কৃপণ|হিংস"")),""valence-target অমিল"",""""),IF(COUNTIF($B:$B,B109)&gt;1,""ডুপ্লিকেট"",""""))"),"ডুপ্লিকেট")</f>
        <v>ডুপ্লিকেট</v>
      </c>
      <c r="Q109" s="5" t="str">
        <f t="shared" si="1"/>
        <v>১ আগে দেখো</v>
      </c>
    </row>
    <row r="110">
      <c r="A110" s="4">
        <v>2714.0</v>
      </c>
      <c r="B110" s="2" t="s">
        <v>571</v>
      </c>
      <c r="C110" s="2" t="s">
        <v>572</v>
      </c>
      <c r="D110" s="2" t="s">
        <v>573</v>
      </c>
      <c r="E110" s="2" t="s">
        <v>574</v>
      </c>
      <c r="F110" s="2" t="b">
        <v>1</v>
      </c>
      <c r="G110" s="2" t="b">
        <v>0</v>
      </c>
      <c r="H110" s="2" t="s">
        <v>37</v>
      </c>
      <c r="I110" s="2" t="s">
        <v>32</v>
      </c>
      <c r="J110" s="2" t="s">
        <v>575</v>
      </c>
      <c r="K110" s="2" t="s">
        <v>495</v>
      </c>
      <c r="L110" s="13" t="s">
        <v>496</v>
      </c>
      <c r="M110" s="2" t="s">
        <v>26</v>
      </c>
      <c r="N110" s="11" t="s">
        <v>576</v>
      </c>
      <c r="O110" s="12" t="s">
        <v>53</v>
      </c>
      <c r="P110" s="5" t="str">
        <f>IFERROR(__xludf.DUMMYFUNCTION("TEXTJOIN("" | "",TRUE,IF(OR(D110="""",E110="""",I110="""",J110="""",H110=""""),""ফাঁকা ঘর"",""""),IF(AND(C110&lt;&gt;"""",D110&lt;&gt;"""",C110=D110),""gloss=figurative"",""""),IF(LEN(D110)&lt;15,""figurative ছোট"",""""),IF(AND(I110=""Positive"",REGEXMATCH(H110,""মূর্খ|"&amp;"ভণ্ড|প্রতার|অলস|লোভ|স্বার্থ|অক্ষম|অযোগ্য|বোকা|কৃপণ|হিংস"")),""valence-target অমিল"",""""),IF(COUNTIF($B:$B,B110)&gt;1,""ডুপ্লিকেট"",""""))"),"figurative ছোট")</f>
        <v>figurative ছোট</v>
      </c>
      <c r="Q110" s="5" t="str">
        <f t="shared" si="1"/>
        <v>১ আগে দেখো</v>
      </c>
    </row>
    <row r="111">
      <c r="A111" s="4">
        <v>2780.0</v>
      </c>
      <c r="B111" s="2" t="s">
        <v>577</v>
      </c>
      <c r="C111" s="2" t="s">
        <v>578</v>
      </c>
      <c r="D111" s="2" t="s">
        <v>579</v>
      </c>
      <c r="E111" s="2" t="s">
        <v>580</v>
      </c>
      <c r="F111" s="2" t="b">
        <v>1</v>
      </c>
      <c r="G111" s="2" t="b">
        <v>0</v>
      </c>
      <c r="H111" s="2" t="s">
        <v>37</v>
      </c>
      <c r="I111" s="2" t="s">
        <v>49</v>
      </c>
      <c r="J111" s="2" t="s">
        <v>581</v>
      </c>
      <c r="K111" s="2" t="s">
        <v>495</v>
      </c>
      <c r="L111" s="13" t="s">
        <v>496</v>
      </c>
      <c r="M111" s="2" t="s">
        <v>26</v>
      </c>
      <c r="N111" s="11" t="s">
        <v>576</v>
      </c>
      <c r="O111" s="12" t="s">
        <v>53</v>
      </c>
      <c r="P111" s="5" t="str">
        <f>IFERROR(__xludf.DUMMYFUNCTION("TEXTJOIN("" | "",TRUE,IF(OR(D111="""",E111="""",I111="""",J111="""",H111=""""),""ফাঁকা ঘর"",""""),IF(AND(C111&lt;&gt;"""",D111&lt;&gt;"""",C111=D111),""gloss=figurative"",""""),IF(LEN(D111)&lt;15,""figurative ছোট"",""""),IF(AND(I111=""Positive"",REGEXMATCH(H111,""মূর্খ|"&amp;"ভণ্ড|প্রতার|অলস|লোভ|স্বার্থ|অক্ষম|অযোগ্য|বোকা|কৃপণ|হিংস"")),""valence-target অমিল"",""""),IF(COUNTIF($B:$B,B111)&gt;1,""ডুপ্লিকেট"",""""))"),"figurative ছোট")</f>
        <v>figurative ছোট</v>
      </c>
      <c r="Q111" s="5" t="str">
        <f t="shared" si="1"/>
        <v>১ আগে দেখো</v>
      </c>
    </row>
    <row r="112">
      <c r="A112" s="4">
        <v>2832.0</v>
      </c>
      <c r="B112" s="2" t="s">
        <v>582</v>
      </c>
      <c r="C112" s="2" t="s">
        <v>583</v>
      </c>
      <c r="D112" s="2" t="s">
        <v>584</v>
      </c>
      <c r="E112" s="2" t="b">
        <v>1</v>
      </c>
      <c r="F112" s="2" t="b">
        <v>0</v>
      </c>
      <c r="G112" s="2" t="s">
        <v>37</v>
      </c>
      <c r="H112" s="2" t="s">
        <v>49</v>
      </c>
      <c r="I112" s="2" t="s">
        <v>565</v>
      </c>
      <c r="J112" s="2"/>
      <c r="K112" s="2" t="s">
        <v>495</v>
      </c>
      <c r="L112" s="13" t="s">
        <v>496</v>
      </c>
      <c r="M112" s="2" t="s">
        <v>26</v>
      </c>
      <c r="N112" s="11" t="s">
        <v>585</v>
      </c>
      <c r="O112" s="12" t="s">
        <v>53</v>
      </c>
      <c r="P112" s="5" t="str">
        <f>IFERROR(__xludf.DUMMYFUNCTION("TEXTJOIN("" | "",TRUE,IF(OR(D112="""",E112="""",I112="""",J112="""",H112=""""),""ফাঁকা ঘর"",""""),IF(AND(C112&lt;&gt;"""",D112&lt;&gt;"""",C112=D112),""gloss=figurative"",""""),IF(LEN(D112)&lt;15,""figurative ছোট"",""""),IF(AND(I112=""Positive"",REGEXMATCH(H112,""মূর্খ|"&amp;"ভণ্ড|প্রতার|অলস|লোভ|স্বার্থ|অক্ষম|অযোগ্য|বোকা|কৃপণ|হিংস"")),""valence-target অমিল"",""""),IF(COUNTIF($B:$B,B112)&gt;1,""ডুপ্লিকেট"",""""))"),"ফাঁকা ঘর")</f>
        <v>ফাঁকা ঘর</v>
      </c>
      <c r="Q112" s="5" t="str">
        <f t="shared" si="1"/>
        <v>১ আগে দেখো</v>
      </c>
    </row>
    <row r="113">
      <c r="A113" s="4">
        <v>2894.0</v>
      </c>
      <c r="B113" s="2" t="s">
        <v>586</v>
      </c>
      <c r="C113" s="2" t="s">
        <v>587</v>
      </c>
      <c r="D113" s="2" t="s">
        <v>588</v>
      </c>
      <c r="E113" s="2" t="s">
        <v>589</v>
      </c>
      <c r="F113" s="2" t="b">
        <v>1</v>
      </c>
      <c r="G113" s="2" t="b">
        <v>0</v>
      </c>
      <c r="H113" s="2" t="s">
        <v>37</v>
      </c>
      <c r="I113" s="2" t="s">
        <v>22</v>
      </c>
      <c r="J113" s="2" t="s">
        <v>590</v>
      </c>
      <c r="K113" s="2" t="s">
        <v>495</v>
      </c>
      <c r="L113" s="13" t="s">
        <v>496</v>
      </c>
      <c r="M113" s="2" t="s">
        <v>26</v>
      </c>
      <c r="N113" s="11" t="s">
        <v>576</v>
      </c>
      <c r="O113" s="12" t="s">
        <v>53</v>
      </c>
      <c r="P113" s="5" t="str">
        <f>IFERROR(__xludf.DUMMYFUNCTION("TEXTJOIN("" | "",TRUE,IF(OR(D113="""",E113="""",I113="""",J113="""",H113=""""),""ফাঁকা ঘর"",""""),IF(AND(C113&lt;&gt;"""",D113&lt;&gt;"""",C113=D113),""gloss=figurative"",""""),IF(LEN(D113)&lt;15,""figurative ছোট"",""""),IF(AND(I113=""Positive"",REGEXMATCH(H113,""মূর্খ|"&amp;"ভণ্ড|প্রতার|অলস|লোভ|স্বার্থ|অক্ষম|অযোগ্য|বোকা|কৃপণ|হিংস"")),""valence-target অমিল"",""""),IF(COUNTIF($B:$B,B113)&gt;1,""ডুপ্লিকেট"",""""))"),"figurative ছোট")</f>
        <v>figurative ছোট</v>
      </c>
      <c r="Q113" s="5" t="str">
        <f t="shared" si="1"/>
        <v>১ আগে দেখো</v>
      </c>
    </row>
    <row r="114">
      <c r="A114" s="4">
        <v>2942.0</v>
      </c>
      <c r="B114" s="2" t="s">
        <v>591</v>
      </c>
      <c r="C114" s="2" t="s">
        <v>592</v>
      </c>
      <c r="D114" s="2" t="s">
        <v>593</v>
      </c>
      <c r="E114" s="2" t="s">
        <v>594</v>
      </c>
      <c r="F114" s="2" t="b">
        <v>1</v>
      </c>
      <c r="G114" s="2" t="b">
        <v>0</v>
      </c>
      <c r="H114" s="2" t="s">
        <v>37</v>
      </c>
      <c r="I114" s="2" t="s">
        <v>22</v>
      </c>
      <c r="J114" s="2" t="s">
        <v>595</v>
      </c>
      <c r="K114" s="2" t="s">
        <v>495</v>
      </c>
      <c r="L114" s="13" t="s">
        <v>496</v>
      </c>
      <c r="M114" s="2" t="s">
        <v>26</v>
      </c>
      <c r="N114" s="11" t="s">
        <v>596</v>
      </c>
      <c r="O114" s="12" t="s">
        <v>53</v>
      </c>
      <c r="P114" s="5" t="str">
        <f>IFERROR(__xludf.DUMMYFUNCTION("TEXTJOIN("" | "",TRUE,IF(OR(D114="""",E114="""",I114="""",J114="""",H114=""""),""ফাঁকা ঘর"",""""),IF(AND(C114&lt;&gt;"""",D114&lt;&gt;"""",C114=D114),""gloss=figurative"",""""),IF(LEN(D114)&lt;15,""figurative ছোট"",""""),IF(AND(I114=""Positive"",REGEXMATCH(H114,""মূর্খ|"&amp;"ভণ্ড|প্রতার|অলস|লোভ|স্বার্থ|অক্ষম|অযোগ্য|বোকা|কৃপণ|হিংস"")),""valence-target অমিল"",""""),IF(COUNTIF($B:$B,B114)&gt;1,""ডুপ্লিকেট"",""""))"),"figurative ছোট")</f>
        <v>figurative ছোট</v>
      </c>
      <c r="Q114" s="5" t="str">
        <f t="shared" si="1"/>
        <v>১ আগে দেখো</v>
      </c>
    </row>
    <row r="115">
      <c r="A115" s="4">
        <v>2970.0</v>
      </c>
      <c r="B115" s="2" t="s">
        <v>597</v>
      </c>
      <c r="C115" s="2" t="s">
        <v>598</v>
      </c>
      <c r="D115" s="2" t="s">
        <v>599</v>
      </c>
      <c r="E115" s="2" t="s">
        <v>600</v>
      </c>
      <c r="F115" s="2" t="b">
        <v>1</v>
      </c>
      <c r="G115" s="2" t="b">
        <v>0</v>
      </c>
      <c r="H115" s="2" t="s">
        <v>37</v>
      </c>
      <c r="I115" s="2" t="s">
        <v>22</v>
      </c>
      <c r="J115" s="2" t="s">
        <v>601</v>
      </c>
      <c r="K115" s="2" t="s">
        <v>495</v>
      </c>
      <c r="L115" s="13" t="s">
        <v>496</v>
      </c>
      <c r="M115" s="2" t="s">
        <v>26</v>
      </c>
      <c r="N115" s="11" t="s">
        <v>576</v>
      </c>
      <c r="O115" s="12" t="s">
        <v>53</v>
      </c>
      <c r="P115" s="5" t="str">
        <f>IFERROR(__xludf.DUMMYFUNCTION("TEXTJOIN("" | "",TRUE,IF(OR(D115="""",E115="""",I115="""",J115="""",H115=""""),""ফাঁকা ঘর"",""""),IF(AND(C115&lt;&gt;"""",D115&lt;&gt;"""",C115=D115),""gloss=figurative"",""""),IF(LEN(D115)&lt;15,""figurative ছোট"",""""),IF(AND(I115=""Positive"",REGEXMATCH(H115,""মূর্খ|"&amp;"ভণ্ড|প্রতার|অলস|লোভ|স্বার্থ|অক্ষম|অযোগ্য|বোকা|কৃপণ|হিংস"")),""valence-target অমিল"",""""),IF(COUNTIF($B:$B,B115)&gt;1,""ডুপ্লিকেট"",""""))"),"figurative ছোট")</f>
        <v>figurative ছোট</v>
      </c>
      <c r="Q115" s="5" t="str">
        <f t="shared" si="1"/>
        <v>১ আগে দেখো</v>
      </c>
    </row>
    <row r="116">
      <c r="A116" s="4">
        <v>2982.0</v>
      </c>
      <c r="B116" s="2" t="s">
        <v>602</v>
      </c>
      <c r="C116" s="2" t="s">
        <v>603</v>
      </c>
      <c r="D116" s="2" t="s">
        <v>604</v>
      </c>
      <c r="E116" s="2" t="s">
        <v>605</v>
      </c>
      <c r="F116" s="2" t="b">
        <v>1</v>
      </c>
      <c r="G116" s="2" t="b">
        <v>0</v>
      </c>
      <c r="H116" s="2" t="s">
        <v>37</v>
      </c>
      <c r="I116" s="2" t="s">
        <v>49</v>
      </c>
      <c r="J116" s="2" t="s">
        <v>606</v>
      </c>
      <c r="K116" s="2" t="s">
        <v>495</v>
      </c>
      <c r="L116" s="13" t="s">
        <v>496</v>
      </c>
      <c r="M116" s="2" t="s">
        <v>26</v>
      </c>
      <c r="N116" s="11" t="s">
        <v>607</v>
      </c>
      <c r="O116" s="12" t="s">
        <v>53</v>
      </c>
      <c r="P116" s="5" t="str">
        <f>IFERROR(__xludf.DUMMYFUNCTION("TEXTJOIN("" | "",TRUE,IF(OR(D116="""",E116="""",I116="""",J116="""",H116=""""),""ফাঁকা ঘর"",""""),IF(AND(C116&lt;&gt;"""",D116&lt;&gt;"""",C116=D116),""gloss=figurative"",""""),IF(LEN(D116)&lt;15,""figurative ছোট"",""""),IF(AND(I116=""Positive"",REGEXMATCH(H116,""মূর্খ|"&amp;"ভণ্ড|প্রতার|অলস|লোভ|স্বার্থ|অক্ষম|অযোগ্য|বোকা|কৃপণ|হিংস"")),""valence-target অমিল"",""""),IF(COUNTIF($B:$B,B116)&gt;1,""ডুপ্লিকেট"",""""))"),"ডুপ্লিকেট")</f>
        <v>ডুপ্লিকেট</v>
      </c>
      <c r="Q116" s="5" t="str">
        <f t="shared" si="1"/>
        <v>১ আগে দেখো</v>
      </c>
    </row>
    <row r="117">
      <c r="A117" s="4">
        <v>2983.0</v>
      </c>
      <c r="B117" s="2" t="s">
        <v>602</v>
      </c>
      <c r="C117" s="2" t="s">
        <v>608</v>
      </c>
      <c r="D117" s="2" t="s">
        <v>609</v>
      </c>
      <c r="E117" s="2" t="s">
        <v>610</v>
      </c>
      <c r="F117" s="2" t="b">
        <v>1</v>
      </c>
      <c r="G117" s="2" t="b">
        <v>0</v>
      </c>
      <c r="H117" s="2" t="s">
        <v>37</v>
      </c>
      <c r="I117" s="2" t="s">
        <v>49</v>
      </c>
      <c r="J117" s="2" t="s">
        <v>606</v>
      </c>
      <c r="K117" s="2" t="s">
        <v>495</v>
      </c>
      <c r="L117" s="13" t="s">
        <v>496</v>
      </c>
      <c r="M117" s="2" t="s">
        <v>26</v>
      </c>
      <c r="N117" s="11" t="s">
        <v>611</v>
      </c>
      <c r="O117" s="12" t="s">
        <v>53</v>
      </c>
      <c r="P117" s="5" t="str">
        <f>IFERROR(__xludf.DUMMYFUNCTION("TEXTJOIN("" | "",TRUE,IF(OR(D117="""",E117="""",I117="""",J117="""",H117=""""),""ফাঁকা ঘর"",""""),IF(AND(C117&lt;&gt;"""",D117&lt;&gt;"""",C117=D117),""gloss=figurative"",""""),IF(LEN(D117)&lt;15,""figurative ছোট"",""""),IF(AND(I117=""Positive"",REGEXMATCH(H117,""মূর্খ|"&amp;"ভণ্ড|প্রতার|অলস|লোভ|স্বার্থ|অক্ষম|অযোগ্য|বোকা|কৃপণ|হিংস"")),""valence-target অমিল"",""""),IF(COUNTIF($B:$B,B117)&gt;1,""ডুপ্লিকেট"",""""))"),"figurative ছোট | ডুপ্লিকেট")</f>
        <v>figurative ছোট | ডুপ্লিকেট</v>
      </c>
      <c r="Q117" s="5" t="str">
        <f t="shared" si="1"/>
        <v>১ আগে দেখো</v>
      </c>
    </row>
    <row r="118">
      <c r="A118" s="4">
        <v>2990.0</v>
      </c>
      <c r="B118" s="2" t="s">
        <v>612</v>
      </c>
      <c r="C118" s="2" t="s">
        <v>613</v>
      </c>
      <c r="D118" s="2" t="s">
        <v>614</v>
      </c>
      <c r="E118" s="2" t="s">
        <v>615</v>
      </c>
      <c r="F118" s="2" t="b">
        <v>1</v>
      </c>
      <c r="G118" s="2" t="b">
        <v>0</v>
      </c>
      <c r="H118" s="2" t="s">
        <v>37</v>
      </c>
      <c r="I118" s="2" t="s">
        <v>22</v>
      </c>
      <c r="J118" s="2" t="s">
        <v>616</v>
      </c>
      <c r="K118" s="2" t="s">
        <v>495</v>
      </c>
      <c r="L118" s="13" t="s">
        <v>496</v>
      </c>
      <c r="M118" s="2" t="s">
        <v>26</v>
      </c>
      <c r="N118" s="11" t="s">
        <v>576</v>
      </c>
      <c r="O118" s="12" t="s">
        <v>53</v>
      </c>
      <c r="P118" s="5" t="str">
        <f>IFERROR(__xludf.DUMMYFUNCTION("TEXTJOIN("" | "",TRUE,IF(OR(D118="""",E118="""",I118="""",J118="""",H118=""""),""ফাঁকা ঘর"",""""),IF(AND(C118&lt;&gt;"""",D118&lt;&gt;"""",C118=D118),""gloss=figurative"",""""),IF(LEN(D118)&lt;15,""figurative ছোট"",""""),IF(AND(I118=""Positive"",REGEXMATCH(H118,""মূর্খ|"&amp;"ভণ্ড|প্রতার|অলস|লোভ|স্বার্থ|অক্ষম|অযোগ্য|বোকা|কৃপণ|হিংস"")),""valence-target অমিল"",""""),IF(COUNTIF($B:$B,B118)&gt;1,""ডুপ্লিকেট"",""""))"),"figurative ছোট")</f>
        <v>figurative ছোট</v>
      </c>
      <c r="Q118" s="5" t="str">
        <f t="shared" si="1"/>
        <v>১ আগে দেখো</v>
      </c>
    </row>
    <row r="119">
      <c r="A119" s="4">
        <v>3017.0</v>
      </c>
      <c r="B119" s="2" t="s">
        <v>617</v>
      </c>
      <c r="C119" s="2" t="s">
        <v>618</v>
      </c>
      <c r="D119" s="2" t="s">
        <v>619</v>
      </c>
      <c r="E119" s="2" t="s">
        <v>620</v>
      </c>
      <c r="F119" s="2" t="b">
        <v>1</v>
      </c>
      <c r="G119" s="2" t="b">
        <v>0</v>
      </c>
      <c r="H119" s="2" t="s">
        <v>37</v>
      </c>
      <c r="I119" s="2" t="s">
        <v>22</v>
      </c>
      <c r="J119" s="2" t="s">
        <v>621</v>
      </c>
      <c r="K119" s="2" t="s">
        <v>495</v>
      </c>
      <c r="L119" s="13" t="s">
        <v>496</v>
      </c>
      <c r="M119" s="2" t="s">
        <v>26</v>
      </c>
      <c r="N119" s="11" t="s">
        <v>576</v>
      </c>
      <c r="O119" s="12" t="s">
        <v>53</v>
      </c>
      <c r="P119" s="5" t="str">
        <f>IFERROR(__xludf.DUMMYFUNCTION("TEXTJOIN("" | "",TRUE,IF(OR(D119="""",E119="""",I119="""",J119="""",H119=""""),""ফাঁকা ঘর"",""""),IF(AND(C119&lt;&gt;"""",D119&lt;&gt;"""",C119=D119),""gloss=figurative"",""""),IF(LEN(D119)&lt;15,""figurative ছোট"",""""),IF(AND(I119=""Positive"",REGEXMATCH(H119,""মূর্খ|"&amp;"ভণ্ড|প্রতার|অলস|লোভ|স্বার্থ|অক্ষম|অযোগ্য|বোকা|কৃপণ|হিংস"")),""valence-target অমিল"",""""),IF(COUNTIF($B:$B,B119)&gt;1,""ডুপ্লিকেট"",""""))"),"figurative ছোট")</f>
        <v>figurative ছোট</v>
      </c>
      <c r="Q119" s="5" t="str">
        <f t="shared" si="1"/>
        <v>১ আগে দেখো</v>
      </c>
    </row>
    <row r="120">
      <c r="A120" s="4">
        <v>3038.0</v>
      </c>
      <c r="B120" s="2" t="s">
        <v>622</v>
      </c>
      <c r="C120" s="2" t="s">
        <v>623</v>
      </c>
      <c r="D120" s="2" t="s">
        <v>624</v>
      </c>
      <c r="E120" s="2" t="s">
        <v>625</v>
      </c>
      <c r="F120" s="2" t="b">
        <v>1</v>
      </c>
      <c r="G120" s="2" t="b">
        <v>0</v>
      </c>
      <c r="H120" s="2" t="s">
        <v>37</v>
      </c>
      <c r="I120" s="2" t="s">
        <v>22</v>
      </c>
      <c r="J120" s="2" t="s">
        <v>626</v>
      </c>
      <c r="K120" s="2" t="s">
        <v>495</v>
      </c>
      <c r="L120" s="13" t="s">
        <v>496</v>
      </c>
      <c r="M120" s="2" t="s">
        <v>26</v>
      </c>
      <c r="N120" s="11" t="s">
        <v>627</v>
      </c>
      <c r="O120" s="12" t="s">
        <v>53</v>
      </c>
      <c r="P120" s="5" t="str">
        <f>IFERROR(__xludf.DUMMYFUNCTION("TEXTJOIN("" | "",TRUE,IF(OR(D120="""",E120="""",I120="""",J120="""",H120=""""),""ফাঁকা ঘর"",""""),IF(AND(C120&lt;&gt;"""",D120&lt;&gt;"""",C120=D120),""gloss=figurative"",""""),IF(LEN(D120)&lt;15,""figurative ছোট"",""""),IF(AND(I120=""Positive"",REGEXMATCH(H120,""মূর্খ|"&amp;"ভণ্ড|প্রতার|অলস|লোভ|স্বার্থ|অক্ষম|অযোগ্য|বোকা|কৃপণ|হিংস"")),""valence-target অমিল"",""""),IF(COUNTIF($B:$B,B120)&gt;1,""ডুপ্লিকেট"",""""))"),"ডুপ্লিকেট")</f>
        <v>ডুপ্লিকেট</v>
      </c>
      <c r="Q120" s="5" t="str">
        <f t="shared" si="1"/>
        <v>১ আগে দেখো</v>
      </c>
    </row>
    <row r="121">
      <c r="A121" s="4">
        <v>3042.0</v>
      </c>
      <c r="B121" s="2" t="s">
        <v>622</v>
      </c>
      <c r="C121" s="2" t="s">
        <v>628</v>
      </c>
      <c r="D121" s="2" t="s">
        <v>629</v>
      </c>
      <c r="E121" s="2" t="s">
        <v>630</v>
      </c>
      <c r="F121" s="2" t="b">
        <v>1</v>
      </c>
      <c r="G121" s="2" t="b">
        <v>0</v>
      </c>
      <c r="H121" s="2" t="s">
        <v>37</v>
      </c>
      <c r="I121" s="2" t="s">
        <v>22</v>
      </c>
      <c r="J121" s="2" t="s">
        <v>626</v>
      </c>
      <c r="K121" s="2" t="s">
        <v>495</v>
      </c>
      <c r="L121" s="13" t="s">
        <v>496</v>
      </c>
      <c r="M121" s="2" t="s">
        <v>26</v>
      </c>
      <c r="N121" s="11" t="s">
        <v>631</v>
      </c>
      <c r="O121" s="12" t="s">
        <v>53</v>
      </c>
      <c r="P121" s="5" t="str">
        <f>IFERROR(__xludf.DUMMYFUNCTION("TEXTJOIN("" | "",TRUE,IF(OR(D121="""",E121="""",I121="""",J121="""",H121=""""),""ফাঁকা ঘর"",""""),IF(AND(C121&lt;&gt;"""",D121&lt;&gt;"""",C121=D121),""gloss=figurative"",""""),IF(LEN(D121)&lt;15,""figurative ছোট"",""""),IF(AND(I121=""Positive"",REGEXMATCH(H121,""মূর্খ|"&amp;"ভণ্ড|প্রতার|অলস|লোভ|স্বার্থ|অক্ষম|অযোগ্য|বোকা|কৃপণ|হিংস"")),""valence-target অমিল"",""""),IF(COUNTIF($B:$B,B121)&gt;1,""ডুপ্লিকেট"",""""))"),"figurative ছোট | ডুপ্লিকেট")</f>
        <v>figurative ছোট | ডুপ্লিকেট</v>
      </c>
      <c r="Q121" s="5" t="str">
        <f t="shared" si="1"/>
        <v>১ আগে দেখো</v>
      </c>
    </row>
    <row r="122">
      <c r="A122" s="4">
        <v>3064.0</v>
      </c>
      <c r="B122" s="2" t="s">
        <v>632</v>
      </c>
      <c r="C122" s="2" t="s">
        <v>633</v>
      </c>
      <c r="D122" s="2" t="s">
        <v>634</v>
      </c>
      <c r="E122" s="2" t="s">
        <v>635</v>
      </c>
      <c r="F122" s="2" t="b">
        <v>1</v>
      </c>
      <c r="G122" s="2" t="b">
        <v>0</v>
      </c>
      <c r="H122" s="2" t="s">
        <v>37</v>
      </c>
      <c r="I122" s="2" t="s">
        <v>49</v>
      </c>
      <c r="J122" s="2" t="s">
        <v>636</v>
      </c>
      <c r="K122" s="2" t="s">
        <v>495</v>
      </c>
      <c r="L122" s="13" t="s">
        <v>496</v>
      </c>
      <c r="M122" s="2" t="s">
        <v>26</v>
      </c>
      <c r="N122" s="11" t="s">
        <v>637</v>
      </c>
      <c r="O122" s="12" t="s">
        <v>53</v>
      </c>
      <c r="P122" s="5" t="str">
        <f>IFERROR(__xludf.DUMMYFUNCTION("TEXTJOIN("" | "",TRUE,IF(OR(D122="""",E122="""",I122="""",J122="""",H122=""""),""ফাঁকা ঘর"",""""),IF(AND(C122&lt;&gt;"""",D122&lt;&gt;"""",C122=D122),""gloss=figurative"",""""),IF(LEN(D122)&lt;15,""figurative ছোট"",""""),IF(AND(I122=""Positive"",REGEXMATCH(H122,""মূর্খ|"&amp;"ভণ্ড|প্রতার|অলস|লোভ|স্বার্থ|অক্ষম|অযোগ্য|বোকা|কৃপণ|হিংস"")),""valence-target অমিল"",""""),IF(COUNTIF($B:$B,B122)&gt;1,""ডুপ্লিকেট"",""""))"),"figurative ছোট")</f>
        <v>figurative ছোট</v>
      </c>
      <c r="Q122" s="5" t="str">
        <f t="shared" si="1"/>
        <v>১ আগে দেখো</v>
      </c>
    </row>
    <row r="123">
      <c r="A123" s="4">
        <v>3071.0</v>
      </c>
      <c r="B123" s="2" t="s">
        <v>638</v>
      </c>
      <c r="C123" s="2" t="s">
        <v>639</v>
      </c>
      <c r="D123" s="2" t="s">
        <v>640</v>
      </c>
      <c r="E123" s="2" t="s">
        <v>641</v>
      </c>
      <c r="F123" s="2" t="b">
        <v>1</v>
      </c>
      <c r="G123" s="2" t="b">
        <v>0</v>
      </c>
      <c r="H123" s="2" t="s">
        <v>37</v>
      </c>
      <c r="I123" s="2" t="s">
        <v>22</v>
      </c>
      <c r="J123" s="2" t="s">
        <v>640</v>
      </c>
      <c r="K123" s="2" t="s">
        <v>495</v>
      </c>
      <c r="L123" s="13" t="s">
        <v>496</v>
      </c>
      <c r="M123" s="2" t="s">
        <v>26</v>
      </c>
      <c r="N123" s="11" t="s">
        <v>576</v>
      </c>
      <c r="O123" s="12" t="s">
        <v>53</v>
      </c>
      <c r="P123" s="5" t="str">
        <f>IFERROR(__xludf.DUMMYFUNCTION("TEXTJOIN("" | "",TRUE,IF(OR(D123="""",E123="""",I123="""",J123="""",H123=""""),""ফাঁকা ঘর"",""""),IF(AND(C123&lt;&gt;"""",D123&lt;&gt;"""",C123=D123),""gloss=figurative"",""""),IF(LEN(D123)&lt;15,""figurative ছোট"",""""),IF(AND(I123=""Positive"",REGEXMATCH(H123,""মূর্খ|"&amp;"ভণ্ড|প্রতার|অলস|লোভ|স্বার্থ|অক্ষম|অযোগ্য|বোকা|কৃপণ|হিংস"")),""valence-target অমিল"",""""),IF(COUNTIF($B:$B,B123)&gt;1,""ডুপ্লিকেট"",""""))"),"figurative ছোট")</f>
        <v>figurative ছোট</v>
      </c>
      <c r="Q123" s="5" t="str">
        <f t="shared" si="1"/>
        <v>১ আগে দেখো</v>
      </c>
    </row>
    <row r="124">
      <c r="A124" s="4">
        <v>3094.0</v>
      </c>
      <c r="B124" s="2" t="s">
        <v>642</v>
      </c>
      <c r="C124" s="2" t="s">
        <v>643</v>
      </c>
      <c r="D124" s="2" t="s">
        <v>644</v>
      </c>
      <c r="E124" s="2" t="s">
        <v>645</v>
      </c>
      <c r="F124" s="2" t="b">
        <v>1</v>
      </c>
      <c r="G124" s="2" t="b">
        <v>0</v>
      </c>
      <c r="H124" s="2" t="s">
        <v>37</v>
      </c>
      <c r="I124" s="2" t="s">
        <v>49</v>
      </c>
      <c r="J124" s="2" t="s">
        <v>646</v>
      </c>
      <c r="K124" s="2" t="s">
        <v>495</v>
      </c>
      <c r="L124" s="13" t="s">
        <v>496</v>
      </c>
      <c r="M124" s="2" t="s">
        <v>26</v>
      </c>
      <c r="N124" s="11" t="s">
        <v>576</v>
      </c>
      <c r="O124" s="12" t="s">
        <v>53</v>
      </c>
      <c r="P124" s="5" t="str">
        <f>IFERROR(__xludf.DUMMYFUNCTION("TEXTJOIN("" | "",TRUE,IF(OR(D124="""",E124="""",I124="""",J124="""",H124=""""),""ফাঁকা ঘর"",""""),IF(AND(C124&lt;&gt;"""",D124&lt;&gt;"""",C124=D124),""gloss=figurative"",""""),IF(LEN(D124)&lt;15,""figurative ছোট"",""""),IF(AND(I124=""Positive"",REGEXMATCH(H124,""মূর্খ|"&amp;"ভণ্ড|প্রতার|অলস|লোভ|স্বার্থ|অক্ষম|অযোগ্য|বোকা|কৃপণ|হিংস"")),""valence-target অমিল"",""""),IF(COUNTIF($B:$B,B124)&gt;1,""ডুপ্লিকেট"",""""))"),"figurative ছোট")</f>
        <v>figurative ছোট</v>
      </c>
      <c r="Q124" s="5" t="str">
        <f t="shared" si="1"/>
        <v>১ আগে দেখো</v>
      </c>
    </row>
    <row r="125">
      <c r="A125" s="4">
        <v>3133.0</v>
      </c>
      <c r="B125" s="2" t="s">
        <v>647</v>
      </c>
      <c r="C125" s="2" t="s">
        <v>648</v>
      </c>
      <c r="D125" s="2" t="s">
        <v>649</v>
      </c>
      <c r="E125" s="2" t="s">
        <v>650</v>
      </c>
      <c r="F125" s="2" t="b">
        <v>1</v>
      </c>
      <c r="G125" s="2" t="b">
        <v>0</v>
      </c>
      <c r="H125" s="2" t="s">
        <v>37</v>
      </c>
      <c r="I125" s="2" t="s">
        <v>49</v>
      </c>
      <c r="J125" s="2" t="s">
        <v>581</v>
      </c>
      <c r="K125" s="2" t="s">
        <v>495</v>
      </c>
      <c r="L125" s="13" t="s">
        <v>496</v>
      </c>
      <c r="M125" s="2" t="s">
        <v>26</v>
      </c>
      <c r="N125" s="11" t="s">
        <v>576</v>
      </c>
      <c r="O125" s="12" t="s">
        <v>53</v>
      </c>
      <c r="P125" s="5" t="str">
        <f>IFERROR(__xludf.DUMMYFUNCTION("TEXTJOIN("" | "",TRUE,IF(OR(D125="""",E125="""",I125="""",J125="""",H125=""""),""ফাঁকা ঘর"",""""),IF(AND(C125&lt;&gt;"""",D125&lt;&gt;"""",C125=D125),""gloss=figurative"",""""),IF(LEN(D125)&lt;15,""figurative ছোট"",""""),IF(AND(I125=""Positive"",REGEXMATCH(H125,""মূর্খ|"&amp;"ভণ্ড|প্রতার|অলস|লোভ|স্বার্থ|অক্ষম|অযোগ্য|বোকা|কৃপণ|হিংস"")),""valence-target অমিল"",""""),IF(COUNTIF($B:$B,B125)&gt;1,""ডুপ্লিকেট"",""""))"),"figurative ছোট")</f>
        <v>figurative ছোট</v>
      </c>
      <c r="Q125" s="5" t="str">
        <f t="shared" si="1"/>
        <v>১ আগে দেখো</v>
      </c>
    </row>
    <row r="126">
      <c r="A126" s="4">
        <v>3145.0</v>
      </c>
      <c r="B126" s="2" t="s">
        <v>651</v>
      </c>
      <c r="C126" s="2" t="s">
        <v>652</v>
      </c>
      <c r="D126" s="2" t="s">
        <v>653</v>
      </c>
      <c r="E126" s="2" t="s">
        <v>654</v>
      </c>
      <c r="F126" s="2" t="b">
        <v>1</v>
      </c>
      <c r="G126" s="2" t="b">
        <v>0</v>
      </c>
      <c r="H126" s="2" t="s">
        <v>37</v>
      </c>
      <c r="I126" s="2" t="s">
        <v>32</v>
      </c>
      <c r="J126" s="2" t="s">
        <v>655</v>
      </c>
      <c r="K126" s="2" t="s">
        <v>495</v>
      </c>
      <c r="L126" s="13" t="s">
        <v>496</v>
      </c>
      <c r="M126" s="2" t="s">
        <v>26</v>
      </c>
      <c r="N126" s="11" t="s">
        <v>576</v>
      </c>
      <c r="O126" s="12" t="s">
        <v>53</v>
      </c>
      <c r="P126" s="5" t="str">
        <f>IFERROR(__xludf.DUMMYFUNCTION("TEXTJOIN("" | "",TRUE,IF(OR(D126="""",E126="""",I126="""",J126="""",H126=""""),""ফাঁকা ঘর"",""""),IF(AND(C126&lt;&gt;"""",D126&lt;&gt;"""",C126=D126),""gloss=figurative"",""""),IF(LEN(D126)&lt;15,""figurative ছোট"",""""),IF(AND(I126=""Positive"",REGEXMATCH(H126,""মূর্খ|"&amp;"ভণ্ড|প্রতার|অলস|লোভ|স্বার্থ|অক্ষম|অযোগ্য|বোকা|কৃপণ|হিংস"")),""valence-target অমিল"",""""),IF(COUNTIF($B:$B,B126)&gt;1,""ডুপ্লিকেট"",""""))"),"figurative ছোট")</f>
        <v>figurative ছোট</v>
      </c>
      <c r="Q126" s="5" t="str">
        <f t="shared" si="1"/>
        <v>১ আগে দেখো</v>
      </c>
    </row>
    <row r="127">
      <c r="A127" s="4">
        <v>3147.0</v>
      </c>
      <c r="B127" s="2" t="s">
        <v>656</v>
      </c>
      <c r="C127" s="2" t="s">
        <v>657</v>
      </c>
      <c r="D127" s="2" t="s">
        <v>658</v>
      </c>
      <c r="E127" s="2" t="s">
        <v>659</v>
      </c>
      <c r="F127" s="2" t="b">
        <v>1</v>
      </c>
      <c r="G127" s="2" t="b">
        <v>0</v>
      </c>
      <c r="H127" s="2" t="s">
        <v>37</v>
      </c>
      <c r="I127" s="2" t="s">
        <v>22</v>
      </c>
      <c r="J127" s="2" t="s">
        <v>660</v>
      </c>
      <c r="K127" s="2" t="s">
        <v>495</v>
      </c>
      <c r="L127" s="13" t="s">
        <v>496</v>
      </c>
      <c r="M127" s="2" t="s">
        <v>26</v>
      </c>
      <c r="N127" s="11" t="s">
        <v>576</v>
      </c>
      <c r="O127" s="12" t="s">
        <v>53</v>
      </c>
      <c r="P127" s="5" t="str">
        <f>IFERROR(__xludf.DUMMYFUNCTION("TEXTJOIN("" | "",TRUE,IF(OR(D127="""",E127="""",I127="""",J127="""",H127=""""),""ফাঁকা ঘর"",""""),IF(AND(C127&lt;&gt;"""",D127&lt;&gt;"""",C127=D127),""gloss=figurative"",""""),IF(LEN(D127)&lt;15,""figurative ছোট"",""""),IF(AND(I127=""Positive"",REGEXMATCH(H127,""মূর্খ|"&amp;"ভণ্ড|প্রতার|অলস|লোভ|স্বার্থ|অক্ষম|অযোগ্য|বোকা|কৃপণ|হিংস"")),""valence-target অমিল"",""""),IF(COUNTIF($B:$B,B127)&gt;1,""ডুপ্লিকেট"",""""))"),"figurative ছোট")</f>
        <v>figurative ছোট</v>
      </c>
      <c r="Q127" s="5" t="str">
        <f t="shared" si="1"/>
        <v>১ আগে দেখো</v>
      </c>
    </row>
    <row r="128">
      <c r="A128" s="4">
        <v>3165.0</v>
      </c>
      <c r="B128" s="2" t="s">
        <v>661</v>
      </c>
      <c r="C128" s="2" t="s">
        <v>662</v>
      </c>
      <c r="D128" s="2" t="s">
        <v>663</v>
      </c>
      <c r="E128" s="2" t="s">
        <v>664</v>
      </c>
      <c r="F128" s="2" t="b">
        <v>1</v>
      </c>
      <c r="G128" s="2" t="b">
        <v>0</v>
      </c>
      <c r="H128" s="2" t="s">
        <v>37</v>
      </c>
      <c r="I128" s="2" t="s">
        <v>22</v>
      </c>
      <c r="J128" s="2" t="s">
        <v>665</v>
      </c>
      <c r="K128" s="2" t="s">
        <v>495</v>
      </c>
      <c r="L128" s="13" t="s">
        <v>496</v>
      </c>
      <c r="M128" s="2" t="s">
        <v>26</v>
      </c>
      <c r="N128" s="11" t="s">
        <v>576</v>
      </c>
      <c r="O128" s="12" t="s">
        <v>53</v>
      </c>
      <c r="P128" s="5" t="str">
        <f>IFERROR(__xludf.DUMMYFUNCTION("TEXTJOIN("" | "",TRUE,IF(OR(D128="""",E128="""",I128="""",J128="""",H128=""""),""ফাঁকা ঘর"",""""),IF(AND(C128&lt;&gt;"""",D128&lt;&gt;"""",C128=D128),""gloss=figurative"",""""),IF(LEN(D128)&lt;15,""figurative ছোট"",""""),IF(AND(I128=""Positive"",REGEXMATCH(H128,""মূর্খ|"&amp;"ভণ্ড|প্রতার|অলস|লোভ|স্বার্থ|অক্ষম|অযোগ্য|বোকা|কৃপণ|হিংস"")),""valence-target অমিল"",""""),IF(COUNTIF($B:$B,B128)&gt;1,""ডুপ্লিকেট"",""""))"),"figurative ছোট")</f>
        <v>figurative ছোট</v>
      </c>
      <c r="Q128" s="5" t="str">
        <f t="shared" si="1"/>
        <v>১ আগে দেখো</v>
      </c>
    </row>
    <row r="129">
      <c r="A129" s="4">
        <v>3166.0</v>
      </c>
      <c r="B129" s="2" t="s">
        <v>666</v>
      </c>
      <c r="C129" s="2" t="s">
        <v>666</v>
      </c>
      <c r="D129" s="2" t="s">
        <v>667</v>
      </c>
      <c r="E129" s="2" t="s">
        <v>668</v>
      </c>
      <c r="F129" s="2" t="b">
        <v>1</v>
      </c>
      <c r="G129" s="2" t="b">
        <v>0</v>
      </c>
      <c r="H129" s="2" t="s">
        <v>37</v>
      </c>
      <c r="I129" s="2" t="s">
        <v>32</v>
      </c>
      <c r="J129" s="2" t="s">
        <v>669</v>
      </c>
      <c r="K129" s="2" t="s">
        <v>495</v>
      </c>
      <c r="L129" s="13" t="s">
        <v>496</v>
      </c>
      <c r="M129" s="2" t="s">
        <v>26</v>
      </c>
      <c r="N129" s="11" t="s">
        <v>576</v>
      </c>
      <c r="O129" s="12" t="s">
        <v>53</v>
      </c>
      <c r="P129" s="5" t="str">
        <f>IFERROR(__xludf.DUMMYFUNCTION("TEXTJOIN("" | "",TRUE,IF(OR(D129="""",E129="""",I129="""",J129="""",H129=""""),""ফাঁকা ঘর"",""""),IF(AND(C129&lt;&gt;"""",D129&lt;&gt;"""",C129=D129),""gloss=figurative"",""""),IF(LEN(D129)&lt;15,""figurative ছোট"",""""),IF(AND(I129=""Positive"",REGEXMATCH(H129,""মূর্খ|"&amp;"ভণ্ড|প্রতার|অলস|লোভ|স্বার্থ|অক্ষম|অযোগ্য|বোকা|কৃপণ|হিংস"")),""valence-target অমিল"",""""),IF(COUNTIF($B:$B,B129)&gt;1,""ডুপ্লিকেট"",""""))"),"figurative ছোট")</f>
        <v>figurative ছোট</v>
      </c>
      <c r="Q129" s="5" t="str">
        <f t="shared" si="1"/>
        <v>১ আগে দেখো</v>
      </c>
    </row>
    <row r="130">
      <c r="A130" s="4">
        <v>3171.0</v>
      </c>
      <c r="B130" s="2" t="s">
        <v>670</v>
      </c>
      <c r="C130" s="2" t="s">
        <v>671</v>
      </c>
      <c r="D130" s="2" t="s">
        <v>672</v>
      </c>
      <c r="E130" s="2" t="s">
        <v>673</v>
      </c>
      <c r="F130" s="2" t="b">
        <v>1</v>
      </c>
      <c r="G130" s="2" t="b">
        <v>0</v>
      </c>
      <c r="H130" s="2" t="s">
        <v>37</v>
      </c>
      <c r="I130" s="2" t="s">
        <v>22</v>
      </c>
      <c r="J130" s="2" t="s">
        <v>674</v>
      </c>
      <c r="K130" s="2" t="s">
        <v>495</v>
      </c>
      <c r="L130" s="13" t="s">
        <v>496</v>
      </c>
      <c r="M130" s="2" t="s">
        <v>26</v>
      </c>
      <c r="N130" s="11" t="s">
        <v>675</v>
      </c>
      <c r="O130" s="12" t="s">
        <v>53</v>
      </c>
      <c r="P130" s="5" t="str">
        <f>IFERROR(__xludf.DUMMYFUNCTION("TEXTJOIN("" | "",TRUE,IF(OR(D130="""",E130="""",I130="""",J130="""",H130=""""),""ফাঁকা ঘর"",""""),IF(AND(C130&lt;&gt;"""",D130&lt;&gt;"""",C130=D130),""gloss=figurative"",""""),IF(LEN(D130)&lt;15,""figurative ছোট"",""""),IF(AND(I130=""Positive"",REGEXMATCH(H130,""মূর্খ|"&amp;"ভণ্ড|প্রতার|অলস|লোভ|স্বার্থ|অক্ষম|অযোগ্য|বোকা|কৃপণ|হিংস"")),""valence-target অমিল"",""""),IF(COUNTIF($B:$B,B130)&gt;1,""ডুপ্লিকেট"",""""))"),"figurative ছোট")</f>
        <v>figurative ছোট</v>
      </c>
      <c r="Q130" s="5" t="str">
        <f t="shared" si="1"/>
        <v>১ আগে দেখো</v>
      </c>
    </row>
    <row r="131">
      <c r="A131" s="4">
        <v>3173.0</v>
      </c>
      <c r="B131" s="2" t="s">
        <v>676</v>
      </c>
      <c r="C131" s="2" t="s">
        <v>677</v>
      </c>
      <c r="D131" s="2" t="s">
        <v>678</v>
      </c>
      <c r="E131" s="2" t="s">
        <v>679</v>
      </c>
      <c r="F131" s="2" t="b">
        <v>1</v>
      </c>
      <c r="G131" s="2" t="b">
        <v>0</v>
      </c>
      <c r="H131" s="2" t="s">
        <v>37</v>
      </c>
      <c r="I131" s="2" t="s">
        <v>22</v>
      </c>
      <c r="J131" s="2" t="s">
        <v>680</v>
      </c>
      <c r="K131" s="2" t="s">
        <v>495</v>
      </c>
      <c r="L131" s="13" t="s">
        <v>496</v>
      </c>
      <c r="M131" s="2" t="s">
        <v>26</v>
      </c>
      <c r="N131" s="11" t="s">
        <v>576</v>
      </c>
      <c r="O131" s="12" t="s">
        <v>53</v>
      </c>
      <c r="P131" s="5" t="str">
        <f>IFERROR(__xludf.DUMMYFUNCTION("TEXTJOIN("" | "",TRUE,IF(OR(D131="""",E131="""",I131="""",J131="""",H131=""""),""ফাঁকা ঘর"",""""),IF(AND(C131&lt;&gt;"""",D131&lt;&gt;"""",C131=D131),""gloss=figurative"",""""),IF(LEN(D131)&lt;15,""figurative ছোট"",""""),IF(AND(I131=""Positive"",REGEXMATCH(H131,""মূর্খ|"&amp;"ভণ্ড|প্রতার|অলস|লোভ|স্বার্থ|অক্ষম|অযোগ্য|বোকা|কৃপণ|হিংস"")),""valence-target অমিল"",""""),IF(COUNTIF($B:$B,B131)&gt;1,""ডুপ্লিকেট"",""""))"),"figurative ছোট")</f>
        <v>figurative ছোট</v>
      </c>
      <c r="Q131" s="5" t="str">
        <f t="shared" si="1"/>
        <v>১ আগে দেখো</v>
      </c>
    </row>
    <row r="132">
      <c r="A132" s="4">
        <v>3190.0</v>
      </c>
      <c r="B132" s="2" t="s">
        <v>681</v>
      </c>
      <c r="C132" s="2" t="s">
        <v>682</v>
      </c>
      <c r="D132" s="2" t="s">
        <v>683</v>
      </c>
      <c r="E132" s="2" t="s">
        <v>684</v>
      </c>
      <c r="F132" s="2" t="b">
        <v>1</v>
      </c>
      <c r="G132" s="2" t="b">
        <v>0</v>
      </c>
      <c r="H132" s="2" t="s">
        <v>37</v>
      </c>
      <c r="I132" s="2" t="s">
        <v>49</v>
      </c>
      <c r="J132" s="2" t="s">
        <v>685</v>
      </c>
      <c r="K132" s="2" t="s">
        <v>495</v>
      </c>
      <c r="L132" s="13" t="s">
        <v>496</v>
      </c>
      <c r="M132" s="2" t="s">
        <v>26</v>
      </c>
      <c r="N132" s="11" t="s">
        <v>576</v>
      </c>
      <c r="O132" s="12" t="s">
        <v>53</v>
      </c>
      <c r="P132" s="5" t="str">
        <f>IFERROR(__xludf.DUMMYFUNCTION("TEXTJOIN("" | "",TRUE,IF(OR(D132="""",E132="""",I132="""",J132="""",H132=""""),""ফাঁকা ঘর"",""""),IF(AND(C132&lt;&gt;"""",D132&lt;&gt;"""",C132=D132),""gloss=figurative"",""""),IF(LEN(D132)&lt;15,""figurative ছোট"",""""),IF(AND(I132=""Positive"",REGEXMATCH(H132,""মূর্খ|"&amp;"ভণ্ড|প্রতার|অলস|লোভ|স্বার্থ|অক্ষম|অযোগ্য|বোকা|কৃপণ|হিংস"")),""valence-target অমিল"",""""),IF(COUNTIF($B:$B,B132)&gt;1,""ডুপ্লিকেট"",""""))"),"figurative ছোট")</f>
        <v>figurative ছোট</v>
      </c>
      <c r="Q132" s="5" t="str">
        <f t="shared" si="1"/>
        <v>১ আগে দেখো</v>
      </c>
    </row>
    <row r="133">
      <c r="A133" s="4">
        <v>3229.0</v>
      </c>
      <c r="B133" s="2" t="s">
        <v>686</v>
      </c>
      <c r="C133" s="2" t="s">
        <v>687</v>
      </c>
      <c r="D133" s="2" t="s">
        <v>688</v>
      </c>
      <c r="E133" s="2" t="s">
        <v>689</v>
      </c>
      <c r="F133" s="2" t="b">
        <v>1</v>
      </c>
      <c r="G133" s="2" t="b">
        <v>0</v>
      </c>
      <c r="H133" s="2" t="s">
        <v>37</v>
      </c>
      <c r="I133" s="2" t="s">
        <v>49</v>
      </c>
      <c r="J133" s="2" t="s">
        <v>690</v>
      </c>
      <c r="K133" s="2" t="s">
        <v>495</v>
      </c>
      <c r="L133" s="13" t="s">
        <v>496</v>
      </c>
      <c r="M133" s="2" t="s">
        <v>26</v>
      </c>
      <c r="N133" s="11" t="s">
        <v>576</v>
      </c>
      <c r="O133" s="12" t="s">
        <v>53</v>
      </c>
      <c r="P133" s="5" t="str">
        <f>IFERROR(__xludf.DUMMYFUNCTION("TEXTJOIN("" | "",TRUE,IF(OR(D133="""",E133="""",I133="""",J133="""",H133=""""),""ফাঁকা ঘর"",""""),IF(AND(C133&lt;&gt;"""",D133&lt;&gt;"""",C133=D133),""gloss=figurative"",""""),IF(LEN(D133)&lt;15,""figurative ছোট"",""""),IF(AND(I133=""Positive"",REGEXMATCH(H133,""মূর্খ|"&amp;"ভণ্ড|প্রতার|অলস|লোভ|স্বার্থ|অক্ষম|অযোগ্য|বোকা|কৃপণ|হিংস"")),""valence-target অমিল"",""""),IF(COUNTIF($B:$B,B133)&gt;1,""ডুপ্লিকেট"",""""))"),"figurative ছোট")</f>
        <v>figurative ছোট</v>
      </c>
      <c r="Q133" s="5" t="str">
        <f t="shared" si="1"/>
        <v>১ আগে দেখো</v>
      </c>
    </row>
    <row r="134">
      <c r="A134" s="4">
        <v>3242.0</v>
      </c>
      <c r="B134" s="2" t="s">
        <v>691</v>
      </c>
      <c r="C134" s="2" t="s">
        <v>692</v>
      </c>
      <c r="D134" s="2" t="s">
        <v>693</v>
      </c>
      <c r="E134" s="2" t="s">
        <v>694</v>
      </c>
      <c r="F134" s="2" t="b">
        <v>1</v>
      </c>
      <c r="G134" s="2" t="b">
        <v>0</v>
      </c>
      <c r="H134" s="2" t="s">
        <v>37</v>
      </c>
      <c r="I134" s="2" t="s">
        <v>49</v>
      </c>
      <c r="J134" s="2" t="s">
        <v>695</v>
      </c>
      <c r="K134" s="2" t="s">
        <v>495</v>
      </c>
      <c r="L134" s="13" t="s">
        <v>496</v>
      </c>
      <c r="M134" s="2" t="s">
        <v>26</v>
      </c>
      <c r="N134" s="11" t="s">
        <v>696</v>
      </c>
      <c r="O134" s="12" t="s">
        <v>53</v>
      </c>
      <c r="P134" s="5" t="str">
        <f>IFERROR(__xludf.DUMMYFUNCTION("TEXTJOIN("" | "",TRUE,IF(OR(D134="""",E134="""",I134="""",J134="""",H134=""""),""ফাঁকা ঘর"",""""),IF(AND(C134&lt;&gt;"""",D134&lt;&gt;"""",C134=D134),""gloss=figurative"",""""),IF(LEN(D134)&lt;15,""figurative ছোট"",""""),IF(AND(I134=""Positive"",REGEXMATCH(H134,""মূর্খ|"&amp;"ভণ্ড|প্রতার|অলস|লোভ|স্বার্থ|অক্ষম|অযোগ্য|বোকা|কৃপণ|হিংস"")),""valence-target অমিল"",""""),IF(COUNTIF($B:$B,B134)&gt;1,""ডুপ্লিকেট"",""""))"),"figurative ছোট")</f>
        <v>figurative ছোট</v>
      </c>
      <c r="Q134" s="5" t="str">
        <f t="shared" si="1"/>
        <v>১ আগে দেখো</v>
      </c>
    </row>
    <row r="135">
      <c r="A135" s="4">
        <v>3246.0</v>
      </c>
      <c r="B135" s="2" t="s">
        <v>697</v>
      </c>
      <c r="C135" s="2" t="s">
        <v>698</v>
      </c>
      <c r="D135" s="2" t="s">
        <v>699</v>
      </c>
      <c r="E135" s="2" t="s">
        <v>700</v>
      </c>
      <c r="F135" s="2" t="b">
        <v>1</v>
      </c>
      <c r="G135" s="2" t="b">
        <v>0</v>
      </c>
      <c r="H135" s="2" t="s">
        <v>37</v>
      </c>
      <c r="I135" s="2" t="s">
        <v>49</v>
      </c>
      <c r="J135" s="2" t="s">
        <v>208</v>
      </c>
      <c r="K135" s="2" t="s">
        <v>495</v>
      </c>
      <c r="L135" s="13" t="s">
        <v>496</v>
      </c>
      <c r="M135" s="2" t="s">
        <v>26</v>
      </c>
      <c r="N135" s="11" t="s">
        <v>576</v>
      </c>
      <c r="O135" s="12" t="s">
        <v>53</v>
      </c>
      <c r="P135" s="5" t="str">
        <f>IFERROR(__xludf.DUMMYFUNCTION("TEXTJOIN("" | "",TRUE,IF(OR(D135="""",E135="""",I135="""",J135="""",H135=""""),""ফাঁকা ঘর"",""""),IF(AND(C135&lt;&gt;"""",D135&lt;&gt;"""",C135=D135),""gloss=figurative"",""""),IF(LEN(D135)&lt;15,""figurative ছোট"",""""),IF(AND(I135=""Positive"",REGEXMATCH(H135,""মূর্খ|"&amp;"ভণ্ড|প্রতার|অলস|লোভ|স্বার্থ|অক্ষম|অযোগ্য|বোকা|কৃপণ|হিংস"")),""valence-target অমিল"",""""),IF(COUNTIF($B:$B,B135)&gt;1,""ডুপ্লিকেট"",""""))"),"figurative ছোট")</f>
        <v>figurative ছোট</v>
      </c>
      <c r="Q135" s="5" t="str">
        <f t="shared" si="1"/>
        <v>১ আগে দেখো</v>
      </c>
    </row>
    <row r="136">
      <c r="A136" s="4">
        <v>3263.0</v>
      </c>
      <c r="B136" s="2" t="s">
        <v>701</v>
      </c>
      <c r="C136" s="2" t="s">
        <v>702</v>
      </c>
      <c r="D136" s="2" t="s">
        <v>667</v>
      </c>
      <c r="E136" s="2" t="s">
        <v>703</v>
      </c>
      <c r="F136" s="2" t="b">
        <v>1</v>
      </c>
      <c r="G136" s="2" t="b">
        <v>0</v>
      </c>
      <c r="H136" s="2" t="s">
        <v>37</v>
      </c>
      <c r="I136" s="2" t="s">
        <v>32</v>
      </c>
      <c r="J136" s="2" t="s">
        <v>669</v>
      </c>
      <c r="K136" s="2" t="s">
        <v>495</v>
      </c>
      <c r="L136" s="13" t="s">
        <v>496</v>
      </c>
      <c r="M136" s="2" t="s">
        <v>26</v>
      </c>
      <c r="N136" s="11" t="s">
        <v>576</v>
      </c>
      <c r="O136" s="12" t="s">
        <v>53</v>
      </c>
      <c r="P136" s="5" t="str">
        <f>IFERROR(__xludf.DUMMYFUNCTION("TEXTJOIN("" | "",TRUE,IF(OR(D136="""",E136="""",I136="""",J136="""",H136=""""),""ফাঁকা ঘর"",""""),IF(AND(C136&lt;&gt;"""",D136&lt;&gt;"""",C136=D136),""gloss=figurative"",""""),IF(LEN(D136)&lt;15,""figurative ছোট"",""""),IF(AND(I136=""Positive"",REGEXMATCH(H136,""মূর্খ|"&amp;"ভণ্ড|প্রতার|অলস|লোভ|স্বার্থ|অক্ষম|অযোগ্য|বোকা|কৃপণ|হিংস"")),""valence-target অমিল"",""""),IF(COUNTIF($B:$B,B136)&gt;1,""ডুপ্লিকেট"",""""))"),"figurative ছোট")</f>
        <v>figurative ছোট</v>
      </c>
      <c r="Q136" s="5" t="str">
        <f t="shared" si="1"/>
        <v>১ আগে দেখো</v>
      </c>
    </row>
    <row r="137">
      <c r="A137" s="4">
        <v>3268.0</v>
      </c>
      <c r="B137" s="2" t="s">
        <v>704</v>
      </c>
      <c r="C137" s="2" t="s">
        <v>705</v>
      </c>
      <c r="D137" s="2" t="s">
        <v>706</v>
      </c>
      <c r="E137" s="2" t="s">
        <v>707</v>
      </c>
      <c r="F137" s="2" t="b">
        <v>1</v>
      </c>
      <c r="G137" s="2" t="b">
        <v>0</v>
      </c>
      <c r="H137" s="2" t="s">
        <v>37</v>
      </c>
      <c r="I137" s="2" t="s">
        <v>32</v>
      </c>
      <c r="J137" s="2" t="s">
        <v>708</v>
      </c>
      <c r="K137" s="2" t="s">
        <v>495</v>
      </c>
      <c r="L137" s="13" t="s">
        <v>496</v>
      </c>
      <c r="M137" s="2" t="s">
        <v>26</v>
      </c>
      <c r="N137" s="11" t="s">
        <v>576</v>
      </c>
      <c r="O137" s="12" t="s">
        <v>53</v>
      </c>
      <c r="P137" s="5" t="str">
        <f>IFERROR(__xludf.DUMMYFUNCTION("TEXTJOIN("" | "",TRUE,IF(OR(D137="""",E137="""",I137="""",J137="""",H137=""""),""ফাঁকা ঘর"",""""),IF(AND(C137&lt;&gt;"""",D137&lt;&gt;"""",C137=D137),""gloss=figurative"",""""),IF(LEN(D137)&lt;15,""figurative ছোট"",""""),IF(AND(I137=""Positive"",REGEXMATCH(H137,""মূর্খ|"&amp;"ভণ্ড|প্রতার|অলস|লোভ|স্বার্থ|অক্ষম|অযোগ্য|বোকা|কৃপণ|হিংস"")),""valence-target অমিল"",""""),IF(COUNTIF($B:$B,B137)&gt;1,""ডুপ্লিকেট"",""""))"),"figurative ছোট")</f>
        <v>figurative ছোট</v>
      </c>
      <c r="Q137" s="5" t="str">
        <f t="shared" si="1"/>
        <v>১ আগে দেখো</v>
      </c>
    </row>
    <row r="138">
      <c r="A138" s="4">
        <v>3270.0</v>
      </c>
      <c r="B138" s="2" t="s">
        <v>709</v>
      </c>
      <c r="C138" s="2" t="s">
        <v>710</v>
      </c>
      <c r="D138" s="2" t="s">
        <v>711</v>
      </c>
      <c r="E138" s="2" t="s">
        <v>712</v>
      </c>
      <c r="F138" s="2" t="b">
        <v>1</v>
      </c>
      <c r="G138" s="2" t="b">
        <v>0</v>
      </c>
      <c r="H138" s="2" t="s">
        <v>37</v>
      </c>
      <c r="I138" s="2" t="s">
        <v>32</v>
      </c>
      <c r="J138" s="2" t="s">
        <v>713</v>
      </c>
      <c r="K138" s="2" t="s">
        <v>495</v>
      </c>
      <c r="L138" s="13" t="s">
        <v>496</v>
      </c>
      <c r="M138" s="2" t="s">
        <v>26</v>
      </c>
      <c r="N138" s="11" t="s">
        <v>576</v>
      </c>
      <c r="O138" s="12" t="s">
        <v>53</v>
      </c>
      <c r="P138" s="5" t="str">
        <f>IFERROR(__xludf.DUMMYFUNCTION("TEXTJOIN("" | "",TRUE,IF(OR(D138="""",E138="""",I138="""",J138="""",H138=""""),""ফাঁকা ঘর"",""""),IF(AND(C138&lt;&gt;"""",D138&lt;&gt;"""",C138=D138),""gloss=figurative"",""""),IF(LEN(D138)&lt;15,""figurative ছোট"",""""),IF(AND(I138=""Positive"",REGEXMATCH(H138,""মূর্খ|"&amp;"ভণ্ড|প্রতার|অলস|লোভ|স্বার্থ|অক্ষম|অযোগ্য|বোকা|কৃপণ|হিংস"")),""valence-target অমিল"",""""),IF(COUNTIF($B:$B,B138)&gt;1,""ডুপ্লিকেট"",""""))"),"figurative ছোট")</f>
        <v>figurative ছোট</v>
      </c>
      <c r="Q138" s="5" t="str">
        <f t="shared" si="1"/>
        <v>১ আগে দেখো</v>
      </c>
    </row>
    <row r="139">
      <c r="A139" s="4">
        <v>3297.0</v>
      </c>
      <c r="B139" s="2" t="s">
        <v>714</v>
      </c>
      <c r="C139" s="2" t="s">
        <v>715</v>
      </c>
      <c r="D139" s="2" t="s">
        <v>716</v>
      </c>
      <c r="E139" s="2" t="s">
        <v>717</v>
      </c>
      <c r="F139" s="2" t="b">
        <v>1</v>
      </c>
      <c r="G139" s="2" t="b">
        <v>0</v>
      </c>
      <c r="H139" s="2" t="s">
        <v>37</v>
      </c>
      <c r="I139" s="2" t="s">
        <v>22</v>
      </c>
      <c r="J139" s="2" t="s">
        <v>590</v>
      </c>
      <c r="K139" s="2" t="s">
        <v>495</v>
      </c>
      <c r="L139" s="13" t="s">
        <v>496</v>
      </c>
      <c r="M139" s="2" t="s">
        <v>26</v>
      </c>
      <c r="N139" s="11" t="s">
        <v>576</v>
      </c>
      <c r="O139" s="12" t="s">
        <v>53</v>
      </c>
      <c r="P139" s="5" t="str">
        <f>IFERROR(__xludf.DUMMYFUNCTION("TEXTJOIN("" | "",TRUE,IF(OR(D139="""",E139="""",I139="""",J139="""",H139=""""),""ফাঁকা ঘর"",""""),IF(AND(C139&lt;&gt;"""",D139&lt;&gt;"""",C139=D139),""gloss=figurative"",""""),IF(LEN(D139)&lt;15,""figurative ছোট"",""""),IF(AND(I139=""Positive"",REGEXMATCH(H139,""মূর্খ|"&amp;"ভণ্ড|প্রতার|অলস|লোভ|স্বার্থ|অক্ষম|অযোগ্য|বোকা|কৃপণ|হিংস"")),""valence-target অমিল"",""""),IF(COUNTIF($B:$B,B139)&gt;1,""ডুপ্লিকেট"",""""))"),"figurative ছোট")</f>
        <v>figurative ছোট</v>
      </c>
      <c r="Q139" s="5" t="str">
        <f t="shared" si="1"/>
        <v>১ আগে দেখো</v>
      </c>
    </row>
    <row r="140">
      <c r="A140" s="4">
        <v>3366.0</v>
      </c>
      <c r="B140" s="2" t="s">
        <v>718</v>
      </c>
      <c r="C140" s="2" t="s">
        <v>719</v>
      </c>
      <c r="D140" s="2" t="s">
        <v>720</v>
      </c>
      <c r="E140" s="2" t="s">
        <v>721</v>
      </c>
      <c r="F140" s="2" t="b">
        <v>1</v>
      </c>
      <c r="G140" s="2" t="b">
        <v>0</v>
      </c>
      <c r="H140" s="2" t="s">
        <v>722</v>
      </c>
      <c r="I140" s="2" t="s">
        <v>22</v>
      </c>
      <c r="J140" s="2" t="s">
        <v>723</v>
      </c>
      <c r="K140" s="2" t="s">
        <v>495</v>
      </c>
      <c r="L140" s="13" t="s">
        <v>496</v>
      </c>
      <c r="M140" s="2" t="s">
        <v>26</v>
      </c>
      <c r="N140" s="11" t="s">
        <v>724</v>
      </c>
      <c r="O140" s="12" t="s">
        <v>53</v>
      </c>
      <c r="P140" s="5" t="str">
        <f>IFERROR(__xludf.DUMMYFUNCTION("TEXTJOIN("" | "",TRUE,IF(OR(D140="""",E140="""",I140="""",J140="""",H140=""""),""ফাঁকা ঘর"",""""),IF(AND(C140&lt;&gt;"""",D140&lt;&gt;"""",C140=D140),""gloss=figurative"",""""),IF(LEN(D140)&lt;15,""figurative ছোট"",""""),IF(AND(I140=""Positive"",REGEXMATCH(H140,""মূর্খ|"&amp;"ভণ্ড|প্রতার|অলস|লোভ|স্বার্থ|অক্ষম|অযোগ্য|বোকা|কৃপণ|হিংস"")),""valence-target অমিল"",""""),IF(COUNTIF($B:$B,B140)&gt;1,""ডুপ্লিকেট"",""""))"),"figurative ছোট")</f>
        <v>figurative ছোট</v>
      </c>
      <c r="Q140" s="5" t="str">
        <f t="shared" si="1"/>
        <v>১ আগে দেখো</v>
      </c>
    </row>
    <row r="141">
      <c r="A141" s="4">
        <v>3382.0</v>
      </c>
      <c r="B141" s="2" t="s">
        <v>725</v>
      </c>
      <c r="C141" s="2" t="s">
        <v>726</v>
      </c>
      <c r="D141" s="2" t="s">
        <v>727</v>
      </c>
      <c r="E141" s="2" t="s">
        <v>728</v>
      </c>
      <c r="F141" s="2" t="b">
        <v>1</v>
      </c>
      <c r="G141" s="2" t="b">
        <v>0</v>
      </c>
      <c r="H141" s="2" t="s">
        <v>37</v>
      </c>
      <c r="I141" s="2" t="s">
        <v>32</v>
      </c>
      <c r="J141" s="2" t="s">
        <v>729</v>
      </c>
      <c r="K141" s="2" t="s">
        <v>495</v>
      </c>
      <c r="L141" s="13" t="s">
        <v>496</v>
      </c>
      <c r="M141" s="2" t="s">
        <v>26</v>
      </c>
      <c r="N141" s="11" t="s">
        <v>730</v>
      </c>
      <c r="O141" s="12" t="s">
        <v>53</v>
      </c>
      <c r="P141" s="5" t="str">
        <f>IFERROR(__xludf.DUMMYFUNCTION("TEXTJOIN("" | "",TRUE,IF(OR(D141="""",E141="""",I141="""",J141="""",H141=""""),""ফাঁকা ঘর"",""""),IF(AND(C141&lt;&gt;"""",D141&lt;&gt;"""",C141=D141),""gloss=figurative"",""""),IF(LEN(D141)&lt;15,""figurative ছোট"",""""),IF(AND(I141=""Positive"",REGEXMATCH(H141,""মূর্খ|"&amp;"ভণ্ড|প্রতার|অলস|লোভ|স্বার্থ|অক্ষম|অযোগ্য|বোকা|কৃপণ|হিংস"")),""valence-target অমিল"",""""),IF(COUNTIF($B:$B,B141)&gt;1,""ডুপ্লিকেট"",""""))"),"ডুপ্লিকেট")</f>
        <v>ডুপ্লিকেট</v>
      </c>
      <c r="Q141" s="5" t="str">
        <f t="shared" si="1"/>
        <v>১ আগে দেখো</v>
      </c>
    </row>
    <row r="142">
      <c r="A142" s="4">
        <v>3384.0</v>
      </c>
      <c r="B142" s="2" t="s">
        <v>725</v>
      </c>
      <c r="C142" s="2" t="s">
        <v>731</v>
      </c>
      <c r="D142" s="2" t="s">
        <v>732</v>
      </c>
      <c r="E142" s="2" t="s">
        <v>733</v>
      </c>
      <c r="F142" s="2" t="b">
        <v>1</v>
      </c>
      <c r="G142" s="2" t="b">
        <v>0</v>
      </c>
      <c r="H142" s="2" t="s">
        <v>37</v>
      </c>
      <c r="I142" s="2" t="s">
        <v>32</v>
      </c>
      <c r="J142" s="2" t="s">
        <v>729</v>
      </c>
      <c r="K142" s="2" t="s">
        <v>495</v>
      </c>
      <c r="L142" s="13" t="s">
        <v>496</v>
      </c>
      <c r="M142" s="2" t="s">
        <v>26</v>
      </c>
      <c r="N142" s="11" t="s">
        <v>734</v>
      </c>
      <c r="O142" s="12" t="s">
        <v>53</v>
      </c>
      <c r="P142" s="5" t="str">
        <f>IFERROR(__xludf.DUMMYFUNCTION("TEXTJOIN("" | "",TRUE,IF(OR(D142="""",E142="""",I142="""",J142="""",H142=""""),""ফাঁকা ঘর"",""""),IF(AND(C142&lt;&gt;"""",D142&lt;&gt;"""",C142=D142),""gloss=figurative"",""""),IF(LEN(D142)&lt;15,""figurative ছোট"",""""),IF(AND(I142=""Positive"",REGEXMATCH(H142,""মূর্খ|"&amp;"ভণ্ড|প্রতার|অলস|লোভ|স্বার্থ|অক্ষম|অযোগ্য|বোকা|কৃপণ|হিংস"")),""valence-target অমিল"",""""),IF(COUNTIF($B:$B,B142)&gt;1,""ডুপ্লিকেট"",""""))"),"ডুপ্লিকেট")</f>
        <v>ডুপ্লিকেট</v>
      </c>
      <c r="Q142" s="5" t="str">
        <f t="shared" si="1"/>
        <v>১ আগে দেখো</v>
      </c>
    </row>
    <row r="143">
      <c r="A143" s="4">
        <v>3395.0</v>
      </c>
      <c r="B143" s="2" t="s">
        <v>735</v>
      </c>
      <c r="C143" s="2" t="s">
        <v>736</v>
      </c>
      <c r="D143" s="2" t="s">
        <v>737</v>
      </c>
      <c r="E143" s="2" t="s">
        <v>738</v>
      </c>
      <c r="F143" s="2" t="b">
        <v>1</v>
      </c>
      <c r="G143" s="2" t="b">
        <v>0</v>
      </c>
      <c r="H143" s="2" t="s">
        <v>37</v>
      </c>
      <c r="I143" s="2" t="s">
        <v>32</v>
      </c>
      <c r="J143" s="2" t="s">
        <v>739</v>
      </c>
      <c r="K143" s="2" t="s">
        <v>495</v>
      </c>
      <c r="L143" s="13" t="s">
        <v>496</v>
      </c>
      <c r="M143" s="2" t="s">
        <v>26</v>
      </c>
      <c r="N143" s="11" t="s">
        <v>576</v>
      </c>
      <c r="O143" s="12" t="s">
        <v>53</v>
      </c>
      <c r="P143" s="5" t="str">
        <f>IFERROR(__xludf.DUMMYFUNCTION("TEXTJOIN("" | "",TRUE,IF(OR(D143="""",E143="""",I143="""",J143="""",H143=""""),""ফাঁকা ঘর"",""""),IF(AND(C143&lt;&gt;"""",D143&lt;&gt;"""",C143=D143),""gloss=figurative"",""""),IF(LEN(D143)&lt;15,""figurative ছোট"",""""),IF(AND(I143=""Positive"",REGEXMATCH(H143,""মূর্খ|"&amp;"ভণ্ড|প্রতার|অলস|লোভ|স্বার্থ|অক্ষম|অযোগ্য|বোকা|কৃপণ|হিংস"")),""valence-target অমিল"",""""),IF(COUNTIF($B:$B,B143)&gt;1,""ডুপ্লিকেট"",""""))"),"figurative ছোট")</f>
        <v>figurative ছোট</v>
      </c>
      <c r="Q143" s="5" t="str">
        <f t="shared" si="1"/>
        <v>১ আগে দেখো</v>
      </c>
    </row>
    <row r="144">
      <c r="A144" s="4">
        <v>3506.0</v>
      </c>
      <c r="B144" s="2" t="s">
        <v>740</v>
      </c>
      <c r="C144" s="2" t="s">
        <v>741</v>
      </c>
      <c r="D144" s="2" t="s">
        <v>742</v>
      </c>
      <c r="E144" s="2" t="s">
        <v>743</v>
      </c>
      <c r="F144" s="2" t="b">
        <v>1</v>
      </c>
      <c r="G144" s="2" t="b">
        <v>0</v>
      </c>
      <c r="H144" s="2" t="s">
        <v>744</v>
      </c>
      <c r="I144" s="2" t="s">
        <v>22</v>
      </c>
      <c r="J144" s="2" t="s">
        <v>43</v>
      </c>
      <c r="K144" s="2" t="s">
        <v>495</v>
      </c>
      <c r="L144" s="13" t="s">
        <v>496</v>
      </c>
      <c r="M144" s="2" t="s">
        <v>26</v>
      </c>
      <c r="N144" s="11" t="s">
        <v>576</v>
      </c>
      <c r="O144" s="12" t="s">
        <v>53</v>
      </c>
      <c r="P144" s="5" t="str">
        <f>IFERROR(__xludf.DUMMYFUNCTION("TEXTJOIN("" | "",TRUE,IF(OR(D144="""",E144="""",I144="""",J144="""",H144=""""),""ফাঁকা ঘর"",""""),IF(AND(C144&lt;&gt;"""",D144&lt;&gt;"""",C144=D144),""gloss=figurative"",""""),IF(LEN(D144)&lt;15,""figurative ছোট"",""""),IF(AND(I144=""Positive"",REGEXMATCH(H144,""মূর্খ|"&amp;"ভণ্ড|প্রতার|অলস|লোভ|স্বার্থ|অক্ষম|অযোগ্য|বোকা|কৃপণ|হিংস"")),""valence-target অমিল"",""""),IF(COUNTIF($B:$B,B144)&gt;1,""ডুপ্লিকেট"",""""))"),"figurative ছোট")</f>
        <v>figurative ছোট</v>
      </c>
      <c r="Q144" s="5" t="str">
        <f t="shared" si="1"/>
        <v>১ আগে দেখো</v>
      </c>
    </row>
    <row r="145">
      <c r="A145" s="4">
        <v>3519.0</v>
      </c>
      <c r="B145" s="2" t="s">
        <v>745</v>
      </c>
      <c r="C145" s="2" t="s">
        <v>746</v>
      </c>
      <c r="D145" s="2" t="s">
        <v>747</v>
      </c>
      <c r="E145" s="2" t="s">
        <v>748</v>
      </c>
      <c r="F145" s="2" t="b">
        <v>1</v>
      </c>
      <c r="G145" s="2" t="b">
        <v>0</v>
      </c>
      <c r="H145" s="2" t="s">
        <v>749</v>
      </c>
      <c r="I145" s="2" t="s">
        <v>22</v>
      </c>
      <c r="J145" s="2" t="s">
        <v>750</v>
      </c>
      <c r="K145" s="2" t="s">
        <v>495</v>
      </c>
      <c r="L145" s="13" t="s">
        <v>496</v>
      </c>
      <c r="M145" s="2" t="s">
        <v>26</v>
      </c>
      <c r="N145" s="11" t="s">
        <v>751</v>
      </c>
      <c r="O145" s="12" t="s">
        <v>53</v>
      </c>
      <c r="P145" s="5" t="str">
        <f>IFERROR(__xludf.DUMMYFUNCTION("TEXTJOIN("" | "",TRUE,IF(OR(D145="""",E145="""",I145="""",J145="""",H145=""""),""ফাঁকা ঘর"",""""),IF(AND(C145&lt;&gt;"""",D145&lt;&gt;"""",C145=D145),""gloss=figurative"",""""),IF(LEN(D145)&lt;15,""figurative ছোট"",""""),IF(AND(I145=""Positive"",REGEXMATCH(H145,""মূর্খ|"&amp;"ভণ্ড|প্রতার|অলস|লোভ|স্বার্থ|অক্ষম|অযোগ্য|বোকা|কৃপণ|হিংস"")),""valence-target অমিল"",""""),IF(COUNTIF($B:$B,B145)&gt;1,""ডুপ্লিকেট"",""""))"),"figurative ছোট")</f>
        <v>figurative ছোট</v>
      </c>
      <c r="Q145" s="5" t="str">
        <f t="shared" si="1"/>
        <v>১ আগে দেখো</v>
      </c>
    </row>
    <row r="146">
      <c r="A146" s="4">
        <v>3528.0</v>
      </c>
      <c r="B146" s="2" t="s">
        <v>752</v>
      </c>
      <c r="C146" s="2" t="s">
        <v>753</v>
      </c>
      <c r="D146" s="2" t="s">
        <v>754</v>
      </c>
      <c r="E146" s="2" t="s">
        <v>755</v>
      </c>
      <c r="F146" s="2" t="b">
        <v>1</v>
      </c>
      <c r="G146" s="2" t="b">
        <v>0</v>
      </c>
      <c r="H146" s="2" t="s">
        <v>756</v>
      </c>
      <c r="I146" s="2" t="s">
        <v>49</v>
      </c>
      <c r="J146" s="2" t="s">
        <v>43</v>
      </c>
      <c r="K146" s="2" t="s">
        <v>495</v>
      </c>
      <c r="L146" s="13" t="s">
        <v>496</v>
      </c>
      <c r="M146" s="2" t="s">
        <v>26</v>
      </c>
      <c r="N146" s="11" t="s">
        <v>757</v>
      </c>
      <c r="O146" s="12" t="s">
        <v>53</v>
      </c>
      <c r="P146" s="5" t="str">
        <f>IFERROR(__xludf.DUMMYFUNCTION("TEXTJOIN("" | "",TRUE,IF(OR(D146="""",E146="""",I146="""",J146="""",H146=""""),""ফাঁকা ঘর"",""""),IF(AND(C146&lt;&gt;"""",D146&lt;&gt;"""",C146=D146),""gloss=figurative"",""""),IF(LEN(D146)&lt;15,""figurative ছোট"",""""),IF(AND(I146=""Positive"",REGEXMATCH(H146,""মূর্খ|"&amp;"ভণ্ড|প্রতার|অলস|লোভ|স্বার্থ|অক্ষম|অযোগ্য|বোকা|কৃপণ|হিংস"")),""valence-target অমিল"",""""),IF(COUNTIF($B:$B,B146)&gt;1,""ডুপ্লিকেট"",""""))"),"valence-target অমিল")</f>
        <v>valence-target অমিল</v>
      </c>
      <c r="Q146" s="5" t="str">
        <f t="shared" si="1"/>
        <v>১ আগে দেখো</v>
      </c>
    </row>
    <row r="147">
      <c r="A147" s="4">
        <v>3573.0</v>
      </c>
      <c r="B147" s="2" t="s">
        <v>758</v>
      </c>
      <c r="C147" s="2" t="s">
        <v>759</v>
      </c>
      <c r="D147" s="2" t="s">
        <v>760</v>
      </c>
      <c r="E147" s="2" t="s">
        <v>761</v>
      </c>
      <c r="F147" s="2" t="b">
        <v>1</v>
      </c>
      <c r="G147" s="2" t="b">
        <v>0</v>
      </c>
      <c r="H147" s="2" t="s">
        <v>37</v>
      </c>
      <c r="I147" s="2" t="s">
        <v>49</v>
      </c>
      <c r="J147" s="2" t="s">
        <v>762</v>
      </c>
      <c r="K147" s="2" t="s">
        <v>495</v>
      </c>
      <c r="L147" s="13" t="s">
        <v>496</v>
      </c>
      <c r="M147" s="2" t="s">
        <v>26</v>
      </c>
      <c r="N147" s="11" t="s">
        <v>576</v>
      </c>
      <c r="O147" s="12" t="s">
        <v>53</v>
      </c>
      <c r="P147" s="5" t="str">
        <f>IFERROR(__xludf.DUMMYFUNCTION("TEXTJOIN("" | "",TRUE,IF(OR(D147="""",E147="""",I147="""",J147="""",H147=""""),""ফাঁকা ঘর"",""""),IF(AND(C147&lt;&gt;"""",D147&lt;&gt;"""",C147=D147),""gloss=figurative"",""""),IF(LEN(D147)&lt;15,""figurative ছোট"",""""),IF(AND(I147=""Positive"",REGEXMATCH(H147,""মূর্খ|"&amp;"ভণ্ড|প্রতার|অলস|লোভ|স্বার্থ|অক্ষম|অযোগ্য|বোকা|কৃপণ|হিংস"")),""valence-target অমিল"",""""),IF(COUNTIF($B:$B,B147)&gt;1,""ডুপ্লিকেট"",""""))"),"figurative ছোট")</f>
        <v>figurative ছোট</v>
      </c>
      <c r="Q147" s="5" t="str">
        <f t="shared" si="1"/>
        <v>১ আগে দেখো</v>
      </c>
    </row>
    <row r="148">
      <c r="A148" s="4">
        <v>3604.0</v>
      </c>
      <c r="B148" s="2" t="s">
        <v>763</v>
      </c>
      <c r="C148" s="2" t="s">
        <v>763</v>
      </c>
      <c r="D148" s="2" t="s">
        <v>764</v>
      </c>
      <c r="E148" s="2" t="s">
        <v>765</v>
      </c>
      <c r="F148" s="2" t="b">
        <v>1</v>
      </c>
      <c r="G148" s="2" t="b">
        <v>0</v>
      </c>
      <c r="H148" s="2" t="s">
        <v>37</v>
      </c>
      <c r="I148" s="2" t="s">
        <v>22</v>
      </c>
      <c r="J148" s="2" t="s">
        <v>766</v>
      </c>
      <c r="K148" s="2" t="s">
        <v>495</v>
      </c>
      <c r="L148" s="13" t="s">
        <v>496</v>
      </c>
      <c r="M148" s="2" t="s">
        <v>26</v>
      </c>
      <c r="N148" s="11" t="s">
        <v>576</v>
      </c>
      <c r="O148" s="12" t="s">
        <v>53</v>
      </c>
      <c r="P148" s="5" t="str">
        <f>IFERROR(__xludf.DUMMYFUNCTION("TEXTJOIN("" | "",TRUE,IF(OR(D148="""",E148="""",I148="""",J148="""",H148=""""),""ফাঁকা ঘর"",""""),IF(AND(C148&lt;&gt;"""",D148&lt;&gt;"""",C148=D148),""gloss=figurative"",""""),IF(LEN(D148)&lt;15,""figurative ছোট"",""""),IF(AND(I148=""Positive"",REGEXMATCH(H148,""মূর্খ|"&amp;"ভণ্ড|প্রতার|অলস|লোভ|স্বার্থ|অক্ষম|অযোগ্য|বোকা|কৃপণ|হিংস"")),""valence-target অমিল"",""""),IF(COUNTIF($B:$B,B148)&gt;1,""ডুপ্লিকেট"",""""))"),"figurative ছোট")</f>
        <v>figurative ছোট</v>
      </c>
      <c r="Q148" s="5" t="str">
        <f t="shared" si="1"/>
        <v>১ আগে দেখো</v>
      </c>
    </row>
    <row r="149">
      <c r="A149" s="4">
        <v>3607.0</v>
      </c>
      <c r="B149" s="2" t="s">
        <v>767</v>
      </c>
      <c r="C149" s="2" t="s">
        <v>768</v>
      </c>
      <c r="D149" s="2" t="s">
        <v>769</v>
      </c>
      <c r="E149" s="2" t="s">
        <v>770</v>
      </c>
      <c r="F149" s="2" t="b">
        <v>1</v>
      </c>
      <c r="G149" s="2" t="b">
        <v>0</v>
      </c>
      <c r="H149" s="2" t="s">
        <v>771</v>
      </c>
      <c r="I149" s="2" t="s">
        <v>22</v>
      </c>
      <c r="J149" s="2" t="s">
        <v>772</v>
      </c>
      <c r="K149" s="2" t="s">
        <v>495</v>
      </c>
      <c r="L149" s="13" t="s">
        <v>496</v>
      </c>
      <c r="M149" s="2" t="s">
        <v>26</v>
      </c>
      <c r="N149" s="11" t="s">
        <v>773</v>
      </c>
      <c r="O149" s="12" t="s">
        <v>53</v>
      </c>
      <c r="P149" s="5" t="str">
        <f>IFERROR(__xludf.DUMMYFUNCTION("TEXTJOIN("" | "",TRUE,IF(OR(D149="""",E149="""",I149="""",J149="""",H149=""""),""ফাঁকা ঘর"",""""),IF(AND(C149&lt;&gt;"""",D149&lt;&gt;"""",C149=D149),""gloss=figurative"",""""),IF(LEN(D149)&lt;15,""figurative ছোট"",""""),IF(AND(I149=""Positive"",REGEXMATCH(H149,""মূর্খ|"&amp;"ভণ্ড|প্রতার|অলস|লোভ|স্বার্থ|অক্ষম|অযোগ্য|বোকা|কৃপণ|হিংস"")),""valence-target অমিল"",""""),IF(COUNTIF($B:$B,B149)&gt;1,""ডুপ্লিকেট"",""""))"),"figurative ছোট")</f>
        <v>figurative ছোট</v>
      </c>
      <c r="Q149" s="5" t="str">
        <f t="shared" si="1"/>
        <v>১ আগে দেখো</v>
      </c>
    </row>
    <row r="150">
      <c r="A150" s="4">
        <v>3642.0</v>
      </c>
      <c r="B150" s="2" t="s">
        <v>774</v>
      </c>
      <c r="C150" s="2" t="s">
        <v>775</v>
      </c>
      <c r="D150" s="2" t="s">
        <v>776</v>
      </c>
      <c r="E150" s="2" t="s">
        <v>777</v>
      </c>
      <c r="F150" s="2" t="b">
        <v>1</v>
      </c>
      <c r="G150" s="2" t="b">
        <v>0</v>
      </c>
      <c r="H150" s="2" t="s">
        <v>37</v>
      </c>
      <c r="I150" s="2" t="s">
        <v>32</v>
      </c>
      <c r="J150" s="2" t="s">
        <v>190</v>
      </c>
      <c r="K150" s="2" t="s">
        <v>495</v>
      </c>
      <c r="L150" s="13" t="s">
        <v>496</v>
      </c>
      <c r="M150" s="2" t="s">
        <v>26</v>
      </c>
      <c r="N150" s="11" t="s">
        <v>778</v>
      </c>
      <c r="O150" s="12" t="s">
        <v>53</v>
      </c>
      <c r="P150" s="5" t="str">
        <f>IFERROR(__xludf.DUMMYFUNCTION("TEXTJOIN("" | "",TRUE,IF(OR(D150="""",E150="""",I150="""",J150="""",H150=""""),""ফাঁকা ঘর"",""""),IF(AND(C150&lt;&gt;"""",D150&lt;&gt;"""",C150=D150),""gloss=figurative"",""""),IF(LEN(D150)&lt;15,""figurative ছোট"",""""),IF(AND(I150=""Positive"",REGEXMATCH(H150,""মূর্খ|"&amp;"ভণ্ড|প্রতার|অলস|লোভ|স্বার্থ|অক্ষম|অযোগ্য|বোকা|কৃপণ|হিংস"")),""valence-target অমিল"",""""),IF(COUNTIF($B:$B,B150)&gt;1,""ডুপ্লিকেট"",""""))"),"figurative ছোট")</f>
        <v>figurative ছোট</v>
      </c>
      <c r="Q150" s="5" t="str">
        <f t="shared" si="1"/>
        <v>১ আগে দেখো</v>
      </c>
    </row>
    <row r="151">
      <c r="A151" s="4">
        <v>3671.0</v>
      </c>
      <c r="B151" s="2" t="s">
        <v>779</v>
      </c>
      <c r="C151" s="2" t="s">
        <v>780</v>
      </c>
      <c r="D151" s="2" t="s">
        <v>781</v>
      </c>
      <c r="E151" s="2" t="s">
        <v>782</v>
      </c>
      <c r="F151" s="2" t="b">
        <v>1</v>
      </c>
      <c r="G151" s="2" t="b">
        <v>0</v>
      </c>
      <c r="H151" s="2" t="s">
        <v>783</v>
      </c>
      <c r="I151" s="2" t="s">
        <v>22</v>
      </c>
      <c r="J151" s="2" t="s">
        <v>784</v>
      </c>
      <c r="K151" s="2" t="s">
        <v>495</v>
      </c>
      <c r="L151" s="13" t="s">
        <v>496</v>
      </c>
      <c r="M151" s="2" t="s">
        <v>26</v>
      </c>
      <c r="N151" s="11" t="s">
        <v>785</v>
      </c>
      <c r="O151" s="12" t="s">
        <v>53</v>
      </c>
      <c r="P151" s="5" t="str">
        <f>IFERROR(__xludf.DUMMYFUNCTION("TEXTJOIN("" | "",TRUE,IF(OR(D151="""",E151="""",I151="""",J151="""",H151=""""),""ফাঁকা ঘর"",""""),IF(AND(C151&lt;&gt;"""",D151&lt;&gt;"""",C151=D151),""gloss=figurative"",""""),IF(LEN(D151)&lt;15,""figurative ছোট"",""""),IF(AND(I151=""Positive"",REGEXMATCH(H151,""মূর্খ|"&amp;"ভণ্ড|প্রতার|অলস|লোভ|স্বার্থ|অক্ষম|অযোগ্য|বোকা|কৃপণ|হিংস"")),""valence-target অমিল"",""""),IF(COUNTIF($B:$B,B151)&gt;1,""ডুপ্লিকেট"",""""))"),"figurative ছোট")</f>
        <v>figurative ছোট</v>
      </c>
      <c r="Q151" s="5" t="str">
        <f t="shared" si="1"/>
        <v>১ আগে দেখো</v>
      </c>
    </row>
    <row r="152">
      <c r="A152" s="4">
        <v>3706.0</v>
      </c>
      <c r="B152" s="2" t="s">
        <v>786</v>
      </c>
      <c r="C152" s="2" t="s">
        <v>787</v>
      </c>
      <c r="D152" s="2" t="s">
        <v>788</v>
      </c>
      <c r="E152" s="2" t="s">
        <v>789</v>
      </c>
      <c r="F152" s="2" t="b">
        <v>1</v>
      </c>
      <c r="G152" s="2" t="b">
        <v>0</v>
      </c>
      <c r="H152" s="2" t="s">
        <v>749</v>
      </c>
      <c r="I152" s="2" t="s">
        <v>22</v>
      </c>
      <c r="J152" s="2" t="s">
        <v>565</v>
      </c>
      <c r="K152" s="2" t="s">
        <v>495</v>
      </c>
      <c r="L152" s="13" t="s">
        <v>496</v>
      </c>
      <c r="M152" s="2" t="s">
        <v>26</v>
      </c>
      <c r="N152" s="11" t="s">
        <v>790</v>
      </c>
      <c r="O152" s="12" t="s">
        <v>53</v>
      </c>
      <c r="P152" s="5" t="str">
        <f>IFERROR(__xludf.DUMMYFUNCTION("TEXTJOIN("" | "",TRUE,IF(OR(D152="""",E152="""",I152="""",J152="""",H152=""""),""ফাঁকা ঘর"",""""),IF(AND(C152&lt;&gt;"""",D152&lt;&gt;"""",C152=D152),""gloss=figurative"",""""),IF(LEN(D152)&lt;15,""figurative ছোট"",""""),IF(AND(I152=""Positive"",REGEXMATCH(H152,""মূর্খ|"&amp;"ভণ্ড|প্রতার|অলস|লোভ|স্বার্থ|অক্ষম|অযোগ্য|বোকা|কৃপণ|হিংস"")),""valence-target অমিল"",""""),IF(COUNTIF($B:$B,B152)&gt;1,""ডুপ্লিকেট"",""""))"),"figurative ছোট")</f>
        <v>figurative ছোট</v>
      </c>
      <c r="Q152" s="5" t="str">
        <f t="shared" si="1"/>
        <v>১ আগে দেখো</v>
      </c>
    </row>
    <row r="153">
      <c r="A153" s="4">
        <v>3707.0</v>
      </c>
      <c r="B153" s="2" t="s">
        <v>791</v>
      </c>
      <c r="C153" s="2" t="s">
        <v>792</v>
      </c>
      <c r="D153" s="2" t="s">
        <v>793</v>
      </c>
      <c r="E153" s="2" t="s">
        <v>794</v>
      </c>
      <c r="F153" s="2" t="b">
        <v>1</v>
      </c>
      <c r="G153" s="2" t="b">
        <v>0</v>
      </c>
      <c r="H153" s="2" t="s">
        <v>795</v>
      </c>
      <c r="I153" s="2" t="s">
        <v>22</v>
      </c>
      <c r="J153" s="2" t="s">
        <v>565</v>
      </c>
      <c r="K153" s="2" t="s">
        <v>495</v>
      </c>
      <c r="L153" s="13" t="s">
        <v>496</v>
      </c>
      <c r="M153" s="2" t="s">
        <v>26</v>
      </c>
      <c r="N153" s="11" t="s">
        <v>790</v>
      </c>
      <c r="O153" s="12" t="s">
        <v>53</v>
      </c>
      <c r="P153" s="5" t="str">
        <f>IFERROR(__xludf.DUMMYFUNCTION("TEXTJOIN("" | "",TRUE,IF(OR(D153="""",E153="""",I153="""",J153="""",H153=""""),""ফাঁকা ঘর"",""""),IF(AND(C153&lt;&gt;"""",D153&lt;&gt;"""",C153=D153),""gloss=figurative"",""""),IF(LEN(D153)&lt;15,""figurative ছোট"",""""),IF(AND(I153=""Positive"",REGEXMATCH(H153,""মূর্খ|"&amp;"ভণ্ড|প্রতার|অলস|লোভ|স্বার্থ|অক্ষম|অযোগ্য|বোকা|কৃপণ|হিংস"")),""valence-target অমিল"",""""),IF(COUNTIF($B:$B,B153)&gt;1,""ডুপ্লিকেট"",""""))"),"figurative ছোট")</f>
        <v>figurative ছোট</v>
      </c>
      <c r="Q153" s="5" t="str">
        <f t="shared" si="1"/>
        <v>১ আগে দেখো</v>
      </c>
    </row>
    <row r="154">
      <c r="A154" s="4">
        <v>3719.0</v>
      </c>
      <c r="B154" s="2" t="s">
        <v>796</v>
      </c>
      <c r="C154" s="2" t="s">
        <v>797</v>
      </c>
      <c r="D154" s="2" t="s">
        <v>798</v>
      </c>
      <c r="E154" s="2" t="s">
        <v>799</v>
      </c>
      <c r="F154" s="2" t="b">
        <v>1</v>
      </c>
      <c r="G154" s="2" t="b">
        <v>1</v>
      </c>
      <c r="H154" s="2" t="s">
        <v>800</v>
      </c>
      <c r="I154" s="2" t="s">
        <v>32</v>
      </c>
      <c r="J154" s="2" t="s">
        <v>436</v>
      </c>
      <c r="K154" s="2" t="s">
        <v>495</v>
      </c>
      <c r="L154" s="13" t="s">
        <v>496</v>
      </c>
      <c r="M154" s="2" t="s">
        <v>26</v>
      </c>
      <c r="N154" s="11" t="s">
        <v>801</v>
      </c>
      <c r="O154" s="12" t="s">
        <v>53</v>
      </c>
      <c r="P154" s="5" t="str">
        <f>IFERROR(__xludf.DUMMYFUNCTION("TEXTJOIN("" | "",TRUE,IF(OR(D154="""",E154="""",I154="""",J154="""",H154=""""),""ফাঁকা ঘর"",""""),IF(AND(C154&lt;&gt;"""",D154&lt;&gt;"""",C154=D154),""gloss=figurative"",""""),IF(LEN(D154)&lt;15,""figurative ছোট"",""""),IF(AND(I154=""Positive"",REGEXMATCH(H154,""মূর্খ|"&amp;"ভণ্ড|প্রতার|অলস|লোভ|স্বার্থ|অক্ষম|অযোগ্য|বোকা|কৃপণ|হিংস"")),""valence-target অমিল"",""""),IF(COUNTIF($B:$B,B154)&gt;1,""ডুপ্লিকেট"",""""))"),"figurative ছোট")</f>
        <v>figurative ছোট</v>
      </c>
      <c r="Q154" s="5" t="str">
        <f t="shared" si="1"/>
        <v>১ আগে দেখো</v>
      </c>
    </row>
    <row r="155">
      <c r="A155" s="4">
        <v>3727.0</v>
      </c>
      <c r="B155" s="2" t="s">
        <v>802</v>
      </c>
      <c r="C155" s="2" t="s">
        <v>802</v>
      </c>
      <c r="D155" s="2" t="s">
        <v>588</v>
      </c>
      <c r="E155" s="2" t="s">
        <v>803</v>
      </c>
      <c r="F155" s="2" t="b">
        <v>1</v>
      </c>
      <c r="G155" s="2" t="b">
        <v>0</v>
      </c>
      <c r="H155" s="2" t="s">
        <v>37</v>
      </c>
      <c r="I155" s="2" t="s">
        <v>22</v>
      </c>
      <c r="J155" s="2" t="s">
        <v>590</v>
      </c>
      <c r="K155" s="2" t="s">
        <v>495</v>
      </c>
      <c r="L155" s="13" t="s">
        <v>496</v>
      </c>
      <c r="M155" s="2" t="s">
        <v>26</v>
      </c>
      <c r="N155" s="11" t="s">
        <v>576</v>
      </c>
      <c r="O155" s="12" t="s">
        <v>53</v>
      </c>
      <c r="P155" s="5" t="str">
        <f>IFERROR(__xludf.DUMMYFUNCTION("TEXTJOIN("" | "",TRUE,IF(OR(D155="""",E155="""",I155="""",J155="""",H155=""""),""ফাঁকা ঘর"",""""),IF(AND(C155&lt;&gt;"""",D155&lt;&gt;"""",C155=D155),""gloss=figurative"",""""),IF(LEN(D155)&lt;15,""figurative ছোট"",""""),IF(AND(I155=""Positive"",REGEXMATCH(H155,""মূর্খ|"&amp;"ভণ্ড|প্রতার|অলস|লোভ|স্বার্থ|অক্ষম|অযোগ্য|বোকা|কৃপণ|হিংস"")),""valence-target অমিল"",""""),IF(COUNTIF($B:$B,B155)&gt;1,""ডুপ্লিকেট"",""""))"),"figurative ছোট")</f>
        <v>figurative ছোট</v>
      </c>
      <c r="Q155" s="5" t="str">
        <f t="shared" si="1"/>
        <v>১ আগে দেখো</v>
      </c>
    </row>
    <row r="156">
      <c r="A156" s="4">
        <v>3729.0</v>
      </c>
      <c r="B156" s="2" t="s">
        <v>804</v>
      </c>
      <c r="C156" s="2" t="s">
        <v>805</v>
      </c>
      <c r="D156" s="2" t="s">
        <v>806</v>
      </c>
      <c r="E156" s="2" t="s">
        <v>807</v>
      </c>
      <c r="F156" s="2" t="b">
        <v>1</v>
      </c>
      <c r="G156" s="2" t="b">
        <v>0</v>
      </c>
      <c r="H156" s="2" t="s">
        <v>37</v>
      </c>
      <c r="I156" s="2" t="s">
        <v>32</v>
      </c>
      <c r="J156" s="2" t="s">
        <v>808</v>
      </c>
      <c r="K156" s="2" t="s">
        <v>495</v>
      </c>
      <c r="L156" s="13" t="s">
        <v>496</v>
      </c>
      <c r="M156" s="2" t="s">
        <v>26</v>
      </c>
      <c r="N156" s="11" t="s">
        <v>576</v>
      </c>
      <c r="O156" s="12" t="s">
        <v>53</v>
      </c>
      <c r="P156" s="5" t="str">
        <f>IFERROR(__xludf.DUMMYFUNCTION("TEXTJOIN("" | "",TRUE,IF(OR(D156="""",E156="""",I156="""",J156="""",H156=""""),""ফাঁকা ঘর"",""""),IF(AND(C156&lt;&gt;"""",D156&lt;&gt;"""",C156=D156),""gloss=figurative"",""""),IF(LEN(D156)&lt;15,""figurative ছোট"",""""),IF(AND(I156=""Positive"",REGEXMATCH(H156,""মূর্খ|"&amp;"ভণ্ড|প্রতার|অলস|লোভ|স্বার্থ|অক্ষম|অযোগ্য|বোকা|কৃপণ|হিংস"")),""valence-target অমিল"",""""),IF(COUNTIF($B:$B,B156)&gt;1,""ডুপ্লিকেট"",""""))"),"figurative ছোট")</f>
        <v>figurative ছোট</v>
      </c>
      <c r="Q156" s="5" t="str">
        <f t="shared" si="1"/>
        <v>১ আগে দেখো</v>
      </c>
    </row>
    <row r="157">
      <c r="A157" s="4">
        <v>3881.0</v>
      </c>
      <c r="B157" s="2" t="s">
        <v>809</v>
      </c>
      <c r="C157" s="2" t="s">
        <v>810</v>
      </c>
      <c r="D157" s="2" t="s">
        <v>811</v>
      </c>
      <c r="E157" s="2" t="s">
        <v>812</v>
      </c>
      <c r="F157" s="2" t="b">
        <v>1</v>
      </c>
      <c r="G157" s="2" t="b">
        <v>0</v>
      </c>
      <c r="H157" s="2" t="s">
        <v>813</v>
      </c>
      <c r="I157" s="2" t="s">
        <v>32</v>
      </c>
      <c r="J157" s="2" t="s">
        <v>814</v>
      </c>
      <c r="K157" s="2" t="s">
        <v>495</v>
      </c>
      <c r="L157" s="13" t="s">
        <v>496</v>
      </c>
      <c r="M157" s="2" t="s">
        <v>26</v>
      </c>
      <c r="N157" s="11" t="s">
        <v>576</v>
      </c>
      <c r="O157" s="12" t="s">
        <v>53</v>
      </c>
      <c r="P157" s="5" t="str">
        <f>IFERROR(__xludf.DUMMYFUNCTION("TEXTJOIN("" | "",TRUE,IF(OR(D157="""",E157="""",I157="""",J157="""",H157=""""),""ফাঁকা ঘর"",""""),IF(AND(C157&lt;&gt;"""",D157&lt;&gt;"""",C157=D157),""gloss=figurative"",""""),IF(LEN(D157)&lt;15,""figurative ছোট"",""""),IF(AND(I157=""Positive"",REGEXMATCH(H157,""মূর্খ|"&amp;"ভণ্ড|প্রতার|অলস|লোভ|স্বার্থ|অক্ষম|অযোগ্য|বোকা|কৃপণ|হিংস"")),""valence-target অমিল"",""""),IF(COUNTIF($B:$B,B157)&gt;1,""ডুপ্লিকেট"",""""))"),"figurative ছোট")</f>
        <v>figurative ছোট</v>
      </c>
      <c r="Q157" s="5" t="str">
        <f t="shared" si="1"/>
        <v>১ আগে দেখো</v>
      </c>
    </row>
    <row r="158">
      <c r="A158" s="4">
        <v>3898.0</v>
      </c>
      <c r="B158" s="2" t="s">
        <v>815</v>
      </c>
      <c r="C158" s="2" t="s">
        <v>816</v>
      </c>
      <c r="D158" s="2" t="s">
        <v>817</v>
      </c>
      <c r="E158" s="2" t="s">
        <v>818</v>
      </c>
      <c r="F158" s="2" t="b">
        <v>1</v>
      </c>
      <c r="G158" s="2" t="b">
        <v>0</v>
      </c>
      <c r="H158" s="2" t="s">
        <v>819</v>
      </c>
      <c r="I158" s="2" t="s">
        <v>22</v>
      </c>
      <c r="J158" s="2" t="s">
        <v>820</v>
      </c>
      <c r="K158" s="2" t="s">
        <v>495</v>
      </c>
      <c r="L158" s="13" t="s">
        <v>496</v>
      </c>
      <c r="M158" s="2" t="s">
        <v>26</v>
      </c>
      <c r="N158" s="11" t="s">
        <v>821</v>
      </c>
      <c r="O158" s="12" t="s">
        <v>53</v>
      </c>
      <c r="P158" s="5" t="str">
        <f>IFERROR(__xludf.DUMMYFUNCTION("TEXTJOIN("" | "",TRUE,IF(OR(D158="""",E158="""",I158="""",J158="""",H158=""""),""ফাঁকা ঘর"",""""),IF(AND(C158&lt;&gt;"""",D158&lt;&gt;"""",C158=D158),""gloss=figurative"",""""),IF(LEN(D158)&lt;15,""figurative ছোট"",""""),IF(AND(I158=""Positive"",REGEXMATCH(H158,""মূর্খ|"&amp;"ভণ্ড|প্রতার|অলস|লোভ|স্বার্থ|অক্ষম|অযোগ্য|বোকা|কৃপণ|হিংস"")),""valence-target অমিল"",""""),IF(COUNTIF($B:$B,B158)&gt;1,""ডুপ্লিকেট"",""""))"),"figurative ছোট")</f>
        <v>figurative ছোট</v>
      </c>
      <c r="Q158" s="5" t="str">
        <f t="shared" si="1"/>
        <v>১ আগে দেখো</v>
      </c>
    </row>
    <row r="159">
      <c r="A159" s="4">
        <v>3930.0</v>
      </c>
      <c r="B159" s="2" t="s">
        <v>822</v>
      </c>
      <c r="C159" s="2" t="s">
        <v>823</v>
      </c>
      <c r="D159" s="2" t="s">
        <v>824</v>
      </c>
      <c r="E159" s="2" t="s">
        <v>825</v>
      </c>
      <c r="F159" s="2" t="b">
        <v>1</v>
      </c>
      <c r="G159" s="2" t="b">
        <v>0</v>
      </c>
      <c r="H159" s="2" t="s">
        <v>37</v>
      </c>
      <c r="I159" s="2" t="s">
        <v>22</v>
      </c>
      <c r="J159" s="2" t="s">
        <v>655</v>
      </c>
      <c r="K159" s="2" t="s">
        <v>495</v>
      </c>
      <c r="L159" s="13" t="s">
        <v>496</v>
      </c>
      <c r="M159" s="2" t="s">
        <v>26</v>
      </c>
      <c r="N159" s="11" t="s">
        <v>576</v>
      </c>
      <c r="O159" s="12" t="s">
        <v>53</v>
      </c>
      <c r="P159" s="5" t="str">
        <f>IFERROR(__xludf.DUMMYFUNCTION("TEXTJOIN("" | "",TRUE,IF(OR(D159="""",E159="""",I159="""",J159="""",H159=""""),""ফাঁকা ঘর"",""""),IF(AND(C159&lt;&gt;"""",D159&lt;&gt;"""",C159=D159),""gloss=figurative"",""""),IF(LEN(D159)&lt;15,""figurative ছোট"",""""),IF(AND(I159=""Positive"",REGEXMATCH(H159,""মূর্খ|"&amp;"ভণ্ড|প্রতার|অলস|লোভ|স্বার্থ|অক্ষম|অযোগ্য|বোকা|কৃপণ|হিংস"")),""valence-target অমিল"",""""),IF(COUNTIF($B:$B,B159)&gt;1,""ডুপ্লিকেট"",""""))"),"figurative ছোট")</f>
        <v>figurative ছোট</v>
      </c>
      <c r="Q159" s="5" t="str">
        <f t="shared" si="1"/>
        <v>১ আগে দেখো</v>
      </c>
    </row>
    <row r="160">
      <c r="A160" s="4">
        <v>3941.0</v>
      </c>
      <c r="B160" s="2" t="s">
        <v>826</v>
      </c>
      <c r="C160" s="2" t="s">
        <v>827</v>
      </c>
      <c r="D160" s="2" t="s">
        <v>828</v>
      </c>
      <c r="E160" s="2" t="s">
        <v>829</v>
      </c>
      <c r="F160" s="2" t="b">
        <v>1</v>
      </c>
      <c r="G160" s="2" t="b">
        <v>0</v>
      </c>
      <c r="H160" s="2" t="s">
        <v>37</v>
      </c>
      <c r="I160" s="2" t="s">
        <v>22</v>
      </c>
      <c r="J160" s="2" t="s">
        <v>830</v>
      </c>
      <c r="K160" s="2" t="s">
        <v>495</v>
      </c>
      <c r="L160" s="13" t="s">
        <v>496</v>
      </c>
      <c r="M160" s="2" t="s">
        <v>26</v>
      </c>
      <c r="N160" s="11" t="s">
        <v>831</v>
      </c>
      <c r="O160" s="12" t="s">
        <v>53</v>
      </c>
      <c r="P160" s="5" t="str">
        <f>IFERROR(__xludf.DUMMYFUNCTION("TEXTJOIN("" | "",TRUE,IF(OR(D160="""",E160="""",I160="""",J160="""",H160=""""),""ফাঁকা ঘর"",""""),IF(AND(C160&lt;&gt;"""",D160&lt;&gt;"""",C160=D160),""gloss=figurative"",""""),IF(LEN(D160)&lt;15,""figurative ছোট"",""""),IF(AND(I160=""Positive"",REGEXMATCH(H160,""মূর্খ|"&amp;"ভণ্ড|প্রতার|অলস|লোভ|স্বার্থ|অক্ষম|অযোগ্য|বোকা|কৃপণ|হিংস"")),""valence-target অমিল"",""""),IF(COUNTIF($B:$B,B160)&gt;1,""ডুপ্লিকেট"",""""))"),"figurative ছোট")</f>
        <v>figurative ছোট</v>
      </c>
      <c r="Q160" s="5" t="str">
        <f t="shared" si="1"/>
        <v>১ আগে দেখো</v>
      </c>
    </row>
    <row r="161">
      <c r="A161" s="4">
        <v>4006.0</v>
      </c>
      <c r="B161" s="2" t="s">
        <v>832</v>
      </c>
      <c r="C161" s="2" t="s">
        <v>833</v>
      </c>
      <c r="D161" s="2" t="s">
        <v>834</v>
      </c>
      <c r="E161" s="2" t="s">
        <v>835</v>
      </c>
      <c r="F161" s="2" t="b">
        <v>1</v>
      </c>
      <c r="G161" s="2" t="b">
        <v>0</v>
      </c>
      <c r="H161" s="2" t="s">
        <v>37</v>
      </c>
      <c r="I161" s="2" t="s">
        <v>22</v>
      </c>
      <c r="J161" s="2" t="s">
        <v>836</v>
      </c>
      <c r="K161" s="2" t="s">
        <v>495</v>
      </c>
      <c r="L161" s="13" t="s">
        <v>496</v>
      </c>
      <c r="M161" s="2" t="s">
        <v>26</v>
      </c>
      <c r="N161" s="11" t="s">
        <v>837</v>
      </c>
      <c r="O161" s="12" t="s">
        <v>53</v>
      </c>
      <c r="P161" s="5" t="str">
        <f>IFERROR(__xludf.DUMMYFUNCTION("TEXTJOIN("" | "",TRUE,IF(OR(D161="""",E161="""",I161="""",J161="""",H161=""""),""ফাঁকা ঘর"",""""),IF(AND(C161&lt;&gt;"""",D161&lt;&gt;"""",C161=D161),""gloss=figurative"",""""),IF(LEN(D161)&lt;15,""figurative ছোট"",""""),IF(AND(I161=""Positive"",REGEXMATCH(H161,""মূর্খ|"&amp;"ভণ্ড|প্রতার|অলস|লোভ|স্বার্থ|অক্ষম|অযোগ্য|বোকা|কৃপণ|হিংস"")),""valence-target অমিল"",""""),IF(COUNTIF($B:$B,B161)&gt;1,""ডুপ্লিকেট"",""""))"),"figurative ছোট")</f>
        <v>figurative ছোট</v>
      </c>
      <c r="Q161" s="5" t="str">
        <f t="shared" si="1"/>
        <v>১ আগে দেখো</v>
      </c>
    </row>
    <row r="162">
      <c r="A162" s="4">
        <v>4012.0</v>
      </c>
      <c r="B162" s="2" t="s">
        <v>838</v>
      </c>
      <c r="C162" s="2" t="s">
        <v>839</v>
      </c>
      <c r="D162" s="2" t="s">
        <v>840</v>
      </c>
      <c r="E162" s="2" t="s">
        <v>841</v>
      </c>
      <c r="F162" s="2" t="b">
        <v>1</v>
      </c>
      <c r="G162" s="2" t="b">
        <v>0</v>
      </c>
      <c r="H162" s="2" t="s">
        <v>37</v>
      </c>
      <c r="I162" s="2" t="s">
        <v>22</v>
      </c>
      <c r="J162" s="2" t="s">
        <v>842</v>
      </c>
      <c r="K162" s="2" t="s">
        <v>495</v>
      </c>
      <c r="L162" s="13" t="s">
        <v>496</v>
      </c>
      <c r="M162" s="2" t="s">
        <v>26</v>
      </c>
      <c r="N162" s="11" t="s">
        <v>843</v>
      </c>
      <c r="O162" s="12" t="s">
        <v>53</v>
      </c>
      <c r="P162" s="5" t="str">
        <f>IFERROR(__xludf.DUMMYFUNCTION("TEXTJOIN("" | "",TRUE,IF(OR(D162="""",E162="""",I162="""",J162="""",H162=""""),""ফাঁকা ঘর"",""""),IF(AND(C162&lt;&gt;"""",D162&lt;&gt;"""",C162=D162),""gloss=figurative"",""""),IF(LEN(D162)&lt;15,""figurative ছোট"",""""),IF(AND(I162=""Positive"",REGEXMATCH(H162,""মূর্খ|"&amp;"ভণ্ড|প্রতার|অলস|লোভ|স্বার্থ|অক্ষম|অযোগ্য|বোকা|কৃপণ|হিংস"")),""valence-target অমিল"",""""),IF(COUNTIF($B:$B,B162)&gt;1,""ডুপ্লিকেট"",""""))"),"figurative ছোট")</f>
        <v>figurative ছোট</v>
      </c>
      <c r="Q162" s="5" t="str">
        <f t="shared" si="1"/>
        <v>১ আগে দেখো</v>
      </c>
    </row>
    <row r="163">
      <c r="A163" s="4">
        <v>4018.0</v>
      </c>
      <c r="B163" s="2" t="s">
        <v>844</v>
      </c>
      <c r="C163" s="2" t="s">
        <v>845</v>
      </c>
      <c r="D163" s="2" t="s">
        <v>846</v>
      </c>
      <c r="E163" s="2" t="s">
        <v>847</v>
      </c>
      <c r="F163" s="2" t="b">
        <v>1</v>
      </c>
      <c r="G163" s="2" t="b">
        <v>0</v>
      </c>
      <c r="H163" s="2" t="s">
        <v>37</v>
      </c>
      <c r="I163" s="2" t="s">
        <v>22</v>
      </c>
      <c r="J163" s="2" t="s">
        <v>848</v>
      </c>
      <c r="K163" s="2" t="s">
        <v>495</v>
      </c>
      <c r="L163" s="13" t="s">
        <v>496</v>
      </c>
      <c r="M163" s="2" t="s">
        <v>26</v>
      </c>
      <c r="N163" s="11" t="s">
        <v>849</v>
      </c>
      <c r="O163" s="12" t="s">
        <v>53</v>
      </c>
      <c r="P163" s="5" t="str">
        <f>IFERROR(__xludf.DUMMYFUNCTION("TEXTJOIN("" | "",TRUE,IF(OR(D163="""",E163="""",I163="""",J163="""",H163=""""),""ফাঁকা ঘর"",""""),IF(AND(C163&lt;&gt;"""",D163&lt;&gt;"""",C163=D163),""gloss=figurative"",""""),IF(LEN(D163)&lt;15,""figurative ছোট"",""""),IF(AND(I163=""Positive"",REGEXMATCH(H163,""মূর্খ|"&amp;"ভণ্ড|প্রতার|অলস|লোভ|স্বার্থ|অক্ষম|অযোগ্য|বোকা|কৃপণ|হিংস"")),""valence-target অমিল"",""""),IF(COUNTIF($B:$B,B163)&gt;1,""ডুপ্লিকেট"",""""))"),"figurative ছোট")</f>
        <v>figurative ছোট</v>
      </c>
      <c r="Q163" s="5" t="str">
        <f t="shared" si="1"/>
        <v>১ আগে দেখো</v>
      </c>
    </row>
    <row r="164">
      <c r="A164" s="4">
        <v>4030.0</v>
      </c>
      <c r="B164" s="2" t="s">
        <v>850</v>
      </c>
      <c r="C164" s="2" t="s">
        <v>851</v>
      </c>
      <c r="D164" s="2" t="s">
        <v>852</v>
      </c>
      <c r="E164" s="2" t="s">
        <v>853</v>
      </c>
      <c r="F164" s="2" t="b">
        <v>1</v>
      </c>
      <c r="G164" s="2" t="b">
        <v>0</v>
      </c>
      <c r="H164" s="2" t="s">
        <v>854</v>
      </c>
      <c r="I164" s="2" t="s">
        <v>22</v>
      </c>
      <c r="J164" s="2" t="s">
        <v>855</v>
      </c>
      <c r="K164" s="2" t="s">
        <v>495</v>
      </c>
      <c r="L164" s="13" t="s">
        <v>496</v>
      </c>
      <c r="M164" s="2" t="s">
        <v>26</v>
      </c>
      <c r="N164" s="11" t="s">
        <v>576</v>
      </c>
      <c r="O164" s="12" t="s">
        <v>53</v>
      </c>
      <c r="P164" s="5" t="str">
        <f>IFERROR(__xludf.DUMMYFUNCTION("TEXTJOIN("" | "",TRUE,IF(OR(D164="""",E164="""",I164="""",J164="""",H164=""""),""ফাঁকা ঘর"",""""),IF(AND(C164&lt;&gt;"""",D164&lt;&gt;"""",C164=D164),""gloss=figurative"",""""),IF(LEN(D164)&lt;15,""figurative ছোট"",""""),IF(AND(I164=""Positive"",REGEXMATCH(H164,""মূর্খ|"&amp;"ভণ্ড|প্রতার|অলস|লোভ|স্বার্থ|অক্ষম|অযোগ্য|বোকা|কৃপণ|হিংস"")),""valence-target অমিল"",""""),IF(COUNTIF($B:$B,B164)&gt;1,""ডুপ্লিকেট"",""""))"),"figurative ছোট")</f>
        <v>figurative ছোট</v>
      </c>
      <c r="Q164" s="5" t="str">
        <f t="shared" si="1"/>
        <v>১ আগে দেখো</v>
      </c>
    </row>
    <row r="165">
      <c r="A165" s="4">
        <v>4065.0</v>
      </c>
      <c r="B165" s="2" t="s">
        <v>856</v>
      </c>
      <c r="C165" s="2" t="s">
        <v>856</v>
      </c>
      <c r="D165" s="2" t="s">
        <v>857</v>
      </c>
      <c r="E165" s="2" t="s">
        <v>858</v>
      </c>
      <c r="F165" s="2" t="b">
        <v>1</v>
      </c>
      <c r="G165" s="2" t="b">
        <v>0</v>
      </c>
      <c r="H165" s="2" t="s">
        <v>37</v>
      </c>
      <c r="I165" s="2" t="s">
        <v>22</v>
      </c>
      <c r="J165" s="2" t="s">
        <v>590</v>
      </c>
      <c r="K165" s="2" t="s">
        <v>495</v>
      </c>
      <c r="L165" s="13" t="s">
        <v>496</v>
      </c>
      <c r="M165" s="2" t="s">
        <v>26</v>
      </c>
      <c r="N165" s="11" t="s">
        <v>576</v>
      </c>
      <c r="O165" s="12" t="s">
        <v>53</v>
      </c>
      <c r="P165" s="5" t="str">
        <f>IFERROR(__xludf.DUMMYFUNCTION("TEXTJOIN("" | "",TRUE,IF(OR(D165="""",E165="""",I165="""",J165="""",H165=""""),""ফাঁকা ঘর"",""""),IF(AND(C165&lt;&gt;"""",D165&lt;&gt;"""",C165=D165),""gloss=figurative"",""""),IF(LEN(D165)&lt;15,""figurative ছোট"",""""),IF(AND(I165=""Positive"",REGEXMATCH(H165,""মূর্খ|"&amp;"ভণ্ড|প্রতার|অলস|লোভ|স্বার্থ|অক্ষম|অযোগ্য|বোকা|কৃপণ|হিংস"")),""valence-target অমিল"",""""),IF(COUNTIF($B:$B,B165)&gt;1,""ডুপ্লিকেট"",""""))"),"figurative ছোট")</f>
        <v>figurative ছোট</v>
      </c>
      <c r="Q165" s="5" t="str">
        <f t="shared" si="1"/>
        <v>১ আগে দেখো</v>
      </c>
    </row>
    <row r="166">
      <c r="A166" s="4">
        <v>4104.0</v>
      </c>
      <c r="B166" s="2" t="s">
        <v>859</v>
      </c>
      <c r="C166" s="2" t="s">
        <v>860</v>
      </c>
      <c r="D166" s="2" t="s">
        <v>861</v>
      </c>
      <c r="E166" s="2" t="s">
        <v>862</v>
      </c>
      <c r="F166" s="2" t="b">
        <v>1</v>
      </c>
      <c r="G166" s="2" t="b">
        <v>0</v>
      </c>
      <c r="H166" s="2" t="s">
        <v>37</v>
      </c>
      <c r="I166" s="2" t="s">
        <v>32</v>
      </c>
      <c r="J166" s="2" t="s">
        <v>863</v>
      </c>
      <c r="K166" s="2" t="s">
        <v>495</v>
      </c>
      <c r="L166" s="13" t="s">
        <v>496</v>
      </c>
      <c r="M166" s="2" t="s">
        <v>26</v>
      </c>
      <c r="N166" s="11" t="s">
        <v>576</v>
      </c>
      <c r="O166" s="12" t="s">
        <v>53</v>
      </c>
      <c r="P166" s="5" t="str">
        <f>IFERROR(__xludf.DUMMYFUNCTION("TEXTJOIN("" | "",TRUE,IF(OR(D166="""",E166="""",I166="""",J166="""",H166=""""),""ফাঁকা ঘর"",""""),IF(AND(C166&lt;&gt;"""",D166&lt;&gt;"""",C166=D166),""gloss=figurative"",""""),IF(LEN(D166)&lt;15,""figurative ছোট"",""""),IF(AND(I166=""Positive"",REGEXMATCH(H166,""মূর্খ|"&amp;"ভণ্ড|প্রতার|অলস|লোভ|স্বার্থ|অক্ষম|অযোগ্য|বোকা|কৃপণ|হিংস"")),""valence-target অমিল"",""""),IF(COUNTIF($B:$B,B166)&gt;1,""ডুপ্লিকেট"",""""))"),"figurative ছোট")</f>
        <v>figurative ছোট</v>
      </c>
      <c r="Q166" s="5" t="str">
        <f t="shared" si="1"/>
        <v>১ আগে দেখো</v>
      </c>
    </row>
    <row r="167">
      <c r="A167" s="4">
        <v>4114.0</v>
      </c>
      <c r="B167" s="2" t="s">
        <v>864</v>
      </c>
      <c r="C167" s="2" t="s">
        <v>865</v>
      </c>
      <c r="D167" s="2" t="s">
        <v>866</v>
      </c>
      <c r="E167" s="2" t="s">
        <v>867</v>
      </c>
      <c r="F167" s="2" t="b">
        <v>1</v>
      </c>
      <c r="G167" s="2" t="b">
        <v>0</v>
      </c>
      <c r="H167" s="2" t="s">
        <v>37</v>
      </c>
      <c r="I167" s="2" t="s">
        <v>22</v>
      </c>
      <c r="J167" s="2" t="s">
        <v>868</v>
      </c>
      <c r="K167" s="2" t="s">
        <v>495</v>
      </c>
      <c r="L167" s="13" t="s">
        <v>496</v>
      </c>
      <c r="M167" s="2" t="s">
        <v>26</v>
      </c>
      <c r="N167" s="11" t="s">
        <v>576</v>
      </c>
      <c r="O167" s="12" t="s">
        <v>53</v>
      </c>
      <c r="P167" s="5" t="str">
        <f>IFERROR(__xludf.DUMMYFUNCTION("TEXTJOIN("" | "",TRUE,IF(OR(D167="""",E167="""",I167="""",J167="""",H167=""""),""ফাঁকা ঘর"",""""),IF(AND(C167&lt;&gt;"""",D167&lt;&gt;"""",C167=D167),""gloss=figurative"",""""),IF(LEN(D167)&lt;15,""figurative ছোট"",""""),IF(AND(I167=""Positive"",REGEXMATCH(H167,""মূর্খ|"&amp;"ভণ্ড|প্রতার|অলস|লোভ|স্বার্থ|অক্ষম|অযোগ্য|বোকা|কৃপণ|হিংস"")),""valence-target অমিল"",""""),IF(COUNTIF($B:$B,B167)&gt;1,""ডুপ্লিকেট"",""""))"),"figurative ছোট")</f>
        <v>figurative ছোট</v>
      </c>
      <c r="Q167" s="5" t="str">
        <f t="shared" si="1"/>
        <v>১ আগে দেখো</v>
      </c>
    </row>
    <row r="168">
      <c r="A168" s="4">
        <v>4181.0</v>
      </c>
      <c r="B168" s="2" t="s">
        <v>869</v>
      </c>
      <c r="C168" s="2" t="s">
        <v>870</v>
      </c>
      <c r="D168" s="2" t="s">
        <v>871</v>
      </c>
      <c r="E168" s="2" t="s">
        <v>872</v>
      </c>
      <c r="F168" s="2" t="b">
        <v>1</v>
      </c>
      <c r="G168" s="2" t="b">
        <v>0</v>
      </c>
      <c r="H168" s="2" t="s">
        <v>37</v>
      </c>
      <c r="I168" s="2" t="s">
        <v>32</v>
      </c>
      <c r="J168" s="2" t="s">
        <v>873</v>
      </c>
      <c r="K168" s="2" t="s">
        <v>495</v>
      </c>
      <c r="L168" s="13" t="s">
        <v>496</v>
      </c>
      <c r="M168" s="2" t="s">
        <v>26</v>
      </c>
      <c r="N168" s="11" t="s">
        <v>576</v>
      </c>
      <c r="O168" s="12" t="s">
        <v>53</v>
      </c>
      <c r="P168" s="5" t="str">
        <f>IFERROR(__xludf.DUMMYFUNCTION("TEXTJOIN("" | "",TRUE,IF(OR(D168="""",E168="""",I168="""",J168="""",H168=""""),""ফাঁকা ঘর"",""""),IF(AND(C168&lt;&gt;"""",D168&lt;&gt;"""",C168=D168),""gloss=figurative"",""""),IF(LEN(D168)&lt;15,""figurative ছোট"",""""),IF(AND(I168=""Positive"",REGEXMATCH(H168,""মূর্খ|"&amp;"ভণ্ড|প্রতার|অলস|লোভ|স্বার্থ|অক্ষম|অযোগ্য|বোকা|কৃপণ|হিংস"")),""valence-target অমিল"",""""),IF(COUNTIF($B:$B,B168)&gt;1,""ডুপ্লিকেট"",""""))"),"figurative ছোট")</f>
        <v>figurative ছোট</v>
      </c>
      <c r="Q168" s="5" t="str">
        <f t="shared" si="1"/>
        <v>১ আগে দেখো</v>
      </c>
    </row>
    <row r="169">
      <c r="A169" s="4">
        <v>4201.0</v>
      </c>
      <c r="B169" s="2" t="s">
        <v>874</v>
      </c>
      <c r="C169" s="2" t="s">
        <v>875</v>
      </c>
      <c r="D169" s="2" t="s">
        <v>876</v>
      </c>
      <c r="E169" s="2" t="s">
        <v>877</v>
      </c>
      <c r="F169" s="2" t="b">
        <v>1</v>
      </c>
      <c r="G169" s="2" t="b">
        <v>0</v>
      </c>
      <c r="H169" s="2" t="s">
        <v>37</v>
      </c>
      <c r="I169" s="2" t="s">
        <v>22</v>
      </c>
      <c r="J169" s="2" t="s">
        <v>729</v>
      </c>
      <c r="K169" s="2" t="s">
        <v>495</v>
      </c>
      <c r="L169" s="13" t="s">
        <v>496</v>
      </c>
      <c r="M169" s="2" t="s">
        <v>26</v>
      </c>
      <c r="N169" s="11" t="s">
        <v>576</v>
      </c>
      <c r="O169" s="12" t="s">
        <v>53</v>
      </c>
      <c r="P169" s="5" t="str">
        <f>IFERROR(__xludf.DUMMYFUNCTION("TEXTJOIN("" | "",TRUE,IF(OR(D169="""",E169="""",I169="""",J169="""",H169=""""),""ফাঁকা ঘর"",""""),IF(AND(C169&lt;&gt;"""",D169&lt;&gt;"""",C169=D169),""gloss=figurative"",""""),IF(LEN(D169)&lt;15,""figurative ছোট"",""""),IF(AND(I169=""Positive"",REGEXMATCH(H169,""মূর্খ|"&amp;"ভণ্ড|প্রতার|অলস|লোভ|স্বার্থ|অক্ষম|অযোগ্য|বোকা|কৃপণ|হিংস"")),""valence-target অমিল"",""""),IF(COUNTIF($B:$B,B169)&gt;1,""ডুপ্লিকেট"",""""))"),"figurative ছোট")</f>
        <v>figurative ছোট</v>
      </c>
      <c r="Q169" s="5" t="str">
        <f t="shared" si="1"/>
        <v>১ আগে দেখো</v>
      </c>
    </row>
    <row r="170">
      <c r="A170" s="4">
        <v>4210.0</v>
      </c>
      <c r="B170" s="2" t="s">
        <v>878</v>
      </c>
      <c r="C170" s="2" t="s">
        <v>878</v>
      </c>
      <c r="D170" s="2" t="s">
        <v>879</v>
      </c>
      <c r="E170" s="2" t="s">
        <v>880</v>
      </c>
      <c r="F170" s="2" t="b">
        <v>1</v>
      </c>
      <c r="G170" s="2" t="b">
        <v>0</v>
      </c>
      <c r="H170" s="2" t="s">
        <v>37</v>
      </c>
      <c r="I170" s="2" t="s">
        <v>22</v>
      </c>
      <c r="J170" s="2" t="s">
        <v>729</v>
      </c>
      <c r="K170" s="2" t="s">
        <v>495</v>
      </c>
      <c r="L170" s="13" t="s">
        <v>496</v>
      </c>
      <c r="M170" s="2" t="s">
        <v>26</v>
      </c>
      <c r="N170" s="11" t="s">
        <v>576</v>
      </c>
      <c r="O170" s="12" t="s">
        <v>53</v>
      </c>
      <c r="P170" s="5" t="str">
        <f>IFERROR(__xludf.DUMMYFUNCTION("TEXTJOIN("" | "",TRUE,IF(OR(D170="""",E170="""",I170="""",J170="""",H170=""""),""ফাঁকা ঘর"",""""),IF(AND(C170&lt;&gt;"""",D170&lt;&gt;"""",C170=D170),""gloss=figurative"",""""),IF(LEN(D170)&lt;15,""figurative ছোট"",""""),IF(AND(I170=""Positive"",REGEXMATCH(H170,""মূর্খ|"&amp;"ভণ্ড|প্রতার|অলস|লোভ|স্বার্থ|অক্ষম|অযোগ্য|বোকা|কৃপণ|হিংস"")),""valence-target অমিল"",""""),IF(COUNTIF($B:$B,B170)&gt;1,""ডুপ্লিকেট"",""""))"),"figurative ছোট")</f>
        <v>figurative ছোট</v>
      </c>
      <c r="Q170" s="5" t="str">
        <f t="shared" si="1"/>
        <v>১ আগে দেখো</v>
      </c>
    </row>
    <row r="171">
      <c r="A171" s="4">
        <v>4213.0</v>
      </c>
      <c r="B171" s="2" t="s">
        <v>881</v>
      </c>
      <c r="C171" s="2" t="s">
        <v>881</v>
      </c>
      <c r="D171" s="2" t="s">
        <v>882</v>
      </c>
      <c r="E171" s="2" t="s">
        <v>883</v>
      </c>
      <c r="F171" s="2" t="b">
        <v>1</v>
      </c>
      <c r="G171" s="2" t="b">
        <v>0</v>
      </c>
      <c r="H171" s="2" t="s">
        <v>37</v>
      </c>
      <c r="I171" s="2" t="s">
        <v>22</v>
      </c>
      <c r="J171" s="2" t="s">
        <v>729</v>
      </c>
      <c r="K171" s="2" t="s">
        <v>495</v>
      </c>
      <c r="L171" s="13" t="s">
        <v>496</v>
      </c>
      <c r="M171" s="2" t="s">
        <v>26</v>
      </c>
      <c r="N171" s="11" t="s">
        <v>576</v>
      </c>
      <c r="O171" s="12" t="s">
        <v>53</v>
      </c>
      <c r="P171" s="5" t="str">
        <f>IFERROR(__xludf.DUMMYFUNCTION("TEXTJOIN("" | "",TRUE,IF(OR(D171="""",E171="""",I171="""",J171="""",H171=""""),""ফাঁকা ঘর"",""""),IF(AND(C171&lt;&gt;"""",D171&lt;&gt;"""",C171=D171),""gloss=figurative"",""""),IF(LEN(D171)&lt;15,""figurative ছোট"",""""),IF(AND(I171=""Positive"",REGEXMATCH(H171,""মূর্খ|"&amp;"ভণ্ড|প্রতার|অলস|লোভ|স্বার্থ|অক্ষম|অযোগ্য|বোকা|কৃপণ|হিংস"")),""valence-target অমিল"",""""),IF(COUNTIF($B:$B,B171)&gt;1,""ডুপ্লিকেট"",""""))"),"figurative ছোট")</f>
        <v>figurative ছোট</v>
      </c>
      <c r="Q171" s="5" t="str">
        <f t="shared" si="1"/>
        <v>১ আগে দেখো</v>
      </c>
    </row>
    <row r="172">
      <c r="A172" s="4">
        <v>4224.0</v>
      </c>
      <c r="B172" s="2" t="s">
        <v>884</v>
      </c>
      <c r="C172" s="2" t="s">
        <v>885</v>
      </c>
      <c r="D172" s="2" t="s">
        <v>886</v>
      </c>
      <c r="E172" s="2" t="s">
        <v>887</v>
      </c>
      <c r="F172" s="2" t="b">
        <v>1</v>
      </c>
      <c r="G172" s="2" t="b">
        <v>0</v>
      </c>
      <c r="H172" s="2" t="s">
        <v>37</v>
      </c>
      <c r="I172" s="2" t="s">
        <v>49</v>
      </c>
      <c r="J172" s="2" t="s">
        <v>690</v>
      </c>
      <c r="K172" s="2" t="s">
        <v>495</v>
      </c>
      <c r="L172" s="13" t="s">
        <v>496</v>
      </c>
      <c r="M172" s="2" t="s">
        <v>26</v>
      </c>
      <c r="N172" s="11" t="s">
        <v>576</v>
      </c>
      <c r="O172" s="12" t="s">
        <v>53</v>
      </c>
      <c r="P172" s="5" t="str">
        <f>IFERROR(__xludf.DUMMYFUNCTION("TEXTJOIN("" | "",TRUE,IF(OR(D172="""",E172="""",I172="""",J172="""",H172=""""),""ফাঁকা ঘর"",""""),IF(AND(C172&lt;&gt;"""",D172&lt;&gt;"""",C172=D172),""gloss=figurative"",""""),IF(LEN(D172)&lt;15,""figurative ছোট"",""""),IF(AND(I172=""Positive"",REGEXMATCH(H172,""মূর্খ|"&amp;"ভণ্ড|প্রতার|অলস|লোভ|স্বার্থ|অক্ষম|অযোগ্য|বোকা|কৃপণ|হিংস"")),""valence-target অমিল"",""""),IF(COUNTIF($B:$B,B172)&gt;1,""ডুপ্লিকেট"",""""))"),"figurative ছোট")</f>
        <v>figurative ছোট</v>
      </c>
      <c r="Q172" s="5" t="str">
        <f t="shared" si="1"/>
        <v>১ আগে দেখো</v>
      </c>
    </row>
    <row r="173">
      <c r="A173" s="4">
        <v>4248.0</v>
      </c>
      <c r="B173" s="2" t="s">
        <v>888</v>
      </c>
      <c r="C173" s="2" t="s">
        <v>888</v>
      </c>
      <c r="D173" s="2" t="s">
        <v>889</v>
      </c>
      <c r="E173" s="2" t="s">
        <v>890</v>
      </c>
      <c r="F173" s="2" t="b">
        <v>1</v>
      </c>
      <c r="G173" s="2" t="b">
        <v>0</v>
      </c>
      <c r="H173" s="2" t="s">
        <v>37</v>
      </c>
      <c r="I173" s="2" t="s">
        <v>32</v>
      </c>
      <c r="J173" s="2" t="s">
        <v>891</v>
      </c>
      <c r="K173" s="2" t="s">
        <v>495</v>
      </c>
      <c r="L173" s="13" t="s">
        <v>496</v>
      </c>
      <c r="M173" s="2" t="s">
        <v>26</v>
      </c>
      <c r="N173" s="11" t="s">
        <v>576</v>
      </c>
      <c r="O173" s="12" t="s">
        <v>53</v>
      </c>
      <c r="P173" s="5" t="str">
        <f>IFERROR(__xludf.DUMMYFUNCTION("TEXTJOIN("" | "",TRUE,IF(OR(D173="""",E173="""",I173="""",J173="""",H173=""""),""ফাঁকা ঘর"",""""),IF(AND(C173&lt;&gt;"""",D173&lt;&gt;"""",C173=D173),""gloss=figurative"",""""),IF(LEN(D173)&lt;15,""figurative ছোট"",""""),IF(AND(I173=""Positive"",REGEXMATCH(H173,""মূর্খ|"&amp;"ভণ্ড|প্রতার|অলস|লোভ|স্বার্থ|অক্ষম|অযোগ্য|বোকা|কৃপণ|হিংস"")),""valence-target অমিল"",""""),IF(COUNTIF($B:$B,B173)&gt;1,""ডুপ্লিকেট"",""""))"),"figurative ছোট")</f>
        <v>figurative ছোট</v>
      </c>
      <c r="Q173" s="5" t="str">
        <f t="shared" si="1"/>
        <v>১ আগে দেখো</v>
      </c>
    </row>
    <row r="174">
      <c r="A174" s="4">
        <v>4255.0</v>
      </c>
      <c r="B174" s="2" t="s">
        <v>892</v>
      </c>
      <c r="C174" s="2" t="s">
        <v>893</v>
      </c>
      <c r="D174" s="2" t="s">
        <v>894</v>
      </c>
      <c r="E174" s="2" t="s">
        <v>895</v>
      </c>
      <c r="F174" s="2" t="b">
        <v>1</v>
      </c>
      <c r="G174" s="2" t="b">
        <v>0</v>
      </c>
      <c r="H174" s="2" t="s">
        <v>37</v>
      </c>
      <c r="I174" s="2" t="s">
        <v>22</v>
      </c>
      <c r="J174" s="2" t="s">
        <v>601</v>
      </c>
      <c r="K174" s="2" t="s">
        <v>495</v>
      </c>
      <c r="L174" s="13" t="s">
        <v>496</v>
      </c>
      <c r="M174" s="2" t="s">
        <v>26</v>
      </c>
      <c r="N174" s="11" t="s">
        <v>576</v>
      </c>
      <c r="O174" s="12" t="s">
        <v>53</v>
      </c>
      <c r="P174" s="5" t="str">
        <f>IFERROR(__xludf.DUMMYFUNCTION("TEXTJOIN("" | "",TRUE,IF(OR(D174="""",E174="""",I174="""",J174="""",H174=""""),""ফাঁকা ঘর"",""""),IF(AND(C174&lt;&gt;"""",D174&lt;&gt;"""",C174=D174),""gloss=figurative"",""""),IF(LEN(D174)&lt;15,""figurative ছোট"",""""),IF(AND(I174=""Positive"",REGEXMATCH(H174,""মূর্খ|"&amp;"ভণ্ড|প্রতার|অলস|লোভ|স্বার্থ|অক্ষম|অযোগ্য|বোকা|কৃপণ|হিংস"")),""valence-target অমিল"",""""),IF(COUNTIF($B:$B,B174)&gt;1,""ডুপ্লিকেট"",""""))"),"figurative ছোট")</f>
        <v>figurative ছোট</v>
      </c>
      <c r="Q174" s="5" t="str">
        <f t="shared" si="1"/>
        <v>১ আগে দেখো</v>
      </c>
    </row>
    <row r="175">
      <c r="A175" s="4">
        <v>4260.0</v>
      </c>
      <c r="B175" s="2" t="s">
        <v>896</v>
      </c>
      <c r="C175" s="2" t="s">
        <v>897</v>
      </c>
      <c r="D175" s="2" t="s">
        <v>898</v>
      </c>
      <c r="E175" s="2" t="s">
        <v>899</v>
      </c>
      <c r="F175" s="2" t="b">
        <v>1</v>
      </c>
      <c r="G175" s="2" t="b">
        <v>0</v>
      </c>
      <c r="H175" s="2" t="s">
        <v>37</v>
      </c>
      <c r="I175" s="2" t="s">
        <v>49</v>
      </c>
      <c r="J175" s="2" t="s">
        <v>830</v>
      </c>
      <c r="K175" s="2" t="s">
        <v>495</v>
      </c>
      <c r="L175" s="13" t="s">
        <v>496</v>
      </c>
      <c r="M175" s="2" t="s">
        <v>26</v>
      </c>
      <c r="N175" s="11" t="s">
        <v>576</v>
      </c>
      <c r="O175" s="12" t="s">
        <v>53</v>
      </c>
      <c r="P175" s="5" t="str">
        <f>IFERROR(__xludf.DUMMYFUNCTION("TEXTJOIN("" | "",TRUE,IF(OR(D175="""",E175="""",I175="""",J175="""",H175=""""),""ফাঁকা ঘর"",""""),IF(AND(C175&lt;&gt;"""",D175&lt;&gt;"""",C175=D175),""gloss=figurative"",""""),IF(LEN(D175)&lt;15,""figurative ছোট"",""""),IF(AND(I175=""Positive"",REGEXMATCH(H175,""মূর্খ|"&amp;"ভণ্ড|প্রতার|অলস|লোভ|স্বার্থ|অক্ষম|অযোগ্য|বোকা|কৃপণ|হিংস"")),""valence-target অমিল"",""""),IF(COUNTIF($B:$B,B175)&gt;1,""ডুপ্লিকেট"",""""))"),"figurative ছোট")</f>
        <v>figurative ছোট</v>
      </c>
      <c r="Q175" s="5" t="str">
        <f t="shared" si="1"/>
        <v>১ আগে দেখো</v>
      </c>
    </row>
    <row r="176">
      <c r="A176" s="4">
        <v>4263.0</v>
      </c>
      <c r="B176" s="2" t="s">
        <v>900</v>
      </c>
      <c r="C176" s="2" t="s">
        <v>901</v>
      </c>
      <c r="D176" s="2" t="s">
        <v>902</v>
      </c>
      <c r="E176" s="2" t="s">
        <v>903</v>
      </c>
      <c r="F176" s="2" t="b">
        <v>1</v>
      </c>
      <c r="G176" s="2" t="b">
        <v>0</v>
      </c>
      <c r="H176" s="2" t="s">
        <v>37</v>
      </c>
      <c r="I176" s="2" t="s">
        <v>22</v>
      </c>
      <c r="J176" s="2" t="s">
        <v>904</v>
      </c>
      <c r="K176" s="2" t="s">
        <v>495</v>
      </c>
      <c r="L176" s="13" t="s">
        <v>496</v>
      </c>
      <c r="M176" s="2" t="s">
        <v>26</v>
      </c>
      <c r="N176" s="11" t="s">
        <v>576</v>
      </c>
      <c r="O176" s="12" t="s">
        <v>53</v>
      </c>
      <c r="P176" s="5" t="str">
        <f>IFERROR(__xludf.DUMMYFUNCTION("TEXTJOIN("" | "",TRUE,IF(OR(D176="""",E176="""",I176="""",J176="""",H176=""""),""ফাঁকা ঘর"",""""),IF(AND(C176&lt;&gt;"""",D176&lt;&gt;"""",C176=D176),""gloss=figurative"",""""),IF(LEN(D176)&lt;15,""figurative ছোট"",""""),IF(AND(I176=""Positive"",REGEXMATCH(H176,""মূর্খ|"&amp;"ভণ্ড|প্রতার|অলস|লোভ|স্বার্থ|অক্ষম|অযোগ্য|বোকা|কৃপণ|হিংস"")),""valence-target অমিল"",""""),IF(COUNTIF($B:$B,B176)&gt;1,""ডুপ্লিকেট"",""""))"),"figurative ছোট")</f>
        <v>figurative ছোট</v>
      </c>
      <c r="Q176" s="5" t="str">
        <f t="shared" si="1"/>
        <v>১ আগে দেখো</v>
      </c>
    </row>
    <row r="177">
      <c r="A177" s="4">
        <v>4270.0</v>
      </c>
      <c r="B177" s="2" t="s">
        <v>905</v>
      </c>
      <c r="C177" s="2" t="s">
        <v>906</v>
      </c>
      <c r="D177" s="2" t="s">
        <v>907</v>
      </c>
      <c r="E177" s="2" t="s">
        <v>908</v>
      </c>
      <c r="F177" s="2" t="b">
        <v>1</v>
      </c>
      <c r="G177" s="2" t="b">
        <v>0</v>
      </c>
      <c r="H177" s="2" t="s">
        <v>37</v>
      </c>
      <c r="I177" s="2" t="s">
        <v>22</v>
      </c>
      <c r="J177" s="2" t="s">
        <v>590</v>
      </c>
      <c r="K177" s="2" t="s">
        <v>495</v>
      </c>
      <c r="L177" s="13" t="s">
        <v>496</v>
      </c>
      <c r="M177" s="2" t="s">
        <v>26</v>
      </c>
      <c r="N177" s="11" t="s">
        <v>576</v>
      </c>
      <c r="O177" s="12" t="s">
        <v>53</v>
      </c>
      <c r="P177" s="5" t="str">
        <f>IFERROR(__xludf.DUMMYFUNCTION("TEXTJOIN("" | "",TRUE,IF(OR(D177="""",E177="""",I177="""",J177="""",H177=""""),""ফাঁকা ঘর"",""""),IF(AND(C177&lt;&gt;"""",D177&lt;&gt;"""",C177=D177),""gloss=figurative"",""""),IF(LEN(D177)&lt;15,""figurative ছোট"",""""),IF(AND(I177=""Positive"",REGEXMATCH(H177,""মূর্খ|"&amp;"ভণ্ড|প্রতার|অলস|লোভ|স্বার্থ|অক্ষম|অযোগ্য|বোকা|কৃপণ|হিংস"")),""valence-target অমিল"",""""),IF(COUNTIF($B:$B,B177)&gt;1,""ডুপ্লিকেট"",""""))"),"figurative ছোট")</f>
        <v>figurative ছোট</v>
      </c>
      <c r="Q177" s="5" t="str">
        <f t="shared" si="1"/>
        <v>১ আগে দেখো</v>
      </c>
    </row>
    <row r="178">
      <c r="A178" s="4">
        <v>4271.0</v>
      </c>
      <c r="B178" s="2" t="s">
        <v>909</v>
      </c>
      <c r="C178" s="2" t="s">
        <v>910</v>
      </c>
      <c r="D178" s="2" t="s">
        <v>911</v>
      </c>
      <c r="E178" s="2" t="s">
        <v>912</v>
      </c>
      <c r="F178" s="2" t="b">
        <v>1</v>
      </c>
      <c r="G178" s="2" t="b">
        <v>0</v>
      </c>
      <c r="H178" s="2" t="s">
        <v>37</v>
      </c>
      <c r="I178" s="2" t="s">
        <v>49</v>
      </c>
      <c r="J178" s="2" t="s">
        <v>913</v>
      </c>
      <c r="K178" s="2" t="s">
        <v>495</v>
      </c>
      <c r="L178" s="13" t="s">
        <v>496</v>
      </c>
      <c r="M178" s="2" t="s">
        <v>26</v>
      </c>
      <c r="N178" s="11" t="s">
        <v>576</v>
      </c>
      <c r="O178" s="12" t="s">
        <v>53</v>
      </c>
      <c r="P178" s="5" t="str">
        <f>IFERROR(__xludf.DUMMYFUNCTION("TEXTJOIN("" | "",TRUE,IF(OR(D178="""",E178="""",I178="""",J178="""",H178=""""),""ফাঁকা ঘর"",""""),IF(AND(C178&lt;&gt;"""",D178&lt;&gt;"""",C178=D178),""gloss=figurative"",""""),IF(LEN(D178)&lt;15,""figurative ছোট"",""""),IF(AND(I178=""Positive"",REGEXMATCH(H178,""মূর্খ|"&amp;"ভণ্ড|প্রতার|অলস|লোভ|স্বার্থ|অক্ষম|অযোগ্য|বোকা|কৃপণ|হিংস"")),""valence-target অমিল"",""""),IF(COUNTIF($B:$B,B178)&gt;1,""ডুপ্লিকেট"",""""))"),"figurative ছোট")</f>
        <v>figurative ছোট</v>
      </c>
      <c r="Q178" s="5" t="str">
        <f t="shared" si="1"/>
        <v>১ আগে দেখো</v>
      </c>
    </row>
    <row r="179">
      <c r="A179" s="4">
        <v>4276.0</v>
      </c>
      <c r="B179" s="2" t="s">
        <v>914</v>
      </c>
      <c r="C179" s="2" t="s">
        <v>915</v>
      </c>
      <c r="D179" s="2" t="s">
        <v>916</v>
      </c>
      <c r="E179" s="2" t="s">
        <v>917</v>
      </c>
      <c r="F179" s="2" t="b">
        <v>1</v>
      </c>
      <c r="G179" s="2" t="b">
        <v>1</v>
      </c>
      <c r="H179" s="2" t="s">
        <v>918</v>
      </c>
      <c r="I179" s="2" t="s">
        <v>22</v>
      </c>
      <c r="J179" s="2" t="s">
        <v>590</v>
      </c>
      <c r="K179" s="2" t="s">
        <v>495</v>
      </c>
      <c r="L179" s="13" t="s">
        <v>496</v>
      </c>
      <c r="M179" s="2" t="s">
        <v>26</v>
      </c>
      <c r="N179" s="11" t="s">
        <v>919</v>
      </c>
      <c r="O179" s="12" t="s">
        <v>53</v>
      </c>
      <c r="P179" s="5" t="str">
        <f>IFERROR(__xludf.DUMMYFUNCTION("TEXTJOIN("" | "",TRUE,IF(OR(D179="""",E179="""",I179="""",J179="""",H179=""""),""ফাঁকা ঘর"",""""),IF(AND(C179&lt;&gt;"""",D179&lt;&gt;"""",C179=D179),""gloss=figurative"",""""),IF(LEN(D179)&lt;15,""figurative ছোট"",""""),IF(AND(I179=""Positive"",REGEXMATCH(H179,""মূর্খ|"&amp;"ভণ্ড|প্রতার|অলস|লোভ|স্বার্থ|অক্ষম|অযোগ্য|বোকা|কৃপণ|হিংস"")),""valence-target অমিল"",""""),IF(COUNTIF($B:$B,B179)&gt;1,""ডুপ্লিকেট"",""""))"),"figurative ছোট")</f>
        <v>figurative ছোট</v>
      </c>
      <c r="Q179" s="5" t="str">
        <f t="shared" si="1"/>
        <v>১ আগে দেখো</v>
      </c>
    </row>
    <row r="180">
      <c r="A180" s="4">
        <v>4302.0</v>
      </c>
      <c r="B180" s="2" t="s">
        <v>920</v>
      </c>
      <c r="C180" s="2" t="s">
        <v>921</v>
      </c>
      <c r="D180" s="2" t="s">
        <v>922</v>
      </c>
      <c r="E180" s="2" t="s">
        <v>923</v>
      </c>
      <c r="F180" s="2" t="b">
        <v>1</v>
      </c>
      <c r="G180" s="2" t="b">
        <v>0</v>
      </c>
      <c r="H180" s="2" t="s">
        <v>37</v>
      </c>
      <c r="I180" s="2" t="s">
        <v>49</v>
      </c>
      <c r="J180" s="2" t="s">
        <v>924</v>
      </c>
      <c r="K180" s="2" t="s">
        <v>495</v>
      </c>
      <c r="L180" s="13" t="s">
        <v>496</v>
      </c>
      <c r="M180" s="2" t="s">
        <v>26</v>
      </c>
      <c r="N180" s="11" t="s">
        <v>925</v>
      </c>
      <c r="O180" s="12" t="s">
        <v>53</v>
      </c>
      <c r="P180" s="5" t="str">
        <f>IFERROR(__xludf.DUMMYFUNCTION("TEXTJOIN("" | "",TRUE,IF(OR(D180="""",E180="""",I180="""",J180="""",H180=""""),""ফাঁকা ঘর"",""""),IF(AND(C180&lt;&gt;"""",D180&lt;&gt;"""",C180=D180),""gloss=figurative"",""""),IF(LEN(D180)&lt;15,""figurative ছোট"",""""),IF(AND(I180=""Positive"",REGEXMATCH(H180,""মূর্খ|"&amp;"ভণ্ড|প্রতার|অলস|লোভ|স্বার্থ|অক্ষম|অযোগ্য|বোকা|কৃপণ|হিংস"")),""valence-target অমিল"",""""),IF(COUNTIF($B:$B,B180)&gt;1,""ডুপ্লিকেট"",""""))"),"figurative ছোট")</f>
        <v>figurative ছোট</v>
      </c>
      <c r="Q180" s="5" t="str">
        <f t="shared" si="1"/>
        <v>১ আগে দেখো</v>
      </c>
    </row>
    <row r="181">
      <c r="A181" s="4">
        <v>4303.0</v>
      </c>
      <c r="B181" s="2" t="s">
        <v>926</v>
      </c>
      <c r="C181" s="2" t="s">
        <v>927</v>
      </c>
      <c r="D181" s="2" t="s">
        <v>667</v>
      </c>
      <c r="E181" s="2" t="s">
        <v>928</v>
      </c>
      <c r="F181" s="2" t="b">
        <v>1</v>
      </c>
      <c r="G181" s="2" t="b">
        <v>0</v>
      </c>
      <c r="H181" s="2" t="s">
        <v>37</v>
      </c>
      <c r="I181" s="2" t="s">
        <v>32</v>
      </c>
      <c r="J181" s="2" t="s">
        <v>669</v>
      </c>
      <c r="K181" s="2" t="s">
        <v>495</v>
      </c>
      <c r="L181" s="13" t="s">
        <v>496</v>
      </c>
      <c r="M181" s="2" t="s">
        <v>26</v>
      </c>
      <c r="N181" s="11" t="s">
        <v>929</v>
      </c>
      <c r="O181" s="12" t="s">
        <v>53</v>
      </c>
      <c r="P181" s="5" t="str">
        <f>IFERROR(__xludf.DUMMYFUNCTION("TEXTJOIN("" | "",TRUE,IF(OR(D181="""",E181="""",I181="""",J181="""",H181=""""),""ফাঁকা ঘর"",""""),IF(AND(C181&lt;&gt;"""",D181&lt;&gt;"""",C181=D181),""gloss=figurative"",""""),IF(LEN(D181)&lt;15,""figurative ছোট"",""""),IF(AND(I181=""Positive"",REGEXMATCH(H181,""মূর্খ|"&amp;"ভণ্ড|প্রতার|অলস|লোভ|স্বার্থ|অক্ষম|অযোগ্য|বোকা|কৃপণ|হিংস"")),""valence-target অমিল"",""""),IF(COUNTIF($B:$B,B181)&gt;1,""ডুপ্লিকেট"",""""))"),"figurative ছোট")</f>
        <v>figurative ছোট</v>
      </c>
      <c r="Q181" s="5" t="str">
        <f t="shared" si="1"/>
        <v>১ আগে দেখো</v>
      </c>
    </row>
    <row r="182">
      <c r="A182" s="4">
        <v>4313.0</v>
      </c>
      <c r="B182" s="2" t="s">
        <v>930</v>
      </c>
      <c r="C182" s="2" t="s">
        <v>931</v>
      </c>
      <c r="D182" s="2" t="s">
        <v>932</v>
      </c>
      <c r="E182" s="2" t="s">
        <v>933</v>
      </c>
      <c r="F182" s="2" t="b">
        <v>1</v>
      </c>
      <c r="G182" s="2" t="b">
        <v>0</v>
      </c>
      <c r="H182" s="2" t="s">
        <v>37</v>
      </c>
      <c r="I182" s="2" t="s">
        <v>32</v>
      </c>
      <c r="J182" s="2" t="s">
        <v>934</v>
      </c>
      <c r="K182" s="2" t="s">
        <v>495</v>
      </c>
      <c r="L182" s="13" t="s">
        <v>496</v>
      </c>
      <c r="M182" s="2" t="s">
        <v>26</v>
      </c>
      <c r="N182" s="11" t="s">
        <v>576</v>
      </c>
      <c r="O182" s="12" t="s">
        <v>53</v>
      </c>
      <c r="P182" s="5" t="str">
        <f>IFERROR(__xludf.DUMMYFUNCTION("TEXTJOIN("" | "",TRUE,IF(OR(D182="""",E182="""",I182="""",J182="""",H182=""""),""ফাঁকা ঘর"",""""),IF(AND(C182&lt;&gt;"""",D182&lt;&gt;"""",C182=D182),""gloss=figurative"",""""),IF(LEN(D182)&lt;15,""figurative ছোট"",""""),IF(AND(I182=""Positive"",REGEXMATCH(H182,""মূর্খ|"&amp;"ভণ্ড|প্রতার|অলস|লোভ|স্বার্থ|অক্ষম|অযোগ্য|বোকা|কৃপণ|হিংস"")),""valence-target অমিল"",""""),IF(COUNTIF($B:$B,B182)&gt;1,""ডুপ্লিকেট"",""""))"),"figurative ছোট")</f>
        <v>figurative ছোট</v>
      </c>
      <c r="Q182" s="5" t="str">
        <f t="shared" si="1"/>
        <v>১ আগে দেখো</v>
      </c>
    </row>
    <row r="183">
      <c r="A183" s="4">
        <v>4318.0</v>
      </c>
      <c r="B183" s="2" t="s">
        <v>935</v>
      </c>
      <c r="C183" s="2" t="s">
        <v>936</v>
      </c>
      <c r="D183" s="2" t="s">
        <v>937</v>
      </c>
      <c r="E183" s="2" t="s">
        <v>938</v>
      </c>
      <c r="F183" s="2" t="b">
        <v>1</v>
      </c>
      <c r="G183" s="2" t="b">
        <v>0</v>
      </c>
      <c r="H183" s="2" t="s">
        <v>37</v>
      </c>
      <c r="I183" s="2" t="s">
        <v>49</v>
      </c>
      <c r="J183" s="2" t="s">
        <v>939</v>
      </c>
      <c r="K183" s="2" t="s">
        <v>495</v>
      </c>
      <c r="L183" s="13" t="s">
        <v>496</v>
      </c>
      <c r="M183" s="2" t="s">
        <v>26</v>
      </c>
      <c r="N183" s="11" t="s">
        <v>576</v>
      </c>
      <c r="O183" s="12" t="s">
        <v>53</v>
      </c>
      <c r="P183" s="5" t="str">
        <f>IFERROR(__xludf.DUMMYFUNCTION("TEXTJOIN("" | "",TRUE,IF(OR(D183="""",E183="""",I183="""",J183="""",H183=""""),""ফাঁকা ঘর"",""""),IF(AND(C183&lt;&gt;"""",D183&lt;&gt;"""",C183=D183),""gloss=figurative"",""""),IF(LEN(D183)&lt;15,""figurative ছোট"",""""),IF(AND(I183=""Positive"",REGEXMATCH(H183,""মূর্খ|"&amp;"ভণ্ড|প্রতার|অলস|লোভ|স্বার্থ|অক্ষম|অযোগ্য|বোকা|কৃপণ|হিংস"")),""valence-target অমিল"",""""),IF(COUNTIF($B:$B,B183)&gt;1,""ডুপ্লিকেট"",""""))"),"figurative ছোট")</f>
        <v>figurative ছোট</v>
      </c>
      <c r="Q183" s="5" t="str">
        <f t="shared" si="1"/>
        <v>১ আগে দেখো</v>
      </c>
    </row>
    <row r="184">
      <c r="A184" s="4">
        <v>4325.0</v>
      </c>
      <c r="B184" s="2" t="s">
        <v>940</v>
      </c>
      <c r="C184" s="2" t="s">
        <v>940</v>
      </c>
      <c r="D184" s="2" t="s">
        <v>941</v>
      </c>
      <c r="E184" s="2" t="s">
        <v>942</v>
      </c>
      <c r="F184" s="2" t="b">
        <v>1</v>
      </c>
      <c r="G184" s="2" t="b">
        <v>0</v>
      </c>
      <c r="H184" s="2" t="s">
        <v>37</v>
      </c>
      <c r="I184" s="2" t="s">
        <v>22</v>
      </c>
      <c r="J184" s="2" t="s">
        <v>868</v>
      </c>
      <c r="K184" s="2" t="s">
        <v>495</v>
      </c>
      <c r="L184" s="13" t="s">
        <v>496</v>
      </c>
      <c r="M184" s="2" t="s">
        <v>26</v>
      </c>
      <c r="N184" s="11" t="s">
        <v>576</v>
      </c>
      <c r="O184" s="12" t="s">
        <v>53</v>
      </c>
      <c r="P184" s="5" t="str">
        <f>IFERROR(__xludf.DUMMYFUNCTION("TEXTJOIN("" | "",TRUE,IF(OR(D184="""",E184="""",I184="""",J184="""",H184=""""),""ফাঁকা ঘর"",""""),IF(AND(C184&lt;&gt;"""",D184&lt;&gt;"""",C184=D184),""gloss=figurative"",""""),IF(LEN(D184)&lt;15,""figurative ছোট"",""""),IF(AND(I184=""Positive"",REGEXMATCH(H184,""মূর্খ|"&amp;"ভণ্ড|প্রতার|অলস|লোভ|স্বার্থ|অক্ষম|অযোগ্য|বোকা|কৃপণ|হিংস"")),""valence-target অমিল"",""""),IF(COUNTIF($B:$B,B184)&gt;1,""ডুপ্লিকেট"",""""))"),"figurative ছোট")</f>
        <v>figurative ছোট</v>
      </c>
      <c r="Q184" s="5" t="str">
        <f t="shared" si="1"/>
        <v>১ আগে দেখো</v>
      </c>
    </row>
    <row r="185">
      <c r="A185" s="4">
        <v>4343.0</v>
      </c>
      <c r="B185" s="2" t="s">
        <v>943</v>
      </c>
      <c r="C185" s="2" t="s">
        <v>944</v>
      </c>
      <c r="D185" s="2" t="s">
        <v>945</v>
      </c>
      <c r="E185" s="2" t="s">
        <v>946</v>
      </c>
      <c r="F185" s="2" t="b">
        <v>1</v>
      </c>
      <c r="G185" s="2" t="b">
        <v>0</v>
      </c>
      <c r="H185" s="2" t="s">
        <v>37</v>
      </c>
      <c r="I185" s="2" t="s">
        <v>22</v>
      </c>
      <c r="J185" s="2" t="s">
        <v>947</v>
      </c>
      <c r="K185" s="2" t="s">
        <v>495</v>
      </c>
      <c r="L185" s="13" t="s">
        <v>496</v>
      </c>
      <c r="M185" s="2" t="s">
        <v>26</v>
      </c>
      <c r="N185" s="11" t="s">
        <v>576</v>
      </c>
      <c r="O185" s="12" t="s">
        <v>53</v>
      </c>
      <c r="P185" s="5" t="str">
        <f>IFERROR(__xludf.DUMMYFUNCTION("TEXTJOIN("" | "",TRUE,IF(OR(D185="""",E185="""",I185="""",J185="""",H185=""""),""ফাঁকা ঘর"",""""),IF(AND(C185&lt;&gt;"""",D185&lt;&gt;"""",C185=D185),""gloss=figurative"",""""),IF(LEN(D185)&lt;15,""figurative ছোট"",""""),IF(AND(I185=""Positive"",REGEXMATCH(H185,""মূর্খ|"&amp;"ভণ্ড|প্রতার|অলস|লোভ|স্বার্থ|অক্ষম|অযোগ্য|বোকা|কৃপণ|হিংস"")),""valence-target অমিল"",""""),IF(COUNTIF($B:$B,B185)&gt;1,""ডুপ্লিকেট"",""""))"),"figurative ছোট")</f>
        <v>figurative ছোট</v>
      </c>
      <c r="Q185" s="5" t="str">
        <f t="shared" si="1"/>
        <v>১ আগে দেখো</v>
      </c>
    </row>
    <row r="186">
      <c r="A186" s="4">
        <v>4388.0</v>
      </c>
      <c r="B186" s="2" t="s">
        <v>948</v>
      </c>
      <c r="C186" s="2" t="s">
        <v>949</v>
      </c>
      <c r="D186" s="2" t="s">
        <v>950</v>
      </c>
      <c r="E186" s="2" t="s">
        <v>951</v>
      </c>
      <c r="F186" s="2" t="b">
        <v>1</v>
      </c>
      <c r="G186" s="2" t="b">
        <v>0</v>
      </c>
      <c r="H186" s="2" t="s">
        <v>37</v>
      </c>
      <c r="I186" s="2" t="s">
        <v>22</v>
      </c>
      <c r="J186" s="2" t="s">
        <v>723</v>
      </c>
      <c r="K186" s="2" t="s">
        <v>495</v>
      </c>
      <c r="L186" s="13" t="s">
        <v>496</v>
      </c>
      <c r="M186" s="2" t="s">
        <v>26</v>
      </c>
      <c r="N186" s="11" t="s">
        <v>576</v>
      </c>
      <c r="O186" s="12" t="s">
        <v>53</v>
      </c>
      <c r="P186" s="5" t="str">
        <f>IFERROR(__xludf.DUMMYFUNCTION("TEXTJOIN("" | "",TRUE,IF(OR(D186="""",E186="""",I186="""",J186="""",H186=""""),""ফাঁকা ঘর"",""""),IF(AND(C186&lt;&gt;"""",D186&lt;&gt;"""",C186=D186),""gloss=figurative"",""""),IF(LEN(D186)&lt;15,""figurative ছোট"",""""),IF(AND(I186=""Positive"",REGEXMATCH(H186,""মূর্খ|"&amp;"ভণ্ড|প্রতার|অলস|লোভ|স্বার্থ|অক্ষম|অযোগ্য|বোকা|কৃপণ|হিংস"")),""valence-target অমিল"",""""),IF(COUNTIF($B:$B,B186)&gt;1,""ডুপ্লিকেট"",""""))"),"figurative ছোট")</f>
        <v>figurative ছোট</v>
      </c>
      <c r="Q186" s="5" t="str">
        <f t="shared" si="1"/>
        <v>১ আগে দেখো</v>
      </c>
    </row>
    <row r="187">
      <c r="A187" s="4">
        <v>4396.0</v>
      </c>
      <c r="B187" s="2" t="s">
        <v>952</v>
      </c>
      <c r="C187" s="2" t="s">
        <v>953</v>
      </c>
      <c r="D187" s="2" t="s">
        <v>954</v>
      </c>
      <c r="E187" s="2" t="s">
        <v>955</v>
      </c>
      <c r="F187" s="2" t="b">
        <v>1</v>
      </c>
      <c r="G187" s="2" t="b">
        <v>0</v>
      </c>
      <c r="H187" s="2" t="s">
        <v>37</v>
      </c>
      <c r="I187" s="2" t="s">
        <v>22</v>
      </c>
      <c r="J187" s="2" t="s">
        <v>836</v>
      </c>
      <c r="K187" s="2" t="s">
        <v>495</v>
      </c>
      <c r="L187" s="13" t="s">
        <v>496</v>
      </c>
      <c r="M187" s="2" t="s">
        <v>26</v>
      </c>
      <c r="N187" s="11" t="s">
        <v>576</v>
      </c>
      <c r="O187" s="12" t="s">
        <v>53</v>
      </c>
      <c r="P187" s="5" t="str">
        <f>IFERROR(__xludf.DUMMYFUNCTION("TEXTJOIN("" | "",TRUE,IF(OR(D187="""",E187="""",I187="""",J187="""",H187=""""),""ফাঁকা ঘর"",""""),IF(AND(C187&lt;&gt;"""",D187&lt;&gt;"""",C187=D187),""gloss=figurative"",""""),IF(LEN(D187)&lt;15,""figurative ছোট"",""""),IF(AND(I187=""Positive"",REGEXMATCH(H187,""মূর্খ|"&amp;"ভণ্ড|প্রতার|অলস|লোভ|স্বার্থ|অক্ষম|অযোগ্য|বোকা|কৃপণ|হিংস"")),""valence-target অমিল"",""""),IF(COUNTIF($B:$B,B187)&gt;1,""ডুপ্লিকেট"",""""))"),"figurative ছোট")</f>
        <v>figurative ছোট</v>
      </c>
      <c r="Q187" s="5" t="str">
        <f t="shared" si="1"/>
        <v>১ আগে দেখো</v>
      </c>
    </row>
    <row r="188">
      <c r="A188" s="4">
        <v>4400.0</v>
      </c>
      <c r="B188" s="2" t="s">
        <v>956</v>
      </c>
      <c r="C188" s="2" t="s">
        <v>957</v>
      </c>
      <c r="D188" s="2" t="s">
        <v>958</v>
      </c>
      <c r="E188" s="2" t="s">
        <v>959</v>
      </c>
      <c r="F188" s="2" t="b">
        <v>1</v>
      </c>
      <c r="G188" s="2" t="b">
        <v>0</v>
      </c>
      <c r="H188" s="2" t="s">
        <v>37</v>
      </c>
      <c r="I188" s="2" t="s">
        <v>22</v>
      </c>
      <c r="J188" s="2" t="s">
        <v>655</v>
      </c>
      <c r="K188" s="2" t="s">
        <v>495</v>
      </c>
      <c r="L188" s="13" t="s">
        <v>496</v>
      </c>
      <c r="M188" s="2" t="s">
        <v>26</v>
      </c>
      <c r="N188" s="11" t="s">
        <v>576</v>
      </c>
      <c r="O188" s="12" t="s">
        <v>53</v>
      </c>
      <c r="P188" s="5" t="str">
        <f>IFERROR(__xludf.DUMMYFUNCTION("TEXTJOIN("" | "",TRUE,IF(OR(D188="""",E188="""",I188="""",J188="""",H188=""""),""ফাঁকা ঘর"",""""),IF(AND(C188&lt;&gt;"""",D188&lt;&gt;"""",C188=D188),""gloss=figurative"",""""),IF(LEN(D188)&lt;15,""figurative ছোট"",""""),IF(AND(I188=""Positive"",REGEXMATCH(H188,""মূর্খ|"&amp;"ভণ্ড|প্রতার|অলস|লোভ|স্বার্থ|অক্ষম|অযোগ্য|বোকা|কৃপণ|হিংস"")),""valence-target অমিল"",""""),IF(COUNTIF($B:$B,B188)&gt;1,""ডুপ্লিকেট"",""""))"),"figurative ছোট")</f>
        <v>figurative ছোট</v>
      </c>
      <c r="Q188" s="5" t="str">
        <f t="shared" si="1"/>
        <v>১ আগে দেখো</v>
      </c>
    </row>
    <row r="189">
      <c r="A189" s="4">
        <v>4405.0</v>
      </c>
      <c r="B189" s="2" t="s">
        <v>960</v>
      </c>
      <c r="C189" s="2" t="s">
        <v>961</v>
      </c>
      <c r="D189" s="2" t="s">
        <v>962</v>
      </c>
      <c r="E189" s="2" t="s">
        <v>963</v>
      </c>
      <c r="F189" s="2" t="b">
        <v>1</v>
      </c>
      <c r="G189" s="2" t="b">
        <v>0</v>
      </c>
      <c r="H189" s="2" t="s">
        <v>37</v>
      </c>
      <c r="I189" s="2" t="s">
        <v>49</v>
      </c>
      <c r="J189" s="2" t="s">
        <v>964</v>
      </c>
      <c r="K189" s="2" t="s">
        <v>495</v>
      </c>
      <c r="L189" s="13" t="s">
        <v>496</v>
      </c>
      <c r="M189" s="2" t="s">
        <v>26</v>
      </c>
      <c r="N189" s="11" t="s">
        <v>576</v>
      </c>
      <c r="O189" s="12" t="s">
        <v>53</v>
      </c>
      <c r="P189" s="5" t="str">
        <f>IFERROR(__xludf.DUMMYFUNCTION("TEXTJOIN("" | "",TRUE,IF(OR(D189="""",E189="""",I189="""",J189="""",H189=""""),""ফাঁকা ঘর"",""""),IF(AND(C189&lt;&gt;"""",D189&lt;&gt;"""",C189=D189),""gloss=figurative"",""""),IF(LEN(D189)&lt;15,""figurative ছোট"",""""),IF(AND(I189=""Positive"",REGEXMATCH(H189,""মূর্খ|"&amp;"ভণ্ড|প্রতার|অলস|লোভ|স্বার্থ|অক্ষম|অযোগ্য|বোকা|কৃপণ|হিংস"")),""valence-target অমিল"",""""),IF(COUNTIF($B:$B,B189)&gt;1,""ডুপ্লিকেট"",""""))"),"figurative ছোট")</f>
        <v>figurative ছোট</v>
      </c>
      <c r="Q189" s="5" t="str">
        <f t="shared" si="1"/>
        <v>১ আগে দেখো</v>
      </c>
    </row>
    <row r="190">
      <c r="A190" s="4">
        <v>4417.0</v>
      </c>
      <c r="B190" s="2" t="s">
        <v>965</v>
      </c>
      <c r="C190" s="2" t="s">
        <v>966</v>
      </c>
      <c r="D190" s="2" t="s">
        <v>967</v>
      </c>
      <c r="E190" s="2" t="s">
        <v>968</v>
      </c>
      <c r="F190" s="2" t="b">
        <v>1</v>
      </c>
      <c r="G190" s="2" t="b">
        <v>0</v>
      </c>
      <c r="H190" s="2" t="s">
        <v>37</v>
      </c>
      <c r="I190" s="2" t="s">
        <v>49</v>
      </c>
      <c r="J190" s="2" t="s">
        <v>762</v>
      </c>
      <c r="K190" s="2" t="s">
        <v>495</v>
      </c>
      <c r="L190" s="13" t="s">
        <v>496</v>
      </c>
      <c r="M190" s="2" t="s">
        <v>26</v>
      </c>
      <c r="N190" s="11" t="s">
        <v>576</v>
      </c>
      <c r="O190" s="12" t="s">
        <v>53</v>
      </c>
      <c r="P190" s="5" t="str">
        <f>IFERROR(__xludf.DUMMYFUNCTION("TEXTJOIN("" | "",TRUE,IF(OR(D190="""",E190="""",I190="""",J190="""",H190=""""),""ফাঁকা ঘর"",""""),IF(AND(C190&lt;&gt;"""",D190&lt;&gt;"""",C190=D190),""gloss=figurative"",""""),IF(LEN(D190)&lt;15,""figurative ছোট"",""""),IF(AND(I190=""Positive"",REGEXMATCH(H190,""মূর্খ|"&amp;"ভণ্ড|প্রতার|অলস|লোভ|স্বার্থ|অক্ষম|অযোগ্য|বোকা|কৃপণ|হিংস"")),""valence-target অমিল"",""""),IF(COUNTIF($B:$B,B190)&gt;1,""ডুপ্লিকেট"",""""))"),"figurative ছোট")</f>
        <v>figurative ছোট</v>
      </c>
      <c r="Q190" s="5" t="str">
        <f t="shared" si="1"/>
        <v>১ আগে দেখো</v>
      </c>
    </row>
    <row r="191">
      <c r="A191" s="4">
        <v>4419.0</v>
      </c>
      <c r="B191" s="2" t="s">
        <v>969</v>
      </c>
      <c r="C191" s="2" t="s">
        <v>970</v>
      </c>
      <c r="D191" s="2" t="s">
        <v>971</v>
      </c>
      <c r="E191" s="2" t="s">
        <v>972</v>
      </c>
      <c r="F191" s="2" t="b">
        <v>1</v>
      </c>
      <c r="G191" s="2" t="b">
        <v>0</v>
      </c>
      <c r="H191" s="2" t="s">
        <v>37</v>
      </c>
      <c r="I191" s="2" t="s">
        <v>22</v>
      </c>
      <c r="J191" s="2" t="s">
        <v>971</v>
      </c>
      <c r="K191" s="2" t="s">
        <v>495</v>
      </c>
      <c r="L191" s="13" t="s">
        <v>496</v>
      </c>
      <c r="M191" s="2" t="s">
        <v>26</v>
      </c>
      <c r="N191" s="11" t="s">
        <v>973</v>
      </c>
      <c r="O191" s="12" t="s">
        <v>53</v>
      </c>
      <c r="P191" s="5" t="str">
        <f>IFERROR(__xludf.DUMMYFUNCTION("TEXTJOIN("" | "",TRUE,IF(OR(D191="""",E191="""",I191="""",J191="""",H191=""""),""ফাঁকা ঘর"",""""),IF(AND(C191&lt;&gt;"""",D191&lt;&gt;"""",C191=D191),""gloss=figurative"",""""),IF(LEN(D191)&lt;15,""figurative ছোট"",""""),IF(AND(I191=""Positive"",REGEXMATCH(H191,""মূর্খ|"&amp;"ভণ্ড|প্রতার|অলস|লোভ|স্বার্থ|অক্ষম|অযোগ্য|বোকা|কৃপণ|হিংস"")),""valence-target অমিল"",""""),IF(COUNTIF($B:$B,B191)&gt;1,""ডুপ্লিকেট"",""""))"),"figurative ছোট")</f>
        <v>figurative ছোট</v>
      </c>
      <c r="Q191" s="5" t="str">
        <f t="shared" si="1"/>
        <v>১ আগে দেখো</v>
      </c>
    </row>
    <row r="192">
      <c r="A192" s="4">
        <v>4420.0</v>
      </c>
      <c r="B192" s="2" t="s">
        <v>974</v>
      </c>
      <c r="C192" s="2" t="s">
        <v>975</v>
      </c>
      <c r="D192" s="2" t="s">
        <v>976</v>
      </c>
      <c r="E192" s="2" t="s">
        <v>977</v>
      </c>
      <c r="F192" s="2" t="b">
        <v>1</v>
      </c>
      <c r="G192" s="2" t="b">
        <v>0</v>
      </c>
      <c r="H192" s="2" t="s">
        <v>37</v>
      </c>
      <c r="I192" s="2" t="s">
        <v>22</v>
      </c>
      <c r="J192" s="2" t="s">
        <v>978</v>
      </c>
      <c r="K192" s="2" t="s">
        <v>495</v>
      </c>
      <c r="L192" s="13" t="s">
        <v>496</v>
      </c>
      <c r="M192" s="2" t="s">
        <v>26</v>
      </c>
      <c r="N192" s="11" t="s">
        <v>973</v>
      </c>
      <c r="O192" s="12" t="s">
        <v>53</v>
      </c>
      <c r="P192" s="5" t="str">
        <f>IFERROR(__xludf.DUMMYFUNCTION("TEXTJOIN("" | "",TRUE,IF(OR(D192="""",E192="""",I192="""",J192="""",H192=""""),""ফাঁকা ঘর"",""""),IF(AND(C192&lt;&gt;"""",D192&lt;&gt;"""",C192=D192),""gloss=figurative"",""""),IF(LEN(D192)&lt;15,""figurative ছোট"",""""),IF(AND(I192=""Positive"",REGEXMATCH(H192,""মূর্খ|"&amp;"ভণ্ড|প্রতার|অলস|লোভ|স্বার্থ|অক্ষম|অযোগ্য|বোকা|কৃপণ|হিংস"")),""valence-target অমিল"",""""),IF(COUNTIF($B:$B,B192)&gt;1,""ডুপ্লিকেট"",""""))"),"figurative ছোট")</f>
        <v>figurative ছোট</v>
      </c>
      <c r="Q192" s="5" t="str">
        <f t="shared" si="1"/>
        <v>১ আগে দেখো</v>
      </c>
    </row>
    <row r="193">
      <c r="A193" s="4">
        <v>4439.0</v>
      </c>
      <c r="B193" s="2" t="s">
        <v>979</v>
      </c>
      <c r="C193" s="2" t="s">
        <v>980</v>
      </c>
      <c r="D193" s="2" t="s">
        <v>981</v>
      </c>
      <c r="E193" s="2" t="s">
        <v>982</v>
      </c>
      <c r="F193" s="2" t="b">
        <v>1</v>
      </c>
      <c r="G193" s="2" t="b">
        <v>0</v>
      </c>
      <c r="H193" s="2" t="s">
        <v>37</v>
      </c>
      <c r="I193" s="2" t="s">
        <v>22</v>
      </c>
      <c r="J193" s="2" t="s">
        <v>983</v>
      </c>
      <c r="K193" s="2" t="s">
        <v>495</v>
      </c>
      <c r="L193" s="13" t="s">
        <v>496</v>
      </c>
      <c r="M193" s="2" t="s">
        <v>26</v>
      </c>
      <c r="N193" s="11" t="s">
        <v>984</v>
      </c>
      <c r="O193" s="12" t="s">
        <v>53</v>
      </c>
      <c r="P193" s="5" t="str">
        <f>IFERROR(__xludf.DUMMYFUNCTION("TEXTJOIN("" | "",TRUE,IF(OR(D193="""",E193="""",I193="""",J193="""",H193=""""),""ফাঁকা ঘর"",""""),IF(AND(C193&lt;&gt;"""",D193&lt;&gt;"""",C193=D193),""gloss=figurative"",""""),IF(LEN(D193)&lt;15,""figurative ছোট"",""""),IF(AND(I193=""Positive"",REGEXMATCH(H193,""মূর্খ|"&amp;"ভণ্ড|প্রতার|অলস|লোভ|স্বার্থ|অক্ষম|অযোগ্য|বোকা|কৃপণ|হিংস"")),""valence-target অমিল"",""""),IF(COUNTIF($B:$B,B193)&gt;1,""ডুপ্লিকেট"",""""))"),"figurative ছোট")</f>
        <v>figurative ছোট</v>
      </c>
      <c r="Q193" s="5" t="str">
        <f t="shared" si="1"/>
        <v>১ আগে দেখো</v>
      </c>
    </row>
    <row r="194">
      <c r="A194" s="4">
        <v>4486.0</v>
      </c>
      <c r="B194" s="2" t="s">
        <v>985</v>
      </c>
      <c r="C194" s="2" t="s">
        <v>986</v>
      </c>
      <c r="D194" s="2" t="s">
        <v>987</v>
      </c>
      <c r="E194" s="2" t="s">
        <v>988</v>
      </c>
      <c r="F194" s="2" t="b">
        <v>1</v>
      </c>
      <c r="G194" s="2" t="b">
        <v>0</v>
      </c>
      <c r="H194" s="2" t="s">
        <v>989</v>
      </c>
      <c r="I194" s="2" t="s">
        <v>22</v>
      </c>
      <c r="J194" s="2" t="s">
        <v>990</v>
      </c>
      <c r="K194" s="2" t="s">
        <v>495</v>
      </c>
      <c r="L194" s="13" t="s">
        <v>496</v>
      </c>
      <c r="M194" s="2" t="s">
        <v>26</v>
      </c>
      <c r="N194" s="11" t="s">
        <v>576</v>
      </c>
      <c r="O194" s="12" t="s">
        <v>53</v>
      </c>
      <c r="P194" s="5" t="str">
        <f>IFERROR(__xludf.DUMMYFUNCTION("TEXTJOIN("" | "",TRUE,IF(OR(D194="""",E194="""",I194="""",J194="""",H194=""""),""ফাঁকা ঘর"",""""),IF(AND(C194&lt;&gt;"""",D194&lt;&gt;"""",C194=D194),""gloss=figurative"",""""),IF(LEN(D194)&lt;15,""figurative ছোট"",""""),IF(AND(I194=""Positive"",REGEXMATCH(H194,""মূর্খ|"&amp;"ভণ্ড|প্রতার|অলস|লোভ|স্বার্থ|অক্ষম|অযোগ্য|বোকা|কৃপণ|হিংস"")),""valence-target অমিল"",""""),IF(COUNTIF($B:$B,B194)&gt;1,""ডুপ্লিকেট"",""""))"),"figurative ছোট")</f>
        <v>figurative ছোট</v>
      </c>
      <c r="Q194" s="5" t="str">
        <f t="shared" si="1"/>
        <v>১ আগে দেখো</v>
      </c>
    </row>
    <row r="195">
      <c r="A195" s="4">
        <v>4499.0</v>
      </c>
      <c r="B195" s="2" t="s">
        <v>991</v>
      </c>
      <c r="C195" s="2" t="s">
        <v>992</v>
      </c>
      <c r="D195" s="2" t="s">
        <v>993</v>
      </c>
      <c r="E195" s="2" t="s">
        <v>994</v>
      </c>
      <c r="F195" s="2" t="b">
        <v>1</v>
      </c>
      <c r="G195" s="2" t="b">
        <v>1</v>
      </c>
      <c r="H195" s="2" t="s">
        <v>995</v>
      </c>
      <c r="I195" s="2" t="s">
        <v>22</v>
      </c>
      <c r="J195" s="2" t="s">
        <v>996</v>
      </c>
      <c r="K195" s="2" t="s">
        <v>495</v>
      </c>
      <c r="L195" s="13" t="s">
        <v>496</v>
      </c>
      <c r="M195" s="2" t="s">
        <v>26</v>
      </c>
      <c r="N195" s="11" t="s">
        <v>997</v>
      </c>
      <c r="O195" s="12" t="s">
        <v>53</v>
      </c>
      <c r="P195" s="5" t="str">
        <f>IFERROR(__xludf.DUMMYFUNCTION("TEXTJOIN("" | "",TRUE,IF(OR(D195="""",E195="""",I195="""",J195="""",H195=""""),""ফাঁকা ঘর"",""""),IF(AND(C195&lt;&gt;"""",D195&lt;&gt;"""",C195=D195),""gloss=figurative"",""""),IF(LEN(D195)&lt;15,""figurative ছোট"",""""),IF(AND(I195=""Positive"",REGEXMATCH(H195,""মূর্খ|"&amp;"ভণ্ড|প্রতার|অলস|লোভ|স্বার্থ|অক্ষম|অযোগ্য|বোকা|কৃপণ|হিংস"")),""valence-target অমিল"",""""),IF(COUNTIF($B:$B,B195)&gt;1,""ডুপ্লিকেট"",""""))"),"figurative ছোট")</f>
        <v>figurative ছোট</v>
      </c>
      <c r="Q195" s="5" t="str">
        <f t="shared" si="1"/>
        <v>১ আগে দেখো</v>
      </c>
    </row>
    <row r="196">
      <c r="A196" s="4">
        <v>4521.0</v>
      </c>
      <c r="B196" s="2" t="s">
        <v>998</v>
      </c>
      <c r="C196" s="2" t="s">
        <v>999</v>
      </c>
      <c r="D196" s="2" t="s">
        <v>1000</v>
      </c>
      <c r="E196" s="2" t="s">
        <v>1001</v>
      </c>
      <c r="F196" s="2" t="b">
        <v>1</v>
      </c>
      <c r="G196" s="2" t="b">
        <v>0</v>
      </c>
      <c r="H196" s="2" t="s">
        <v>37</v>
      </c>
      <c r="I196" s="2" t="s">
        <v>22</v>
      </c>
      <c r="J196" s="2" t="s">
        <v>1002</v>
      </c>
      <c r="K196" s="2" t="s">
        <v>495</v>
      </c>
      <c r="L196" s="13" t="s">
        <v>496</v>
      </c>
      <c r="M196" s="2" t="s">
        <v>26</v>
      </c>
      <c r="N196" s="11" t="s">
        <v>1003</v>
      </c>
      <c r="O196" s="12" t="s">
        <v>53</v>
      </c>
      <c r="P196" s="5" t="str">
        <f>IFERROR(__xludf.DUMMYFUNCTION("TEXTJOIN("" | "",TRUE,IF(OR(D196="""",E196="""",I196="""",J196="""",H196=""""),""ফাঁকা ঘর"",""""),IF(AND(C196&lt;&gt;"""",D196&lt;&gt;"""",C196=D196),""gloss=figurative"",""""),IF(LEN(D196)&lt;15,""figurative ছোট"",""""),IF(AND(I196=""Positive"",REGEXMATCH(H196,""মূর্খ|"&amp;"ভণ্ড|প্রতার|অলস|লোভ|স্বার্থ|অক্ষম|অযোগ্য|বোকা|কৃপণ|হিংস"")),""valence-target অমিল"",""""),IF(COUNTIF($B:$B,B196)&gt;1,""ডুপ্লিকেট"",""""))"),"figurative ছোট")</f>
        <v>figurative ছোট</v>
      </c>
      <c r="Q196" s="5" t="str">
        <f t="shared" si="1"/>
        <v>১ আগে দেখো</v>
      </c>
    </row>
    <row r="197">
      <c r="A197" s="4">
        <v>4523.0</v>
      </c>
      <c r="B197" s="2" t="s">
        <v>1004</v>
      </c>
      <c r="C197" s="2" t="s">
        <v>1005</v>
      </c>
      <c r="D197" s="2" t="s">
        <v>1006</v>
      </c>
      <c r="E197" s="2" t="s">
        <v>1007</v>
      </c>
      <c r="F197" s="2" t="b">
        <v>1</v>
      </c>
      <c r="G197" s="2" t="b">
        <v>0</v>
      </c>
      <c r="H197" s="2" t="s">
        <v>37</v>
      </c>
      <c r="I197" s="2" t="s">
        <v>49</v>
      </c>
      <c r="J197" s="2" t="s">
        <v>1008</v>
      </c>
      <c r="K197" s="2" t="s">
        <v>495</v>
      </c>
      <c r="L197" s="13" t="s">
        <v>496</v>
      </c>
      <c r="M197" s="2" t="s">
        <v>26</v>
      </c>
      <c r="N197" s="11" t="s">
        <v>576</v>
      </c>
      <c r="O197" s="12" t="s">
        <v>53</v>
      </c>
      <c r="P197" s="5" t="str">
        <f>IFERROR(__xludf.DUMMYFUNCTION("TEXTJOIN("" | "",TRUE,IF(OR(D197="""",E197="""",I197="""",J197="""",H197=""""),""ফাঁকা ঘর"",""""),IF(AND(C197&lt;&gt;"""",D197&lt;&gt;"""",C197=D197),""gloss=figurative"",""""),IF(LEN(D197)&lt;15,""figurative ছোট"",""""),IF(AND(I197=""Positive"",REGEXMATCH(H197,""মূর্খ|"&amp;"ভণ্ড|প্রতার|অলস|লোভ|স্বার্থ|অক্ষম|অযোগ্য|বোকা|কৃপণ|হিংস"")),""valence-target অমিল"",""""),IF(COUNTIF($B:$B,B197)&gt;1,""ডুপ্লিকেট"",""""))"),"figurative ছোট")</f>
        <v>figurative ছোট</v>
      </c>
      <c r="Q197" s="5" t="str">
        <f t="shared" si="1"/>
        <v>১ আগে দেখো</v>
      </c>
    </row>
    <row r="198">
      <c r="A198" s="4">
        <v>4525.0</v>
      </c>
      <c r="B198" s="2" t="s">
        <v>1009</v>
      </c>
      <c r="C198" s="2" t="s">
        <v>1010</v>
      </c>
      <c r="D198" s="2" t="s">
        <v>1011</v>
      </c>
      <c r="E198" s="2" t="s">
        <v>1012</v>
      </c>
      <c r="F198" s="2" t="b">
        <v>1</v>
      </c>
      <c r="G198" s="2" t="b">
        <v>0</v>
      </c>
      <c r="H198" s="2" t="s">
        <v>37</v>
      </c>
      <c r="I198" s="2" t="s">
        <v>22</v>
      </c>
      <c r="J198" s="2" t="s">
        <v>1013</v>
      </c>
      <c r="K198" s="2" t="s">
        <v>495</v>
      </c>
      <c r="L198" s="13" t="s">
        <v>496</v>
      </c>
      <c r="M198" s="2" t="s">
        <v>26</v>
      </c>
      <c r="N198" s="11" t="s">
        <v>576</v>
      </c>
      <c r="O198" s="12" t="s">
        <v>53</v>
      </c>
      <c r="P198" s="5" t="str">
        <f>IFERROR(__xludf.DUMMYFUNCTION("TEXTJOIN("" | "",TRUE,IF(OR(D198="""",E198="""",I198="""",J198="""",H198=""""),""ফাঁকা ঘর"",""""),IF(AND(C198&lt;&gt;"""",D198&lt;&gt;"""",C198=D198),""gloss=figurative"",""""),IF(LEN(D198)&lt;15,""figurative ছোট"",""""),IF(AND(I198=""Positive"",REGEXMATCH(H198,""মূর্খ|"&amp;"ভণ্ড|প্রতার|অলস|লোভ|স্বার্থ|অক্ষম|অযোগ্য|বোকা|কৃপণ|হিংস"")),""valence-target অমিল"",""""),IF(COUNTIF($B:$B,B198)&gt;1,""ডুপ্লিকেট"",""""))"),"figurative ছোট")</f>
        <v>figurative ছোট</v>
      </c>
      <c r="Q198" s="5" t="str">
        <f t="shared" si="1"/>
        <v>১ আগে দেখো</v>
      </c>
    </row>
    <row r="199">
      <c r="A199" s="4">
        <v>4527.0</v>
      </c>
      <c r="B199" s="2" t="s">
        <v>1014</v>
      </c>
      <c r="C199" s="2" t="s">
        <v>1015</v>
      </c>
      <c r="D199" s="2" t="s">
        <v>1016</v>
      </c>
      <c r="E199" s="2" t="s">
        <v>1017</v>
      </c>
      <c r="F199" s="2" t="b">
        <v>1</v>
      </c>
      <c r="G199" s="2" t="b">
        <v>0</v>
      </c>
      <c r="H199" s="2" t="s">
        <v>37</v>
      </c>
      <c r="I199" s="2" t="s">
        <v>49</v>
      </c>
      <c r="J199" s="2" t="s">
        <v>1018</v>
      </c>
      <c r="K199" s="2" t="s">
        <v>495</v>
      </c>
      <c r="L199" s="13" t="s">
        <v>496</v>
      </c>
      <c r="M199" s="2" t="s">
        <v>26</v>
      </c>
      <c r="N199" s="11" t="s">
        <v>576</v>
      </c>
      <c r="O199" s="12" t="s">
        <v>53</v>
      </c>
      <c r="P199" s="5" t="str">
        <f>IFERROR(__xludf.DUMMYFUNCTION("TEXTJOIN("" | "",TRUE,IF(OR(D199="""",E199="""",I199="""",J199="""",H199=""""),""ফাঁকা ঘর"",""""),IF(AND(C199&lt;&gt;"""",D199&lt;&gt;"""",C199=D199),""gloss=figurative"",""""),IF(LEN(D199)&lt;15,""figurative ছোট"",""""),IF(AND(I199=""Positive"",REGEXMATCH(H199,""মূর্খ|"&amp;"ভণ্ড|প্রতার|অলস|লোভ|স্বার্থ|অক্ষম|অযোগ্য|বোকা|কৃপণ|হিংস"")),""valence-target অমিল"",""""),IF(COUNTIF($B:$B,B199)&gt;1,""ডুপ্লিকেট"",""""))"),"figurative ছোট")</f>
        <v>figurative ছোট</v>
      </c>
      <c r="Q199" s="5" t="str">
        <f t="shared" si="1"/>
        <v>১ আগে দেখো</v>
      </c>
    </row>
    <row r="200">
      <c r="A200" s="4">
        <v>4529.0</v>
      </c>
      <c r="B200" s="2" t="s">
        <v>1019</v>
      </c>
      <c r="C200" s="2" t="s">
        <v>1020</v>
      </c>
      <c r="D200" s="2" t="s">
        <v>1021</v>
      </c>
      <c r="E200" s="2" t="s">
        <v>1022</v>
      </c>
      <c r="F200" s="2" t="b">
        <v>1</v>
      </c>
      <c r="G200" s="2" t="b">
        <v>0</v>
      </c>
      <c r="H200" s="2" t="s">
        <v>37</v>
      </c>
      <c r="I200" s="2" t="s">
        <v>32</v>
      </c>
      <c r="J200" s="2" t="s">
        <v>528</v>
      </c>
      <c r="K200" s="2" t="s">
        <v>495</v>
      </c>
      <c r="L200" s="13" t="s">
        <v>496</v>
      </c>
      <c r="M200" s="2" t="s">
        <v>26</v>
      </c>
      <c r="N200" s="11" t="s">
        <v>576</v>
      </c>
      <c r="O200" s="12" t="s">
        <v>53</v>
      </c>
      <c r="P200" s="5" t="str">
        <f>IFERROR(__xludf.DUMMYFUNCTION("TEXTJOIN("" | "",TRUE,IF(OR(D200="""",E200="""",I200="""",J200="""",H200=""""),""ফাঁকা ঘর"",""""),IF(AND(C200&lt;&gt;"""",D200&lt;&gt;"""",C200=D200),""gloss=figurative"",""""),IF(LEN(D200)&lt;15,""figurative ছোট"",""""),IF(AND(I200=""Positive"",REGEXMATCH(H200,""মূর্খ|"&amp;"ভণ্ড|প্রতার|অলস|লোভ|স্বার্থ|অক্ষম|অযোগ্য|বোকা|কৃপণ|হিংস"")),""valence-target অমিল"",""""),IF(COUNTIF($B:$B,B200)&gt;1,""ডুপ্লিকেট"",""""))"),"figurative ছোট")</f>
        <v>figurative ছোট</v>
      </c>
      <c r="Q200" s="5" t="str">
        <f t="shared" si="1"/>
        <v>১ আগে দেখো</v>
      </c>
    </row>
    <row r="201">
      <c r="A201" s="4">
        <v>4537.0</v>
      </c>
      <c r="B201" s="2" t="s">
        <v>1023</v>
      </c>
      <c r="C201" s="2" t="s">
        <v>1024</v>
      </c>
      <c r="D201" s="2" t="s">
        <v>1025</v>
      </c>
      <c r="E201" s="2" t="s">
        <v>1026</v>
      </c>
      <c r="F201" s="2" t="b">
        <v>1</v>
      </c>
      <c r="G201" s="2" t="b">
        <v>0</v>
      </c>
      <c r="H201" s="2" t="s">
        <v>1025</v>
      </c>
      <c r="I201" s="2" t="s">
        <v>22</v>
      </c>
      <c r="J201" s="2" t="s">
        <v>1027</v>
      </c>
      <c r="K201" s="2" t="s">
        <v>495</v>
      </c>
      <c r="L201" s="13" t="s">
        <v>496</v>
      </c>
      <c r="M201" s="2" t="s">
        <v>26</v>
      </c>
      <c r="N201" s="11" t="s">
        <v>1028</v>
      </c>
      <c r="O201" s="12" t="s">
        <v>53</v>
      </c>
      <c r="P201" s="5" t="str">
        <f>IFERROR(__xludf.DUMMYFUNCTION("TEXTJOIN("" | "",TRUE,IF(OR(D201="""",E201="""",I201="""",J201="""",H201=""""),""ফাঁকা ঘর"",""""),IF(AND(C201&lt;&gt;"""",D201&lt;&gt;"""",C201=D201),""gloss=figurative"",""""),IF(LEN(D201)&lt;15,""figurative ছোট"",""""),IF(AND(I201=""Positive"",REGEXMATCH(H201,""মূর্খ|"&amp;"ভণ্ড|প্রতার|অলস|লোভ|স্বার্থ|অক্ষম|অযোগ্য|বোকা|কৃপণ|হিংস"")),""valence-target অমিল"",""""),IF(COUNTIF($B:$B,B201)&gt;1,""ডুপ্লিকেট"",""""))"),"figurative ছোট")</f>
        <v>figurative ছোট</v>
      </c>
      <c r="Q201" s="5" t="str">
        <f t="shared" si="1"/>
        <v>১ আগে দেখো</v>
      </c>
    </row>
    <row r="202">
      <c r="A202" s="4">
        <v>4540.0</v>
      </c>
      <c r="B202" s="2" t="s">
        <v>1029</v>
      </c>
      <c r="C202" s="2" t="s">
        <v>1030</v>
      </c>
      <c r="D202" s="2" t="s">
        <v>1031</v>
      </c>
      <c r="E202" s="2" t="s">
        <v>1032</v>
      </c>
      <c r="F202" s="2" t="b">
        <v>1</v>
      </c>
      <c r="G202" s="2" t="b">
        <v>0</v>
      </c>
      <c r="H202" s="2" t="s">
        <v>37</v>
      </c>
      <c r="I202" s="2" t="s">
        <v>49</v>
      </c>
      <c r="J202" s="2" t="s">
        <v>1033</v>
      </c>
      <c r="K202" s="2" t="s">
        <v>495</v>
      </c>
      <c r="L202" s="13" t="s">
        <v>496</v>
      </c>
      <c r="M202" s="2" t="s">
        <v>26</v>
      </c>
      <c r="N202" s="11" t="s">
        <v>576</v>
      </c>
      <c r="O202" s="12" t="s">
        <v>53</v>
      </c>
      <c r="P202" s="5" t="str">
        <f>IFERROR(__xludf.DUMMYFUNCTION("TEXTJOIN("" | "",TRUE,IF(OR(D202="""",E202="""",I202="""",J202="""",H202=""""),""ফাঁকা ঘর"",""""),IF(AND(C202&lt;&gt;"""",D202&lt;&gt;"""",C202=D202),""gloss=figurative"",""""),IF(LEN(D202)&lt;15,""figurative ছোট"",""""),IF(AND(I202=""Positive"",REGEXMATCH(H202,""মূর্খ|"&amp;"ভণ্ড|প্রতার|অলস|লোভ|স্বার্থ|অক্ষম|অযোগ্য|বোকা|কৃপণ|হিংস"")),""valence-target অমিল"",""""),IF(COUNTIF($B:$B,B202)&gt;1,""ডুপ্লিকেট"",""""))"),"figurative ছোট")</f>
        <v>figurative ছোট</v>
      </c>
      <c r="Q202" s="5" t="str">
        <f t="shared" si="1"/>
        <v>১ আগে দেখো</v>
      </c>
    </row>
    <row r="203">
      <c r="A203" s="4">
        <v>4545.0</v>
      </c>
      <c r="B203" s="2" t="s">
        <v>1034</v>
      </c>
      <c r="C203" s="2" t="s">
        <v>1035</v>
      </c>
      <c r="D203" s="2" t="s">
        <v>1036</v>
      </c>
      <c r="E203" s="2" t="s">
        <v>1037</v>
      </c>
      <c r="F203" s="2" t="b">
        <v>1</v>
      </c>
      <c r="G203" s="2" t="b">
        <v>0</v>
      </c>
      <c r="H203" s="2" t="s">
        <v>37</v>
      </c>
      <c r="I203" s="2" t="s">
        <v>22</v>
      </c>
      <c r="J203" s="2" t="s">
        <v>1038</v>
      </c>
      <c r="K203" s="2" t="s">
        <v>495</v>
      </c>
      <c r="L203" s="13" t="s">
        <v>496</v>
      </c>
      <c r="M203" s="2" t="s">
        <v>26</v>
      </c>
      <c r="N203" s="11" t="s">
        <v>576</v>
      </c>
      <c r="O203" s="12" t="s">
        <v>53</v>
      </c>
      <c r="P203" s="5" t="str">
        <f>IFERROR(__xludf.DUMMYFUNCTION("TEXTJOIN("" | "",TRUE,IF(OR(D203="""",E203="""",I203="""",J203="""",H203=""""),""ফাঁকা ঘর"",""""),IF(AND(C203&lt;&gt;"""",D203&lt;&gt;"""",C203=D203),""gloss=figurative"",""""),IF(LEN(D203)&lt;15,""figurative ছোট"",""""),IF(AND(I203=""Positive"",REGEXMATCH(H203,""মূর্খ|"&amp;"ভণ্ড|প্রতার|অলস|লোভ|স্বার্থ|অক্ষম|অযোগ্য|বোকা|কৃপণ|হিংস"")),""valence-target অমিল"",""""),IF(COUNTIF($B:$B,B203)&gt;1,""ডুপ্লিকেট"",""""))"),"figurative ছোট")</f>
        <v>figurative ছোট</v>
      </c>
      <c r="Q203" s="5" t="str">
        <f t="shared" si="1"/>
        <v>১ আগে দেখো</v>
      </c>
    </row>
    <row r="204">
      <c r="A204" s="4">
        <v>4561.0</v>
      </c>
      <c r="B204" s="2" t="s">
        <v>1039</v>
      </c>
      <c r="C204" s="2" t="s">
        <v>1040</v>
      </c>
      <c r="D204" s="2" t="s">
        <v>1041</v>
      </c>
      <c r="E204" s="2" t="s">
        <v>1042</v>
      </c>
      <c r="F204" s="2" t="b">
        <v>1</v>
      </c>
      <c r="G204" s="2" t="b">
        <v>0</v>
      </c>
      <c r="H204" s="2" t="s">
        <v>37</v>
      </c>
      <c r="I204" s="2" t="s">
        <v>49</v>
      </c>
      <c r="J204" s="2" t="s">
        <v>340</v>
      </c>
      <c r="K204" s="2" t="s">
        <v>495</v>
      </c>
      <c r="L204" s="13" t="s">
        <v>496</v>
      </c>
      <c r="M204" s="2" t="s">
        <v>26</v>
      </c>
      <c r="N204" s="11" t="s">
        <v>1043</v>
      </c>
      <c r="O204" s="12" t="s">
        <v>53</v>
      </c>
      <c r="P204" s="5" t="str">
        <f>IFERROR(__xludf.DUMMYFUNCTION("TEXTJOIN("" | "",TRUE,IF(OR(D204="""",E204="""",I204="""",J204="""",H204=""""),""ফাঁকা ঘর"",""""),IF(AND(C204&lt;&gt;"""",D204&lt;&gt;"""",C204=D204),""gloss=figurative"",""""),IF(LEN(D204)&lt;15,""figurative ছোট"",""""),IF(AND(I204=""Positive"",REGEXMATCH(H204,""মূর্খ|"&amp;"ভণ্ড|প্রতার|অলস|লোভ|স্বার্থ|অক্ষম|অযোগ্য|বোকা|কৃপণ|হিংস"")),""valence-target অমিল"",""""),IF(COUNTIF($B:$B,B204)&gt;1,""ডুপ্লিকেট"",""""))"),"figurative ছোট")</f>
        <v>figurative ছোট</v>
      </c>
      <c r="Q204" s="5" t="str">
        <f t="shared" si="1"/>
        <v>১ আগে দেখো</v>
      </c>
    </row>
    <row r="205">
      <c r="A205" s="4">
        <v>4562.0</v>
      </c>
      <c r="B205" s="2" t="s">
        <v>1044</v>
      </c>
      <c r="C205" s="2" t="s">
        <v>1045</v>
      </c>
      <c r="D205" s="2" t="s">
        <v>1046</v>
      </c>
      <c r="E205" s="2" t="s">
        <v>1047</v>
      </c>
      <c r="F205" s="2" t="b">
        <v>1</v>
      </c>
      <c r="G205" s="2" t="b">
        <v>0</v>
      </c>
      <c r="H205" s="2" t="s">
        <v>37</v>
      </c>
      <c r="I205" s="2" t="s">
        <v>49</v>
      </c>
      <c r="J205" s="2" t="s">
        <v>176</v>
      </c>
      <c r="K205" s="2" t="s">
        <v>495</v>
      </c>
      <c r="L205" s="13" t="s">
        <v>496</v>
      </c>
      <c r="M205" s="2" t="s">
        <v>26</v>
      </c>
      <c r="N205" s="11" t="s">
        <v>1048</v>
      </c>
      <c r="O205" s="12" t="s">
        <v>53</v>
      </c>
      <c r="P205" s="5" t="str">
        <f>IFERROR(__xludf.DUMMYFUNCTION("TEXTJOIN("" | "",TRUE,IF(OR(D205="""",E205="""",I205="""",J205="""",H205=""""),""ফাঁকা ঘর"",""""),IF(AND(C205&lt;&gt;"""",D205&lt;&gt;"""",C205=D205),""gloss=figurative"",""""),IF(LEN(D205)&lt;15,""figurative ছোট"",""""),IF(AND(I205=""Positive"",REGEXMATCH(H205,""মূর্খ|"&amp;"ভণ্ড|প্রতার|অলস|লোভ|স্বার্থ|অক্ষম|অযোগ্য|বোকা|কৃপণ|হিংস"")),""valence-target অমিল"",""""),IF(COUNTIF($B:$B,B205)&gt;1,""ডুপ্লিকেট"",""""))"),"figurative ছোট")</f>
        <v>figurative ছোট</v>
      </c>
      <c r="Q205" s="5" t="str">
        <f t="shared" si="1"/>
        <v>১ আগে দেখো</v>
      </c>
    </row>
    <row r="206">
      <c r="A206" s="4">
        <v>4580.0</v>
      </c>
      <c r="B206" s="2" t="s">
        <v>1049</v>
      </c>
      <c r="C206" s="2" t="s">
        <v>1050</v>
      </c>
      <c r="D206" s="2" t="s">
        <v>1051</v>
      </c>
      <c r="E206" s="2" t="s">
        <v>1052</v>
      </c>
      <c r="F206" s="2" t="b">
        <v>1</v>
      </c>
      <c r="G206" s="2" t="b">
        <v>0</v>
      </c>
      <c r="H206" s="2" t="s">
        <v>37</v>
      </c>
      <c r="I206" s="2" t="s">
        <v>49</v>
      </c>
      <c r="J206" s="2" t="s">
        <v>739</v>
      </c>
      <c r="K206" s="2" t="s">
        <v>495</v>
      </c>
      <c r="L206" s="13" t="s">
        <v>496</v>
      </c>
      <c r="M206" s="2" t="s">
        <v>26</v>
      </c>
      <c r="N206" s="11" t="s">
        <v>576</v>
      </c>
      <c r="O206" s="12" t="s">
        <v>53</v>
      </c>
      <c r="P206" s="5" t="str">
        <f>IFERROR(__xludf.DUMMYFUNCTION("TEXTJOIN("" | "",TRUE,IF(OR(D206="""",E206="""",I206="""",J206="""",H206=""""),""ফাঁকা ঘর"",""""),IF(AND(C206&lt;&gt;"""",D206&lt;&gt;"""",C206=D206),""gloss=figurative"",""""),IF(LEN(D206)&lt;15,""figurative ছোট"",""""),IF(AND(I206=""Positive"",REGEXMATCH(H206,""মূর্খ|"&amp;"ভণ্ড|প্রতার|অলস|লোভ|স্বার্থ|অক্ষম|অযোগ্য|বোকা|কৃপণ|হিংস"")),""valence-target অমিল"",""""),IF(COUNTIF($B:$B,B206)&gt;1,""ডুপ্লিকেট"",""""))"),"figurative ছোট")</f>
        <v>figurative ছোট</v>
      </c>
      <c r="Q206" s="5" t="str">
        <f t="shared" si="1"/>
        <v>১ আগে দেখো</v>
      </c>
    </row>
    <row r="207">
      <c r="A207" s="4">
        <v>4596.0</v>
      </c>
      <c r="B207" s="2" t="s">
        <v>1053</v>
      </c>
      <c r="C207" s="2" t="s">
        <v>1053</v>
      </c>
      <c r="D207" s="2" t="s">
        <v>1054</v>
      </c>
      <c r="E207" s="2" t="s">
        <v>1055</v>
      </c>
      <c r="F207" s="2" t="b">
        <v>1</v>
      </c>
      <c r="G207" s="2" t="b">
        <v>0</v>
      </c>
      <c r="H207" s="2" t="s">
        <v>37</v>
      </c>
      <c r="I207" s="2" t="s">
        <v>22</v>
      </c>
      <c r="J207" s="2" t="s">
        <v>729</v>
      </c>
      <c r="K207" s="2" t="s">
        <v>495</v>
      </c>
      <c r="L207" s="13" t="s">
        <v>496</v>
      </c>
      <c r="M207" s="2" t="s">
        <v>26</v>
      </c>
      <c r="N207" s="11" t="s">
        <v>576</v>
      </c>
      <c r="O207" s="12" t="s">
        <v>53</v>
      </c>
      <c r="P207" s="5" t="str">
        <f>IFERROR(__xludf.DUMMYFUNCTION("TEXTJOIN("" | "",TRUE,IF(OR(D207="""",E207="""",I207="""",J207="""",H207=""""),""ফাঁকা ঘর"",""""),IF(AND(C207&lt;&gt;"""",D207&lt;&gt;"""",C207=D207),""gloss=figurative"",""""),IF(LEN(D207)&lt;15,""figurative ছোট"",""""),IF(AND(I207=""Positive"",REGEXMATCH(H207,""মূর্খ|"&amp;"ভণ্ড|প্রতার|অলস|লোভ|স্বার্থ|অক্ষম|অযোগ্য|বোকা|কৃপণ|হিংস"")),""valence-target অমিল"",""""),IF(COUNTIF($B:$B,B207)&gt;1,""ডুপ্লিকেট"",""""))"),"figurative ছোট")</f>
        <v>figurative ছোট</v>
      </c>
      <c r="Q207" s="5" t="str">
        <f t="shared" si="1"/>
        <v>১ আগে দেখো</v>
      </c>
    </row>
    <row r="208">
      <c r="A208" s="4">
        <v>4598.0</v>
      </c>
      <c r="B208" s="2" t="s">
        <v>1056</v>
      </c>
      <c r="C208" s="2" t="s">
        <v>1057</v>
      </c>
      <c r="D208" s="2" t="s">
        <v>1058</v>
      </c>
      <c r="E208" s="2" t="s">
        <v>1059</v>
      </c>
      <c r="F208" s="2" t="b">
        <v>1</v>
      </c>
      <c r="G208" s="2" t="b">
        <v>0</v>
      </c>
      <c r="H208" s="2" t="s">
        <v>37</v>
      </c>
      <c r="I208" s="2" t="s">
        <v>49</v>
      </c>
      <c r="J208" s="2" t="s">
        <v>1060</v>
      </c>
      <c r="K208" s="2" t="s">
        <v>495</v>
      </c>
      <c r="L208" s="13" t="s">
        <v>496</v>
      </c>
      <c r="M208" s="2" t="s">
        <v>26</v>
      </c>
      <c r="N208" s="11" t="s">
        <v>576</v>
      </c>
      <c r="O208" s="12" t="s">
        <v>53</v>
      </c>
      <c r="P208" s="5" t="str">
        <f>IFERROR(__xludf.DUMMYFUNCTION("TEXTJOIN("" | "",TRUE,IF(OR(D208="""",E208="""",I208="""",J208="""",H208=""""),""ফাঁকা ঘর"",""""),IF(AND(C208&lt;&gt;"""",D208&lt;&gt;"""",C208=D208),""gloss=figurative"",""""),IF(LEN(D208)&lt;15,""figurative ছোট"",""""),IF(AND(I208=""Positive"",REGEXMATCH(H208,""মূর্খ|"&amp;"ভণ্ড|প্রতার|অলস|লোভ|স্বার্থ|অক্ষম|অযোগ্য|বোকা|কৃপণ|হিংস"")),""valence-target অমিল"",""""),IF(COUNTIF($B:$B,B208)&gt;1,""ডুপ্লিকেট"",""""))"),"figurative ছোট")</f>
        <v>figurative ছোট</v>
      </c>
      <c r="Q208" s="5" t="str">
        <f t="shared" si="1"/>
        <v>১ আগে দেখো</v>
      </c>
    </row>
    <row r="209">
      <c r="A209" s="4">
        <v>4605.0</v>
      </c>
      <c r="B209" s="2" t="s">
        <v>1061</v>
      </c>
      <c r="C209" s="2" t="s">
        <v>1062</v>
      </c>
      <c r="D209" s="2" t="s">
        <v>1063</v>
      </c>
      <c r="E209" s="2" t="s">
        <v>1064</v>
      </c>
      <c r="F209" s="2" t="b">
        <v>1</v>
      </c>
      <c r="G209" s="2" t="b">
        <v>0</v>
      </c>
      <c r="H209" s="2" t="s">
        <v>1065</v>
      </c>
      <c r="I209" s="2" t="s">
        <v>22</v>
      </c>
      <c r="J209" s="2" t="s">
        <v>723</v>
      </c>
      <c r="K209" s="2" t="s">
        <v>495</v>
      </c>
      <c r="L209" s="13" t="s">
        <v>496</v>
      </c>
      <c r="M209" s="2" t="s">
        <v>26</v>
      </c>
      <c r="N209" s="11" t="s">
        <v>576</v>
      </c>
      <c r="O209" s="12" t="s">
        <v>53</v>
      </c>
      <c r="P209" s="5" t="str">
        <f>IFERROR(__xludf.DUMMYFUNCTION("TEXTJOIN("" | "",TRUE,IF(OR(D209="""",E209="""",I209="""",J209="""",H209=""""),""ফাঁকা ঘর"",""""),IF(AND(C209&lt;&gt;"""",D209&lt;&gt;"""",C209=D209),""gloss=figurative"",""""),IF(LEN(D209)&lt;15,""figurative ছোট"",""""),IF(AND(I209=""Positive"",REGEXMATCH(H209,""মূর্খ|"&amp;"ভণ্ড|প্রতার|অলস|লোভ|স্বার্থ|অক্ষম|অযোগ্য|বোকা|কৃপণ|হিংস"")),""valence-target অমিল"",""""),IF(COUNTIF($B:$B,B209)&gt;1,""ডুপ্লিকেট"",""""))"),"figurative ছোট")</f>
        <v>figurative ছোট</v>
      </c>
      <c r="Q209" s="5" t="str">
        <f t="shared" si="1"/>
        <v>১ আগে দেখো</v>
      </c>
    </row>
    <row r="210">
      <c r="A210" s="4">
        <v>4622.0</v>
      </c>
      <c r="B210" s="2" t="s">
        <v>1066</v>
      </c>
      <c r="C210" s="2" t="s">
        <v>1067</v>
      </c>
      <c r="D210" s="2" t="s">
        <v>1068</v>
      </c>
      <c r="E210" s="2" t="s">
        <v>1069</v>
      </c>
      <c r="F210" s="2" t="b">
        <v>1</v>
      </c>
      <c r="G210" s="2" t="b">
        <v>0</v>
      </c>
      <c r="H210" s="2" t="s">
        <v>37</v>
      </c>
      <c r="I210" s="2" t="s">
        <v>32</v>
      </c>
      <c r="J210" s="2" t="s">
        <v>996</v>
      </c>
      <c r="K210" s="2" t="s">
        <v>495</v>
      </c>
      <c r="L210" s="13" t="s">
        <v>496</v>
      </c>
      <c r="M210" s="2" t="s">
        <v>26</v>
      </c>
      <c r="N210" s="11" t="s">
        <v>576</v>
      </c>
      <c r="O210" s="12" t="s">
        <v>53</v>
      </c>
      <c r="P210" s="5" t="str">
        <f>IFERROR(__xludf.DUMMYFUNCTION("TEXTJOIN("" | "",TRUE,IF(OR(D210="""",E210="""",I210="""",J210="""",H210=""""),""ফাঁকা ঘর"",""""),IF(AND(C210&lt;&gt;"""",D210&lt;&gt;"""",C210=D210),""gloss=figurative"",""""),IF(LEN(D210)&lt;15,""figurative ছোট"",""""),IF(AND(I210=""Positive"",REGEXMATCH(H210,""মূর্খ|"&amp;"ভণ্ড|প্রতার|অলস|লোভ|স্বার্থ|অক্ষম|অযোগ্য|বোকা|কৃপণ|হিংস"")),""valence-target অমিল"",""""),IF(COUNTIF($B:$B,B210)&gt;1,""ডুপ্লিকেট"",""""))"),"figurative ছোট")</f>
        <v>figurative ছোট</v>
      </c>
      <c r="Q210" s="5" t="str">
        <f t="shared" si="1"/>
        <v>১ আগে দেখো</v>
      </c>
    </row>
    <row r="211">
      <c r="A211" s="4">
        <v>4623.0</v>
      </c>
      <c r="B211" s="2" t="s">
        <v>1070</v>
      </c>
      <c r="C211" s="2" t="s">
        <v>1071</v>
      </c>
      <c r="D211" s="2" t="s">
        <v>1072</v>
      </c>
      <c r="E211" s="2" t="s">
        <v>1073</v>
      </c>
      <c r="F211" s="2" t="b">
        <v>1</v>
      </c>
      <c r="G211" s="2" t="b">
        <v>0</v>
      </c>
      <c r="H211" s="2" t="s">
        <v>37</v>
      </c>
      <c r="I211" s="2" t="s">
        <v>22</v>
      </c>
      <c r="J211" s="2" t="s">
        <v>1074</v>
      </c>
      <c r="K211" s="2" t="s">
        <v>495</v>
      </c>
      <c r="L211" s="13" t="s">
        <v>496</v>
      </c>
      <c r="M211" s="2" t="s">
        <v>26</v>
      </c>
      <c r="N211" s="11" t="s">
        <v>576</v>
      </c>
      <c r="O211" s="12" t="s">
        <v>53</v>
      </c>
      <c r="P211" s="5" t="str">
        <f>IFERROR(__xludf.DUMMYFUNCTION("TEXTJOIN("" | "",TRUE,IF(OR(D211="""",E211="""",I211="""",J211="""",H211=""""),""ফাঁকা ঘর"",""""),IF(AND(C211&lt;&gt;"""",D211&lt;&gt;"""",C211=D211),""gloss=figurative"",""""),IF(LEN(D211)&lt;15,""figurative ছোট"",""""),IF(AND(I211=""Positive"",REGEXMATCH(H211,""মূর্খ|"&amp;"ভণ্ড|প্রতার|অলস|লোভ|স্বার্থ|অক্ষম|অযোগ্য|বোকা|কৃপণ|হিংস"")),""valence-target অমিল"",""""),IF(COUNTIF($B:$B,B211)&gt;1,""ডুপ্লিকেট"",""""))"),"figurative ছোট")</f>
        <v>figurative ছোট</v>
      </c>
      <c r="Q211" s="5" t="str">
        <f t="shared" si="1"/>
        <v>১ আগে দেখো</v>
      </c>
    </row>
    <row r="212">
      <c r="A212" s="4">
        <v>4652.0</v>
      </c>
      <c r="B212" s="2" t="s">
        <v>1075</v>
      </c>
      <c r="C212" s="2" t="s">
        <v>1076</v>
      </c>
      <c r="D212" s="2" t="s">
        <v>1077</v>
      </c>
      <c r="E212" s="2" t="s">
        <v>1078</v>
      </c>
      <c r="F212" s="2" t="b">
        <v>1</v>
      </c>
      <c r="G212" s="2" t="b">
        <v>0</v>
      </c>
      <c r="H212" s="2" t="s">
        <v>37</v>
      </c>
      <c r="I212" s="2" t="s">
        <v>32</v>
      </c>
      <c r="J212" s="2" t="s">
        <v>1060</v>
      </c>
      <c r="K212" s="2" t="s">
        <v>495</v>
      </c>
      <c r="L212" s="13" t="s">
        <v>496</v>
      </c>
      <c r="M212" s="2" t="s">
        <v>26</v>
      </c>
      <c r="N212" s="11" t="s">
        <v>1079</v>
      </c>
      <c r="O212" s="12" t="s">
        <v>53</v>
      </c>
      <c r="P212" s="5" t="str">
        <f>IFERROR(__xludf.DUMMYFUNCTION("TEXTJOIN("" | "",TRUE,IF(OR(D212="""",E212="""",I212="""",J212="""",H212=""""),""ফাঁকা ঘর"",""""),IF(AND(C212&lt;&gt;"""",D212&lt;&gt;"""",C212=D212),""gloss=figurative"",""""),IF(LEN(D212)&lt;15,""figurative ছোট"",""""),IF(AND(I212=""Positive"",REGEXMATCH(H212,""মূর্খ|"&amp;"ভণ্ড|প্রতার|অলস|লোভ|স্বার্থ|অক্ষম|অযোগ্য|বোকা|কৃপণ|হিংস"")),""valence-target অমিল"",""""),IF(COUNTIF($B:$B,B212)&gt;1,""ডুপ্লিকেট"",""""))"),"figurative ছোট")</f>
        <v>figurative ছোট</v>
      </c>
      <c r="Q212" s="5" t="str">
        <f t="shared" si="1"/>
        <v>১ আগে দেখো</v>
      </c>
    </row>
    <row r="213">
      <c r="A213" s="4">
        <v>4653.0</v>
      </c>
      <c r="B213" s="2" t="s">
        <v>1080</v>
      </c>
      <c r="C213" s="2" t="s">
        <v>1081</v>
      </c>
      <c r="D213" s="2" t="s">
        <v>1082</v>
      </c>
      <c r="E213" s="2" t="s">
        <v>1083</v>
      </c>
      <c r="F213" s="2" t="b">
        <v>1</v>
      </c>
      <c r="G213" s="2" t="b">
        <v>0</v>
      </c>
      <c r="H213" s="2" t="s">
        <v>37</v>
      </c>
      <c r="I213" s="2" t="s">
        <v>32</v>
      </c>
      <c r="J213" s="2" t="s">
        <v>1060</v>
      </c>
      <c r="K213" s="2" t="s">
        <v>495</v>
      </c>
      <c r="L213" s="13" t="s">
        <v>496</v>
      </c>
      <c r="M213" s="2" t="s">
        <v>26</v>
      </c>
      <c r="N213" s="11" t="s">
        <v>1084</v>
      </c>
      <c r="O213" s="12" t="s">
        <v>53</v>
      </c>
      <c r="P213" s="5" t="str">
        <f>IFERROR(__xludf.DUMMYFUNCTION("TEXTJOIN("" | "",TRUE,IF(OR(D213="""",E213="""",I213="""",J213="""",H213=""""),""ফাঁকা ঘর"",""""),IF(AND(C213&lt;&gt;"""",D213&lt;&gt;"""",C213=D213),""gloss=figurative"",""""),IF(LEN(D213)&lt;15,""figurative ছোট"",""""),IF(AND(I213=""Positive"",REGEXMATCH(H213,""মূর্খ|"&amp;"ভণ্ড|প্রতার|অলস|লোভ|স্বার্থ|অক্ষম|অযোগ্য|বোকা|কৃপণ|হিংস"")),""valence-target অমিল"",""""),IF(COUNTIF($B:$B,B213)&gt;1,""ডুপ্লিকেট"",""""))"),"figurative ছোট")</f>
        <v>figurative ছোট</v>
      </c>
      <c r="Q213" s="5" t="str">
        <f t="shared" si="1"/>
        <v>১ আগে দেখো</v>
      </c>
    </row>
    <row r="214">
      <c r="A214" s="4">
        <v>4662.0</v>
      </c>
      <c r="B214" s="2" t="s">
        <v>1085</v>
      </c>
      <c r="C214" s="2" t="s">
        <v>1086</v>
      </c>
      <c r="D214" s="2" t="s">
        <v>1087</v>
      </c>
      <c r="E214" s="2" t="s">
        <v>1088</v>
      </c>
      <c r="F214" s="2" t="b">
        <v>1</v>
      </c>
      <c r="G214" s="2" t="b">
        <v>0</v>
      </c>
      <c r="H214" s="2" t="s">
        <v>37</v>
      </c>
      <c r="I214" s="2" t="s">
        <v>22</v>
      </c>
      <c r="J214" s="2" t="s">
        <v>1060</v>
      </c>
      <c r="K214" s="2" t="s">
        <v>495</v>
      </c>
      <c r="L214" s="13" t="s">
        <v>496</v>
      </c>
      <c r="M214" s="2" t="s">
        <v>26</v>
      </c>
      <c r="N214" s="11" t="s">
        <v>576</v>
      </c>
      <c r="O214" s="12" t="s">
        <v>53</v>
      </c>
      <c r="P214" s="5" t="str">
        <f>IFERROR(__xludf.DUMMYFUNCTION("TEXTJOIN("" | "",TRUE,IF(OR(D214="""",E214="""",I214="""",J214="""",H214=""""),""ফাঁকা ঘর"",""""),IF(AND(C214&lt;&gt;"""",D214&lt;&gt;"""",C214=D214),""gloss=figurative"",""""),IF(LEN(D214)&lt;15,""figurative ছোট"",""""),IF(AND(I214=""Positive"",REGEXMATCH(H214,""মূর্খ|"&amp;"ভণ্ড|প্রতার|অলস|লোভ|স্বার্থ|অক্ষম|অযোগ্য|বোকা|কৃপণ|হিংস"")),""valence-target অমিল"",""""),IF(COUNTIF($B:$B,B214)&gt;1,""ডুপ্লিকেট"",""""))"),"figurative ছোট")</f>
        <v>figurative ছোট</v>
      </c>
      <c r="Q214" s="5" t="str">
        <f t="shared" si="1"/>
        <v>১ আগে দেখো</v>
      </c>
    </row>
    <row r="215">
      <c r="A215" s="4">
        <v>4666.0</v>
      </c>
      <c r="B215" s="2" t="s">
        <v>1089</v>
      </c>
      <c r="C215" s="2" t="s">
        <v>1090</v>
      </c>
      <c r="D215" s="2" t="s">
        <v>1091</v>
      </c>
      <c r="E215" s="2" t="s">
        <v>1092</v>
      </c>
      <c r="F215" s="2" t="b">
        <v>1</v>
      </c>
      <c r="G215" s="2" t="b">
        <v>0</v>
      </c>
      <c r="H215" s="2" t="s">
        <v>37</v>
      </c>
      <c r="I215" s="2" t="s">
        <v>49</v>
      </c>
      <c r="J215" s="2" t="s">
        <v>1060</v>
      </c>
      <c r="K215" s="2" t="s">
        <v>495</v>
      </c>
      <c r="L215" s="13" t="s">
        <v>496</v>
      </c>
      <c r="M215" s="2" t="s">
        <v>26</v>
      </c>
      <c r="N215" s="11" t="s">
        <v>576</v>
      </c>
      <c r="O215" s="12" t="s">
        <v>53</v>
      </c>
      <c r="P215" s="5" t="str">
        <f>IFERROR(__xludf.DUMMYFUNCTION("TEXTJOIN("" | "",TRUE,IF(OR(D215="""",E215="""",I215="""",J215="""",H215=""""),""ফাঁকা ঘর"",""""),IF(AND(C215&lt;&gt;"""",D215&lt;&gt;"""",C215=D215),""gloss=figurative"",""""),IF(LEN(D215)&lt;15,""figurative ছোট"",""""),IF(AND(I215=""Positive"",REGEXMATCH(H215,""মূর্খ|"&amp;"ভণ্ড|প্রতার|অলস|লোভ|স্বার্থ|অক্ষম|অযোগ্য|বোকা|কৃপণ|হিংস"")),""valence-target অমিল"",""""),IF(COUNTIF($B:$B,B215)&gt;1,""ডুপ্লিকেট"",""""))"),"figurative ছোট")</f>
        <v>figurative ছোট</v>
      </c>
      <c r="Q215" s="5" t="str">
        <f t="shared" si="1"/>
        <v>১ আগে দেখো</v>
      </c>
    </row>
    <row r="216">
      <c r="A216" s="4">
        <v>4670.0</v>
      </c>
      <c r="B216" s="2" t="s">
        <v>1093</v>
      </c>
      <c r="C216" s="2" t="s">
        <v>1093</v>
      </c>
      <c r="D216" s="2" t="s">
        <v>1094</v>
      </c>
      <c r="E216" s="2" t="s">
        <v>1095</v>
      </c>
      <c r="F216" s="2" t="b">
        <v>1</v>
      </c>
      <c r="G216" s="2" t="b">
        <v>0</v>
      </c>
      <c r="H216" s="2" t="s">
        <v>37</v>
      </c>
      <c r="I216" s="2" t="s">
        <v>22</v>
      </c>
      <c r="J216" s="2" t="s">
        <v>947</v>
      </c>
      <c r="K216" s="2" t="s">
        <v>495</v>
      </c>
      <c r="L216" s="13" t="s">
        <v>496</v>
      </c>
      <c r="M216" s="2" t="s">
        <v>26</v>
      </c>
      <c r="N216" s="11" t="s">
        <v>576</v>
      </c>
      <c r="O216" s="12" t="s">
        <v>53</v>
      </c>
      <c r="P216" s="5" t="str">
        <f>IFERROR(__xludf.DUMMYFUNCTION("TEXTJOIN("" | "",TRUE,IF(OR(D216="""",E216="""",I216="""",J216="""",H216=""""),""ফাঁকা ঘর"",""""),IF(AND(C216&lt;&gt;"""",D216&lt;&gt;"""",C216=D216),""gloss=figurative"",""""),IF(LEN(D216)&lt;15,""figurative ছোট"",""""),IF(AND(I216=""Positive"",REGEXMATCH(H216,""মূর্খ|"&amp;"ভণ্ড|প্রতার|অলস|লোভ|স্বার্থ|অক্ষম|অযোগ্য|বোকা|কৃপণ|হিংস"")),""valence-target অমিল"",""""),IF(COUNTIF($B:$B,B216)&gt;1,""ডুপ্লিকেট"",""""))"),"figurative ছোট")</f>
        <v>figurative ছোট</v>
      </c>
      <c r="Q216" s="5" t="str">
        <f t="shared" si="1"/>
        <v>১ আগে দেখো</v>
      </c>
    </row>
    <row r="217">
      <c r="A217" s="4">
        <v>4671.0</v>
      </c>
      <c r="B217" s="2" t="s">
        <v>1096</v>
      </c>
      <c r="C217" s="2" t="s">
        <v>1097</v>
      </c>
      <c r="D217" s="2" t="s">
        <v>1098</v>
      </c>
      <c r="E217" s="2" t="s">
        <v>1099</v>
      </c>
      <c r="F217" s="2" t="b">
        <v>1</v>
      </c>
      <c r="G217" s="2" t="b">
        <v>0</v>
      </c>
      <c r="H217" s="2" t="s">
        <v>37</v>
      </c>
      <c r="I217" s="2" t="s">
        <v>22</v>
      </c>
      <c r="J217" s="2" t="s">
        <v>590</v>
      </c>
      <c r="K217" s="2" t="s">
        <v>495</v>
      </c>
      <c r="L217" s="13" t="s">
        <v>496</v>
      </c>
      <c r="M217" s="2" t="s">
        <v>26</v>
      </c>
      <c r="N217" s="11" t="s">
        <v>576</v>
      </c>
      <c r="O217" s="12" t="s">
        <v>53</v>
      </c>
      <c r="P217" s="5" t="str">
        <f>IFERROR(__xludf.DUMMYFUNCTION("TEXTJOIN("" | "",TRUE,IF(OR(D217="""",E217="""",I217="""",J217="""",H217=""""),""ফাঁকা ঘর"",""""),IF(AND(C217&lt;&gt;"""",D217&lt;&gt;"""",C217=D217),""gloss=figurative"",""""),IF(LEN(D217)&lt;15,""figurative ছোট"",""""),IF(AND(I217=""Positive"",REGEXMATCH(H217,""মূর্খ|"&amp;"ভণ্ড|প্রতার|অলস|লোভ|স্বার্থ|অক্ষম|অযোগ্য|বোকা|কৃপণ|হিংস"")),""valence-target অমিল"",""""),IF(COUNTIF($B:$B,B217)&gt;1,""ডুপ্লিকেট"",""""))"),"figurative ছোট")</f>
        <v>figurative ছোট</v>
      </c>
      <c r="Q217" s="5" t="str">
        <f t="shared" si="1"/>
        <v>১ আগে দেখো</v>
      </c>
    </row>
    <row r="218">
      <c r="A218" s="4">
        <v>4673.0</v>
      </c>
      <c r="B218" s="2" t="s">
        <v>1100</v>
      </c>
      <c r="C218" s="2" t="s">
        <v>1100</v>
      </c>
      <c r="D218" s="2" t="s">
        <v>1101</v>
      </c>
      <c r="E218" s="2" t="s">
        <v>1102</v>
      </c>
      <c r="F218" s="2" t="b">
        <v>1</v>
      </c>
      <c r="G218" s="2" t="b">
        <v>0</v>
      </c>
      <c r="H218" s="2" t="s">
        <v>854</v>
      </c>
      <c r="I218" s="2" t="s">
        <v>22</v>
      </c>
      <c r="J218" s="2" t="s">
        <v>855</v>
      </c>
      <c r="K218" s="2" t="s">
        <v>495</v>
      </c>
      <c r="L218" s="13" t="s">
        <v>496</v>
      </c>
      <c r="M218" s="2" t="s">
        <v>26</v>
      </c>
      <c r="N218" s="11" t="s">
        <v>576</v>
      </c>
      <c r="O218" s="12" t="s">
        <v>53</v>
      </c>
      <c r="P218" s="5" t="str">
        <f>IFERROR(__xludf.DUMMYFUNCTION("TEXTJOIN("" | "",TRUE,IF(OR(D218="""",E218="""",I218="""",J218="""",H218=""""),""ফাঁকা ঘর"",""""),IF(AND(C218&lt;&gt;"""",D218&lt;&gt;"""",C218=D218),""gloss=figurative"",""""),IF(LEN(D218)&lt;15,""figurative ছোট"",""""),IF(AND(I218=""Positive"",REGEXMATCH(H218,""মূর্খ|"&amp;"ভণ্ড|প্রতার|অলস|লোভ|স্বার্থ|অক্ষম|অযোগ্য|বোকা|কৃপণ|হিংস"")),""valence-target অমিল"",""""),IF(COUNTIF($B:$B,B218)&gt;1,""ডুপ্লিকেট"",""""))"),"figurative ছোট")</f>
        <v>figurative ছোট</v>
      </c>
      <c r="Q218" s="5" t="str">
        <f t="shared" si="1"/>
        <v>১ আগে দেখো</v>
      </c>
    </row>
    <row r="219">
      <c r="A219" s="4">
        <v>4683.0</v>
      </c>
      <c r="B219" s="2" t="s">
        <v>1103</v>
      </c>
      <c r="C219" s="2" t="s">
        <v>1103</v>
      </c>
      <c r="D219" s="2" t="s">
        <v>1104</v>
      </c>
      <c r="E219" s="2" t="s">
        <v>1105</v>
      </c>
      <c r="F219" s="2" t="b">
        <v>1</v>
      </c>
      <c r="G219" s="2" t="b">
        <v>1</v>
      </c>
      <c r="H219" s="2" t="s">
        <v>1106</v>
      </c>
      <c r="I219" s="2" t="s">
        <v>22</v>
      </c>
      <c r="J219" s="2" t="s">
        <v>729</v>
      </c>
      <c r="K219" s="2" t="s">
        <v>495</v>
      </c>
      <c r="L219" s="13" t="s">
        <v>496</v>
      </c>
      <c r="M219" s="2" t="s">
        <v>26</v>
      </c>
      <c r="N219" s="11" t="s">
        <v>576</v>
      </c>
      <c r="O219" s="12" t="s">
        <v>53</v>
      </c>
      <c r="P219" s="5" t="str">
        <f>IFERROR(__xludf.DUMMYFUNCTION("TEXTJOIN("" | "",TRUE,IF(OR(D219="""",E219="""",I219="""",J219="""",H219=""""),""ফাঁকা ঘর"",""""),IF(AND(C219&lt;&gt;"""",D219&lt;&gt;"""",C219=D219),""gloss=figurative"",""""),IF(LEN(D219)&lt;15,""figurative ছোট"",""""),IF(AND(I219=""Positive"",REGEXMATCH(H219,""মূর্খ|"&amp;"ভণ্ড|প্রতার|অলস|লোভ|স্বার্থ|অক্ষম|অযোগ্য|বোকা|কৃপণ|হিংস"")),""valence-target অমিল"",""""),IF(COUNTIF($B:$B,B219)&gt;1,""ডুপ্লিকেট"",""""))"),"figurative ছোট")</f>
        <v>figurative ছোট</v>
      </c>
      <c r="Q219" s="5" t="str">
        <f t="shared" si="1"/>
        <v>১ আগে দেখো</v>
      </c>
    </row>
    <row r="220">
      <c r="A220" s="4">
        <v>4686.0</v>
      </c>
      <c r="B220" s="2" t="s">
        <v>1107</v>
      </c>
      <c r="C220" s="2" t="s">
        <v>1108</v>
      </c>
      <c r="D220" s="2" t="s">
        <v>1109</v>
      </c>
      <c r="E220" s="2" t="s">
        <v>1110</v>
      </c>
      <c r="F220" s="2" t="b">
        <v>1</v>
      </c>
      <c r="G220" s="2" t="b">
        <v>0</v>
      </c>
      <c r="H220" s="2" t="s">
        <v>37</v>
      </c>
      <c r="I220" s="2" t="s">
        <v>32</v>
      </c>
      <c r="J220" s="2" t="s">
        <v>1111</v>
      </c>
      <c r="K220" s="2" t="s">
        <v>495</v>
      </c>
      <c r="L220" s="13" t="s">
        <v>496</v>
      </c>
      <c r="M220" s="2" t="s">
        <v>26</v>
      </c>
      <c r="N220" s="11" t="s">
        <v>1112</v>
      </c>
      <c r="O220" s="12" t="s">
        <v>53</v>
      </c>
      <c r="P220" s="5" t="str">
        <f>IFERROR(__xludf.DUMMYFUNCTION("TEXTJOIN("" | "",TRUE,IF(OR(D220="""",E220="""",I220="""",J220="""",H220=""""),""ফাঁকা ঘর"",""""),IF(AND(C220&lt;&gt;"""",D220&lt;&gt;"""",C220=D220),""gloss=figurative"",""""),IF(LEN(D220)&lt;15,""figurative ছোট"",""""),IF(AND(I220=""Positive"",REGEXMATCH(H220,""মূর্খ|"&amp;"ভণ্ড|প্রতার|অলস|লোভ|স্বার্থ|অক্ষম|অযোগ্য|বোকা|কৃপণ|হিংস"")),""valence-target অমিল"",""""),IF(COUNTIF($B:$B,B220)&gt;1,""ডুপ্লিকেট"",""""))"),"figurative ছোট")</f>
        <v>figurative ছোট</v>
      </c>
      <c r="Q220" s="5" t="str">
        <f t="shared" si="1"/>
        <v>১ আগে দেখো</v>
      </c>
    </row>
    <row r="221">
      <c r="A221" s="4">
        <v>4687.0</v>
      </c>
      <c r="B221" s="2" t="s">
        <v>1113</v>
      </c>
      <c r="C221" s="2" t="s">
        <v>1114</v>
      </c>
      <c r="D221" s="2" t="s">
        <v>1115</v>
      </c>
      <c r="E221" s="2" t="s">
        <v>1116</v>
      </c>
      <c r="F221" s="2" t="b">
        <v>1</v>
      </c>
      <c r="G221" s="2" t="b">
        <v>0</v>
      </c>
      <c r="H221" s="2" t="s">
        <v>37</v>
      </c>
      <c r="I221" s="2" t="s">
        <v>22</v>
      </c>
      <c r="J221" s="2" t="s">
        <v>1117</v>
      </c>
      <c r="K221" s="2" t="s">
        <v>495</v>
      </c>
      <c r="L221" s="13" t="s">
        <v>496</v>
      </c>
      <c r="M221" s="2" t="s">
        <v>26</v>
      </c>
      <c r="N221" s="11" t="s">
        <v>1112</v>
      </c>
      <c r="O221" s="12" t="s">
        <v>53</v>
      </c>
      <c r="P221" s="5" t="str">
        <f>IFERROR(__xludf.DUMMYFUNCTION("TEXTJOIN("" | "",TRUE,IF(OR(D221="""",E221="""",I221="""",J221="""",H221=""""),""ফাঁকা ঘর"",""""),IF(AND(C221&lt;&gt;"""",D221&lt;&gt;"""",C221=D221),""gloss=figurative"",""""),IF(LEN(D221)&lt;15,""figurative ছোট"",""""),IF(AND(I221=""Positive"",REGEXMATCH(H221,""মূর্খ|"&amp;"ভণ্ড|প্রতার|অলস|লোভ|স্বার্থ|অক্ষম|অযোগ্য|বোকা|কৃপণ|হিংস"")),""valence-target অমিল"",""""),IF(COUNTIF($B:$B,B221)&gt;1,""ডুপ্লিকেট"",""""))"),"figurative ছোট")</f>
        <v>figurative ছোট</v>
      </c>
      <c r="Q221" s="5" t="str">
        <f t="shared" si="1"/>
        <v>১ আগে দেখো</v>
      </c>
    </row>
    <row r="222">
      <c r="A222" s="4">
        <v>4701.0</v>
      </c>
      <c r="B222" s="2" t="s">
        <v>1118</v>
      </c>
      <c r="C222" s="2" t="s">
        <v>1119</v>
      </c>
      <c r="D222" s="2" t="s">
        <v>1120</v>
      </c>
      <c r="E222" s="2" t="s">
        <v>1121</v>
      </c>
      <c r="F222" s="2" t="b">
        <v>1</v>
      </c>
      <c r="G222" s="2" t="b">
        <v>0</v>
      </c>
      <c r="H222" s="2" t="s">
        <v>37</v>
      </c>
      <c r="I222" s="2" t="s">
        <v>49</v>
      </c>
      <c r="J222" s="2" t="s">
        <v>208</v>
      </c>
      <c r="K222" s="2" t="s">
        <v>495</v>
      </c>
      <c r="L222" s="13" t="s">
        <v>496</v>
      </c>
      <c r="M222" s="2" t="s">
        <v>26</v>
      </c>
      <c r="N222" s="11" t="s">
        <v>576</v>
      </c>
      <c r="O222" s="12" t="s">
        <v>53</v>
      </c>
      <c r="P222" s="5" t="str">
        <f>IFERROR(__xludf.DUMMYFUNCTION("TEXTJOIN("" | "",TRUE,IF(OR(D222="""",E222="""",I222="""",J222="""",H222=""""),""ফাঁকা ঘর"",""""),IF(AND(C222&lt;&gt;"""",D222&lt;&gt;"""",C222=D222),""gloss=figurative"",""""),IF(LEN(D222)&lt;15,""figurative ছোট"",""""),IF(AND(I222=""Positive"",REGEXMATCH(H222,""মূর্খ|"&amp;"ভণ্ড|প্রতার|অলস|লোভ|স্বার্থ|অক্ষম|অযোগ্য|বোকা|কৃপণ|হিংস"")),""valence-target অমিল"",""""),IF(COUNTIF($B:$B,B222)&gt;1,""ডুপ্লিকেট"",""""))"),"figurative ছোট")</f>
        <v>figurative ছোট</v>
      </c>
      <c r="Q222" s="5" t="str">
        <f t="shared" si="1"/>
        <v>১ আগে দেখো</v>
      </c>
    </row>
    <row r="223">
      <c r="A223" s="4">
        <v>4708.0</v>
      </c>
      <c r="B223" s="2" t="s">
        <v>1122</v>
      </c>
      <c r="C223" s="2" t="s">
        <v>1123</v>
      </c>
      <c r="D223" s="2" t="s">
        <v>1124</v>
      </c>
      <c r="E223" s="2" t="s">
        <v>1125</v>
      </c>
      <c r="F223" s="2" t="b">
        <v>1</v>
      </c>
      <c r="G223" s="2" t="b">
        <v>0</v>
      </c>
      <c r="H223" s="2" t="s">
        <v>37</v>
      </c>
      <c r="I223" s="2" t="s">
        <v>22</v>
      </c>
      <c r="J223" s="2" t="s">
        <v>1126</v>
      </c>
      <c r="K223" s="2" t="s">
        <v>495</v>
      </c>
      <c r="L223" s="13" t="s">
        <v>496</v>
      </c>
      <c r="M223" s="2" t="s">
        <v>26</v>
      </c>
      <c r="N223" s="11" t="s">
        <v>576</v>
      </c>
      <c r="O223" s="12" t="s">
        <v>53</v>
      </c>
      <c r="P223" s="5" t="str">
        <f>IFERROR(__xludf.DUMMYFUNCTION("TEXTJOIN("" | "",TRUE,IF(OR(D223="""",E223="""",I223="""",J223="""",H223=""""),""ফাঁকা ঘর"",""""),IF(AND(C223&lt;&gt;"""",D223&lt;&gt;"""",C223=D223),""gloss=figurative"",""""),IF(LEN(D223)&lt;15,""figurative ছোট"",""""),IF(AND(I223=""Positive"",REGEXMATCH(H223,""মূর্খ|"&amp;"ভণ্ড|প্রতার|অলস|লোভ|স্বার্থ|অক্ষম|অযোগ্য|বোকা|কৃপণ|হিংস"")),""valence-target অমিল"",""""),IF(COUNTIF($B:$B,B223)&gt;1,""ডুপ্লিকেট"",""""))"),"figurative ছোট")</f>
        <v>figurative ছোট</v>
      </c>
      <c r="Q223" s="5" t="str">
        <f t="shared" si="1"/>
        <v>১ আগে দেখো</v>
      </c>
    </row>
    <row r="224">
      <c r="A224" s="4">
        <v>4716.0</v>
      </c>
      <c r="B224" s="2" t="s">
        <v>1127</v>
      </c>
      <c r="C224" s="2" t="s">
        <v>1128</v>
      </c>
      <c r="D224" s="2" t="s">
        <v>1129</v>
      </c>
      <c r="E224" s="2" t="s">
        <v>1130</v>
      </c>
      <c r="F224" s="2" t="b">
        <v>1</v>
      </c>
      <c r="G224" s="2" t="b">
        <v>0</v>
      </c>
      <c r="H224" s="2" t="s">
        <v>37</v>
      </c>
      <c r="I224" s="2" t="s">
        <v>49</v>
      </c>
      <c r="J224" s="2" t="s">
        <v>1131</v>
      </c>
      <c r="K224" s="2" t="s">
        <v>495</v>
      </c>
      <c r="L224" s="13" t="s">
        <v>496</v>
      </c>
      <c r="M224" s="2" t="s">
        <v>26</v>
      </c>
      <c r="N224" s="11" t="s">
        <v>576</v>
      </c>
      <c r="O224" s="12" t="s">
        <v>53</v>
      </c>
      <c r="P224" s="5" t="str">
        <f>IFERROR(__xludf.DUMMYFUNCTION("TEXTJOIN("" | "",TRUE,IF(OR(D224="""",E224="""",I224="""",J224="""",H224=""""),""ফাঁকা ঘর"",""""),IF(AND(C224&lt;&gt;"""",D224&lt;&gt;"""",C224=D224),""gloss=figurative"",""""),IF(LEN(D224)&lt;15,""figurative ছোট"",""""),IF(AND(I224=""Positive"",REGEXMATCH(H224,""মূর্খ|"&amp;"ভণ্ড|প্রতার|অলস|লোভ|স্বার্থ|অক্ষম|অযোগ্য|বোকা|কৃপণ|হিংস"")),""valence-target অমিল"",""""),IF(COUNTIF($B:$B,B224)&gt;1,""ডুপ্লিকেট"",""""))"),"figurative ছোট")</f>
        <v>figurative ছোট</v>
      </c>
      <c r="Q224" s="5" t="str">
        <f t="shared" si="1"/>
        <v>১ আগে দেখো</v>
      </c>
    </row>
    <row r="225">
      <c r="A225" s="4">
        <v>4721.0</v>
      </c>
      <c r="B225" s="2" t="s">
        <v>1132</v>
      </c>
      <c r="C225" s="2" t="s">
        <v>1133</v>
      </c>
      <c r="D225" s="2" t="s">
        <v>1134</v>
      </c>
      <c r="E225" s="2" t="s">
        <v>1135</v>
      </c>
      <c r="F225" s="2" t="b">
        <v>1</v>
      </c>
      <c r="G225" s="2" t="b">
        <v>1</v>
      </c>
      <c r="H225" s="2" t="s">
        <v>1136</v>
      </c>
      <c r="I225" s="2" t="s">
        <v>49</v>
      </c>
      <c r="J225" s="2" t="s">
        <v>1137</v>
      </c>
      <c r="K225" s="2" t="s">
        <v>495</v>
      </c>
      <c r="L225" s="13" t="s">
        <v>496</v>
      </c>
      <c r="M225" s="2" t="s">
        <v>26</v>
      </c>
      <c r="N225" s="11" t="s">
        <v>576</v>
      </c>
      <c r="O225" s="12" t="s">
        <v>53</v>
      </c>
      <c r="P225" s="5" t="str">
        <f>IFERROR(__xludf.DUMMYFUNCTION("TEXTJOIN("" | "",TRUE,IF(OR(D225="""",E225="""",I225="""",J225="""",H225=""""),""ফাঁকা ঘর"",""""),IF(AND(C225&lt;&gt;"""",D225&lt;&gt;"""",C225=D225),""gloss=figurative"",""""),IF(LEN(D225)&lt;15,""figurative ছোট"",""""),IF(AND(I225=""Positive"",REGEXMATCH(H225,""মূর্খ|"&amp;"ভণ্ড|প্রতার|অলস|লোভ|স্বার্থ|অক্ষম|অযোগ্য|বোকা|কৃপণ|হিংস"")),""valence-target অমিল"",""""),IF(COUNTIF($B:$B,B225)&gt;1,""ডুপ্লিকেট"",""""))"),"figurative ছোট")</f>
        <v>figurative ছোট</v>
      </c>
      <c r="Q225" s="5" t="str">
        <f t="shared" si="1"/>
        <v>১ আগে দেখো</v>
      </c>
    </row>
    <row r="226">
      <c r="A226" s="4">
        <v>4726.0</v>
      </c>
      <c r="B226" s="2" t="s">
        <v>1138</v>
      </c>
      <c r="C226" s="2" t="s">
        <v>1139</v>
      </c>
      <c r="D226" s="2" t="s">
        <v>1140</v>
      </c>
      <c r="E226" s="2" t="s">
        <v>1141</v>
      </c>
      <c r="F226" s="2" t="b">
        <v>1</v>
      </c>
      <c r="G226" s="2" t="b">
        <v>0</v>
      </c>
      <c r="H226" s="2" t="s">
        <v>37</v>
      </c>
      <c r="I226" s="2" t="s">
        <v>49</v>
      </c>
      <c r="J226" s="2" t="s">
        <v>340</v>
      </c>
      <c r="K226" s="2" t="s">
        <v>495</v>
      </c>
      <c r="L226" s="13" t="s">
        <v>496</v>
      </c>
      <c r="M226" s="2" t="s">
        <v>26</v>
      </c>
      <c r="N226" s="11" t="s">
        <v>576</v>
      </c>
      <c r="O226" s="12" t="s">
        <v>53</v>
      </c>
      <c r="P226" s="5" t="str">
        <f>IFERROR(__xludf.DUMMYFUNCTION("TEXTJOIN("" | "",TRUE,IF(OR(D226="""",E226="""",I226="""",J226="""",H226=""""),""ফাঁকা ঘর"",""""),IF(AND(C226&lt;&gt;"""",D226&lt;&gt;"""",C226=D226),""gloss=figurative"",""""),IF(LEN(D226)&lt;15,""figurative ছোট"",""""),IF(AND(I226=""Positive"",REGEXMATCH(H226,""মূর্খ|"&amp;"ভণ্ড|প্রতার|অলস|লোভ|স্বার্থ|অক্ষম|অযোগ্য|বোকা|কৃপণ|হিংস"")),""valence-target অমিল"",""""),IF(COUNTIF($B:$B,B226)&gt;1,""ডুপ্লিকেট"",""""))"),"figurative ছোট")</f>
        <v>figurative ছোট</v>
      </c>
      <c r="Q226" s="5" t="str">
        <f t="shared" si="1"/>
        <v>১ আগে দেখো</v>
      </c>
    </row>
    <row r="227">
      <c r="A227" s="4">
        <v>4738.0</v>
      </c>
      <c r="B227" s="2" t="s">
        <v>1142</v>
      </c>
      <c r="C227" s="2" t="s">
        <v>1143</v>
      </c>
      <c r="D227" s="2" t="s">
        <v>1144</v>
      </c>
      <c r="E227" s="2" t="s">
        <v>1145</v>
      </c>
      <c r="F227" s="2" t="b">
        <v>1</v>
      </c>
      <c r="G227" s="2" t="b">
        <v>0</v>
      </c>
      <c r="H227" s="2" t="s">
        <v>37</v>
      </c>
      <c r="I227" s="2" t="s">
        <v>22</v>
      </c>
      <c r="J227" s="2" t="s">
        <v>1146</v>
      </c>
      <c r="K227" s="2" t="s">
        <v>495</v>
      </c>
      <c r="L227" s="13" t="s">
        <v>496</v>
      </c>
      <c r="M227" s="2" t="s">
        <v>26</v>
      </c>
      <c r="N227" s="11" t="s">
        <v>576</v>
      </c>
      <c r="O227" s="12" t="s">
        <v>53</v>
      </c>
      <c r="P227" s="5" t="str">
        <f>IFERROR(__xludf.DUMMYFUNCTION("TEXTJOIN("" | "",TRUE,IF(OR(D227="""",E227="""",I227="""",J227="""",H227=""""),""ফাঁকা ঘর"",""""),IF(AND(C227&lt;&gt;"""",D227&lt;&gt;"""",C227=D227),""gloss=figurative"",""""),IF(LEN(D227)&lt;15,""figurative ছোট"",""""),IF(AND(I227=""Positive"",REGEXMATCH(H227,""মূর্খ|"&amp;"ভণ্ড|প্রতার|অলস|লোভ|স্বার্থ|অক্ষম|অযোগ্য|বোকা|কৃপণ|হিংস"")),""valence-target অমিল"",""""),IF(COUNTIF($B:$B,B227)&gt;1,""ডুপ্লিকেট"",""""))"),"figurative ছোট")</f>
        <v>figurative ছোট</v>
      </c>
      <c r="Q227" s="5" t="str">
        <f t="shared" si="1"/>
        <v>১ আগে দেখো</v>
      </c>
    </row>
    <row r="228">
      <c r="A228" s="4">
        <v>4746.0</v>
      </c>
      <c r="B228" s="2" t="s">
        <v>1147</v>
      </c>
      <c r="C228" s="2" t="s">
        <v>1148</v>
      </c>
      <c r="D228" s="2" t="s">
        <v>1149</v>
      </c>
      <c r="E228" s="2" t="s">
        <v>1150</v>
      </c>
      <c r="F228" s="2" t="b">
        <v>1</v>
      </c>
      <c r="G228" s="2" t="b">
        <v>0</v>
      </c>
      <c r="H228" s="2" t="s">
        <v>37</v>
      </c>
      <c r="I228" s="2" t="s">
        <v>32</v>
      </c>
      <c r="J228" s="2" t="s">
        <v>1151</v>
      </c>
      <c r="K228" s="2" t="s">
        <v>495</v>
      </c>
      <c r="L228" s="13" t="s">
        <v>496</v>
      </c>
      <c r="M228" s="2" t="s">
        <v>26</v>
      </c>
      <c r="N228" s="11" t="s">
        <v>576</v>
      </c>
      <c r="O228" s="12" t="s">
        <v>53</v>
      </c>
      <c r="P228" s="5" t="str">
        <f>IFERROR(__xludf.DUMMYFUNCTION("TEXTJOIN("" | "",TRUE,IF(OR(D228="""",E228="""",I228="""",J228="""",H228=""""),""ফাঁকা ঘর"",""""),IF(AND(C228&lt;&gt;"""",D228&lt;&gt;"""",C228=D228),""gloss=figurative"",""""),IF(LEN(D228)&lt;15,""figurative ছোট"",""""),IF(AND(I228=""Positive"",REGEXMATCH(H228,""মূর্খ|"&amp;"ভণ্ড|প্রতার|অলস|লোভ|স্বার্থ|অক্ষম|অযোগ্য|বোকা|কৃপণ|হিংস"")),""valence-target অমিল"",""""),IF(COUNTIF($B:$B,B228)&gt;1,""ডুপ্লিকেট"",""""))"),"figurative ছোট")</f>
        <v>figurative ছোট</v>
      </c>
      <c r="Q228" s="5" t="str">
        <f t="shared" si="1"/>
        <v>১ আগে দেখো</v>
      </c>
    </row>
    <row r="229">
      <c r="A229" s="4">
        <v>4750.0</v>
      </c>
      <c r="B229" s="2" t="s">
        <v>1152</v>
      </c>
      <c r="C229" s="2" t="s">
        <v>1153</v>
      </c>
      <c r="D229" s="2" t="s">
        <v>1154</v>
      </c>
      <c r="E229" s="2" t="s">
        <v>1155</v>
      </c>
      <c r="F229" s="2" t="b">
        <v>1</v>
      </c>
      <c r="G229" s="2" t="b">
        <v>0</v>
      </c>
      <c r="H229" s="2" t="s">
        <v>37</v>
      </c>
      <c r="I229" s="2" t="s">
        <v>32</v>
      </c>
      <c r="J229" s="2" t="s">
        <v>646</v>
      </c>
      <c r="K229" s="2" t="s">
        <v>495</v>
      </c>
      <c r="L229" s="13" t="s">
        <v>496</v>
      </c>
      <c r="M229" s="2" t="s">
        <v>26</v>
      </c>
      <c r="N229" s="11" t="s">
        <v>576</v>
      </c>
      <c r="O229" s="12" t="s">
        <v>53</v>
      </c>
      <c r="P229" s="5" t="str">
        <f>IFERROR(__xludf.DUMMYFUNCTION("TEXTJOIN("" | "",TRUE,IF(OR(D229="""",E229="""",I229="""",J229="""",H229=""""),""ফাঁকা ঘর"",""""),IF(AND(C229&lt;&gt;"""",D229&lt;&gt;"""",C229=D229),""gloss=figurative"",""""),IF(LEN(D229)&lt;15,""figurative ছোট"",""""),IF(AND(I229=""Positive"",REGEXMATCH(H229,""মূর্খ|"&amp;"ভণ্ড|প্রতার|অলস|লোভ|স্বার্থ|অক্ষম|অযোগ্য|বোকা|কৃপণ|হিংস"")),""valence-target অমিল"",""""),IF(COUNTIF($B:$B,B229)&gt;1,""ডুপ্লিকেট"",""""))"),"figurative ছোট")</f>
        <v>figurative ছোট</v>
      </c>
      <c r="Q229" s="5" t="str">
        <f t="shared" si="1"/>
        <v>১ আগে দেখো</v>
      </c>
    </row>
    <row r="230">
      <c r="A230" s="4">
        <v>4751.0</v>
      </c>
      <c r="B230" s="2" t="s">
        <v>1156</v>
      </c>
      <c r="C230" s="2" t="s">
        <v>1157</v>
      </c>
      <c r="D230" s="2" t="s">
        <v>1158</v>
      </c>
      <c r="E230" s="2" t="s">
        <v>1159</v>
      </c>
      <c r="F230" s="2" t="b">
        <v>1</v>
      </c>
      <c r="G230" s="2" t="b">
        <v>0</v>
      </c>
      <c r="H230" s="2" t="s">
        <v>37</v>
      </c>
      <c r="I230" s="2" t="s">
        <v>32</v>
      </c>
      <c r="J230" s="2" t="s">
        <v>1160</v>
      </c>
      <c r="K230" s="2" t="s">
        <v>495</v>
      </c>
      <c r="L230" s="13" t="s">
        <v>496</v>
      </c>
      <c r="M230" s="2" t="s">
        <v>26</v>
      </c>
      <c r="N230" s="11" t="s">
        <v>576</v>
      </c>
      <c r="O230" s="12" t="s">
        <v>53</v>
      </c>
      <c r="P230" s="5" t="str">
        <f>IFERROR(__xludf.DUMMYFUNCTION("TEXTJOIN("" | "",TRUE,IF(OR(D230="""",E230="""",I230="""",J230="""",H230=""""),""ফাঁকা ঘর"",""""),IF(AND(C230&lt;&gt;"""",D230&lt;&gt;"""",C230=D230),""gloss=figurative"",""""),IF(LEN(D230)&lt;15,""figurative ছোট"",""""),IF(AND(I230=""Positive"",REGEXMATCH(H230,""মূর্খ|"&amp;"ভণ্ড|প্রতার|অলস|লোভ|স্বার্থ|অক্ষম|অযোগ্য|বোকা|কৃপণ|হিংস"")),""valence-target অমিল"",""""),IF(COUNTIF($B:$B,B230)&gt;1,""ডুপ্লিকেট"",""""))"),"figurative ছোট")</f>
        <v>figurative ছোট</v>
      </c>
      <c r="Q230" s="5" t="str">
        <f t="shared" si="1"/>
        <v>১ আগে দেখো</v>
      </c>
    </row>
    <row r="231">
      <c r="A231" s="4">
        <v>4753.0</v>
      </c>
      <c r="B231" s="2" t="s">
        <v>1161</v>
      </c>
      <c r="C231" s="2" t="s">
        <v>1162</v>
      </c>
      <c r="D231" s="2" t="s">
        <v>1163</v>
      </c>
      <c r="E231" s="2" t="s">
        <v>1164</v>
      </c>
      <c r="F231" s="2" t="b">
        <v>1</v>
      </c>
      <c r="G231" s="2" t="b">
        <v>0</v>
      </c>
      <c r="H231" s="2" t="s">
        <v>37</v>
      </c>
      <c r="I231" s="2" t="s">
        <v>22</v>
      </c>
      <c r="J231" s="2" t="s">
        <v>616</v>
      </c>
      <c r="K231" s="2" t="s">
        <v>495</v>
      </c>
      <c r="L231" s="13" t="s">
        <v>496</v>
      </c>
      <c r="M231" s="2" t="s">
        <v>26</v>
      </c>
      <c r="N231" s="11" t="s">
        <v>1165</v>
      </c>
      <c r="O231" s="12" t="s">
        <v>53</v>
      </c>
      <c r="P231" s="5" t="str">
        <f>IFERROR(__xludf.DUMMYFUNCTION("TEXTJOIN("" | "",TRUE,IF(OR(D231="""",E231="""",I231="""",J231="""",H231=""""),""ফাঁকা ঘর"",""""),IF(AND(C231&lt;&gt;"""",D231&lt;&gt;"""",C231=D231),""gloss=figurative"",""""),IF(LEN(D231)&lt;15,""figurative ছোট"",""""),IF(AND(I231=""Positive"",REGEXMATCH(H231,""মূর্খ|"&amp;"ভণ্ড|প্রতার|অলস|লোভ|স্বার্থ|অক্ষম|অযোগ্য|বোকা|কৃপণ|হিংস"")),""valence-target অমিল"",""""),IF(COUNTIF($B:$B,B231)&gt;1,""ডুপ্লিকেট"",""""))"),"figurative ছোট")</f>
        <v>figurative ছোট</v>
      </c>
      <c r="Q231" s="5" t="str">
        <f t="shared" si="1"/>
        <v>১ আগে দেখো</v>
      </c>
    </row>
    <row r="232">
      <c r="A232" s="4">
        <v>4754.0</v>
      </c>
      <c r="B232" s="2" t="s">
        <v>1166</v>
      </c>
      <c r="C232" s="2" t="s">
        <v>1167</v>
      </c>
      <c r="D232" s="2" t="s">
        <v>1168</v>
      </c>
      <c r="E232" s="2" t="s">
        <v>1169</v>
      </c>
      <c r="F232" s="2" t="b">
        <v>1</v>
      </c>
      <c r="G232" s="2" t="b">
        <v>0</v>
      </c>
      <c r="H232" s="2" t="s">
        <v>37</v>
      </c>
      <c r="I232" s="2" t="s">
        <v>22</v>
      </c>
      <c r="J232" s="2" t="s">
        <v>616</v>
      </c>
      <c r="K232" s="2" t="s">
        <v>495</v>
      </c>
      <c r="L232" s="13" t="s">
        <v>496</v>
      </c>
      <c r="M232" s="2" t="s">
        <v>26</v>
      </c>
      <c r="N232" s="11" t="s">
        <v>1170</v>
      </c>
      <c r="O232" s="12" t="s">
        <v>53</v>
      </c>
      <c r="P232" s="5" t="str">
        <f>IFERROR(__xludf.DUMMYFUNCTION("TEXTJOIN("" | "",TRUE,IF(OR(D232="""",E232="""",I232="""",J232="""",H232=""""),""ফাঁকা ঘর"",""""),IF(AND(C232&lt;&gt;"""",D232&lt;&gt;"""",C232=D232),""gloss=figurative"",""""),IF(LEN(D232)&lt;15,""figurative ছোট"",""""),IF(AND(I232=""Positive"",REGEXMATCH(H232,""মূর্খ|"&amp;"ভণ্ড|প্রতার|অলস|লোভ|স্বার্থ|অক্ষম|অযোগ্য|বোকা|কৃপণ|হিংস"")),""valence-target অমিল"",""""),IF(COUNTIF($B:$B,B232)&gt;1,""ডুপ্লিকেট"",""""))"),"figurative ছোট")</f>
        <v>figurative ছোট</v>
      </c>
      <c r="Q232" s="5" t="str">
        <f t="shared" si="1"/>
        <v>১ আগে দেখো</v>
      </c>
    </row>
    <row r="233">
      <c r="A233" s="4">
        <v>4756.0</v>
      </c>
      <c r="B233" s="2" t="s">
        <v>1171</v>
      </c>
      <c r="C233" s="2" t="s">
        <v>1171</v>
      </c>
      <c r="D233" s="2" t="s">
        <v>1172</v>
      </c>
      <c r="E233" s="2" t="s">
        <v>1173</v>
      </c>
      <c r="F233" s="2" t="b">
        <v>1</v>
      </c>
      <c r="G233" s="2" t="b">
        <v>1</v>
      </c>
      <c r="H233" s="2" t="s">
        <v>1174</v>
      </c>
      <c r="I233" s="2" t="s">
        <v>49</v>
      </c>
      <c r="J233" s="2" t="s">
        <v>1175</v>
      </c>
      <c r="K233" s="2" t="s">
        <v>495</v>
      </c>
      <c r="L233" s="13" t="s">
        <v>496</v>
      </c>
      <c r="M233" s="2" t="s">
        <v>26</v>
      </c>
      <c r="N233" s="11" t="s">
        <v>576</v>
      </c>
      <c r="O233" s="12" t="s">
        <v>53</v>
      </c>
      <c r="P233" s="5" t="str">
        <f>IFERROR(__xludf.DUMMYFUNCTION("TEXTJOIN("" | "",TRUE,IF(OR(D233="""",E233="""",I233="""",J233="""",H233=""""),""ফাঁকা ঘর"",""""),IF(AND(C233&lt;&gt;"""",D233&lt;&gt;"""",C233=D233),""gloss=figurative"",""""),IF(LEN(D233)&lt;15,""figurative ছোট"",""""),IF(AND(I233=""Positive"",REGEXMATCH(H233,""মূর্খ|"&amp;"ভণ্ড|প্রতার|অলস|লোভ|স্বার্থ|অক্ষম|অযোগ্য|বোকা|কৃপণ|হিংস"")),""valence-target অমিল"",""""),IF(COUNTIF($B:$B,B233)&gt;1,""ডুপ্লিকেট"",""""))"),"figurative ছোট")</f>
        <v>figurative ছোট</v>
      </c>
      <c r="Q233" s="5" t="str">
        <f t="shared" si="1"/>
        <v>১ আগে দেখো</v>
      </c>
    </row>
    <row r="234">
      <c r="A234" s="4">
        <v>4757.0</v>
      </c>
      <c r="B234" s="2" t="s">
        <v>1176</v>
      </c>
      <c r="C234" s="2" t="s">
        <v>1177</v>
      </c>
      <c r="D234" s="2" t="s">
        <v>1178</v>
      </c>
      <c r="E234" s="2" t="s">
        <v>1179</v>
      </c>
      <c r="F234" s="2" t="b">
        <v>1</v>
      </c>
      <c r="G234" s="2" t="b">
        <v>0</v>
      </c>
      <c r="H234" s="2" t="s">
        <v>37</v>
      </c>
      <c r="I234" s="2" t="s">
        <v>32</v>
      </c>
      <c r="J234" s="2" t="s">
        <v>1180</v>
      </c>
      <c r="K234" s="2" t="s">
        <v>495</v>
      </c>
      <c r="L234" s="13" t="s">
        <v>496</v>
      </c>
      <c r="M234" s="2" t="s">
        <v>26</v>
      </c>
      <c r="N234" s="11" t="s">
        <v>576</v>
      </c>
      <c r="O234" s="12" t="s">
        <v>53</v>
      </c>
      <c r="P234" s="5" t="str">
        <f>IFERROR(__xludf.DUMMYFUNCTION("TEXTJOIN("" | "",TRUE,IF(OR(D234="""",E234="""",I234="""",J234="""",H234=""""),""ফাঁকা ঘর"",""""),IF(AND(C234&lt;&gt;"""",D234&lt;&gt;"""",C234=D234),""gloss=figurative"",""""),IF(LEN(D234)&lt;15,""figurative ছোট"",""""),IF(AND(I234=""Positive"",REGEXMATCH(H234,""মূর্খ|"&amp;"ভণ্ড|প্রতার|অলস|লোভ|স্বার্থ|অক্ষম|অযোগ্য|বোকা|কৃপণ|হিংস"")),""valence-target অমিল"",""""),IF(COUNTIF($B:$B,B234)&gt;1,""ডুপ্লিকেট"",""""))"),"figurative ছোট")</f>
        <v>figurative ছোট</v>
      </c>
      <c r="Q234" s="5" t="str">
        <f t="shared" si="1"/>
        <v>১ আগে দেখো</v>
      </c>
    </row>
    <row r="235">
      <c r="A235" s="4">
        <v>4762.0</v>
      </c>
      <c r="B235" s="2" t="s">
        <v>1181</v>
      </c>
      <c r="C235" s="2" t="s">
        <v>1182</v>
      </c>
      <c r="D235" s="2" t="s">
        <v>1183</v>
      </c>
      <c r="E235" s="2" t="s">
        <v>1184</v>
      </c>
      <c r="F235" s="2" t="b">
        <v>1</v>
      </c>
      <c r="G235" s="2" t="b">
        <v>0</v>
      </c>
      <c r="H235" s="2" t="s">
        <v>37</v>
      </c>
      <c r="I235" s="2" t="s">
        <v>49</v>
      </c>
      <c r="J235" s="2" t="s">
        <v>340</v>
      </c>
      <c r="K235" s="2" t="s">
        <v>495</v>
      </c>
      <c r="L235" s="13" t="s">
        <v>496</v>
      </c>
      <c r="M235" s="2" t="s">
        <v>26</v>
      </c>
      <c r="N235" s="11" t="s">
        <v>576</v>
      </c>
      <c r="O235" s="12" t="s">
        <v>53</v>
      </c>
      <c r="P235" s="5" t="str">
        <f>IFERROR(__xludf.DUMMYFUNCTION("TEXTJOIN("" | "",TRUE,IF(OR(D235="""",E235="""",I235="""",J235="""",H235=""""),""ফাঁকা ঘর"",""""),IF(AND(C235&lt;&gt;"""",D235&lt;&gt;"""",C235=D235),""gloss=figurative"",""""),IF(LEN(D235)&lt;15,""figurative ছোট"",""""),IF(AND(I235=""Positive"",REGEXMATCH(H235,""মূর্খ|"&amp;"ভণ্ড|প্রতার|অলস|লোভ|স্বার্থ|অক্ষম|অযোগ্য|বোকা|কৃপণ|হিংস"")),""valence-target অমিল"",""""),IF(COUNTIF($B:$B,B235)&gt;1,""ডুপ্লিকেট"",""""))"),"figurative ছোট")</f>
        <v>figurative ছোট</v>
      </c>
      <c r="Q235" s="5" t="str">
        <f t="shared" si="1"/>
        <v>১ আগে দেখো</v>
      </c>
    </row>
    <row r="236">
      <c r="A236" s="4">
        <v>4766.0</v>
      </c>
      <c r="B236" s="2" t="s">
        <v>1185</v>
      </c>
      <c r="C236" s="2" t="s">
        <v>1185</v>
      </c>
      <c r="D236" s="2" t="s">
        <v>1186</v>
      </c>
      <c r="E236" s="2" t="s">
        <v>1187</v>
      </c>
      <c r="F236" s="2" t="b">
        <v>1</v>
      </c>
      <c r="G236" s="2" t="b">
        <v>0</v>
      </c>
      <c r="H236" s="2" t="s">
        <v>1188</v>
      </c>
      <c r="I236" s="2" t="s">
        <v>22</v>
      </c>
      <c r="J236" s="2" t="s">
        <v>1189</v>
      </c>
      <c r="K236" s="2" t="s">
        <v>495</v>
      </c>
      <c r="L236" s="13" t="s">
        <v>496</v>
      </c>
      <c r="M236" s="2" t="s">
        <v>26</v>
      </c>
      <c r="N236" s="11" t="s">
        <v>576</v>
      </c>
      <c r="O236" s="12" t="s">
        <v>53</v>
      </c>
      <c r="P236" s="5" t="str">
        <f>IFERROR(__xludf.DUMMYFUNCTION("TEXTJOIN("" | "",TRUE,IF(OR(D236="""",E236="""",I236="""",J236="""",H236=""""),""ফাঁকা ঘর"",""""),IF(AND(C236&lt;&gt;"""",D236&lt;&gt;"""",C236=D236),""gloss=figurative"",""""),IF(LEN(D236)&lt;15,""figurative ছোট"",""""),IF(AND(I236=""Positive"",REGEXMATCH(H236,""মূর্খ|"&amp;"ভণ্ড|প্রতার|অলস|লোভ|স্বার্থ|অক্ষম|অযোগ্য|বোকা|কৃপণ|হিংস"")),""valence-target অমিল"",""""),IF(COUNTIF($B:$B,B236)&gt;1,""ডুপ্লিকেট"",""""))"),"figurative ছোট")</f>
        <v>figurative ছোট</v>
      </c>
      <c r="Q236" s="5" t="str">
        <f t="shared" si="1"/>
        <v>১ আগে দেখো</v>
      </c>
    </row>
    <row r="237">
      <c r="A237" s="4">
        <v>4768.0</v>
      </c>
      <c r="B237" s="2" t="s">
        <v>1190</v>
      </c>
      <c r="C237" s="2" t="s">
        <v>1191</v>
      </c>
      <c r="D237" s="2" t="s">
        <v>1192</v>
      </c>
      <c r="E237" s="2" t="s">
        <v>1193</v>
      </c>
      <c r="F237" s="2" t="b">
        <v>1</v>
      </c>
      <c r="G237" s="2" t="b">
        <v>0</v>
      </c>
      <c r="H237" s="2" t="s">
        <v>37</v>
      </c>
      <c r="I237" s="2" t="s">
        <v>32</v>
      </c>
      <c r="J237" s="2" t="s">
        <v>1194</v>
      </c>
      <c r="K237" s="2" t="s">
        <v>495</v>
      </c>
      <c r="L237" s="13" t="s">
        <v>496</v>
      </c>
      <c r="M237" s="2" t="s">
        <v>26</v>
      </c>
      <c r="N237" s="11" t="s">
        <v>576</v>
      </c>
      <c r="O237" s="12" t="s">
        <v>53</v>
      </c>
      <c r="P237" s="5" t="str">
        <f>IFERROR(__xludf.DUMMYFUNCTION("TEXTJOIN("" | "",TRUE,IF(OR(D237="""",E237="""",I237="""",J237="""",H237=""""),""ফাঁকা ঘর"",""""),IF(AND(C237&lt;&gt;"""",D237&lt;&gt;"""",C237=D237),""gloss=figurative"",""""),IF(LEN(D237)&lt;15,""figurative ছোট"",""""),IF(AND(I237=""Positive"",REGEXMATCH(H237,""মূর্খ|"&amp;"ভণ্ড|প্রতার|অলস|লোভ|স্বার্থ|অক্ষম|অযোগ্য|বোকা|কৃপণ|হিংস"")),""valence-target অমিল"",""""),IF(COUNTIF($B:$B,B237)&gt;1,""ডুপ্লিকেট"",""""))"),"figurative ছোট")</f>
        <v>figurative ছোট</v>
      </c>
      <c r="Q237" s="5" t="str">
        <f t="shared" si="1"/>
        <v>১ আগে দেখো</v>
      </c>
    </row>
    <row r="238">
      <c r="A238" s="4">
        <v>4769.0</v>
      </c>
      <c r="B238" s="2" t="s">
        <v>1195</v>
      </c>
      <c r="C238" s="2" t="s">
        <v>1196</v>
      </c>
      <c r="D238" s="2" t="s">
        <v>1197</v>
      </c>
      <c r="E238" s="2" t="s">
        <v>1198</v>
      </c>
      <c r="F238" s="2" t="b">
        <v>1</v>
      </c>
      <c r="G238" s="2" t="b">
        <v>0</v>
      </c>
      <c r="H238" s="2" t="s">
        <v>37</v>
      </c>
      <c r="I238" s="2" t="s">
        <v>32</v>
      </c>
      <c r="J238" s="2" t="s">
        <v>1194</v>
      </c>
      <c r="K238" s="2" t="s">
        <v>495</v>
      </c>
      <c r="L238" s="13" t="s">
        <v>496</v>
      </c>
      <c r="M238" s="2" t="s">
        <v>26</v>
      </c>
      <c r="N238" s="11" t="s">
        <v>576</v>
      </c>
      <c r="O238" s="12" t="s">
        <v>53</v>
      </c>
      <c r="P238" s="5" t="str">
        <f>IFERROR(__xludf.DUMMYFUNCTION("TEXTJOIN("" | "",TRUE,IF(OR(D238="""",E238="""",I238="""",J238="""",H238=""""),""ফাঁকা ঘর"",""""),IF(AND(C238&lt;&gt;"""",D238&lt;&gt;"""",C238=D238),""gloss=figurative"",""""),IF(LEN(D238)&lt;15,""figurative ছোট"",""""),IF(AND(I238=""Positive"",REGEXMATCH(H238,""মূর্খ|"&amp;"ভণ্ড|প্রতার|অলস|লোভ|স্বার্থ|অক্ষম|অযোগ্য|বোকা|কৃপণ|হিংস"")),""valence-target অমিল"",""""),IF(COUNTIF($B:$B,B238)&gt;1,""ডুপ্লিকেট"",""""))"),"figurative ছোট")</f>
        <v>figurative ছোট</v>
      </c>
      <c r="Q238" s="5" t="str">
        <f t="shared" si="1"/>
        <v>১ আগে দেখো</v>
      </c>
    </row>
    <row r="239">
      <c r="A239" s="4">
        <v>4770.0</v>
      </c>
      <c r="B239" s="2" t="s">
        <v>1199</v>
      </c>
      <c r="C239" s="2" t="s">
        <v>1200</v>
      </c>
      <c r="D239" s="2" t="s">
        <v>1201</v>
      </c>
      <c r="E239" s="2" t="s">
        <v>1202</v>
      </c>
      <c r="F239" s="2" t="b">
        <v>1</v>
      </c>
      <c r="G239" s="2" t="b">
        <v>0</v>
      </c>
      <c r="H239" s="2" t="s">
        <v>37</v>
      </c>
      <c r="I239" s="2" t="s">
        <v>32</v>
      </c>
      <c r="J239" s="2" t="s">
        <v>1194</v>
      </c>
      <c r="K239" s="2" t="s">
        <v>495</v>
      </c>
      <c r="L239" s="13" t="s">
        <v>496</v>
      </c>
      <c r="M239" s="2" t="s">
        <v>26</v>
      </c>
      <c r="N239" s="11" t="s">
        <v>576</v>
      </c>
      <c r="O239" s="12" t="s">
        <v>53</v>
      </c>
      <c r="P239" s="5" t="str">
        <f>IFERROR(__xludf.DUMMYFUNCTION("TEXTJOIN("" | "",TRUE,IF(OR(D239="""",E239="""",I239="""",J239="""",H239=""""),""ফাঁকা ঘর"",""""),IF(AND(C239&lt;&gt;"""",D239&lt;&gt;"""",C239=D239),""gloss=figurative"",""""),IF(LEN(D239)&lt;15,""figurative ছোট"",""""),IF(AND(I239=""Positive"",REGEXMATCH(H239,""মূর্খ|"&amp;"ভণ্ড|প্রতার|অলস|লোভ|স্বার্থ|অক্ষম|অযোগ্য|বোকা|কৃপণ|হিংস"")),""valence-target অমিল"",""""),IF(COUNTIF($B:$B,B239)&gt;1,""ডুপ্লিকেট"",""""))"),"figurative ছোট")</f>
        <v>figurative ছোট</v>
      </c>
      <c r="Q239" s="5" t="str">
        <f t="shared" si="1"/>
        <v>১ আগে দেখো</v>
      </c>
    </row>
    <row r="240">
      <c r="A240" s="4">
        <v>4771.0</v>
      </c>
      <c r="B240" s="2" t="s">
        <v>1203</v>
      </c>
      <c r="C240" s="2" t="s">
        <v>1204</v>
      </c>
      <c r="D240" s="2" t="s">
        <v>1205</v>
      </c>
      <c r="E240" s="2" t="s">
        <v>1206</v>
      </c>
      <c r="F240" s="2" t="b">
        <v>1</v>
      </c>
      <c r="G240" s="2" t="b">
        <v>0</v>
      </c>
      <c r="H240" s="2" t="s">
        <v>37</v>
      </c>
      <c r="I240" s="2" t="s">
        <v>32</v>
      </c>
      <c r="J240" s="2" t="s">
        <v>1194</v>
      </c>
      <c r="K240" s="2" t="s">
        <v>495</v>
      </c>
      <c r="L240" s="13" t="s">
        <v>496</v>
      </c>
      <c r="M240" s="2" t="s">
        <v>26</v>
      </c>
      <c r="N240" s="11" t="s">
        <v>576</v>
      </c>
      <c r="O240" s="12" t="s">
        <v>53</v>
      </c>
      <c r="P240" s="5" t="str">
        <f>IFERROR(__xludf.DUMMYFUNCTION("TEXTJOIN("" | "",TRUE,IF(OR(D240="""",E240="""",I240="""",J240="""",H240=""""),""ফাঁকা ঘর"",""""),IF(AND(C240&lt;&gt;"""",D240&lt;&gt;"""",C240=D240),""gloss=figurative"",""""),IF(LEN(D240)&lt;15,""figurative ছোট"",""""),IF(AND(I240=""Positive"",REGEXMATCH(H240,""মূর্খ|"&amp;"ভণ্ড|প্রতার|অলস|লোভ|স্বার্থ|অক্ষম|অযোগ্য|বোকা|কৃপণ|হিংস"")),""valence-target অমিল"",""""),IF(COUNTIF($B:$B,B240)&gt;1,""ডুপ্লিকেট"",""""))"),"figurative ছোট")</f>
        <v>figurative ছোট</v>
      </c>
      <c r="Q240" s="5" t="str">
        <f t="shared" si="1"/>
        <v>১ আগে দেখো</v>
      </c>
    </row>
    <row r="241">
      <c r="A241" s="4">
        <v>4772.0</v>
      </c>
      <c r="B241" s="2" t="s">
        <v>1207</v>
      </c>
      <c r="C241" s="2" t="s">
        <v>1208</v>
      </c>
      <c r="D241" s="2" t="s">
        <v>1209</v>
      </c>
      <c r="E241" s="2" t="s">
        <v>1210</v>
      </c>
      <c r="F241" s="2" t="b">
        <v>1</v>
      </c>
      <c r="G241" s="2" t="b">
        <v>1</v>
      </c>
      <c r="H241" s="2" t="s">
        <v>1211</v>
      </c>
      <c r="I241" s="2" t="s">
        <v>49</v>
      </c>
      <c r="J241" s="2" t="s">
        <v>1212</v>
      </c>
      <c r="K241" s="2" t="s">
        <v>495</v>
      </c>
      <c r="L241" s="13" t="s">
        <v>496</v>
      </c>
      <c r="M241" s="2" t="s">
        <v>26</v>
      </c>
      <c r="N241" s="11" t="s">
        <v>576</v>
      </c>
      <c r="O241" s="12" t="s">
        <v>53</v>
      </c>
      <c r="P241" s="5" t="str">
        <f>IFERROR(__xludf.DUMMYFUNCTION("TEXTJOIN("" | "",TRUE,IF(OR(D241="""",E241="""",I241="""",J241="""",H241=""""),""ফাঁকা ঘর"",""""),IF(AND(C241&lt;&gt;"""",D241&lt;&gt;"""",C241=D241),""gloss=figurative"",""""),IF(LEN(D241)&lt;15,""figurative ছোট"",""""),IF(AND(I241=""Positive"",REGEXMATCH(H241,""মূর্খ|"&amp;"ভণ্ড|প্রতার|অলস|লোভ|স্বার্থ|অক্ষম|অযোগ্য|বোকা|কৃপণ|হিংস"")),""valence-target অমিল"",""""),IF(COUNTIF($B:$B,B241)&gt;1,""ডুপ্লিকেট"",""""))"),"figurative ছোট")</f>
        <v>figurative ছোট</v>
      </c>
      <c r="Q241" s="5" t="str">
        <f t="shared" si="1"/>
        <v>১ আগে দেখো</v>
      </c>
    </row>
    <row r="242">
      <c r="A242" s="4">
        <v>4775.0</v>
      </c>
      <c r="B242" s="2" t="s">
        <v>1213</v>
      </c>
      <c r="C242" s="2" t="s">
        <v>1213</v>
      </c>
      <c r="D242" s="2" t="s">
        <v>1214</v>
      </c>
      <c r="E242" s="2" t="s">
        <v>1215</v>
      </c>
      <c r="F242" s="2" t="b">
        <v>1</v>
      </c>
      <c r="G242" s="2" t="b">
        <v>1</v>
      </c>
      <c r="H242" s="2" t="s">
        <v>1216</v>
      </c>
      <c r="I242" s="2" t="s">
        <v>22</v>
      </c>
      <c r="J242" s="2" t="s">
        <v>590</v>
      </c>
      <c r="K242" s="2" t="s">
        <v>495</v>
      </c>
      <c r="L242" s="13" t="s">
        <v>496</v>
      </c>
      <c r="M242" s="2" t="s">
        <v>26</v>
      </c>
      <c r="N242" s="11" t="s">
        <v>576</v>
      </c>
      <c r="O242" s="12" t="s">
        <v>53</v>
      </c>
      <c r="P242" s="5" t="str">
        <f>IFERROR(__xludf.DUMMYFUNCTION("TEXTJOIN("" | "",TRUE,IF(OR(D242="""",E242="""",I242="""",J242="""",H242=""""),""ফাঁকা ঘর"",""""),IF(AND(C242&lt;&gt;"""",D242&lt;&gt;"""",C242=D242),""gloss=figurative"",""""),IF(LEN(D242)&lt;15,""figurative ছোট"",""""),IF(AND(I242=""Positive"",REGEXMATCH(H242,""মূর্খ|"&amp;"ভণ্ড|প্রতার|অলস|লোভ|স্বার্থ|অক্ষম|অযোগ্য|বোকা|কৃপণ|হিংস"")),""valence-target অমিল"",""""),IF(COUNTIF($B:$B,B242)&gt;1,""ডুপ্লিকেট"",""""))"),"figurative ছোট")</f>
        <v>figurative ছোট</v>
      </c>
      <c r="Q242" s="5" t="str">
        <f t="shared" si="1"/>
        <v>১ আগে দেখো</v>
      </c>
    </row>
    <row r="243">
      <c r="A243" s="4">
        <v>4776.0</v>
      </c>
      <c r="B243" s="2" t="s">
        <v>1217</v>
      </c>
      <c r="C243" s="2" t="s">
        <v>1218</v>
      </c>
      <c r="D243" s="2" t="s">
        <v>1219</v>
      </c>
      <c r="E243" s="2" t="s">
        <v>1220</v>
      </c>
      <c r="F243" s="2" t="b">
        <v>1</v>
      </c>
      <c r="G243" s="2" t="b">
        <v>0</v>
      </c>
      <c r="H243" s="2" t="s">
        <v>37</v>
      </c>
      <c r="I243" s="2" t="s">
        <v>22</v>
      </c>
      <c r="J243" s="2" t="s">
        <v>1221</v>
      </c>
      <c r="K243" s="2" t="s">
        <v>495</v>
      </c>
      <c r="L243" s="13" t="s">
        <v>496</v>
      </c>
      <c r="M243" s="2" t="s">
        <v>26</v>
      </c>
      <c r="N243" s="11" t="s">
        <v>576</v>
      </c>
      <c r="O243" s="12" t="s">
        <v>53</v>
      </c>
      <c r="P243" s="5" t="str">
        <f>IFERROR(__xludf.DUMMYFUNCTION("TEXTJOIN("" | "",TRUE,IF(OR(D243="""",E243="""",I243="""",J243="""",H243=""""),""ফাঁকা ঘর"",""""),IF(AND(C243&lt;&gt;"""",D243&lt;&gt;"""",C243=D243),""gloss=figurative"",""""),IF(LEN(D243)&lt;15,""figurative ছোট"",""""),IF(AND(I243=""Positive"",REGEXMATCH(H243,""মূর্খ|"&amp;"ভণ্ড|প্রতার|অলস|লোভ|স্বার্থ|অক্ষম|অযোগ্য|বোকা|কৃপণ|হিংস"")),""valence-target অমিল"",""""),IF(COUNTIF($B:$B,B243)&gt;1,""ডুপ্লিকেট"",""""))"),"figurative ছোট")</f>
        <v>figurative ছোট</v>
      </c>
      <c r="Q243" s="5" t="str">
        <f t="shared" si="1"/>
        <v>১ আগে দেখো</v>
      </c>
    </row>
    <row r="244">
      <c r="A244" s="4">
        <v>4778.0</v>
      </c>
      <c r="B244" s="2" t="s">
        <v>1222</v>
      </c>
      <c r="C244" s="2" t="s">
        <v>1223</v>
      </c>
      <c r="D244" s="2" t="s">
        <v>1224</v>
      </c>
      <c r="E244" s="2" t="s">
        <v>1225</v>
      </c>
      <c r="F244" s="2" t="b">
        <v>1</v>
      </c>
      <c r="G244" s="2" t="b">
        <v>0</v>
      </c>
      <c r="H244" s="2" t="s">
        <v>37</v>
      </c>
      <c r="I244" s="2" t="s">
        <v>22</v>
      </c>
      <c r="J244" s="2" t="s">
        <v>1226</v>
      </c>
      <c r="K244" s="2" t="s">
        <v>495</v>
      </c>
      <c r="L244" s="13" t="s">
        <v>496</v>
      </c>
      <c r="M244" s="2" t="s">
        <v>26</v>
      </c>
      <c r="N244" s="11" t="s">
        <v>1227</v>
      </c>
      <c r="O244" s="12" t="s">
        <v>53</v>
      </c>
      <c r="P244" s="5" t="str">
        <f>IFERROR(__xludf.DUMMYFUNCTION("TEXTJOIN("" | "",TRUE,IF(OR(D244="""",E244="""",I244="""",J244="""",H244=""""),""ফাঁকা ঘর"",""""),IF(AND(C244&lt;&gt;"""",D244&lt;&gt;"""",C244=D244),""gloss=figurative"",""""),IF(LEN(D244)&lt;15,""figurative ছোট"",""""),IF(AND(I244=""Positive"",REGEXMATCH(H244,""মূর্খ|"&amp;"ভণ্ড|প্রতার|অলস|লোভ|স্বার্থ|অক্ষম|অযোগ্য|বোকা|কৃপণ|হিংস"")),""valence-target অমিল"",""""),IF(COUNTIF($B:$B,B244)&gt;1,""ডুপ্লিকেট"",""""))"),"figurative ছোট")</f>
        <v>figurative ছোট</v>
      </c>
      <c r="Q244" s="5" t="str">
        <f t="shared" si="1"/>
        <v>১ আগে দেখো</v>
      </c>
    </row>
    <row r="245">
      <c r="A245" s="4">
        <v>4784.0</v>
      </c>
      <c r="B245" s="2" t="s">
        <v>1228</v>
      </c>
      <c r="C245" s="2" t="s">
        <v>1229</v>
      </c>
      <c r="D245" s="2" t="s">
        <v>1230</v>
      </c>
      <c r="E245" s="2" t="s">
        <v>1231</v>
      </c>
      <c r="F245" s="2" t="b">
        <v>1</v>
      </c>
      <c r="G245" s="2" t="b">
        <v>0</v>
      </c>
      <c r="H245" s="2" t="s">
        <v>1232</v>
      </c>
      <c r="I245" s="2" t="s">
        <v>22</v>
      </c>
      <c r="J245" s="2" t="s">
        <v>1233</v>
      </c>
      <c r="K245" s="2" t="s">
        <v>495</v>
      </c>
      <c r="L245" s="13" t="s">
        <v>496</v>
      </c>
      <c r="M245" s="2" t="s">
        <v>26</v>
      </c>
      <c r="N245" s="11" t="s">
        <v>576</v>
      </c>
      <c r="O245" s="12" t="s">
        <v>53</v>
      </c>
      <c r="P245" s="5" t="str">
        <f>IFERROR(__xludf.DUMMYFUNCTION("TEXTJOIN("" | "",TRUE,IF(OR(D245="""",E245="""",I245="""",J245="""",H245=""""),""ফাঁকা ঘর"",""""),IF(AND(C245&lt;&gt;"""",D245&lt;&gt;"""",C245=D245),""gloss=figurative"",""""),IF(LEN(D245)&lt;15,""figurative ছোট"",""""),IF(AND(I245=""Positive"",REGEXMATCH(H245,""মূর্খ|"&amp;"ভণ্ড|প্রতার|অলস|লোভ|স্বার্থ|অক্ষম|অযোগ্য|বোকা|কৃপণ|হিংস"")),""valence-target অমিল"",""""),IF(COUNTIF($B:$B,B245)&gt;1,""ডুপ্লিকেট"",""""))"),"figurative ছোট")</f>
        <v>figurative ছোট</v>
      </c>
      <c r="Q245" s="5" t="str">
        <f t="shared" si="1"/>
        <v>১ আগে দেখো</v>
      </c>
    </row>
    <row r="246">
      <c r="A246" s="4">
        <v>4785.0</v>
      </c>
      <c r="B246" s="2" t="s">
        <v>1234</v>
      </c>
      <c r="C246" s="2" t="s">
        <v>1235</v>
      </c>
      <c r="D246" s="2" t="s">
        <v>1236</v>
      </c>
      <c r="E246" s="2" t="s">
        <v>1237</v>
      </c>
      <c r="F246" s="2" t="b">
        <v>1</v>
      </c>
      <c r="G246" s="2" t="b">
        <v>0</v>
      </c>
      <c r="H246" s="2" t="s">
        <v>1238</v>
      </c>
      <c r="I246" s="2" t="s">
        <v>49</v>
      </c>
      <c r="J246" s="2" t="s">
        <v>1239</v>
      </c>
      <c r="K246" s="2" t="s">
        <v>495</v>
      </c>
      <c r="L246" s="13" t="s">
        <v>496</v>
      </c>
      <c r="M246" s="2" t="s">
        <v>26</v>
      </c>
      <c r="N246" s="11" t="s">
        <v>576</v>
      </c>
      <c r="O246" s="12" t="s">
        <v>53</v>
      </c>
      <c r="P246" s="5" t="str">
        <f>IFERROR(__xludf.DUMMYFUNCTION("TEXTJOIN("" | "",TRUE,IF(OR(D246="""",E246="""",I246="""",J246="""",H246=""""),""ফাঁকা ঘর"",""""),IF(AND(C246&lt;&gt;"""",D246&lt;&gt;"""",C246=D246),""gloss=figurative"",""""),IF(LEN(D246)&lt;15,""figurative ছোট"",""""),IF(AND(I246=""Positive"",REGEXMATCH(H246,""মূর্খ|"&amp;"ভণ্ড|প্রতার|অলস|লোভ|স্বার্থ|অক্ষম|অযোগ্য|বোকা|কৃপণ|হিংস"")),""valence-target অমিল"",""""),IF(COUNTIF($B:$B,B246)&gt;1,""ডুপ্লিকেট"",""""))"),"figurative ছোট")</f>
        <v>figurative ছোট</v>
      </c>
      <c r="Q246" s="5" t="str">
        <f t="shared" si="1"/>
        <v>১ আগে দেখো</v>
      </c>
    </row>
    <row r="247">
      <c r="A247" s="4">
        <v>4788.0</v>
      </c>
      <c r="B247" s="2" t="s">
        <v>1240</v>
      </c>
      <c r="C247" s="2" t="s">
        <v>1241</v>
      </c>
      <c r="D247" s="2" t="s">
        <v>1242</v>
      </c>
      <c r="E247" s="2" t="s">
        <v>1243</v>
      </c>
      <c r="F247" s="2" t="b">
        <v>1</v>
      </c>
      <c r="G247" s="2" t="b">
        <v>0</v>
      </c>
      <c r="H247" s="2" t="s">
        <v>37</v>
      </c>
      <c r="I247" s="2" t="s">
        <v>22</v>
      </c>
      <c r="J247" s="2" t="s">
        <v>1244</v>
      </c>
      <c r="K247" s="2" t="s">
        <v>495</v>
      </c>
      <c r="L247" s="13" t="s">
        <v>496</v>
      </c>
      <c r="M247" s="2" t="s">
        <v>26</v>
      </c>
      <c r="N247" s="11" t="s">
        <v>576</v>
      </c>
      <c r="O247" s="12" t="s">
        <v>53</v>
      </c>
      <c r="P247" s="5" t="str">
        <f>IFERROR(__xludf.DUMMYFUNCTION("TEXTJOIN("" | "",TRUE,IF(OR(D247="""",E247="""",I247="""",J247="""",H247=""""),""ফাঁকা ঘর"",""""),IF(AND(C247&lt;&gt;"""",D247&lt;&gt;"""",C247=D247),""gloss=figurative"",""""),IF(LEN(D247)&lt;15,""figurative ছোট"",""""),IF(AND(I247=""Positive"",REGEXMATCH(H247,""মূর্খ|"&amp;"ভণ্ড|প্রতার|অলস|লোভ|স্বার্থ|অক্ষম|অযোগ্য|বোকা|কৃপণ|হিংস"")),""valence-target অমিল"",""""),IF(COUNTIF($B:$B,B247)&gt;1,""ডুপ্লিকেট"",""""))"),"figurative ছোট")</f>
        <v>figurative ছোট</v>
      </c>
      <c r="Q247" s="5" t="str">
        <f t="shared" si="1"/>
        <v>১ আগে দেখো</v>
      </c>
    </row>
    <row r="248">
      <c r="A248" s="4">
        <v>4789.0</v>
      </c>
      <c r="B248" s="2" t="s">
        <v>1245</v>
      </c>
      <c r="C248" s="2" t="s">
        <v>1246</v>
      </c>
      <c r="D248" s="2" t="s">
        <v>1247</v>
      </c>
      <c r="E248" s="2" t="s">
        <v>1248</v>
      </c>
      <c r="F248" s="2" t="b">
        <v>1</v>
      </c>
      <c r="G248" s="2" t="b">
        <v>0</v>
      </c>
      <c r="H248" s="2" t="s">
        <v>37</v>
      </c>
      <c r="I248" s="2" t="s">
        <v>32</v>
      </c>
      <c r="J248" s="2" t="s">
        <v>1249</v>
      </c>
      <c r="K248" s="2" t="s">
        <v>495</v>
      </c>
      <c r="L248" s="13" t="s">
        <v>496</v>
      </c>
      <c r="M248" s="2" t="s">
        <v>26</v>
      </c>
      <c r="N248" s="11" t="s">
        <v>576</v>
      </c>
      <c r="O248" s="12" t="s">
        <v>53</v>
      </c>
      <c r="P248" s="5" t="str">
        <f>IFERROR(__xludf.DUMMYFUNCTION("TEXTJOIN("" | "",TRUE,IF(OR(D248="""",E248="""",I248="""",J248="""",H248=""""),""ফাঁকা ঘর"",""""),IF(AND(C248&lt;&gt;"""",D248&lt;&gt;"""",C248=D248),""gloss=figurative"",""""),IF(LEN(D248)&lt;15,""figurative ছোট"",""""),IF(AND(I248=""Positive"",REGEXMATCH(H248,""মূর্খ|"&amp;"ভণ্ড|প্রতার|অলস|লোভ|স্বার্থ|অক্ষম|অযোগ্য|বোকা|কৃপণ|হিংস"")),""valence-target অমিল"",""""),IF(COUNTIF($B:$B,B248)&gt;1,""ডুপ্লিকেট"",""""))"),"figurative ছোট")</f>
        <v>figurative ছোট</v>
      </c>
      <c r="Q248" s="5" t="str">
        <f t="shared" si="1"/>
        <v>১ আগে দেখো</v>
      </c>
    </row>
    <row r="249">
      <c r="A249" s="4">
        <v>4790.0</v>
      </c>
      <c r="B249" s="2" t="s">
        <v>1250</v>
      </c>
      <c r="C249" s="2" t="s">
        <v>1251</v>
      </c>
      <c r="D249" s="2" t="s">
        <v>1252</v>
      </c>
      <c r="E249" s="2" t="s">
        <v>1253</v>
      </c>
      <c r="F249" s="2" t="b">
        <v>1</v>
      </c>
      <c r="G249" s="2" t="b">
        <v>0</v>
      </c>
      <c r="H249" s="2" t="s">
        <v>37</v>
      </c>
      <c r="I249" s="2" t="s">
        <v>49</v>
      </c>
      <c r="J249" s="2" t="s">
        <v>1254</v>
      </c>
      <c r="K249" s="2" t="s">
        <v>495</v>
      </c>
      <c r="L249" s="13" t="s">
        <v>496</v>
      </c>
      <c r="M249" s="2" t="s">
        <v>26</v>
      </c>
      <c r="N249" s="11" t="s">
        <v>576</v>
      </c>
      <c r="O249" s="12" t="s">
        <v>53</v>
      </c>
      <c r="P249" s="5" t="str">
        <f>IFERROR(__xludf.DUMMYFUNCTION("TEXTJOIN("" | "",TRUE,IF(OR(D249="""",E249="""",I249="""",J249="""",H249=""""),""ফাঁকা ঘর"",""""),IF(AND(C249&lt;&gt;"""",D249&lt;&gt;"""",C249=D249),""gloss=figurative"",""""),IF(LEN(D249)&lt;15,""figurative ছোট"",""""),IF(AND(I249=""Positive"",REGEXMATCH(H249,""মূর্খ|"&amp;"ভণ্ড|প্রতার|অলস|লোভ|স্বার্থ|অক্ষম|অযোগ্য|বোকা|কৃপণ|হিংস"")),""valence-target অমিল"",""""),IF(COUNTIF($B:$B,B249)&gt;1,""ডুপ্লিকেট"",""""))"),"figurative ছোট")</f>
        <v>figurative ছোট</v>
      </c>
      <c r="Q249" s="5" t="str">
        <f t="shared" si="1"/>
        <v>১ আগে দেখো</v>
      </c>
    </row>
    <row r="250">
      <c r="A250" s="4">
        <v>4791.0</v>
      </c>
      <c r="B250" s="2" t="s">
        <v>1255</v>
      </c>
      <c r="C250" s="2" t="s">
        <v>1256</v>
      </c>
      <c r="D250" s="2" t="s">
        <v>1257</v>
      </c>
      <c r="E250" s="2" t="s">
        <v>1258</v>
      </c>
      <c r="F250" s="2" t="b">
        <v>1</v>
      </c>
      <c r="G250" s="2" t="b">
        <v>0</v>
      </c>
      <c r="H250" s="2" t="s">
        <v>37</v>
      </c>
      <c r="I250" s="2" t="s">
        <v>49</v>
      </c>
      <c r="J250" s="2" t="s">
        <v>1259</v>
      </c>
      <c r="K250" s="2" t="s">
        <v>495</v>
      </c>
      <c r="L250" s="13" t="s">
        <v>496</v>
      </c>
      <c r="M250" s="2" t="s">
        <v>26</v>
      </c>
      <c r="N250" s="11" t="s">
        <v>576</v>
      </c>
      <c r="O250" s="12" t="s">
        <v>53</v>
      </c>
      <c r="P250" s="5" t="str">
        <f>IFERROR(__xludf.DUMMYFUNCTION("TEXTJOIN("" | "",TRUE,IF(OR(D250="""",E250="""",I250="""",J250="""",H250=""""),""ফাঁকা ঘর"",""""),IF(AND(C250&lt;&gt;"""",D250&lt;&gt;"""",C250=D250),""gloss=figurative"",""""),IF(LEN(D250)&lt;15,""figurative ছোট"",""""),IF(AND(I250=""Positive"",REGEXMATCH(H250,""মূর্খ|"&amp;"ভণ্ড|প্রতার|অলস|লোভ|স্বার্থ|অক্ষম|অযোগ্য|বোকা|কৃপণ|হিংস"")),""valence-target অমিল"",""""),IF(COUNTIF($B:$B,B250)&gt;1,""ডুপ্লিকেট"",""""))"),"figurative ছোট")</f>
        <v>figurative ছোট</v>
      </c>
      <c r="Q250" s="5" t="str">
        <f t="shared" si="1"/>
        <v>১ আগে দেখো</v>
      </c>
    </row>
    <row r="251">
      <c r="A251" s="4">
        <v>4794.0</v>
      </c>
      <c r="B251" s="2" t="s">
        <v>1260</v>
      </c>
      <c r="C251" s="2" t="s">
        <v>1261</v>
      </c>
      <c r="D251" s="2" t="s">
        <v>1262</v>
      </c>
      <c r="E251" s="2" t="s">
        <v>1263</v>
      </c>
      <c r="F251" s="2" t="b">
        <v>1</v>
      </c>
      <c r="G251" s="2" t="b">
        <v>0</v>
      </c>
      <c r="H251" s="2" t="s">
        <v>37</v>
      </c>
      <c r="I251" s="2" t="s">
        <v>49</v>
      </c>
      <c r="J251" s="2" t="s">
        <v>1264</v>
      </c>
      <c r="K251" s="2" t="s">
        <v>495</v>
      </c>
      <c r="L251" s="13" t="s">
        <v>496</v>
      </c>
      <c r="M251" s="2" t="s">
        <v>26</v>
      </c>
      <c r="N251" s="11" t="s">
        <v>576</v>
      </c>
      <c r="O251" s="12" t="s">
        <v>53</v>
      </c>
      <c r="P251" s="5" t="str">
        <f>IFERROR(__xludf.DUMMYFUNCTION("TEXTJOIN("" | "",TRUE,IF(OR(D251="""",E251="""",I251="""",J251="""",H251=""""),""ফাঁকা ঘর"",""""),IF(AND(C251&lt;&gt;"""",D251&lt;&gt;"""",C251=D251),""gloss=figurative"",""""),IF(LEN(D251)&lt;15,""figurative ছোট"",""""),IF(AND(I251=""Positive"",REGEXMATCH(H251,""মূর্খ|"&amp;"ভণ্ড|প্রতার|অলস|লোভ|স্বার্থ|অক্ষম|অযোগ্য|বোকা|কৃপণ|হিংস"")),""valence-target অমিল"",""""),IF(COUNTIF($B:$B,B251)&gt;1,""ডুপ্লিকেট"",""""))"),"figurative ছোট")</f>
        <v>figurative ছোট</v>
      </c>
      <c r="Q251" s="5" t="str">
        <f t="shared" si="1"/>
        <v>১ আগে দেখো</v>
      </c>
    </row>
    <row r="252">
      <c r="A252" s="4">
        <v>4796.0</v>
      </c>
      <c r="B252" s="2" t="s">
        <v>1265</v>
      </c>
      <c r="C252" s="2" t="s">
        <v>1266</v>
      </c>
      <c r="D252" s="2" t="s">
        <v>1267</v>
      </c>
      <c r="E252" s="2" t="s">
        <v>1268</v>
      </c>
      <c r="F252" s="2" t="b">
        <v>1</v>
      </c>
      <c r="G252" s="2" t="b">
        <v>0</v>
      </c>
      <c r="H252" s="2" t="s">
        <v>37</v>
      </c>
      <c r="I252" s="2" t="s">
        <v>32</v>
      </c>
      <c r="J252" s="2" t="s">
        <v>1249</v>
      </c>
      <c r="K252" s="2" t="s">
        <v>495</v>
      </c>
      <c r="L252" s="13" t="s">
        <v>496</v>
      </c>
      <c r="M252" s="2" t="s">
        <v>26</v>
      </c>
      <c r="N252" s="11" t="s">
        <v>576</v>
      </c>
      <c r="O252" s="12" t="s">
        <v>53</v>
      </c>
      <c r="P252" s="5" t="str">
        <f>IFERROR(__xludf.DUMMYFUNCTION("TEXTJOIN("" | "",TRUE,IF(OR(D252="""",E252="""",I252="""",J252="""",H252=""""),""ফাঁকা ঘর"",""""),IF(AND(C252&lt;&gt;"""",D252&lt;&gt;"""",C252=D252),""gloss=figurative"",""""),IF(LEN(D252)&lt;15,""figurative ছোট"",""""),IF(AND(I252=""Positive"",REGEXMATCH(H252,""মূর্খ|"&amp;"ভণ্ড|প্রতার|অলস|লোভ|স্বার্থ|অক্ষম|অযোগ্য|বোকা|কৃপণ|হিংস"")),""valence-target অমিল"",""""),IF(COUNTIF($B:$B,B252)&gt;1,""ডুপ্লিকেট"",""""))"),"figurative ছোট")</f>
        <v>figurative ছোট</v>
      </c>
      <c r="Q252" s="5" t="str">
        <f t="shared" si="1"/>
        <v>১ আগে দেখো</v>
      </c>
    </row>
    <row r="253">
      <c r="A253" s="4">
        <v>4797.0</v>
      </c>
      <c r="B253" s="2" t="s">
        <v>1269</v>
      </c>
      <c r="C253" s="2" t="s">
        <v>1270</v>
      </c>
      <c r="D253" s="2" t="s">
        <v>1271</v>
      </c>
      <c r="E253" s="2" t="s">
        <v>1272</v>
      </c>
      <c r="F253" s="2" t="b">
        <v>1</v>
      </c>
      <c r="G253" s="2" t="b">
        <v>0</v>
      </c>
      <c r="H253" s="2" t="s">
        <v>37</v>
      </c>
      <c r="I253" s="2" t="s">
        <v>49</v>
      </c>
      <c r="J253" s="2" t="s">
        <v>1060</v>
      </c>
      <c r="K253" s="2" t="s">
        <v>495</v>
      </c>
      <c r="L253" s="13" t="s">
        <v>496</v>
      </c>
      <c r="M253" s="2" t="s">
        <v>26</v>
      </c>
      <c r="N253" s="11" t="s">
        <v>576</v>
      </c>
      <c r="O253" s="12" t="s">
        <v>53</v>
      </c>
      <c r="P253" s="5" t="str">
        <f>IFERROR(__xludf.DUMMYFUNCTION("TEXTJOIN("" | "",TRUE,IF(OR(D253="""",E253="""",I253="""",J253="""",H253=""""),""ফাঁকা ঘর"",""""),IF(AND(C253&lt;&gt;"""",D253&lt;&gt;"""",C253=D253),""gloss=figurative"",""""),IF(LEN(D253)&lt;15,""figurative ছোট"",""""),IF(AND(I253=""Positive"",REGEXMATCH(H253,""মূর্খ|"&amp;"ভণ্ড|প্রতার|অলস|লোভ|স্বার্থ|অক্ষম|অযোগ্য|বোকা|কৃপণ|হিংস"")),""valence-target অমিল"",""""),IF(COUNTIF($B:$B,B253)&gt;1,""ডুপ্লিকেট"",""""))"),"figurative ছোট")</f>
        <v>figurative ছোট</v>
      </c>
      <c r="Q253" s="5" t="str">
        <f t="shared" si="1"/>
        <v>১ আগে দেখো</v>
      </c>
    </row>
    <row r="254">
      <c r="A254" s="4">
        <v>4803.0</v>
      </c>
      <c r="B254" s="2" t="s">
        <v>1273</v>
      </c>
      <c r="C254" s="2" t="s">
        <v>1274</v>
      </c>
      <c r="D254" s="2" t="s">
        <v>1197</v>
      </c>
      <c r="E254" s="2" t="s">
        <v>1275</v>
      </c>
      <c r="F254" s="2" t="b">
        <v>1</v>
      </c>
      <c r="G254" s="2" t="b">
        <v>0</v>
      </c>
      <c r="H254" s="2" t="s">
        <v>37</v>
      </c>
      <c r="I254" s="2" t="s">
        <v>32</v>
      </c>
      <c r="J254" s="2" t="s">
        <v>1194</v>
      </c>
      <c r="K254" s="2" t="s">
        <v>495</v>
      </c>
      <c r="L254" s="13" t="s">
        <v>496</v>
      </c>
      <c r="M254" s="2" t="s">
        <v>26</v>
      </c>
      <c r="N254" s="11" t="s">
        <v>576</v>
      </c>
      <c r="O254" s="12" t="s">
        <v>53</v>
      </c>
      <c r="P254" s="5" t="str">
        <f>IFERROR(__xludf.DUMMYFUNCTION("TEXTJOIN("" | "",TRUE,IF(OR(D254="""",E254="""",I254="""",J254="""",H254=""""),""ফাঁকা ঘর"",""""),IF(AND(C254&lt;&gt;"""",D254&lt;&gt;"""",C254=D254),""gloss=figurative"",""""),IF(LEN(D254)&lt;15,""figurative ছোট"",""""),IF(AND(I254=""Positive"",REGEXMATCH(H254,""মূর্খ|"&amp;"ভণ্ড|প্রতার|অলস|লোভ|স্বার্থ|অক্ষম|অযোগ্য|বোকা|কৃপণ|হিংস"")),""valence-target অমিল"",""""),IF(COUNTIF($B:$B,B254)&gt;1,""ডুপ্লিকেট"",""""))"),"figurative ছোট")</f>
        <v>figurative ছোট</v>
      </c>
      <c r="Q254" s="5" t="str">
        <f t="shared" si="1"/>
        <v>১ আগে দেখো</v>
      </c>
    </row>
    <row r="255">
      <c r="A255" s="4">
        <v>4804.0</v>
      </c>
      <c r="B255" s="2" t="s">
        <v>1276</v>
      </c>
      <c r="C255" s="2" t="s">
        <v>1277</v>
      </c>
      <c r="D255" s="2" t="s">
        <v>1278</v>
      </c>
      <c r="E255" s="2" t="s">
        <v>1279</v>
      </c>
      <c r="F255" s="2" t="b">
        <v>1</v>
      </c>
      <c r="G255" s="2" t="b">
        <v>0</v>
      </c>
      <c r="H255" s="2" t="s">
        <v>37</v>
      </c>
      <c r="I255" s="2" t="s">
        <v>32</v>
      </c>
      <c r="J255" s="2" t="s">
        <v>1244</v>
      </c>
      <c r="K255" s="2" t="s">
        <v>495</v>
      </c>
      <c r="L255" s="13" t="s">
        <v>496</v>
      </c>
      <c r="M255" s="2" t="s">
        <v>26</v>
      </c>
      <c r="N255" s="11" t="s">
        <v>576</v>
      </c>
      <c r="O255" s="12" t="s">
        <v>53</v>
      </c>
      <c r="P255" s="5" t="str">
        <f>IFERROR(__xludf.DUMMYFUNCTION("TEXTJOIN("" | "",TRUE,IF(OR(D255="""",E255="""",I255="""",J255="""",H255=""""),""ফাঁকা ঘর"",""""),IF(AND(C255&lt;&gt;"""",D255&lt;&gt;"""",C255=D255),""gloss=figurative"",""""),IF(LEN(D255)&lt;15,""figurative ছোট"",""""),IF(AND(I255=""Positive"",REGEXMATCH(H255,""মূর্খ|"&amp;"ভণ্ড|প্রতার|অলস|লোভ|স্বার্থ|অক্ষম|অযোগ্য|বোকা|কৃপণ|হিংস"")),""valence-target অমিল"",""""),IF(COUNTIF($B:$B,B255)&gt;1,""ডুপ্লিকেট"",""""))"),"figurative ছোট")</f>
        <v>figurative ছোট</v>
      </c>
      <c r="Q255" s="5" t="str">
        <f t="shared" si="1"/>
        <v>১ আগে দেখো</v>
      </c>
    </row>
    <row r="256">
      <c r="A256" s="4">
        <v>4811.0</v>
      </c>
      <c r="B256" s="2" t="s">
        <v>1280</v>
      </c>
      <c r="C256" s="2" t="s">
        <v>1281</v>
      </c>
      <c r="D256" s="2" t="s">
        <v>1282</v>
      </c>
      <c r="E256" s="2" t="s">
        <v>1283</v>
      </c>
      <c r="F256" s="2" t="b">
        <v>1</v>
      </c>
      <c r="G256" s="2" t="b">
        <v>0</v>
      </c>
      <c r="H256" s="2" t="s">
        <v>1284</v>
      </c>
      <c r="I256" s="2" t="s">
        <v>32</v>
      </c>
      <c r="J256" s="2" t="s">
        <v>996</v>
      </c>
      <c r="K256" s="2" t="s">
        <v>495</v>
      </c>
      <c r="L256" s="13" t="s">
        <v>496</v>
      </c>
      <c r="M256" s="2" t="s">
        <v>26</v>
      </c>
      <c r="N256" s="11" t="s">
        <v>576</v>
      </c>
      <c r="O256" s="12" t="s">
        <v>53</v>
      </c>
      <c r="P256" s="5" t="str">
        <f>IFERROR(__xludf.DUMMYFUNCTION("TEXTJOIN("" | "",TRUE,IF(OR(D256="""",E256="""",I256="""",J256="""",H256=""""),""ফাঁকা ঘর"",""""),IF(AND(C256&lt;&gt;"""",D256&lt;&gt;"""",C256=D256),""gloss=figurative"",""""),IF(LEN(D256)&lt;15,""figurative ছোট"",""""),IF(AND(I256=""Positive"",REGEXMATCH(H256,""মূর্খ|"&amp;"ভণ্ড|প্রতার|অলস|লোভ|স্বার্থ|অক্ষম|অযোগ্য|বোকা|কৃপণ|হিংস"")),""valence-target অমিল"",""""),IF(COUNTIF($B:$B,B256)&gt;1,""ডুপ্লিকেট"",""""))"),"figurative ছোট")</f>
        <v>figurative ছোট</v>
      </c>
      <c r="Q256" s="5" t="str">
        <f t="shared" si="1"/>
        <v>১ আগে দেখো</v>
      </c>
    </row>
    <row r="257">
      <c r="A257" s="4">
        <v>4813.0</v>
      </c>
      <c r="B257" s="2" t="s">
        <v>1285</v>
      </c>
      <c r="C257" s="2" t="s">
        <v>1286</v>
      </c>
      <c r="D257" s="2" t="s">
        <v>1287</v>
      </c>
      <c r="E257" s="2" t="s">
        <v>1288</v>
      </c>
      <c r="F257" s="2" t="b">
        <v>1</v>
      </c>
      <c r="G257" s="2" t="b">
        <v>0</v>
      </c>
      <c r="H257" s="2" t="s">
        <v>1284</v>
      </c>
      <c r="I257" s="2" t="s">
        <v>22</v>
      </c>
      <c r="J257" s="2" t="s">
        <v>784</v>
      </c>
      <c r="K257" s="2" t="s">
        <v>495</v>
      </c>
      <c r="L257" s="13" t="s">
        <v>496</v>
      </c>
      <c r="M257" s="2" t="s">
        <v>26</v>
      </c>
      <c r="N257" s="11" t="s">
        <v>576</v>
      </c>
      <c r="O257" s="12" t="s">
        <v>53</v>
      </c>
      <c r="P257" s="5" t="str">
        <f>IFERROR(__xludf.DUMMYFUNCTION("TEXTJOIN("" | "",TRUE,IF(OR(D257="""",E257="""",I257="""",J257="""",H257=""""),""ফাঁকা ঘর"",""""),IF(AND(C257&lt;&gt;"""",D257&lt;&gt;"""",C257=D257),""gloss=figurative"",""""),IF(LEN(D257)&lt;15,""figurative ছোট"",""""),IF(AND(I257=""Positive"",REGEXMATCH(H257,""মূর্খ|"&amp;"ভণ্ড|প্রতার|অলস|লোভ|স্বার্থ|অক্ষম|অযোগ্য|বোকা|কৃপণ|হিংস"")),""valence-target অমিল"",""""),IF(COUNTIF($B:$B,B257)&gt;1,""ডুপ্লিকেট"",""""))"),"figurative ছোট")</f>
        <v>figurative ছোট</v>
      </c>
      <c r="Q257" s="5" t="str">
        <f t="shared" si="1"/>
        <v>১ আগে দেখো</v>
      </c>
    </row>
    <row r="258">
      <c r="A258" s="4">
        <v>4814.0</v>
      </c>
      <c r="B258" s="2" t="s">
        <v>1289</v>
      </c>
      <c r="C258" s="2" t="s">
        <v>1290</v>
      </c>
      <c r="D258" s="2" t="s">
        <v>1291</v>
      </c>
      <c r="E258" s="2" t="s">
        <v>1292</v>
      </c>
      <c r="F258" s="2" t="b">
        <v>1</v>
      </c>
      <c r="G258" s="2" t="b">
        <v>0</v>
      </c>
      <c r="H258" s="2" t="s">
        <v>37</v>
      </c>
      <c r="I258" s="2" t="s">
        <v>49</v>
      </c>
      <c r="J258" s="2" t="s">
        <v>1293</v>
      </c>
      <c r="K258" s="2" t="s">
        <v>495</v>
      </c>
      <c r="L258" s="13" t="s">
        <v>496</v>
      </c>
      <c r="M258" s="2" t="s">
        <v>26</v>
      </c>
      <c r="N258" s="11" t="s">
        <v>576</v>
      </c>
      <c r="O258" s="12" t="s">
        <v>53</v>
      </c>
      <c r="P258" s="5" t="str">
        <f>IFERROR(__xludf.DUMMYFUNCTION("TEXTJOIN("" | "",TRUE,IF(OR(D258="""",E258="""",I258="""",J258="""",H258=""""),""ফাঁকা ঘর"",""""),IF(AND(C258&lt;&gt;"""",D258&lt;&gt;"""",C258=D258),""gloss=figurative"",""""),IF(LEN(D258)&lt;15,""figurative ছোট"",""""),IF(AND(I258=""Positive"",REGEXMATCH(H258,""মূর্খ|"&amp;"ভণ্ড|প্রতার|অলস|লোভ|স্বার্থ|অক্ষম|অযোগ্য|বোকা|কৃপণ|হিংস"")),""valence-target অমিল"",""""),IF(COUNTIF($B:$B,B258)&gt;1,""ডুপ্লিকেট"",""""))"),"figurative ছোট")</f>
        <v>figurative ছোট</v>
      </c>
      <c r="Q258" s="5" t="str">
        <f t="shared" si="1"/>
        <v>১ আগে দেখো</v>
      </c>
    </row>
    <row r="259">
      <c r="A259" s="4">
        <v>4817.0</v>
      </c>
      <c r="B259" s="2" t="s">
        <v>1294</v>
      </c>
      <c r="C259" s="2" t="s">
        <v>1295</v>
      </c>
      <c r="D259" s="2" t="s">
        <v>954</v>
      </c>
      <c r="E259" s="2" t="s">
        <v>1296</v>
      </c>
      <c r="F259" s="2" t="b">
        <v>1</v>
      </c>
      <c r="G259" s="2" t="b">
        <v>1</v>
      </c>
      <c r="H259" s="2" t="s">
        <v>1106</v>
      </c>
      <c r="I259" s="2" t="s">
        <v>22</v>
      </c>
      <c r="J259" s="2" t="s">
        <v>784</v>
      </c>
      <c r="K259" s="2" t="s">
        <v>495</v>
      </c>
      <c r="L259" s="13" t="s">
        <v>496</v>
      </c>
      <c r="M259" s="2" t="s">
        <v>26</v>
      </c>
      <c r="N259" s="11" t="s">
        <v>576</v>
      </c>
      <c r="O259" s="12" t="s">
        <v>53</v>
      </c>
      <c r="P259" s="5" t="str">
        <f>IFERROR(__xludf.DUMMYFUNCTION("TEXTJOIN("" | "",TRUE,IF(OR(D259="""",E259="""",I259="""",J259="""",H259=""""),""ফাঁকা ঘর"",""""),IF(AND(C259&lt;&gt;"""",D259&lt;&gt;"""",C259=D259),""gloss=figurative"",""""),IF(LEN(D259)&lt;15,""figurative ছোট"",""""),IF(AND(I259=""Positive"",REGEXMATCH(H259,""মূর্খ|"&amp;"ভণ্ড|প্রতার|অলস|লোভ|স্বার্থ|অক্ষম|অযোগ্য|বোকা|কৃপণ|হিংস"")),""valence-target অমিল"",""""),IF(COUNTIF($B:$B,B259)&gt;1,""ডুপ্লিকেট"",""""))"),"figurative ছোট")</f>
        <v>figurative ছোট</v>
      </c>
      <c r="Q259" s="5" t="str">
        <f t="shared" si="1"/>
        <v>১ আগে দেখো</v>
      </c>
    </row>
    <row r="260">
      <c r="A260" s="4">
        <v>4822.0</v>
      </c>
      <c r="B260" s="2" t="s">
        <v>1297</v>
      </c>
      <c r="C260" s="2" t="s">
        <v>1297</v>
      </c>
      <c r="D260" s="2" t="s">
        <v>1298</v>
      </c>
      <c r="E260" s="2" t="s">
        <v>1299</v>
      </c>
      <c r="F260" s="2" t="b">
        <v>1</v>
      </c>
      <c r="G260" s="2" t="b">
        <v>0</v>
      </c>
      <c r="H260" s="2" t="s">
        <v>37</v>
      </c>
      <c r="I260" s="2" t="s">
        <v>32</v>
      </c>
      <c r="J260" s="2" t="s">
        <v>1300</v>
      </c>
      <c r="K260" s="2" t="s">
        <v>495</v>
      </c>
      <c r="L260" s="13" t="s">
        <v>496</v>
      </c>
      <c r="M260" s="2" t="s">
        <v>26</v>
      </c>
      <c r="N260" s="11" t="s">
        <v>576</v>
      </c>
      <c r="O260" s="12" t="s">
        <v>53</v>
      </c>
      <c r="P260" s="5" t="str">
        <f>IFERROR(__xludf.DUMMYFUNCTION("TEXTJOIN("" | "",TRUE,IF(OR(D260="""",E260="""",I260="""",J260="""",H260=""""),""ফাঁকা ঘর"",""""),IF(AND(C260&lt;&gt;"""",D260&lt;&gt;"""",C260=D260),""gloss=figurative"",""""),IF(LEN(D260)&lt;15,""figurative ছোট"",""""),IF(AND(I260=""Positive"",REGEXMATCH(H260,""মূর্খ|"&amp;"ভণ্ড|প্রতার|অলস|লোভ|স্বার্থ|অক্ষম|অযোগ্য|বোকা|কৃপণ|হিংস"")),""valence-target অমিল"",""""),IF(COUNTIF($B:$B,B260)&gt;1,""ডুপ্লিকেট"",""""))"),"figurative ছোট")</f>
        <v>figurative ছোট</v>
      </c>
      <c r="Q260" s="5" t="str">
        <f t="shared" si="1"/>
        <v>১ আগে দেখো</v>
      </c>
    </row>
    <row r="261">
      <c r="A261" s="4">
        <v>4824.0</v>
      </c>
      <c r="B261" s="2" t="s">
        <v>1301</v>
      </c>
      <c r="C261" s="2" t="s">
        <v>1302</v>
      </c>
      <c r="D261" s="2" t="s">
        <v>1303</v>
      </c>
      <c r="E261" s="2" t="s">
        <v>1304</v>
      </c>
      <c r="F261" s="2" t="b">
        <v>1</v>
      </c>
      <c r="G261" s="2" t="b">
        <v>0</v>
      </c>
      <c r="H261" s="2" t="s">
        <v>989</v>
      </c>
      <c r="I261" s="2" t="s">
        <v>22</v>
      </c>
      <c r="J261" s="2" t="s">
        <v>1305</v>
      </c>
      <c r="K261" s="2" t="s">
        <v>495</v>
      </c>
      <c r="L261" s="13" t="s">
        <v>496</v>
      </c>
      <c r="M261" s="2" t="s">
        <v>26</v>
      </c>
      <c r="N261" s="11" t="s">
        <v>576</v>
      </c>
      <c r="O261" s="12" t="s">
        <v>53</v>
      </c>
      <c r="P261" s="5" t="str">
        <f>IFERROR(__xludf.DUMMYFUNCTION("TEXTJOIN("" | "",TRUE,IF(OR(D261="""",E261="""",I261="""",J261="""",H261=""""),""ফাঁকা ঘর"",""""),IF(AND(C261&lt;&gt;"""",D261&lt;&gt;"""",C261=D261),""gloss=figurative"",""""),IF(LEN(D261)&lt;15,""figurative ছোট"",""""),IF(AND(I261=""Positive"",REGEXMATCH(H261,""মূর্খ|"&amp;"ভণ্ড|প্রতার|অলস|লোভ|স্বার্থ|অক্ষম|অযোগ্য|বোকা|কৃপণ|হিংস"")),""valence-target অমিল"",""""),IF(COUNTIF($B:$B,B261)&gt;1,""ডুপ্লিকেট"",""""))"),"figurative ছোট")</f>
        <v>figurative ছোট</v>
      </c>
      <c r="Q261" s="5" t="str">
        <f t="shared" si="1"/>
        <v>১ আগে দেখো</v>
      </c>
    </row>
    <row r="262">
      <c r="A262" s="4">
        <v>4834.0</v>
      </c>
      <c r="B262" s="2" t="s">
        <v>1306</v>
      </c>
      <c r="C262" s="2" t="s">
        <v>1306</v>
      </c>
      <c r="D262" s="2" t="s">
        <v>1307</v>
      </c>
      <c r="E262" s="2" t="s">
        <v>1308</v>
      </c>
      <c r="F262" s="2" t="b">
        <v>1</v>
      </c>
      <c r="G262" s="2" t="b">
        <v>1</v>
      </c>
      <c r="H262" s="2" t="s">
        <v>1309</v>
      </c>
      <c r="I262" s="2" t="s">
        <v>49</v>
      </c>
      <c r="J262" s="2" t="s">
        <v>1310</v>
      </c>
      <c r="K262" s="2" t="s">
        <v>495</v>
      </c>
      <c r="L262" s="13" t="s">
        <v>496</v>
      </c>
      <c r="M262" s="2" t="s">
        <v>26</v>
      </c>
      <c r="N262" s="11" t="s">
        <v>576</v>
      </c>
      <c r="O262" s="12" t="s">
        <v>53</v>
      </c>
      <c r="P262" s="5" t="str">
        <f>IFERROR(__xludf.DUMMYFUNCTION("TEXTJOIN("" | "",TRUE,IF(OR(D262="""",E262="""",I262="""",J262="""",H262=""""),""ফাঁকা ঘর"",""""),IF(AND(C262&lt;&gt;"""",D262&lt;&gt;"""",C262=D262),""gloss=figurative"",""""),IF(LEN(D262)&lt;15,""figurative ছোট"",""""),IF(AND(I262=""Positive"",REGEXMATCH(H262,""মূর্খ|"&amp;"ভণ্ড|প্রতার|অলস|লোভ|স্বার্থ|অক্ষম|অযোগ্য|বোকা|কৃপণ|হিংস"")),""valence-target অমিল"",""""),IF(COUNTIF($B:$B,B262)&gt;1,""ডুপ্লিকেট"",""""))"),"figurative ছোট")</f>
        <v>figurative ছোট</v>
      </c>
      <c r="Q262" s="5" t="str">
        <f t="shared" si="1"/>
        <v>১ আগে দেখো</v>
      </c>
    </row>
    <row r="263">
      <c r="A263" s="4">
        <v>4836.0</v>
      </c>
      <c r="B263" s="2" t="s">
        <v>1311</v>
      </c>
      <c r="C263" s="2" t="s">
        <v>1312</v>
      </c>
      <c r="D263" s="2" t="s">
        <v>1313</v>
      </c>
      <c r="E263" s="2" t="s">
        <v>1314</v>
      </c>
      <c r="F263" s="2" t="b">
        <v>1</v>
      </c>
      <c r="G263" s="2" t="b">
        <v>1</v>
      </c>
      <c r="H263" s="2" t="s">
        <v>1106</v>
      </c>
      <c r="I263" s="2" t="s">
        <v>22</v>
      </c>
      <c r="J263" s="2" t="s">
        <v>1315</v>
      </c>
      <c r="K263" s="2" t="s">
        <v>495</v>
      </c>
      <c r="L263" s="13" t="s">
        <v>496</v>
      </c>
      <c r="M263" s="2" t="s">
        <v>26</v>
      </c>
      <c r="N263" s="11" t="s">
        <v>576</v>
      </c>
      <c r="O263" s="12" t="s">
        <v>53</v>
      </c>
      <c r="P263" s="5" t="str">
        <f>IFERROR(__xludf.DUMMYFUNCTION("TEXTJOIN("" | "",TRUE,IF(OR(D263="""",E263="""",I263="""",J263="""",H263=""""),""ফাঁকা ঘর"",""""),IF(AND(C263&lt;&gt;"""",D263&lt;&gt;"""",C263=D263),""gloss=figurative"",""""),IF(LEN(D263)&lt;15,""figurative ছোট"",""""),IF(AND(I263=""Positive"",REGEXMATCH(H263,""মূর্খ|"&amp;"ভণ্ড|প্রতার|অলস|লোভ|স্বার্থ|অক্ষম|অযোগ্য|বোকা|কৃপণ|হিংস"")),""valence-target অমিল"",""""),IF(COUNTIF($B:$B,B263)&gt;1,""ডুপ্লিকেট"",""""))"),"figurative ছোট")</f>
        <v>figurative ছোট</v>
      </c>
      <c r="Q263" s="5" t="str">
        <f t="shared" si="1"/>
        <v>১ আগে দেখো</v>
      </c>
    </row>
    <row r="264">
      <c r="A264" s="4">
        <v>4838.0</v>
      </c>
      <c r="B264" s="2" t="s">
        <v>1316</v>
      </c>
      <c r="C264" s="2" t="s">
        <v>1317</v>
      </c>
      <c r="D264" s="2" t="s">
        <v>1318</v>
      </c>
      <c r="E264" s="2" t="s">
        <v>1319</v>
      </c>
      <c r="F264" s="2" t="b">
        <v>1</v>
      </c>
      <c r="G264" s="2" t="b">
        <v>0</v>
      </c>
      <c r="H264" s="2" t="s">
        <v>37</v>
      </c>
      <c r="I264" s="2" t="s">
        <v>32</v>
      </c>
      <c r="J264" s="2" t="s">
        <v>1320</v>
      </c>
      <c r="K264" s="2" t="s">
        <v>495</v>
      </c>
      <c r="L264" s="13" t="s">
        <v>496</v>
      </c>
      <c r="M264" s="2" t="s">
        <v>26</v>
      </c>
      <c r="N264" s="11" t="s">
        <v>576</v>
      </c>
      <c r="O264" s="12" t="s">
        <v>53</v>
      </c>
      <c r="P264" s="5" t="str">
        <f>IFERROR(__xludf.DUMMYFUNCTION("TEXTJOIN("" | "",TRUE,IF(OR(D264="""",E264="""",I264="""",J264="""",H264=""""),""ফাঁকা ঘর"",""""),IF(AND(C264&lt;&gt;"""",D264&lt;&gt;"""",C264=D264),""gloss=figurative"",""""),IF(LEN(D264)&lt;15,""figurative ছোট"",""""),IF(AND(I264=""Positive"",REGEXMATCH(H264,""মূর্খ|"&amp;"ভণ্ড|প্রতার|অলস|লোভ|স্বার্থ|অক্ষম|অযোগ্য|বোকা|কৃপণ|হিংস"")),""valence-target অমিল"",""""),IF(COUNTIF($B:$B,B264)&gt;1,""ডুপ্লিকেট"",""""))"),"figurative ছোট")</f>
        <v>figurative ছোট</v>
      </c>
      <c r="Q264" s="5" t="str">
        <f t="shared" si="1"/>
        <v>১ আগে দেখো</v>
      </c>
    </row>
    <row r="265">
      <c r="A265" s="4">
        <v>4841.0</v>
      </c>
      <c r="B265" s="2" t="s">
        <v>1321</v>
      </c>
      <c r="C265" s="2" t="s">
        <v>1322</v>
      </c>
      <c r="D265" s="2" t="s">
        <v>1323</v>
      </c>
      <c r="E265" s="2" t="s">
        <v>1324</v>
      </c>
      <c r="F265" s="2" t="b">
        <v>1</v>
      </c>
      <c r="G265" s="2" t="b">
        <v>0</v>
      </c>
      <c r="H265" s="2" t="s">
        <v>37</v>
      </c>
      <c r="I265" s="2" t="s">
        <v>32</v>
      </c>
      <c r="J265" s="2" t="s">
        <v>863</v>
      </c>
      <c r="K265" s="2" t="s">
        <v>495</v>
      </c>
      <c r="L265" s="13" t="s">
        <v>496</v>
      </c>
      <c r="M265" s="2" t="s">
        <v>26</v>
      </c>
      <c r="N265" s="11" t="s">
        <v>1325</v>
      </c>
      <c r="O265" s="12" t="s">
        <v>53</v>
      </c>
      <c r="P265" s="5" t="str">
        <f>IFERROR(__xludf.DUMMYFUNCTION("TEXTJOIN("" | "",TRUE,IF(OR(D265="""",E265="""",I265="""",J265="""",H265=""""),""ফাঁকা ঘর"",""""),IF(AND(C265&lt;&gt;"""",D265&lt;&gt;"""",C265=D265),""gloss=figurative"",""""),IF(LEN(D265)&lt;15,""figurative ছোট"",""""),IF(AND(I265=""Positive"",REGEXMATCH(H265,""মূর্খ|"&amp;"ভণ্ড|প্রতার|অলস|লোভ|স্বার্থ|অক্ষম|অযোগ্য|বোকা|কৃপণ|হিংস"")),""valence-target অমিল"",""""),IF(COUNTIF($B:$B,B265)&gt;1,""ডুপ্লিকেট"",""""))"),"figurative ছোট")</f>
        <v>figurative ছোট</v>
      </c>
      <c r="Q265" s="5" t="str">
        <f t="shared" si="1"/>
        <v>১ আগে দেখো</v>
      </c>
    </row>
    <row r="266">
      <c r="A266" s="4">
        <v>4842.0</v>
      </c>
      <c r="B266" s="2" t="s">
        <v>1326</v>
      </c>
      <c r="C266" s="2" t="s">
        <v>1327</v>
      </c>
      <c r="D266" s="2" t="s">
        <v>1328</v>
      </c>
      <c r="E266" s="2" t="s">
        <v>1329</v>
      </c>
      <c r="F266" s="2" t="b">
        <v>1</v>
      </c>
      <c r="G266" s="2" t="b">
        <v>0</v>
      </c>
      <c r="H266" s="2" t="s">
        <v>37</v>
      </c>
      <c r="I266" s="2" t="s">
        <v>32</v>
      </c>
      <c r="J266" s="2" t="s">
        <v>1249</v>
      </c>
      <c r="K266" s="2" t="s">
        <v>495</v>
      </c>
      <c r="L266" s="13" t="s">
        <v>496</v>
      </c>
      <c r="M266" s="2" t="s">
        <v>26</v>
      </c>
      <c r="N266" s="11" t="s">
        <v>576</v>
      </c>
      <c r="O266" s="12" t="s">
        <v>53</v>
      </c>
      <c r="P266" s="5" t="str">
        <f>IFERROR(__xludf.DUMMYFUNCTION("TEXTJOIN("" | "",TRUE,IF(OR(D266="""",E266="""",I266="""",J266="""",H266=""""),""ফাঁকা ঘর"",""""),IF(AND(C266&lt;&gt;"""",D266&lt;&gt;"""",C266=D266),""gloss=figurative"",""""),IF(LEN(D266)&lt;15,""figurative ছোট"",""""),IF(AND(I266=""Positive"",REGEXMATCH(H266,""মূর্খ|"&amp;"ভণ্ড|প্রতার|অলস|লোভ|স্বার্থ|অক্ষম|অযোগ্য|বোকা|কৃপণ|হিংস"")),""valence-target অমিল"",""""),IF(COUNTIF($B:$B,B266)&gt;1,""ডুপ্লিকেট"",""""))"),"figurative ছোট")</f>
        <v>figurative ছোট</v>
      </c>
      <c r="Q266" s="5" t="str">
        <f t="shared" si="1"/>
        <v>১ আগে দেখো</v>
      </c>
    </row>
    <row r="267">
      <c r="A267" s="4">
        <v>4844.0</v>
      </c>
      <c r="B267" s="2" t="s">
        <v>1330</v>
      </c>
      <c r="C267" s="2" t="s">
        <v>1331</v>
      </c>
      <c r="D267" s="2" t="s">
        <v>1332</v>
      </c>
      <c r="E267" s="2" t="s">
        <v>1333</v>
      </c>
      <c r="F267" s="2" t="b">
        <v>1</v>
      </c>
      <c r="G267" s="2" t="b">
        <v>0</v>
      </c>
      <c r="H267" s="2" t="s">
        <v>1334</v>
      </c>
      <c r="I267" s="2" t="s">
        <v>22</v>
      </c>
      <c r="J267" s="2" t="s">
        <v>820</v>
      </c>
      <c r="K267" s="2" t="s">
        <v>495</v>
      </c>
      <c r="L267" s="13" t="s">
        <v>496</v>
      </c>
      <c r="M267" s="2" t="s">
        <v>26</v>
      </c>
      <c r="N267" s="11" t="s">
        <v>1335</v>
      </c>
      <c r="O267" s="12" t="s">
        <v>53</v>
      </c>
      <c r="P267" s="5" t="str">
        <f>IFERROR(__xludf.DUMMYFUNCTION("TEXTJOIN("" | "",TRUE,IF(OR(D267="""",E267="""",I267="""",J267="""",H267=""""),""ফাঁকা ঘর"",""""),IF(AND(C267&lt;&gt;"""",D267&lt;&gt;"""",C267=D267),""gloss=figurative"",""""),IF(LEN(D267)&lt;15,""figurative ছোট"",""""),IF(AND(I267=""Positive"",REGEXMATCH(H267,""মূর্খ|"&amp;"ভণ্ড|প্রতার|অলস|লোভ|স্বার্থ|অক্ষম|অযোগ্য|বোকা|কৃপণ|হিংস"")),""valence-target অমিল"",""""),IF(COUNTIF($B:$B,B267)&gt;1,""ডুপ্লিকেট"",""""))"),"figurative ছোট")</f>
        <v>figurative ছোট</v>
      </c>
      <c r="Q267" s="5" t="str">
        <f t="shared" si="1"/>
        <v>১ আগে দেখো</v>
      </c>
    </row>
    <row r="268">
      <c r="A268" s="4">
        <v>4847.0</v>
      </c>
      <c r="B268" s="2" t="s">
        <v>1336</v>
      </c>
      <c r="C268" s="2" t="s">
        <v>1337</v>
      </c>
      <c r="D268" s="2" t="s">
        <v>1338</v>
      </c>
      <c r="E268" s="2" t="s">
        <v>1339</v>
      </c>
      <c r="F268" s="2" t="b">
        <v>1</v>
      </c>
      <c r="G268" s="2" t="b">
        <v>0</v>
      </c>
      <c r="H268" s="2" t="s">
        <v>1232</v>
      </c>
      <c r="I268" s="2" t="s">
        <v>22</v>
      </c>
      <c r="J268" s="2" t="s">
        <v>1233</v>
      </c>
      <c r="K268" s="2" t="s">
        <v>495</v>
      </c>
      <c r="L268" s="13" t="s">
        <v>496</v>
      </c>
      <c r="M268" s="2" t="s">
        <v>26</v>
      </c>
      <c r="N268" s="11" t="s">
        <v>576</v>
      </c>
      <c r="O268" s="12" t="s">
        <v>53</v>
      </c>
      <c r="P268" s="5" t="str">
        <f>IFERROR(__xludf.DUMMYFUNCTION("TEXTJOIN("" | "",TRUE,IF(OR(D268="""",E268="""",I268="""",J268="""",H268=""""),""ফাঁকা ঘর"",""""),IF(AND(C268&lt;&gt;"""",D268&lt;&gt;"""",C268=D268),""gloss=figurative"",""""),IF(LEN(D268)&lt;15,""figurative ছোট"",""""),IF(AND(I268=""Positive"",REGEXMATCH(H268,""মূর্খ|"&amp;"ভণ্ড|প্রতার|অলস|লোভ|স্বার্থ|অক্ষম|অযোগ্য|বোকা|কৃপণ|হিংস"")),""valence-target অমিল"",""""),IF(COUNTIF($B:$B,B268)&gt;1,""ডুপ্লিকেট"",""""))"),"figurative ছোট")</f>
        <v>figurative ছোট</v>
      </c>
      <c r="Q268" s="5" t="str">
        <f t="shared" si="1"/>
        <v>১ আগে দেখো</v>
      </c>
    </row>
    <row r="269">
      <c r="A269" s="4">
        <v>4848.0</v>
      </c>
      <c r="B269" s="2" t="s">
        <v>1340</v>
      </c>
      <c r="C269" s="2" t="s">
        <v>1341</v>
      </c>
      <c r="D269" s="2" t="s">
        <v>857</v>
      </c>
      <c r="E269" s="2" t="s">
        <v>1342</v>
      </c>
      <c r="F269" s="2" t="b">
        <v>1</v>
      </c>
      <c r="G269" s="2" t="b">
        <v>1</v>
      </c>
      <c r="H269" s="2" t="s">
        <v>1106</v>
      </c>
      <c r="I269" s="2" t="s">
        <v>22</v>
      </c>
      <c r="J269" s="2" t="s">
        <v>590</v>
      </c>
      <c r="K269" s="2" t="s">
        <v>495</v>
      </c>
      <c r="L269" s="13" t="s">
        <v>496</v>
      </c>
      <c r="M269" s="2" t="s">
        <v>26</v>
      </c>
      <c r="N269" s="11" t="s">
        <v>576</v>
      </c>
      <c r="O269" s="12" t="s">
        <v>53</v>
      </c>
      <c r="P269" s="5" t="str">
        <f>IFERROR(__xludf.DUMMYFUNCTION("TEXTJOIN("" | "",TRUE,IF(OR(D269="""",E269="""",I269="""",J269="""",H269=""""),""ফাঁকা ঘর"",""""),IF(AND(C269&lt;&gt;"""",D269&lt;&gt;"""",C269=D269),""gloss=figurative"",""""),IF(LEN(D269)&lt;15,""figurative ছোট"",""""),IF(AND(I269=""Positive"",REGEXMATCH(H269,""মূর্খ|"&amp;"ভণ্ড|প্রতার|অলস|লোভ|স্বার্থ|অক্ষম|অযোগ্য|বোকা|কৃপণ|হিংস"")),""valence-target অমিল"",""""),IF(COUNTIF($B:$B,B269)&gt;1,""ডুপ্লিকেট"",""""))"),"figurative ছোট")</f>
        <v>figurative ছোট</v>
      </c>
      <c r="Q269" s="5" t="str">
        <f t="shared" si="1"/>
        <v>১ আগে দেখো</v>
      </c>
    </row>
    <row r="270">
      <c r="A270" s="4">
        <v>4849.0</v>
      </c>
      <c r="B270" s="2" t="s">
        <v>1343</v>
      </c>
      <c r="C270" s="2" t="s">
        <v>1344</v>
      </c>
      <c r="D270" s="2" t="s">
        <v>1345</v>
      </c>
      <c r="E270" s="2" t="s">
        <v>1346</v>
      </c>
      <c r="F270" s="2" t="b">
        <v>1</v>
      </c>
      <c r="G270" s="2" t="b">
        <v>1</v>
      </c>
      <c r="H270" s="2" t="s">
        <v>1106</v>
      </c>
      <c r="I270" s="2" t="s">
        <v>22</v>
      </c>
      <c r="J270" s="2" t="s">
        <v>1345</v>
      </c>
      <c r="K270" s="2" t="s">
        <v>495</v>
      </c>
      <c r="L270" s="13" t="s">
        <v>496</v>
      </c>
      <c r="M270" s="2" t="s">
        <v>26</v>
      </c>
      <c r="N270" s="11" t="s">
        <v>1347</v>
      </c>
      <c r="O270" s="12" t="s">
        <v>53</v>
      </c>
      <c r="P270" s="5" t="str">
        <f>IFERROR(__xludf.DUMMYFUNCTION("TEXTJOIN("" | "",TRUE,IF(OR(D270="""",E270="""",I270="""",J270="""",H270=""""),""ফাঁকা ঘর"",""""),IF(AND(C270&lt;&gt;"""",D270&lt;&gt;"""",C270=D270),""gloss=figurative"",""""),IF(LEN(D270)&lt;15,""figurative ছোট"",""""),IF(AND(I270=""Positive"",REGEXMATCH(H270,""মূর্খ|"&amp;"ভণ্ড|প্রতার|অলস|লোভ|স্বার্থ|অক্ষম|অযোগ্য|বোকা|কৃপণ|হিংস"")),""valence-target অমিল"",""""),IF(COUNTIF($B:$B,B270)&gt;1,""ডুপ্লিকেট"",""""))"),"figurative ছোট")</f>
        <v>figurative ছোট</v>
      </c>
      <c r="Q270" s="5" t="str">
        <f t="shared" si="1"/>
        <v>১ আগে দেখো</v>
      </c>
    </row>
    <row r="271">
      <c r="A271" s="4">
        <v>4850.0</v>
      </c>
      <c r="B271" s="2" t="s">
        <v>1348</v>
      </c>
      <c r="C271" s="2" t="s">
        <v>1349</v>
      </c>
      <c r="D271" s="2" t="s">
        <v>1350</v>
      </c>
      <c r="E271" s="2" t="s">
        <v>1351</v>
      </c>
      <c r="F271" s="2" t="b">
        <v>1</v>
      </c>
      <c r="G271" s="2" t="b">
        <v>1</v>
      </c>
      <c r="H271" s="2" t="s">
        <v>1106</v>
      </c>
      <c r="I271" s="2" t="s">
        <v>22</v>
      </c>
      <c r="J271" s="2" t="s">
        <v>590</v>
      </c>
      <c r="K271" s="2" t="s">
        <v>495</v>
      </c>
      <c r="L271" s="13" t="s">
        <v>496</v>
      </c>
      <c r="M271" s="2" t="s">
        <v>26</v>
      </c>
      <c r="N271" s="11" t="s">
        <v>1352</v>
      </c>
      <c r="O271" s="12" t="s">
        <v>53</v>
      </c>
      <c r="P271" s="5" t="str">
        <f>IFERROR(__xludf.DUMMYFUNCTION("TEXTJOIN("" | "",TRUE,IF(OR(D271="""",E271="""",I271="""",J271="""",H271=""""),""ফাঁকা ঘর"",""""),IF(AND(C271&lt;&gt;"""",D271&lt;&gt;"""",C271=D271),""gloss=figurative"",""""),IF(LEN(D271)&lt;15,""figurative ছোট"",""""),IF(AND(I271=""Positive"",REGEXMATCH(H271,""মূর্খ|"&amp;"ভণ্ড|প্রতার|অলস|লোভ|স্বার্থ|অক্ষম|অযোগ্য|বোকা|কৃপণ|হিংস"")),""valence-target অমিল"",""""),IF(COUNTIF($B:$B,B271)&gt;1,""ডুপ্লিকেট"",""""))"),"figurative ছোট")</f>
        <v>figurative ছোট</v>
      </c>
      <c r="Q271" s="5" t="str">
        <f t="shared" si="1"/>
        <v>১ আগে দেখো</v>
      </c>
    </row>
    <row r="272">
      <c r="A272" s="4">
        <v>4853.0</v>
      </c>
      <c r="B272" s="2" t="s">
        <v>1353</v>
      </c>
      <c r="C272" s="2" t="s">
        <v>1354</v>
      </c>
      <c r="D272" s="2" t="s">
        <v>1355</v>
      </c>
      <c r="E272" s="2" t="s">
        <v>1356</v>
      </c>
      <c r="F272" s="2" t="b">
        <v>1</v>
      </c>
      <c r="G272" s="2" t="b">
        <v>0</v>
      </c>
      <c r="H272" s="2" t="s">
        <v>37</v>
      </c>
      <c r="I272" s="2" t="s">
        <v>22</v>
      </c>
      <c r="J272" s="2" t="s">
        <v>1357</v>
      </c>
      <c r="K272" s="2" t="s">
        <v>495</v>
      </c>
      <c r="L272" s="13" t="s">
        <v>496</v>
      </c>
      <c r="M272" s="2" t="s">
        <v>26</v>
      </c>
      <c r="N272" s="11" t="s">
        <v>1358</v>
      </c>
      <c r="O272" s="12" t="s">
        <v>53</v>
      </c>
      <c r="P272" s="5" t="str">
        <f>IFERROR(__xludf.DUMMYFUNCTION("TEXTJOIN("" | "",TRUE,IF(OR(D272="""",E272="""",I272="""",J272="""",H272=""""),""ফাঁকা ঘর"",""""),IF(AND(C272&lt;&gt;"""",D272&lt;&gt;"""",C272=D272),""gloss=figurative"",""""),IF(LEN(D272)&lt;15,""figurative ছোট"",""""),IF(AND(I272=""Positive"",REGEXMATCH(H272,""মূর্খ|"&amp;"ভণ্ড|প্রতার|অলস|লোভ|স্বার্থ|অক্ষম|অযোগ্য|বোকা|কৃপণ|হিংস"")),""valence-target অমিল"",""""),IF(COUNTIF($B:$B,B272)&gt;1,""ডুপ্লিকেট"",""""))"),"figurative ছোট")</f>
        <v>figurative ছোট</v>
      </c>
      <c r="Q272" s="5" t="str">
        <f t="shared" si="1"/>
        <v>১ আগে দেখো</v>
      </c>
    </row>
    <row r="273">
      <c r="A273" s="4">
        <v>4863.0</v>
      </c>
      <c r="B273" s="2" t="s">
        <v>1359</v>
      </c>
      <c r="C273" s="2" t="s">
        <v>1360</v>
      </c>
      <c r="D273" s="2" t="s">
        <v>1361</v>
      </c>
      <c r="E273" s="2" t="s">
        <v>1362</v>
      </c>
      <c r="F273" s="2" t="b">
        <v>1</v>
      </c>
      <c r="G273" s="2" t="b">
        <v>0</v>
      </c>
      <c r="H273" s="2" t="s">
        <v>37</v>
      </c>
      <c r="I273" s="2" t="s">
        <v>22</v>
      </c>
      <c r="J273" s="2" t="s">
        <v>1363</v>
      </c>
      <c r="K273" s="2" t="s">
        <v>495</v>
      </c>
      <c r="L273" s="13" t="s">
        <v>496</v>
      </c>
      <c r="M273" s="2" t="s">
        <v>26</v>
      </c>
      <c r="N273" s="11" t="s">
        <v>576</v>
      </c>
      <c r="O273" s="12" t="s">
        <v>53</v>
      </c>
      <c r="P273" s="5" t="str">
        <f>IFERROR(__xludf.DUMMYFUNCTION("TEXTJOIN("" | "",TRUE,IF(OR(D273="""",E273="""",I273="""",J273="""",H273=""""),""ফাঁকা ঘর"",""""),IF(AND(C273&lt;&gt;"""",D273&lt;&gt;"""",C273=D273),""gloss=figurative"",""""),IF(LEN(D273)&lt;15,""figurative ছোট"",""""),IF(AND(I273=""Positive"",REGEXMATCH(H273,""মূর্খ|"&amp;"ভণ্ড|প্রতার|অলস|লোভ|স্বার্থ|অক্ষম|অযোগ্য|বোকা|কৃপণ|হিংস"")),""valence-target অমিল"",""""),IF(COUNTIF($B:$B,B273)&gt;1,""ডুপ্লিকেট"",""""))"),"figurative ছোট")</f>
        <v>figurative ছোট</v>
      </c>
      <c r="Q273" s="5" t="str">
        <f t="shared" si="1"/>
        <v>১ আগে দেখো</v>
      </c>
    </row>
    <row r="274">
      <c r="A274" s="4">
        <v>4864.0</v>
      </c>
      <c r="B274" s="2" t="s">
        <v>1364</v>
      </c>
      <c r="C274" s="15" t="s">
        <v>1365</v>
      </c>
      <c r="D274" s="2" t="s">
        <v>1366</v>
      </c>
      <c r="E274" s="2" t="s">
        <v>1367</v>
      </c>
      <c r="F274" s="2" t="b">
        <v>1</v>
      </c>
      <c r="G274" s="2" t="b">
        <v>0</v>
      </c>
      <c r="H274" s="2" t="s">
        <v>1368</v>
      </c>
      <c r="I274" s="2" t="s">
        <v>22</v>
      </c>
      <c r="J274" s="2" t="s">
        <v>669</v>
      </c>
      <c r="K274" s="2" t="s">
        <v>495</v>
      </c>
      <c r="L274" s="13" t="s">
        <v>496</v>
      </c>
      <c r="M274" s="2" t="s">
        <v>26</v>
      </c>
      <c r="N274" s="11" t="s">
        <v>1369</v>
      </c>
      <c r="O274" s="12" t="s">
        <v>53</v>
      </c>
      <c r="P274" s="5" t="str">
        <f>IFERROR(__xludf.DUMMYFUNCTION("TEXTJOIN("" | "",TRUE,IF(OR(D274="""",E274="""",I274="""",J274="""",H274=""""),""ফাঁকা ঘর"",""""),IF(AND(C274&lt;&gt;"""",D274&lt;&gt;"""",C274=D274),""gloss=figurative"",""""),IF(LEN(D274)&lt;15,""figurative ছোট"",""""),IF(AND(I274=""Positive"",REGEXMATCH(H274,""মূর্খ|"&amp;"ভণ্ড|প্রতার|অলস|লোভ|স্বার্থ|অক্ষম|অযোগ্য|বোকা|কৃপণ|হিংস"")),""valence-target অমিল"",""""),IF(COUNTIF($B:$B,B274)&gt;1,""ডুপ্লিকেট"",""""))"),"figurative ছোট")</f>
        <v>figurative ছোট</v>
      </c>
      <c r="Q274" s="5" t="str">
        <f t="shared" si="1"/>
        <v>১ আগে দেখো</v>
      </c>
    </row>
    <row r="275">
      <c r="A275" s="4">
        <v>4865.0</v>
      </c>
      <c r="B275" s="2" t="s">
        <v>1370</v>
      </c>
      <c r="C275" s="15" t="s">
        <v>1371</v>
      </c>
      <c r="D275" s="2" t="s">
        <v>1372</v>
      </c>
      <c r="E275" s="2" t="s">
        <v>1373</v>
      </c>
      <c r="F275" s="2" t="b">
        <v>1</v>
      </c>
      <c r="G275" s="2" t="b">
        <v>0</v>
      </c>
      <c r="H275" s="2" t="s">
        <v>1368</v>
      </c>
      <c r="I275" s="2" t="s">
        <v>22</v>
      </c>
      <c r="J275" s="2" t="s">
        <v>669</v>
      </c>
      <c r="K275" s="2" t="s">
        <v>495</v>
      </c>
      <c r="L275" s="13" t="s">
        <v>496</v>
      </c>
      <c r="M275" s="2" t="s">
        <v>26</v>
      </c>
      <c r="N275" s="11" t="s">
        <v>1374</v>
      </c>
      <c r="O275" s="12" t="s">
        <v>53</v>
      </c>
      <c r="P275" s="5" t="str">
        <f>IFERROR(__xludf.DUMMYFUNCTION("TEXTJOIN("" | "",TRUE,IF(OR(D275="""",E275="""",I275="""",J275="""",H275=""""),""ফাঁকা ঘর"",""""),IF(AND(C275&lt;&gt;"""",D275&lt;&gt;"""",C275=D275),""gloss=figurative"",""""),IF(LEN(D275)&lt;15,""figurative ছোট"",""""),IF(AND(I275=""Positive"",REGEXMATCH(H275,""মূর্খ|"&amp;"ভণ্ড|প্রতার|অলস|লোভ|স্বার্থ|অক্ষম|অযোগ্য|বোকা|কৃপণ|হিংস"")),""valence-target অমিল"",""""),IF(COUNTIF($B:$B,B275)&gt;1,""ডুপ্লিকেট"",""""))"),"figurative ছোট")</f>
        <v>figurative ছোট</v>
      </c>
      <c r="Q275" s="5" t="str">
        <f t="shared" si="1"/>
        <v>১ আগে দেখো</v>
      </c>
    </row>
    <row r="276">
      <c r="A276" s="4">
        <v>4867.0</v>
      </c>
      <c r="B276" s="2" t="s">
        <v>1375</v>
      </c>
      <c r="C276" s="2" t="s">
        <v>1376</v>
      </c>
      <c r="D276" s="2" t="s">
        <v>1377</v>
      </c>
      <c r="E276" s="2" t="s">
        <v>1378</v>
      </c>
      <c r="F276" s="2" t="b">
        <v>1</v>
      </c>
      <c r="G276" s="2" t="b">
        <v>0</v>
      </c>
      <c r="H276" s="2" t="s">
        <v>37</v>
      </c>
      <c r="I276" s="2" t="s">
        <v>22</v>
      </c>
      <c r="J276" s="2" t="s">
        <v>1363</v>
      </c>
      <c r="K276" s="2" t="s">
        <v>495</v>
      </c>
      <c r="L276" s="13" t="s">
        <v>496</v>
      </c>
      <c r="M276" s="2" t="s">
        <v>26</v>
      </c>
      <c r="N276" s="11" t="s">
        <v>576</v>
      </c>
      <c r="O276" s="12" t="s">
        <v>53</v>
      </c>
      <c r="P276" s="5" t="str">
        <f>IFERROR(__xludf.DUMMYFUNCTION("TEXTJOIN("" | "",TRUE,IF(OR(D276="""",E276="""",I276="""",J276="""",H276=""""),""ফাঁকা ঘর"",""""),IF(AND(C276&lt;&gt;"""",D276&lt;&gt;"""",C276=D276),""gloss=figurative"",""""),IF(LEN(D276)&lt;15,""figurative ছোট"",""""),IF(AND(I276=""Positive"",REGEXMATCH(H276,""মূর্খ|"&amp;"ভণ্ড|প্রতার|অলস|লোভ|স্বার্থ|অক্ষম|অযোগ্য|বোকা|কৃপণ|হিংস"")),""valence-target অমিল"",""""),IF(COUNTIF($B:$B,B276)&gt;1,""ডুপ্লিকেট"",""""))"),"figurative ছোট")</f>
        <v>figurative ছোট</v>
      </c>
      <c r="Q276" s="5" t="str">
        <f t="shared" si="1"/>
        <v>১ আগে দেখো</v>
      </c>
    </row>
    <row r="277">
      <c r="A277" s="4">
        <v>4868.0</v>
      </c>
      <c r="B277" s="2" t="s">
        <v>1379</v>
      </c>
      <c r="C277" s="2" t="s">
        <v>1380</v>
      </c>
      <c r="D277" s="2" t="s">
        <v>1381</v>
      </c>
      <c r="E277" s="2" t="s">
        <v>1382</v>
      </c>
      <c r="F277" s="2" t="b">
        <v>1</v>
      </c>
      <c r="G277" s="2" t="b">
        <v>0</v>
      </c>
      <c r="H277" s="2" t="s">
        <v>37</v>
      </c>
      <c r="I277" s="2" t="s">
        <v>22</v>
      </c>
      <c r="J277" s="2" t="s">
        <v>1363</v>
      </c>
      <c r="K277" s="2" t="s">
        <v>495</v>
      </c>
      <c r="L277" s="13" t="s">
        <v>496</v>
      </c>
      <c r="M277" s="2" t="s">
        <v>26</v>
      </c>
      <c r="N277" s="11" t="s">
        <v>576</v>
      </c>
      <c r="O277" s="12" t="s">
        <v>53</v>
      </c>
      <c r="P277" s="5" t="str">
        <f>IFERROR(__xludf.DUMMYFUNCTION("TEXTJOIN("" | "",TRUE,IF(OR(D277="""",E277="""",I277="""",J277="""",H277=""""),""ফাঁকা ঘর"",""""),IF(AND(C277&lt;&gt;"""",D277&lt;&gt;"""",C277=D277),""gloss=figurative"",""""),IF(LEN(D277)&lt;15,""figurative ছোট"",""""),IF(AND(I277=""Positive"",REGEXMATCH(H277,""মূর্খ|"&amp;"ভণ্ড|প্রতার|অলস|লোভ|স্বার্থ|অক্ষম|অযোগ্য|বোকা|কৃপণ|হিংস"")),""valence-target অমিল"",""""),IF(COUNTIF($B:$B,B277)&gt;1,""ডুপ্লিকেট"",""""))"),"figurative ছোট")</f>
        <v>figurative ছোট</v>
      </c>
      <c r="Q277" s="5" t="str">
        <f t="shared" si="1"/>
        <v>১ আগে দেখো</v>
      </c>
    </row>
    <row r="278">
      <c r="A278" s="4">
        <v>4874.0</v>
      </c>
      <c r="B278" s="2" t="s">
        <v>1383</v>
      </c>
      <c r="C278" s="2" t="s">
        <v>1384</v>
      </c>
      <c r="D278" s="2" t="s">
        <v>1385</v>
      </c>
      <c r="E278" s="2" t="s">
        <v>1386</v>
      </c>
      <c r="F278" s="2" t="b">
        <v>1</v>
      </c>
      <c r="G278" s="2" t="b">
        <v>0</v>
      </c>
      <c r="H278" s="2" t="s">
        <v>37</v>
      </c>
      <c r="I278" s="2" t="s">
        <v>49</v>
      </c>
      <c r="J278" s="2" t="s">
        <v>1387</v>
      </c>
      <c r="K278" s="2" t="s">
        <v>495</v>
      </c>
      <c r="L278" s="13" t="s">
        <v>496</v>
      </c>
      <c r="M278" s="2" t="s">
        <v>26</v>
      </c>
      <c r="N278" s="11" t="s">
        <v>576</v>
      </c>
      <c r="O278" s="12" t="s">
        <v>53</v>
      </c>
      <c r="P278" s="5" t="str">
        <f>IFERROR(__xludf.DUMMYFUNCTION("TEXTJOIN("" | "",TRUE,IF(OR(D278="""",E278="""",I278="""",J278="""",H278=""""),""ফাঁকা ঘর"",""""),IF(AND(C278&lt;&gt;"""",D278&lt;&gt;"""",C278=D278),""gloss=figurative"",""""),IF(LEN(D278)&lt;15,""figurative ছোট"",""""),IF(AND(I278=""Positive"",REGEXMATCH(H278,""মূর্খ|"&amp;"ভণ্ড|প্রতার|অলস|লোভ|স্বার্থ|অক্ষম|অযোগ্য|বোকা|কৃপণ|হিংস"")),""valence-target অমিল"",""""),IF(COUNTIF($B:$B,B278)&gt;1,""ডুপ্লিকেট"",""""))"),"figurative ছোট")</f>
        <v>figurative ছোট</v>
      </c>
      <c r="Q278" s="5" t="str">
        <f t="shared" si="1"/>
        <v>১ আগে দেখো</v>
      </c>
    </row>
    <row r="279">
      <c r="A279" s="4">
        <v>4876.0</v>
      </c>
      <c r="B279" s="2" t="s">
        <v>1388</v>
      </c>
      <c r="C279" s="2" t="s">
        <v>1389</v>
      </c>
      <c r="D279" s="2" t="s">
        <v>1390</v>
      </c>
      <c r="E279" s="2" t="s">
        <v>1391</v>
      </c>
      <c r="F279" s="2" t="b">
        <v>1</v>
      </c>
      <c r="G279" s="2" t="b">
        <v>0</v>
      </c>
      <c r="H279" s="2" t="s">
        <v>37</v>
      </c>
      <c r="I279" s="2" t="s">
        <v>49</v>
      </c>
      <c r="J279" s="2" t="s">
        <v>300</v>
      </c>
      <c r="K279" s="2" t="s">
        <v>495</v>
      </c>
      <c r="L279" s="13" t="s">
        <v>496</v>
      </c>
      <c r="M279" s="2" t="s">
        <v>26</v>
      </c>
      <c r="N279" s="11" t="s">
        <v>576</v>
      </c>
      <c r="O279" s="12" t="s">
        <v>53</v>
      </c>
      <c r="P279" s="5" t="str">
        <f>IFERROR(__xludf.DUMMYFUNCTION("TEXTJOIN("" | "",TRUE,IF(OR(D279="""",E279="""",I279="""",J279="""",H279=""""),""ফাঁকা ঘর"",""""),IF(AND(C279&lt;&gt;"""",D279&lt;&gt;"""",C279=D279),""gloss=figurative"",""""),IF(LEN(D279)&lt;15,""figurative ছোট"",""""),IF(AND(I279=""Positive"",REGEXMATCH(H279,""মূর্খ|"&amp;"ভণ্ড|প্রতার|অলস|লোভ|স্বার্থ|অক্ষম|অযোগ্য|বোকা|কৃপণ|হিংস"")),""valence-target অমিল"",""""),IF(COUNTIF($B:$B,B279)&gt;1,""ডুপ্লিকেট"",""""))"),"figurative ছোট")</f>
        <v>figurative ছোট</v>
      </c>
      <c r="Q279" s="5" t="str">
        <f t="shared" si="1"/>
        <v>১ আগে দেখো</v>
      </c>
    </row>
    <row r="280">
      <c r="A280" s="4">
        <v>4879.0</v>
      </c>
      <c r="B280" s="2" t="s">
        <v>1392</v>
      </c>
      <c r="C280" s="2" t="s">
        <v>1393</v>
      </c>
      <c r="D280" s="2" t="s">
        <v>1394</v>
      </c>
      <c r="E280" s="2" t="s">
        <v>1395</v>
      </c>
      <c r="F280" s="2" t="b">
        <v>1</v>
      </c>
      <c r="G280" s="2" t="b">
        <v>0</v>
      </c>
      <c r="H280" s="2" t="s">
        <v>37</v>
      </c>
      <c r="I280" s="2" t="s">
        <v>49</v>
      </c>
      <c r="J280" s="2" t="s">
        <v>340</v>
      </c>
      <c r="K280" s="2" t="s">
        <v>495</v>
      </c>
      <c r="L280" s="13" t="s">
        <v>496</v>
      </c>
      <c r="M280" s="2" t="s">
        <v>26</v>
      </c>
      <c r="N280" s="11" t="s">
        <v>576</v>
      </c>
      <c r="O280" s="12" t="s">
        <v>53</v>
      </c>
      <c r="P280" s="5" t="str">
        <f>IFERROR(__xludf.DUMMYFUNCTION("TEXTJOIN("" | "",TRUE,IF(OR(D280="""",E280="""",I280="""",J280="""",H280=""""),""ফাঁকা ঘর"",""""),IF(AND(C280&lt;&gt;"""",D280&lt;&gt;"""",C280=D280),""gloss=figurative"",""""),IF(LEN(D280)&lt;15,""figurative ছোট"",""""),IF(AND(I280=""Positive"",REGEXMATCH(H280,""মূর্খ|"&amp;"ভণ্ড|প্রতার|অলস|লোভ|স্বার্থ|অক্ষম|অযোগ্য|বোকা|কৃপণ|হিংস"")),""valence-target অমিল"",""""),IF(COUNTIF($B:$B,B280)&gt;1,""ডুপ্লিকেট"",""""))"),"figurative ছোট")</f>
        <v>figurative ছোট</v>
      </c>
      <c r="Q280" s="5" t="str">
        <f t="shared" si="1"/>
        <v>১ আগে দেখো</v>
      </c>
    </row>
    <row r="281">
      <c r="A281" s="4">
        <v>4881.0</v>
      </c>
      <c r="B281" s="2" t="s">
        <v>1396</v>
      </c>
      <c r="C281" s="2" t="s">
        <v>1396</v>
      </c>
      <c r="D281" s="2" t="s">
        <v>1397</v>
      </c>
      <c r="E281" s="2" t="s">
        <v>1398</v>
      </c>
      <c r="F281" s="2" t="b">
        <v>1</v>
      </c>
      <c r="G281" s="2" t="b">
        <v>0</v>
      </c>
      <c r="H281" s="2" t="s">
        <v>1399</v>
      </c>
      <c r="I281" s="2" t="s">
        <v>22</v>
      </c>
      <c r="J281" s="2" t="s">
        <v>1397</v>
      </c>
      <c r="K281" s="2" t="s">
        <v>495</v>
      </c>
      <c r="L281" s="13" t="s">
        <v>496</v>
      </c>
      <c r="M281" s="2" t="s">
        <v>26</v>
      </c>
      <c r="N281" s="11" t="s">
        <v>576</v>
      </c>
      <c r="O281" s="12" t="s">
        <v>53</v>
      </c>
      <c r="P281" s="5" t="str">
        <f>IFERROR(__xludf.DUMMYFUNCTION("TEXTJOIN("" | "",TRUE,IF(OR(D281="""",E281="""",I281="""",J281="""",H281=""""),""ফাঁকা ঘর"",""""),IF(AND(C281&lt;&gt;"""",D281&lt;&gt;"""",C281=D281),""gloss=figurative"",""""),IF(LEN(D281)&lt;15,""figurative ছোট"",""""),IF(AND(I281=""Positive"",REGEXMATCH(H281,""মূর্খ|"&amp;"ভণ্ড|প্রতার|অলস|লোভ|স্বার্থ|অক্ষম|অযোগ্য|বোকা|কৃপণ|হিংস"")),""valence-target অমিল"",""""),IF(COUNTIF($B:$B,B281)&gt;1,""ডুপ্লিকেট"",""""))"),"figurative ছোট")</f>
        <v>figurative ছোট</v>
      </c>
      <c r="Q281" s="5" t="str">
        <f t="shared" si="1"/>
        <v>১ আগে দেখো</v>
      </c>
    </row>
    <row r="282">
      <c r="A282" s="4">
        <v>4884.0</v>
      </c>
      <c r="B282" s="2" t="s">
        <v>1400</v>
      </c>
      <c r="C282" s="2" t="s">
        <v>1401</v>
      </c>
      <c r="D282" s="2" t="s">
        <v>1402</v>
      </c>
      <c r="E282" s="2" t="s">
        <v>1403</v>
      </c>
      <c r="F282" s="2" t="b">
        <v>1</v>
      </c>
      <c r="G282" s="2" t="b">
        <v>0</v>
      </c>
      <c r="H282" s="2" t="s">
        <v>37</v>
      </c>
      <c r="I282" s="2" t="s">
        <v>22</v>
      </c>
      <c r="J282" s="2" t="s">
        <v>616</v>
      </c>
      <c r="K282" s="2" t="s">
        <v>495</v>
      </c>
      <c r="L282" s="13" t="s">
        <v>496</v>
      </c>
      <c r="M282" s="2" t="s">
        <v>26</v>
      </c>
      <c r="N282" s="11" t="s">
        <v>576</v>
      </c>
      <c r="O282" s="12" t="s">
        <v>53</v>
      </c>
      <c r="P282" s="5" t="str">
        <f>IFERROR(__xludf.DUMMYFUNCTION("TEXTJOIN("" | "",TRUE,IF(OR(D282="""",E282="""",I282="""",J282="""",H282=""""),""ফাঁকা ঘর"",""""),IF(AND(C282&lt;&gt;"""",D282&lt;&gt;"""",C282=D282),""gloss=figurative"",""""),IF(LEN(D282)&lt;15,""figurative ছোট"",""""),IF(AND(I282=""Positive"",REGEXMATCH(H282,""মূর্খ|"&amp;"ভণ্ড|প্রতার|অলস|লোভ|স্বার্থ|অক্ষম|অযোগ্য|বোকা|কৃপণ|হিংস"")),""valence-target অমিল"",""""),IF(COUNTIF($B:$B,B282)&gt;1,""ডুপ্লিকেট"",""""))"),"figurative ছোট")</f>
        <v>figurative ছোট</v>
      </c>
      <c r="Q282" s="5" t="str">
        <f t="shared" si="1"/>
        <v>১ আগে দেখো</v>
      </c>
    </row>
    <row r="283">
      <c r="A283" s="4">
        <v>4886.0</v>
      </c>
      <c r="B283" s="2" t="s">
        <v>1404</v>
      </c>
      <c r="C283" s="2" t="s">
        <v>1405</v>
      </c>
      <c r="D283" s="2" t="s">
        <v>1406</v>
      </c>
      <c r="E283" s="2" t="s">
        <v>1407</v>
      </c>
      <c r="F283" s="2" t="b">
        <v>1</v>
      </c>
      <c r="G283" s="2" t="b">
        <v>0</v>
      </c>
      <c r="H283" s="2" t="s">
        <v>37</v>
      </c>
      <c r="I283" s="2" t="s">
        <v>49</v>
      </c>
      <c r="J283" s="2" t="s">
        <v>1060</v>
      </c>
      <c r="K283" s="2" t="s">
        <v>495</v>
      </c>
      <c r="L283" s="13" t="s">
        <v>496</v>
      </c>
      <c r="M283" s="2" t="s">
        <v>26</v>
      </c>
      <c r="N283" s="11" t="s">
        <v>576</v>
      </c>
      <c r="O283" s="12" t="s">
        <v>53</v>
      </c>
      <c r="P283" s="5" t="str">
        <f>IFERROR(__xludf.DUMMYFUNCTION("TEXTJOIN("" | "",TRUE,IF(OR(D283="""",E283="""",I283="""",J283="""",H283=""""),""ফাঁকা ঘর"",""""),IF(AND(C283&lt;&gt;"""",D283&lt;&gt;"""",C283=D283),""gloss=figurative"",""""),IF(LEN(D283)&lt;15,""figurative ছোট"",""""),IF(AND(I283=""Positive"",REGEXMATCH(H283,""মূর্খ|"&amp;"ভণ্ড|প্রতার|অলস|লোভ|স্বার্থ|অক্ষম|অযোগ্য|বোকা|কৃপণ|হিংস"")),""valence-target অমিল"",""""),IF(COUNTIF($B:$B,B283)&gt;1,""ডুপ্লিকেট"",""""))"),"figurative ছোট")</f>
        <v>figurative ছোট</v>
      </c>
      <c r="Q283" s="5" t="str">
        <f t="shared" si="1"/>
        <v>১ আগে দেখো</v>
      </c>
    </row>
    <row r="284">
      <c r="A284" s="4">
        <v>4890.0</v>
      </c>
      <c r="B284" s="2" t="s">
        <v>1408</v>
      </c>
      <c r="C284" s="2" t="s">
        <v>1409</v>
      </c>
      <c r="D284" s="2" t="s">
        <v>1410</v>
      </c>
      <c r="E284" s="2" t="s">
        <v>1411</v>
      </c>
      <c r="F284" s="2" t="b">
        <v>1</v>
      </c>
      <c r="G284" s="2" t="b">
        <v>0</v>
      </c>
      <c r="H284" s="2" t="s">
        <v>989</v>
      </c>
      <c r="I284" s="2" t="s">
        <v>22</v>
      </c>
      <c r="J284" s="2" t="s">
        <v>784</v>
      </c>
      <c r="K284" s="2" t="s">
        <v>495</v>
      </c>
      <c r="L284" s="13" t="s">
        <v>496</v>
      </c>
      <c r="M284" s="2" t="s">
        <v>26</v>
      </c>
      <c r="N284" s="11" t="s">
        <v>576</v>
      </c>
      <c r="O284" s="12" t="s">
        <v>53</v>
      </c>
      <c r="P284" s="5" t="str">
        <f>IFERROR(__xludf.DUMMYFUNCTION("TEXTJOIN("" | "",TRUE,IF(OR(D284="""",E284="""",I284="""",J284="""",H284=""""),""ফাঁকা ঘর"",""""),IF(AND(C284&lt;&gt;"""",D284&lt;&gt;"""",C284=D284),""gloss=figurative"",""""),IF(LEN(D284)&lt;15,""figurative ছোট"",""""),IF(AND(I284=""Positive"",REGEXMATCH(H284,""মূর্খ|"&amp;"ভণ্ড|প্রতার|অলস|লোভ|স্বার্থ|অক্ষম|অযোগ্য|বোকা|কৃপণ|হিংস"")),""valence-target অমিল"",""""),IF(COUNTIF($B:$B,B284)&gt;1,""ডুপ্লিকেট"",""""))"),"figurative ছোট")</f>
        <v>figurative ছোট</v>
      </c>
      <c r="Q284" s="5" t="str">
        <f t="shared" si="1"/>
        <v>১ আগে দেখো</v>
      </c>
    </row>
    <row r="285">
      <c r="A285" s="4">
        <v>4891.0</v>
      </c>
      <c r="B285" s="2" t="s">
        <v>1412</v>
      </c>
      <c r="C285" s="2" t="s">
        <v>1413</v>
      </c>
      <c r="D285" s="2" t="s">
        <v>1414</v>
      </c>
      <c r="E285" s="2" t="s">
        <v>1415</v>
      </c>
      <c r="F285" s="2" t="b">
        <v>1</v>
      </c>
      <c r="G285" s="2" t="b">
        <v>0</v>
      </c>
      <c r="H285" s="2" t="s">
        <v>37</v>
      </c>
      <c r="I285" s="2" t="s">
        <v>49</v>
      </c>
      <c r="J285" s="2" t="s">
        <v>300</v>
      </c>
      <c r="K285" s="2" t="s">
        <v>495</v>
      </c>
      <c r="L285" s="13" t="s">
        <v>496</v>
      </c>
      <c r="M285" s="2" t="s">
        <v>26</v>
      </c>
      <c r="N285" s="11" t="s">
        <v>576</v>
      </c>
      <c r="O285" s="12" t="s">
        <v>53</v>
      </c>
      <c r="P285" s="5" t="str">
        <f>IFERROR(__xludf.DUMMYFUNCTION("TEXTJOIN("" | "",TRUE,IF(OR(D285="""",E285="""",I285="""",J285="""",H285=""""),""ফাঁকা ঘর"",""""),IF(AND(C285&lt;&gt;"""",D285&lt;&gt;"""",C285=D285),""gloss=figurative"",""""),IF(LEN(D285)&lt;15,""figurative ছোট"",""""),IF(AND(I285=""Positive"",REGEXMATCH(H285,""মূর্খ|"&amp;"ভণ্ড|প্রতার|অলস|লোভ|স্বার্থ|অক্ষম|অযোগ্য|বোকা|কৃপণ|হিংস"")),""valence-target অমিল"",""""),IF(COUNTIF($B:$B,B285)&gt;1,""ডুপ্লিকেট"",""""))"),"figurative ছোট")</f>
        <v>figurative ছোট</v>
      </c>
      <c r="Q285" s="5" t="str">
        <f t="shared" si="1"/>
        <v>১ আগে দেখো</v>
      </c>
    </row>
    <row r="286">
      <c r="A286" s="4">
        <v>4892.0</v>
      </c>
      <c r="B286" s="2" t="s">
        <v>1416</v>
      </c>
      <c r="C286" s="2" t="s">
        <v>1417</v>
      </c>
      <c r="D286" s="2" t="s">
        <v>1418</v>
      </c>
      <c r="E286" s="2" t="s">
        <v>1419</v>
      </c>
      <c r="F286" s="2" t="b">
        <v>1</v>
      </c>
      <c r="G286" s="2" t="b">
        <v>0</v>
      </c>
      <c r="H286" s="2" t="s">
        <v>37</v>
      </c>
      <c r="I286" s="2" t="s">
        <v>49</v>
      </c>
      <c r="J286" s="2" t="s">
        <v>1418</v>
      </c>
      <c r="K286" s="2" t="s">
        <v>495</v>
      </c>
      <c r="L286" s="13" t="s">
        <v>496</v>
      </c>
      <c r="M286" s="2" t="s">
        <v>26</v>
      </c>
      <c r="N286" s="11" t="s">
        <v>576</v>
      </c>
      <c r="O286" s="12" t="s">
        <v>53</v>
      </c>
      <c r="P286" s="5" t="str">
        <f>IFERROR(__xludf.DUMMYFUNCTION("TEXTJOIN("" | "",TRUE,IF(OR(D286="""",E286="""",I286="""",J286="""",H286=""""),""ফাঁকা ঘর"",""""),IF(AND(C286&lt;&gt;"""",D286&lt;&gt;"""",C286=D286),""gloss=figurative"",""""),IF(LEN(D286)&lt;15,""figurative ছোট"",""""),IF(AND(I286=""Positive"",REGEXMATCH(H286,""মূর্খ|"&amp;"ভণ্ড|প্রতার|অলস|লোভ|স্বার্থ|অক্ষম|অযোগ্য|বোকা|কৃপণ|হিংস"")),""valence-target অমিল"",""""),IF(COUNTIF($B:$B,B286)&gt;1,""ডুপ্লিকেট"",""""))"),"figurative ছোট")</f>
        <v>figurative ছোট</v>
      </c>
      <c r="Q286" s="5" t="str">
        <f t="shared" si="1"/>
        <v>১ আগে দেখো</v>
      </c>
    </row>
    <row r="287">
      <c r="A287" s="4">
        <v>4894.0</v>
      </c>
      <c r="B287" s="2" t="s">
        <v>1420</v>
      </c>
      <c r="C287" s="2" t="s">
        <v>1421</v>
      </c>
      <c r="D287" s="2" t="s">
        <v>1422</v>
      </c>
      <c r="E287" s="2" t="s">
        <v>1423</v>
      </c>
      <c r="F287" s="2" t="b">
        <v>1</v>
      </c>
      <c r="G287" s="2" t="b">
        <v>0</v>
      </c>
      <c r="H287" s="2" t="s">
        <v>482</v>
      </c>
      <c r="I287" s="2" t="s">
        <v>22</v>
      </c>
      <c r="J287" s="2" t="s">
        <v>43</v>
      </c>
      <c r="K287" s="2" t="s">
        <v>495</v>
      </c>
      <c r="L287" s="13" t="s">
        <v>496</v>
      </c>
      <c r="M287" s="2" t="s">
        <v>26</v>
      </c>
      <c r="N287" s="11" t="s">
        <v>576</v>
      </c>
      <c r="O287" s="12" t="s">
        <v>53</v>
      </c>
      <c r="P287" s="5" t="str">
        <f>IFERROR(__xludf.DUMMYFUNCTION("TEXTJOIN("" | "",TRUE,IF(OR(D287="""",E287="""",I287="""",J287="""",H287=""""),""ফাঁকা ঘর"",""""),IF(AND(C287&lt;&gt;"""",D287&lt;&gt;"""",C287=D287),""gloss=figurative"",""""),IF(LEN(D287)&lt;15,""figurative ছোট"",""""),IF(AND(I287=""Positive"",REGEXMATCH(H287,""মূর্খ|"&amp;"ভণ্ড|প্রতার|অলস|লোভ|স্বার্থ|অক্ষম|অযোগ্য|বোকা|কৃপণ|হিংস"")),""valence-target অমিল"",""""),IF(COUNTIF($B:$B,B287)&gt;1,""ডুপ্লিকেট"",""""))"),"figurative ছোট")</f>
        <v>figurative ছোট</v>
      </c>
      <c r="Q287" s="5" t="str">
        <f t="shared" si="1"/>
        <v>১ আগে দেখো</v>
      </c>
    </row>
    <row r="288">
      <c r="A288" s="4">
        <v>4900.0</v>
      </c>
      <c r="B288" s="2" t="s">
        <v>1424</v>
      </c>
      <c r="C288" s="2" t="s">
        <v>1425</v>
      </c>
      <c r="D288" s="2" t="s">
        <v>1422</v>
      </c>
      <c r="E288" s="2" t="s">
        <v>1426</v>
      </c>
      <c r="F288" s="2" t="b">
        <v>1</v>
      </c>
      <c r="G288" s="2" t="b">
        <v>0</v>
      </c>
      <c r="H288" s="2" t="s">
        <v>482</v>
      </c>
      <c r="I288" s="2" t="s">
        <v>22</v>
      </c>
      <c r="J288" s="2" t="s">
        <v>43</v>
      </c>
      <c r="K288" s="2" t="s">
        <v>495</v>
      </c>
      <c r="L288" s="13" t="s">
        <v>496</v>
      </c>
      <c r="M288" s="2" t="s">
        <v>26</v>
      </c>
      <c r="N288" s="11" t="s">
        <v>576</v>
      </c>
      <c r="O288" s="12" t="s">
        <v>53</v>
      </c>
      <c r="P288" s="5" t="str">
        <f>IFERROR(__xludf.DUMMYFUNCTION("TEXTJOIN("" | "",TRUE,IF(OR(D288="""",E288="""",I288="""",J288="""",H288=""""),""ফাঁকা ঘর"",""""),IF(AND(C288&lt;&gt;"""",D288&lt;&gt;"""",C288=D288),""gloss=figurative"",""""),IF(LEN(D288)&lt;15,""figurative ছোট"",""""),IF(AND(I288=""Positive"",REGEXMATCH(H288,""মূর্খ|"&amp;"ভণ্ড|প্রতার|অলস|লোভ|স্বার্থ|অক্ষম|অযোগ্য|বোকা|কৃপণ|হিংস"")),""valence-target অমিল"",""""),IF(COUNTIF($B:$B,B288)&gt;1,""ডুপ্লিকেট"",""""))"),"figurative ছোট")</f>
        <v>figurative ছোট</v>
      </c>
      <c r="Q288" s="5" t="str">
        <f t="shared" si="1"/>
        <v>১ আগে দেখো</v>
      </c>
    </row>
    <row r="289">
      <c r="A289" s="4">
        <v>4906.0</v>
      </c>
      <c r="B289" s="2" t="s">
        <v>1427</v>
      </c>
      <c r="C289" s="2" t="s">
        <v>1428</v>
      </c>
      <c r="D289" s="2" t="s">
        <v>1429</v>
      </c>
      <c r="E289" s="2" t="s">
        <v>1430</v>
      </c>
      <c r="F289" s="2" t="b">
        <v>1</v>
      </c>
      <c r="G289" s="2" t="b">
        <v>0</v>
      </c>
      <c r="H289" s="2" t="s">
        <v>37</v>
      </c>
      <c r="I289" s="2" t="s">
        <v>22</v>
      </c>
      <c r="J289" s="2" t="s">
        <v>978</v>
      </c>
      <c r="K289" s="2" t="s">
        <v>495</v>
      </c>
      <c r="L289" s="13" t="s">
        <v>496</v>
      </c>
      <c r="M289" s="2" t="s">
        <v>26</v>
      </c>
      <c r="N289" s="11" t="s">
        <v>576</v>
      </c>
      <c r="O289" s="12" t="s">
        <v>53</v>
      </c>
      <c r="P289" s="5" t="str">
        <f>IFERROR(__xludf.DUMMYFUNCTION("TEXTJOIN("" | "",TRUE,IF(OR(D289="""",E289="""",I289="""",J289="""",H289=""""),""ফাঁকা ঘর"",""""),IF(AND(C289&lt;&gt;"""",D289&lt;&gt;"""",C289=D289),""gloss=figurative"",""""),IF(LEN(D289)&lt;15,""figurative ছোট"",""""),IF(AND(I289=""Positive"",REGEXMATCH(H289,""মূর্খ|"&amp;"ভণ্ড|প্রতার|অলস|লোভ|স্বার্থ|অক্ষম|অযোগ্য|বোকা|কৃপণ|হিংস"")),""valence-target অমিল"",""""),IF(COUNTIF($B:$B,B289)&gt;1,""ডুপ্লিকেট"",""""))"),"figurative ছোট")</f>
        <v>figurative ছোট</v>
      </c>
      <c r="Q289" s="5" t="str">
        <f t="shared" si="1"/>
        <v>১ আগে দেখো</v>
      </c>
    </row>
    <row r="290">
      <c r="A290" s="4">
        <v>4912.0</v>
      </c>
      <c r="B290" s="2" t="s">
        <v>1431</v>
      </c>
      <c r="C290" s="2" t="s">
        <v>1432</v>
      </c>
      <c r="D290" s="2" t="s">
        <v>1433</v>
      </c>
      <c r="E290" s="2" t="s">
        <v>1434</v>
      </c>
      <c r="F290" s="2" t="b">
        <v>1</v>
      </c>
      <c r="G290" s="2" t="b">
        <v>0</v>
      </c>
      <c r="H290" s="2" t="s">
        <v>37</v>
      </c>
      <c r="I290" s="2" t="s">
        <v>22</v>
      </c>
      <c r="J290" s="2" t="s">
        <v>830</v>
      </c>
      <c r="K290" s="2" t="s">
        <v>495</v>
      </c>
      <c r="L290" s="13" t="s">
        <v>496</v>
      </c>
      <c r="M290" s="2" t="s">
        <v>26</v>
      </c>
      <c r="N290" s="11" t="s">
        <v>576</v>
      </c>
      <c r="O290" s="12" t="s">
        <v>53</v>
      </c>
      <c r="P290" s="5" t="str">
        <f>IFERROR(__xludf.DUMMYFUNCTION("TEXTJOIN("" | "",TRUE,IF(OR(D290="""",E290="""",I290="""",J290="""",H290=""""),""ফাঁকা ঘর"",""""),IF(AND(C290&lt;&gt;"""",D290&lt;&gt;"""",C290=D290),""gloss=figurative"",""""),IF(LEN(D290)&lt;15,""figurative ছোট"",""""),IF(AND(I290=""Positive"",REGEXMATCH(H290,""মূর্খ|"&amp;"ভণ্ড|প্রতার|অলস|লোভ|স্বার্থ|অক্ষম|অযোগ্য|বোকা|কৃপণ|হিংস"")),""valence-target অমিল"",""""),IF(COUNTIF($B:$B,B290)&gt;1,""ডুপ্লিকেট"",""""))"),"figurative ছোট")</f>
        <v>figurative ছোট</v>
      </c>
      <c r="Q290" s="5" t="str">
        <f t="shared" si="1"/>
        <v>১ আগে দেখো</v>
      </c>
    </row>
    <row r="291">
      <c r="A291" s="4">
        <v>4914.0</v>
      </c>
      <c r="B291" s="2" t="s">
        <v>1435</v>
      </c>
      <c r="C291" s="2" t="s">
        <v>1436</v>
      </c>
      <c r="D291" s="2" t="s">
        <v>488</v>
      </c>
      <c r="E291" s="2" t="s">
        <v>1437</v>
      </c>
      <c r="F291" s="2" t="b">
        <v>1</v>
      </c>
      <c r="G291" s="2" t="b">
        <v>0</v>
      </c>
      <c r="H291" s="2" t="s">
        <v>488</v>
      </c>
      <c r="I291" s="2" t="s">
        <v>22</v>
      </c>
      <c r="J291" s="2" t="s">
        <v>1438</v>
      </c>
      <c r="K291" s="2" t="s">
        <v>495</v>
      </c>
      <c r="L291" s="13" t="s">
        <v>496</v>
      </c>
      <c r="M291" s="2" t="s">
        <v>26</v>
      </c>
      <c r="N291" s="11" t="s">
        <v>576</v>
      </c>
      <c r="O291" s="12" t="s">
        <v>53</v>
      </c>
      <c r="P291" s="5" t="str">
        <f>IFERROR(__xludf.DUMMYFUNCTION("TEXTJOIN("" | "",TRUE,IF(OR(D291="""",E291="""",I291="""",J291="""",H291=""""),""ফাঁকা ঘর"",""""),IF(AND(C291&lt;&gt;"""",D291&lt;&gt;"""",C291=D291),""gloss=figurative"",""""),IF(LEN(D291)&lt;15,""figurative ছোট"",""""),IF(AND(I291=""Positive"",REGEXMATCH(H291,""মূর্খ|"&amp;"ভণ্ড|প্রতার|অলস|লোভ|স্বার্থ|অক্ষম|অযোগ্য|বোকা|কৃপণ|হিংস"")),""valence-target অমিল"",""""),IF(COUNTIF($B:$B,B291)&gt;1,""ডুপ্লিকেট"",""""))"),"figurative ছোট")</f>
        <v>figurative ছোট</v>
      </c>
      <c r="Q291" s="5" t="str">
        <f t="shared" si="1"/>
        <v>১ আগে দেখো</v>
      </c>
    </row>
    <row r="292">
      <c r="A292" s="4">
        <v>4922.0</v>
      </c>
      <c r="B292" s="2" t="s">
        <v>1439</v>
      </c>
      <c r="C292" s="2" t="s">
        <v>1440</v>
      </c>
      <c r="D292" s="2" t="s">
        <v>1441</v>
      </c>
      <c r="E292" s="2" t="s">
        <v>1442</v>
      </c>
      <c r="F292" s="2" t="b">
        <v>1</v>
      </c>
      <c r="G292" s="2" t="b">
        <v>0</v>
      </c>
      <c r="H292" s="2" t="s">
        <v>37</v>
      </c>
      <c r="I292" s="2" t="s">
        <v>32</v>
      </c>
      <c r="J292" s="2" t="s">
        <v>1443</v>
      </c>
      <c r="K292" s="2" t="s">
        <v>495</v>
      </c>
      <c r="L292" s="13" t="s">
        <v>496</v>
      </c>
      <c r="M292" s="2" t="s">
        <v>26</v>
      </c>
      <c r="N292" s="11" t="s">
        <v>576</v>
      </c>
      <c r="O292" s="12" t="s">
        <v>53</v>
      </c>
      <c r="P292" s="5" t="str">
        <f>IFERROR(__xludf.DUMMYFUNCTION("TEXTJOIN("" | "",TRUE,IF(OR(D292="""",E292="""",I292="""",J292="""",H292=""""),""ফাঁকা ঘর"",""""),IF(AND(C292&lt;&gt;"""",D292&lt;&gt;"""",C292=D292),""gloss=figurative"",""""),IF(LEN(D292)&lt;15,""figurative ছোট"",""""),IF(AND(I292=""Positive"",REGEXMATCH(H292,""মূর্খ|"&amp;"ভণ্ড|প্রতার|অলস|লোভ|স্বার্থ|অক্ষম|অযোগ্য|বোকা|কৃপণ|হিংস"")),""valence-target অমিল"",""""),IF(COUNTIF($B:$B,B292)&gt;1,""ডুপ্লিকেট"",""""))"),"figurative ছোট")</f>
        <v>figurative ছোট</v>
      </c>
      <c r="Q292" s="5" t="str">
        <f t="shared" si="1"/>
        <v>১ আগে দেখো</v>
      </c>
    </row>
    <row r="293">
      <c r="A293" s="4">
        <v>4923.0</v>
      </c>
      <c r="B293" s="2" t="s">
        <v>1444</v>
      </c>
      <c r="C293" s="2" t="s">
        <v>1444</v>
      </c>
      <c r="D293" s="2" t="s">
        <v>1445</v>
      </c>
      <c r="E293" s="2" t="s">
        <v>1446</v>
      </c>
      <c r="F293" s="2" t="b">
        <v>1</v>
      </c>
      <c r="G293" s="2" t="b">
        <v>0</v>
      </c>
      <c r="H293" s="2" t="s">
        <v>37</v>
      </c>
      <c r="I293" s="2" t="s">
        <v>22</v>
      </c>
      <c r="J293" s="2" t="s">
        <v>1002</v>
      </c>
      <c r="K293" s="2" t="s">
        <v>495</v>
      </c>
      <c r="L293" s="13" t="s">
        <v>496</v>
      </c>
      <c r="M293" s="2" t="s">
        <v>26</v>
      </c>
      <c r="N293" s="11" t="s">
        <v>576</v>
      </c>
      <c r="O293" s="12" t="s">
        <v>53</v>
      </c>
      <c r="P293" s="5" t="str">
        <f>IFERROR(__xludf.DUMMYFUNCTION("TEXTJOIN("" | "",TRUE,IF(OR(D293="""",E293="""",I293="""",J293="""",H293=""""),""ফাঁকা ঘর"",""""),IF(AND(C293&lt;&gt;"""",D293&lt;&gt;"""",C293=D293),""gloss=figurative"",""""),IF(LEN(D293)&lt;15,""figurative ছোট"",""""),IF(AND(I293=""Positive"",REGEXMATCH(H293,""মূর্খ|"&amp;"ভণ্ড|প্রতার|অলস|লোভ|স্বার্থ|অক্ষম|অযোগ্য|বোকা|কৃপণ|হিংস"")),""valence-target অমিল"",""""),IF(COUNTIF($B:$B,B293)&gt;1,""ডুপ্লিকেট"",""""))"),"figurative ছোট")</f>
        <v>figurative ছোট</v>
      </c>
      <c r="Q293" s="5" t="str">
        <f t="shared" si="1"/>
        <v>১ আগে দেখো</v>
      </c>
    </row>
    <row r="294">
      <c r="A294" s="4">
        <v>4930.0</v>
      </c>
      <c r="B294" s="2" t="s">
        <v>1447</v>
      </c>
      <c r="C294" s="2" t="s">
        <v>1447</v>
      </c>
      <c r="D294" s="2" t="s">
        <v>1448</v>
      </c>
      <c r="E294" s="2" t="s">
        <v>1449</v>
      </c>
      <c r="F294" s="2" t="b">
        <v>1</v>
      </c>
      <c r="G294" s="2" t="b">
        <v>0</v>
      </c>
      <c r="H294" s="2" t="s">
        <v>37</v>
      </c>
      <c r="I294" s="2" t="s">
        <v>22</v>
      </c>
      <c r="J294" s="2" t="s">
        <v>1450</v>
      </c>
      <c r="K294" s="2" t="s">
        <v>495</v>
      </c>
      <c r="L294" s="13" t="s">
        <v>496</v>
      </c>
      <c r="M294" s="2" t="s">
        <v>26</v>
      </c>
      <c r="N294" s="11" t="s">
        <v>576</v>
      </c>
      <c r="O294" s="12" t="s">
        <v>53</v>
      </c>
      <c r="P294" s="5" t="str">
        <f>IFERROR(__xludf.DUMMYFUNCTION("TEXTJOIN("" | "",TRUE,IF(OR(D294="""",E294="""",I294="""",J294="""",H294=""""),""ফাঁকা ঘর"",""""),IF(AND(C294&lt;&gt;"""",D294&lt;&gt;"""",C294=D294),""gloss=figurative"",""""),IF(LEN(D294)&lt;15,""figurative ছোট"",""""),IF(AND(I294=""Positive"",REGEXMATCH(H294,""মূর্খ|"&amp;"ভণ্ড|প্রতার|অলস|লোভ|স্বার্থ|অক্ষম|অযোগ্য|বোকা|কৃপণ|হিংস"")),""valence-target অমিল"",""""),IF(COUNTIF($B:$B,B294)&gt;1,""ডুপ্লিকেট"",""""))"),"figurative ছোট")</f>
        <v>figurative ছোট</v>
      </c>
      <c r="Q294" s="5" t="str">
        <f t="shared" si="1"/>
        <v>১ আগে দেখো</v>
      </c>
    </row>
    <row r="295">
      <c r="A295" s="4">
        <v>4931.0</v>
      </c>
      <c r="B295" s="2" t="s">
        <v>1451</v>
      </c>
      <c r="C295" s="2" t="s">
        <v>1451</v>
      </c>
      <c r="D295" s="2" t="s">
        <v>1452</v>
      </c>
      <c r="E295" s="2" t="s">
        <v>1453</v>
      </c>
      <c r="F295" s="2" t="b">
        <v>1</v>
      </c>
      <c r="G295" s="2" t="b">
        <v>0</v>
      </c>
      <c r="H295" s="2" t="s">
        <v>37</v>
      </c>
      <c r="I295" s="2" t="s">
        <v>49</v>
      </c>
      <c r="J295" s="2" t="s">
        <v>1454</v>
      </c>
      <c r="K295" s="2" t="s">
        <v>495</v>
      </c>
      <c r="L295" s="13" t="s">
        <v>496</v>
      </c>
      <c r="M295" s="2" t="s">
        <v>26</v>
      </c>
      <c r="N295" s="11" t="s">
        <v>576</v>
      </c>
      <c r="O295" s="12" t="s">
        <v>53</v>
      </c>
      <c r="P295" s="5" t="str">
        <f>IFERROR(__xludf.DUMMYFUNCTION("TEXTJOIN("" | "",TRUE,IF(OR(D295="""",E295="""",I295="""",J295="""",H295=""""),""ফাঁকা ঘর"",""""),IF(AND(C295&lt;&gt;"""",D295&lt;&gt;"""",C295=D295),""gloss=figurative"",""""),IF(LEN(D295)&lt;15,""figurative ছোট"",""""),IF(AND(I295=""Positive"",REGEXMATCH(H295,""মূর্খ|"&amp;"ভণ্ড|প্রতার|অলস|লোভ|স্বার্থ|অক্ষম|অযোগ্য|বোকা|কৃপণ|হিংস"")),""valence-target অমিল"",""""),IF(COUNTIF($B:$B,B295)&gt;1,""ডুপ্লিকেট"",""""))"),"figurative ছোট")</f>
        <v>figurative ছোট</v>
      </c>
      <c r="Q295" s="5" t="str">
        <f t="shared" si="1"/>
        <v>১ আগে দেখো</v>
      </c>
    </row>
    <row r="296">
      <c r="A296" s="4">
        <v>4934.0</v>
      </c>
      <c r="B296" s="2" t="s">
        <v>1455</v>
      </c>
      <c r="C296" s="2" t="s">
        <v>1456</v>
      </c>
      <c r="D296" s="2" t="s">
        <v>1406</v>
      </c>
      <c r="E296" s="2" t="s">
        <v>1457</v>
      </c>
      <c r="F296" s="2" t="b">
        <v>1</v>
      </c>
      <c r="G296" s="2" t="b">
        <v>0</v>
      </c>
      <c r="H296" s="2" t="s">
        <v>37</v>
      </c>
      <c r="I296" s="2" t="s">
        <v>49</v>
      </c>
      <c r="J296" s="2" t="s">
        <v>1060</v>
      </c>
      <c r="K296" s="2" t="s">
        <v>495</v>
      </c>
      <c r="L296" s="13" t="s">
        <v>496</v>
      </c>
      <c r="M296" s="2" t="s">
        <v>26</v>
      </c>
      <c r="N296" s="11" t="s">
        <v>576</v>
      </c>
      <c r="O296" s="12" t="s">
        <v>53</v>
      </c>
      <c r="P296" s="5" t="str">
        <f>IFERROR(__xludf.DUMMYFUNCTION("TEXTJOIN("" | "",TRUE,IF(OR(D296="""",E296="""",I296="""",J296="""",H296=""""),""ফাঁকা ঘর"",""""),IF(AND(C296&lt;&gt;"""",D296&lt;&gt;"""",C296=D296),""gloss=figurative"",""""),IF(LEN(D296)&lt;15,""figurative ছোট"",""""),IF(AND(I296=""Positive"",REGEXMATCH(H296,""মূর্খ|"&amp;"ভণ্ড|প্রতার|অলস|লোভ|স্বার্থ|অক্ষম|অযোগ্য|বোকা|কৃপণ|হিংস"")),""valence-target অমিল"",""""),IF(COUNTIF($B:$B,B296)&gt;1,""ডুপ্লিকেট"",""""))"),"figurative ছোট")</f>
        <v>figurative ছোট</v>
      </c>
      <c r="Q296" s="5" t="str">
        <f t="shared" si="1"/>
        <v>১ আগে দেখো</v>
      </c>
    </row>
    <row r="297">
      <c r="A297" s="4">
        <v>4937.0</v>
      </c>
      <c r="B297" s="2" t="s">
        <v>1458</v>
      </c>
      <c r="C297" s="2" t="s">
        <v>1459</v>
      </c>
      <c r="D297" s="2" t="s">
        <v>1460</v>
      </c>
      <c r="E297" s="2" t="s">
        <v>1461</v>
      </c>
      <c r="F297" s="2" t="b">
        <v>1</v>
      </c>
      <c r="G297" s="2" t="b">
        <v>0</v>
      </c>
      <c r="H297" s="2" t="s">
        <v>37</v>
      </c>
      <c r="I297" s="2" t="s">
        <v>22</v>
      </c>
      <c r="J297" s="2" t="s">
        <v>1462</v>
      </c>
      <c r="K297" s="2" t="s">
        <v>495</v>
      </c>
      <c r="L297" s="13" t="s">
        <v>496</v>
      </c>
      <c r="M297" s="2" t="s">
        <v>26</v>
      </c>
      <c r="N297" s="11" t="s">
        <v>576</v>
      </c>
      <c r="O297" s="12" t="s">
        <v>53</v>
      </c>
      <c r="P297" s="5" t="str">
        <f>IFERROR(__xludf.DUMMYFUNCTION("TEXTJOIN("" | "",TRUE,IF(OR(D297="""",E297="""",I297="""",J297="""",H297=""""),""ফাঁকা ঘর"",""""),IF(AND(C297&lt;&gt;"""",D297&lt;&gt;"""",C297=D297),""gloss=figurative"",""""),IF(LEN(D297)&lt;15,""figurative ছোট"",""""),IF(AND(I297=""Positive"",REGEXMATCH(H297,""মূর্খ|"&amp;"ভণ্ড|প্রতার|অলস|লোভ|স্বার্থ|অক্ষম|অযোগ্য|বোকা|কৃপণ|হিংস"")),""valence-target অমিল"",""""),IF(COUNTIF($B:$B,B297)&gt;1,""ডুপ্লিকেট"",""""))"),"figurative ছোট")</f>
        <v>figurative ছোট</v>
      </c>
      <c r="Q297" s="5" t="str">
        <f t="shared" si="1"/>
        <v>১ আগে দেখো</v>
      </c>
    </row>
    <row r="298">
      <c r="A298" s="4">
        <v>4939.0</v>
      </c>
      <c r="B298" s="2" t="s">
        <v>1463</v>
      </c>
      <c r="C298" s="2" t="s">
        <v>1464</v>
      </c>
      <c r="D298" s="2" t="s">
        <v>1465</v>
      </c>
      <c r="E298" s="2" t="s">
        <v>1466</v>
      </c>
      <c r="F298" s="2" t="b">
        <v>1</v>
      </c>
      <c r="G298" s="2" t="b">
        <v>0</v>
      </c>
      <c r="H298" s="2" t="s">
        <v>37</v>
      </c>
      <c r="I298" s="2" t="s">
        <v>32</v>
      </c>
      <c r="J298" s="2" t="s">
        <v>669</v>
      </c>
      <c r="K298" s="2" t="s">
        <v>495</v>
      </c>
      <c r="L298" s="13" t="s">
        <v>496</v>
      </c>
      <c r="M298" s="2" t="s">
        <v>26</v>
      </c>
      <c r="N298" s="11" t="s">
        <v>576</v>
      </c>
      <c r="O298" s="12" t="s">
        <v>53</v>
      </c>
      <c r="P298" s="5" t="str">
        <f>IFERROR(__xludf.DUMMYFUNCTION("TEXTJOIN("" | "",TRUE,IF(OR(D298="""",E298="""",I298="""",J298="""",H298=""""),""ফাঁকা ঘর"",""""),IF(AND(C298&lt;&gt;"""",D298&lt;&gt;"""",C298=D298),""gloss=figurative"",""""),IF(LEN(D298)&lt;15,""figurative ছোট"",""""),IF(AND(I298=""Positive"",REGEXMATCH(H298,""মূর্খ|"&amp;"ভণ্ড|প্রতার|অলস|লোভ|স্বার্থ|অক্ষম|অযোগ্য|বোকা|কৃপণ|হিংস"")),""valence-target অমিল"",""""),IF(COUNTIF($B:$B,B298)&gt;1,""ডুপ্লিকেট"",""""))"),"figurative ছোট")</f>
        <v>figurative ছোট</v>
      </c>
      <c r="Q298" s="5" t="str">
        <f t="shared" si="1"/>
        <v>১ আগে দেখো</v>
      </c>
    </row>
    <row r="299">
      <c r="A299" s="4">
        <v>4940.0</v>
      </c>
      <c r="B299" s="2" t="s">
        <v>1467</v>
      </c>
      <c r="C299" s="2" t="s">
        <v>1468</v>
      </c>
      <c r="D299" s="2" t="s">
        <v>1469</v>
      </c>
      <c r="E299" s="2" t="s">
        <v>1470</v>
      </c>
      <c r="F299" s="2" t="b">
        <v>1</v>
      </c>
      <c r="G299" s="2" t="b">
        <v>0</v>
      </c>
      <c r="H299" s="2" t="s">
        <v>1284</v>
      </c>
      <c r="I299" s="2" t="s">
        <v>22</v>
      </c>
      <c r="J299" s="2" t="s">
        <v>1471</v>
      </c>
      <c r="K299" s="2" t="s">
        <v>495</v>
      </c>
      <c r="L299" s="13" t="s">
        <v>496</v>
      </c>
      <c r="M299" s="2" t="s">
        <v>26</v>
      </c>
      <c r="N299" s="11" t="s">
        <v>576</v>
      </c>
      <c r="O299" s="12" t="s">
        <v>53</v>
      </c>
      <c r="P299" s="5" t="str">
        <f>IFERROR(__xludf.DUMMYFUNCTION("TEXTJOIN("" | "",TRUE,IF(OR(D299="""",E299="""",I299="""",J299="""",H299=""""),""ফাঁকা ঘর"",""""),IF(AND(C299&lt;&gt;"""",D299&lt;&gt;"""",C299=D299),""gloss=figurative"",""""),IF(LEN(D299)&lt;15,""figurative ছোট"",""""),IF(AND(I299=""Positive"",REGEXMATCH(H299,""মূর্খ|"&amp;"ভণ্ড|প্রতার|অলস|লোভ|স্বার্থ|অক্ষম|অযোগ্য|বোকা|কৃপণ|হিংস"")),""valence-target অমিল"",""""),IF(COUNTIF($B:$B,B299)&gt;1,""ডুপ্লিকেট"",""""))"),"figurative ছোট")</f>
        <v>figurative ছোট</v>
      </c>
      <c r="Q299" s="5" t="str">
        <f t="shared" si="1"/>
        <v>১ আগে দেখো</v>
      </c>
    </row>
    <row r="300">
      <c r="A300" s="4">
        <v>4956.0</v>
      </c>
      <c r="B300" s="2" t="s">
        <v>1472</v>
      </c>
      <c r="C300" s="2" t="s">
        <v>1473</v>
      </c>
      <c r="D300" s="2" t="s">
        <v>1474</v>
      </c>
      <c r="E300" s="2" t="s">
        <v>1475</v>
      </c>
      <c r="F300" s="2" t="b">
        <v>1</v>
      </c>
      <c r="G300" s="2" t="b">
        <v>0</v>
      </c>
      <c r="H300" s="2" t="s">
        <v>37</v>
      </c>
      <c r="I300" s="2" t="s">
        <v>49</v>
      </c>
      <c r="J300" s="2" t="s">
        <v>1476</v>
      </c>
      <c r="K300" s="2" t="s">
        <v>495</v>
      </c>
      <c r="L300" s="13" t="s">
        <v>496</v>
      </c>
      <c r="M300" s="2" t="s">
        <v>26</v>
      </c>
      <c r="N300" s="11" t="s">
        <v>576</v>
      </c>
      <c r="O300" s="12" t="s">
        <v>53</v>
      </c>
      <c r="P300" s="5" t="str">
        <f>IFERROR(__xludf.DUMMYFUNCTION("TEXTJOIN("" | "",TRUE,IF(OR(D300="""",E300="""",I300="""",J300="""",H300=""""),""ফাঁকা ঘর"",""""),IF(AND(C300&lt;&gt;"""",D300&lt;&gt;"""",C300=D300),""gloss=figurative"",""""),IF(LEN(D300)&lt;15,""figurative ছোট"",""""),IF(AND(I300=""Positive"",REGEXMATCH(H300,""মূর্খ|"&amp;"ভণ্ড|প্রতার|অলস|লোভ|স্বার্থ|অক্ষম|অযোগ্য|বোকা|কৃপণ|হিংস"")),""valence-target অমিল"",""""),IF(COUNTIF($B:$B,B300)&gt;1,""ডুপ্লিকেট"",""""))"),"figurative ছোট")</f>
        <v>figurative ছোট</v>
      </c>
      <c r="Q300" s="5" t="str">
        <f t="shared" si="1"/>
        <v>১ আগে দেখো</v>
      </c>
    </row>
    <row r="301">
      <c r="A301" s="4">
        <v>4960.0</v>
      </c>
      <c r="B301" s="2" t="s">
        <v>1477</v>
      </c>
      <c r="C301" s="2" t="s">
        <v>1478</v>
      </c>
      <c r="D301" s="2" t="s">
        <v>1219</v>
      </c>
      <c r="E301" s="2" t="s">
        <v>1220</v>
      </c>
      <c r="F301" s="2" t="b">
        <v>1</v>
      </c>
      <c r="G301" s="2" t="b">
        <v>0</v>
      </c>
      <c r="H301" s="2" t="s">
        <v>37</v>
      </c>
      <c r="I301" s="2" t="s">
        <v>22</v>
      </c>
      <c r="J301" s="2" t="s">
        <v>1221</v>
      </c>
      <c r="K301" s="2" t="s">
        <v>495</v>
      </c>
      <c r="L301" s="13" t="s">
        <v>496</v>
      </c>
      <c r="M301" s="2" t="s">
        <v>26</v>
      </c>
      <c r="N301" s="11" t="s">
        <v>576</v>
      </c>
      <c r="O301" s="12" t="s">
        <v>53</v>
      </c>
      <c r="P301" s="5" t="str">
        <f>IFERROR(__xludf.DUMMYFUNCTION("TEXTJOIN("" | "",TRUE,IF(OR(D301="""",E301="""",I301="""",J301="""",H301=""""),""ফাঁকা ঘর"",""""),IF(AND(C301&lt;&gt;"""",D301&lt;&gt;"""",C301=D301),""gloss=figurative"",""""),IF(LEN(D301)&lt;15,""figurative ছোট"",""""),IF(AND(I301=""Positive"",REGEXMATCH(H301,""মূর্খ|"&amp;"ভণ্ড|প্রতার|অলস|লোভ|স্বার্থ|অক্ষম|অযোগ্য|বোকা|কৃপণ|হিংস"")),""valence-target অমিল"",""""),IF(COUNTIF($B:$B,B301)&gt;1,""ডুপ্লিকেট"",""""))"),"figurative ছোট")</f>
        <v>figurative ছোট</v>
      </c>
      <c r="Q301" s="5" t="str">
        <f t="shared" si="1"/>
        <v>১ আগে দেখো</v>
      </c>
    </row>
    <row r="302">
      <c r="A302" s="4">
        <v>4971.0</v>
      </c>
      <c r="B302" s="2" t="s">
        <v>1479</v>
      </c>
      <c r="C302" s="2" t="s">
        <v>1290</v>
      </c>
      <c r="D302" s="2" t="s">
        <v>1291</v>
      </c>
      <c r="E302" s="2" t="s">
        <v>1480</v>
      </c>
      <c r="F302" s="2" t="b">
        <v>1</v>
      </c>
      <c r="G302" s="2" t="b">
        <v>0</v>
      </c>
      <c r="H302" s="2" t="s">
        <v>37</v>
      </c>
      <c r="I302" s="2" t="s">
        <v>49</v>
      </c>
      <c r="J302" s="2" t="s">
        <v>1293</v>
      </c>
      <c r="K302" s="2" t="s">
        <v>495</v>
      </c>
      <c r="L302" s="13" t="s">
        <v>496</v>
      </c>
      <c r="M302" s="2" t="s">
        <v>26</v>
      </c>
      <c r="N302" s="11" t="s">
        <v>576</v>
      </c>
      <c r="O302" s="12" t="s">
        <v>53</v>
      </c>
      <c r="P302" s="5" t="str">
        <f>IFERROR(__xludf.DUMMYFUNCTION("TEXTJOIN("" | "",TRUE,IF(OR(D302="""",E302="""",I302="""",J302="""",H302=""""),""ফাঁকা ঘর"",""""),IF(AND(C302&lt;&gt;"""",D302&lt;&gt;"""",C302=D302),""gloss=figurative"",""""),IF(LEN(D302)&lt;15,""figurative ছোট"",""""),IF(AND(I302=""Positive"",REGEXMATCH(H302,""মূর্খ|"&amp;"ভণ্ড|প্রতার|অলস|লোভ|স্বার্থ|অক্ষম|অযোগ্য|বোকা|কৃপণ|হিংস"")),""valence-target অমিল"",""""),IF(COUNTIF($B:$B,B302)&gt;1,""ডুপ্লিকেট"",""""))"),"figurative ছোট")</f>
        <v>figurative ছোট</v>
      </c>
      <c r="Q302" s="5" t="str">
        <f t="shared" si="1"/>
        <v>১ আগে দেখো</v>
      </c>
    </row>
    <row r="303">
      <c r="A303" s="4">
        <v>4984.0</v>
      </c>
      <c r="B303" s="2" t="s">
        <v>1481</v>
      </c>
      <c r="C303" s="2" t="s">
        <v>1482</v>
      </c>
      <c r="D303" s="2" t="s">
        <v>1397</v>
      </c>
      <c r="E303" s="2" t="s">
        <v>1483</v>
      </c>
      <c r="F303" s="2" t="b">
        <v>1</v>
      </c>
      <c r="G303" s="2" t="b">
        <v>0</v>
      </c>
      <c r="H303" s="2" t="s">
        <v>1484</v>
      </c>
      <c r="I303" s="2" t="s">
        <v>22</v>
      </c>
      <c r="J303" s="2" t="s">
        <v>1397</v>
      </c>
      <c r="K303" s="2" t="s">
        <v>495</v>
      </c>
      <c r="L303" s="13" t="s">
        <v>496</v>
      </c>
      <c r="M303" s="2" t="s">
        <v>26</v>
      </c>
      <c r="N303" s="11" t="s">
        <v>1485</v>
      </c>
      <c r="O303" s="12" t="s">
        <v>53</v>
      </c>
      <c r="P303" s="5" t="str">
        <f>IFERROR(__xludf.DUMMYFUNCTION("TEXTJOIN("" | "",TRUE,IF(OR(D303="""",E303="""",I303="""",J303="""",H303=""""),""ফাঁকা ঘর"",""""),IF(AND(C303&lt;&gt;"""",D303&lt;&gt;"""",C303=D303),""gloss=figurative"",""""),IF(LEN(D303)&lt;15,""figurative ছোট"",""""),IF(AND(I303=""Positive"",REGEXMATCH(H303,""মূর্খ|"&amp;"ভণ্ড|প্রতার|অলস|লোভ|স্বার্থ|অক্ষম|অযোগ্য|বোকা|কৃপণ|হিংস"")),""valence-target অমিল"",""""),IF(COUNTIF($B:$B,B303)&gt;1,""ডুপ্লিকেট"",""""))"),"figurative ছোট")</f>
        <v>figurative ছোট</v>
      </c>
      <c r="Q303" s="5" t="str">
        <f t="shared" si="1"/>
        <v>১ আগে দেখো</v>
      </c>
    </row>
    <row r="304">
      <c r="A304" s="4">
        <v>4985.0</v>
      </c>
      <c r="B304" s="2" t="s">
        <v>1486</v>
      </c>
      <c r="C304" s="2" t="s">
        <v>1487</v>
      </c>
      <c r="D304" s="2" t="s">
        <v>1488</v>
      </c>
      <c r="E304" s="2" t="s">
        <v>1489</v>
      </c>
      <c r="F304" s="2" t="b">
        <v>1</v>
      </c>
      <c r="G304" s="2" t="b">
        <v>0</v>
      </c>
      <c r="H304" s="2" t="s">
        <v>1484</v>
      </c>
      <c r="I304" s="2" t="s">
        <v>22</v>
      </c>
      <c r="J304" s="2" t="s">
        <v>1397</v>
      </c>
      <c r="K304" s="2" t="s">
        <v>495</v>
      </c>
      <c r="L304" s="13" t="s">
        <v>496</v>
      </c>
      <c r="M304" s="2" t="s">
        <v>26</v>
      </c>
      <c r="N304" s="11" t="s">
        <v>1490</v>
      </c>
      <c r="O304" s="12" t="s">
        <v>53</v>
      </c>
      <c r="P304" s="5" t="str">
        <f>IFERROR(__xludf.DUMMYFUNCTION("TEXTJOIN("" | "",TRUE,IF(OR(D304="""",E304="""",I304="""",J304="""",H304=""""),""ফাঁকা ঘর"",""""),IF(AND(C304&lt;&gt;"""",D304&lt;&gt;"""",C304=D304),""gloss=figurative"",""""),IF(LEN(D304)&lt;15,""figurative ছোট"",""""),IF(AND(I304=""Positive"",REGEXMATCH(H304,""মূর্খ|"&amp;"ভণ্ড|প্রতার|অলস|লোভ|স্বার্থ|অক্ষম|অযোগ্য|বোকা|কৃপণ|হিংস"")),""valence-target অমিল"",""""),IF(COUNTIF($B:$B,B304)&gt;1,""ডুপ্লিকেট"",""""))"),"figurative ছোট")</f>
        <v>figurative ছোট</v>
      </c>
      <c r="Q304" s="5" t="str">
        <f t="shared" si="1"/>
        <v>১ আগে দেখো</v>
      </c>
    </row>
    <row r="305">
      <c r="A305" s="4">
        <v>4990.0</v>
      </c>
      <c r="B305" s="2" t="s">
        <v>1491</v>
      </c>
      <c r="C305" s="2" t="s">
        <v>1492</v>
      </c>
      <c r="D305" s="2" t="s">
        <v>1493</v>
      </c>
      <c r="E305" s="2" t="s">
        <v>1494</v>
      </c>
      <c r="F305" s="2" t="b">
        <v>1</v>
      </c>
      <c r="G305" s="2" t="b">
        <v>0</v>
      </c>
      <c r="H305" s="2" t="s">
        <v>37</v>
      </c>
      <c r="I305" s="2" t="s">
        <v>22</v>
      </c>
      <c r="J305" s="2" t="s">
        <v>830</v>
      </c>
      <c r="K305" s="2" t="s">
        <v>495</v>
      </c>
      <c r="L305" s="13" t="s">
        <v>496</v>
      </c>
      <c r="M305" s="2" t="s">
        <v>26</v>
      </c>
      <c r="N305" s="11" t="s">
        <v>1495</v>
      </c>
      <c r="O305" s="12" t="s">
        <v>53</v>
      </c>
      <c r="P305" s="5" t="str">
        <f>IFERROR(__xludf.DUMMYFUNCTION("TEXTJOIN("" | "",TRUE,IF(OR(D305="""",E305="""",I305="""",J305="""",H305=""""),""ফাঁকা ঘর"",""""),IF(AND(C305&lt;&gt;"""",D305&lt;&gt;"""",C305=D305),""gloss=figurative"",""""),IF(LEN(D305)&lt;15,""figurative ছোট"",""""),IF(AND(I305=""Positive"",REGEXMATCH(H305,""মূর্খ|"&amp;"ভণ্ড|প্রতার|অলস|লোভ|স্বার্থ|অক্ষম|অযোগ্য|বোকা|কৃপণ|হিংস"")),""valence-target অমিল"",""""),IF(COUNTIF($B:$B,B305)&gt;1,""ডুপ্লিকেট"",""""))"),"figurative ছোট")</f>
        <v>figurative ছোট</v>
      </c>
      <c r="Q305" s="5" t="str">
        <f t="shared" si="1"/>
        <v>১ আগে দেখো</v>
      </c>
    </row>
    <row r="306">
      <c r="A306" s="4">
        <v>4995.0</v>
      </c>
      <c r="B306" s="2" t="s">
        <v>1496</v>
      </c>
      <c r="C306" s="2" t="s">
        <v>1497</v>
      </c>
      <c r="D306" s="2" t="s">
        <v>1498</v>
      </c>
      <c r="E306" s="2" t="s">
        <v>1499</v>
      </c>
      <c r="F306" s="2" t="b">
        <v>1</v>
      </c>
      <c r="G306" s="2" t="b">
        <v>0</v>
      </c>
      <c r="H306" s="2" t="s">
        <v>37</v>
      </c>
      <c r="I306" s="2" t="s">
        <v>22</v>
      </c>
      <c r="J306" s="2" t="s">
        <v>1397</v>
      </c>
      <c r="K306" s="2" t="s">
        <v>495</v>
      </c>
      <c r="L306" s="13" t="s">
        <v>496</v>
      </c>
      <c r="M306" s="2" t="s">
        <v>26</v>
      </c>
      <c r="N306" s="11" t="s">
        <v>576</v>
      </c>
      <c r="O306" s="12" t="s">
        <v>53</v>
      </c>
      <c r="P306" s="5" t="str">
        <f>IFERROR(__xludf.DUMMYFUNCTION("TEXTJOIN("" | "",TRUE,IF(OR(D306="""",E306="""",I306="""",J306="""",H306=""""),""ফাঁকা ঘর"",""""),IF(AND(C306&lt;&gt;"""",D306&lt;&gt;"""",C306=D306),""gloss=figurative"",""""),IF(LEN(D306)&lt;15,""figurative ছোট"",""""),IF(AND(I306=""Positive"",REGEXMATCH(H306,""মূর্খ|"&amp;"ভণ্ড|প্রতার|অলস|লোভ|স্বার্থ|অক্ষম|অযোগ্য|বোকা|কৃপণ|হিংস"")),""valence-target অমিল"",""""),IF(COUNTIF($B:$B,B306)&gt;1,""ডুপ্লিকেট"",""""))"),"figurative ছোট")</f>
        <v>figurative ছোট</v>
      </c>
      <c r="Q306" s="5" t="str">
        <f t="shared" si="1"/>
        <v>১ আগে দেখো</v>
      </c>
    </row>
    <row r="307">
      <c r="A307" s="4">
        <v>4997.0</v>
      </c>
      <c r="B307" s="2" t="s">
        <v>1500</v>
      </c>
      <c r="C307" s="2" t="s">
        <v>1500</v>
      </c>
      <c r="D307" s="2" t="s">
        <v>1501</v>
      </c>
      <c r="E307" s="2" t="s">
        <v>1502</v>
      </c>
      <c r="F307" s="2" t="b">
        <v>1</v>
      </c>
      <c r="G307" s="2" t="b">
        <v>0</v>
      </c>
      <c r="H307" s="2" t="s">
        <v>37</v>
      </c>
      <c r="I307" s="2" t="s">
        <v>22</v>
      </c>
      <c r="J307" s="2" t="s">
        <v>729</v>
      </c>
      <c r="K307" s="2" t="s">
        <v>495</v>
      </c>
      <c r="L307" s="13" t="s">
        <v>496</v>
      </c>
      <c r="M307" s="2" t="s">
        <v>26</v>
      </c>
      <c r="N307" s="11" t="s">
        <v>576</v>
      </c>
      <c r="O307" s="12" t="s">
        <v>53</v>
      </c>
      <c r="P307" s="5" t="str">
        <f>IFERROR(__xludf.DUMMYFUNCTION("TEXTJOIN("" | "",TRUE,IF(OR(D307="""",E307="""",I307="""",J307="""",H307=""""),""ফাঁকা ঘর"",""""),IF(AND(C307&lt;&gt;"""",D307&lt;&gt;"""",C307=D307),""gloss=figurative"",""""),IF(LEN(D307)&lt;15,""figurative ছোট"",""""),IF(AND(I307=""Positive"",REGEXMATCH(H307,""মূর্খ|"&amp;"ভণ্ড|প্রতার|অলস|লোভ|স্বার্থ|অক্ষম|অযোগ্য|বোকা|কৃপণ|হিংস"")),""valence-target অমিল"",""""),IF(COUNTIF($B:$B,B307)&gt;1,""ডুপ্লিকেট"",""""))"),"figurative ছোট")</f>
        <v>figurative ছোট</v>
      </c>
      <c r="Q307" s="5" t="str">
        <f t="shared" si="1"/>
        <v>১ আগে দেখো</v>
      </c>
    </row>
    <row r="308">
      <c r="A308" s="4">
        <v>4998.0</v>
      </c>
      <c r="B308" s="2" t="s">
        <v>1503</v>
      </c>
      <c r="C308" s="2" t="s">
        <v>1504</v>
      </c>
      <c r="D308" s="2" t="s">
        <v>1505</v>
      </c>
      <c r="E308" s="2" t="s">
        <v>1506</v>
      </c>
      <c r="F308" s="2" t="b">
        <v>1</v>
      </c>
      <c r="G308" s="2" t="b">
        <v>0</v>
      </c>
      <c r="H308" s="2" t="s">
        <v>37</v>
      </c>
      <c r="I308" s="2" t="s">
        <v>49</v>
      </c>
      <c r="J308" s="2" t="s">
        <v>729</v>
      </c>
      <c r="K308" s="2" t="s">
        <v>495</v>
      </c>
      <c r="L308" s="13" t="s">
        <v>496</v>
      </c>
      <c r="M308" s="2" t="s">
        <v>26</v>
      </c>
      <c r="N308" s="11" t="s">
        <v>576</v>
      </c>
      <c r="O308" s="12" t="s">
        <v>53</v>
      </c>
      <c r="P308" s="5" t="str">
        <f>IFERROR(__xludf.DUMMYFUNCTION("TEXTJOIN("" | "",TRUE,IF(OR(D308="""",E308="""",I308="""",J308="""",H308=""""),""ফাঁকা ঘর"",""""),IF(AND(C308&lt;&gt;"""",D308&lt;&gt;"""",C308=D308),""gloss=figurative"",""""),IF(LEN(D308)&lt;15,""figurative ছোট"",""""),IF(AND(I308=""Positive"",REGEXMATCH(H308,""মূর্খ|"&amp;"ভণ্ড|প্রতার|অলস|লোভ|স্বার্থ|অক্ষম|অযোগ্য|বোকা|কৃপণ|হিংস"")),""valence-target অমিল"",""""),IF(COUNTIF($B:$B,B308)&gt;1,""ডুপ্লিকেট"",""""))"),"figurative ছোট")</f>
        <v>figurative ছোট</v>
      </c>
      <c r="Q308" s="5" t="str">
        <f t="shared" si="1"/>
        <v>১ আগে দেখো</v>
      </c>
    </row>
    <row r="309">
      <c r="A309" s="4">
        <v>5007.0</v>
      </c>
      <c r="B309" s="2" t="s">
        <v>1507</v>
      </c>
      <c r="C309" s="2" t="s">
        <v>1507</v>
      </c>
      <c r="D309" s="2" t="s">
        <v>1508</v>
      </c>
      <c r="E309" s="2" t="s">
        <v>1509</v>
      </c>
      <c r="F309" s="2" t="b">
        <v>1</v>
      </c>
      <c r="G309" s="2" t="b">
        <v>0</v>
      </c>
      <c r="H309" s="2" t="s">
        <v>37</v>
      </c>
      <c r="I309" s="2" t="s">
        <v>32</v>
      </c>
      <c r="J309" s="2" t="s">
        <v>1510</v>
      </c>
      <c r="K309" s="2" t="s">
        <v>495</v>
      </c>
      <c r="L309" s="13" t="s">
        <v>496</v>
      </c>
      <c r="M309" s="2" t="s">
        <v>26</v>
      </c>
      <c r="N309" s="11" t="s">
        <v>576</v>
      </c>
      <c r="O309" s="12" t="s">
        <v>53</v>
      </c>
      <c r="P309" s="5" t="str">
        <f>IFERROR(__xludf.DUMMYFUNCTION("TEXTJOIN("" | "",TRUE,IF(OR(D309="""",E309="""",I309="""",J309="""",H309=""""),""ফাঁকা ঘর"",""""),IF(AND(C309&lt;&gt;"""",D309&lt;&gt;"""",C309=D309),""gloss=figurative"",""""),IF(LEN(D309)&lt;15,""figurative ছোট"",""""),IF(AND(I309=""Positive"",REGEXMATCH(H309,""মূর্খ|"&amp;"ভণ্ড|প্রতার|অলস|লোভ|স্বার্থ|অক্ষম|অযোগ্য|বোকা|কৃপণ|হিংস"")),""valence-target অমিল"",""""),IF(COUNTIF($B:$B,B309)&gt;1,""ডুপ্লিকেট"",""""))"),"figurative ছোট")</f>
        <v>figurative ছোট</v>
      </c>
      <c r="Q309" s="5" t="str">
        <f t="shared" si="1"/>
        <v>১ আগে দেখো</v>
      </c>
    </row>
    <row r="310">
      <c r="A310" s="4">
        <v>5012.0</v>
      </c>
      <c r="B310" s="2" t="s">
        <v>1511</v>
      </c>
      <c r="C310" s="2" t="s">
        <v>1512</v>
      </c>
      <c r="D310" s="2" t="s">
        <v>990</v>
      </c>
      <c r="E310" s="2" t="s">
        <v>1513</v>
      </c>
      <c r="F310" s="2" t="b">
        <v>1</v>
      </c>
      <c r="G310" s="2" t="b">
        <v>1</v>
      </c>
      <c r="H310" s="2" t="s">
        <v>1106</v>
      </c>
      <c r="I310" s="2" t="s">
        <v>22</v>
      </c>
      <c r="J310" s="2" t="s">
        <v>990</v>
      </c>
      <c r="K310" s="2" t="s">
        <v>495</v>
      </c>
      <c r="L310" s="13" t="s">
        <v>496</v>
      </c>
      <c r="M310" s="2" t="s">
        <v>26</v>
      </c>
      <c r="N310" s="11" t="s">
        <v>576</v>
      </c>
      <c r="O310" s="12" t="s">
        <v>53</v>
      </c>
      <c r="P310" s="5" t="str">
        <f>IFERROR(__xludf.DUMMYFUNCTION("TEXTJOIN("" | "",TRUE,IF(OR(D310="""",E310="""",I310="""",J310="""",H310=""""),""ফাঁকা ঘর"",""""),IF(AND(C310&lt;&gt;"""",D310&lt;&gt;"""",C310=D310),""gloss=figurative"",""""),IF(LEN(D310)&lt;15,""figurative ছোট"",""""),IF(AND(I310=""Positive"",REGEXMATCH(H310,""মূর্খ|"&amp;"ভণ্ড|প্রতার|অলস|লোভ|স্বার্থ|অক্ষম|অযোগ্য|বোকা|কৃপণ|হিংস"")),""valence-target অমিল"",""""),IF(COUNTIF($B:$B,B310)&gt;1,""ডুপ্লিকেট"",""""))"),"figurative ছোট")</f>
        <v>figurative ছোট</v>
      </c>
      <c r="Q310" s="5" t="str">
        <f t="shared" si="1"/>
        <v>১ আগে দেখো</v>
      </c>
    </row>
    <row r="311">
      <c r="A311" s="4">
        <v>5015.0</v>
      </c>
      <c r="B311" s="2" t="s">
        <v>1514</v>
      </c>
      <c r="C311" s="2" t="s">
        <v>1515</v>
      </c>
      <c r="D311" s="2" t="s">
        <v>1516</v>
      </c>
      <c r="E311" s="2" t="s">
        <v>1517</v>
      </c>
      <c r="F311" s="2" t="b">
        <v>1</v>
      </c>
      <c r="G311" s="2" t="b">
        <v>0</v>
      </c>
      <c r="H311" s="2" t="s">
        <v>37</v>
      </c>
      <c r="I311" s="2" t="s">
        <v>32</v>
      </c>
      <c r="J311" s="2" t="s">
        <v>1518</v>
      </c>
      <c r="K311" s="2" t="s">
        <v>495</v>
      </c>
      <c r="L311" s="13" t="s">
        <v>496</v>
      </c>
      <c r="M311" s="2" t="s">
        <v>26</v>
      </c>
      <c r="N311" s="11" t="s">
        <v>1519</v>
      </c>
      <c r="O311" s="12" t="s">
        <v>53</v>
      </c>
      <c r="P311" s="5" t="str">
        <f>IFERROR(__xludf.DUMMYFUNCTION("TEXTJOIN("" | "",TRUE,IF(OR(D311="""",E311="""",I311="""",J311="""",H311=""""),""ফাঁকা ঘর"",""""),IF(AND(C311&lt;&gt;"""",D311&lt;&gt;"""",C311=D311),""gloss=figurative"",""""),IF(LEN(D311)&lt;15,""figurative ছোট"",""""),IF(AND(I311=""Positive"",REGEXMATCH(H311,""মূর্খ|"&amp;"ভণ্ড|প্রতার|অলস|লোভ|স্বার্থ|অক্ষম|অযোগ্য|বোকা|কৃপণ|হিংস"")),""valence-target অমিল"",""""),IF(COUNTIF($B:$B,B311)&gt;1,""ডুপ্লিকেট"",""""))"),"figurative ছোট")</f>
        <v>figurative ছোট</v>
      </c>
      <c r="Q311" s="5" t="str">
        <f t="shared" si="1"/>
        <v>১ আগে দেখো</v>
      </c>
    </row>
    <row r="312">
      <c r="A312" s="4">
        <v>5025.0</v>
      </c>
      <c r="B312" s="2" t="s">
        <v>1520</v>
      </c>
      <c r="C312" s="2" t="s">
        <v>1521</v>
      </c>
      <c r="D312" s="2" t="s">
        <v>1522</v>
      </c>
      <c r="E312" s="2" t="s">
        <v>1523</v>
      </c>
      <c r="F312" s="2" t="b">
        <v>1</v>
      </c>
      <c r="G312" s="2" t="b">
        <v>0</v>
      </c>
      <c r="H312" s="2" t="s">
        <v>37</v>
      </c>
      <c r="I312" s="2" t="s">
        <v>32</v>
      </c>
      <c r="J312" s="2" t="s">
        <v>739</v>
      </c>
      <c r="K312" s="2" t="s">
        <v>495</v>
      </c>
      <c r="L312" s="13" t="s">
        <v>496</v>
      </c>
      <c r="M312" s="2" t="s">
        <v>26</v>
      </c>
      <c r="N312" s="11" t="s">
        <v>576</v>
      </c>
      <c r="O312" s="12" t="s">
        <v>53</v>
      </c>
      <c r="P312" s="5" t="str">
        <f>IFERROR(__xludf.DUMMYFUNCTION("TEXTJOIN("" | "",TRUE,IF(OR(D312="""",E312="""",I312="""",J312="""",H312=""""),""ফাঁকা ঘর"",""""),IF(AND(C312&lt;&gt;"""",D312&lt;&gt;"""",C312=D312),""gloss=figurative"",""""),IF(LEN(D312)&lt;15,""figurative ছোট"",""""),IF(AND(I312=""Positive"",REGEXMATCH(H312,""মূর্খ|"&amp;"ভণ্ড|প্রতার|অলস|লোভ|স্বার্থ|অক্ষম|অযোগ্য|বোকা|কৃপণ|হিংস"")),""valence-target অমিল"",""""),IF(COUNTIF($B:$B,B312)&gt;1,""ডুপ্লিকেট"",""""))"),"figurative ছোট")</f>
        <v>figurative ছোট</v>
      </c>
      <c r="Q312" s="5" t="str">
        <f t="shared" si="1"/>
        <v>১ আগে দেখো</v>
      </c>
    </row>
    <row r="313">
      <c r="A313" s="4">
        <v>5035.0</v>
      </c>
      <c r="B313" s="2" t="s">
        <v>1524</v>
      </c>
      <c r="C313" s="2" t="s">
        <v>1525</v>
      </c>
      <c r="D313" s="2" t="s">
        <v>1526</v>
      </c>
      <c r="E313" s="2" t="s">
        <v>1527</v>
      </c>
      <c r="F313" s="2" t="b">
        <v>1</v>
      </c>
      <c r="G313" s="2" t="b">
        <v>1</v>
      </c>
      <c r="H313" s="2" t="s">
        <v>1106</v>
      </c>
      <c r="I313" s="2" t="s">
        <v>22</v>
      </c>
      <c r="J313" s="2" t="s">
        <v>1315</v>
      </c>
      <c r="K313" s="2" t="s">
        <v>495</v>
      </c>
      <c r="L313" s="13" t="s">
        <v>496</v>
      </c>
      <c r="M313" s="2" t="s">
        <v>26</v>
      </c>
      <c r="N313" s="11" t="s">
        <v>1528</v>
      </c>
      <c r="O313" s="12" t="s">
        <v>53</v>
      </c>
      <c r="P313" s="5" t="str">
        <f>IFERROR(__xludf.DUMMYFUNCTION("TEXTJOIN("" | "",TRUE,IF(OR(D313="""",E313="""",I313="""",J313="""",H313=""""),""ফাঁকা ঘর"",""""),IF(AND(C313&lt;&gt;"""",D313&lt;&gt;"""",C313=D313),""gloss=figurative"",""""),IF(LEN(D313)&lt;15,""figurative ছোট"",""""),IF(AND(I313=""Positive"",REGEXMATCH(H313,""মূর্খ|"&amp;"ভণ্ড|প্রতার|অলস|লোভ|স্বার্থ|অক্ষম|অযোগ্য|বোকা|কৃপণ|হিংস"")),""valence-target অমিল"",""""),IF(COUNTIF($B:$B,B313)&gt;1,""ডুপ্লিকেট"",""""))"),"figurative ছোট")</f>
        <v>figurative ছোট</v>
      </c>
      <c r="Q313" s="5" t="str">
        <f t="shared" si="1"/>
        <v>১ আগে দেখো</v>
      </c>
    </row>
    <row r="314">
      <c r="A314" s="4">
        <v>5042.0</v>
      </c>
      <c r="B314" s="2" t="s">
        <v>1529</v>
      </c>
      <c r="C314" s="2" t="s">
        <v>1530</v>
      </c>
      <c r="D314" s="2" t="s">
        <v>590</v>
      </c>
      <c r="E314" s="2" t="s">
        <v>1531</v>
      </c>
      <c r="F314" s="2" t="b">
        <v>1</v>
      </c>
      <c r="G314" s="2" t="b">
        <v>0</v>
      </c>
      <c r="H314" s="2" t="s">
        <v>37</v>
      </c>
      <c r="I314" s="2" t="s">
        <v>22</v>
      </c>
      <c r="J314" s="2" t="s">
        <v>590</v>
      </c>
      <c r="K314" s="2" t="s">
        <v>495</v>
      </c>
      <c r="L314" s="13" t="s">
        <v>496</v>
      </c>
      <c r="M314" s="2" t="s">
        <v>26</v>
      </c>
      <c r="N314" s="11" t="s">
        <v>576</v>
      </c>
      <c r="O314" s="12" t="s">
        <v>53</v>
      </c>
      <c r="P314" s="5" t="str">
        <f>IFERROR(__xludf.DUMMYFUNCTION("TEXTJOIN("" | "",TRUE,IF(OR(D314="""",E314="""",I314="""",J314="""",H314=""""),""ফাঁকা ঘর"",""""),IF(AND(C314&lt;&gt;"""",D314&lt;&gt;"""",C314=D314),""gloss=figurative"",""""),IF(LEN(D314)&lt;15,""figurative ছোট"",""""),IF(AND(I314=""Positive"",REGEXMATCH(H314,""মূর্খ|"&amp;"ভণ্ড|প্রতার|অলস|লোভ|স্বার্থ|অক্ষম|অযোগ্য|বোকা|কৃপণ|হিংস"")),""valence-target অমিল"",""""),IF(COUNTIF($B:$B,B314)&gt;1,""ডুপ্লিকেট"",""""))"),"figurative ছোট")</f>
        <v>figurative ছোট</v>
      </c>
      <c r="Q314" s="5" t="str">
        <f t="shared" si="1"/>
        <v>১ আগে দেখো</v>
      </c>
    </row>
    <row r="315">
      <c r="A315" s="4">
        <v>5045.0</v>
      </c>
      <c r="B315" s="2" t="s">
        <v>1532</v>
      </c>
      <c r="C315" s="2" t="s">
        <v>1533</v>
      </c>
      <c r="D315" s="2" t="s">
        <v>876</v>
      </c>
      <c r="E315" s="2" t="s">
        <v>1534</v>
      </c>
      <c r="F315" s="2" t="b">
        <v>1</v>
      </c>
      <c r="G315" s="2" t="b">
        <v>0</v>
      </c>
      <c r="H315" s="2" t="s">
        <v>37</v>
      </c>
      <c r="I315" s="2" t="s">
        <v>22</v>
      </c>
      <c r="J315" s="2" t="s">
        <v>729</v>
      </c>
      <c r="K315" s="2" t="s">
        <v>495</v>
      </c>
      <c r="L315" s="13" t="s">
        <v>496</v>
      </c>
      <c r="M315" s="2" t="s">
        <v>26</v>
      </c>
      <c r="N315" s="11" t="s">
        <v>576</v>
      </c>
      <c r="O315" s="12" t="s">
        <v>53</v>
      </c>
      <c r="P315" s="5" t="str">
        <f>IFERROR(__xludf.DUMMYFUNCTION("TEXTJOIN("" | "",TRUE,IF(OR(D315="""",E315="""",I315="""",J315="""",H315=""""),""ফাঁকা ঘর"",""""),IF(AND(C315&lt;&gt;"""",D315&lt;&gt;"""",C315=D315),""gloss=figurative"",""""),IF(LEN(D315)&lt;15,""figurative ছোট"",""""),IF(AND(I315=""Positive"",REGEXMATCH(H315,""মূর্খ|"&amp;"ভণ্ড|প্রতার|অলস|লোভ|স্বার্থ|অক্ষম|অযোগ্য|বোকা|কৃপণ|হিংস"")),""valence-target অমিল"",""""),IF(COUNTIF($B:$B,B315)&gt;1,""ডুপ্লিকেট"",""""))"),"figurative ছোট")</f>
        <v>figurative ছোট</v>
      </c>
      <c r="Q315" s="5" t="str">
        <f t="shared" si="1"/>
        <v>১ আগে দেখো</v>
      </c>
    </row>
    <row r="316">
      <c r="A316" s="4">
        <v>5049.0</v>
      </c>
      <c r="B316" s="2" t="s">
        <v>1535</v>
      </c>
      <c r="C316" s="2" t="s">
        <v>1536</v>
      </c>
      <c r="D316" s="2" t="s">
        <v>1537</v>
      </c>
      <c r="E316" s="2" t="s">
        <v>1538</v>
      </c>
      <c r="F316" s="2" t="b">
        <v>1</v>
      </c>
      <c r="G316" s="2" t="b">
        <v>0</v>
      </c>
      <c r="H316" s="2" t="s">
        <v>37</v>
      </c>
      <c r="I316" s="2" t="s">
        <v>49</v>
      </c>
      <c r="J316" s="2" t="s">
        <v>729</v>
      </c>
      <c r="K316" s="2" t="s">
        <v>495</v>
      </c>
      <c r="L316" s="13" t="s">
        <v>496</v>
      </c>
      <c r="M316" s="2" t="s">
        <v>26</v>
      </c>
      <c r="N316" s="11" t="s">
        <v>576</v>
      </c>
      <c r="O316" s="12" t="s">
        <v>53</v>
      </c>
      <c r="P316" s="5" t="str">
        <f>IFERROR(__xludf.DUMMYFUNCTION("TEXTJOIN("" | "",TRUE,IF(OR(D316="""",E316="""",I316="""",J316="""",H316=""""),""ফাঁকা ঘর"",""""),IF(AND(C316&lt;&gt;"""",D316&lt;&gt;"""",C316=D316),""gloss=figurative"",""""),IF(LEN(D316)&lt;15,""figurative ছোট"",""""),IF(AND(I316=""Positive"",REGEXMATCH(H316,""মূর্খ|"&amp;"ভণ্ড|প্রতার|অলস|লোভ|স্বার্থ|অক্ষম|অযোগ্য|বোকা|কৃপণ|হিংস"")),""valence-target অমিল"",""""),IF(COUNTIF($B:$B,B316)&gt;1,""ডুপ্লিকেট"",""""))"),"figurative ছোট")</f>
        <v>figurative ছোট</v>
      </c>
      <c r="Q316" s="5" t="str">
        <f t="shared" si="1"/>
        <v>১ আগে দেখো</v>
      </c>
    </row>
    <row r="317">
      <c r="A317" s="4">
        <v>5052.0</v>
      </c>
      <c r="B317" s="2" t="s">
        <v>1539</v>
      </c>
      <c r="C317" s="2" t="s">
        <v>1539</v>
      </c>
      <c r="D317" s="2" t="s">
        <v>1540</v>
      </c>
      <c r="E317" s="2" t="s">
        <v>1541</v>
      </c>
      <c r="F317" s="2" t="b">
        <v>1</v>
      </c>
      <c r="G317" s="2" t="b">
        <v>0</v>
      </c>
      <c r="H317" s="2" t="s">
        <v>37</v>
      </c>
      <c r="I317" s="2" t="s">
        <v>49</v>
      </c>
      <c r="J317" s="2" t="s">
        <v>1249</v>
      </c>
      <c r="K317" s="2" t="s">
        <v>495</v>
      </c>
      <c r="L317" s="13" t="s">
        <v>496</v>
      </c>
      <c r="M317" s="2" t="s">
        <v>26</v>
      </c>
      <c r="N317" s="11" t="s">
        <v>576</v>
      </c>
      <c r="O317" s="12" t="s">
        <v>53</v>
      </c>
      <c r="P317" s="5" t="str">
        <f>IFERROR(__xludf.DUMMYFUNCTION("TEXTJOIN("" | "",TRUE,IF(OR(D317="""",E317="""",I317="""",J317="""",H317=""""),""ফাঁকা ঘর"",""""),IF(AND(C317&lt;&gt;"""",D317&lt;&gt;"""",C317=D317),""gloss=figurative"",""""),IF(LEN(D317)&lt;15,""figurative ছোট"",""""),IF(AND(I317=""Positive"",REGEXMATCH(H317,""মূর্খ|"&amp;"ভণ্ড|প্রতার|অলস|লোভ|স্বার্থ|অক্ষম|অযোগ্য|বোকা|কৃপণ|হিংস"")),""valence-target অমিল"",""""),IF(COUNTIF($B:$B,B317)&gt;1,""ডুপ্লিকেট"",""""))"),"figurative ছোট")</f>
        <v>figurative ছোট</v>
      </c>
      <c r="Q317" s="5" t="str">
        <f t="shared" si="1"/>
        <v>১ আগে দেখো</v>
      </c>
    </row>
    <row r="318">
      <c r="A318" s="4">
        <v>5058.0</v>
      </c>
      <c r="B318" s="2" t="s">
        <v>1542</v>
      </c>
      <c r="C318" s="2" t="s">
        <v>1543</v>
      </c>
      <c r="D318" s="2" t="s">
        <v>1544</v>
      </c>
      <c r="E318" s="2" t="s">
        <v>1545</v>
      </c>
      <c r="F318" s="2" t="b">
        <v>1</v>
      </c>
      <c r="G318" s="2" t="b">
        <v>0</v>
      </c>
      <c r="H318" s="2" t="s">
        <v>37</v>
      </c>
      <c r="I318" s="2" t="s">
        <v>22</v>
      </c>
      <c r="J318" s="2" t="s">
        <v>225</v>
      </c>
      <c r="K318" s="2" t="s">
        <v>495</v>
      </c>
      <c r="L318" s="13" t="s">
        <v>496</v>
      </c>
      <c r="M318" s="2" t="s">
        <v>26</v>
      </c>
      <c r="N318" s="11" t="s">
        <v>576</v>
      </c>
      <c r="O318" s="12" t="s">
        <v>53</v>
      </c>
      <c r="P318" s="5" t="str">
        <f>IFERROR(__xludf.DUMMYFUNCTION("TEXTJOIN("" | "",TRUE,IF(OR(D318="""",E318="""",I318="""",J318="""",H318=""""),""ফাঁকা ঘর"",""""),IF(AND(C318&lt;&gt;"""",D318&lt;&gt;"""",C318=D318),""gloss=figurative"",""""),IF(LEN(D318)&lt;15,""figurative ছোট"",""""),IF(AND(I318=""Positive"",REGEXMATCH(H318,""মূর্খ|"&amp;"ভণ্ড|প্রতার|অলস|লোভ|স্বার্থ|অক্ষম|অযোগ্য|বোকা|কৃপণ|হিংস"")),""valence-target অমিল"",""""),IF(COUNTIF($B:$B,B318)&gt;1,""ডুপ্লিকেট"",""""))"),"figurative ছোট")</f>
        <v>figurative ছোট</v>
      </c>
      <c r="Q318" s="5" t="str">
        <f t="shared" si="1"/>
        <v>১ আগে দেখো</v>
      </c>
    </row>
    <row r="319">
      <c r="A319" s="4">
        <v>5069.0</v>
      </c>
      <c r="B319" s="2" t="s">
        <v>1546</v>
      </c>
      <c r="C319" s="2" t="s">
        <v>1546</v>
      </c>
      <c r="D319" s="2" t="s">
        <v>1547</v>
      </c>
      <c r="E319" s="2" t="s">
        <v>1548</v>
      </c>
      <c r="F319" s="2" t="b">
        <v>1</v>
      </c>
      <c r="G319" s="2" t="b">
        <v>0</v>
      </c>
      <c r="H319" s="2" t="s">
        <v>37</v>
      </c>
      <c r="I319" s="2" t="s">
        <v>22</v>
      </c>
      <c r="J319" s="2" t="s">
        <v>225</v>
      </c>
      <c r="K319" s="2" t="s">
        <v>495</v>
      </c>
      <c r="L319" s="13" t="s">
        <v>496</v>
      </c>
      <c r="M319" s="2" t="s">
        <v>26</v>
      </c>
      <c r="N319" s="11" t="s">
        <v>576</v>
      </c>
      <c r="O319" s="12" t="s">
        <v>53</v>
      </c>
      <c r="P319" s="5" t="str">
        <f>IFERROR(__xludf.DUMMYFUNCTION("TEXTJOIN("" | "",TRUE,IF(OR(D319="""",E319="""",I319="""",J319="""",H319=""""),""ফাঁকা ঘর"",""""),IF(AND(C319&lt;&gt;"""",D319&lt;&gt;"""",C319=D319),""gloss=figurative"",""""),IF(LEN(D319)&lt;15,""figurative ছোট"",""""),IF(AND(I319=""Positive"",REGEXMATCH(H319,""মূর্খ|"&amp;"ভণ্ড|প্রতার|অলস|লোভ|স্বার্থ|অক্ষম|অযোগ্য|বোকা|কৃপণ|হিংস"")),""valence-target অমিল"",""""),IF(COUNTIF($B:$B,B319)&gt;1,""ডুপ্লিকেট"",""""))"),"figurative ছোট")</f>
        <v>figurative ছোট</v>
      </c>
      <c r="Q319" s="5" t="str">
        <f t="shared" si="1"/>
        <v>১ আগে দেখো</v>
      </c>
    </row>
    <row r="320">
      <c r="A320" s="4">
        <v>5077.0</v>
      </c>
      <c r="B320" s="2" t="s">
        <v>1549</v>
      </c>
      <c r="C320" s="2" t="s">
        <v>1550</v>
      </c>
      <c r="D320" s="2" t="s">
        <v>1551</v>
      </c>
      <c r="E320" s="2" t="s">
        <v>1552</v>
      </c>
      <c r="F320" s="2" t="b">
        <v>1</v>
      </c>
      <c r="G320" s="2" t="b">
        <v>0</v>
      </c>
      <c r="H320" s="2" t="s">
        <v>37</v>
      </c>
      <c r="I320" s="2" t="s">
        <v>49</v>
      </c>
      <c r="J320" s="2" t="s">
        <v>1553</v>
      </c>
      <c r="K320" s="2" t="s">
        <v>495</v>
      </c>
      <c r="L320" s="13" t="s">
        <v>496</v>
      </c>
      <c r="M320" s="2" t="s">
        <v>26</v>
      </c>
      <c r="N320" s="11" t="s">
        <v>576</v>
      </c>
      <c r="O320" s="12" t="s">
        <v>53</v>
      </c>
      <c r="P320" s="5" t="str">
        <f>IFERROR(__xludf.DUMMYFUNCTION("TEXTJOIN("" | "",TRUE,IF(OR(D320="""",E320="""",I320="""",J320="""",H320=""""),""ফাঁকা ঘর"",""""),IF(AND(C320&lt;&gt;"""",D320&lt;&gt;"""",C320=D320),""gloss=figurative"",""""),IF(LEN(D320)&lt;15,""figurative ছোট"",""""),IF(AND(I320=""Positive"",REGEXMATCH(H320,""মূর্খ|"&amp;"ভণ্ড|প্রতার|অলস|লোভ|স্বার্থ|অক্ষম|অযোগ্য|বোকা|কৃপণ|হিংস"")),""valence-target অমিল"",""""),IF(COUNTIF($B:$B,B320)&gt;1,""ডুপ্লিকেট"",""""))"),"figurative ছোট")</f>
        <v>figurative ছোট</v>
      </c>
      <c r="Q320" s="5" t="str">
        <f t="shared" si="1"/>
        <v>১ আগে দেখো</v>
      </c>
    </row>
    <row r="321">
      <c r="A321" s="4">
        <v>5084.0</v>
      </c>
      <c r="B321" s="2" t="s">
        <v>1554</v>
      </c>
      <c r="C321" s="2" t="s">
        <v>1554</v>
      </c>
      <c r="D321" s="2" t="s">
        <v>1555</v>
      </c>
      <c r="E321" s="2" t="s">
        <v>1556</v>
      </c>
      <c r="F321" s="2" t="b">
        <v>1</v>
      </c>
      <c r="G321" s="2" t="b">
        <v>0</v>
      </c>
      <c r="H321" s="2" t="s">
        <v>37</v>
      </c>
      <c r="I321" s="2" t="s">
        <v>22</v>
      </c>
      <c r="J321" s="2" t="s">
        <v>1438</v>
      </c>
      <c r="K321" s="2" t="s">
        <v>495</v>
      </c>
      <c r="L321" s="13" t="s">
        <v>496</v>
      </c>
      <c r="M321" s="2" t="s">
        <v>26</v>
      </c>
      <c r="N321" s="11" t="s">
        <v>576</v>
      </c>
      <c r="O321" s="12" t="s">
        <v>53</v>
      </c>
      <c r="P321" s="5" t="str">
        <f>IFERROR(__xludf.DUMMYFUNCTION("TEXTJOIN("" | "",TRUE,IF(OR(D321="""",E321="""",I321="""",J321="""",H321=""""),""ফাঁকা ঘর"",""""),IF(AND(C321&lt;&gt;"""",D321&lt;&gt;"""",C321=D321),""gloss=figurative"",""""),IF(LEN(D321)&lt;15,""figurative ছোট"",""""),IF(AND(I321=""Positive"",REGEXMATCH(H321,""মূর্খ|"&amp;"ভণ্ড|প্রতার|অলস|লোভ|স্বার্থ|অক্ষম|অযোগ্য|বোকা|কৃপণ|হিংস"")),""valence-target অমিল"",""""),IF(COUNTIF($B:$B,B321)&gt;1,""ডুপ্লিকেট"",""""))"),"figurative ছোট")</f>
        <v>figurative ছোট</v>
      </c>
      <c r="Q321" s="5" t="str">
        <f t="shared" si="1"/>
        <v>১ আগে দেখো</v>
      </c>
    </row>
    <row r="322">
      <c r="A322" s="4">
        <v>5097.0</v>
      </c>
      <c r="B322" s="2" t="s">
        <v>1557</v>
      </c>
      <c r="C322" s="2" t="s">
        <v>1558</v>
      </c>
      <c r="D322" s="2" t="s">
        <v>1559</v>
      </c>
      <c r="E322" s="2" t="s">
        <v>1560</v>
      </c>
      <c r="F322" s="2" t="b">
        <v>1</v>
      </c>
      <c r="G322" s="2" t="b">
        <v>0</v>
      </c>
      <c r="H322" s="2" t="s">
        <v>37</v>
      </c>
      <c r="I322" s="2" t="s">
        <v>22</v>
      </c>
      <c r="J322" s="2" t="s">
        <v>1561</v>
      </c>
      <c r="K322" s="2" t="s">
        <v>495</v>
      </c>
      <c r="L322" s="13" t="s">
        <v>496</v>
      </c>
      <c r="M322" s="2" t="s">
        <v>26</v>
      </c>
      <c r="N322" s="11" t="s">
        <v>1562</v>
      </c>
      <c r="O322" s="12" t="s">
        <v>53</v>
      </c>
      <c r="P322" s="5" t="str">
        <f>IFERROR(__xludf.DUMMYFUNCTION("TEXTJOIN("" | "",TRUE,IF(OR(D322="""",E322="""",I322="""",J322="""",H322=""""),""ফাঁকা ঘর"",""""),IF(AND(C322&lt;&gt;"""",D322&lt;&gt;"""",C322=D322),""gloss=figurative"",""""),IF(LEN(D322)&lt;15,""figurative ছোট"",""""),IF(AND(I322=""Positive"",REGEXMATCH(H322,""মূর্খ|"&amp;"ভণ্ড|প্রতার|অলস|লোভ|স্বার্থ|অক্ষম|অযোগ্য|বোকা|কৃপণ|হিংস"")),""valence-target অমিল"",""""),IF(COUNTIF($B:$B,B322)&gt;1,""ডুপ্লিকেট"",""""))"),"ডুপ্লিকেট")</f>
        <v>ডুপ্লিকেট</v>
      </c>
      <c r="Q322" s="5" t="str">
        <f t="shared" si="1"/>
        <v>১ আগে দেখো</v>
      </c>
    </row>
    <row r="323">
      <c r="A323" s="4">
        <v>5113.0</v>
      </c>
      <c r="B323" s="2" t="s">
        <v>1557</v>
      </c>
      <c r="C323" s="2" t="s">
        <v>1563</v>
      </c>
      <c r="D323" s="2" t="s">
        <v>1564</v>
      </c>
      <c r="E323" s="2" t="s">
        <v>1565</v>
      </c>
      <c r="F323" s="2" t="b">
        <v>1</v>
      </c>
      <c r="G323" s="2" t="b">
        <v>0</v>
      </c>
      <c r="H323" s="2" t="s">
        <v>37</v>
      </c>
      <c r="I323" s="2" t="s">
        <v>22</v>
      </c>
      <c r="J323" s="2" t="s">
        <v>820</v>
      </c>
      <c r="K323" s="2" t="s">
        <v>495</v>
      </c>
      <c r="L323" s="13" t="s">
        <v>496</v>
      </c>
      <c r="M323" s="2" t="s">
        <v>26</v>
      </c>
      <c r="N323" s="11" t="s">
        <v>1566</v>
      </c>
      <c r="O323" s="12" t="s">
        <v>53</v>
      </c>
      <c r="P323" s="5" t="str">
        <f>IFERROR(__xludf.DUMMYFUNCTION("TEXTJOIN("" | "",TRUE,IF(OR(D323="""",E323="""",I323="""",J323="""",H323=""""),""ফাঁকা ঘর"",""""),IF(AND(C323&lt;&gt;"""",D323&lt;&gt;"""",C323=D323),""gloss=figurative"",""""),IF(LEN(D323)&lt;15,""figurative ছোট"",""""),IF(AND(I323=""Positive"",REGEXMATCH(H323,""মূর্খ|"&amp;"ভণ্ড|প্রতার|অলস|লোভ|স্বার্থ|অক্ষম|অযোগ্য|বোকা|কৃপণ|হিংস"")),""valence-target অমিল"",""""),IF(COUNTIF($B:$B,B323)&gt;1,""ডুপ্লিকেট"",""""))"),"ডুপ্লিকেট")</f>
        <v>ডুপ্লিকেট</v>
      </c>
      <c r="Q323" s="5" t="str">
        <f t="shared" si="1"/>
        <v>১ আগে দেখো</v>
      </c>
    </row>
    <row r="324">
      <c r="A324" s="4">
        <v>5116.0</v>
      </c>
      <c r="B324" s="2" t="s">
        <v>1567</v>
      </c>
      <c r="C324" s="2" t="s">
        <v>1568</v>
      </c>
      <c r="D324" s="2" t="s">
        <v>1569</v>
      </c>
      <c r="E324" s="2" t="s">
        <v>1570</v>
      </c>
      <c r="F324" s="2" t="b">
        <v>1</v>
      </c>
      <c r="G324" s="2" t="b">
        <v>0</v>
      </c>
      <c r="H324" s="2" t="s">
        <v>1571</v>
      </c>
      <c r="I324" s="2" t="s">
        <v>22</v>
      </c>
      <c r="J324" s="2" t="s">
        <v>1572</v>
      </c>
      <c r="K324" s="2" t="s">
        <v>495</v>
      </c>
      <c r="L324" s="13" t="s">
        <v>496</v>
      </c>
      <c r="M324" s="2" t="s">
        <v>26</v>
      </c>
      <c r="N324" s="11" t="s">
        <v>576</v>
      </c>
      <c r="O324" s="12" t="s">
        <v>53</v>
      </c>
      <c r="P324" s="5" t="str">
        <f>IFERROR(__xludf.DUMMYFUNCTION("TEXTJOIN("" | "",TRUE,IF(OR(D324="""",E324="""",I324="""",J324="""",H324=""""),""ফাঁকা ঘর"",""""),IF(AND(C324&lt;&gt;"""",D324&lt;&gt;"""",C324=D324),""gloss=figurative"",""""),IF(LEN(D324)&lt;15,""figurative ছোট"",""""),IF(AND(I324=""Positive"",REGEXMATCH(H324,""মূর্খ|"&amp;"ভণ্ড|প্রতার|অলস|লোভ|স্বার্থ|অক্ষম|অযোগ্য|বোকা|কৃপণ|হিংস"")),""valence-target অমিল"",""""),IF(COUNTIF($B:$B,B324)&gt;1,""ডুপ্লিকেট"",""""))"),"figurative ছোট")</f>
        <v>figurative ছোট</v>
      </c>
      <c r="Q324" s="5" t="str">
        <f t="shared" si="1"/>
        <v>১ আগে দেখো</v>
      </c>
    </row>
    <row r="325">
      <c r="A325" s="4">
        <v>5117.0</v>
      </c>
      <c r="B325" s="2" t="s">
        <v>1573</v>
      </c>
      <c r="C325" s="2" t="s">
        <v>1573</v>
      </c>
      <c r="D325" s="2" t="s">
        <v>1574</v>
      </c>
      <c r="E325" s="2" t="s">
        <v>1575</v>
      </c>
      <c r="F325" s="2" t="b">
        <v>1</v>
      </c>
      <c r="G325" s="2" t="b">
        <v>0</v>
      </c>
      <c r="H325" s="2" t="s">
        <v>37</v>
      </c>
      <c r="I325" s="2" t="s">
        <v>22</v>
      </c>
      <c r="J325" s="2" t="s">
        <v>1027</v>
      </c>
      <c r="K325" s="2" t="s">
        <v>495</v>
      </c>
      <c r="L325" s="13" t="s">
        <v>496</v>
      </c>
      <c r="M325" s="2" t="s">
        <v>26</v>
      </c>
      <c r="N325" s="11" t="s">
        <v>576</v>
      </c>
      <c r="O325" s="12" t="s">
        <v>53</v>
      </c>
      <c r="P325" s="5" t="str">
        <f>IFERROR(__xludf.DUMMYFUNCTION("TEXTJOIN("" | "",TRUE,IF(OR(D325="""",E325="""",I325="""",J325="""",H325=""""),""ফাঁকা ঘর"",""""),IF(AND(C325&lt;&gt;"""",D325&lt;&gt;"""",C325=D325),""gloss=figurative"",""""),IF(LEN(D325)&lt;15,""figurative ছোট"",""""),IF(AND(I325=""Positive"",REGEXMATCH(H325,""মূর্খ|"&amp;"ভণ্ড|প্রতার|অলস|লোভ|স্বার্থ|অক্ষম|অযোগ্য|বোকা|কৃপণ|হিংস"")),""valence-target অমিল"",""""),IF(COUNTIF($B:$B,B325)&gt;1,""ডুপ্লিকেট"",""""))"),"figurative ছোট")</f>
        <v>figurative ছোট</v>
      </c>
      <c r="Q325" s="5" t="str">
        <f t="shared" si="1"/>
        <v>১ আগে দেখো</v>
      </c>
    </row>
    <row r="326">
      <c r="A326" s="4">
        <v>5132.0</v>
      </c>
      <c r="B326" s="2" t="s">
        <v>1576</v>
      </c>
      <c r="C326" s="2" t="s">
        <v>1577</v>
      </c>
      <c r="D326" s="2" t="s">
        <v>1578</v>
      </c>
      <c r="E326" s="2" t="s">
        <v>1579</v>
      </c>
      <c r="F326" s="2" t="b">
        <v>1</v>
      </c>
      <c r="G326" s="2" t="b">
        <v>0</v>
      </c>
      <c r="H326" s="2" t="s">
        <v>37</v>
      </c>
      <c r="I326" s="2" t="s">
        <v>49</v>
      </c>
      <c r="J326" s="2" t="s">
        <v>225</v>
      </c>
      <c r="K326" s="2" t="s">
        <v>495</v>
      </c>
      <c r="L326" s="13" t="s">
        <v>496</v>
      </c>
      <c r="M326" s="2" t="s">
        <v>26</v>
      </c>
      <c r="N326" s="11" t="s">
        <v>576</v>
      </c>
      <c r="O326" s="12" t="s">
        <v>53</v>
      </c>
      <c r="P326" s="5" t="str">
        <f>IFERROR(__xludf.DUMMYFUNCTION("TEXTJOIN("" | "",TRUE,IF(OR(D326="""",E326="""",I326="""",J326="""",H326=""""),""ফাঁকা ঘর"",""""),IF(AND(C326&lt;&gt;"""",D326&lt;&gt;"""",C326=D326),""gloss=figurative"",""""),IF(LEN(D326)&lt;15,""figurative ছোট"",""""),IF(AND(I326=""Positive"",REGEXMATCH(H326,""মূর্খ|"&amp;"ভণ্ড|প্রতার|অলস|লোভ|স্বার্থ|অক্ষম|অযোগ্য|বোকা|কৃপণ|হিংস"")),""valence-target অমিল"",""""),IF(COUNTIF($B:$B,B326)&gt;1,""ডুপ্লিকেট"",""""))"),"figurative ছোট")</f>
        <v>figurative ছোট</v>
      </c>
      <c r="Q326" s="5" t="str">
        <f t="shared" si="1"/>
        <v>১ আগে দেখো</v>
      </c>
    </row>
    <row r="327">
      <c r="A327" s="4">
        <v>5135.0</v>
      </c>
      <c r="B327" s="2" t="s">
        <v>1580</v>
      </c>
      <c r="C327" s="2" t="s">
        <v>1581</v>
      </c>
      <c r="D327" s="2" t="s">
        <v>1582</v>
      </c>
      <c r="E327" s="2" t="s">
        <v>1583</v>
      </c>
      <c r="F327" s="2" t="b">
        <v>1</v>
      </c>
      <c r="G327" s="2" t="b">
        <v>0</v>
      </c>
      <c r="H327" s="2" t="s">
        <v>37</v>
      </c>
      <c r="I327" s="2" t="s">
        <v>49</v>
      </c>
      <c r="J327" s="2" t="s">
        <v>1584</v>
      </c>
      <c r="K327" s="2" t="s">
        <v>495</v>
      </c>
      <c r="L327" s="13" t="s">
        <v>496</v>
      </c>
      <c r="M327" s="2" t="s">
        <v>26</v>
      </c>
      <c r="N327" s="11" t="s">
        <v>576</v>
      </c>
      <c r="O327" s="12" t="s">
        <v>53</v>
      </c>
      <c r="P327" s="5" t="str">
        <f>IFERROR(__xludf.DUMMYFUNCTION("TEXTJOIN("" | "",TRUE,IF(OR(D327="""",E327="""",I327="""",J327="""",H327=""""),""ফাঁকা ঘর"",""""),IF(AND(C327&lt;&gt;"""",D327&lt;&gt;"""",C327=D327),""gloss=figurative"",""""),IF(LEN(D327)&lt;15,""figurative ছোট"",""""),IF(AND(I327=""Positive"",REGEXMATCH(H327,""মূর্খ|"&amp;"ভণ্ড|প্রতার|অলস|লোভ|স্বার্থ|অক্ষম|অযোগ্য|বোকা|কৃপণ|হিংস"")),""valence-target অমিল"",""""),IF(COUNTIF($B:$B,B327)&gt;1,""ডুপ্লিকেট"",""""))"),"figurative ছোট")</f>
        <v>figurative ছোট</v>
      </c>
      <c r="Q327" s="5" t="str">
        <f t="shared" si="1"/>
        <v>১ আগে দেখো</v>
      </c>
    </row>
    <row r="328">
      <c r="A328" s="4">
        <v>5138.0</v>
      </c>
      <c r="B328" s="2" t="s">
        <v>1585</v>
      </c>
      <c r="C328" s="2" t="s">
        <v>1586</v>
      </c>
      <c r="D328" s="2" t="s">
        <v>1587</v>
      </c>
      <c r="E328" s="2" t="s">
        <v>1588</v>
      </c>
      <c r="F328" s="2" t="b">
        <v>1</v>
      </c>
      <c r="G328" s="2" t="b">
        <v>0</v>
      </c>
      <c r="H328" s="2" t="s">
        <v>37</v>
      </c>
      <c r="I328" s="2" t="s">
        <v>22</v>
      </c>
      <c r="J328" s="2" t="s">
        <v>842</v>
      </c>
      <c r="K328" s="2" t="s">
        <v>495</v>
      </c>
      <c r="L328" s="13" t="s">
        <v>496</v>
      </c>
      <c r="M328" s="2" t="s">
        <v>26</v>
      </c>
      <c r="N328" s="11" t="s">
        <v>576</v>
      </c>
      <c r="O328" s="12" t="s">
        <v>53</v>
      </c>
      <c r="P328" s="5" t="str">
        <f>IFERROR(__xludf.DUMMYFUNCTION("TEXTJOIN("" | "",TRUE,IF(OR(D328="""",E328="""",I328="""",J328="""",H328=""""),""ফাঁকা ঘর"",""""),IF(AND(C328&lt;&gt;"""",D328&lt;&gt;"""",C328=D328),""gloss=figurative"",""""),IF(LEN(D328)&lt;15,""figurative ছোট"",""""),IF(AND(I328=""Positive"",REGEXMATCH(H328,""মূর্খ|"&amp;"ভণ্ড|প্রতার|অলস|লোভ|স্বার্থ|অক্ষম|অযোগ্য|বোকা|কৃপণ|হিংস"")),""valence-target অমিল"",""""),IF(COUNTIF($B:$B,B328)&gt;1,""ডুপ্লিকেট"",""""))"),"figurative ছোট")</f>
        <v>figurative ছোট</v>
      </c>
      <c r="Q328" s="5" t="str">
        <f t="shared" si="1"/>
        <v>১ আগে দেখো</v>
      </c>
    </row>
    <row r="329">
      <c r="A329" s="4">
        <v>5139.0</v>
      </c>
      <c r="B329" s="2" t="s">
        <v>1589</v>
      </c>
      <c r="C329" s="2" t="s">
        <v>1590</v>
      </c>
      <c r="D329" s="2" t="s">
        <v>857</v>
      </c>
      <c r="E329" s="2" t="s">
        <v>1591</v>
      </c>
      <c r="F329" s="2" t="b">
        <v>1</v>
      </c>
      <c r="G329" s="2" t="b">
        <v>0</v>
      </c>
      <c r="H329" s="2" t="s">
        <v>37</v>
      </c>
      <c r="I329" s="2" t="s">
        <v>22</v>
      </c>
      <c r="J329" s="2" t="s">
        <v>590</v>
      </c>
      <c r="K329" s="2" t="s">
        <v>495</v>
      </c>
      <c r="L329" s="13" t="s">
        <v>496</v>
      </c>
      <c r="M329" s="2" t="s">
        <v>26</v>
      </c>
      <c r="N329" s="11" t="s">
        <v>576</v>
      </c>
      <c r="O329" s="12" t="s">
        <v>53</v>
      </c>
      <c r="P329" s="5" t="str">
        <f>IFERROR(__xludf.DUMMYFUNCTION("TEXTJOIN("" | "",TRUE,IF(OR(D329="""",E329="""",I329="""",J329="""",H329=""""),""ফাঁকা ঘর"",""""),IF(AND(C329&lt;&gt;"""",D329&lt;&gt;"""",C329=D329),""gloss=figurative"",""""),IF(LEN(D329)&lt;15,""figurative ছোট"",""""),IF(AND(I329=""Positive"",REGEXMATCH(H329,""মূর্খ|"&amp;"ভণ্ড|প্রতার|অলস|লোভ|স্বার্থ|অক্ষম|অযোগ্য|বোকা|কৃপণ|হিংস"")),""valence-target অমিল"",""""),IF(COUNTIF($B:$B,B329)&gt;1,""ডুপ্লিকেট"",""""))"),"figurative ছোট")</f>
        <v>figurative ছোট</v>
      </c>
      <c r="Q329" s="5" t="str">
        <f t="shared" si="1"/>
        <v>১ আগে দেখো</v>
      </c>
    </row>
    <row r="330">
      <c r="A330" s="4">
        <v>5141.0</v>
      </c>
      <c r="B330" s="2" t="s">
        <v>1592</v>
      </c>
      <c r="C330" s="2" t="s">
        <v>1592</v>
      </c>
      <c r="D330" s="2" t="s">
        <v>590</v>
      </c>
      <c r="E330" s="2" t="s">
        <v>1593</v>
      </c>
      <c r="F330" s="2" t="b">
        <v>1</v>
      </c>
      <c r="G330" s="2" t="b">
        <v>0</v>
      </c>
      <c r="H330" s="2" t="s">
        <v>37</v>
      </c>
      <c r="I330" s="2" t="s">
        <v>22</v>
      </c>
      <c r="J330" s="2" t="s">
        <v>590</v>
      </c>
      <c r="K330" s="2" t="s">
        <v>495</v>
      </c>
      <c r="L330" s="13" t="s">
        <v>496</v>
      </c>
      <c r="M330" s="2" t="s">
        <v>26</v>
      </c>
      <c r="N330" s="11" t="s">
        <v>576</v>
      </c>
      <c r="O330" s="12" t="s">
        <v>53</v>
      </c>
      <c r="P330" s="5" t="str">
        <f>IFERROR(__xludf.DUMMYFUNCTION("TEXTJOIN("" | "",TRUE,IF(OR(D330="""",E330="""",I330="""",J330="""",H330=""""),""ফাঁকা ঘর"",""""),IF(AND(C330&lt;&gt;"""",D330&lt;&gt;"""",C330=D330),""gloss=figurative"",""""),IF(LEN(D330)&lt;15,""figurative ছোট"",""""),IF(AND(I330=""Positive"",REGEXMATCH(H330,""মূর্খ|"&amp;"ভণ্ড|প্রতার|অলস|লোভ|স্বার্থ|অক্ষম|অযোগ্য|বোকা|কৃপণ|হিংস"")),""valence-target অমিল"",""""),IF(COUNTIF($B:$B,B330)&gt;1,""ডুপ্লিকেট"",""""))"),"figurative ছোট")</f>
        <v>figurative ছোট</v>
      </c>
      <c r="Q330" s="5" t="str">
        <f t="shared" si="1"/>
        <v>১ আগে দেখো</v>
      </c>
    </row>
    <row r="331">
      <c r="A331" s="4">
        <v>5146.0</v>
      </c>
      <c r="B331" s="2" t="s">
        <v>1594</v>
      </c>
      <c r="C331" s="2" t="s">
        <v>1595</v>
      </c>
      <c r="D331" s="2" t="s">
        <v>1596</v>
      </c>
      <c r="E331" s="2" t="s">
        <v>1597</v>
      </c>
      <c r="F331" s="2" t="b">
        <v>1</v>
      </c>
      <c r="G331" s="2" t="b">
        <v>0</v>
      </c>
      <c r="H331" s="2" t="s">
        <v>37</v>
      </c>
      <c r="I331" s="2" t="s">
        <v>32</v>
      </c>
      <c r="J331" s="2" t="s">
        <v>1598</v>
      </c>
      <c r="K331" s="2" t="s">
        <v>495</v>
      </c>
      <c r="L331" s="13" t="s">
        <v>496</v>
      </c>
      <c r="M331" s="2" t="s">
        <v>26</v>
      </c>
      <c r="N331" s="11" t="s">
        <v>576</v>
      </c>
      <c r="O331" s="12" t="s">
        <v>53</v>
      </c>
      <c r="P331" s="5" t="str">
        <f>IFERROR(__xludf.DUMMYFUNCTION("TEXTJOIN("" | "",TRUE,IF(OR(D331="""",E331="""",I331="""",J331="""",H331=""""),""ফাঁকা ঘর"",""""),IF(AND(C331&lt;&gt;"""",D331&lt;&gt;"""",C331=D331),""gloss=figurative"",""""),IF(LEN(D331)&lt;15,""figurative ছোট"",""""),IF(AND(I331=""Positive"",REGEXMATCH(H331,""মূর্খ|"&amp;"ভণ্ড|প্রতার|অলস|লোভ|স্বার্থ|অক্ষম|অযোগ্য|বোকা|কৃপণ|হিংস"")),""valence-target অমিল"",""""),IF(COUNTIF($B:$B,B331)&gt;1,""ডুপ্লিকেট"",""""))"),"figurative ছোট")</f>
        <v>figurative ছোট</v>
      </c>
      <c r="Q331" s="5" t="str">
        <f t="shared" si="1"/>
        <v>১ আগে দেখো</v>
      </c>
    </row>
    <row r="332">
      <c r="A332" s="4">
        <v>5147.0</v>
      </c>
      <c r="B332" s="2" t="s">
        <v>1599</v>
      </c>
      <c r="C332" s="2" t="s">
        <v>1600</v>
      </c>
      <c r="D332" s="2" t="s">
        <v>1601</v>
      </c>
      <c r="E332" s="2" t="s">
        <v>1602</v>
      </c>
      <c r="F332" s="2" t="b">
        <v>1</v>
      </c>
      <c r="G332" s="2" t="b">
        <v>0</v>
      </c>
      <c r="H332" s="2" t="s">
        <v>819</v>
      </c>
      <c r="I332" s="2" t="s">
        <v>32</v>
      </c>
      <c r="J332" s="2" t="s">
        <v>1603</v>
      </c>
      <c r="K332" s="2" t="s">
        <v>495</v>
      </c>
      <c r="L332" s="13" t="s">
        <v>496</v>
      </c>
      <c r="M332" s="2" t="s">
        <v>26</v>
      </c>
      <c r="N332" s="11" t="s">
        <v>576</v>
      </c>
      <c r="O332" s="12" t="s">
        <v>53</v>
      </c>
      <c r="P332" s="5" t="str">
        <f>IFERROR(__xludf.DUMMYFUNCTION("TEXTJOIN("" | "",TRUE,IF(OR(D332="""",E332="""",I332="""",J332="""",H332=""""),""ফাঁকা ঘর"",""""),IF(AND(C332&lt;&gt;"""",D332&lt;&gt;"""",C332=D332),""gloss=figurative"",""""),IF(LEN(D332)&lt;15,""figurative ছোট"",""""),IF(AND(I332=""Positive"",REGEXMATCH(H332,""মূর্খ|"&amp;"ভণ্ড|প্রতার|অলস|লোভ|স্বার্থ|অক্ষম|অযোগ্য|বোকা|কৃপণ|হিংস"")),""valence-target অমিল"",""""),IF(COUNTIF($B:$B,B332)&gt;1,""ডুপ্লিকেট"",""""))"),"figurative ছোট")</f>
        <v>figurative ছোট</v>
      </c>
      <c r="Q332" s="5" t="str">
        <f t="shared" si="1"/>
        <v>১ আগে দেখো</v>
      </c>
    </row>
    <row r="333">
      <c r="A333" s="4">
        <v>5153.0</v>
      </c>
      <c r="B333" s="2" t="s">
        <v>1604</v>
      </c>
      <c r="C333" s="2" t="s">
        <v>1604</v>
      </c>
      <c r="D333" s="2" t="s">
        <v>1605</v>
      </c>
      <c r="E333" s="2" t="s">
        <v>1606</v>
      </c>
      <c r="F333" s="2" t="b">
        <v>1</v>
      </c>
      <c r="G333" s="2" t="b">
        <v>0</v>
      </c>
      <c r="H333" s="2" t="s">
        <v>37</v>
      </c>
      <c r="I333" s="2" t="s">
        <v>22</v>
      </c>
      <c r="J333" s="2" t="s">
        <v>1607</v>
      </c>
      <c r="K333" s="2" t="s">
        <v>495</v>
      </c>
      <c r="L333" s="13" t="s">
        <v>496</v>
      </c>
      <c r="M333" s="2" t="s">
        <v>26</v>
      </c>
      <c r="N333" s="11" t="s">
        <v>576</v>
      </c>
      <c r="O333" s="12" t="s">
        <v>53</v>
      </c>
      <c r="P333" s="5" t="str">
        <f>IFERROR(__xludf.DUMMYFUNCTION("TEXTJOIN("" | "",TRUE,IF(OR(D333="""",E333="""",I333="""",J333="""",H333=""""),""ফাঁকা ঘর"",""""),IF(AND(C333&lt;&gt;"""",D333&lt;&gt;"""",C333=D333),""gloss=figurative"",""""),IF(LEN(D333)&lt;15,""figurative ছোট"",""""),IF(AND(I333=""Positive"",REGEXMATCH(H333,""মূর্খ|"&amp;"ভণ্ড|প্রতার|অলস|লোভ|স্বার্থ|অক্ষম|অযোগ্য|বোকা|কৃপণ|হিংস"")),""valence-target অমিল"",""""),IF(COUNTIF($B:$B,B333)&gt;1,""ডুপ্লিকেট"",""""))"),"figurative ছোট")</f>
        <v>figurative ছোট</v>
      </c>
      <c r="Q333" s="5" t="str">
        <f t="shared" si="1"/>
        <v>১ আগে দেখো</v>
      </c>
    </row>
    <row r="334">
      <c r="A334" s="4">
        <v>5158.0</v>
      </c>
      <c r="B334" s="2" t="s">
        <v>1608</v>
      </c>
      <c r="C334" s="2" t="s">
        <v>1609</v>
      </c>
      <c r="D334" s="2" t="s">
        <v>1610</v>
      </c>
      <c r="E334" s="2" t="s">
        <v>1611</v>
      </c>
      <c r="F334" s="2" t="b">
        <v>1</v>
      </c>
      <c r="G334" s="2" t="b">
        <v>0</v>
      </c>
      <c r="H334" s="2" t="s">
        <v>1612</v>
      </c>
      <c r="I334" s="2" t="s">
        <v>22</v>
      </c>
      <c r="J334" s="2" t="s">
        <v>836</v>
      </c>
      <c r="K334" s="2" t="s">
        <v>495</v>
      </c>
      <c r="L334" s="13" t="s">
        <v>496</v>
      </c>
      <c r="M334" s="2" t="s">
        <v>26</v>
      </c>
      <c r="N334" s="11" t="s">
        <v>576</v>
      </c>
      <c r="O334" s="12" t="s">
        <v>53</v>
      </c>
      <c r="P334" s="5" t="str">
        <f>IFERROR(__xludf.DUMMYFUNCTION("TEXTJOIN("" | "",TRUE,IF(OR(D334="""",E334="""",I334="""",J334="""",H334=""""),""ফাঁকা ঘর"",""""),IF(AND(C334&lt;&gt;"""",D334&lt;&gt;"""",C334=D334),""gloss=figurative"",""""),IF(LEN(D334)&lt;15,""figurative ছোট"",""""),IF(AND(I334=""Positive"",REGEXMATCH(H334,""মূর্খ|"&amp;"ভণ্ড|প্রতার|অলস|লোভ|স্বার্থ|অক্ষম|অযোগ্য|বোকা|কৃপণ|হিংস"")),""valence-target অমিল"",""""),IF(COUNTIF($B:$B,B334)&gt;1,""ডুপ্লিকেট"",""""))"),"figurative ছোট")</f>
        <v>figurative ছোট</v>
      </c>
      <c r="Q334" s="5" t="str">
        <f t="shared" si="1"/>
        <v>১ আগে দেখো</v>
      </c>
    </row>
    <row r="335">
      <c r="A335" s="4">
        <v>5167.0</v>
      </c>
      <c r="B335" s="2" t="s">
        <v>1613</v>
      </c>
      <c r="C335" s="2" t="s">
        <v>1614</v>
      </c>
      <c r="D335" s="2" t="s">
        <v>1615</v>
      </c>
      <c r="E335" s="2" t="s">
        <v>1616</v>
      </c>
      <c r="F335" s="2" t="b">
        <v>1</v>
      </c>
      <c r="G335" s="2" t="b">
        <v>0</v>
      </c>
      <c r="H335" s="2" t="s">
        <v>37</v>
      </c>
      <c r="I335" s="2" t="s">
        <v>32</v>
      </c>
      <c r="J335" s="2" t="s">
        <v>436</v>
      </c>
      <c r="K335" s="2" t="s">
        <v>495</v>
      </c>
      <c r="L335" s="13" t="s">
        <v>496</v>
      </c>
      <c r="M335" s="2" t="s">
        <v>26</v>
      </c>
      <c r="N335" s="11" t="s">
        <v>576</v>
      </c>
      <c r="O335" s="12" t="s">
        <v>53</v>
      </c>
      <c r="P335" s="5" t="str">
        <f>IFERROR(__xludf.DUMMYFUNCTION("TEXTJOIN("" | "",TRUE,IF(OR(D335="""",E335="""",I335="""",J335="""",H335=""""),""ফাঁকা ঘর"",""""),IF(AND(C335&lt;&gt;"""",D335&lt;&gt;"""",C335=D335),""gloss=figurative"",""""),IF(LEN(D335)&lt;15,""figurative ছোট"",""""),IF(AND(I335=""Positive"",REGEXMATCH(H335,""মূর্খ|"&amp;"ভণ্ড|প্রতার|অলস|লোভ|স্বার্থ|অক্ষম|অযোগ্য|বোকা|কৃপণ|হিংস"")),""valence-target অমিল"",""""),IF(COUNTIF($B:$B,B335)&gt;1,""ডুপ্লিকেট"",""""))"),"figurative ছোট")</f>
        <v>figurative ছোট</v>
      </c>
      <c r="Q335" s="5" t="str">
        <f t="shared" si="1"/>
        <v>১ আগে দেখো</v>
      </c>
    </row>
    <row r="336">
      <c r="A336" s="4">
        <v>5169.0</v>
      </c>
      <c r="B336" s="2" t="s">
        <v>1617</v>
      </c>
      <c r="C336" s="2" t="s">
        <v>1618</v>
      </c>
      <c r="D336" s="2" t="s">
        <v>1619</v>
      </c>
      <c r="E336" s="2" t="s">
        <v>1620</v>
      </c>
      <c r="F336" s="2" t="b">
        <v>1</v>
      </c>
      <c r="G336" s="2" t="b">
        <v>0</v>
      </c>
      <c r="H336" s="2" t="s">
        <v>37</v>
      </c>
      <c r="I336" s="2" t="s">
        <v>22</v>
      </c>
      <c r="J336" s="2" t="s">
        <v>1621</v>
      </c>
      <c r="K336" s="2" t="s">
        <v>495</v>
      </c>
      <c r="L336" s="13" t="s">
        <v>496</v>
      </c>
      <c r="M336" s="2" t="s">
        <v>26</v>
      </c>
      <c r="N336" s="11" t="s">
        <v>576</v>
      </c>
      <c r="O336" s="12" t="s">
        <v>53</v>
      </c>
      <c r="P336" s="5" t="str">
        <f>IFERROR(__xludf.DUMMYFUNCTION("TEXTJOIN("" | "",TRUE,IF(OR(D336="""",E336="""",I336="""",J336="""",H336=""""),""ফাঁকা ঘর"",""""),IF(AND(C336&lt;&gt;"""",D336&lt;&gt;"""",C336=D336),""gloss=figurative"",""""),IF(LEN(D336)&lt;15,""figurative ছোট"",""""),IF(AND(I336=""Positive"",REGEXMATCH(H336,""মূর্খ|"&amp;"ভণ্ড|প্রতার|অলস|লোভ|স্বার্থ|অক্ষম|অযোগ্য|বোকা|কৃপণ|হিংস"")),""valence-target অমিল"",""""),IF(COUNTIF($B:$B,B336)&gt;1,""ডুপ্লিকেট"",""""))"),"figurative ছোট")</f>
        <v>figurative ছোট</v>
      </c>
      <c r="Q336" s="5" t="str">
        <f t="shared" si="1"/>
        <v>১ আগে দেখো</v>
      </c>
    </row>
    <row r="337">
      <c r="A337" s="4">
        <v>5176.0</v>
      </c>
      <c r="B337" s="2" t="s">
        <v>1622</v>
      </c>
      <c r="C337" s="2" t="s">
        <v>1622</v>
      </c>
      <c r="D337" s="2" t="s">
        <v>1623</v>
      </c>
      <c r="E337" s="2" t="s">
        <v>1624</v>
      </c>
      <c r="F337" s="2" t="b">
        <v>1</v>
      </c>
      <c r="G337" s="2" t="b">
        <v>0</v>
      </c>
      <c r="H337" s="2" t="s">
        <v>37</v>
      </c>
      <c r="I337" s="2" t="s">
        <v>22</v>
      </c>
      <c r="J337" s="2" t="s">
        <v>1625</v>
      </c>
      <c r="K337" s="2" t="s">
        <v>495</v>
      </c>
      <c r="L337" s="13" t="s">
        <v>496</v>
      </c>
      <c r="M337" s="2" t="s">
        <v>26</v>
      </c>
      <c r="N337" s="11" t="s">
        <v>576</v>
      </c>
      <c r="O337" s="12" t="s">
        <v>53</v>
      </c>
      <c r="P337" s="5" t="str">
        <f>IFERROR(__xludf.DUMMYFUNCTION("TEXTJOIN("" | "",TRUE,IF(OR(D337="""",E337="""",I337="""",J337="""",H337=""""),""ফাঁকা ঘর"",""""),IF(AND(C337&lt;&gt;"""",D337&lt;&gt;"""",C337=D337),""gloss=figurative"",""""),IF(LEN(D337)&lt;15,""figurative ছোট"",""""),IF(AND(I337=""Positive"",REGEXMATCH(H337,""মূর্খ|"&amp;"ভণ্ড|প্রতার|অলস|লোভ|স্বার্থ|অক্ষম|অযোগ্য|বোকা|কৃপণ|হিংস"")),""valence-target অমিল"",""""),IF(COUNTIF($B:$B,B337)&gt;1,""ডুপ্লিকেট"",""""))"),"figurative ছোট")</f>
        <v>figurative ছোট</v>
      </c>
      <c r="Q337" s="5" t="str">
        <f t="shared" si="1"/>
        <v>১ আগে দেখো</v>
      </c>
    </row>
    <row r="338">
      <c r="A338" s="4">
        <v>5177.0</v>
      </c>
      <c r="B338" s="2" t="s">
        <v>1626</v>
      </c>
      <c r="C338" s="2" t="s">
        <v>1626</v>
      </c>
      <c r="D338" s="2" t="s">
        <v>1627</v>
      </c>
      <c r="E338" s="2" t="s">
        <v>1628</v>
      </c>
      <c r="F338" s="2" t="b">
        <v>1</v>
      </c>
      <c r="G338" s="2" t="b">
        <v>0</v>
      </c>
      <c r="H338" s="2" t="s">
        <v>1629</v>
      </c>
      <c r="I338" s="2" t="s">
        <v>22</v>
      </c>
      <c r="J338" s="2" t="s">
        <v>1630</v>
      </c>
      <c r="K338" s="2" t="s">
        <v>495</v>
      </c>
      <c r="L338" s="13" t="s">
        <v>496</v>
      </c>
      <c r="M338" s="2" t="s">
        <v>26</v>
      </c>
      <c r="N338" s="11" t="s">
        <v>576</v>
      </c>
      <c r="O338" s="12" t="s">
        <v>53</v>
      </c>
      <c r="P338" s="5" t="str">
        <f>IFERROR(__xludf.DUMMYFUNCTION("TEXTJOIN("" | "",TRUE,IF(OR(D338="""",E338="""",I338="""",J338="""",H338=""""),""ফাঁকা ঘর"",""""),IF(AND(C338&lt;&gt;"""",D338&lt;&gt;"""",C338=D338),""gloss=figurative"",""""),IF(LEN(D338)&lt;15,""figurative ছোট"",""""),IF(AND(I338=""Positive"",REGEXMATCH(H338,""মূর্খ|"&amp;"ভণ্ড|প্রতার|অলস|লোভ|স্বার্থ|অক্ষম|অযোগ্য|বোকা|কৃপণ|হিংস"")),""valence-target অমিল"",""""),IF(COUNTIF($B:$B,B338)&gt;1,""ডুপ্লিকেট"",""""))"),"figurative ছোট")</f>
        <v>figurative ছোট</v>
      </c>
      <c r="Q338" s="5" t="str">
        <f t="shared" si="1"/>
        <v>১ আগে দেখো</v>
      </c>
    </row>
    <row r="339">
      <c r="A339" s="4">
        <v>5179.0</v>
      </c>
      <c r="B339" s="2" t="s">
        <v>1631</v>
      </c>
      <c r="C339" s="2" t="s">
        <v>1632</v>
      </c>
      <c r="D339" s="2" t="s">
        <v>1633</v>
      </c>
      <c r="E339" s="2" t="s">
        <v>1634</v>
      </c>
      <c r="F339" s="2" t="b">
        <v>1</v>
      </c>
      <c r="G339" s="2" t="b">
        <v>0</v>
      </c>
      <c r="H339" s="2" t="s">
        <v>1629</v>
      </c>
      <c r="I339" s="2" t="s">
        <v>22</v>
      </c>
      <c r="J339" s="2" t="s">
        <v>1635</v>
      </c>
      <c r="K339" s="2" t="s">
        <v>495</v>
      </c>
      <c r="L339" s="13" t="s">
        <v>496</v>
      </c>
      <c r="M339" s="2" t="s">
        <v>26</v>
      </c>
      <c r="N339" s="11" t="s">
        <v>576</v>
      </c>
      <c r="O339" s="12" t="s">
        <v>53</v>
      </c>
      <c r="P339" s="5" t="str">
        <f>IFERROR(__xludf.DUMMYFUNCTION("TEXTJOIN("" | "",TRUE,IF(OR(D339="""",E339="""",I339="""",J339="""",H339=""""),""ফাঁকা ঘর"",""""),IF(AND(C339&lt;&gt;"""",D339&lt;&gt;"""",C339=D339),""gloss=figurative"",""""),IF(LEN(D339)&lt;15,""figurative ছোট"",""""),IF(AND(I339=""Positive"",REGEXMATCH(H339,""মূর্খ|"&amp;"ভণ্ড|প্রতার|অলস|লোভ|স্বার্থ|অক্ষম|অযোগ্য|বোকা|কৃপণ|হিংস"")),""valence-target অমিল"",""""),IF(COUNTIF($B:$B,B339)&gt;1,""ডুপ্লিকেট"",""""))"),"figurative ছোট")</f>
        <v>figurative ছোট</v>
      </c>
      <c r="Q339" s="5" t="str">
        <f t="shared" si="1"/>
        <v>১ আগে দেখো</v>
      </c>
    </row>
    <row r="340">
      <c r="A340" s="4">
        <v>5180.0</v>
      </c>
      <c r="B340" s="2" t="s">
        <v>1636</v>
      </c>
      <c r="C340" s="2" t="s">
        <v>1637</v>
      </c>
      <c r="D340" s="2" t="s">
        <v>1638</v>
      </c>
      <c r="E340" s="2" t="s">
        <v>1639</v>
      </c>
      <c r="F340" s="2" t="b">
        <v>1</v>
      </c>
      <c r="G340" s="2" t="b">
        <v>0</v>
      </c>
      <c r="H340" s="2" t="s">
        <v>37</v>
      </c>
      <c r="I340" s="2" t="s">
        <v>22</v>
      </c>
      <c r="J340" s="2" t="s">
        <v>669</v>
      </c>
      <c r="K340" s="2" t="s">
        <v>495</v>
      </c>
      <c r="L340" s="13" t="s">
        <v>496</v>
      </c>
      <c r="M340" s="2" t="s">
        <v>26</v>
      </c>
      <c r="N340" s="11" t="s">
        <v>576</v>
      </c>
      <c r="O340" s="12" t="s">
        <v>53</v>
      </c>
      <c r="P340" s="5" t="str">
        <f>IFERROR(__xludf.DUMMYFUNCTION("TEXTJOIN("" | "",TRUE,IF(OR(D340="""",E340="""",I340="""",J340="""",H340=""""),""ফাঁকা ঘর"",""""),IF(AND(C340&lt;&gt;"""",D340&lt;&gt;"""",C340=D340),""gloss=figurative"",""""),IF(LEN(D340)&lt;15,""figurative ছোট"",""""),IF(AND(I340=""Positive"",REGEXMATCH(H340,""মূর্খ|"&amp;"ভণ্ড|প্রতার|অলস|লোভ|স্বার্থ|অক্ষম|অযোগ্য|বোকা|কৃপণ|হিংস"")),""valence-target অমিল"",""""),IF(COUNTIF($B:$B,B340)&gt;1,""ডুপ্লিকেট"",""""))"),"figurative ছোট")</f>
        <v>figurative ছোট</v>
      </c>
      <c r="Q340" s="5" t="str">
        <f t="shared" si="1"/>
        <v>১ আগে দেখো</v>
      </c>
    </row>
    <row r="341">
      <c r="A341" s="4">
        <v>5188.0</v>
      </c>
      <c r="B341" s="2" t="s">
        <v>1640</v>
      </c>
      <c r="C341" s="2" t="s">
        <v>1641</v>
      </c>
      <c r="D341" s="2" t="s">
        <v>1642</v>
      </c>
      <c r="E341" s="2" t="s">
        <v>1643</v>
      </c>
      <c r="F341" s="2" t="b">
        <v>1</v>
      </c>
      <c r="G341" s="2" t="b">
        <v>0</v>
      </c>
      <c r="H341" s="2" t="s">
        <v>37</v>
      </c>
      <c r="I341" s="2" t="s">
        <v>32</v>
      </c>
      <c r="J341" s="2" t="s">
        <v>1644</v>
      </c>
      <c r="K341" s="2" t="s">
        <v>495</v>
      </c>
      <c r="L341" s="13" t="s">
        <v>496</v>
      </c>
      <c r="M341" s="2" t="s">
        <v>26</v>
      </c>
      <c r="N341" s="11" t="s">
        <v>576</v>
      </c>
      <c r="O341" s="12" t="s">
        <v>53</v>
      </c>
      <c r="P341" s="5" t="str">
        <f>IFERROR(__xludf.DUMMYFUNCTION("TEXTJOIN("" | "",TRUE,IF(OR(D341="""",E341="""",I341="""",J341="""",H341=""""),""ফাঁকা ঘর"",""""),IF(AND(C341&lt;&gt;"""",D341&lt;&gt;"""",C341=D341),""gloss=figurative"",""""),IF(LEN(D341)&lt;15,""figurative ছোট"",""""),IF(AND(I341=""Positive"",REGEXMATCH(H341,""মূর্খ|"&amp;"ভণ্ড|প্রতার|অলস|লোভ|স্বার্থ|অক্ষম|অযোগ্য|বোকা|কৃপণ|হিংস"")),""valence-target অমিল"",""""),IF(COUNTIF($B:$B,B341)&gt;1,""ডুপ্লিকেট"",""""))"),"figurative ছোট")</f>
        <v>figurative ছোট</v>
      </c>
      <c r="Q341" s="5" t="str">
        <f t="shared" si="1"/>
        <v>১ আগে দেখো</v>
      </c>
    </row>
    <row r="342">
      <c r="A342" s="4">
        <v>5192.0</v>
      </c>
      <c r="B342" s="2" t="s">
        <v>1645</v>
      </c>
      <c r="C342" s="2" t="s">
        <v>1646</v>
      </c>
      <c r="D342" s="2" t="s">
        <v>1569</v>
      </c>
      <c r="E342" s="2" t="s">
        <v>1570</v>
      </c>
      <c r="F342" s="2" t="b">
        <v>1</v>
      </c>
      <c r="G342" s="2" t="b">
        <v>0</v>
      </c>
      <c r="H342" s="2" t="s">
        <v>1571</v>
      </c>
      <c r="I342" s="2" t="s">
        <v>22</v>
      </c>
      <c r="J342" s="2" t="s">
        <v>1572</v>
      </c>
      <c r="K342" s="2" t="s">
        <v>495</v>
      </c>
      <c r="L342" s="13" t="s">
        <v>496</v>
      </c>
      <c r="M342" s="2" t="s">
        <v>26</v>
      </c>
      <c r="N342" s="11" t="s">
        <v>576</v>
      </c>
      <c r="O342" s="12" t="s">
        <v>53</v>
      </c>
      <c r="P342" s="5" t="str">
        <f>IFERROR(__xludf.DUMMYFUNCTION("TEXTJOIN("" | "",TRUE,IF(OR(D342="""",E342="""",I342="""",J342="""",H342=""""),""ফাঁকা ঘর"",""""),IF(AND(C342&lt;&gt;"""",D342&lt;&gt;"""",C342=D342),""gloss=figurative"",""""),IF(LEN(D342)&lt;15,""figurative ছোট"",""""),IF(AND(I342=""Positive"",REGEXMATCH(H342,""মূর্খ|"&amp;"ভণ্ড|প্রতার|অলস|লোভ|স্বার্থ|অক্ষম|অযোগ্য|বোকা|কৃপণ|হিংস"")),""valence-target অমিল"",""""),IF(COUNTIF($B:$B,B342)&gt;1,""ডুপ্লিকেট"",""""))"),"figurative ছোট")</f>
        <v>figurative ছোট</v>
      </c>
      <c r="Q342" s="5" t="str">
        <f t="shared" si="1"/>
        <v>১ আগে দেখো</v>
      </c>
    </row>
    <row r="343">
      <c r="A343" s="4">
        <v>5193.0</v>
      </c>
      <c r="B343" s="2" t="s">
        <v>1647</v>
      </c>
      <c r="C343" s="2" t="s">
        <v>1648</v>
      </c>
      <c r="D343" s="2" t="s">
        <v>1649</v>
      </c>
      <c r="E343" s="2" t="s">
        <v>1650</v>
      </c>
      <c r="F343" s="2" t="b">
        <v>1</v>
      </c>
      <c r="G343" s="2" t="b">
        <v>0</v>
      </c>
      <c r="H343" s="2" t="s">
        <v>37</v>
      </c>
      <c r="I343" s="2" t="s">
        <v>22</v>
      </c>
      <c r="J343" s="2" t="s">
        <v>1651</v>
      </c>
      <c r="K343" s="2" t="s">
        <v>495</v>
      </c>
      <c r="L343" s="13" t="s">
        <v>496</v>
      </c>
      <c r="M343" s="2" t="s">
        <v>26</v>
      </c>
      <c r="N343" s="11" t="s">
        <v>576</v>
      </c>
      <c r="O343" s="12" t="s">
        <v>53</v>
      </c>
      <c r="P343" s="5" t="str">
        <f>IFERROR(__xludf.DUMMYFUNCTION("TEXTJOIN("" | "",TRUE,IF(OR(D343="""",E343="""",I343="""",J343="""",H343=""""),""ফাঁকা ঘর"",""""),IF(AND(C343&lt;&gt;"""",D343&lt;&gt;"""",C343=D343),""gloss=figurative"",""""),IF(LEN(D343)&lt;15,""figurative ছোট"",""""),IF(AND(I343=""Positive"",REGEXMATCH(H343,""মূর্খ|"&amp;"ভণ্ড|প্রতার|অলস|লোভ|স্বার্থ|অক্ষম|অযোগ্য|বোকা|কৃপণ|হিংস"")),""valence-target অমিল"",""""),IF(COUNTIF($B:$B,B343)&gt;1,""ডুপ্লিকেট"",""""))"),"figurative ছোট")</f>
        <v>figurative ছোট</v>
      </c>
      <c r="Q343" s="5" t="str">
        <f t="shared" si="1"/>
        <v>১ আগে দেখো</v>
      </c>
    </row>
    <row r="344">
      <c r="A344" s="4">
        <v>5198.0</v>
      </c>
      <c r="B344" s="2" t="s">
        <v>1652</v>
      </c>
      <c r="C344" s="2" t="s">
        <v>1653</v>
      </c>
      <c r="D344" s="2" t="s">
        <v>1654</v>
      </c>
      <c r="E344" s="2" t="s">
        <v>1655</v>
      </c>
      <c r="F344" s="2" t="b">
        <v>1</v>
      </c>
      <c r="G344" s="2" t="b">
        <v>0</v>
      </c>
      <c r="H344" s="2" t="s">
        <v>37</v>
      </c>
      <c r="I344" s="2" t="s">
        <v>22</v>
      </c>
      <c r="J344" s="2" t="s">
        <v>1656</v>
      </c>
      <c r="K344" s="2" t="s">
        <v>495</v>
      </c>
      <c r="L344" s="13" t="s">
        <v>496</v>
      </c>
      <c r="M344" s="2" t="s">
        <v>26</v>
      </c>
      <c r="N344" s="11" t="s">
        <v>1657</v>
      </c>
      <c r="O344" s="12" t="s">
        <v>53</v>
      </c>
      <c r="P344" s="5" t="str">
        <f>IFERROR(__xludf.DUMMYFUNCTION("TEXTJOIN("" | "",TRUE,IF(OR(D344="""",E344="""",I344="""",J344="""",H344=""""),""ফাঁকা ঘর"",""""),IF(AND(C344&lt;&gt;"""",D344&lt;&gt;"""",C344=D344),""gloss=figurative"",""""),IF(LEN(D344)&lt;15,""figurative ছোট"",""""),IF(AND(I344=""Positive"",REGEXMATCH(H344,""মূর্খ|"&amp;"ভণ্ড|প্রতার|অলস|লোভ|স্বার্থ|অক্ষম|অযোগ্য|বোকা|কৃপণ|হিংস"")),""valence-target অমিল"",""""),IF(COUNTIF($B:$B,B344)&gt;1,""ডুপ্লিকেট"",""""))"),"figurative ছোট")</f>
        <v>figurative ছোট</v>
      </c>
      <c r="Q344" s="5" t="str">
        <f t="shared" si="1"/>
        <v>১ আগে দেখো</v>
      </c>
    </row>
    <row r="345">
      <c r="A345" s="4">
        <v>5201.0</v>
      </c>
      <c r="B345" s="2" t="s">
        <v>1658</v>
      </c>
      <c r="C345" s="2" t="s">
        <v>1659</v>
      </c>
      <c r="D345" s="2" t="s">
        <v>1660</v>
      </c>
      <c r="E345" s="2" t="s">
        <v>1661</v>
      </c>
      <c r="F345" s="2" t="b">
        <v>1</v>
      </c>
      <c r="G345" s="2" t="b">
        <v>0</v>
      </c>
      <c r="H345" s="2" t="s">
        <v>37</v>
      </c>
      <c r="I345" s="2" t="s">
        <v>49</v>
      </c>
      <c r="J345" s="2" t="s">
        <v>565</v>
      </c>
      <c r="K345" s="2" t="s">
        <v>495</v>
      </c>
      <c r="L345" s="13" t="s">
        <v>496</v>
      </c>
      <c r="M345" s="2" t="s">
        <v>26</v>
      </c>
      <c r="N345" s="11" t="s">
        <v>576</v>
      </c>
      <c r="O345" s="12" t="s">
        <v>53</v>
      </c>
      <c r="P345" s="5" t="str">
        <f>IFERROR(__xludf.DUMMYFUNCTION("TEXTJOIN("" | "",TRUE,IF(OR(D345="""",E345="""",I345="""",J345="""",H345=""""),""ফাঁকা ঘর"",""""),IF(AND(C345&lt;&gt;"""",D345&lt;&gt;"""",C345=D345),""gloss=figurative"",""""),IF(LEN(D345)&lt;15,""figurative ছোট"",""""),IF(AND(I345=""Positive"",REGEXMATCH(H345,""মূর্খ|"&amp;"ভণ্ড|প্রতার|অলস|লোভ|স্বার্থ|অক্ষম|অযোগ্য|বোকা|কৃপণ|হিংস"")),""valence-target অমিল"",""""),IF(COUNTIF($B:$B,B345)&gt;1,""ডুপ্লিকেট"",""""))"),"figurative ছোট")</f>
        <v>figurative ছোট</v>
      </c>
      <c r="Q345" s="5" t="str">
        <f t="shared" si="1"/>
        <v>১ আগে দেখো</v>
      </c>
    </row>
    <row r="346">
      <c r="A346" s="4">
        <v>5203.0</v>
      </c>
      <c r="B346" s="2" t="s">
        <v>1662</v>
      </c>
      <c r="C346" s="2" t="s">
        <v>1663</v>
      </c>
      <c r="D346" s="2" t="s">
        <v>1664</v>
      </c>
      <c r="E346" s="2" t="s">
        <v>1665</v>
      </c>
      <c r="F346" s="2" t="b">
        <v>1</v>
      </c>
      <c r="G346" s="2" t="b">
        <v>0</v>
      </c>
      <c r="H346" s="2" t="s">
        <v>37</v>
      </c>
      <c r="I346" s="2" t="s">
        <v>32</v>
      </c>
      <c r="J346" s="2" t="s">
        <v>1666</v>
      </c>
      <c r="K346" s="2" t="s">
        <v>495</v>
      </c>
      <c r="L346" s="13" t="s">
        <v>496</v>
      </c>
      <c r="M346" s="2" t="s">
        <v>26</v>
      </c>
      <c r="N346" s="11" t="s">
        <v>576</v>
      </c>
      <c r="O346" s="12" t="s">
        <v>53</v>
      </c>
      <c r="P346" s="5" t="str">
        <f>IFERROR(__xludf.DUMMYFUNCTION("TEXTJOIN("" | "",TRUE,IF(OR(D346="""",E346="""",I346="""",J346="""",H346=""""),""ফাঁকা ঘর"",""""),IF(AND(C346&lt;&gt;"""",D346&lt;&gt;"""",C346=D346),""gloss=figurative"",""""),IF(LEN(D346)&lt;15,""figurative ছোট"",""""),IF(AND(I346=""Positive"",REGEXMATCH(H346,""মূর্খ|"&amp;"ভণ্ড|প্রতার|অলস|লোভ|স্বার্থ|অক্ষম|অযোগ্য|বোকা|কৃপণ|হিংস"")),""valence-target অমিল"",""""),IF(COUNTIF($B:$B,B346)&gt;1,""ডুপ্লিকেট"",""""))"),"figurative ছোট")</f>
        <v>figurative ছোট</v>
      </c>
      <c r="Q346" s="5" t="str">
        <f t="shared" si="1"/>
        <v>১ আগে দেখো</v>
      </c>
    </row>
    <row r="347">
      <c r="A347" s="4">
        <v>5209.0</v>
      </c>
      <c r="B347" s="2" t="s">
        <v>1667</v>
      </c>
      <c r="C347" s="2" t="s">
        <v>1668</v>
      </c>
      <c r="D347" s="2" t="s">
        <v>1669</v>
      </c>
      <c r="E347" s="2" t="s">
        <v>1670</v>
      </c>
      <c r="F347" s="2" t="b">
        <v>1</v>
      </c>
      <c r="G347" s="2" t="b">
        <v>0</v>
      </c>
      <c r="H347" s="2" t="s">
        <v>1669</v>
      </c>
      <c r="I347" s="2" t="s">
        <v>49</v>
      </c>
      <c r="J347" s="2" t="s">
        <v>739</v>
      </c>
      <c r="K347" s="2" t="s">
        <v>495</v>
      </c>
      <c r="L347" s="13" t="s">
        <v>496</v>
      </c>
      <c r="M347" s="2" t="s">
        <v>26</v>
      </c>
      <c r="N347" s="11" t="s">
        <v>576</v>
      </c>
      <c r="O347" s="12" t="s">
        <v>53</v>
      </c>
      <c r="P347" s="5" t="str">
        <f>IFERROR(__xludf.DUMMYFUNCTION("TEXTJOIN("" | "",TRUE,IF(OR(D347="""",E347="""",I347="""",J347="""",H347=""""),""ফাঁকা ঘর"",""""),IF(AND(C347&lt;&gt;"""",D347&lt;&gt;"""",C347=D347),""gloss=figurative"",""""),IF(LEN(D347)&lt;15,""figurative ছোট"",""""),IF(AND(I347=""Positive"",REGEXMATCH(H347,""মূর্খ|"&amp;"ভণ্ড|প্রতার|অলস|লোভ|স্বার্থ|অক্ষম|অযোগ্য|বোকা|কৃপণ|হিংস"")),""valence-target অমিল"",""""),IF(COUNTIF($B:$B,B347)&gt;1,""ডুপ্লিকেট"",""""))"),"figurative ছোট")</f>
        <v>figurative ছোট</v>
      </c>
      <c r="Q347" s="5" t="str">
        <f t="shared" si="1"/>
        <v>১ আগে দেখো</v>
      </c>
    </row>
    <row r="348">
      <c r="A348" s="4">
        <v>5211.0</v>
      </c>
      <c r="B348" s="2" t="s">
        <v>1671</v>
      </c>
      <c r="C348" s="2" t="s">
        <v>1672</v>
      </c>
      <c r="D348" s="2" t="s">
        <v>1673</v>
      </c>
      <c r="E348" s="2" t="s">
        <v>1674</v>
      </c>
      <c r="F348" s="2" t="b">
        <v>1</v>
      </c>
      <c r="G348" s="2" t="b">
        <v>0</v>
      </c>
      <c r="H348" s="2" t="s">
        <v>37</v>
      </c>
      <c r="I348" s="2" t="s">
        <v>22</v>
      </c>
      <c r="J348" s="2" t="s">
        <v>842</v>
      </c>
      <c r="K348" s="2" t="s">
        <v>495</v>
      </c>
      <c r="L348" s="13" t="s">
        <v>496</v>
      </c>
      <c r="M348" s="2" t="s">
        <v>26</v>
      </c>
      <c r="N348" s="11" t="s">
        <v>576</v>
      </c>
      <c r="O348" s="12" t="s">
        <v>53</v>
      </c>
      <c r="P348" s="5" t="str">
        <f>IFERROR(__xludf.DUMMYFUNCTION("TEXTJOIN("" | "",TRUE,IF(OR(D348="""",E348="""",I348="""",J348="""",H348=""""),""ফাঁকা ঘর"",""""),IF(AND(C348&lt;&gt;"""",D348&lt;&gt;"""",C348=D348),""gloss=figurative"",""""),IF(LEN(D348)&lt;15,""figurative ছোট"",""""),IF(AND(I348=""Positive"",REGEXMATCH(H348,""মূর্খ|"&amp;"ভণ্ড|প্রতার|অলস|লোভ|স্বার্থ|অক্ষম|অযোগ্য|বোকা|কৃপণ|হিংস"")),""valence-target অমিল"",""""),IF(COUNTIF($B:$B,B348)&gt;1,""ডুপ্লিকেট"",""""))"),"figurative ছোট")</f>
        <v>figurative ছোট</v>
      </c>
      <c r="Q348" s="5" t="str">
        <f t="shared" si="1"/>
        <v>১ আগে দেখো</v>
      </c>
    </row>
    <row r="349">
      <c r="A349" s="4">
        <v>5212.0</v>
      </c>
      <c r="B349" s="2" t="s">
        <v>1675</v>
      </c>
      <c r="C349" s="2" t="s">
        <v>1676</v>
      </c>
      <c r="D349" s="2" t="s">
        <v>1677</v>
      </c>
      <c r="E349" s="2" t="s">
        <v>1678</v>
      </c>
      <c r="F349" s="2" t="b">
        <v>1</v>
      </c>
      <c r="G349" s="2" t="b">
        <v>0</v>
      </c>
      <c r="H349" s="2" t="s">
        <v>1284</v>
      </c>
      <c r="I349" s="2" t="s">
        <v>32</v>
      </c>
      <c r="J349" s="2" t="s">
        <v>1679</v>
      </c>
      <c r="K349" s="2" t="s">
        <v>495</v>
      </c>
      <c r="L349" s="13" t="s">
        <v>496</v>
      </c>
      <c r="M349" s="2" t="s">
        <v>26</v>
      </c>
      <c r="N349" s="11" t="s">
        <v>576</v>
      </c>
      <c r="O349" s="12" t="s">
        <v>53</v>
      </c>
      <c r="P349" s="5" t="str">
        <f>IFERROR(__xludf.DUMMYFUNCTION("TEXTJOIN("" | "",TRUE,IF(OR(D349="""",E349="""",I349="""",J349="""",H349=""""),""ফাঁকা ঘর"",""""),IF(AND(C349&lt;&gt;"""",D349&lt;&gt;"""",C349=D349),""gloss=figurative"",""""),IF(LEN(D349)&lt;15,""figurative ছোট"",""""),IF(AND(I349=""Positive"",REGEXMATCH(H349,""মূর্খ|"&amp;"ভণ্ড|প্রতার|অলস|লোভ|স্বার্থ|অক্ষম|অযোগ্য|বোকা|কৃপণ|হিংস"")),""valence-target অমিল"",""""),IF(COUNTIF($B:$B,B349)&gt;1,""ডুপ্লিকেট"",""""))"),"figurative ছোট")</f>
        <v>figurative ছোট</v>
      </c>
      <c r="Q349" s="5" t="str">
        <f t="shared" si="1"/>
        <v>১ আগে দেখো</v>
      </c>
    </row>
    <row r="350">
      <c r="A350" s="4">
        <v>5213.0</v>
      </c>
      <c r="B350" s="2" t="s">
        <v>1680</v>
      </c>
      <c r="C350" s="2" t="s">
        <v>1680</v>
      </c>
      <c r="D350" s="2" t="s">
        <v>1677</v>
      </c>
      <c r="E350" s="2" t="s">
        <v>1681</v>
      </c>
      <c r="F350" s="2" t="b">
        <v>1</v>
      </c>
      <c r="G350" s="2" t="b">
        <v>0</v>
      </c>
      <c r="H350" s="2" t="s">
        <v>1284</v>
      </c>
      <c r="I350" s="2" t="s">
        <v>32</v>
      </c>
      <c r="J350" s="2" t="s">
        <v>1679</v>
      </c>
      <c r="K350" s="2" t="s">
        <v>495</v>
      </c>
      <c r="L350" s="13" t="s">
        <v>496</v>
      </c>
      <c r="M350" s="2" t="s">
        <v>26</v>
      </c>
      <c r="N350" s="11" t="s">
        <v>576</v>
      </c>
      <c r="O350" s="12" t="s">
        <v>53</v>
      </c>
      <c r="P350" s="5" t="str">
        <f>IFERROR(__xludf.DUMMYFUNCTION("TEXTJOIN("" | "",TRUE,IF(OR(D350="""",E350="""",I350="""",J350="""",H350=""""),""ফাঁকা ঘর"",""""),IF(AND(C350&lt;&gt;"""",D350&lt;&gt;"""",C350=D350),""gloss=figurative"",""""),IF(LEN(D350)&lt;15,""figurative ছোট"",""""),IF(AND(I350=""Positive"",REGEXMATCH(H350,""মূর্খ|"&amp;"ভণ্ড|প্রতার|অলস|লোভ|স্বার্থ|অক্ষম|অযোগ্য|বোকা|কৃপণ|হিংস"")),""valence-target অমিল"",""""),IF(COUNTIF($B:$B,B350)&gt;1,""ডুপ্লিকেট"",""""))"),"figurative ছোট")</f>
        <v>figurative ছোট</v>
      </c>
      <c r="Q350" s="5" t="str">
        <f t="shared" si="1"/>
        <v>১ আগে দেখো</v>
      </c>
    </row>
    <row r="351">
      <c r="A351" s="4">
        <v>5215.0</v>
      </c>
      <c r="B351" s="2" t="s">
        <v>1682</v>
      </c>
      <c r="C351" s="2" t="s">
        <v>1683</v>
      </c>
      <c r="D351" s="2" t="s">
        <v>1684</v>
      </c>
      <c r="E351" s="2" t="s">
        <v>1685</v>
      </c>
      <c r="F351" s="2" t="b">
        <v>1</v>
      </c>
      <c r="G351" s="2" t="b">
        <v>0</v>
      </c>
      <c r="H351" s="2" t="s">
        <v>37</v>
      </c>
      <c r="I351" s="2" t="s">
        <v>22</v>
      </c>
      <c r="J351" s="2" t="s">
        <v>1686</v>
      </c>
      <c r="K351" s="2" t="s">
        <v>495</v>
      </c>
      <c r="L351" s="13" t="s">
        <v>496</v>
      </c>
      <c r="M351" s="2" t="s">
        <v>26</v>
      </c>
      <c r="N351" s="11" t="s">
        <v>576</v>
      </c>
      <c r="O351" s="12" t="s">
        <v>53</v>
      </c>
      <c r="P351" s="5" t="str">
        <f>IFERROR(__xludf.DUMMYFUNCTION("TEXTJOIN("" | "",TRUE,IF(OR(D351="""",E351="""",I351="""",J351="""",H351=""""),""ফাঁকা ঘর"",""""),IF(AND(C351&lt;&gt;"""",D351&lt;&gt;"""",C351=D351),""gloss=figurative"",""""),IF(LEN(D351)&lt;15,""figurative ছোট"",""""),IF(AND(I351=""Positive"",REGEXMATCH(H351,""মূর্খ|"&amp;"ভণ্ড|প্রতার|অলস|লোভ|স্বার্থ|অক্ষম|অযোগ্য|বোকা|কৃপণ|হিংস"")),""valence-target অমিল"",""""),IF(COUNTIF($B:$B,B351)&gt;1,""ডুপ্লিকেট"",""""))"),"figurative ছোট")</f>
        <v>figurative ছোট</v>
      </c>
      <c r="Q351" s="5" t="str">
        <f t="shared" si="1"/>
        <v>১ আগে দেখো</v>
      </c>
    </row>
    <row r="352">
      <c r="A352" s="4">
        <v>5216.0</v>
      </c>
      <c r="B352" s="2" t="s">
        <v>1687</v>
      </c>
      <c r="C352" s="2" t="s">
        <v>1688</v>
      </c>
      <c r="D352" s="2" t="s">
        <v>1603</v>
      </c>
      <c r="E352" s="2" t="s">
        <v>1689</v>
      </c>
      <c r="F352" s="2" t="b">
        <v>1</v>
      </c>
      <c r="G352" s="2" t="b">
        <v>0</v>
      </c>
      <c r="H352" s="2" t="s">
        <v>37</v>
      </c>
      <c r="I352" s="2" t="s">
        <v>32</v>
      </c>
      <c r="J352" s="2" t="s">
        <v>1603</v>
      </c>
      <c r="K352" s="2" t="s">
        <v>495</v>
      </c>
      <c r="L352" s="13" t="s">
        <v>496</v>
      </c>
      <c r="M352" s="2" t="s">
        <v>26</v>
      </c>
      <c r="N352" s="11" t="s">
        <v>576</v>
      </c>
      <c r="O352" s="12" t="s">
        <v>53</v>
      </c>
      <c r="P352" s="5" t="str">
        <f>IFERROR(__xludf.DUMMYFUNCTION("TEXTJOIN("" | "",TRUE,IF(OR(D352="""",E352="""",I352="""",J352="""",H352=""""),""ফাঁকা ঘর"",""""),IF(AND(C352&lt;&gt;"""",D352&lt;&gt;"""",C352=D352),""gloss=figurative"",""""),IF(LEN(D352)&lt;15,""figurative ছোট"",""""),IF(AND(I352=""Positive"",REGEXMATCH(H352,""মূর্খ|"&amp;"ভণ্ড|প্রতার|অলস|লোভ|স্বার্থ|অক্ষম|অযোগ্য|বোকা|কৃপণ|হিংস"")),""valence-target অমিল"",""""),IF(COUNTIF($B:$B,B352)&gt;1,""ডুপ্লিকেট"",""""))"),"figurative ছোট")</f>
        <v>figurative ছোট</v>
      </c>
      <c r="Q352" s="5" t="str">
        <f t="shared" si="1"/>
        <v>১ আগে দেখো</v>
      </c>
    </row>
    <row r="353">
      <c r="A353" s="4">
        <v>5217.0</v>
      </c>
      <c r="B353" s="2" t="s">
        <v>1690</v>
      </c>
      <c r="C353" s="2" t="s">
        <v>1691</v>
      </c>
      <c r="D353" s="2" t="s">
        <v>1692</v>
      </c>
      <c r="E353" s="2" t="s">
        <v>1693</v>
      </c>
      <c r="F353" s="2" t="b">
        <v>1</v>
      </c>
      <c r="G353" s="2" t="b">
        <v>0</v>
      </c>
      <c r="H353" s="2" t="s">
        <v>37</v>
      </c>
      <c r="I353" s="2" t="s">
        <v>22</v>
      </c>
      <c r="J353" s="2" t="s">
        <v>1060</v>
      </c>
      <c r="K353" s="2" t="s">
        <v>495</v>
      </c>
      <c r="L353" s="13" t="s">
        <v>496</v>
      </c>
      <c r="M353" s="2" t="s">
        <v>26</v>
      </c>
      <c r="N353" s="11" t="s">
        <v>576</v>
      </c>
      <c r="O353" s="12" t="s">
        <v>53</v>
      </c>
      <c r="P353" s="5" t="str">
        <f>IFERROR(__xludf.DUMMYFUNCTION("TEXTJOIN("" | "",TRUE,IF(OR(D353="""",E353="""",I353="""",J353="""",H353=""""),""ফাঁকা ঘর"",""""),IF(AND(C353&lt;&gt;"""",D353&lt;&gt;"""",C353=D353),""gloss=figurative"",""""),IF(LEN(D353)&lt;15,""figurative ছোট"",""""),IF(AND(I353=""Positive"",REGEXMATCH(H353,""মূর্খ|"&amp;"ভণ্ড|প্রতার|অলস|লোভ|স্বার্থ|অক্ষম|অযোগ্য|বোকা|কৃপণ|হিংস"")),""valence-target অমিল"",""""),IF(COUNTIF($B:$B,B353)&gt;1,""ডুপ্লিকেট"",""""))"),"figurative ছোট")</f>
        <v>figurative ছোট</v>
      </c>
      <c r="Q353" s="5" t="str">
        <f t="shared" si="1"/>
        <v>১ আগে দেখো</v>
      </c>
    </row>
    <row r="354">
      <c r="A354" s="4">
        <v>5221.0</v>
      </c>
      <c r="B354" s="2" t="s">
        <v>1694</v>
      </c>
      <c r="C354" s="2" t="s">
        <v>1694</v>
      </c>
      <c r="D354" s="2" t="s">
        <v>1695</v>
      </c>
      <c r="E354" s="2" t="s">
        <v>1696</v>
      </c>
      <c r="F354" s="2" t="b">
        <v>1</v>
      </c>
      <c r="G354" s="2" t="b">
        <v>0</v>
      </c>
      <c r="H354" s="2" t="s">
        <v>37</v>
      </c>
      <c r="I354" s="2" t="s">
        <v>49</v>
      </c>
      <c r="J354" s="2" t="s">
        <v>225</v>
      </c>
      <c r="K354" s="2" t="s">
        <v>495</v>
      </c>
      <c r="L354" s="13" t="s">
        <v>496</v>
      </c>
      <c r="M354" s="2" t="s">
        <v>26</v>
      </c>
      <c r="N354" s="11" t="s">
        <v>576</v>
      </c>
      <c r="O354" s="12" t="s">
        <v>53</v>
      </c>
      <c r="P354" s="5" t="str">
        <f>IFERROR(__xludf.DUMMYFUNCTION("TEXTJOIN("" | "",TRUE,IF(OR(D354="""",E354="""",I354="""",J354="""",H354=""""),""ফাঁকা ঘর"",""""),IF(AND(C354&lt;&gt;"""",D354&lt;&gt;"""",C354=D354),""gloss=figurative"",""""),IF(LEN(D354)&lt;15,""figurative ছোট"",""""),IF(AND(I354=""Positive"",REGEXMATCH(H354,""মূর্খ|"&amp;"ভণ্ড|প্রতার|অলস|লোভ|স্বার্থ|অক্ষম|অযোগ্য|বোকা|কৃপণ|হিংস"")),""valence-target অমিল"",""""),IF(COUNTIF($B:$B,B354)&gt;1,""ডুপ্লিকেট"",""""))"),"figurative ছোট")</f>
        <v>figurative ছোট</v>
      </c>
      <c r="Q354" s="5" t="str">
        <f t="shared" si="1"/>
        <v>১ আগে দেখো</v>
      </c>
    </row>
    <row r="355">
      <c r="A355" s="4">
        <v>5225.0</v>
      </c>
      <c r="B355" s="2" t="s">
        <v>1697</v>
      </c>
      <c r="C355" s="2" t="s">
        <v>1697</v>
      </c>
      <c r="D355" s="2" t="s">
        <v>1698</v>
      </c>
      <c r="E355" s="2" t="s">
        <v>1699</v>
      </c>
      <c r="F355" s="2" t="b">
        <v>1</v>
      </c>
      <c r="G355" s="2" t="b">
        <v>0</v>
      </c>
      <c r="H355" s="2" t="s">
        <v>37</v>
      </c>
      <c r="I355" s="2" t="s">
        <v>22</v>
      </c>
      <c r="J355" s="2" t="s">
        <v>1700</v>
      </c>
      <c r="K355" s="2" t="s">
        <v>495</v>
      </c>
      <c r="L355" s="13" t="s">
        <v>496</v>
      </c>
      <c r="M355" s="2" t="s">
        <v>26</v>
      </c>
      <c r="N355" s="11" t="s">
        <v>576</v>
      </c>
      <c r="O355" s="12" t="s">
        <v>53</v>
      </c>
      <c r="P355" s="5" t="str">
        <f>IFERROR(__xludf.DUMMYFUNCTION("TEXTJOIN("" | "",TRUE,IF(OR(D355="""",E355="""",I355="""",J355="""",H355=""""),""ফাঁকা ঘর"",""""),IF(AND(C355&lt;&gt;"""",D355&lt;&gt;"""",C355=D355),""gloss=figurative"",""""),IF(LEN(D355)&lt;15,""figurative ছোট"",""""),IF(AND(I355=""Positive"",REGEXMATCH(H355,""মূর্খ|"&amp;"ভণ্ড|প্রতার|অলস|লোভ|স্বার্থ|অক্ষম|অযোগ্য|বোকা|কৃপণ|হিংস"")),""valence-target অমিল"",""""),IF(COUNTIF($B:$B,B355)&gt;1,""ডুপ্লিকেট"",""""))"),"figurative ছোট")</f>
        <v>figurative ছোট</v>
      </c>
      <c r="Q355" s="5" t="str">
        <f t="shared" si="1"/>
        <v>১ আগে দেখো</v>
      </c>
    </row>
    <row r="356">
      <c r="A356" s="4">
        <v>5230.0</v>
      </c>
      <c r="B356" s="2" t="s">
        <v>1701</v>
      </c>
      <c r="C356" s="2" t="s">
        <v>1702</v>
      </c>
      <c r="D356" s="2" t="s">
        <v>1703</v>
      </c>
      <c r="E356" s="2" t="s">
        <v>1704</v>
      </c>
      <c r="F356" s="2" t="b">
        <v>1</v>
      </c>
      <c r="G356" s="2" t="b">
        <v>0</v>
      </c>
      <c r="H356" s="2" t="s">
        <v>749</v>
      </c>
      <c r="I356" s="2" t="s">
        <v>22</v>
      </c>
      <c r="J356" s="2" t="s">
        <v>723</v>
      </c>
      <c r="K356" s="2" t="s">
        <v>495</v>
      </c>
      <c r="L356" s="13" t="s">
        <v>496</v>
      </c>
      <c r="M356" s="2" t="s">
        <v>26</v>
      </c>
      <c r="N356" s="11" t="s">
        <v>576</v>
      </c>
      <c r="O356" s="12" t="s">
        <v>53</v>
      </c>
      <c r="P356" s="5" t="str">
        <f>IFERROR(__xludf.DUMMYFUNCTION("TEXTJOIN("" | "",TRUE,IF(OR(D356="""",E356="""",I356="""",J356="""",H356=""""),""ফাঁকা ঘর"",""""),IF(AND(C356&lt;&gt;"""",D356&lt;&gt;"""",C356=D356),""gloss=figurative"",""""),IF(LEN(D356)&lt;15,""figurative ছোট"",""""),IF(AND(I356=""Positive"",REGEXMATCH(H356,""মূর্খ|"&amp;"ভণ্ড|প্রতার|অলস|লোভ|স্বার্থ|অক্ষম|অযোগ্য|বোকা|কৃপণ|হিংস"")),""valence-target অমিল"",""""),IF(COUNTIF($B:$B,B356)&gt;1,""ডুপ্লিকেট"",""""))"),"figurative ছোট")</f>
        <v>figurative ছোট</v>
      </c>
      <c r="Q356" s="5" t="str">
        <f t="shared" si="1"/>
        <v>১ আগে দেখো</v>
      </c>
    </row>
    <row r="357">
      <c r="A357" s="4">
        <v>5231.0</v>
      </c>
      <c r="B357" s="2" t="s">
        <v>1705</v>
      </c>
      <c r="C357" s="2" t="s">
        <v>1706</v>
      </c>
      <c r="D357" s="2" t="s">
        <v>1707</v>
      </c>
      <c r="E357" s="2" t="s">
        <v>1708</v>
      </c>
      <c r="F357" s="2" t="b">
        <v>1</v>
      </c>
      <c r="G357" s="2" t="b">
        <v>0</v>
      </c>
      <c r="H357" s="2" t="s">
        <v>37</v>
      </c>
      <c r="I357" s="2" t="s">
        <v>22</v>
      </c>
      <c r="J357" s="2" t="s">
        <v>665</v>
      </c>
      <c r="K357" s="2" t="s">
        <v>495</v>
      </c>
      <c r="L357" s="13" t="s">
        <v>496</v>
      </c>
      <c r="M357" s="2" t="s">
        <v>26</v>
      </c>
      <c r="N357" s="11" t="s">
        <v>576</v>
      </c>
      <c r="O357" s="12" t="s">
        <v>53</v>
      </c>
      <c r="P357" s="5" t="str">
        <f>IFERROR(__xludf.DUMMYFUNCTION("TEXTJOIN("" | "",TRUE,IF(OR(D357="""",E357="""",I357="""",J357="""",H357=""""),""ফাঁকা ঘর"",""""),IF(AND(C357&lt;&gt;"""",D357&lt;&gt;"""",C357=D357),""gloss=figurative"",""""),IF(LEN(D357)&lt;15,""figurative ছোট"",""""),IF(AND(I357=""Positive"",REGEXMATCH(H357,""মূর্খ|"&amp;"ভণ্ড|প্রতার|অলস|লোভ|স্বার্থ|অক্ষম|অযোগ্য|বোকা|কৃপণ|হিংস"")),""valence-target অমিল"",""""),IF(COUNTIF($B:$B,B357)&gt;1,""ডুপ্লিকেট"",""""))"),"figurative ছোট")</f>
        <v>figurative ছোট</v>
      </c>
      <c r="Q357" s="5" t="str">
        <f t="shared" si="1"/>
        <v>১ আগে দেখো</v>
      </c>
    </row>
    <row r="358">
      <c r="A358" s="4">
        <v>5232.0</v>
      </c>
      <c r="B358" s="2" t="s">
        <v>1709</v>
      </c>
      <c r="C358" s="2" t="s">
        <v>1709</v>
      </c>
      <c r="D358" s="2" t="s">
        <v>1710</v>
      </c>
      <c r="E358" s="2" t="s">
        <v>1711</v>
      </c>
      <c r="F358" s="2" t="b">
        <v>1</v>
      </c>
      <c r="G358" s="2" t="b">
        <v>0</v>
      </c>
      <c r="H358" s="2" t="s">
        <v>37</v>
      </c>
      <c r="I358" s="2" t="s">
        <v>22</v>
      </c>
      <c r="J358" s="2" t="s">
        <v>1712</v>
      </c>
      <c r="K358" s="2" t="s">
        <v>495</v>
      </c>
      <c r="L358" s="13" t="s">
        <v>496</v>
      </c>
      <c r="M358" s="2" t="s">
        <v>26</v>
      </c>
      <c r="N358" s="11" t="s">
        <v>576</v>
      </c>
      <c r="O358" s="12" t="s">
        <v>53</v>
      </c>
      <c r="P358" s="5" t="str">
        <f>IFERROR(__xludf.DUMMYFUNCTION("TEXTJOIN("" | "",TRUE,IF(OR(D358="""",E358="""",I358="""",J358="""",H358=""""),""ফাঁকা ঘর"",""""),IF(AND(C358&lt;&gt;"""",D358&lt;&gt;"""",C358=D358),""gloss=figurative"",""""),IF(LEN(D358)&lt;15,""figurative ছোট"",""""),IF(AND(I358=""Positive"",REGEXMATCH(H358,""মূর্খ|"&amp;"ভণ্ড|প্রতার|অলস|লোভ|স্বার্থ|অক্ষম|অযোগ্য|বোকা|কৃপণ|হিংস"")),""valence-target অমিল"",""""),IF(COUNTIF($B:$B,B358)&gt;1,""ডুপ্লিকেট"",""""))"),"figurative ছোট")</f>
        <v>figurative ছোট</v>
      </c>
      <c r="Q358" s="5" t="str">
        <f t="shared" si="1"/>
        <v>১ আগে দেখো</v>
      </c>
    </row>
    <row r="359">
      <c r="A359" s="4">
        <v>5234.0</v>
      </c>
      <c r="B359" s="2" t="s">
        <v>1713</v>
      </c>
      <c r="C359" s="2" t="s">
        <v>1714</v>
      </c>
      <c r="D359" s="2" t="s">
        <v>1715</v>
      </c>
      <c r="E359" s="2" t="s">
        <v>1716</v>
      </c>
      <c r="F359" s="2" t="b">
        <v>1</v>
      </c>
      <c r="G359" s="2" t="b">
        <v>0</v>
      </c>
      <c r="H359" s="2" t="s">
        <v>37</v>
      </c>
      <c r="I359" s="2" t="s">
        <v>22</v>
      </c>
      <c r="J359" s="2" t="s">
        <v>1717</v>
      </c>
      <c r="K359" s="2" t="s">
        <v>495</v>
      </c>
      <c r="L359" s="13" t="s">
        <v>496</v>
      </c>
      <c r="M359" s="2" t="s">
        <v>26</v>
      </c>
      <c r="N359" s="11" t="s">
        <v>576</v>
      </c>
      <c r="O359" s="12" t="s">
        <v>53</v>
      </c>
      <c r="P359" s="5" t="str">
        <f>IFERROR(__xludf.DUMMYFUNCTION("TEXTJOIN("" | "",TRUE,IF(OR(D359="""",E359="""",I359="""",J359="""",H359=""""),""ফাঁকা ঘর"",""""),IF(AND(C359&lt;&gt;"""",D359&lt;&gt;"""",C359=D359),""gloss=figurative"",""""),IF(LEN(D359)&lt;15,""figurative ছোট"",""""),IF(AND(I359=""Positive"",REGEXMATCH(H359,""মূর্খ|"&amp;"ভণ্ড|প্রতার|অলস|লোভ|স্বার্থ|অক্ষম|অযোগ্য|বোকা|কৃপণ|হিংস"")),""valence-target অমিল"",""""),IF(COUNTIF($B:$B,B359)&gt;1,""ডুপ্লিকেট"",""""))"),"figurative ছোট")</f>
        <v>figurative ছোট</v>
      </c>
      <c r="Q359" s="5" t="str">
        <f t="shared" si="1"/>
        <v>১ আগে দেখো</v>
      </c>
    </row>
    <row r="360">
      <c r="A360" s="4">
        <v>5237.0</v>
      </c>
      <c r="B360" s="2" t="s">
        <v>1718</v>
      </c>
      <c r="C360" s="2" t="s">
        <v>1719</v>
      </c>
      <c r="D360" s="2" t="s">
        <v>1720</v>
      </c>
      <c r="E360" s="2" t="s">
        <v>1721</v>
      </c>
      <c r="F360" s="2" t="b">
        <v>1</v>
      </c>
      <c r="G360" s="2" t="b">
        <v>0</v>
      </c>
      <c r="H360" s="2" t="s">
        <v>37</v>
      </c>
      <c r="I360" s="2" t="s">
        <v>22</v>
      </c>
      <c r="J360" s="2" t="s">
        <v>842</v>
      </c>
      <c r="K360" s="2" t="s">
        <v>495</v>
      </c>
      <c r="L360" s="13" t="s">
        <v>496</v>
      </c>
      <c r="M360" s="2" t="s">
        <v>26</v>
      </c>
      <c r="N360" s="11" t="s">
        <v>576</v>
      </c>
      <c r="O360" s="12" t="s">
        <v>53</v>
      </c>
      <c r="P360" s="5" t="str">
        <f>IFERROR(__xludf.DUMMYFUNCTION("TEXTJOIN("" | "",TRUE,IF(OR(D360="""",E360="""",I360="""",J360="""",H360=""""),""ফাঁকা ঘর"",""""),IF(AND(C360&lt;&gt;"""",D360&lt;&gt;"""",C360=D360),""gloss=figurative"",""""),IF(LEN(D360)&lt;15,""figurative ছোট"",""""),IF(AND(I360=""Positive"",REGEXMATCH(H360,""মূর্খ|"&amp;"ভণ্ড|প্রতার|অলস|লোভ|স্বার্থ|অক্ষম|অযোগ্য|বোকা|কৃপণ|হিংস"")),""valence-target অমিল"",""""),IF(COUNTIF($B:$B,B360)&gt;1,""ডুপ্লিকেট"",""""))"),"figurative ছোট")</f>
        <v>figurative ছোট</v>
      </c>
      <c r="Q360" s="5" t="str">
        <f t="shared" si="1"/>
        <v>১ আগে দেখো</v>
      </c>
    </row>
    <row r="361">
      <c r="A361" s="4">
        <v>5238.0</v>
      </c>
      <c r="B361" s="2" t="s">
        <v>1722</v>
      </c>
      <c r="C361" s="2" t="s">
        <v>1723</v>
      </c>
      <c r="D361" s="2" t="s">
        <v>1660</v>
      </c>
      <c r="E361" s="2" t="s">
        <v>1724</v>
      </c>
      <c r="F361" s="2" t="b">
        <v>1</v>
      </c>
      <c r="G361" s="2" t="b">
        <v>0</v>
      </c>
      <c r="H361" s="2" t="s">
        <v>37</v>
      </c>
      <c r="I361" s="2" t="s">
        <v>49</v>
      </c>
      <c r="J361" s="2" t="s">
        <v>565</v>
      </c>
      <c r="K361" s="2" t="s">
        <v>495</v>
      </c>
      <c r="L361" s="13" t="s">
        <v>496</v>
      </c>
      <c r="M361" s="2" t="s">
        <v>26</v>
      </c>
      <c r="N361" s="11" t="s">
        <v>576</v>
      </c>
      <c r="O361" s="12" t="s">
        <v>53</v>
      </c>
      <c r="P361" s="5" t="str">
        <f>IFERROR(__xludf.DUMMYFUNCTION("TEXTJOIN("" | "",TRUE,IF(OR(D361="""",E361="""",I361="""",J361="""",H361=""""),""ফাঁকা ঘর"",""""),IF(AND(C361&lt;&gt;"""",D361&lt;&gt;"""",C361=D361),""gloss=figurative"",""""),IF(LEN(D361)&lt;15,""figurative ছোট"",""""),IF(AND(I361=""Positive"",REGEXMATCH(H361,""মূর্খ|"&amp;"ভণ্ড|প্রতার|অলস|লোভ|স্বার্থ|অক্ষম|অযোগ্য|বোকা|কৃপণ|হিংস"")),""valence-target অমিল"",""""),IF(COUNTIF($B:$B,B361)&gt;1,""ডুপ্লিকেট"",""""))"),"figurative ছোট")</f>
        <v>figurative ছোট</v>
      </c>
      <c r="Q361" s="5" t="str">
        <f t="shared" si="1"/>
        <v>১ আগে দেখো</v>
      </c>
    </row>
    <row r="362">
      <c r="A362" s="4">
        <v>5239.0</v>
      </c>
      <c r="B362" s="2" t="s">
        <v>1725</v>
      </c>
      <c r="C362" s="2" t="s">
        <v>1726</v>
      </c>
      <c r="D362" s="2" t="s">
        <v>1727</v>
      </c>
      <c r="E362" s="2" t="s">
        <v>1728</v>
      </c>
      <c r="F362" s="2" t="b">
        <v>1</v>
      </c>
      <c r="G362" s="2" t="b">
        <v>0</v>
      </c>
      <c r="H362" s="2" t="s">
        <v>37</v>
      </c>
      <c r="I362" s="2" t="s">
        <v>49</v>
      </c>
      <c r="J362" s="2" t="s">
        <v>1060</v>
      </c>
      <c r="K362" s="2" t="s">
        <v>495</v>
      </c>
      <c r="L362" s="13" t="s">
        <v>496</v>
      </c>
      <c r="M362" s="2" t="s">
        <v>26</v>
      </c>
      <c r="N362" s="11" t="s">
        <v>576</v>
      </c>
      <c r="O362" s="12" t="s">
        <v>53</v>
      </c>
      <c r="P362" s="5" t="str">
        <f>IFERROR(__xludf.DUMMYFUNCTION("TEXTJOIN("" | "",TRUE,IF(OR(D362="""",E362="""",I362="""",J362="""",H362=""""),""ফাঁকা ঘর"",""""),IF(AND(C362&lt;&gt;"""",D362&lt;&gt;"""",C362=D362),""gloss=figurative"",""""),IF(LEN(D362)&lt;15,""figurative ছোট"",""""),IF(AND(I362=""Positive"",REGEXMATCH(H362,""মূর্খ|"&amp;"ভণ্ড|প্রতার|অলস|লোভ|স্বার্থ|অক্ষম|অযোগ্য|বোকা|কৃপণ|হিংস"")),""valence-target অমিল"",""""),IF(COUNTIF($B:$B,B362)&gt;1,""ডুপ্লিকেট"",""""))"),"figurative ছোট")</f>
        <v>figurative ছোট</v>
      </c>
      <c r="Q362" s="5" t="str">
        <f t="shared" si="1"/>
        <v>১ আগে দেখো</v>
      </c>
    </row>
    <row r="363">
      <c r="A363" s="4">
        <v>5242.0</v>
      </c>
      <c r="B363" s="2" t="s">
        <v>1729</v>
      </c>
      <c r="C363" s="2" t="s">
        <v>1730</v>
      </c>
      <c r="D363" s="2" t="s">
        <v>1259</v>
      </c>
      <c r="E363" s="2" t="s">
        <v>1731</v>
      </c>
      <c r="F363" s="2" t="b">
        <v>1</v>
      </c>
      <c r="G363" s="2" t="b">
        <v>0</v>
      </c>
      <c r="H363" s="2" t="s">
        <v>37</v>
      </c>
      <c r="I363" s="2" t="s">
        <v>49</v>
      </c>
      <c r="J363" s="2" t="s">
        <v>1259</v>
      </c>
      <c r="K363" s="2" t="s">
        <v>495</v>
      </c>
      <c r="L363" s="13" t="s">
        <v>496</v>
      </c>
      <c r="M363" s="2" t="s">
        <v>26</v>
      </c>
      <c r="N363" s="11" t="s">
        <v>576</v>
      </c>
      <c r="O363" s="12" t="s">
        <v>53</v>
      </c>
      <c r="P363" s="5" t="str">
        <f>IFERROR(__xludf.DUMMYFUNCTION("TEXTJOIN("" | "",TRUE,IF(OR(D363="""",E363="""",I363="""",J363="""",H363=""""),""ফাঁকা ঘর"",""""),IF(AND(C363&lt;&gt;"""",D363&lt;&gt;"""",C363=D363),""gloss=figurative"",""""),IF(LEN(D363)&lt;15,""figurative ছোট"",""""),IF(AND(I363=""Positive"",REGEXMATCH(H363,""মূর্খ|"&amp;"ভণ্ড|প্রতার|অলস|লোভ|স্বার্থ|অক্ষম|অযোগ্য|বোকা|কৃপণ|হিংস"")),""valence-target অমিল"",""""),IF(COUNTIF($B:$B,B363)&gt;1,""ডুপ্লিকেট"",""""))"),"figurative ছোট")</f>
        <v>figurative ছোট</v>
      </c>
      <c r="Q363" s="5" t="str">
        <f t="shared" si="1"/>
        <v>১ আগে দেখো</v>
      </c>
    </row>
    <row r="364">
      <c r="A364" s="4">
        <v>5244.0</v>
      </c>
      <c r="B364" s="2" t="s">
        <v>1732</v>
      </c>
      <c r="C364" s="2" t="s">
        <v>1733</v>
      </c>
      <c r="D364" s="2" t="s">
        <v>1734</v>
      </c>
      <c r="E364" s="2" t="s">
        <v>1735</v>
      </c>
      <c r="F364" s="2" t="b">
        <v>1</v>
      </c>
      <c r="G364" s="2" t="b">
        <v>0</v>
      </c>
      <c r="H364" s="2" t="s">
        <v>37</v>
      </c>
      <c r="I364" s="2" t="s">
        <v>32</v>
      </c>
      <c r="J364" s="2" t="s">
        <v>538</v>
      </c>
      <c r="K364" s="2" t="s">
        <v>495</v>
      </c>
      <c r="L364" s="13" t="s">
        <v>496</v>
      </c>
      <c r="M364" s="2" t="s">
        <v>26</v>
      </c>
      <c r="N364" s="11" t="s">
        <v>1736</v>
      </c>
      <c r="O364" s="12" t="s">
        <v>53</v>
      </c>
      <c r="P364" s="5" t="str">
        <f>IFERROR(__xludf.DUMMYFUNCTION("TEXTJOIN("" | "",TRUE,IF(OR(D364="""",E364="""",I364="""",J364="""",H364=""""),""ফাঁকা ঘর"",""""),IF(AND(C364&lt;&gt;"""",D364&lt;&gt;"""",C364=D364),""gloss=figurative"",""""),IF(LEN(D364)&lt;15,""figurative ছোট"",""""),IF(AND(I364=""Positive"",REGEXMATCH(H364,""মূর্খ|"&amp;"ভণ্ড|প্রতার|অলস|লোভ|স্বার্থ|অক্ষম|অযোগ্য|বোকা|কৃপণ|হিংস"")),""valence-target অমিল"",""""),IF(COUNTIF($B:$B,B364)&gt;1,""ডুপ্লিকেট"",""""))"),"figurative ছোট")</f>
        <v>figurative ছোট</v>
      </c>
      <c r="Q364" s="5" t="str">
        <f t="shared" si="1"/>
        <v>১ আগে দেখো</v>
      </c>
    </row>
    <row r="365">
      <c r="A365" s="4">
        <v>5245.0</v>
      </c>
      <c r="B365" s="2" t="s">
        <v>1737</v>
      </c>
      <c r="C365" s="2" t="s">
        <v>1737</v>
      </c>
      <c r="D365" s="2" t="s">
        <v>1738</v>
      </c>
      <c r="E365" s="2" t="s">
        <v>1739</v>
      </c>
      <c r="F365" s="2" t="b">
        <v>1</v>
      </c>
      <c r="G365" s="2" t="b">
        <v>0</v>
      </c>
      <c r="H365" s="2" t="s">
        <v>37</v>
      </c>
      <c r="I365" s="2" t="s">
        <v>49</v>
      </c>
      <c r="J365" s="2" t="s">
        <v>1740</v>
      </c>
      <c r="K365" s="2" t="s">
        <v>495</v>
      </c>
      <c r="L365" s="13" t="s">
        <v>496</v>
      </c>
      <c r="M365" s="2" t="s">
        <v>26</v>
      </c>
      <c r="N365" s="11" t="s">
        <v>576</v>
      </c>
      <c r="O365" s="12" t="s">
        <v>53</v>
      </c>
      <c r="P365" s="5" t="str">
        <f>IFERROR(__xludf.DUMMYFUNCTION("TEXTJOIN("" | "",TRUE,IF(OR(D365="""",E365="""",I365="""",J365="""",H365=""""),""ফাঁকা ঘর"",""""),IF(AND(C365&lt;&gt;"""",D365&lt;&gt;"""",C365=D365),""gloss=figurative"",""""),IF(LEN(D365)&lt;15,""figurative ছোট"",""""),IF(AND(I365=""Positive"",REGEXMATCH(H365,""মূর্খ|"&amp;"ভণ্ড|প্রতার|অলস|লোভ|স্বার্থ|অক্ষম|অযোগ্য|বোকা|কৃপণ|হিংস"")),""valence-target অমিল"",""""),IF(COUNTIF($B:$B,B365)&gt;1,""ডুপ্লিকেট"",""""))"),"figurative ছোট")</f>
        <v>figurative ছোট</v>
      </c>
      <c r="Q365" s="5" t="str">
        <f t="shared" si="1"/>
        <v>১ আগে দেখো</v>
      </c>
    </row>
    <row r="366">
      <c r="A366" s="4">
        <v>5246.0</v>
      </c>
      <c r="B366" s="2" t="s">
        <v>1741</v>
      </c>
      <c r="C366" s="2" t="s">
        <v>1741</v>
      </c>
      <c r="D366" s="2" t="s">
        <v>1742</v>
      </c>
      <c r="E366" s="2" t="s">
        <v>1743</v>
      </c>
      <c r="F366" s="2" t="b">
        <v>1</v>
      </c>
      <c r="G366" s="2" t="b">
        <v>0</v>
      </c>
      <c r="H366" s="2" t="s">
        <v>37</v>
      </c>
      <c r="I366" s="2" t="s">
        <v>22</v>
      </c>
      <c r="J366" s="2" t="s">
        <v>1744</v>
      </c>
      <c r="K366" s="2" t="s">
        <v>495</v>
      </c>
      <c r="L366" s="13" t="s">
        <v>496</v>
      </c>
      <c r="M366" s="2" t="s">
        <v>26</v>
      </c>
      <c r="N366" s="11" t="s">
        <v>576</v>
      </c>
      <c r="O366" s="12" t="s">
        <v>53</v>
      </c>
      <c r="P366" s="5" t="str">
        <f>IFERROR(__xludf.DUMMYFUNCTION("TEXTJOIN("" | "",TRUE,IF(OR(D366="""",E366="""",I366="""",J366="""",H366=""""),""ফাঁকা ঘর"",""""),IF(AND(C366&lt;&gt;"""",D366&lt;&gt;"""",C366=D366),""gloss=figurative"",""""),IF(LEN(D366)&lt;15,""figurative ছোট"",""""),IF(AND(I366=""Positive"",REGEXMATCH(H366,""মূর্খ|"&amp;"ভণ্ড|প্রতার|অলস|লোভ|স্বার্থ|অক্ষম|অযোগ্য|বোকা|কৃপণ|হিংস"")),""valence-target অমিল"",""""),IF(COUNTIF($B:$B,B366)&gt;1,""ডুপ্লিকেট"",""""))"),"figurative ছোট")</f>
        <v>figurative ছোট</v>
      </c>
      <c r="Q366" s="5" t="str">
        <f t="shared" si="1"/>
        <v>১ আগে দেখো</v>
      </c>
    </row>
    <row r="367">
      <c r="A367" s="4">
        <v>5249.0</v>
      </c>
      <c r="B367" s="2" t="s">
        <v>1745</v>
      </c>
      <c r="C367" s="2" t="s">
        <v>1746</v>
      </c>
      <c r="D367" s="2" t="s">
        <v>1747</v>
      </c>
      <c r="E367" s="2" t="s">
        <v>1748</v>
      </c>
      <c r="F367" s="2" t="b">
        <v>1</v>
      </c>
      <c r="G367" s="2" t="b">
        <v>0</v>
      </c>
      <c r="H367" s="2" t="s">
        <v>37</v>
      </c>
      <c r="I367" s="2" t="s">
        <v>22</v>
      </c>
      <c r="J367" s="2" t="s">
        <v>1656</v>
      </c>
      <c r="K367" s="2" t="s">
        <v>495</v>
      </c>
      <c r="L367" s="13" t="s">
        <v>496</v>
      </c>
      <c r="M367" s="2" t="s">
        <v>26</v>
      </c>
      <c r="N367" s="11" t="s">
        <v>576</v>
      </c>
      <c r="O367" s="12" t="s">
        <v>53</v>
      </c>
      <c r="P367" s="5" t="str">
        <f>IFERROR(__xludf.DUMMYFUNCTION("TEXTJOIN("" | "",TRUE,IF(OR(D367="""",E367="""",I367="""",J367="""",H367=""""),""ফাঁকা ঘর"",""""),IF(AND(C367&lt;&gt;"""",D367&lt;&gt;"""",C367=D367),""gloss=figurative"",""""),IF(LEN(D367)&lt;15,""figurative ছোট"",""""),IF(AND(I367=""Positive"",REGEXMATCH(H367,""মূর্খ|"&amp;"ভণ্ড|প্রতার|অলস|লোভ|স্বার্থ|অক্ষম|অযোগ্য|বোকা|কৃপণ|হিংস"")),""valence-target অমিল"",""""),IF(COUNTIF($B:$B,B367)&gt;1,""ডুপ্লিকেট"",""""))"),"figurative ছোট")</f>
        <v>figurative ছোট</v>
      </c>
      <c r="Q367" s="5" t="str">
        <f t="shared" si="1"/>
        <v>১ আগে দেখো</v>
      </c>
    </row>
    <row r="368">
      <c r="A368" s="4">
        <v>5250.0</v>
      </c>
      <c r="B368" s="2" t="s">
        <v>1749</v>
      </c>
      <c r="C368" s="2" t="s">
        <v>1750</v>
      </c>
      <c r="D368" s="2" t="s">
        <v>1751</v>
      </c>
      <c r="E368" s="2" t="s">
        <v>1752</v>
      </c>
      <c r="F368" s="2" t="b">
        <v>1</v>
      </c>
      <c r="G368" s="2" t="b">
        <v>0</v>
      </c>
      <c r="H368" s="2" t="s">
        <v>37</v>
      </c>
      <c r="I368" s="2" t="s">
        <v>49</v>
      </c>
      <c r="J368" s="2" t="s">
        <v>1584</v>
      </c>
      <c r="K368" s="2" t="s">
        <v>495</v>
      </c>
      <c r="L368" s="13" t="s">
        <v>496</v>
      </c>
      <c r="M368" s="2" t="s">
        <v>26</v>
      </c>
      <c r="N368" s="11" t="s">
        <v>576</v>
      </c>
      <c r="O368" s="12" t="s">
        <v>53</v>
      </c>
      <c r="P368" s="5" t="str">
        <f>IFERROR(__xludf.DUMMYFUNCTION("TEXTJOIN("" | "",TRUE,IF(OR(D368="""",E368="""",I368="""",J368="""",H368=""""),""ফাঁকা ঘর"",""""),IF(AND(C368&lt;&gt;"""",D368&lt;&gt;"""",C368=D368),""gloss=figurative"",""""),IF(LEN(D368)&lt;15,""figurative ছোট"",""""),IF(AND(I368=""Positive"",REGEXMATCH(H368,""মূর্খ|"&amp;"ভণ্ড|প্রতার|অলস|লোভ|স্বার্থ|অক্ষম|অযোগ্য|বোকা|কৃপণ|হিংস"")),""valence-target অমিল"",""""),IF(COUNTIF($B:$B,B368)&gt;1,""ডুপ্লিকেট"",""""))"),"figurative ছোট")</f>
        <v>figurative ছোট</v>
      </c>
      <c r="Q368" s="5" t="str">
        <f t="shared" si="1"/>
        <v>১ আগে দেখো</v>
      </c>
    </row>
    <row r="369">
      <c r="A369" s="4">
        <v>5252.0</v>
      </c>
      <c r="B369" s="2" t="s">
        <v>1753</v>
      </c>
      <c r="C369" s="2" t="s">
        <v>1754</v>
      </c>
      <c r="D369" s="2" t="s">
        <v>1755</v>
      </c>
      <c r="E369" s="2" t="s">
        <v>1756</v>
      </c>
      <c r="F369" s="2" t="b">
        <v>1</v>
      </c>
      <c r="G369" s="2" t="b">
        <v>0</v>
      </c>
      <c r="H369" s="2" t="s">
        <v>37</v>
      </c>
      <c r="I369" s="2" t="s">
        <v>49</v>
      </c>
      <c r="J369" s="2" t="s">
        <v>1740</v>
      </c>
      <c r="K369" s="2" t="s">
        <v>495</v>
      </c>
      <c r="L369" s="13" t="s">
        <v>496</v>
      </c>
      <c r="M369" s="2" t="s">
        <v>26</v>
      </c>
      <c r="N369" s="11" t="s">
        <v>576</v>
      </c>
      <c r="O369" s="12" t="s">
        <v>53</v>
      </c>
      <c r="P369" s="5" t="str">
        <f>IFERROR(__xludf.DUMMYFUNCTION("TEXTJOIN("" | "",TRUE,IF(OR(D369="""",E369="""",I369="""",J369="""",H369=""""),""ফাঁকা ঘর"",""""),IF(AND(C369&lt;&gt;"""",D369&lt;&gt;"""",C369=D369),""gloss=figurative"",""""),IF(LEN(D369)&lt;15,""figurative ছোট"",""""),IF(AND(I369=""Positive"",REGEXMATCH(H369,""মূর্খ|"&amp;"ভণ্ড|প্রতার|অলস|লোভ|স্বার্থ|অক্ষম|অযোগ্য|বোকা|কৃপণ|হিংস"")),""valence-target অমিল"",""""),IF(COUNTIF($B:$B,B369)&gt;1,""ডুপ্লিকেট"",""""))"),"figurative ছোট")</f>
        <v>figurative ছোট</v>
      </c>
      <c r="Q369" s="5" t="str">
        <f t="shared" si="1"/>
        <v>১ আগে দেখো</v>
      </c>
    </row>
    <row r="370">
      <c r="A370" s="4">
        <v>5253.0</v>
      </c>
      <c r="B370" s="2" t="s">
        <v>1757</v>
      </c>
      <c r="C370" s="2" t="s">
        <v>1758</v>
      </c>
      <c r="D370" s="2" t="s">
        <v>1759</v>
      </c>
      <c r="E370" s="2" t="s">
        <v>1760</v>
      </c>
      <c r="F370" s="2" t="b">
        <v>1</v>
      </c>
      <c r="G370" s="2" t="b">
        <v>0</v>
      </c>
      <c r="H370" s="2" t="s">
        <v>37</v>
      </c>
      <c r="I370" s="2" t="s">
        <v>32</v>
      </c>
      <c r="J370" s="2" t="s">
        <v>690</v>
      </c>
      <c r="K370" s="2" t="s">
        <v>495</v>
      </c>
      <c r="L370" s="13" t="s">
        <v>496</v>
      </c>
      <c r="M370" s="2" t="s">
        <v>26</v>
      </c>
      <c r="N370" s="11" t="s">
        <v>576</v>
      </c>
      <c r="O370" s="12" t="s">
        <v>53</v>
      </c>
      <c r="P370" s="5" t="str">
        <f>IFERROR(__xludf.DUMMYFUNCTION("TEXTJOIN("" | "",TRUE,IF(OR(D370="""",E370="""",I370="""",J370="""",H370=""""),""ফাঁকা ঘর"",""""),IF(AND(C370&lt;&gt;"""",D370&lt;&gt;"""",C370=D370),""gloss=figurative"",""""),IF(LEN(D370)&lt;15,""figurative ছোট"",""""),IF(AND(I370=""Positive"",REGEXMATCH(H370,""মূর্খ|"&amp;"ভণ্ড|প্রতার|অলস|লোভ|স্বার্থ|অক্ষম|অযোগ্য|বোকা|কৃপণ|হিংস"")),""valence-target অমিল"",""""),IF(COUNTIF($B:$B,B370)&gt;1,""ডুপ্লিকেট"",""""))"),"figurative ছোট")</f>
        <v>figurative ছোট</v>
      </c>
      <c r="Q370" s="5" t="str">
        <f t="shared" si="1"/>
        <v>১ আগে দেখো</v>
      </c>
    </row>
    <row r="371">
      <c r="A371" s="4">
        <v>5254.0</v>
      </c>
      <c r="B371" s="2" t="s">
        <v>1761</v>
      </c>
      <c r="C371" s="2" t="s">
        <v>1762</v>
      </c>
      <c r="D371" s="2" t="s">
        <v>1763</v>
      </c>
      <c r="E371" s="2" t="s">
        <v>1764</v>
      </c>
      <c r="F371" s="2" t="b">
        <v>1</v>
      </c>
      <c r="G371" s="2" t="b">
        <v>0</v>
      </c>
      <c r="H371" s="2" t="s">
        <v>37</v>
      </c>
      <c r="I371" s="2" t="s">
        <v>32</v>
      </c>
      <c r="J371" s="2" t="s">
        <v>1765</v>
      </c>
      <c r="K371" s="2" t="s">
        <v>495</v>
      </c>
      <c r="L371" s="13" t="s">
        <v>496</v>
      </c>
      <c r="M371" s="2" t="s">
        <v>26</v>
      </c>
      <c r="N371" s="11" t="s">
        <v>576</v>
      </c>
      <c r="O371" s="12" t="s">
        <v>53</v>
      </c>
      <c r="P371" s="5" t="str">
        <f>IFERROR(__xludf.DUMMYFUNCTION("TEXTJOIN("" | "",TRUE,IF(OR(D371="""",E371="""",I371="""",J371="""",H371=""""),""ফাঁকা ঘর"",""""),IF(AND(C371&lt;&gt;"""",D371&lt;&gt;"""",C371=D371),""gloss=figurative"",""""),IF(LEN(D371)&lt;15,""figurative ছোট"",""""),IF(AND(I371=""Positive"",REGEXMATCH(H371,""মূর্খ|"&amp;"ভণ্ড|প্রতার|অলস|লোভ|স্বার্থ|অক্ষম|অযোগ্য|বোকা|কৃপণ|হিংস"")),""valence-target অমিল"",""""),IF(COUNTIF($B:$B,B371)&gt;1,""ডুপ্লিকেট"",""""))"),"figurative ছোট")</f>
        <v>figurative ছোট</v>
      </c>
      <c r="Q371" s="5" t="str">
        <f t="shared" si="1"/>
        <v>১ আগে দেখো</v>
      </c>
    </row>
    <row r="372">
      <c r="A372" s="4">
        <v>5257.0</v>
      </c>
      <c r="B372" s="2" t="s">
        <v>1766</v>
      </c>
      <c r="C372" s="2" t="s">
        <v>1767</v>
      </c>
      <c r="D372" s="2" t="s">
        <v>1768</v>
      </c>
      <c r="E372" s="2" t="s">
        <v>1769</v>
      </c>
      <c r="F372" s="2" t="b">
        <v>1</v>
      </c>
      <c r="G372" s="2" t="b">
        <v>0</v>
      </c>
      <c r="H372" s="2" t="s">
        <v>37</v>
      </c>
      <c r="I372" s="2" t="s">
        <v>49</v>
      </c>
      <c r="J372" s="2" t="s">
        <v>1770</v>
      </c>
      <c r="K372" s="2" t="s">
        <v>495</v>
      </c>
      <c r="L372" s="13" t="s">
        <v>496</v>
      </c>
      <c r="M372" s="2" t="s">
        <v>26</v>
      </c>
      <c r="N372" s="11" t="s">
        <v>576</v>
      </c>
      <c r="O372" s="12" t="s">
        <v>53</v>
      </c>
      <c r="P372" s="5" t="str">
        <f>IFERROR(__xludf.DUMMYFUNCTION("TEXTJOIN("" | "",TRUE,IF(OR(D372="""",E372="""",I372="""",J372="""",H372=""""),""ফাঁকা ঘর"",""""),IF(AND(C372&lt;&gt;"""",D372&lt;&gt;"""",C372=D372),""gloss=figurative"",""""),IF(LEN(D372)&lt;15,""figurative ছোট"",""""),IF(AND(I372=""Positive"",REGEXMATCH(H372,""মূর্খ|"&amp;"ভণ্ড|প্রতার|অলস|লোভ|স্বার্থ|অক্ষম|অযোগ্য|বোকা|কৃপণ|হিংস"")),""valence-target অমিল"",""""),IF(COUNTIF($B:$B,B372)&gt;1,""ডুপ্লিকেট"",""""))"),"figurative ছোট")</f>
        <v>figurative ছোট</v>
      </c>
      <c r="Q372" s="5" t="str">
        <f t="shared" si="1"/>
        <v>১ আগে দেখো</v>
      </c>
    </row>
    <row r="373">
      <c r="A373" s="4">
        <v>5258.0</v>
      </c>
      <c r="B373" s="2" t="s">
        <v>1771</v>
      </c>
      <c r="C373" s="2" t="s">
        <v>1772</v>
      </c>
      <c r="D373" s="2" t="s">
        <v>1773</v>
      </c>
      <c r="E373" s="2" t="s">
        <v>1774</v>
      </c>
      <c r="F373" s="2" t="b">
        <v>1</v>
      </c>
      <c r="G373" s="2" t="b">
        <v>0</v>
      </c>
      <c r="H373" s="2" t="s">
        <v>37</v>
      </c>
      <c r="I373" s="2" t="s">
        <v>22</v>
      </c>
      <c r="J373" s="2" t="s">
        <v>1775</v>
      </c>
      <c r="K373" s="2" t="s">
        <v>495</v>
      </c>
      <c r="L373" s="13" t="s">
        <v>496</v>
      </c>
      <c r="M373" s="2" t="s">
        <v>26</v>
      </c>
      <c r="N373" s="11" t="s">
        <v>576</v>
      </c>
      <c r="O373" s="12" t="s">
        <v>53</v>
      </c>
      <c r="P373" s="5" t="str">
        <f>IFERROR(__xludf.DUMMYFUNCTION("TEXTJOIN("" | "",TRUE,IF(OR(D373="""",E373="""",I373="""",J373="""",H373=""""),""ফাঁকা ঘর"",""""),IF(AND(C373&lt;&gt;"""",D373&lt;&gt;"""",C373=D373),""gloss=figurative"",""""),IF(LEN(D373)&lt;15,""figurative ছোট"",""""),IF(AND(I373=""Positive"",REGEXMATCH(H373,""মূর্খ|"&amp;"ভণ্ড|প্রতার|অলস|লোভ|স্বার্থ|অক্ষম|অযোগ্য|বোকা|কৃপণ|হিংস"")),""valence-target অমিল"",""""),IF(COUNTIF($B:$B,B373)&gt;1,""ডুপ্লিকেট"",""""))"),"figurative ছোট")</f>
        <v>figurative ছোট</v>
      </c>
      <c r="Q373" s="5" t="str">
        <f t="shared" si="1"/>
        <v>১ আগে দেখো</v>
      </c>
    </row>
    <row r="374">
      <c r="A374" s="4">
        <v>5261.0</v>
      </c>
      <c r="B374" s="2" t="s">
        <v>1776</v>
      </c>
      <c r="C374" s="2" t="s">
        <v>1777</v>
      </c>
      <c r="D374" s="2" t="s">
        <v>1778</v>
      </c>
      <c r="E374" s="2" t="s">
        <v>1779</v>
      </c>
      <c r="F374" s="2" t="b">
        <v>1</v>
      </c>
      <c r="G374" s="2" t="b">
        <v>0</v>
      </c>
      <c r="H374" s="2" t="s">
        <v>749</v>
      </c>
      <c r="I374" s="2" t="s">
        <v>22</v>
      </c>
      <c r="J374" s="2" t="s">
        <v>750</v>
      </c>
      <c r="K374" s="2" t="s">
        <v>495</v>
      </c>
      <c r="L374" s="13" t="s">
        <v>496</v>
      </c>
      <c r="M374" s="2" t="s">
        <v>26</v>
      </c>
      <c r="N374" s="11" t="s">
        <v>576</v>
      </c>
      <c r="O374" s="12" t="s">
        <v>53</v>
      </c>
      <c r="P374" s="5" t="str">
        <f>IFERROR(__xludf.DUMMYFUNCTION("TEXTJOIN("" | "",TRUE,IF(OR(D374="""",E374="""",I374="""",J374="""",H374=""""),""ফাঁকা ঘর"",""""),IF(AND(C374&lt;&gt;"""",D374&lt;&gt;"""",C374=D374),""gloss=figurative"",""""),IF(LEN(D374)&lt;15,""figurative ছোট"",""""),IF(AND(I374=""Positive"",REGEXMATCH(H374,""মূর্খ|"&amp;"ভণ্ড|প্রতার|অলস|লোভ|স্বার্থ|অক্ষম|অযোগ্য|বোকা|কৃপণ|হিংস"")),""valence-target অমিল"",""""),IF(COUNTIF($B:$B,B374)&gt;1,""ডুপ্লিকেট"",""""))"),"figurative ছোট")</f>
        <v>figurative ছোট</v>
      </c>
      <c r="Q374" s="5" t="str">
        <f t="shared" si="1"/>
        <v>১ আগে দেখো</v>
      </c>
    </row>
    <row r="375">
      <c r="A375" s="4">
        <v>5263.0</v>
      </c>
      <c r="B375" s="2" t="s">
        <v>1780</v>
      </c>
      <c r="C375" s="2" t="s">
        <v>1781</v>
      </c>
      <c r="D375" s="2" t="s">
        <v>1782</v>
      </c>
      <c r="E375" s="2" t="s">
        <v>1783</v>
      </c>
      <c r="F375" s="2" t="b">
        <v>1</v>
      </c>
      <c r="G375" s="2" t="b">
        <v>0</v>
      </c>
      <c r="H375" s="2" t="s">
        <v>37</v>
      </c>
      <c r="I375" s="2" t="s">
        <v>49</v>
      </c>
      <c r="J375" s="2" t="s">
        <v>1784</v>
      </c>
      <c r="K375" s="2" t="s">
        <v>495</v>
      </c>
      <c r="L375" s="13" t="s">
        <v>496</v>
      </c>
      <c r="M375" s="2" t="s">
        <v>26</v>
      </c>
      <c r="N375" s="11" t="s">
        <v>576</v>
      </c>
      <c r="O375" s="12" t="s">
        <v>53</v>
      </c>
      <c r="P375" s="5" t="str">
        <f>IFERROR(__xludf.DUMMYFUNCTION("TEXTJOIN("" | "",TRUE,IF(OR(D375="""",E375="""",I375="""",J375="""",H375=""""),""ফাঁকা ঘর"",""""),IF(AND(C375&lt;&gt;"""",D375&lt;&gt;"""",C375=D375),""gloss=figurative"",""""),IF(LEN(D375)&lt;15,""figurative ছোট"",""""),IF(AND(I375=""Positive"",REGEXMATCH(H375,""মূর্খ|"&amp;"ভণ্ড|প্রতার|অলস|লোভ|স্বার্থ|অক্ষম|অযোগ্য|বোকা|কৃপণ|হিংস"")),""valence-target অমিল"",""""),IF(COUNTIF($B:$B,B375)&gt;1,""ডুপ্লিকেট"",""""))"),"figurative ছোট")</f>
        <v>figurative ছোট</v>
      </c>
      <c r="Q375" s="5" t="str">
        <f t="shared" si="1"/>
        <v>১ আগে দেখো</v>
      </c>
    </row>
    <row r="376">
      <c r="A376" s="4">
        <v>5269.0</v>
      </c>
      <c r="B376" s="2" t="s">
        <v>1785</v>
      </c>
      <c r="C376" s="2" t="s">
        <v>1786</v>
      </c>
      <c r="D376" s="2" t="s">
        <v>1787</v>
      </c>
      <c r="E376" s="2" t="s">
        <v>1788</v>
      </c>
      <c r="F376" s="2" t="b">
        <v>1</v>
      </c>
      <c r="G376" s="2" t="b">
        <v>1</v>
      </c>
      <c r="H376" s="2" t="s">
        <v>1789</v>
      </c>
      <c r="I376" s="2" t="s">
        <v>49</v>
      </c>
      <c r="J376" s="2" t="s">
        <v>1790</v>
      </c>
      <c r="K376" s="2" t="s">
        <v>495</v>
      </c>
      <c r="L376" s="13" t="s">
        <v>496</v>
      </c>
      <c r="M376" s="2" t="s">
        <v>26</v>
      </c>
      <c r="N376" s="11" t="s">
        <v>576</v>
      </c>
      <c r="O376" s="12" t="s">
        <v>53</v>
      </c>
      <c r="P376" s="5" t="str">
        <f>IFERROR(__xludf.DUMMYFUNCTION("TEXTJOIN("" | "",TRUE,IF(OR(D376="""",E376="""",I376="""",J376="""",H376=""""),""ফাঁকা ঘর"",""""),IF(AND(C376&lt;&gt;"""",D376&lt;&gt;"""",C376=D376),""gloss=figurative"",""""),IF(LEN(D376)&lt;15,""figurative ছোট"",""""),IF(AND(I376=""Positive"",REGEXMATCH(H376,""মূর্খ|"&amp;"ভণ্ড|প্রতার|অলস|লোভ|স্বার্থ|অক্ষম|অযোগ্য|বোকা|কৃপণ|হিংস"")),""valence-target অমিল"",""""),IF(COUNTIF($B:$B,B376)&gt;1,""ডুপ্লিকেট"",""""))"),"figurative ছোট")</f>
        <v>figurative ছোট</v>
      </c>
      <c r="Q376" s="5" t="str">
        <f t="shared" si="1"/>
        <v>১ আগে দেখো</v>
      </c>
    </row>
    <row r="377">
      <c r="A377" s="4">
        <v>5272.0</v>
      </c>
      <c r="B377" s="2" t="s">
        <v>1791</v>
      </c>
      <c r="C377" s="2" t="s">
        <v>1791</v>
      </c>
      <c r="D377" s="2" t="s">
        <v>1792</v>
      </c>
      <c r="E377" s="2" t="s">
        <v>1793</v>
      </c>
      <c r="F377" s="2" t="b">
        <v>1</v>
      </c>
      <c r="G377" s="2" t="b">
        <v>0</v>
      </c>
      <c r="H377" s="2" t="s">
        <v>37</v>
      </c>
      <c r="I377" s="2" t="s">
        <v>22</v>
      </c>
      <c r="J377" s="2" t="s">
        <v>616</v>
      </c>
      <c r="K377" s="2" t="s">
        <v>495</v>
      </c>
      <c r="L377" s="13" t="s">
        <v>496</v>
      </c>
      <c r="M377" s="2" t="s">
        <v>26</v>
      </c>
      <c r="N377" s="11" t="s">
        <v>576</v>
      </c>
      <c r="O377" s="12" t="s">
        <v>53</v>
      </c>
      <c r="P377" s="5" t="str">
        <f>IFERROR(__xludf.DUMMYFUNCTION("TEXTJOIN("" | "",TRUE,IF(OR(D377="""",E377="""",I377="""",J377="""",H377=""""),""ফাঁকা ঘর"",""""),IF(AND(C377&lt;&gt;"""",D377&lt;&gt;"""",C377=D377),""gloss=figurative"",""""),IF(LEN(D377)&lt;15,""figurative ছোট"",""""),IF(AND(I377=""Positive"",REGEXMATCH(H377,""মূর্খ|"&amp;"ভণ্ড|প্রতার|অলস|লোভ|স্বার্থ|অক্ষম|অযোগ্য|বোকা|কৃপণ|হিংস"")),""valence-target অমিল"",""""),IF(COUNTIF($B:$B,B377)&gt;1,""ডুপ্লিকেট"",""""))"),"figurative ছোট")</f>
        <v>figurative ছোট</v>
      </c>
      <c r="Q377" s="5" t="str">
        <f t="shared" si="1"/>
        <v>১ আগে দেখো</v>
      </c>
    </row>
    <row r="378">
      <c r="A378" s="4">
        <v>5274.0</v>
      </c>
      <c r="B378" s="2" t="s">
        <v>1794</v>
      </c>
      <c r="C378" s="2" t="s">
        <v>1795</v>
      </c>
      <c r="D378" s="2" t="s">
        <v>1796</v>
      </c>
      <c r="E378" s="2" t="s">
        <v>1797</v>
      </c>
      <c r="F378" s="2" t="b">
        <v>1</v>
      </c>
      <c r="G378" s="2" t="b">
        <v>1</v>
      </c>
      <c r="H378" s="2" t="s">
        <v>1211</v>
      </c>
      <c r="I378" s="2" t="s">
        <v>49</v>
      </c>
      <c r="J378" s="2" t="s">
        <v>1798</v>
      </c>
      <c r="K378" s="2" t="s">
        <v>495</v>
      </c>
      <c r="L378" s="13" t="s">
        <v>496</v>
      </c>
      <c r="M378" s="2" t="s">
        <v>26</v>
      </c>
      <c r="N378" s="11" t="s">
        <v>576</v>
      </c>
      <c r="O378" s="12" t="s">
        <v>53</v>
      </c>
      <c r="P378" s="5" t="str">
        <f>IFERROR(__xludf.DUMMYFUNCTION("TEXTJOIN("" | "",TRUE,IF(OR(D378="""",E378="""",I378="""",J378="""",H378=""""),""ফাঁকা ঘর"",""""),IF(AND(C378&lt;&gt;"""",D378&lt;&gt;"""",C378=D378),""gloss=figurative"",""""),IF(LEN(D378)&lt;15,""figurative ছোট"",""""),IF(AND(I378=""Positive"",REGEXMATCH(H378,""মূর্খ|"&amp;"ভণ্ড|প্রতার|অলস|লোভ|স্বার্থ|অক্ষম|অযোগ্য|বোকা|কৃপণ|হিংস"")),""valence-target অমিল"",""""),IF(COUNTIF($B:$B,B378)&gt;1,""ডুপ্লিকেট"",""""))"),"figurative ছোট")</f>
        <v>figurative ছোট</v>
      </c>
      <c r="Q378" s="5" t="str">
        <f t="shared" si="1"/>
        <v>১ আগে দেখো</v>
      </c>
    </row>
    <row r="379">
      <c r="A379" s="4">
        <v>5280.0</v>
      </c>
      <c r="B379" s="2" t="s">
        <v>1799</v>
      </c>
      <c r="C379" s="2" t="s">
        <v>1800</v>
      </c>
      <c r="D379" s="2" t="s">
        <v>1801</v>
      </c>
      <c r="E379" s="2" t="s">
        <v>1802</v>
      </c>
      <c r="F379" s="2" t="b">
        <v>1</v>
      </c>
      <c r="G379" s="2" t="b">
        <v>0</v>
      </c>
      <c r="H379" s="2" t="s">
        <v>37</v>
      </c>
      <c r="I379" s="2" t="s">
        <v>49</v>
      </c>
      <c r="J379" s="2" t="s">
        <v>1803</v>
      </c>
      <c r="K379" s="2" t="s">
        <v>495</v>
      </c>
      <c r="L379" s="13" t="s">
        <v>496</v>
      </c>
      <c r="M379" s="2" t="s">
        <v>26</v>
      </c>
      <c r="N379" s="11" t="s">
        <v>576</v>
      </c>
      <c r="O379" s="12" t="s">
        <v>53</v>
      </c>
      <c r="P379" s="5" t="str">
        <f>IFERROR(__xludf.DUMMYFUNCTION("TEXTJOIN("" | "",TRUE,IF(OR(D379="""",E379="""",I379="""",J379="""",H379=""""),""ফাঁকা ঘর"",""""),IF(AND(C379&lt;&gt;"""",D379&lt;&gt;"""",C379=D379),""gloss=figurative"",""""),IF(LEN(D379)&lt;15,""figurative ছোট"",""""),IF(AND(I379=""Positive"",REGEXMATCH(H379,""মূর্খ|"&amp;"ভণ্ড|প্রতার|অলস|লোভ|স্বার্থ|অক্ষম|অযোগ্য|বোকা|কৃপণ|হিংস"")),""valence-target অমিল"",""""),IF(COUNTIF($B:$B,B379)&gt;1,""ডুপ্লিকেট"",""""))"),"figurative ছোট")</f>
        <v>figurative ছোট</v>
      </c>
      <c r="Q379" s="5" t="str">
        <f t="shared" si="1"/>
        <v>১ আগে দেখো</v>
      </c>
    </row>
    <row r="380">
      <c r="A380" s="4">
        <v>5286.0</v>
      </c>
      <c r="B380" s="2" t="s">
        <v>1804</v>
      </c>
      <c r="C380" s="2" t="s">
        <v>1805</v>
      </c>
      <c r="D380" s="2" t="s">
        <v>1806</v>
      </c>
      <c r="E380" s="2" t="s">
        <v>1807</v>
      </c>
      <c r="F380" s="2" t="b">
        <v>1</v>
      </c>
      <c r="G380" s="2" t="b">
        <v>0</v>
      </c>
      <c r="H380" s="2" t="s">
        <v>37</v>
      </c>
      <c r="I380" s="2" t="s">
        <v>22</v>
      </c>
      <c r="J380" s="2" t="s">
        <v>1808</v>
      </c>
      <c r="K380" s="2" t="s">
        <v>495</v>
      </c>
      <c r="L380" s="13" t="s">
        <v>496</v>
      </c>
      <c r="M380" s="2" t="s">
        <v>26</v>
      </c>
      <c r="N380" s="11" t="s">
        <v>576</v>
      </c>
      <c r="O380" s="12" t="s">
        <v>53</v>
      </c>
      <c r="P380" s="5" t="str">
        <f>IFERROR(__xludf.DUMMYFUNCTION("TEXTJOIN("" | "",TRUE,IF(OR(D380="""",E380="""",I380="""",J380="""",H380=""""),""ফাঁকা ঘর"",""""),IF(AND(C380&lt;&gt;"""",D380&lt;&gt;"""",C380=D380),""gloss=figurative"",""""),IF(LEN(D380)&lt;15,""figurative ছোট"",""""),IF(AND(I380=""Positive"",REGEXMATCH(H380,""মূর্খ|"&amp;"ভণ্ড|প্রতার|অলস|লোভ|স্বার্থ|অক্ষম|অযোগ্য|বোকা|কৃপণ|হিংস"")),""valence-target অমিল"",""""),IF(COUNTIF($B:$B,B380)&gt;1,""ডুপ্লিকেট"",""""))"),"figurative ছোট")</f>
        <v>figurative ছোট</v>
      </c>
      <c r="Q380" s="5" t="str">
        <f t="shared" si="1"/>
        <v>১ আগে দেখো</v>
      </c>
    </row>
    <row r="381">
      <c r="A381" s="4">
        <v>5289.0</v>
      </c>
      <c r="B381" s="2" t="s">
        <v>1809</v>
      </c>
      <c r="C381" s="2" t="s">
        <v>1810</v>
      </c>
      <c r="D381" s="2" t="s">
        <v>1811</v>
      </c>
      <c r="E381" s="2" t="s">
        <v>1812</v>
      </c>
      <c r="F381" s="2" t="b">
        <v>1</v>
      </c>
      <c r="G381" s="2" t="b">
        <v>0</v>
      </c>
      <c r="H381" s="2" t="s">
        <v>37</v>
      </c>
      <c r="I381" s="2" t="s">
        <v>49</v>
      </c>
      <c r="J381" s="2" t="s">
        <v>1813</v>
      </c>
      <c r="K381" s="2" t="s">
        <v>495</v>
      </c>
      <c r="L381" s="13" t="s">
        <v>496</v>
      </c>
      <c r="M381" s="2" t="s">
        <v>26</v>
      </c>
      <c r="N381" s="11" t="s">
        <v>1814</v>
      </c>
      <c r="O381" s="12" t="s">
        <v>53</v>
      </c>
      <c r="P381" s="5" t="str">
        <f>IFERROR(__xludf.DUMMYFUNCTION("TEXTJOIN("" | "",TRUE,IF(OR(D381="""",E381="""",I381="""",J381="""",H381=""""),""ফাঁকা ঘর"",""""),IF(AND(C381&lt;&gt;"""",D381&lt;&gt;"""",C381=D381),""gloss=figurative"",""""),IF(LEN(D381)&lt;15,""figurative ছোট"",""""),IF(AND(I381=""Positive"",REGEXMATCH(H381,""মূর্খ|"&amp;"ভণ্ড|প্রতার|অলস|লোভ|স্বার্থ|অক্ষম|অযোগ্য|বোকা|কৃপণ|হিংস"")),""valence-target অমিল"",""""),IF(COUNTIF($B:$B,B381)&gt;1,""ডুপ্লিকেট"",""""))"),"figurative ছোট")</f>
        <v>figurative ছোট</v>
      </c>
      <c r="Q381" s="5" t="str">
        <f t="shared" si="1"/>
        <v>১ আগে দেখো</v>
      </c>
    </row>
    <row r="382">
      <c r="A382" s="4">
        <v>5295.0</v>
      </c>
      <c r="B382" s="2" t="s">
        <v>1815</v>
      </c>
      <c r="C382" s="2" t="s">
        <v>1816</v>
      </c>
      <c r="D382" s="2" t="s">
        <v>1817</v>
      </c>
      <c r="E382" s="2" t="s">
        <v>1818</v>
      </c>
      <c r="F382" s="2" t="b">
        <v>1</v>
      </c>
      <c r="G382" s="2" t="b">
        <v>1</v>
      </c>
      <c r="H382" s="2" t="s">
        <v>1106</v>
      </c>
      <c r="I382" s="2" t="s">
        <v>22</v>
      </c>
      <c r="J382" s="2" t="s">
        <v>990</v>
      </c>
      <c r="K382" s="2" t="s">
        <v>495</v>
      </c>
      <c r="L382" s="13" t="s">
        <v>496</v>
      </c>
      <c r="M382" s="2" t="s">
        <v>26</v>
      </c>
      <c r="N382" s="11" t="s">
        <v>576</v>
      </c>
      <c r="O382" s="12" t="s">
        <v>53</v>
      </c>
      <c r="P382" s="5" t="str">
        <f>IFERROR(__xludf.DUMMYFUNCTION("TEXTJOIN("" | "",TRUE,IF(OR(D382="""",E382="""",I382="""",J382="""",H382=""""),""ফাঁকা ঘর"",""""),IF(AND(C382&lt;&gt;"""",D382&lt;&gt;"""",C382=D382),""gloss=figurative"",""""),IF(LEN(D382)&lt;15,""figurative ছোট"",""""),IF(AND(I382=""Positive"",REGEXMATCH(H382,""মূর্খ|"&amp;"ভণ্ড|প্রতার|অলস|লোভ|স্বার্থ|অক্ষম|অযোগ্য|বোকা|কৃপণ|হিংস"")),""valence-target অমিল"",""""),IF(COUNTIF($B:$B,B382)&gt;1,""ডুপ্লিকেট"",""""))"),"figurative ছোট")</f>
        <v>figurative ছোট</v>
      </c>
      <c r="Q382" s="5" t="str">
        <f t="shared" si="1"/>
        <v>১ আগে দেখো</v>
      </c>
    </row>
    <row r="383">
      <c r="A383" s="4">
        <v>5298.0</v>
      </c>
      <c r="B383" s="2" t="s">
        <v>1819</v>
      </c>
      <c r="C383" s="2" t="s">
        <v>1819</v>
      </c>
      <c r="D383" s="2" t="s">
        <v>1820</v>
      </c>
      <c r="E383" s="2" t="s">
        <v>1821</v>
      </c>
      <c r="F383" s="2" t="b">
        <v>1</v>
      </c>
      <c r="G383" s="2" t="b">
        <v>0</v>
      </c>
      <c r="H383" s="2" t="s">
        <v>37</v>
      </c>
      <c r="I383" s="2" t="s">
        <v>22</v>
      </c>
      <c r="J383" s="2" t="s">
        <v>590</v>
      </c>
      <c r="K383" s="2" t="s">
        <v>495</v>
      </c>
      <c r="L383" s="13" t="s">
        <v>496</v>
      </c>
      <c r="M383" s="2" t="s">
        <v>26</v>
      </c>
      <c r="N383" s="11" t="s">
        <v>576</v>
      </c>
      <c r="O383" s="12" t="s">
        <v>53</v>
      </c>
      <c r="P383" s="5" t="str">
        <f>IFERROR(__xludf.DUMMYFUNCTION("TEXTJOIN("" | "",TRUE,IF(OR(D383="""",E383="""",I383="""",J383="""",H383=""""),""ফাঁকা ঘর"",""""),IF(AND(C383&lt;&gt;"""",D383&lt;&gt;"""",C383=D383),""gloss=figurative"",""""),IF(LEN(D383)&lt;15,""figurative ছোট"",""""),IF(AND(I383=""Positive"",REGEXMATCH(H383,""মূর্খ|"&amp;"ভণ্ড|প্রতার|অলস|লোভ|স্বার্থ|অক্ষম|অযোগ্য|বোকা|কৃপণ|হিংস"")),""valence-target অমিল"",""""),IF(COUNTIF($B:$B,B383)&gt;1,""ডুপ্লিকেট"",""""))"),"figurative ছোট")</f>
        <v>figurative ছোট</v>
      </c>
      <c r="Q383" s="5" t="str">
        <f t="shared" si="1"/>
        <v>১ আগে দেখো</v>
      </c>
    </row>
    <row r="384">
      <c r="A384" s="4">
        <v>5306.0</v>
      </c>
      <c r="B384" s="2" t="s">
        <v>1822</v>
      </c>
      <c r="C384" s="2" t="s">
        <v>1823</v>
      </c>
      <c r="D384" s="2" t="s">
        <v>1824</v>
      </c>
      <c r="E384" s="2" t="s">
        <v>1825</v>
      </c>
      <c r="F384" s="2" t="b">
        <v>1</v>
      </c>
      <c r="G384" s="2" t="b">
        <v>0</v>
      </c>
      <c r="H384" s="2" t="s">
        <v>1826</v>
      </c>
      <c r="I384" s="2" t="s">
        <v>22</v>
      </c>
      <c r="J384" s="2" t="s">
        <v>1700</v>
      </c>
      <c r="K384" s="2" t="s">
        <v>495</v>
      </c>
      <c r="L384" s="13" t="s">
        <v>496</v>
      </c>
      <c r="M384" s="2" t="s">
        <v>26</v>
      </c>
      <c r="N384" s="11" t="s">
        <v>576</v>
      </c>
      <c r="O384" s="12" t="s">
        <v>53</v>
      </c>
      <c r="P384" s="5" t="str">
        <f>IFERROR(__xludf.DUMMYFUNCTION("TEXTJOIN("" | "",TRUE,IF(OR(D384="""",E384="""",I384="""",J384="""",H384=""""),""ফাঁকা ঘর"",""""),IF(AND(C384&lt;&gt;"""",D384&lt;&gt;"""",C384=D384),""gloss=figurative"",""""),IF(LEN(D384)&lt;15,""figurative ছোট"",""""),IF(AND(I384=""Positive"",REGEXMATCH(H384,""মূর্খ|"&amp;"ভণ্ড|প্রতার|অলস|লোভ|স্বার্থ|অক্ষম|অযোগ্য|বোকা|কৃপণ|হিংস"")),""valence-target অমিল"",""""),IF(COUNTIF($B:$B,B384)&gt;1,""ডুপ্লিকেট"",""""))"),"figurative ছোট")</f>
        <v>figurative ছোট</v>
      </c>
      <c r="Q384" s="5" t="str">
        <f t="shared" si="1"/>
        <v>১ আগে দেখো</v>
      </c>
    </row>
    <row r="385">
      <c r="A385" s="4">
        <v>5311.0</v>
      </c>
      <c r="B385" s="2" t="s">
        <v>1827</v>
      </c>
      <c r="C385" s="2" t="s">
        <v>1827</v>
      </c>
      <c r="D385" s="2" t="s">
        <v>590</v>
      </c>
      <c r="E385" s="2" t="s">
        <v>1828</v>
      </c>
      <c r="F385" s="2" t="b">
        <v>1</v>
      </c>
      <c r="G385" s="2" t="b">
        <v>0</v>
      </c>
      <c r="H385" s="2" t="s">
        <v>37</v>
      </c>
      <c r="I385" s="2" t="s">
        <v>22</v>
      </c>
      <c r="J385" s="2" t="s">
        <v>590</v>
      </c>
      <c r="K385" s="2" t="s">
        <v>495</v>
      </c>
      <c r="L385" s="13" t="s">
        <v>496</v>
      </c>
      <c r="M385" s="2" t="s">
        <v>26</v>
      </c>
      <c r="N385" s="11" t="s">
        <v>576</v>
      </c>
      <c r="O385" s="12" t="s">
        <v>53</v>
      </c>
      <c r="P385" s="5" t="str">
        <f>IFERROR(__xludf.DUMMYFUNCTION("TEXTJOIN("" | "",TRUE,IF(OR(D385="""",E385="""",I385="""",J385="""",H385=""""),""ফাঁকা ঘর"",""""),IF(AND(C385&lt;&gt;"""",D385&lt;&gt;"""",C385=D385),""gloss=figurative"",""""),IF(LEN(D385)&lt;15,""figurative ছোট"",""""),IF(AND(I385=""Positive"",REGEXMATCH(H385,""মূর্খ|"&amp;"ভণ্ড|প্রতার|অলস|লোভ|স্বার্থ|অক্ষম|অযোগ্য|বোকা|কৃপণ|হিংস"")),""valence-target অমিল"",""""),IF(COUNTIF($B:$B,B385)&gt;1,""ডুপ্লিকেট"",""""))"),"figurative ছোট")</f>
        <v>figurative ছোট</v>
      </c>
      <c r="Q385" s="5" t="str">
        <f t="shared" si="1"/>
        <v>১ আগে দেখো</v>
      </c>
    </row>
    <row r="386">
      <c r="A386" s="4">
        <v>5313.0</v>
      </c>
      <c r="B386" s="2" t="s">
        <v>1829</v>
      </c>
      <c r="C386" s="2" t="s">
        <v>1830</v>
      </c>
      <c r="D386" s="2" t="s">
        <v>1831</v>
      </c>
      <c r="E386" s="2" t="s">
        <v>1832</v>
      </c>
      <c r="F386" s="2" t="b">
        <v>1</v>
      </c>
      <c r="G386" s="2" t="b">
        <v>0</v>
      </c>
      <c r="H386" s="2" t="s">
        <v>1334</v>
      </c>
      <c r="I386" s="2" t="s">
        <v>22</v>
      </c>
      <c r="J386" s="2" t="s">
        <v>820</v>
      </c>
      <c r="K386" s="2" t="s">
        <v>495</v>
      </c>
      <c r="L386" s="13" t="s">
        <v>496</v>
      </c>
      <c r="M386" s="2" t="s">
        <v>26</v>
      </c>
      <c r="N386" s="11" t="s">
        <v>576</v>
      </c>
      <c r="O386" s="12" t="s">
        <v>53</v>
      </c>
      <c r="P386" s="5" t="str">
        <f>IFERROR(__xludf.DUMMYFUNCTION("TEXTJOIN("" | "",TRUE,IF(OR(D386="""",E386="""",I386="""",J386="""",H386=""""),""ফাঁকা ঘর"",""""),IF(AND(C386&lt;&gt;"""",D386&lt;&gt;"""",C386=D386),""gloss=figurative"",""""),IF(LEN(D386)&lt;15,""figurative ছোট"",""""),IF(AND(I386=""Positive"",REGEXMATCH(H386,""মূর্খ|"&amp;"ভণ্ড|প্রতার|অলস|লোভ|স্বার্থ|অক্ষম|অযোগ্য|বোকা|কৃপণ|হিংস"")),""valence-target অমিল"",""""),IF(COUNTIF($B:$B,B386)&gt;1,""ডুপ্লিকেট"",""""))"),"figurative ছোট")</f>
        <v>figurative ছোট</v>
      </c>
      <c r="Q386" s="5" t="str">
        <f t="shared" si="1"/>
        <v>১ আগে দেখো</v>
      </c>
    </row>
    <row r="387">
      <c r="A387" s="4">
        <v>5314.0</v>
      </c>
      <c r="B387" s="2" t="s">
        <v>1833</v>
      </c>
      <c r="C387" s="2" t="s">
        <v>1833</v>
      </c>
      <c r="D387" s="2" t="s">
        <v>1445</v>
      </c>
      <c r="E387" s="2" t="s">
        <v>1834</v>
      </c>
      <c r="F387" s="2" t="b">
        <v>1</v>
      </c>
      <c r="G387" s="2" t="b">
        <v>0</v>
      </c>
      <c r="H387" s="2" t="s">
        <v>37</v>
      </c>
      <c r="I387" s="2" t="s">
        <v>22</v>
      </c>
      <c r="J387" s="2" t="s">
        <v>1002</v>
      </c>
      <c r="K387" s="2" t="s">
        <v>495</v>
      </c>
      <c r="L387" s="13" t="s">
        <v>496</v>
      </c>
      <c r="M387" s="2" t="s">
        <v>26</v>
      </c>
      <c r="N387" s="11" t="s">
        <v>576</v>
      </c>
      <c r="O387" s="12" t="s">
        <v>53</v>
      </c>
      <c r="P387" s="5" t="str">
        <f>IFERROR(__xludf.DUMMYFUNCTION("TEXTJOIN("" | "",TRUE,IF(OR(D387="""",E387="""",I387="""",J387="""",H387=""""),""ফাঁকা ঘর"",""""),IF(AND(C387&lt;&gt;"""",D387&lt;&gt;"""",C387=D387),""gloss=figurative"",""""),IF(LEN(D387)&lt;15,""figurative ছোট"",""""),IF(AND(I387=""Positive"",REGEXMATCH(H387,""মূর্খ|"&amp;"ভণ্ড|প্রতার|অলস|লোভ|স্বার্থ|অক্ষম|অযোগ্য|বোকা|কৃপণ|হিংস"")),""valence-target অমিল"",""""),IF(COUNTIF($B:$B,B387)&gt;1,""ডুপ্লিকেট"",""""))"),"figurative ছোট")</f>
        <v>figurative ছোট</v>
      </c>
      <c r="Q387" s="5" t="str">
        <f t="shared" si="1"/>
        <v>১ আগে দেখো</v>
      </c>
    </row>
    <row r="388">
      <c r="A388" s="4">
        <v>5321.0</v>
      </c>
      <c r="B388" s="2" t="s">
        <v>1835</v>
      </c>
      <c r="C388" s="2" t="s">
        <v>1836</v>
      </c>
      <c r="D388" s="2" t="s">
        <v>1837</v>
      </c>
      <c r="E388" s="2" t="s">
        <v>1838</v>
      </c>
      <c r="F388" s="2" t="b">
        <v>1</v>
      </c>
      <c r="G388" s="2" t="b">
        <v>0</v>
      </c>
      <c r="H388" s="2" t="s">
        <v>37</v>
      </c>
      <c r="I388" s="2" t="s">
        <v>49</v>
      </c>
      <c r="J388" s="2" t="s">
        <v>300</v>
      </c>
      <c r="K388" s="2" t="s">
        <v>495</v>
      </c>
      <c r="L388" s="13" t="s">
        <v>496</v>
      </c>
      <c r="M388" s="2" t="s">
        <v>26</v>
      </c>
      <c r="N388" s="11" t="s">
        <v>576</v>
      </c>
      <c r="O388" s="12" t="s">
        <v>53</v>
      </c>
      <c r="P388" s="5" t="str">
        <f>IFERROR(__xludf.DUMMYFUNCTION("TEXTJOIN("" | "",TRUE,IF(OR(D388="""",E388="""",I388="""",J388="""",H388=""""),""ফাঁকা ঘর"",""""),IF(AND(C388&lt;&gt;"""",D388&lt;&gt;"""",C388=D388),""gloss=figurative"",""""),IF(LEN(D388)&lt;15,""figurative ছোট"",""""),IF(AND(I388=""Positive"",REGEXMATCH(H388,""মূর্খ|"&amp;"ভণ্ড|প্রতার|অলস|লোভ|স্বার্থ|অক্ষম|অযোগ্য|বোকা|কৃপণ|হিংস"")),""valence-target অমিল"",""""),IF(COUNTIF($B:$B,B388)&gt;1,""ডুপ্লিকেট"",""""))"),"figurative ছোট")</f>
        <v>figurative ছোট</v>
      </c>
      <c r="Q388" s="5" t="str">
        <f t="shared" si="1"/>
        <v>১ আগে দেখো</v>
      </c>
    </row>
    <row r="389">
      <c r="A389" s="4">
        <v>5323.0</v>
      </c>
      <c r="B389" s="2" t="s">
        <v>1839</v>
      </c>
      <c r="C389" s="2" t="s">
        <v>1840</v>
      </c>
      <c r="D389" s="2" t="s">
        <v>1841</v>
      </c>
      <c r="E389" s="2" t="s">
        <v>1842</v>
      </c>
      <c r="F389" s="2" t="b">
        <v>1</v>
      </c>
      <c r="G389" s="2" t="b">
        <v>0</v>
      </c>
      <c r="H389" s="2" t="s">
        <v>37</v>
      </c>
      <c r="I389" s="2" t="s">
        <v>32</v>
      </c>
      <c r="J389" s="2" t="s">
        <v>1843</v>
      </c>
      <c r="K389" s="2" t="s">
        <v>495</v>
      </c>
      <c r="L389" s="13" t="s">
        <v>496</v>
      </c>
      <c r="M389" s="2" t="s">
        <v>26</v>
      </c>
      <c r="N389" s="11" t="s">
        <v>576</v>
      </c>
      <c r="O389" s="12" t="s">
        <v>53</v>
      </c>
      <c r="P389" s="5" t="str">
        <f>IFERROR(__xludf.DUMMYFUNCTION("TEXTJOIN("" | "",TRUE,IF(OR(D389="""",E389="""",I389="""",J389="""",H389=""""),""ফাঁকা ঘর"",""""),IF(AND(C389&lt;&gt;"""",D389&lt;&gt;"""",C389=D389),""gloss=figurative"",""""),IF(LEN(D389)&lt;15,""figurative ছোট"",""""),IF(AND(I389=""Positive"",REGEXMATCH(H389,""মূর্খ|"&amp;"ভণ্ড|প্রতার|অলস|লোভ|স্বার্থ|অক্ষম|অযোগ্য|বোকা|কৃপণ|হিংস"")),""valence-target অমিল"",""""),IF(COUNTIF($B:$B,B389)&gt;1,""ডুপ্লিকেট"",""""))"),"figurative ছোট")</f>
        <v>figurative ছোট</v>
      </c>
      <c r="Q389" s="5" t="str">
        <f t="shared" si="1"/>
        <v>১ আগে দেখো</v>
      </c>
    </row>
    <row r="390">
      <c r="A390" s="4">
        <v>5324.0</v>
      </c>
      <c r="B390" s="2" t="s">
        <v>1844</v>
      </c>
      <c r="C390" s="2" t="s">
        <v>1844</v>
      </c>
      <c r="D390" s="2" t="s">
        <v>1845</v>
      </c>
      <c r="E390" s="2" t="s">
        <v>1846</v>
      </c>
      <c r="F390" s="2" t="b">
        <v>1</v>
      </c>
      <c r="G390" s="2" t="b">
        <v>0</v>
      </c>
      <c r="H390" s="2" t="s">
        <v>37</v>
      </c>
      <c r="I390" s="2" t="s">
        <v>49</v>
      </c>
      <c r="J390" s="2" t="s">
        <v>565</v>
      </c>
      <c r="K390" s="2" t="s">
        <v>495</v>
      </c>
      <c r="L390" s="13" t="s">
        <v>496</v>
      </c>
      <c r="M390" s="2" t="s">
        <v>26</v>
      </c>
      <c r="N390" s="11" t="s">
        <v>576</v>
      </c>
      <c r="O390" s="12" t="s">
        <v>53</v>
      </c>
      <c r="P390" s="5" t="str">
        <f>IFERROR(__xludf.DUMMYFUNCTION("TEXTJOIN("" | "",TRUE,IF(OR(D390="""",E390="""",I390="""",J390="""",H390=""""),""ফাঁকা ঘর"",""""),IF(AND(C390&lt;&gt;"""",D390&lt;&gt;"""",C390=D390),""gloss=figurative"",""""),IF(LEN(D390)&lt;15,""figurative ছোট"",""""),IF(AND(I390=""Positive"",REGEXMATCH(H390,""মূর্খ|"&amp;"ভণ্ড|প্রতার|অলস|লোভ|স্বার্থ|অক্ষম|অযোগ্য|বোকা|কৃপণ|হিংস"")),""valence-target অমিল"",""""),IF(COUNTIF($B:$B,B390)&gt;1,""ডুপ্লিকেট"",""""))"),"figurative ছোট")</f>
        <v>figurative ছোট</v>
      </c>
      <c r="Q390" s="5" t="str">
        <f t="shared" si="1"/>
        <v>১ আগে দেখো</v>
      </c>
    </row>
    <row r="391">
      <c r="A391" s="4">
        <v>5325.0</v>
      </c>
      <c r="B391" s="2" t="s">
        <v>1847</v>
      </c>
      <c r="C391" s="2" t="s">
        <v>1848</v>
      </c>
      <c r="D391" s="2" t="s">
        <v>1849</v>
      </c>
      <c r="E391" s="2" t="s">
        <v>1850</v>
      </c>
      <c r="F391" s="2" t="b">
        <v>1</v>
      </c>
      <c r="G391" s="2" t="b">
        <v>0</v>
      </c>
      <c r="H391" s="2" t="s">
        <v>37</v>
      </c>
      <c r="I391" s="2" t="s">
        <v>32</v>
      </c>
      <c r="J391" s="2" t="s">
        <v>1244</v>
      </c>
      <c r="K391" s="2" t="s">
        <v>495</v>
      </c>
      <c r="L391" s="13" t="s">
        <v>496</v>
      </c>
      <c r="M391" s="2" t="s">
        <v>26</v>
      </c>
      <c r="N391" s="11" t="s">
        <v>576</v>
      </c>
      <c r="O391" s="12" t="s">
        <v>53</v>
      </c>
      <c r="P391" s="5" t="str">
        <f>IFERROR(__xludf.DUMMYFUNCTION("TEXTJOIN("" | "",TRUE,IF(OR(D391="""",E391="""",I391="""",J391="""",H391=""""),""ফাঁকা ঘর"",""""),IF(AND(C391&lt;&gt;"""",D391&lt;&gt;"""",C391=D391),""gloss=figurative"",""""),IF(LEN(D391)&lt;15,""figurative ছোট"",""""),IF(AND(I391=""Positive"",REGEXMATCH(H391,""মূর্খ|"&amp;"ভণ্ড|প্রতার|অলস|লোভ|স্বার্থ|অক্ষম|অযোগ্য|বোকা|কৃপণ|হিংস"")),""valence-target অমিল"",""""),IF(COUNTIF($B:$B,B391)&gt;1,""ডুপ্লিকেট"",""""))"),"figurative ছোট")</f>
        <v>figurative ছোট</v>
      </c>
      <c r="Q391" s="5" t="str">
        <f t="shared" si="1"/>
        <v>১ আগে দেখো</v>
      </c>
    </row>
    <row r="392">
      <c r="A392" s="4">
        <v>5327.0</v>
      </c>
      <c r="B392" s="2" t="s">
        <v>1851</v>
      </c>
      <c r="C392" s="2" t="s">
        <v>1852</v>
      </c>
      <c r="D392" s="2" t="s">
        <v>1853</v>
      </c>
      <c r="E392" s="2" t="s">
        <v>1854</v>
      </c>
      <c r="F392" s="2" t="b">
        <v>1</v>
      </c>
      <c r="G392" s="2" t="b">
        <v>0</v>
      </c>
      <c r="H392" s="2" t="s">
        <v>37</v>
      </c>
      <c r="I392" s="2" t="s">
        <v>32</v>
      </c>
      <c r="J392" s="2" t="s">
        <v>891</v>
      </c>
      <c r="K392" s="2" t="s">
        <v>495</v>
      </c>
      <c r="L392" s="13" t="s">
        <v>496</v>
      </c>
      <c r="M392" s="2" t="s">
        <v>26</v>
      </c>
      <c r="N392" s="11" t="s">
        <v>576</v>
      </c>
      <c r="O392" s="12" t="s">
        <v>53</v>
      </c>
      <c r="P392" s="5" t="str">
        <f>IFERROR(__xludf.DUMMYFUNCTION("TEXTJOIN("" | "",TRUE,IF(OR(D392="""",E392="""",I392="""",J392="""",H392=""""),""ফাঁকা ঘর"",""""),IF(AND(C392&lt;&gt;"""",D392&lt;&gt;"""",C392=D392),""gloss=figurative"",""""),IF(LEN(D392)&lt;15,""figurative ছোট"",""""),IF(AND(I392=""Positive"",REGEXMATCH(H392,""মূর্খ|"&amp;"ভণ্ড|প্রতার|অলস|লোভ|স্বার্থ|অক্ষম|অযোগ্য|বোকা|কৃপণ|হিংস"")),""valence-target অমিল"",""""),IF(COUNTIF($B:$B,B392)&gt;1,""ডুপ্লিকেট"",""""))"),"figurative ছোট")</f>
        <v>figurative ছোট</v>
      </c>
      <c r="Q392" s="5" t="str">
        <f t="shared" si="1"/>
        <v>১ আগে দেখো</v>
      </c>
    </row>
    <row r="393">
      <c r="A393" s="4">
        <v>5331.0</v>
      </c>
      <c r="B393" s="2" t="s">
        <v>1855</v>
      </c>
      <c r="C393" s="2" t="s">
        <v>1856</v>
      </c>
      <c r="D393" s="2" t="s">
        <v>1857</v>
      </c>
      <c r="E393" s="2" t="s">
        <v>1858</v>
      </c>
      <c r="F393" s="2" t="b">
        <v>1</v>
      </c>
      <c r="G393" s="2" t="b">
        <v>0</v>
      </c>
      <c r="H393" s="2" t="s">
        <v>37</v>
      </c>
      <c r="I393" s="2" t="s">
        <v>22</v>
      </c>
      <c r="J393" s="2" t="s">
        <v>1859</v>
      </c>
      <c r="K393" s="2" t="s">
        <v>495</v>
      </c>
      <c r="L393" s="13" t="s">
        <v>496</v>
      </c>
      <c r="M393" s="2" t="s">
        <v>26</v>
      </c>
      <c r="N393" s="11" t="s">
        <v>576</v>
      </c>
      <c r="O393" s="12" t="s">
        <v>53</v>
      </c>
      <c r="P393" s="5" t="str">
        <f>IFERROR(__xludf.DUMMYFUNCTION("TEXTJOIN("" | "",TRUE,IF(OR(D393="""",E393="""",I393="""",J393="""",H393=""""),""ফাঁকা ঘর"",""""),IF(AND(C393&lt;&gt;"""",D393&lt;&gt;"""",C393=D393),""gloss=figurative"",""""),IF(LEN(D393)&lt;15,""figurative ছোট"",""""),IF(AND(I393=""Positive"",REGEXMATCH(H393,""মূর্খ|"&amp;"ভণ্ড|প্রতার|অলস|লোভ|স্বার্থ|অক্ষম|অযোগ্য|বোকা|কৃপণ|হিংস"")),""valence-target অমিল"",""""),IF(COUNTIF($B:$B,B393)&gt;1,""ডুপ্লিকেট"",""""))"),"figurative ছোট")</f>
        <v>figurative ছোট</v>
      </c>
      <c r="Q393" s="5" t="str">
        <f t="shared" si="1"/>
        <v>১ আগে দেখো</v>
      </c>
    </row>
    <row r="394">
      <c r="A394" s="4">
        <v>5332.0</v>
      </c>
      <c r="B394" s="2" t="s">
        <v>1860</v>
      </c>
      <c r="C394" s="2" t="s">
        <v>1861</v>
      </c>
      <c r="D394" s="2" t="s">
        <v>1862</v>
      </c>
      <c r="E394" s="2" t="s">
        <v>1863</v>
      </c>
      <c r="F394" s="2" t="b">
        <v>1</v>
      </c>
      <c r="G394" s="2" t="b">
        <v>0</v>
      </c>
      <c r="H394" s="2" t="s">
        <v>37</v>
      </c>
      <c r="I394" s="2" t="s">
        <v>22</v>
      </c>
      <c r="J394" s="2" t="s">
        <v>1305</v>
      </c>
      <c r="K394" s="2" t="s">
        <v>495</v>
      </c>
      <c r="L394" s="13" t="s">
        <v>496</v>
      </c>
      <c r="M394" s="2" t="s">
        <v>26</v>
      </c>
      <c r="N394" s="11" t="s">
        <v>576</v>
      </c>
      <c r="O394" s="12" t="s">
        <v>53</v>
      </c>
      <c r="P394" s="5" t="str">
        <f>IFERROR(__xludf.DUMMYFUNCTION("TEXTJOIN("" | "",TRUE,IF(OR(D394="""",E394="""",I394="""",J394="""",H394=""""),""ফাঁকা ঘর"",""""),IF(AND(C394&lt;&gt;"""",D394&lt;&gt;"""",C394=D394),""gloss=figurative"",""""),IF(LEN(D394)&lt;15,""figurative ছোট"",""""),IF(AND(I394=""Positive"",REGEXMATCH(H394,""মূর্খ|"&amp;"ভণ্ড|প্রতার|অলস|লোভ|স্বার্থ|অক্ষম|অযোগ্য|বোকা|কৃপণ|হিংস"")),""valence-target অমিল"",""""),IF(COUNTIF($B:$B,B394)&gt;1,""ডুপ্লিকেট"",""""))"),"figurative ছোট")</f>
        <v>figurative ছোট</v>
      </c>
      <c r="Q394" s="5" t="str">
        <f t="shared" si="1"/>
        <v>১ আগে দেখো</v>
      </c>
    </row>
    <row r="395">
      <c r="A395" s="4">
        <v>5333.0</v>
      </c>
      <c r="B395" s="2" t="s">
        <v>1864</v>
      </c>
      <c r="C395" s="2" t="s">
        <v>1865</v>
      </c>
      <c r="D395" s="2" t="s">
        <v>1866</v>
      </c>
      <c r="E395" s="2" t="s">
        <v>1867</v>
      </c>
      <c r="F395" s="2" t="b">
        <v>1</v>
      </c>
      <c r="G395" s="2" t="b">
        <v>0</v>
      </c>
      <c r="H395" s="2" t="s">
        <v>37</v>
      </c>
      <c r="I395" s="2" t="s">
        <v>49</v>
      </c>
      <c r="J395" s="2" t="s">
        <v>1060</v>
      </c>
      <c r="K395" s="2" t="s">
        <v>495</v>
      </c>
      <c r="L395" s="13" t="s">
        <v>496</v>
      </c>
      <c r="M395" s="2" t="s">
        <v>26</v>
      </c>
      <c r="N395" s="11" t="s">
        <v>576</v>
      </c>
      <c r="O395" s="12" t="s">
        <v>53</v>
      </c>
      <c r="P395" s="5" t="str">
        <f>IFERROR(__xludf.DUMMYFUNCTION("TEXTJOIN("" | "",TRUE,IF(OR(D395="""",E395="""",I395="""",J395="""",H395=""""),""ফাঁকা ঘর"",""""),IF(AND(C395&lt;&gt;"""",D395&lt;&gt;"""",C395=D395),""gloss=figurative"",""""),IF(LEN(D395)&lt;15,""figurative ছোট"",""""),IF(AND(I395=""Positive"",REGEXMATCH(H395,""মূর্খ|"&amp;"ভণ্ড|প্রতার|অলস|লোভ|স্বার্থ|অক্ষম|অযোগ্য|বোকা|কৃপণ|হিংস"")),""valence-target অমিল"",""""),IF(COUNTIF($B:$B,B395)&gt;1,""ডুপ্লিকেট"",""""))"),"figurative ছোট")</f>
        <v>figurative ছোট</v>
      </c>
      <c r="Q395" s="5" t="str">
        <f t="shared" si="1"/>
        <v>১ আগে দেখো</v>
      </c>
    </row>
    <row r="396">
      <c r="A396" s="4">
        <v>5336.0</v>
      </c>
      <c r="B396" s="2" t="s">
        <v>1868</v>
      </c>
      <c r="C396" s="2" t="s">
        <v>1869</v>
      </c>
      <c r="D396" s="2" t="s">
        <v>1870</v>
      </c>
      <c r="E396" s="2" t="s">
        <v>1871</v>
      </c>
      <c r="F396" s="2" t="b">
        <v>1</v>
      </c>
      <c r="G396" s="2" t="b">
        <v>0</v>
      </c>
      <c r="H396" s="2" t="s">
        <v>749</v>
      </c>
      <c r="I396" s="2" t="s">
        <v>22</v>
      </c>
      <c r="J396" s="2" t="s">
        <v>750</v>
      </c>
      <c r="K396" s="2" t="s">
        <v>495</v>
      </c>
      <c r="L396" s="13" t="s">
        <v>496</v>
      </c>
      <c r="M396" s="2" t="s">
        <v>26</v>
      </c>
      <c r="N396" s="11" t="s">
        <v>576</v>
      </c>
      <c r="O396" s="12" t="s">
        <v>53</v>
      </c>
      <c r="P396" s="5" t="str">
        <f>IFERROR(__xludf.DUMMYFUNCTION("TEXTJOIN("" | "",TRUE,IF(OR(D396="""",E396="""",I396="""",J396="""",H396=""""),""ফাঁকা ঘর"",""""),IF(AND(C396&lt;&gt;"""",D396&lt;&gt;"""",C396=D396),""gloss=figurative"",""""),IF(LEN(D396)&lt;15,""figurative ছোট"",""""),IF(AND(I396=""Positive"",REGEXMATCH(H396,""মূর্খ|"&amp;"ভণ্ড|প্রতার|অলস|লোভ|স্বার্থ|অক্ষম|অযোগ্য|বোকা|কৃপণ|হিংস"")),""valence-target অমিল"",""""),IF(COUNTIF($B:$B,B396)&gt;1,""ডুপ্লিকেট"",""""))"),"figurative ছোট")</f>
        <v>figurative ছোট</v>
      </c>
      <c r="Q396" s="5" t="str">
        <f t="shared" si="1"/>
        <v>১ আগে দেখো</v>
      </c>
    </row>
    <row r="397">
      <c r="A397" s="4">
        <v>5340.0</v>
      </c>
      <c r="B397" s="2" t="s">
        <v>1872</v>
      </c>
      <c r="C397" s="2" t="s">
        <v>1873</v>
      </c>
      <c r="D397" s="2" t="s">
        <v>1874</v>
      </c>
      <c r="E397" s="2" t="s">
        <v>1875</v>
      </c>
      <c r="F397" s="2" t="b">
        <v>1</v>
      </c>
      <c r="G397" s="2" t="b">
        <v>0</v>
      </c>
      <c r="H397" s="2" t="s">
        <v>37</v>
      </c>
      <c r="I397" s="2" t="s">
        <v>22</v>
      </c>
      <c r="J397" s="2" t="s">
        <v>1876</v>
      </c>
      <c r="K397" s="2" t="s">
        <v>495</v>
      </c>
      <c r="L397" s="13" t="s">
        <v>496</v>
      </c>
      <c r="M397" s="2" t="s">
        <v>26</v>
      </c>
      <c r="N397" s="11" t="s">
        <v>576</v>
      </c>
      <c r="O397" s="12" t="s">
        <v>53</v>
      </c>
      <c r="P397" s="5" t="str">
        <f>IFERROR(__xludf.DUMMYFUNCTION("TEXTJOIN("" | "",TRUE,IF(OR(D397="""",E397="""",I397="""",J397="""",H397=""""),""ফাঁকা ঘর"",""""),IF(AND(C397&lt;&gt;"""",D397&lt;&gt;"""",C397=D397),""gloss=figurative"",""""),IF(LEN(D397)&lt;15,""figurative ছোট"",""""),IF(AND(I397=""Positive"",REGEXMATCH(H397,""মূর্খ|"&amp;"ভণ্ড|প্রতার|অলস|লোভ|স্বার্থ|অক্ষম|অযোগ্য|বোকা|কৃপণ|হিংস"")),""valence-target অমিল"",""""),IF(COUNTIF($B:$B,B397)&gt;1,""ডুপ্লিকেট"",""""))"),"figurative ছোট")</f>
        <v>figurative ছোট</v>
      </c>
      <c r="Q397" s="5" t="str">
        <f t="shared" si="1"/>
        <v>১ আগে দেখো</v>
      </c>
    </row>
    <row r="398">
      <c r="A398" s="4">
        <v>5342.0</v>
      </c>
      <c r="B398" s="2" t="s">
        <v>1877</v>
      </c>
      <c r="C398" s="2" t="s">
        <v>1878</v>
      </c>
      <c r="D398" s="2" t="s">
        <v>1879</v>
      </c>
      <c r="E398" s="2" t="s">
        <v>1880</v>
      </c>
      <c r="F398" s="2" t="b">
        <v>1</v>
      </c>
      <c r="G398" s="2" t="b">
        <v>0</v>
      </c>
      <c r="H398" s="2" t="s">
        <v>37</v>
      </c>
      <c r="I398" s="2" t="s">
        <v>49</v>
      </c>
      <c r="J398" s="2" t="s">
        <v>300</v>
      </c>
      <c r="K398" s="2" t="s">
        <v>495</v>
      </c>
      <c r="L398" s="13" t="s">
        <v>496</v>
      </c>
      <c r="M398" s="2" t="s">
        <v>26</v>
      </c>
      <c r="N398" s="11" t="s">
        <v>576</v>
      </c>
      <c r="O398" s="12" t="s">
        <v>53</v>
      </c>
      <c r="P398" s="5" t="str">
        <f>IFERROR(__xludf.DUMMYFUNCTION("TEXTJOIN("" | "",TRUE,IF(OR(D398="""",E398="""",I398="""",J398="""",H398=""""),""ফাঁকা ঘর"",""""),IF(AND(C398&lt;&gt;"""",D398&lt;&gt;"""",C398=D398),""gloss=figurative"",""""),IF(LEN(D398)&lt;15,""figurative ছোট"",""""),IF(AND(I398=""Positive"",REGEXMATCH(H398,""মূর্খ|"&amp;"ভণ্ড|প্রতার|অলস|লোভ|স্বার্থ|অক্ষম|অযোগ্য|বোকা|কৃপণ|হিংস"")),""valence-target অমিল"",""""),IF(COUNTIF($B:$B,B398)&gt;1,""ডুপ্লিকেট"",""""))"),"figurative ছোট")</f>
        <v>figurative ছোট</v>
      </c>
      <c r="Q398" s="5" t="str">
        <f t="shared" si="1"/>
        <v>১ আগে দেখো</v>
      </c>
    </row>
    <row r="399">
      <c r="A399" s="4">
        <v>5343.0</v>
      </c>
      <c r="B399" s="2" t="s">
        <v>1881</v>
      </c>
      <c r="C399" s="2" t="s">
        <v>1882</v>
      </c>
      <c r="D399" s="2" t="s">
        <v>1883</v>
      </c>
      <c r="E399" s="2" t="s">
        <v>1884</v>
      </c>
      <c r="F399" s="2" t="b">
        <v>1</v>
      </c>
      <c r="G399" s="2" t="b">
        <v>1</v>
      </c>
      <c r="H399" s="2" t="s">
        <v>1106</v>
      </c>
      <c r="I399" s="2" t="s">
        <v>22</v>
      </c>
      <c r="J399" s="2" t="s">
        <v>1471</v>
      </c>
      <c r="K399" s="2" t="s">
        <v>495</v>
      </c>
      <c r="L399" s="13" t="s">
        <v>496</v>
      </c>
      <c r="M399" s="2" t="s">
        <v>26</v>
      </c>
      <c r="N399" s="11" t="s">
        <v>576</v>
      </c>
      <c r="O399" s="12" t="s">
        <v>53</v>
      </c>
      <c r="P399" s="5" t="str">
        <f>IFERROR(__xludf.DUMMYFUNCTION("TEXTJOIN("" | "",TRUE,IF(OR(D399="""",E399="""",I399="""",J399="""",H399=""""),""ফাঁকা ঘর"",""""),IF(AND(C399&lt;&gt;"""",D399&lt;&gt;"""",C399=D399),""gloss=figurative"",""""),IF(LEN(D399)&lt;15,""figurative ছোট"",""""),IF(AND(I399=""Positive"",REGEXMATCH(H399,""মূর্খ|"&amp;"ভণ্ড|প্রতার|অলস|লোভ|স্বার্থ|অক্ষম|অযোগ্য|বোকা|কৃপণ|হিংস"")),""valence-target অমিল"",""""),IF(COUNTIF($B:$B,B399)&gt;1,""ডুপ্লিকেট"",""""))"),"figurative ছোট")</f>
        <v>figurative ছোট</v>
      </c>
      <c r="Q399" s="5" t="str">
        <f t="shared" si="1"/>
        <v>১ আগে দেখো</v>
      </c>
    </row>
    <row r="400">
      <c r="A400" s="4">
        <v>5345.0</v>
      </c>
      <c r="B400" s="2" t="s">
        <v>1885</v>
      </c>
      <c r="C400" s="2" t="s">
        <v>1885</v>
      </c>
      <c r="D400" s="2" t="s">
        <v>1886</v>
      </c>
      <c r="E400" s="2" t="s">
        <v>1887</v>
      </c>
      <c r="F400" s="2" t="b">
        <v>1</v>
      </c>
      <c r="G400" s="2" t="b">
        <v>0</v>
      </c>
      <c r="H400" s="2" t="s">
        <v>37</v>
      </c>
      <c r="I400" s="2" t="s">
        <v>22</v>
      </c>
      <c r="J400" s="2" t="s">
        <v>808</v>
      </c>
      <c r="K400" s="2" t="s">
        <v>495</v>
      </c>
      <c r="L400" s="13" t="s">
        <v>496</v>
      </c>
      <c r="M400" s="2" t="s">
        <v>26</v>
      </c>
      <c r="N400" s="11" t="s">
        <v>576</v>
      </c>
      <c r="O400" s="12" t="s">
        <v>53</v>
      </c>
      <c r="P400" s="5" t="str">
        <f>IFERROR(__xludf.DUMMYFUNCTION("TEXTJOIN("" | "",TRUE,IF(OR(D400="""",E400="""",I400="""",J400="""",H400=""""),""ফাঁকা ঘর"",""""),IF(AND(C400&lt;&gt;"""",D400&lt;&gt;"""",C400=D400),""gloss=figurative"",""""),IF(LEN(D400)&lt;15,""figurative ছোট"",""""),IF(AND(I400=""Positive"",REGEXMATCH(H400,""মূর্খ|"&amp;"ভণ্ড|প্রতার|অলস|লোভ|স্বার্থ|অক্ষম|অযোগ্য|বোকা|কৃপণ|হিংস"")),""valence-target অমিল"",""""),IF(COUNTIF($B:$B,B400)&gt;1,""ডুপ্লিকেট"",""""))"),"figurative ছোট")</f>
        <v>figurative ছোট</v>
      </c>
      <c r="Q400" s="5" t="str">
        <f t="shared" si="1"/>
        <v>১ আগে দেখো</v>
      </c>
    </row>
    <row r="401">
      <c r="A401" s="4">
        <v>5346.0</v>
      </c>
      <c r="B401" s="2" t="s">
        <v>1888</v>
      </c>
      <c r="C401" s="2" t="s">
        <v>1889</v>
      </c>
      <c r="D401" s="2" t="s">
        <v>1890</v>
      </c>
      <c r="E401" s="2" t="s">
        <v>1891</v>
      </c>
      <c r="F401" s="2" t="b">
        <v>1</v>
      </c>
      <c r="G401" s="2" t="b">
        <v>1</v>
      </c>
      <c r="H401" s="2" t="s">
        <v>1065</v>
      </c>
      <c r="I401" s="2" t="s">
        <v>49</v>
      </c>
      <c r="J401" s="2" t="s">
        <v>1212</v>
      </c>
      <c r="K401" s="2" t="s">
        <v>495</v>
      </c>
      <c r="L401" s="13" t="s">
        <v>496</v>
      </c>
      <c r="M401" s="2" t="s">
        <v>26</v>
      </c>
      <c r="N401" s="11" t="s">
        <v>576</v>
      </c>
      <c r="O401" s="12" t="s">
        <v>53</v>
      </c>
      <c r="P401" s="5" t="str">
        <f>IFERROR(__xludf.DUMMYFUNCTION("TEXTJOIN("" | "",TRUE,IF(OR(D401="""",E401="""",I401="""",J401="""",H401=""""),""ফাঁকা ঘর"",""""),IF(AND(C401&lt;&gt;"""",D401&lt;&gt;"""",C401=D401),""gloss=figurative"",""""),IF(LEN(D401)&lt;15,""figurative ছোট"",""""),IF(AND(I401=""Positive"",REGEXMATCH(H401,""মূর্খ|"&amp;"ভণ্ড|প্রতার|অলস|লোভ|স্বার্থ|অক্ষম|অযোগ্য|বোকা|কৃপণ|হিংস"")),""valence-target অমিল"",""""),IF(COUNTIF($B:$B,B401)&gt;1,""ডুপ্লিকেট"",""""))"),"figurative ছোট")</f>
        <v>figurative ছোট</v>
      </c>
      <c r="Q401" s="5" t="str">
        <f t="shared" si="1"/>
        <v>১ আগে দেখো</v>
      </c>
    </row>
    <row r="402">
      <c r="A402" s="4">
        <v>5347.0</v>
      </c>
      <c r="B402" s="2" t="s">
        <v>1892</v>
      </c>
      <c r="C402" s="2" t="s">
        <v>1892</v>
      </c>
      <c r="D402" s="2" t="s">
        <v>1893</v>
      </c>
      <c r="E402" s="2" t="s">
        <v>1894</v>
      </c>
      <c r="F402" s="2" t="b">
        <v>1</v>
      </c>
      <c r="G402" s="2" t="b">
        <v>0</v>
      </c>
      <c r="H402" s="2" t="s">
        <v>37</v>
      </c>
      <c r="I402" s="2" t="s">
        <v>22</v>
      </c>
      <c r="J402" s="2" t="s">
        <v>1895</v>
      </c>
      <c r="K402" s="2" t="s">
        <v>495</v>
      </c>
      <c r="L402" s="13" t="s">
        <v>496</v>
      </c>
      <c r="M402" s="2" t="s">
        <v>26</v>
      </c>
      <c r="N402" s="11" t="s">
        <v>576</v>
      </c>
      <c r="O402" s="12" t="s">
        <v>53</v>
      </c>
      <c r="P402" s="5" t="str">
        <f>IFERROR(__xludf.DUMMYFUNCTION("TEXTJOIN("" | "",TRUE,IF(OR(D402="""",E402="""",I402="""",J402="""",H402=""""),""ফাঁকা ঘর"",""""),IF(AND(C402&lt;&gt;"""",D402&lt;&gt;"""",C402=D402),""gloss=figurative"",""""),IF(LEN(D402)&lt;15,""figurative ছোট"",""""),IF(AND(I402=""Positive"",REGEXMATCH(H402,""মূর্খ|"&amp;"ভণ্ড|প্রতার|অলস|লোভ|স্বার্থ|অক্ষম|অযোগ্য|বোকা|কৃপণ|হিংস"")),""valence-target অমিল"",""""),IF(COUNTIF($B:$B,B402)&gt;1,""ডুপ্লিকেট"",""""))"),"figurative ছোট")</f>
        <v>figurative ছোট</v>
      </c>
      <c r="Q402" s="5" t="str">
        <f t="shared" si="1"/>
        <v>১ আগে দেখো</v>
      </c>
    </row>
    <row r="403">
      <c r="A403" s="4">
        <v>5348.0</v>
      </c>
      <c r="B403" s="2" t="s">
        <v>1896</v>
      </c>
      <c r="C403" s="2" t="s">
        <v>1897</v>
      </c>
      <c r="D403" s="2" t="s">
        <v>1898</v>
      </c>
      <c r="E403" s="2" t="s">
        <v>1899</v>
      </c>
      <c r="F403" s="2" t="b">
        <v>1</v>
      </c>
      <c r="G403" s="2" t="b">
        <v>0</v>
      </c>
      <c r="H403" s="2" t="s">
        <v>37</v>
      </c>
      <c r="I403" s="2" t="s">
        <v>22</v>
      </c>
      <c r="J403" s="2" t="s">
        <v>1895</v>
      </c>
      <c r="K403" s="2" t="s">
        <v>495</v>
      </c>
      <c r="L403" s="13" t="s">
        <v>496</v>
      </c>
      <c r="M403" s="2" t="s">
        <v>26</v>
      </c>
      <c r="N403" s="11" t="s">
        <v>576</v>
      </c>
      <c r="O403" s="12" t="s">
        <v>53</v>
      </c>
      <c r="P403" s="5" t="str">
        <f>IFERROR(__xludf.DUMMYFUNCTION("TEXTJOIN("" | "",TRUE,IF(OR(D403="""",E403="""",I403="""",J403="""",H403=""""),""ফাঁকা ঘর"",""""),IF(AND(C403&lt;&gt;"""",D403&lt;&gt;"""",C403=D403),""gloss=figurative"",""""),IF(LEN(D403)&lt;15,""figurative ছোট"",""""),IF(AND(I403=""Positive"",REGEXMATCH(H403,""মূর্খ|"&amp;"ভণ্ড|প্রতার|অলস|লোভ|স্বার্থ|অক্ষম|অযোগ্য|বোকা|কৃপণ|হিংস"")),""valence-target অমিল"",""""),IF(COUNTIF($B:$B,B403)&gt;1,""ডুপ্লিকেট"",""""))"),"figurative ছোট")</f>
        <v>figurative ছোট</v>
      </c>
      <c r="Q403" s="5" t="str">
        <f t="shared" si="1"/>
        <v>১ আগে দেখো</v>
      </c>
    </row>
    <row r="404">
      <c r="A404" s="4">
        <v>5349.0</v>
      </c>
      <c r="B404" s="2" t="s">
        <v>1900</v>
      </c>
      <c r="C404" s="2" t="s">
        <v>1901</v>
      </c>
      <c r="D404" s="2" t="s">
        <v>1397</v>
      </c>
      <c r="E404" s="2" t="s">
        <v>1902</v>
      </c>
      <c r="F404" s="2" t="b">
        <v>1</v>
      </c>
      <c r="G404" s="2" t="b">
        <v>1</v>
      </c>
      <c r="H404" s="2" t="s">
        <v>1106</v>
      </c>
      <c r="I404" s="2" t="s">
        <v>22</v>
      </c>
      <c r="J404" s="2" t="s">
        <v>1397</v>
      </c>
      <c r="K404" s="2" t="s">
        <v>495</v>
      </c>
      <c r="L404" s="13" t="s">
        <v>496</v>
      </c>
      <c r="M404" s="2" t="s">
        <v>26</v>
      </c>
      <c r="N404" s="11" t="s">
        <v>576</v>
      </c>
      <c r="O404" s="12" t="s">
        <v>53</v>
      </c>
      <c r="P404" s="5" t="str">
        <f>IFERROR(__xludf.DUMMYFUNCTION("TEXTJOIN("" | "",TRUE,IF(OR(D404="""",E404="""",I404="""",J404="""",H404=""""),""ফাঁকা ঘর"",""""),IF(AND(C404&lt;&gt;"""",D404&lt;&gt;"""",C404=D404),""gloss=figurative"",""""),IF(LEN(D404)&lt;15,""figurative ছোট"",""""),IF(AND(I404=""Positive"",REGEXMATCH(H404,""মূর্খ|"&amp;"ভণ্ড|প্রতার|অলস|লোভ|স্বার্থ|অক্ষম|অযোগ্য|বোকা|কৃপণ|হিংস"")),""valence-target অমিল"",""""),IF(COUNTIF($B:$B,B404)&gt;1,""ডুপ্লিকেট"",""""))"),"figurative ছোট")</f>
        <v>figurative ছোট</v>
      </c>
      <c r="Q404" s="5" t="str">
        <f t="shared" si="1"/>
        <v>১ আগে দেখো</v>
      </c>
    </row>
    <row r="405">
      <c r="A405" s="4">
        <v>5351.0</v>
      </c>
      <c r="B405" s="2" t="s">
        <v>1903</v>
      </c>
      <c r="C405" s="2" t="s">
        <v>1904</v>
      </c>
      <c r="D405" s="2" t="s">
        <v>1905</v>
      </c>
      <c r="E405" s="2" t="s">
        <v>1906</v>
      </c>
      <c r="F405" s="2" t="b">
        <v>1</v>
      </c>
      <c r="G405" s="2" t="b">
        <v>0</v>
      </c>
      <c r="H405" s="2" t="s">
        <v>37</v>
      </c>
      <c r="I405" s="2" t="s">
        <v>22</v>
      </c>
      <c r="J405" s="2" t="s">
        <v>820</v>
      </c>
      <c r="K405" s="2" t="s">
        <v>495</v>
      </c>
      <c r="L405" s="13" t="s">
        <v>496</v>
      </c>
      <c r="M405" s="2" t="s">
        <v>26</v>
      </c>
      <c r="N405" s="11" t="s">
        <v>1907</v>
      </c>
      <c r="O405" s="12" t="s">
        <v>53</v>
      </c>
      <c r="P405" s="5" t="str">
        <f>IFERROR(__xludf.DUMMYFUNCTION("TEXTJOIN("" | "",TRUE,IF(OR(D405="""",E405="""",I405="""",J405="""",H405=""""),""ফাঁকা ঘর"",""""),IF(AND(C405&lt;&gt;"""",D405&lt;&gt;"""",C405=D405),""gloss=figurative"",""""),IF(LEN(D405)&lt;15,""figurative ছোট"",""""),IF(AND(I405=""Positive"",REGEXMATCH(H405,""মূর্খ|"&amp;"ভণ্ড|প্রতার|অলস|লোভ|স্বার্থ|অক্ষম|অযোগ্য|বোকা|কৃপণ|হিংস"")),""valence-target অমিল"",""""),IF(COUNTIF($B:$B,B405)&gt;1,""ডুপ্লিকেট"",""""))"),"figurative ছোট")</f>
        <v>figurative ছোট</v>
      </c>
      <c r="Q405" s="5" t="str">
        <f t="shared" si="1"/>
        <v>১ আগে দেখো</v>
      </c>
    </row>
    <row r="406">
      <c r="A406" s="4">
        <v>5352.0</v>
      </c>
      <c r="B406" s="2" t="s">
        <v>1908</v>
      </c>
      <c r="C406" s="2" t="s">
        <v>1909</v>
      </c>
      <c r="D406" s="2" t="s">
        <v>1910</v>
      </c>
      <c r="E406" s="2" t="s">
        <v>1911</v>
      </c>
      <c r="F406" s="2" t="b">
        <v>1</v>
      </c>
      <c r="G406" s="2" t="b">
        <v>0</v>
      </c>
      <c r="H406" s="2" t="s">
        <v>37</v>
      </c>
      <c r="I406" s="2" t="s">
        <v>32</v>
      </c>
      <c r="J406" s="2" t="s">
        <v>739</v>
      </c>
      <c r="K406" s="2" t="s">
        <v>495</v>
      </c>
      <c r="L406" s="13" t="s">
        <v>496</v>
      </c>
      <c r="M406" s="2" t="s">
        <v>26</v>
      </c>
      <c r="N406" s="11" t="s">
        <v>1912</v>
      </c>
      <c r="O406" s="12" t="s">
        <v>53</v>
      </c>
      <c r="P406" s="5" t="str">
        <f>IFERROR(__xludf.DUMMYFUNCTION("TEXTJOIN("" | "",TRUE,IF(OR(D406="""",E406="""",I406="""",J406="""",H406=""""),""ফাঁকা ঘর"",""""),IF(AND(C406&lt;&gt;"""",D406&lt;&gt;"""",C406=D406),""gloss=figurative"",""""),IF(LEN(D406)&lt;15,""figurative ছোট"",""""),IF(AND(I406=""Positive"",REGEXMATCH(H406,""মূর্খ|"&amp;"ভণ্ড|প্রতার|অলস|লোভ|স্বার্থ|অক্ষম|অযোগ্য|বোকা|কৃপণ|হিংস"")),""valence-target অমিল"",""""),IF(COUNTIF($B:$B,B406)&gt;1,""ডুপ্লিকেট"",""""))"),"figurative ছোট")</f>
        <v>figurative ছোট</v>
      </c>
      <c r="Q406" s="5" t="str">
        <f t="shared" si="1"/>
        <v>১ আগে দেখো</v>
      </c>
    </row>
    <row r="407">
      <c r="A407" s="4">
        <v>5353.0</v>
      </c>
      <c r="B407" s="2" t="s">
        <v>1913</v>
      </c>
      <c r="C407" s="2" t="s">
        <v>1914</v>
      </c>
      <c r="D407" s="2" t="s">
        <v>1915</v>
      </c>
      <c r="E407" s="2" t="s">
        <v>1916</v>
      </c>
      <c r="F407" s="2" t="b">
        <v>1</v>
      </c>
      <c r="G407" s="2" t="b">
        <v>0</v>
      </c>
      <c r="H407" s="2" t="s">
        <v>37</v>
      </c>
      <c r="I407" s="2" t="s">
        <v>32</v>
      </c>
      <c r="J407" s="2" t="s">
        <v>1915</v>
      </c>
      <c r="K407" s="2" t="s">
        <v>495</v>
      </c>
      <c r="L407" s="13" t="s">
        <v>496</v>
      </c>
      <c r="M407" s="2" t="s">
        <v>26</v>
      </c>
      <c r="N407" s="11" t="s">
        <v>1917</v>
      </c>
      <c r="O407" s="12" t="s">
        <v>53</v>
      </c>
      <c r="P407" s="5" t="str">
        <f>IFERROR(__xludf.DUMMYFUNCTION("TEXTJOIN("" | "",TRUE,IF(OR(D407="""",E407="""",I407="""",J407="""",H407=""""),""ফাঁকা ঘর"",""""),IF(AND(C407&lt;&gt;"""",D407&lt;&gt;"""",C407=D407),""gloss=figurative"",""""),IF(LEN(D407)&lt;15,""figurative ছোট"",""""),IF(AND(I407=""Positive"",REGEXMATCH(H407,""মূর্খ|"&amp;"ভণ্ড|প্রতার|অলস|লোভ|স্বার্থ|অক্ষম|অযোগ্য|বোকা|কৃপণ|হিংস"")),""valence-target অমিল"",""""),IF(COUNTIF($B:$B,B407)&gt;1,""ডুপ্লিকেট"",""""))"),"figurative ছোট")</f>
        <v>figurative ছোট</v>
      </c>
      <c r="Q407" s="5" t="str">
        <f t="shared" si="1"/>
        <v>১ আগে দেখো</v>
      </c>
    </row>
    <row r="408">
      <c r="A408" s="4">
        <v>5354.0</v>
      </c>
      <c r="B408" s="2" t="s">
        <v>1918</v>
      </c>
      <c r="C408" s="2" t="s">
        <v>1919</v>
      </c>
      <c r="D408" s="2" t="s">
        <v>1920</v>
      </c>
      <c r="E408" s="2" t="s">
        <v>1921</v>
      </c>
      <c r="F408" s="2" t="b">
        <v>1</v>
      </c>
      <c r="G408" s="2" t="b">
        <v>0</v>
      </c>
      <c r="H408" s="2" t="s">
        <v>37</v>
      </c>
      <c r="I408" s="2" t="s">
        <v>32</v>
      </c>
      <c r="J408" s="2" t="s">
        <v>1518</v>
      </c>
      <c r="K408" s="2" t="s">
        <v>495</v>
      </c>
      <c r="L408" s="13" t="s">
        <v>496</v>
      </c>
      <c r="M408" s="2" t="s">
        <v>26</v>
      </c>
      <c r="N408" s="11" t="s">
        <v>576</v>
      </c>
      <c r="O408" s="12" t="s">
        <v>53</v>
      </c>
      <c r="P408" s="5" t="str">
        <f>IFERROR(__xludf.DUMMYFUNCTION("TEXTJOIN("" | "",TRUE,IF(OR(D408="""",E408="""",I408="""",J408="""",H408=""""),""ফাঁকা ঘর"",""""),IF(AND(C408&lt;&gt;"""",D408&lt;&gt;"""",C408=D408),""gloss=figurative"",""""),IF(LEN(D408)&lt;15,""figurative ছোট"",""""),IF(AND(I408=""Positive"",REGEXMATCH(H408,""মূর্খ|"&amp;"ভণ্ড|প্রতার|অলস|লোভ|স্বার্থ|অক্ষম|অযোগ্য|বোকা|কৃপণ|হিংস"")),""valence-target অমিল"",""""),IF(COUNTIF($B:$B,B408)&gt;1,""ডুপ্লিকেট"",""""))"),"figurative ছোট")</f>
        <v>figurative ছোট</v>
      </c>
      <c r="Q408" s="5" t="str">
        <f t="shared" si="1"/>
        <v>১ আগে দেখো</v>
      </c>
    </row>
    <row r="409">
      <c r="A409" s="4">
        <v>5355.0</v>
      </c>
      <c r="B409" s="2" t="s">
        <v>1922</v>
      </c>
      <c r="C409" s="2" t="s">
        <v>1922</v>
      </c>
      <c r="D409" s="2" t="s">
        <v>1923</v>
      </c>
      <c r="E409" s="2" t="s">
        <v>1924</v>
      </c>
      <c r="F409" s="2" t="b">
        <v>1</v>
      </c>
      <c r="G409" s="2" t="b">
        <v>0</v>
      </c>
      <c r="H409" s="2" t="s">
        <v>37</v>
      </c>
      <c r="I409" s="2" t="s">
        <v>32</v>
      </c>
      <c r="J409" s="2" t="s">
        <v>1925</v>
      </c>
      <c r="K409" s="2" t="s">
        <v>495</v>
      </c>
      <c r="L409" s="13" t="s">
        <v>496</v>
      </c>
      <c r="M409" s="2" t="s">
        <v>26</v>
      </c>
      <c r="N409" s="11" t="s">
        <v>576</v>
      </c>
      <c r="O409" s="12" t="s">
        <v>53</v>
      </c>
      <c r="P409" s="5" t="str">
        <f>IFERROR(__xludf.DUMMYFUNCTION("TEXTJOIN("" | "",TRUE,IF(OR(D409="""",E409="""",I409="""",J409="""",H409=""""),""ফাঁকা ঘর"",""""),IF(AND(C409&lt;&gt;"""",D409&lt;&gt;"""",C409=D409),""gloss=figurative"",""""),IF(LEN(D409)&lt;15,""figurative ছোট"",""""),IF(AND(I409=""Positive"",REGEXMATCH(H409,""মূর্খ|"&amp;"ভণ্ড|প্রতার|অলস|লোভ|স্বার্থ|অক্ষম|অযোগ্য|বোকা|কৃপণ|হিংস"")),""valence-target অমিল"",""""),IF(COUNTIF($B:$B,B409)&gt;1,""ডুপ্লিকেট"",""""))"),"figurative ছোট")</f>
        <v>figurative ছোট</v>
      </c>
      <c r="Q409" s="5" t="str">
        <f t="shared" si="1"/>
        <v>১ আগে দেখো</v>
      </c>
    </row>
    <row r="410">
      <c r="A410" s="4">
        <v>5358.0</v>
      </c>
      <c r="B410" s="2" t="s">
        <v>1926</v>
      </c>
      <c r="C410" s="2" t="s">
        <v>1927</v>
      </c>
      <c r="D410" s="2" t="s">
        <v>1928</v>
      </c>
      <c r="E410" s="2" t="s">
        <v>1929</v>
      </c>
      <c r="F410" s="2" t="b">
        <v>1</v>
      </c>
      <c r="G410" s="2" t="b">
        <v>0</v>
      </c>
      <c r="H410" s="2" t="s">
        <v>37</v>
      </c>
      <c r="I410" s="2" t="s">
        <v>49</v>
      </c>
      <c r="J410" s="2" t="s">
        <v>208</v>
      </c>
      <c r="K410" s="2" t="s">
        <v>495</v>
      </c>
      <c r="L410" s="13" t="s">
        <v>496</v>
      </c>
      <c r="M410" s="2" t="s">
        <v>26</v>
      </c>
      <c r="N410" s="11" t="s">
        <v>576</v>
      </c>
      <c r="O410" s="12" t="s">
        <v>53</v>
      </c>
      <c r="P410" s="5" t="str">
        <f>IFERROR(__xludf.DUMMYFUNCTION("TEXTJOIN("" | "",TRUE,IF(OR(D410="""",E410="""",I410="""",J410="""",H410=""""),""ফাঁকা ঘর"",""""),IF(AND(C410&lt;&gt;"""",D410&lt;&gt;"""",C410=D410),""gloss=figurative"",""""),IF(LEN(D410)&lt;15,""figurative ছোট"",""""),IF(AND(I410=""Positive"",REGEXMATCH(H410,""মূর্খ|"&amp;"ভণ্ড|প্রতার|অলস|লোভ|স্বার্থ|অক্ষম|অযোগ্য|বোকা|কৃপণ|হিংস"")),""valence-target অমিল"",""""),IF(COUNTIF($B:$B,B410)&gt;1,""ডুপ্লিকেট"",""""))"),"figurative ছোট")</f>
        <v>figurative ছোট</v>
      </c>
      <c r="Q410" s="5" t="str">
        <f t="shared" si="1"/>
        <v>১ আগে দেখো</v>
      </c>
    </row>
    <row r="411">
      <c r="A411" s="4">
        <v>5362.0</v>
      </c>
      <c r="B411" s="2" t="s">
        <v>1930</v>
      </c>
      <c r="C411" s="2" t="s">
        <v>1931</v>
      </c>
      <c r="D411" s="2" t="s">
        <v>1932</v>
      </c>
      <c r="E411" s="2" t="s">
        <v>1933</v>
      </c>
      <c r="F411" s="2" t="b">
        <v>1</v>
      </c>
      <c r="G411" s="2" t="b">
        <v>0</v>
      </c>
      <c r="H411" s="2" t="s">
        <v>37</v>
      </c>
      <c r="I411" s="2" t="s">
        <v>22</v>
      </c>
      <c r="J411" s="2" t="s">
        <v>1934</v>
      </c>
      <c r="K411" s="2" t="s">
        <v>495</v>
      </c>
      <c r="L411" s="13" t="s">
        <v>496</v>
      </c>
      <c r="M411" s="2" t="s">
        <v>26</v>
      </c>
      <c r="N411" s="11" t="s">
        <v>576</v>
      </c>
      <c r="O411" s="12" t="s">
        <v>53</v>
      </c>
      <c r="P411" s="5" t="str">
        <f>IFERROR(__xludf.DUMMYFUNCTION("TEXTJOIN("" | "",TRUE,IF(OR(D411="""",E411="""",I411="""",J411="""",H411=""""),""ফাঁকা ঘর"",""""),IF(AND(C411&lt;&gt;"""",D411&lt;&gt;"""",C411=D411),""gloss=figurative"",""""),IF(LEN(D411)&lt;15,""figurative ছোট"",""""),IF(AND(I411=""Positive"",REGEXMATCH(H411,""মূর্খ|"&amp;"ভণ্ড|প্রতার|অলস|লোভ|স্বার্থ|অক্ষম|অযোগ্য|বোকা|কৃপণ|হিংস"")),""valence-target অমিল"",""""),IF(COUNTIF($B:$B,B411)&gt;1,""ডুপ্লিকেট"",""""))"),"figurative ছোট")</f>
        <v>figurative ছোট</v>
      </c>
      <c r="Q411" s="5" t="str">
        <f t="shared" si="1"/>
        <v>১ আগে দেখো</v>
      </c>
    </row>
    <row r="412">
      <c r="A412" s="4">
        <v>5365.0</v>
      </c>
      <c r="B412" s="2" t="s">
        <v>1935</v>
      </c>
      <c r="C412" s="2" t="s">
        <v>1935</v>
      </c>
      <c r="D412" s="2" t="s">
        <v>1936</v>
      </c>
      <c r="E412" s="2" t="s">
        <v>1937</v>
      </c>
      <c r="F412" s="2" t="b">
        <v>1</v>
      </c>
      <c r="G412" s="2" t="b">
        <v>0</v>
      </c>
      <c r="H412" s="2" t="s">
        <v>37</v>
      </c>
      <c r="I412" s="2" t="s">
        <v>22</v>
      </c>
      <c r="J412" s="2" t="s">
        <v>820</v>
      </c>
      <c r="K412" s="2" t="s">
        <v>495</v>
      </c>
      <c r="L412" s="13" t="s">
        <v>496</v>
      </c>
      <c r="M412" s="2" t="s">
        <v>26</v>
      </c>
      <c r="N412" s="11" t="s">
        <v>576</v>
      </c>
      <c r="O412" s="12" t="s">
        <v>53</v>
      </c>
      <c r="P412" s="5" t="str">
        <f>IFERROR(__xludf.DUMMYFUNCTION("TEXTJOIN("" | "",TRUE,IF(OR(D412="""",E412="""",I412="""",J412="""",H412=""""),""ফাঁকা ঘর"",""""),IF(AND(C412&lt;&gt;"""",D412&lt;&gt;"""",C412=D412),""gloss=figurative"",""""),IF(LEN(D412)&lt;15,""figurative ছোট"",""""),IF(AND(I412=""Positive"",REGEXMATCH(H412,""মূর্খ|"&amp;"ভণ্ড|প্রতার|অলস|লোভ|স্বার্থ|অক্ষম|অযোগ্য|বোকা|কৃপণ|হিংস"")),""valence-target অমিল"",""""),IF(COUNTIF($B:$B,B412)&gt;1,""ডুপ্লিকেট"",""""))"),"figurative ছোট")</f>
        <v>figurative ছোট</v>
      </c>
      <c r="Q412" s="5" t="str">
        <f t="shared" si="1"/>
        <v>১ আগে দেখো</v>
      </c>
    </row>
    <row r="413">
      <c r="A413" s="4">
        <v>5371.0</v>
      </c>
      <c r="B413" s="2" t="s">
        <v>1938</v>
      </c>
      <c r="C413" s="2" t="s">
        <v>1938</v>
      </c>
      <c r="D413" s="2" t="s">
        <v>590</v>
      </c>
      <c r="E413" s="2" t="s">
        <v>1939</v>
      </c>
      <c r="F413" s="2" t="b">
        <v>1</v>
      </c>
      <c r="G413" s="2" t="b">
        <v>0</v>
      </c>
      <c r="H413" s="2" t="s">
        <v>37</v>
      </c>
      <c r="I413" s="2" t="s">
        <v>22</v>
      </c>
      <c r="J413" s="2" t="s">
        <v>1940</v>
      </c>
      <c r="K413" s="2" t="s">
        <v>495</v>
      </c>
      <c r="L413" s="13" t="s">
        <v>496</v>
      </c>
      <c r="M413" s="2" t="s">
        <v>26</v>
      </c>
      <c r="N413" s="11" t="s">
        <v>576</v>
      </c>
      <c r="O413" s="12" t="s">
        <v>53</v>
      </c>
      <c r="P413" s="5" t="str">
        <f>IFERROR(__xludf.DUMMYFUNCTION("TEXTJOIN("" | "",TRUE,IF(OR(D413="""",E413="""",I413="""",J413="""",H413=""""),""ফাঁকা ঘর"",""""),IF(AND(C413&lt;&gt;"""",D413&lt;&gt;"""",C413=D413),""gloss=figurative"",""""),IF(LEN(D413)&lt;15,""figurative ছোট"",""""),IF(AND(I413=""Positive"",REGEXMATCH(H413,""মূর্খ|"&amp;"ভণ্ড|প্রতার|অলস|লোভ|স্বার্থ|অক্ষম|অযোগ্য|বোকা|কৃপণ|হিংস"")),""valence-target অমিল"",""""),IF(COUNTIF($B:$B,B413)&gt;1,""ডুপ্লিকেট"",""""))"),"figurative ছোট")</f>
        <v>figurative ছোট</v>
      </c>
      <c r="Q413" s="5" t="str">
        <f t="shared" si="1"/>
        <v>১ আগে দেখো</v>
      </c>
    </row>
    <row r="414">
      <c r="A414" s="4">
        <v>5372.0</v>
      </c>
      <c r="B414" s="2" t="s">
        <v>1941</v>
      </c>
      <c r="C414" s="2" t="s">
        <v>1941</v>
      </c>
      <c r="D414" s="2" t="s">
        <v>1942</v>
      </c>
      <c r="E414" s="2" t="s">
        <v>1943</v>
      </c>
      <c r="F414" s="2" t="b">
        <v>1</v>
      </c>
      <c r="G414" s="2" t="b">
        <v>0</v>
      </c>
      <c r="H414" s="2" t="s">
        <v>37</v>
      </c>
      <c r="I414" s="2" t="s">
        <v>32</v>
      </c>
      <c r="J414" s="2" t="s">
        <v>1944</v>
      </c>
      <c r="K414" s="2" t="s">
        <v>495</v>
      </c>
      <c r="L414" s="13" t="s">
        <v>496</v>
      </c>
      <c r="M414" s="2" t="s">
        <v>26</v>
      </c>
      <c r="N414" s="11" t="s">
        <v>576</v>
      </c>
      <c r="O414" s="12" t="s">
        <v>53</v>
      </c>
      <c r="P414" s="5" t="str">
        <f>IFERROR(__xludf.DUMMYFUNCTION("TEXTJOIN("" | "",TRUE,IF(OR(D414="""",E414="""",I414="""",J414="""",H414=""""),""ফাঁকা ঘর"",""""),IF(AND(C414&lt;&gt;"""",D414&lt;&gt;"""",C414=D414),""gloss=figurative"",""""),IF(LEN(D414)&lt;15,""figurative ছোট"",""""),IF(AND(I414=""Positive"",REGEXMATCH(H414,""মূর্খ|"&amp;"ভণ্ড|প্রতার|অলস|লোভ|স্বার্থ|অক্ষম|অযোগ্য|বোকা|কৃপণ|হিংস"")),""valence-target অমিল"",""""),IF(COUNTIF($B:$B,B414)&gt;1,""ডুপ্লিকেট"",""""))"),"figurative ছোট")</f>
        <v>figurative ছোট</v>
      </c>
      <c r="Q414" s="5" t="str">
        <f t="shared" si="1"/>
        <v>১ আগে দেখো</v>
      </c>
    </row>
    <row r="415">
      <c r="A415" s="4">
        <v>5373.0</v>
      </c>
      <c r="B415" s="2" t="s">
        <v>1945</v>
      </c>
      <c r="C415" s="2" t="s">
        <v>1946</v>
      </c>
      <c r="D415" s="2" t="s">
        <v>1947</v>
      </c>
      <c r="E415" s="2" t="s">
        <v>1948</v>
      </c>
      <c r="F415" s="2" t="b">
        <v>1</v>
      </c>
      <c r="G415" s="2" t="b">
        <v>1</v>
      </c>
      <c r="H415" s="2" t="s">
        <v>1106</v>
      </c>
      <c r="I415" s="2" t="s">
        <v>49</v>
      </c>
      <c r="J415" s="2" t="s">
        <v>1949</v>
      </c>
      <c r="K415" s="2" t="s">
        <v>495</v>
      </c>
      <c r="L415" s="13" t="s">
        <v>496</v>
      </c>
      <c r="M415" s="2" t="s">
        <v>26</v>
      </c>
      <c r="N415" s="11" t="s">
        <v>576</v>
      </c>
      <c r="O415" s="12" t="s">
        <v>53</v>
      </c>
      <c r="P415" s="5" t="str">
        <f>IFERROR(__xludf.DUMMYFUNCTION("TEXTJOIN("" | "",TRUE,IF(OR(D415="""",E415="""",I415="""",J415="""",H415=""""),""ফাঁকা ঘর"",""""),IF(AND(C415&lt;&gt;"""",D415&lt;&gt;"""",C415=D415),""gloss=figurative"",""""),IF(LEN(D415)&lt;15,""figurative ছোট"",""""),IF(AND(I415=""Positive"",REGEXMATCH(H415,""মূর্খ|"&amp;"ভণ্ড|প্রতার|অলস|লোভ|স্বার্থ|অক্ষম|অযোগ্য|বোকা|কৃপণ|হিংস"")),""valence-target অমিল"",""""),IF(COUNTIF($B:$B,B415)&gt;1,""ডুপ্লিকেট"",""""))"),"figurative ছোট")</f>
        <v>figurative ছোট</v>
      </c>
      <c r="Q415" s="5" t="str">
        <f t="shared" si="1"/>
        <v>১ আগে দেখো</v>
      </c>
    </row>
    <row r="416">
      <c r="A416" s="4">
        <v>5374.0</v>
      </c>
      <c r="B416" s="2" t="s">
        <v>1950</v>
      </c>
      <c r="C416" s="2" t="s">
        <v>1951</v>
      </c>
      <c r="D416" s="2" t="s">
        <v>1952</v>
      </c>
      <c r="E416" s="2" t="s">
        <v>1953</v>
      </c>
      <c r="F416" s="2" t="b">
        <v>1</v>
      </c>
      <c r="G416" s="2" t="b">
        <v>0</v>
      </c>
      <c r="H416" s="2" t="s">
        <v>37</v>
      </c>
      <c r="I416" s="2" t="s">
        <v>32</v>
      </c>
      <c r="J416" s="2" t="s">
        <v>436</v>
      </c>
      <c r="K416" s="2" t="s">
        <v>495</v>
      </c>
      <c r="L416" s="13" t="s">
        <v>496</v>
      </c>
      <c r="M416" s="2" t="s">
        <v>26</v>
      </c>
      <c r="N416" s="11" t="s">
        <v>576</v>
      </c>
      <c r="O416" s="12" t="s">
        <v>53</v>
      </c>
      <c r="P416" s="5" t="str">
        <f>IFERROR(__xludf.DUMMYFUNCTION("TEXTJOIN("" | "",TRUE,IF(OR(D416="""",E416="""",I416="""",J416="""",H416=""""),""ফাঁকা ঘর"",""""),IF(AND(C416&lt;&gt;"""",D416&lt;&gt;"""",C416=D416),""gloss=figurative"",""""),IF(LEN(D416)&lt;15,""figurative ছোট"",""""),IF(AND(I416=""Positive"",REGEXMATCH(H416,""মূর্খ|"&amp;"ভণ্ড|প্রতার|অলস|লোভ|স্বার্থ|অক্ষম|অযোগ্য|বোকা|কৃপণ|হিংস"")),""valence-target অমিল"",""""),IF(COUNTIF($B:$B,B416)&gt;1,""ডুপ্লিকেট"",""""))"),"figurative ছোট")</f>
        <v>figurative ছোট</v>
      </c>
      <c r="Q416" s="5" t="str">
        <f t="shared" si="1"/>
        <v>১ আগে দেখো</v>
      </c>
    </row>
    <row r="417">
      <c r="A417" s="4">
        <v>5375.0</v>
      </c>
      <c r="B417" s="2" t="s">
        <v>1954</v>
      </c>
      <c r="C417" s="2" t="s">
        <v>1955</v>
      </c>
      <c r="D417" s="2" t="s">
        <v>1956</v>
      </c>
      <c r="E417" s="2" t="s">
        <v>1957</v>
      </c>
      <c r="F417" s="2" t="b">
        <v>1</v>
      </c>
      <c r="G417" s="2" t="b">
        <v>1</v>
      </c>
      <c r="H417" s="2" t="s">
        <v>1106</v>
      </c>
      <c r="I417" s="2" t="s">
        <v>49</v>
      </c>
      <c r="J417" s="2" t="s">
        <v>1949</v>
      </c>
      <c r="K417" s="2" t="s">
        <v>495</v>
      </c>
      <c r="L417" s="13" t="s">
        <v>496</v>
      </c>
      <c r="M417" s="2" t="s">
        <v>26</v>
      </c>
      <c r="N417" s="11" t="s">
        <v>576</v>
      </c>
      <c r="O417" s="12" t="s">
        <v>53</v>
      </c>
      <c r="P417" s="5" t="str">
        <f>IFERROR(__xludf.DUMMYFUNCTION("TEXTJOIN("" | "",TRUE,IF(OR(D417="""",E417="""",I417="""",J417="""",H417=""""),""ফাঁকা ঘর"",""""),IF(AND(C417&lt;&gt;"""",D417&lt;&gt;"""",C417=D417),""gloss=figurative"",""""),IF(LEN(D417)&lt;15,""figurative ছোট"",""""),IF(AND(I417=""Positive"",REGEXMATCH(H417,""মূর্খ|"&amp;"ভণ্ড|প্রতার|অলস|লোভ|স্বার্থ|অক্ষম|অযোগ্য|বোকা|কৃপণ|হিংস"")),""valence-target অমিল"",""""),IF(COUNTIF($B:$B,B417)&gt;1,""ডুপ্লিকেট"",""""))"),"figurative ছোট")</f>
        <v>figurative ছোট</v>
      </c>
      <c r="Q417" s="5" t="str">
        <f t="shared" si="1"/>
        <v>১ আগে দেখো</v>
      </c>
    </row>
    <row r="418">
      <c r="A418" s="4">
        <v>5378.0</v>
      </c>
      <c r="B418" s="2" t="s">
        <v>1958</v>
      </c>
      <c r="C418" s="2" t="s">
        <v>1959</v>
      </c>
      <c r="D418" s="2" t="s">
        <v>1960</v>
      </c>
      <c r="E418" s="2" t="s">
        <v>1961</v>
      </c>
      <c r="F418" s="2" t="b">
        <v>1</v>
      </c>
      <c r="G418" s="2" t="b">
        <v>0</v>
      </c>
      <c r="H418" s="2" t="s">
        <v>37</v>
      </c>
      <c r="I418" s="2" t="s">
        <v>22</v>
      </c>
      <c r="J418" s="2" t="s">
        <v>1962</v>
      </c>
      <c r="K418" s="2" t="s">
        <v>495</v>
      </c>
      <c r="L418" s="13" t="s">
        <v>496</v>
      </c>
      <c r="M418" s="2" t="s">
        <v>26</v>
      </c>
      <c r="N418" s="11" t="s">
        <v>576</v>
      </c>
      <c r="O418" s="12" t="s">
        <v>53</v>
      </c>
      <c r="P418" s="5" t="str">
        <f>IFERROR(__xludf.DUMMYFUNCTION("TEXTJOIN("" | "",TRUE,IF(OR(D418="""",E418="""",I418="""",J418="""",H418=""""),""ফাঁকা ঘর"",""""),IF(AND(C418&lt;&gt;"""",D418&lt;&gt;"""",C418=D418),""gloss=figurative"",""""),IF(LEN(D418)&lt;15,""figurative ছোট"",""""),IF(AND(I418=""Positive"",REGEXMATCH(H418,""মূর্খ|"&amp;"ভণ্ড|প্রতার|অলস|লোভ|স্বার্থ|অক্ষম|অযোগ্য|বোকা|কৃপণ|হিংস"")),""valence-target অমিল"",""""),IF(COUNTIF($B:$B,B418)&gt;1,""ডুপ্লিকেট"",""""))"),"figurative ছোট")</f>
        <v>figurative ছোট</v>
      </c>
      <c r="Q418" s="5" t="str">
        <f t="shared" si="1"/>
        <v>১ আগে দেখো</v>
      </c>
    </row>
    <row r="419">
      <c r="A419" s="4">
        <v>5379.0</v>
      </c>
      <c r="B419" s="2" t="s">
        <v>1963</v>
      </c>
      <c r="C419" s="2" t="s">
        <v>1964</v>
      </c>
      <c r="D419" s="2" t="s">
        <v>1965</v>
      </c>
      <c r="E419" s="2" t="s">
        <v>1966</v>
      </c>
      <c r="F419" s="2" t="b">
        <v>1</v>
      </c>
      <c r="G419" s="2" t="b">
        <v>0</v>
      </c>
      <c r="H419" s="2" t="s">
        <v>37</v>
      </c>
      <c r="I419" s="2" t="s">
        <v>22</v>
      </c>
      <c r="J419" s="2" t="s">
        <v>820</v>
      </c>
      <c r="K419" s="2" t="s">
        <v>495</v>
      </c>
      <c r="L419" s="13" t="s">
        <v>496</v>
      </c>
      <c r="M419" s="2" t="s">
        <v>26</v>
      </c>
      <c r="N419" s="11" t="s">
        <v>576</v>
      </c>
      <c r="O419" s="12" t="s">
        <v>53</v>
      </c>
      <c r="P419" s="5" t="str">
        <f>IFERROR(__xludf.DUMMYFUNCTION("TEXTJOIN("" | "",TRUE,IF(OR(D419="""",E419="""",I419="""",J419="""",H419=""""),""ফাঁকা ঘর"",""""),IF(AND(C419&lt;&gt;"""",D419&lt;&gt;"""",C419=D419),""gloss=figurative"",""""),IF(LEN(D419)&lt;15,""figurative ছোট"",""""),IF(AND(I419=""Positive"",REGEXMATCH(H419,""মূর্খ|"&amp;"ভণ্ড|প্রতার|অলস|লোভ|স্বার্থ|অক্ষম|অযোগ্য|বোকা|কৃপণ|হিংস"")),""valence-target অমিল"",""""),IF(COUNTIF($B:$B,B419)&gt;1,""ডুপ্লিকেট"",""""))"),"figurative ছোট")</f>
        <v>figurative ছোট</v>
      </c>
      <c r="Q419" s="5" t="str">
        <f t="shared" si="1"/>
        <v>১ আগে দেখো</v>
      </c>
    </row>
    <row r="420">
      <c r="A420" s="4">
        <v>5382.0</v>
      </c>
      <c r="B420" s="2" t="s">
        <v>1967</v>
      </c>
      <c r="C420" s="2" t="s">
        <v>1968</v>
      </c>
      <c r="D420" s="2" t="s">
        <v>1969</v>
      </c>
      <c r="E420" s="2" t="s">
        <v>1970</v>
      </c>
      <c r="F420" s="2" t="b">
        <v>1</v>
      </c>
      <c r="G420" s="2" t="b">
        <v>0</v>
      </c>
      <c r="H420" s="2" t="s">
        <v>37</v>
      </c>
      <c r="I420" s="2" t="s">
        <v>49</v>
      </c>
      <c r="J420" s="2" t="s">
        <v>1033</v>
      </c>
      <c r="K420" s="2" t="s">
        <v>495</v>
      </c>
      <c r="L420" s="13" t="s">
        <v>496</v>
      </c>
      <c r="M420" s="2" t="s">
        <v>26</v>
      </c>
      <c r="N420" s="11" t="s">
        <v>576</v>
      </c>
      <c r="O420" s="12" t="s">
        <v>53</v>
      </c>
      <c r="P420" s="5" t="str">
        <f>IFERROR(__xludf.DUMMYFUNCTION("TEXTJOIN("" | "",TRUE,IF(OR(D420="""",E420="""",I420="""",J420="""",H420=""""),""ফাঁকা ঘর"",""""),IF(AND(C420&lt;&gt;"""",D420&lt;&gt;"""",C420=D420),""gloss=figurative"",""""),IF(LEN(D420)&lt;15,""figurative ছোট"",""""),IF(AND(I420=""Positive"",REGEXMATCH(H420,""মূর্খ|"&amp;"ভণ্ড|প্রতার|অলস|লোভ|স্বার্থ|অক্ষম|অযোগ্য|বোকা|কৃপণ|হিংস"")),""valence-target অমিল"",""""),IF(COUNTIF($B:$B,B420)&gt;1,""ডুপ্লিকেট"",""""))"),"figurative ছোট")</f>
        <v>figurative ছোট</v>
      </c>
      <c r="Q420" s="5" t="str">
        <f t="shared" si="1"/>
        <v>১ আগে দেখো</v>
      </c>
    </row>
    <row r="421">
      <c r="A421" s="4">
        <v>5387.0</v>
      </c>
      <c r="B421" s="2" t="s">
        <v>1971</v>
      </c>
      <c r="C421" s="2" t="s">
        <v>1972</v>
      </c>
      <c r="D421" s="2" t="s">
        <v>1973</v>
      </c>
      <c r="E421" s="2" t="s">
        <v>1974</v>
      </c>
      <c r="F421" s="2" t="b">
        <v>1</v>
      </c>
      <c r="G421" s="2" t="b">
        <v>0</v>
      </c>
      <c r="H421" s="2" t="s">
        <v>37</v>
      </c>
      <c r="I421" s="2" t="s">
        <v>32</v>
      </c>
      <c r="J421" s="2" t="s">
        <v>913</v>
      </c>
      <c r="K421" s="2" t="s">
        <v>495</v>
      </c>
      <c r="L421" s="13" t="s">
        <v>496</v>
      </c>
      <c r="M421" s="2" t="s">
        <v>26</v>
      </c>
      <c r="N421" s="11" t="s">
        <v>576</v>
      </c>
      <c r="O421" s="12" t="s">
        <v>53</v>
      </c>
      <c r="P421" s="5" t="str">
        <f>IFERROR(__xludf.DUMMYFUNCTION("TEXTJOIN("" | "",TRUE,IF(OR(D421="""",E421="""",I421="""",J421="""",H421=""""),""ফাঁকা ঘর"",""""),IF(AND(C421&lt;&gt;"""",D421&lt;&gt;"""",C421=D421),""gloss=figurative"",""""),IF(LEN(D421)&lt;15,""figurative ছোট"",""""),IF(AND(I421=""Positive"",REGEXMATCH(H421,""মূর্খ|"&amp;"ভণ্ড|প্রতার|অলস|লোভ|স্বার্থ|অক্ষম|অযোগ্য|বোকা|কৃপণ|হিংস"")),""valence-target অমিল"",""""),IF(COUNTIF($B:$B,B421)&gt;1,""ডুপ্লিকেট"",""""))"),"figurative ছোট")</f>
        <v>figurative ছোট</v>
      </c>
      <c r="Q421" s="5" t="str">
        <f t="shared" si="1"/>
        <v>১ আগে দেখো</v>
      </c>
    </row>
    <row r="422">
      <c r="A422" s="4">
        <v>5390.0</v>
      </c>
      <c r="B422" s="2" t="s">
        <v>1975</v>
      </c>
      <c r="C422" s="2" t="s">
        <v>1975</v>
      </c>
      <c r="D422" s="2" t="s">
        <v>1976</v>
      </c>
      <c r="E422" s="2" t="s">
        <v>1977</v>
      </c>
      <c r="F422" s="2" t="b">
        <v>1</v>
      </c>
      <c r="G422" s="2" t="b">
        <v>0</v>
      </c>
      <c r="H422" s="2" t="s">
        <v>37</v>
      </c>
      <c r="I422" s="2" t="s">
        <v>32</v>
      </c>
      <c r="J422" s="2" t="s">
        <v>1111</v>
      </c>
      <c r="K422" s="2" t="s">
        <v>495</v>
      </c>
      <c r="L422" s="13" t="s">
        <v>496</v>
      </c>
      <c r="M422" s="2" t="s">
        <v>26</v>
      </c>
      <c r="N422" s="11" t="s">
        <v>576</v>
      </c>
      <c r="O422" s="12" t="s">
        <v>53</v>
      </c>
      <c r="P422" s="5" t="str">
        <f>IFERROR(__xludf.DUMMYFUNCTION("TEXTJOIN("" | "",TRUE,IF(OR(D422="""",E422="""",I422="""",J422="""",H422=""""),""ফাঁকা ঘর"",""""),IF(AND(C422&lt;&gt;"""",D422&lt;&gt;"""",C422=D422),""gloss=figurative"",""""),IF(LEN(D422)&lt;15,""figurative ছোট"",""""),IF(AND(I422=""Positive"",REGEXMATCH(H422,""মূর্খ|"&amp;"ভণ্ড|প্রতার|অলস|লোভ|স্বার্থ|অক্ষম|অযোগ্য|বোকা|কৃপণ|হিংস"")),""valence-target অমিল"",""""),IF(COUNTIF($B:$B,B422)&gt;1,""ডুপ্লিকেট"",""""))"),"figurative ছোট")</f>
        <v>figurative ছোট</v>
      </c>
      <c r="Q422" s="5" t="str">
        <f t="shared" si="1"/>
        <v>১ আগে দেখো</v>
      </c>
    </row>
    <row r="423">
      <c r="A423" s="4">
        <v>5391.0</v>
      </c>
      <c r="B423" s="2" t="s">
        <v>1978</v>
      </c>
      <c r="C423" s="2" t="s">
        <v>1979</v>
      </c>
      <c r="D423" s="2" t="s">
        <v>1980</v>
      </c>
      <c r="E423" s="2" t="s">
        <v>1981</v>
      </c>
      <c r="F423" s="2" t="b">
        <v>1</v>
      </c>
      <c r="G423" s="2" t="b">
        <v>1</v>
      </c>
      <c r="H423" s="2" t="s">
        <v>1982</v>
      </c>
      <c r="I423" s="2" t="s">
        <v>22</v>
      </c>
      <c r="J423" s="2" t="s">
        <v>820</v>
      </c>
      <c r="K423" s="2" t="s">
        <v>495</v>
      </c>
      <c r="L423" s="13" t="s">
        <v>496</v>
      </c>
      <c r="M423" s="2" t="s">
        <v>26</v>
      </c>
      <c r="N423" s="11" t="s">
        <v>576</v>
      </c>
      <c r="O423" s="12" t="s">
        <v>53</v>
      </c>
      <c r="P423" s="5" t="str">
        <f>IFERROR(__xludf.DUMMYFUNCTION("TEXTJOIN("" | "",TRUE,IF(OR(D423="""",E423="""",I423="""",J423="""",H423=""""),""ফাঁকা ঘর"",""""),IF(AND(C423&lt;&gt;"""",D423&lt;&gt;"""",C423=D423),""gloss=figurative"",""""),IF(LEN(D423)&lt;15,""figurative ছোট"",""""),IF(AND(I423=""Positive"",REGEXMATCH(H423,""মূর্খ|"&amp;"ভণ্ড|প্রতার|অলস|লোভ|স্বার্থ|অক্ষম|অযোগ্য|বোকা|কৃপণ|হিংস"")),""valence-target অমিল"",""""),IF(COUNTIF($B:$B,B423)&gt;1,""ডুপ্লিকেট"",""""))"),"figurative ছোট")</f>
        <v>figurative ছোট</v>
      </c>
      <c r="Q423" s="5" t="str">
        <f t="shared" si="1"/>
        <v>১ আগে দেখো</v>
      </c>
    </row>
    <row r="424">
      <c r="A424" s="4">
        <v>5393.0</v>
      </c>
      <c r="B424" s="2" t="s">
        <v>1983</v>
      </c>
      <c r="C424" s="2" t="s">
        <v>1984</v>
      </c>
      <c r="D424" s="2" t="s">
        <v>1985</v>
      </c>
      <c r="E424" s="2" t="s">
        <v>1986</v>
      </c>
      <c r="F424" s="2" t="b">
        <v>1</v>
      </c>
      <c r="G424" s="2" t="b">
        <v>0</v>
      </c>
      <c r="H424" s="2" t="s">
        <v>1985</v>
      </c>
      <c r="I424" s="2" t="s">
        <v>22</v>
      </c>
      <c r="J424" s="2" t="s">
        <v>1987</v>
      </c>
      <c r="K424" s="2" t="s">
        <v>495</v>
      </c>
      <c r="L424" s="13" t="s">
        <v>496</v>
      </c>
      <c r="M424" s="2" t="s">
        <v>26</v>
      </c>
      <c r="N424" s="11" t="s">
        <v>576</v>
      </c>
      <c r="O424" s="12" t="s">
        <v>53</v>
      </c>
      <c r="P424" s="5" t="str">
        <f>IFERROR(__xludf.DUMMYFUNCTION("TEXTJOIN("" | "",TRUE,IF(OR(D424="""",E424="""",I424="""",J424="""",H424=""""),""ফাঁকা ঘর"",""""),IF(AND(C424&lt;&gt;"""",D424&lt;&gt;"""",C424=D424),""gloss=figurative"",""""),IF(LEN(D424)&lt;15,""figurative ছোট"",""""),IF(AND(I424=""Positive"",REGEXMATCH(H424,""মূর্খ|"&amp;"ভণ্ড|প্রতার|অলস|লোভ|স্বার্থ|অক্ষম|অযোগ্য|বোকা|কৃপণ|হিংস"")),""valence-target অমিল"",""""),IF(COUNTIF($B:$B,B424)&gt;1,""ডুপ্লিকেট"",""""))"),"figurative ছোট")</f>
        <v>figurative ছোট</v>
      </c>
      <c r="Q424" s="5" t="str">
        <f t="shared" si="1"/>
        <v>১ আগে দেখো</v>
      </c>
    </row>
    <row r="425">
      <c r="A425" s="4">
        <v>5394.0</v>
      </c>
      <c r="B425" s="2" t="s">
        <v>1988</v>
      </c>
      <c r="C425" s="2" t="s">
        <v>1989</v>
      </c>
      <c r="D425" s="2" t="s">
        <v>1990</v>
      </c>
      <c r="E425" s="2" t="s">
        <v>1991</v>
      </c>
      <c r="F425" s="2" t="b">
        <v>1</v>
      </c>
      <c r="G425" s="2" t="b">
        <v>0</v>
      </c>
      <c r="H425" s="2" t="s">
        <v>37</v>
      </c>
      <c r="I425" s="2" t="s">
        <v>32</v>
      </c>
      <c r="J425" s="2" t="s">
        <v>1387</v>
      </c>
      <c r="K425" s="2" t="s">
        <v>495</v>
      </c>
      <c r="L425" s="13" t="s">
        <v>496</v>
      </c>
      <c r="M425" s="2" t="s">
        <v>26</v>
      </c>
      <c r="N425" s="11" t="s">
        <v>576</v>
      </c>
      <c r="O425" s="12" t="s">
        <v>53</v>
      </c>
      <c r="P425" s="5" t="str">
        <f>IFERROR(__xludf.DUMMYFUNCTION("TEXTJOIN("" | "",TRUE,IF(OR(D425="""",E425="""",I425="""",J425="""",H425=""""),""ফাঁকা ঘর"",""""),IF(AND(C425&lt;&gt;"""",D425&lt;&gt;"""",C425=D425),""gloss=figurative"",""""),IF(LEN(D425)&lt;15,""figurative ছোট"",""""),IF(AND(I425=""Positive"",REGEXMATCH(H425,""মূর্খ|"&amp;"ভণ্ড|প্রতার|অলস|লোভ|স্বার্থ|অক্ষম|অযোগ্য|বোকা|কৃপণ|হিংস"")),""valence-target অমিল"",""""),IF(COUNTIF($B:$B,B425)&gt;1,""ডুপ্লিকেট"",""""))"),"figurative ছোট")</f>
        <v>figurative ছোট</v>
      </c>
      <c r="Q425" s="5" t="str">
        <f t="shared" si="1"/>
        <v>১ আগে দেখো</v>
      </c>
    </row>
    <row r="426">
      <c r="A426" s="4">
        <v>5397.0</v>
      </c>
      <c r="B426" s="2" t="s">
        <v>1992</v>
      </c>
      <c r="C426" s="2" t="s">
        <v>1993</v>
      </c>
      <c r="D426" s="2" t="s">
        <v>1994</v>
      </c>
      <c r="E426" s="2" t="s">
        <v>1995</v>
      </c>
      <c r="F426" s="2" t="b">
        <v>1</v>
      </c>
      <c r="G426" s="2" t="b">
        <v>0</v>
      </c>
      <c r="H426" s="2" t="s">
        <v>37</v>
      </c>
      <c r="I426" s="2" t="s">
        <v>22</v>
      </c>
      <c r="J426" s="2" t="s">
        <v>1996</v>
      </c>
      <c r="K426" s="2" t="s">
        <v>495</v>
      </c>
      <c r="L426" s="13" t="s">
        <v>496</v>
      </c>
      <c r="M426" s="2" t="s">
        <v>26</v>
      </c>
      <c r="N426" s="11" t="s">
        <v>1997</v>
      </c>
      <c r="O426" s="12" t="s">
        <v>53</v>
      </c>
      <c r="P426" s="5" t="str">
        <f>IFERROR(__xludf.DUMMYFUNCTION("TEXTJOIN("" | "",TRUE,IF(OR(D426="""",E426="""",I426="""",J426="""",H426=""""),""ফাঁকা ঘর"",""""),IF(AND(C426&lt;&gt;"""",D426&lt;&gt;"""",C426=D426),""gloss=figurative"",""""),IF(LEN(D426)&lt;15,""figurative ছোট"",""""),IF(AND(I426=""Positive"",REGEXMATCH(H426,""মূর্খ|"&amp;"ভণ্ড|প্রতার|অলস|লোভ|স্বার্থ|অক্ষম|অযোগ্য|বোকা|কৃপণ|হিংস"")),""valence-target অমিল"",""""),IF(COUNTIF($B:$B,B426)&gt;1,""ডুপ্লিকেট"",""""))"),"figurative ছোট")</f>
        <v>figurative ছোট</v>
      </c>
      <c r="Q426" s="5" t="str">
        <f t="shared" si="1"/>
        <v>১ আগে দেখো</v>
      </c>
    </row>
    <row r="427">
      <c r="A427" s="4">
        <v>5401.0</v>
      </c>
      <c r="B427" s="2" t="s">
        <v>1998</v>
      </c>
      <c r="C427" s="2" t="s">
        <v>1999</v>
      </c>
      <c r="D427" s="2" t="s">
        <v>2000</v>
      </c>
      <c r="E427" s="2" t="s">
        <v>2001</v>
      </c>
      <c r="F427" s="2" t="b">
        <v>1</v>
      </c>
      <c r="G427" s="2" t="b">
        <v>0</v>
      </c>
      <c r="H427" s="2" t="s">
        <v>37</v>
      </c>
      <c r="I427" s="2" t="s">
        <v>49</v>
      </c>
      <c r="J427" s="2" t="s">
        <v>2002</v>
      </c>
      <c r="K427" s="2" t="s">
        <v>495</v>
      </c>
      <c r="L427" s="13" t="s">
        <v>496</v>
      </c>
      <c r="M427" s="2" t="s">
        <v>26</v>
      </c>
      <c r="N427" s="11" t="s">
        <v>576</v>
      </c>
      <c r="O427" s="12" t="s">
        <v>53</v>
      </c>
      <c r="P427" s="5" t="str">
        <f>IFERROR(__xludf.DUMMYFUNCTION("TEXTJOIN("" | "",TRUE,IF(OR(D427="""",E427="""",I427="""",J427="""",H427=""""),""ফাঁকা ঘর"",""""),IF(AND(C427&lt;&gt;"""",D427&lt;&gt;"""",C427=D427),""gloss=figurative"",""""),IF(LEN(D427)&lt;15,""figurative ছোট"",""""),IF(AND(I427=""Positive"",REGEXMATCH(H427,""মূর্খ|"&amp;"ভণ্ড|প্রতার|অলস|লোভ|স্বার্থ|অক্ষম|অযোগ্য|বোকা|কৃপণ|হিংস"")),""valence-target অমিল"",""""),IF(COUNTIF($B:$B,B427)&gt;1,""ডুপ্লিকেট"",""""))"),"figurative ছোট")</f>
        <v>figurative ছোট</v>
      </c>
      <c r="Q427" s="5" t="str">
        <f t="shared" si="1"/>
        <v>১ আগে দেখো</v>
      </c>
    </row>
    <row r="428">
      <c r="A428" s="4">
        <v>5402.0</v>
      </c>
      <c r="B428" s="2" t="s">
        <v>2003</v>
      </c>
      <c r="C428" s="2" t="s">
        <v>2004</v>
      </c>
      <c r="D428" s="2" t="s">
        <v>1962</v>
      </c>
      <c r="E428" s="2" t="s">
        <v>2005</v>
      </c>
      <c r="F428" s="2" t="b">
        <v>1</v>
      </c>
      <c r="G428" s="2" t="b">
        <v>0</v>
      </c>
      <c r="H428" s="2" t="s">
        <v>37</v>
      </c>
      <c r="I428" s="2" t="s">
        <v>22</v>
      </c>
      <c r="J428" s="2" t="s">
        <v>1962</v>
      </c>
      <c r="K428" s="2" t="s">
        <v>495</v>
      </c>
      <c r="L428" s="13" t="s">
        <v>496</v>
      </c>
      <c r="M428" s="2" t="s">
        <v>26</v>
      </c>
      <c r="N428" s="11" t="s">
        <v>2006</v>
      </c>
      <c r="O428" s="12" t="s">
        <v>53</v>
      </c>
      <c r="P428" s="5" t="str">
        <f>IFERROR(__xludf.DUMMYFUNCTION("TEXTJOIN("" | "",TRUE,IF(OR(D428="""",E428="""",I428="""",J428="""",H428=""""),""ফাঁকা ঘর"",""""),IF(AND(C428&lt;&gt;"""",D428&lt;&gt;"""",C428=D428),""gloss=figurative"",""""),IF(LEN(D428)&lt;15,""figurative ছোট"",""""),IF(AND(I428=""Positive"",REGEXMATCH(H428,""মূর্খ|"&amp;"ভণ্ড|প্রতার|অলস|লোভ|স্বার্থ|অক্ষম|অযোগ্য|বোকা|কৃপণ|হিংস"")),""valence-target অমিল"",""""),IF(COUNTIF($B:$B,B428)&gt;1,""ডুপ্লিকেট"",""""))"),"figurative ছোট")</f>
        <v>figurative ছোট</v>
      </c>
      <c r="Q428" s="5" t="str">
        <f t="shared" si="1"/>
        <v>১ আগে দেখো</v>
      </c>
    </row>
    <row r="429">
      <c r="A429" s="4">
        <v>5403.0</v>
      </c>
      <c r="B429" s="2" t="s">
        <v>2007</v>
      </c>
      <c r="C429" s="2" t="s">
        <v>2008</v>
      </c>
      <c r="D429" s="2" t="s">
        <v>2009</v>
      </c>
      <c r="E429" s="2" t="s">
        <v>2010</v>
      </c>
      <c r="F429" s="2" t="b">
        <v>1</v>
      </c>
      <c r="G429" s="2" t="b">
        <v>0</v>
      </c>
      <c r="H429" s="2" t="s">
        <v>37</v>
      </c>
      <c r="I429" s="2" t="s">
        <v>22</v>
      </c>
      <c r="J429" s="2" t="s">
        <v>1962</v>
      </c>
      <c r="K429" s="2" t="s">
        <v>495</v>
      </c>
      <c r="L429" s="13" t="s">
        <v>496</v>
      </c>
      <c r="M429" s="2" t="s">
        <v>26</v>
      </c>
      <c r="N429" s="11" t="s">
        <v>2011</v>
      </c>
      <c r="O429" s="12" t="s">
        <v>53</v>
      </c>
      <c r="P429" s="5" t="str">
        <f>IFERROR(__xludf.DUMMYFUNCTION("TEXTJOIN("" | "",TRUE,IF(OR(D429="""",E429="""",I429="""",J429="""",H429=""""),""ফাঁকা ঘর"",""""),IF(AND(C429&lt;&gt;"""",D429&lt;&gt;"""",C429=D429),""gloss=figurative"",""""),IF(LEN(D429)&lt;15,""figurative ছোট"",""""),IF(AND(I429=""Positive"",REGEXMATCH(H429,""মূর্খ|"&amp;"ভণ্ড|প্রতার|অলস|লোভ|স্বার্থ|অক্ষম|অযোগ্য|বোকা|কৃপণ|হিংস"")),""valence-target অমিল"",""""),IF(COUNTIF($B:$B,B429)&gt;1,""ডুপ্লিকেট"",""""))"),"figurative ছোট")</f>
        <v>figurative ছোট</v>
      </c>
      <c r="Q429" s="5" t="str">
        <f t="shared" si="1"/>
        <v>১ আগে দেখো</v>
      </c>
    </row>
    <row r="430">
      <c r="A430" s="4">
        <v>5405.0</v>
      </c>
      <c r="B430" s="2" t="s">
        <v>2012</v>
      </c>
      <c r="C430" s="2" t="s">
        <v>2012</v>
      </c>
      <c r="D430" s="2" t="s">
        <v>2013</v>
      </c>
      <c r="E430" s="2" t="s">
        <v>2014</v>
      </c>
      <c r="F430" s="2" t="b">
        <v>1</v>
      </c>
      <c r="G430" s="2" t="b">
        <v>0</v>
      </c>
      <c r="H430" s="2" t="s">
        <v>37</v>
      </c>
      <c r="I430" s="2" t="s">
        <v>32</v>
      </c>
      <c r="J430" s="2" t="s">
        <v>2015</v>
      </c>
      <c r="K430" s="2" t="s">
        <v>495</v>
      </c>
      <c r="L430" s="13" t="s">
        <v>496</v>
      </c>
      <c r="M430" s="2" t="s">
        <v>26</v>
      </c>
      <c r="N430" s="11" t="s">
        <v>576</v>
      </c>
      <c r="O430" s="12" t="s">
        <v>53</v>
      </c>
      <c r="P430" s="5" t="str">
        <f>IFERROR(__xludf.DUMMYFUNCTION("TEXTJOIN("" | "",TRUE,IF(OR(D430="""",E430="""",I430="""",J430="""",H430=""""),""ফাঁকা ঘর"",""""),IF(AND(C430&lt;&gt;"""",D430&lt;&gt;"""",C430=D430),""gloss=figurative"",""""),IF(LEN(D430)&lt;15,""figurative ছোট"",""""),IF(AND(I430=""Positive"",REGEXMATCH(H430,""মূর্খ|"&amp;"ভণ্ড|প্রতার|অলস|লোভ|স্বার্থ|অক্ষম|অযোগ্য|বোকা|কৃপণ|হিংস"")),""valence-target অমিল"",""""),IF(COUNTIF($B:$B,B430)&gt;1,""ডুপ্লিকেট"",""""))"),"figurative ছোট")</f>
        <v>figurative ছোট</v>
      </c>
      <c r="Q430" s="5" t="str">
        <f t="shared" si="1"/>
        <v>১ আগে দেখো</v>
      </c>
    </row>
    <row r="431">
      <c r="A431" s="4">
        <v>5407.0</v>
      </c>
      <c r="B431" s="2" t="s">
        <v>2016</v>
      </c>
      <c r="C431" s="2" t="s">
        <v>2016</v>
      </c>
      <c r="D431" s="2" t="s">
        <v>2017</v>
      </c>
      <c r="E431" s="2" t="s">
        <v>2018</v>
      </c>
      <c r="F431" s="2" t="b">
        <v>1</v>
      </c>
      <c r="G431" s="2" t="b">
        <v>0</v>
      </c>
      <c r="H431" s="2" t="s">
        <v>37</v>
      </c>
      <c r="I431" s="2" t="s">
        <v>22</v>
      </c>
      <c r="J431" s="2" t="s">
        <v>2019</v>
      </c>
      <c r="K431" s="2" t="s">
        <v>495</v>
      </c>
      <c r="L431" s="13" t="s">
        <v>496</v>
      </c>
      <c r="M431" s="2" t="s">
        <v>26</v>
      </c>
      <c r="N431" s="11" t="s">
        <v>576</v>
      </c>
      <c r="O431" s="12" t="s">
        <v>53</v>
      </c>
      <c r="P431" s="5" t="str">
        <f>IFERROR(__xludf.DUMMYFUNCTION("TEXTJOIN("" | "",TRUE,IF(OR(D431="""",E431="""",I431="""",J431="""",H431=""""),""ফাঁকা ঘর"",""""),IF(AND(C431&lt;&gt;"""",D431&lt;&gt;"""",C431=D431),""gloss=figurative"",""""),IF(LEN(D431)&lt;15,""figurative ছোট"",""""),IF(AND(I431=""Positive"",REGEXMATCH(H431,""মূর্খ|"&amp;"ভণ্ড|প্রতার|অলস|লোভ|স্বার্থ|অক্ষম|অযোগ্য|বোকা|কৃপণ|হিংস"")),""valence-target অমিল"",""""),IF(COUNTIF($B:$B,B431)&gt;1,""ডুপ্লিকেট"",""""))"),"figurative ছোট")</f>
        <v>figurative ছোট</v>
      </c>
      <c r="Q431" s="5" t="str">
        <f t="shared" si="1"/>
        <v>১ আগে দেখো</v>
      </c>
    </row>
    <row r="432">
      <c r="A432" s="4">
        <v>5408.0</v>
      </c>
      <c r="B432" s="2" t="s">
        <v>2020</v>
      </c>
      <c r="C432" s="2" t="s">
        <v>2020</v>
      </c>
      <c r="D432" s="2" t="s">
        <v>742</v>
      </c>
      <c r="E432" s="2" t="s">
        <v>2021</v>
      </c>
      <c r="F432" s="2" t="b">
        <v>1</v>
      </c>
      <c r="G432" s="2" t="b">
        <v>0</v>
      </c>
      <c r="H432" s="2" t="s">
        <v>37</v>
      </c>
      <c r="I432" s="2" t="s">
        <v>22</v>
      </c>
      <c r="J432" s="2" t="s">
        <v>990</v>
      </c>
      <c r="K432" s="2" t="s">
        <v>495</v>
      </c>
      <c r="L432" s="13" t="s">
        <v>496</v>
      </c>
      <c r="M432" s="2" t="s">
        <v>26</v>
      </c>
      <c r="N432" s="11" t="s">
        <v>576</v>
      </c>
      <c r="O432" s="12" t="s">
        <v>53</v>
      </c>
      <c r="P432" s="5" t="str">
        <f>IFERROR(__xludf.DUMMYFUNCTION("TEXTJOIN("" | "",TRUE,IF(OR(D432="""",E432="""",I432="""",J432="""",H432=""""),""ফাঁকা ঘর"",""""),IF(AND(C432&lt;&gt;"""",D432&lt;&gt;"""",C432=D432),""gloss=figurative"",""""),IF(LEN(D432)&lt;15,""figurative ছোট"",""""),IF(AND(I432=""Positive"",REGEXMATCH(H432,""মূর্খ|"&amp;"ভণ্ড|প্রতার|অলস|লোভ|স্বার্থ|অক্ষম|অযোগ্য|বোকা|কৃপণ|হিংস"")),""valence-target অমিল"",""""),IF(COUNTIF($B:$B,B432)&gt;1,""ডুপ্লিকেট"",""""))"),"figurative ছোট")</f>
        <v>figurative ছোট</v>
      </c>
      <c r="Q432" s="5" t="str">
        <f t="shared" si="1"/>
        <v>১ আগে দেখো</v>
      </c>
    </row>
    <row r="433">
      <c r="A433" s="4">
        <v>5409.0</v>
      </c>
      <c r="B433" s="2" t="s">
        <v>2022</v>
      </c>
      <c r="C433" s="2" t="s">
        <v>2023</v>
      </c>
      <c r="D433" s="2" t="s">
        <v>1936</v>
      </c>
      <c r="E433" s="2" t="s">
        <v>2024</v>
      </c>
      <c r="F433" s="2" t="b">
        <v>1</v>
      </c>
      <c r="G433" s="2" t="b">
        <v>0</v>
      </c>
      <c r="H433" s="2" t="s">
        <v>37</v>
      </c>
      <c r="I433" s="2" t="s">
        <v>22</v>
      </c>
      <c r="J433" s="2" t="s">
        <v>820</v>
      </c>
      <c r="K433" s="2" t="s">
        <v>495</v>
      </c>
      <c r="L433" s="13" t="s">
        <v>496</v>
      </c>
      <c r="M433" s="2" t="s">
        <v>26</v>
      </c>
      <c r="N433" s="11" t="s">
        <v>576</v>
      </c>
      <c r="O433" s="12" t="s">
        <v>53</v>
      </c>
      <c r="P433" s="5" t="str">
        <f>IFERROR(__xludf.DUMMYFUNCTION("TEXTJOIN("" | "",TRUE,IF(OR(D433="""",E433="""",I433="""",J433="""",H433=""""),""ফাঁকা ঘর"",""""),IF(AND(C433&lt;&gt;"""",D433&lt;&gt;"""",C433=D433),""gloss=figurative"",""""),IF(LEN(D433)&lt;15,""figurative ছোট"",""""),IF(AND(I433=""Positive"",REGEXMATCH(H433,""মূর্খ|"&amp;"ভণ্ড|প্রতার|অলস|লোভ|স্বার্থ|অক্ষম|অযোগ্য|বোকা|কৃপণ|হিংস"")),""valence-target অমিল"",""""),IF(COUNTIF($B:$B,B433)&gt;1,""ডুপ্লিকেট"",""""))"),"figurative ছোট")</f>
        <v>figurative ছোট</v>
      </c>
      <c r="Q433" s="5" t="str">
        <f t="shared" si="1"/>
        <v>১ আগে দেখো</v>
      </c>
    </row>
    <row r="434">
      <c r="A434" s="4">
        <v>5410.0</v>
      </c>
      <c r="B434" s="2" t="s">
        <v>2025</v>
      </c>
      <c r="C434" s="2" t="s">
        <v>2026</v>
      </c>
      <c r="D434" s="2" t="s">
        <v>2009</v>
      </c>
      <c r="E434" s="2" t="s">
        <v>2027</v>
      </c>
      <c r="F434" s="2" t="b">
        <v>1</v>
      </c>
      <c r="G434" s="2" t="b">
        <v>0</v>
      </c>
      <c r="H434" s="2" t="s">
        <v>37</v>
      </c>
      <c r="I434" s="2" t="s">
        <v>22</v>
      </c>
      <c r="J434" s="2" t="s">
        <v>1962</v>
      </c>
      <c r="K434" s="2" t="s">
        <v>495</v>
      </c>
      <c r="L434" s="13" t="s">
        <v>496</v>
      </c>
      <c r="M434" s="2" t="s">
        <v>26</v>
      </c>
      <c r="N434" s="11" t="s">
        <v>576</v>
      </c>
      <c r="O434" s="12" t="s">
        <v>53</v>
      </c>
      <c r="P434" s="5" t="str">
        <f>IFERROR(__xludf.DUMMYFUNCTION("TEXTJOIN("" | "",TRUE,IF(OR(D434="""",E434="""",I434="""",J434="""",H434=""""),""ফাঁকা ঘর"",""""),IF(AND(C434&lt;&gt;"""",D434&lt;&gt;"""",C434=D434),""gloss=figurative"",""""),IF(LEN(D434)&lt;15,""figurative ছোট"",""""),IF(AND(I434=""Positive"",REGEXMATCH(H434,""মূর্খ|"&amp;"ভণ্ড|প্রতার|অলস|লোভ|স্বার্থ|অক্ষম|অযোগ্য|বোকা|কৃপণ|হিংস"")),""valence-target অমিল"",""""),IF(COUNTIF($B:$B,B434)&gt;1,""ডুপ্লিকেট"",""""))"),"figurative ছোট")</f>
        <v>figurative ছোট</v>
      </c>
      <c r="Q434" s="5" t="str">
        <f t="shared" si="1"/>
        <v>১ আগে দেখো</v>
      </c>
    </row>
    <row r="435">
      <c r="A435" s="4">
        <v>5411.0</v>
      </c>
      <c r="B435" s="2" t="s">
        <v>2028</v>
      </c>
      <c r="C435" s="2" t="s">
        <v>2029</v>
      </c>
      <c r="D435" s="2" t="s">
        <v>2030</v>
      </c>
      <c r="E435" s="2" t="s">
        <v>2031</v>
      </c>
      <c r="F435" s="2" t="b">
        <v>1</v>
      </c>
      <c r="G435" s="2" t="b">
        <v>0</v>
      </c>
      <c r="H435" s="2" t="s">
        <v>37</v>
      </c>
      <c r="I435" s="2" t="s">
        <v>49</v>
      </c>
      <c r="J435" s="2" t="s">
        <v>300</v>
      </c>
      <c r="K435" s="2" t="s">
        <v>495</v>
      </c>
      <c r="L435" s="13" t="s">
        <v>496</v>
      </c>
      <c r="M435" s="2" t="s">
        <v>26</v>
      </c>
      <c r="N435" s="11" t="s">
        <v>576</v>
      </c>
      <c r="O435" s="12" t="s">
        <v>53</v>
      </c>
      <c r="P435" s="5" t="str">
        <f>IFERROR(__xludf.DUMMYFUNCTION("TEXTJOIN("" | "",TRUE,IF(OR(D435="""",E435="""",I435="""",J435="""",H435=""""),""ফাঁকা ঘর"",""""),IF(AND(C435&lt;&gt;"""",D435&lt;&gt;"""",C435=D435),""gloss=figurative"",""""),IF(LEN(D435)&lt;15,""figurative ছোট"",""""),IF(AND(I435=""Positive"",REGEXMATCH(H435,""মূর্খ|"&amp;"ভণ্ড|প্রতার|অলস|লোভ|স্বার্থ|অক্ষম|অযোগ্য|বোকা|কৃপণ|হিংস"")),""valence-target অমিল"",""""),IF(COUNTIF($B:$B,B435)&gt;1,""ডুপ্লিকেট"",""""))"),"figurative ছোট")</f>
        <v>figurative ছোট</v>
      </c>
      <c r="Q435" s="5" t="str">
        <f t="shared" si="1"/>
        <v>১ আগে দেখো</v>
      </c>
    </row>
    <row r="436">
      <c r="A436" s="4">
        <v>5412.0</v>
      </c>
      <c r="B436" s="2" t="s">
        <v>2032</v>
      </c>
      <c r="C436" s="2" t="s">
        <v>2033</v>
      </c>
      <c r="D436" s="2" t="s">
        <v>2034</v>
      </c>
      <c r="E436" s="2" t="s">
        <v>2035</v>
      </c>
      <c r="F436" s="2" t="b">
        <v>1</v>
      </c>
      <c r="G436" s="2" t="b">
        <v>0</v>
      </c>
      <c r="H436" s="2" t="s">
        <v>37</v>
      </c>
      <c r="I436" s="2" t="s">
        <v>49</v>
      </c>
      <c r="J436" s="2" t="s">
        <v>300</v>
      </c>
      <c r="K436" s="2" t="s">
        <v>495</v>
      </c>
      <c r="L436" s="13" t="s">
        <v>496</v>
      </c>
      <c r="M436" s="2" t="s">
        <v>26</v>
      </c>
      <c r="N436" s="11" t="s">
        <v>576</v>
      </c>
      <c r="O436" s="12" t="s">
        <v>53</v>
      </c>
      <c r="P436" s="5" t="str">
        <f>IFERROR(__xludf.DUMMYFUNCTION("TEXTJOIN("" | "",TRUE,IF(OR(D436="""",E436="""",I436="""",J436="""",H436=""""),""ফাঁকা ঘর"",""""),IF(AND(C436&lt;&gt;"""",D436&lt;&gt;"""",C436=D436),""gloss=figurative"",""""),IF(LEN(D436)&lt;15,""figurative ছোট"",""""),IF(AND(I436=""Positive"",REGEXMATCH(H436,""মূর্খ|"&amp;"ভণ্ড|প্রতার|অলস|লোভ|স্বার্থ|অক্ষম|অযোগ্য|বোকা|কৃপণ|হিংস"")),""valence-target অমিল"",""""),IF(COUNTIF($B:$B,B436)&gt;1,""ডুপ্লিকেট"",""""))"),"figurative ছোট")</f>
        <v>figurative ছোট</v>
      </c>
      <c r="Q436" s="5" t="str">
        <f t="shared" si="1"/>
        <v>১ আগে দেখো</v>
      </c>
    </row>
    <row r="437">
      <c r="A437" s="4">
        <v>5414.0</v>
      </c>
      <c r="B437" s="2" t="s">
        <v>2036</v>
      </c>
      <c r="C437" s="2" t="s">
        <v>2037</v>
      </c>
      <c r="D437" s="2" t="s">
        <v>2038</v>
      </c>
      <c r="E437" s="2" t="s">
        <v>2039</v>
      </c>
      <c r="F437" s="2" t="b">
        <v>1</v>
      </c>
      <c r="G437" s="2" t="b">
        <v>0</v>
      </c>
      <c r="H437" s="2" t="s">
        <v>37</v>
      </c>
      <c r="I437" s="2" t="s">
        <v>49</v>
      </c>
      <c r="J437" s="2" t="s">
        <v>2040</v>
      </c>
      <c r="K437" s="2" t="s">
        <v>495</v>
      </c>
      <c r="L437" s="13" t="s">
        <v>496</v>
      </c>
      <c r="M437" s="2" t="s">
        <v>26</v>
      </c>
      <c r="N437" s="11" t="s">
        <v>576</v>
      </c>
      <c r="O437" s="12" t="s">
        <v>53</v>
      </c>
      <c r="P437" s="5" t="str">
        <f>IFERROR(__xludf.DUMMYFUNCTION("TEXTJOIN("" | "",TRUE,IF(OR(D437="""",E437="""",I437="""",J437="""",H437=""""),""ফাঁকা ঘর"",""""),IF(AND(C437&lt;&gt;"""",D437&lt;&gt;"""",C437=D437),""gloss=figurative"",""""),IF(LEN(D437)&lt;15,""figurative ছোট"",""""),IF(AND(I437=""Positive"",REGEXMATCH(H437,""মূর্খ|"&amp;"ভণ্ড|প্রতার|অলস|লোভ|স্বার্থ|অক্ষম|অযোগ্য|বোকা|কৃপণ|হিংস"")),""valence-target অমিল"",""""),IF(COUNTIF($B:$B,B437)&gt;1,""ডুপ্লিকেট"",""""))"),"figurative ছোট")</f>
        <v>figurative ছোট</v>
      </c>
      <c r="Q437" s="5" t="str">
        <f t="shared" si="1"/>
        <v>১ আগে দেখো</v>
      </c>
    </row>
    <row r="438">
      <c r="A438" s="4">
        <v>5416.0</v>
      </c>
      <c r="B438" s="2" t="s">
        <v>2041</v>
      </c>
      <c r="C438" s="2" t="s">
        <v>2042</v>
      </c>
      <c r="D438" s="2" t="s">
        <v>1934</v>
      </c>
      <c r="E438" s="2" t="s">
        <v>2043</v>
      </c>
      <c r="F438" s="2" t="b">
        <v>1</v>
      </c>
      <c r="G438" s="2" t="b">
        <v>1</v>
      </c>
      <c r="H438" s="2" t="s">
        <v>1106</v>
      </c>
      <c r="I438" s="2" t="s">
        <v>22</v>
      </c>
      <c r="J438" s="2" t="s">
        <v>1315</v>
      </c>
      <c r="K438" s="2" t="s">
        <v>495</v>
      </c>
      <c r="L438" s="13" t="s">
        <v>496</v>
      </c>
      <c r="M438" s="2" t="s">
        <v>26</v>
      </c>
      <c r="N438" s="11" t="s">
        <v>576</v>
      </c>
      <c r="O438" s="12" t="s">
        <v>53</v>
      </c>
      <c r="P438" s="5" t="str">
        <f>IFERROR(__xludf.DUMMYFUNCTION("TEXTJOIN("" | "",TRUE,IF(OR(D438="""",E438="""",I438="""",J438="""",H438=""""),""ফাঁকা ঘর"",""""),IF(AND(C438&lt;&gt;"""",D438&lt;&gt;"""",C438=D438),""gloss=figurative"",""""),IF(LEN(D438)&lt;15,""figurative ছোট"",""""),IF(AND(I438=""Positive"",REGEXMATCH(H438,""মূর্খ|"&amp;"ভণ্ড|প্রতার|অলস|লোভ|স্বার্থ|অক্ষম|অযোগ্য|বোকা|কৃপণ|হিংস"")),""valence-target অমিল"",""""),IF(COUNTIF($B:$B,B438)&gt;1,""ডুপ্লিকেট"",""""))"),"figurative ছোট")</f>
        <v>figurative ছোট</v>
      </c>
      <c r="Q438" s="5" t="str">
        <f t="shared" si="1"/>
        <v>১ আগে দেখো</v>
      </c>
    </row>
    <row r="439">
      <c r="A439" s="4">
        <v>5417.0</v>
      </c>
      <c r="B439" s="2" t="s">
        <v>2044</v>
      </c>
      <c r="C439" s="2" t="s">
        <v>2045</v>
      </c>
      <c r="D439" s="2" t="s">
        <v>2046</v>
      </c>
      <c r="E439" s="2" t="s">
        <v>2047</v>
      </c>
      <c r="F439" s="2" t="b">
        <v>1</v>
      </c>
      <c r="G439" s="2" t="b">
        <v>1</v>
      </c>
      <c r="H439" s="2" t="s">
        <v>1106</v>
      </c>
      <c r="I439" s="2" t="s">
        <v>22</v>
      </c>
      <c r="J439" s="2" t="s">
        <v>1315</v>
      </c>
      <c r="K439" s="2" t="s">
        <v>495</v>
      </c>
      <c r="L439" s="13" t="s">
        <v>496</v>
      </c>
      <c r="M439" s="2" t="s">
        <v>26</v>
      </c>
      <c r="N439" s="11" t="s">
        <v>576</v>
      </c>
      <c r="O439" s="12" t="s">
        <v>53</v>
      </c>
      <c r="P439" s="5" t="str">
        <f>IFERROR(__xludf.DUMMYFUNCTION("TEXTJOIN("" | "",TRUE,IF(OR(D439="""",E439="""",I439="""",J439="""",H439=""""),""ফাঁকা ঘর"",""""),IF(AND(C439&lt;&gt;"""",D439&lt;&gt;"""",C439=D439),""gloss=figurative"",""""),IF(LEN(D439)&lt;15,""figurative ছোট"",""""),IF(AND(I439=""Positive"",REGEXMATCH(H439,""মূর্খ|"&amp;"ভণ্ড|প্রতার|অলস|লোভ|স্বার্থ|অক্ষম|অযোগ্য|বোকা|কৃপণ|হিংস"")),""valence-target অমিল"",""""),IF(COUNTIF($B:$B,B439)&gt;1,""ডুপ্লিকেট"",""""))"),"figurative ছোট")</f>
        <v>figurative ছোট</v>
      </c>
      <c r="Q439" s="5" t="str">
        <f t="shared" si="1"/>
        <v>১ আগে দেখো</v>
      </c>
    </row>
    <row r="440">
      <c r="A440" s="4">
        <v>5421.0</v>
      </c>
      <c r="B440" s="2" t="s">
        <v>2048</v>
      </c>
      <c r="C440" s="2" t="s">
        <v>2049</v>
      </c>
      <c r="D440" s="2" t="s">
        <v>2050</v>
      </c>
      <c r="E440" s="2" t="s">
        <v>2051</v>
      </c>
      <c r="F440" s="2" t="b">
        <v>1</v>
      </c>
      <c r="G440" s="2" t="b">
        <v>1</v>
      </c>
      <c r="H440" s="2" t="s">
        <v>1106</v>
      </c>
      <c r="I440" s="2" t="s">
        <v>22</v>
      </c>
      <c r="J440" s="2" t="s">
        <v>1315</v>
      </c>
      <c r="K440" s="2" t="s">
        <v>495</v>
      </c>
      <c r="L440" s="13" t="s">
        <v>496</v>
      </c>
      <c r="M440" s="2" t="s">
        <v>26</v>
      </c>
      <c r="N440" s="11" t="s">
        <v>576</v>
      </c>
      <c r="O440" s="12" t="s">
        <v>53</v>
      </c>
      <c r="P440" s="5" t="str">
        <f>IFERROR(__xludf.DUMMYFUNCTION("TEXTJOIN("" | "",TRUE,IF(OR(D440="""",E440="""",I440="""",J440="""",H440=""""),""ফাঁকা ঘর"",""""),IF(AND(C440&lt;&gt;"""",D440&lt;&gt;"""",C440=D440),""gloss=figurative"",""""),IF(LEN(D440)&lt;15,""figurative ছোট"",""""),IF(AND(I440=""Positive"",REGEXMATCH(H440,""মূর্খ|"&amp;"ভণ্ড|প্রতার|অলস|লোভ|স্বার্থ|অক্ষম|অযোগ্য|বোকা|কৃপণ|হিংস"")),""valence-target অমিল"",""""),IF(COUNTIF($B:$B,B440)&gt;1,""ডুপ্লিকেট"",""""))"),"figurative ছোট")</f>
        <v>figurative ছোট</v>
      </c>
      <c r="Q440" s="5" t="str">
        <f t="shared" si="1"/>
        <v>১ আগে দেখো</v>
      </c>
    </row>
    <row r="441">
      <c r="A441" s="4">
        <v>5422.0</v>
      </c>
      <c r="B441" s="2" t="s">
        <v>2052</v>
      </c>
      <c r="C441" s="2" t="s">
        <v>2053</v>
      </c>
      <c r="D441" s="2" t="s">
        <v>2054</v>
      </c>
      <c r="E441" s="2" t="s">
        <v>2055</v>
      </c>
      <c r="F441" s="2" t="b">
        <v>1</v>
      </c>
      <c r="G441" s="2" t="b">
        <v>0</v>
      </c>
      <c r="H441" s="2" t="s">
        <v>1334</v>
      </c>
      <c r="I441" s="2" t="s">
        <v>22</v>
      </c>
      <c r="J441" s="2" t="s">
        <v>820</v>
      </c>
      <c r="K441" s="2" t="s">
        <v>495</v>
      </c>
      <c r="L441" s="13" t="s">
        <v>496</v>
      </c>
      <c r="M441" s="2" t="s">
        <v>26</v>
      </c>
      <c r="N441" s="11" t="s">
        <v>576</v>
      </c>
      <c r="O441" s="12" t="s">
        <v>53</v>
      </c>
      <c r="P441" s="5" t="str">
        <f>IFERROR(__xludf.DUMMYFUNCTION("TEXTJOIN("" | "",TRUE,IF(OR(D441="""",E441="""",I441="""",J441="""",H441=""""),""ফাঁকা ঘর"",""""),IF(AND(C441&lt;&gt;"""",D441&lt;&gt;"""",C441=D441),""gloss=figurative"",""""),IF(LEN(D441)&lt;15,""figurative ছোট"",""""),IF(AND(I441=""Positive"",REGEXMATCH(H441,""মূর্খ|"&amp;"ভণ্ড|প্রতার|অলস|লোভ|স্বার্থ|অক্ষম|অযোগ্য|বোকা|কৃপণ|হিংস"")),""valence-target অমিল"",""""),IF(COUNTIF($B:$B,B441)&gt;1,""ডুপ্লিকেট"",""""))"),"figurative ছোট")</f>
        <v>figurative ছোট</v>
      </c>
      <c r="Q441" s="5" t="str">
        <f t="shared" si="1"/>
        <v>১ আগে দেখো</v>
      </c>
    </row>
    <row r="442">
      <c r="A442" s="4">
        <v>5423.0</v>
      </c>
      <c r="B442" s="2" t="s">
        <v>2056</v>
      </c>
      <c r="C442" s="2" t="s">
        <v>2057</v>
      </c>
      <c r="D442" s="2" t="s">
        <v>2058</v>
      </c>
      <c r="E442" s="2" t="s">
        <v>2059</v>
      </c>
      <c r="F442" s="2" t="b">
        <v>1</v>
      </c>
      <c r="G442" s="2" t="b">
        <v>0</v>
      </c>
      <c r="H442" s="2" t="s">
        <v>1334</v>
      </c>
      <c r="I442" s="2" t="s">
        <v>22</v>
      </c>
      <c r="J442" s="2" t="s">
        <v>820</v>
      </c>
      <c r="K442" s="2" t="s">
        <v>495</v>
      </c>
      <c r="L442" s="13" t="s">
        <v>496</v>
      </c>
      <c r="M442" s="2" t="s">
        <v>26</v>
      </c>
      <c r="N442" s="11" t="s">
        <v>576</v>
      </c>
      <c r="O442" s="12" t="s">
        <v>53</v>
      </c>
      <c r="P442" s="5" t="str">
        <f>IFERROR(__xludf.DUMMYFUNCTION("TEXTJOIN("" | "",TRUE,IF(OR(D442="""",E442="""",I442="""",J442="""",H442=""""),""ফাঁকা ঘর"",""""),IF(AND(C442&lt;&gt;"""",D442&lt;&gt;"""",C442=D442),""gloss=figurative"",""""),IF(LEN(D442)&lt;15,""figurative ছোট"",""""),IF(AND(I442=""Positive"",REGEXMATCH(H442,""মূর্খ|"&amp;"ভণ্ড|প্রতার|অলস|লোভ|স্বার্থ|অক্ষম|অযোগ্য|বোকা|কৃপণ|হিংস"")),""valence-target অমিল"",""""),IF(COUNTIF($B:$B,B442)&gt;1,""ডুপ্লিকেট"",""""))"),"figurative ছোট")</f>
        <v>figurative ছোট</v>
      </c>
      <c r="Q442" s="5" t="str">
        <f t="shared" si="1"/>
        <v>১ আগে দেখো</v>
      </c>
    </row>
    <row r="443">
      <c r="A443" s="4">
        <v>5424.0</v>
      </c>
      <c r="B443" s="2" t="s">
        <v>2060</v>
      </c>
      <c r="C443" s="2" t="s">
        <v>2061</v>
      </c>
      <c r="D443" s="2" t="s">
        <v>2062</v>
      </c>
      <c r="E443" s="2" t="s">
        <v>2063</v>
      </c>
      <c r="F443" s="2" t="b">
        <v>1</v>
      </c>
      <c r="G443" s="2" t="b">
        <v>0</v>
      </c>
      <c r="H443" s="2" t="s">
        <v>37</v>
      </c>
      <c r="I443" s="2" t="s">
        <v>22</v>
      </c>
      <c r="J443" s="2" t="s">
        <v>2064</v>
      </c>
      <c r="K443" s="2" t="s">
        <v>495</v>
      </c>
      <c r="L443" s="13" t="s">
        <v>496</v>
      </c>
      <c r="M443" s="2" t="s">
        <v>26</v>
      </c>
      <c r="N443" s="11" t="s">
        <v>576</v>
      </c>
      <c r="O443" s="12" t="s">
        <v>53</v>
      </c>
      <c r="P443" s="5" t="str">
        <f>IFERROR(__xludf.DUMMYFUNCTION("TEXTJOIN("" | "",TRUE,IF(OR(D443="""",E443="""",I443="""",J443="""",H443=""""),""ফাঁকা ঘর"",""""),IF(AND(C443&lt;&gt;"""",D443&lt;&gt;"""",C443=D443),""gloss=figurative"",""""),IF(LEN(D443)&lt;15,""figurative ছোট"",""""),IF(AND(I443=""Positive"",REGEXMATCH(H443,""মূর্খ|"&amp;"ভণ্ড|প্রতার|অলস|লোভ|স্বার্থ|অক্ষম|অযোগ্য|বোকা|কৃপণ|হিংস"")),""valence-target অমিল"",""""),IF(COUNTIF($B:$B,B443)&gt;1,""ডুপ্লিকেট"",""""))"),"figurative ছোট")</f>
        <v>figurative ছোট</v>
      </c>
      <c r="Q443" s="5" t="str">
        <f t="shared" si="1"/>
        <v>১ আগে দেখো</v>
      </c>
    </row>
    <row r="444">
      <c r="A444" s="4">
        <v>5425.0</v>
      </c>
      <c r="B444" s="2" t="s">
        <v>2065</v>
      </c>
      <c r="C444" s="2" t="s">
        <v>2066</v>
      </c>
      <c r="D444" s="2" t="s">
        <v>2054</v>
      </c>
      <c r="E444" s="2" t="s">
        <v>2067</v>
      </c>
      <c r="F444" s="2" t="b">
        <v>1</v>
      </c>
      <c r="G444" s="2" t="b">
        <v>0</v>
      </c>
      <c r="H444" s="2" t="s">
        <v>1334</v>
      </c>
      <c r="I444" s="2" t="s">
        <v>22</v>
      </c>
      <c r="J444" s="2" t="s">
        <v>820</v>
      </c>
      <c r="K444" s="2" t="s">
        <v>495</v>
      </c>
      <c r="L444" s="13" t="s">
        <v>496</v>
      </c>
      <c r="M444" s="2" t="s">
        <v>26</v>
      </c>
      <c r="N444" s="11" t="s">
        <v>576</v>
      </c>
      <c r="O444" s="12" t="s">
        <v>53</v>
      </c>
      <c r="P444" s="5" t="str">
        <f>IFERROR(__xludf.DUMMYFUNCTION("TEXTJOIN("" | "",TRUE,IF(OR(D444="""",E444="""",I444="""",J444="""",H444=""""),""ফাঁকা ঘর"",""""),IF(AND(C444&lt;&gt;"""",D444&lt;&gt;"""",C444=D444),""gloss=figurative"",""""),IF(LEN(D444)&lt;15,""figurative ছোট"",""""),IF(AND(I444=""Positive"",REGEXMATCH(H444,""মূর্খ|"&amp;"ভণ্ড|প্রতার|অলস|লোভ|স্বার্থ|অক্ষম|অযোগ্য|বোকা|কৃপণ|হিংস"")),""valence-target অমিল"",""""),IF(COUNTIF($B:$B,B444)&gt;1,""ডুপ্লিকেট"",""""))"),"figurative ছোট")</f>
        <v>figurative ছোট</v>
      </c>
      <c r="Q444" s="5" t="str">
        <f t="shared" si="1"/>
        <v>১ আগে দেখো</v>
      </c>
    </row>
    <row r="445">
      <c r="A445" s="4">
        <v>5427.0</v>
      </c>
      <c r="B445" s="2" t="s">
        <v>2068</v>
      </c>
      <c r="C445" s="2" t="s">
        <v>2068</v>
      </c>
      <c r="D445" s="2" t="s">
        <v>2069</v>
      </c>
      <c r="E445" s="2" t="s">
        <v>2070</v>
      </c>
      <c r="F445" s="2" t="b">
        <v>1</v>
      </c>
      <c r="G445" s="2" t="b">
        <v>0</v>
      </c>
      <c r="H445" s="2" t="s">
        <v>1334</v>
      </c>
      <c r="I445" s="2" t="s">
        <v>22</v>
      </c>
      <c r="J445" s="2" t="s">
        <v>820</v>
      </c>
      <c r="K445" s="2" t="s">
        <v>495</v>
      </c>
      <c r="L445" s="13" t="s">
        <v>496</v>
      </c>
      <c r="M445" s="2" t="s">
        <v>26</v>
      </c>
      <c r="N445" s="11" t="s">
        <v>576</v>
      </c>
      <c r="O445" s="12" t="s">
        <v>53</v>
      </c>
      <c r="P445" s="5" t="str">
        <f>IFERROR(__xludf.DUMMYFUNCTION("TEXTJOIN("" | "",TRUE,IF(OR(D445="""",E445="""",I445="""",J445="""",H445=""""),""ফাঁকা ঘর"",""""),IF(AND(C445&lt;&gt;"""",D445&lt;&gt;"""",C445=D445),""gloss=figurative"",""""),IF(LEN(D445)&lt;15,""figurative ছোট"",""""),IF(AND(I445=""Positive"",REGEXMATCH(H445,""মূর্খ|"&amp;"ভণ্ড|প্রতার|অলস|লোভ|স্বার্থ|অক্ষম|অযোগ্য|বোকা|কৃপণ|হিংস"")),""valence-target অমিল"",""""),IF(COUNTIF($B:$B,B445)&gt;1,""ডুপ্লিকেট"",""""))"),"figurative ছোট")</f>
        <v>figurative ছোট</v>
      </c>
      <c r="Q445" s="5" t="str">
        <f t="shared" si="1"/>
        <v>১ আগে দেখো</v>
      </c>
    </row>
    <row r="446">
      <c r="A446" s="4">
        <v>5430.0</v>
      </c>
      <c r="B446" s="2" t="s">
        <v>2071</v>
      </c>
      <c r="C446" s="2" t="s">
        <v>2072</v>
      </c>
      <c r="D446" s="2" t="s">
        <v>2073</v>
      </c>
      <c r="E446" s="2" t="s">
        <v>2074</v>
      </c>
      <c r="F446" s="2" t="b">
        <v>1</v>
      </c>
      <c r="G446" s="2" t="b">
        <v>0</v>
      </c>
      <c r="H446" s="2" t="s">
        <v>37</v>
      </c>
      <c r="I446" s="2" t="s">
        <v>32</v>
      </c>
      <c r="J446" s="2" t="s">
        <v>2075</v>
      </c>
      <c r="K446" s="2" t="s">
        <v>495</v>
      </c>
      <c r="L446" s="13" t="s">
        <v>496</v>
      </c>
      <c r="M446" s="2" t="s">
        <v>26</v>
      </c>
      <c r="N446" s="11" t="s">
        <v>576</v>
      </c>
      <c r="O446" s="12" t="s">
        <v>53</v>
      </c>
      <c r="P446" s="5" t="str">
        <f>IFERROR(__xludf.DUMMYFUNCTION("TEXTJOIN("" | "",TRUE,IF(OR(D446="""",E446="""",I446="""",J446="""",H446=""""),""ফাঁকা ঘর"",""""),IF(AND(C446&lt;&gt;"""",D446&lt;&gt;"""",C446=D446),""gloss=figurative"",""""),IF(LEN(D446)&lt;15,""figurative ছোট"",""""),IF(AND(I446=""Positive"",REGEXMATCH(H446,""মূর্খ|"&amp;"ভণ্ড|প্রতার|অলস|লোভ|স্বার্থ|অক্ষম|অযোগ্য|বোকা|কৃপণ|হিংস"")),""valence-target অমিল"",""""),IF(COUNTIF($B:$B,B446)&gt;1,""ডুপ্লিকেট"",""""))"),"figurative ছোট")</f>
        <v>figurative ছোট</v>
      </c>
      <c r="Q446" s="5" t="str">
        <f t="shared" si="1"/>
        <v>১ আগে দেখো</v>
      </c>
    </row>
    <row r="447">
      <c r="A447" s="4">
        <v>5431.0</v>
      </c>
      <c r="B447" s="2" t="s">
        <v>2076</v>
      </c>
      <c r="C447" s="2" t="s">
        <v>2077</v>
      </c>
      <c r="D447" s="2" t="s">
        <v>2078</v>
      </c>
      <c r="E447" s="2" t="s">
        <v>2079</v>
      </c>
      <c r="F447" s="2" t="b">
        <v>1</v>
      </c>
      <c r="G447" s="2" t="b">
        <v>1</v>
      </c>
      <c r="H447" s="2" t="s">
        <v>1106</v>
      </c>
      <c r="I447" s="2" t="s">
        <v>22</v>
      </c>
      <c r="J447" s="2" t="s">
        <v>739</v>
      </c>
      <c r="K447" s="2" t="s">
        <v>495</v>
      </c>
      <c r="L447" s="13" t="s">
        <v>496</v>
      </c>
      <c r="M447" s="2" t="s">
        <v>26</v>
      </c>
      <c r="N447" s="11" t="s">
        <v>576</v>
      </c>
      <c r="O447" s="12" t="s">
        <v>53</v>
      </c>
      <c r="P447" s="5" t="str">
        <f>IFERROR(__xludf.DUMMYFUNCTION("TEXTJOIN("" | "",TRUE,IF(OR(D447="""",E447="""",I447="""",J447="""",H447=""""),""ফাঁকা ঘর"",""""),IF(AND(C447&lt;&gt;"""",D447&lt;&gt;"""",C447=D447),""gloss=figurative"",""""),IF(LEN(D447)&lt;15,""figurative ছোট"",""""),IF(AND(I447=""Positive"",REGEXMATCH(H447,""মূর্খ|"&amp;"ভণ্ড|প্রতার|অলস|লোভ|স্বার্থ|অক্ষম|অযোগ্য|বোকা|কৃপণ|হিংস"")),""valence-target অমিল"",""""),IF(COUNTIF($B:$B,B447)&gt;1,""ডুপ্লিকেট"",""""))"),"figurative ছোট")</f>
        <v>figurative ছোট</v>
      </c>
      <c r="Q447" s="5" t="str">
        <f t="shared" si="1"/>
        <v>১ আগে দেখো</v>
      </c>
    </row>
    <row r="448">
      <c r="A448" s="4">
        <v>5432.0</v>
      </c>
      <c r="B448" s="2" t="s">
        <v>2080</v>
      </c>
      <c r="C448" s="2" t="s">
        <v>2081</v>
      </c>
      <c r="D448" s="2" t="s">
        <v>1474</v>
      </c>
      <c r="E448" s="2" t="s">
        <v>2082</v>
      </c>
      <c r="F448" s="2" t="b">
        <v>1</v>
      </c>
      <c r="G448" s="2" t="b">
        <v>0</v>
      </c>
      <c r="H448" s="2" t="s">
        <v>37</v>
      </c>
      <c r="I448" s="2" t="s">
        <v>49</v>
      </c>
      <c r="J448" s="2" t="s">
        <v>1476</v>
      </c>
      <c r="K448" s="2" t="s">
        <v>495</v>
      </c>
      <c r="L448" s="13" t="s">
        <v>496</v>
      </c>
      <c r="M448" s="2" t="s">
        <v>26</v>
      </c>
      <c r="N448" s="11" t="s">
        <v>576</v>
      </c>
      <c r="O448" s="12" t="s">
        <v>53</v>
      </c>
      <c r="P448" s="5" t="str">
        <f>IFERROR(__xludf.DUMMYFUNCTION("TEXTJOIN("" | "",TRUE,IF(OR(D448="""",E448="""",I448="""",J448="""",H448=""""),""ফাঁকা ঘর"",""""),IF(AND(C448&lt;&gt;"""",D448&lt;&gt;"""",C448=D448),""gloss=figurative"",""""),IF(LEN(D448)&lt;15,""figurative ছোট"",""""),IF(AND(I448=""Positive"",REGEXMATCH(H448,""মূর্খ|"&amp;"ভণ্ড|প্রতার|অলস|লোভ|স্বার্থ|অক্ষম|অযোগ্য|বোকা|কৃপণ|হিংস"")),""valence-target অমিল"",""""),IF(COUNTIF($B:$B,B448)&gt;1,""ডুপ্লিকেট"",""""))"),"figurative ছোট")</f>
        <v>figurative ছোট</v>
      </c>
      <c r="Q448" s="5" t="str">
        <f t="shared" si="1"/>
        <v>১ আগে দেখো</v>
      </c>
    </row>
    <row r="449">
      <c r="A449" s="4">
        <v>5434.0</v>
      </c>
      <c r="B449" s="2" t="s">
        <v>2083</v>
      </c>
      <c r="C449" s="2" t="s">
        <v>2084</v>
      </c>
      <c r="D449" s="2" t="s">
        <v>2085</v>
      </c>
      <c r="E449" s="2" t="s">
        <v>2086</v>
      </c>
      <c r="F449" s="2" t="b">
        <v>1</v>
      </c>
      <c r="G449" s="2" t="b">
        <v>0</v>
      </c>
      <c r="H449" s="2" t="s">
        <v>1334</v>
      </c>
      <c r="I449" s="2" t="s">
        <v>22</v>
      </c>
      <c r="J449" s="2" t="s">
        <v>820</v>
      </c>
      <c r="K449" s="2" t="s">
        <v>495</v>
      </c>
      <c r="L449" s="13" t="s">
        <v>496</v>
      </c>
      <c r="M449" s="2" t="s">
        <v>26</v>
      </c>
      <c r="N449" s="11" t="s">
        <v>576</v>
      </c>
      <c r="O449" s="12" t="s">
        <v>53</v>
      </c>
      <c r="P449" s="5" t="str">
        <f>IFERROR(__xludf.DUMMYFUNCTION("TEXTJOIN("" | "",TRUE,IF(OR(D449="""",E449="""",I449="""",J449="""",H449=""""),""ফাঁকা ঘর"",""""),IF(AND(C449&lt;&gt;"""",D449&lt;&gt;"""",C449=D449),""gloss=figurative"",""""),IF(LEN(D449)&lt;15,""figurative ছোট"",""""),IF(AND(I449=""Positive"",REGEXMATCH(H449,""মূর্খ|"&amp;"ভণ্ড|প্রতার|অলস|লোভ|স্বার্থ|অক্ষম|অযোগ্য|বোকা|কৃপণ|হিংস"")),""valence-target অমিল"",""""),IF(COUNTIF($B:$B,B449)&gt;1,""ডুপ্লিকেট"",""""))"),"figurative ছোট")</f>
        <v>figurative ছোট</v>
      </c>
      <c r="Q449" s="5" t="str">
        <f t="shared" si="1"/>
        <v>১ আগে দেখো</v>
      </c>
    </row>
    <row r="450">
      <c r="A450" s="4">
        <v>5435.0</v>
      </c>
      <c r="B450" s="2" t="s">
        <v>2087</v>
      </c>
      <c r="C450" s="2" t="s">
        <v>2088</v>
      </c>
      <c r="D450" s="2" t="s">
        <v>1474</v>
      </c>
      <c r="E450" s="2" t="s">
        <v>2082</v>
      </c>
      <c r="F450" s="2" t="b">
        <v>1</v>
      </c>
      <c r="G450" s="2" t="b">
        <v>0</v>
      </c>
      <c r="H450" s="2" t="s">
        <v>37</v>
      </c>
      <c r="I450" s="2" t="s">
        <v>49</v>
      </c>
      <c r="J450" s="2" t="s">
        <v>1476</v>
      </c>
      <c r="K450" s="2" t="s">
        <v>495</v>
      </c>
      <c r="L450" s="13" t="s">
        <v>496</v>
      </c>
      <c r="M450" s="2" t="s">
        <v>26</v>
      </c>
      <c r="N450" s="11" t="s">
        <v>576</v>
      </c>
      <c r="O450" s="12" t="s">
        <v>53</v>
      </c>
      <c r="P450" s="5" t="str">
        <f>IFERROR(__xludf.DUMMYFUNCTION("TEXTJOIN("" | "",TRUE,IF(OR(D450="""",E450="""",I450="""",J450="""",H450=""""),""ফাঁকা ঘর"",""""),IF(AND(C450&lt;&gt;"""",D450&lt;&gt;"""",C450=D450),""gloss=figurative"",""""),IF(LEN(D450)&lt;15,""figurative ছোট"",""""),IF(AND(I450=""Positive"",REGEXMATCH(H450,""মূর্খ|"&amp;"ভণ্ড|প্রতার|অলস|লোভ|স্বার্থ|অক্ষম|অযোগ্য|বোকা|কৃপণ|হিংস"")),""valence-target অমিল"",""""),IF(COUNTIF($B:$B,B450)&gt;1,""ডুপ্লিকেট"",""""))"),"figurative ছোট")</f>
        <v>figurative ছোট</v>
      </c>
      <c r="Q450" s="5" t="str">
        <f t="shared" si="1"/>
        <v>১ আগে দেখো</v>
      </c>
    </row>
    <row r="451">
      <c r="A451" s="4">
        <v>5436.0</v>
      </c>
      <c r="B451" s="2" t="s">
        <v>2089</v>
      </c>
      <c r="C451" s="2" t="s">
        <v>2089</v>
      </c>
      <c r="D451" s="2" t="s">
        <v>2090</v>
      </c>
      <c r="E451" s="2" t="s">
        <v>2091</v>
      </c>
      <c r="F451" s="2" t="b">
        <v>1</v>
      </c>
      <c r="G451" s="2" t="b">
        <v>0</v>
      </c>
      <c r="H451" s="2" t="s">
        <v>37</v>
      </c>
      <c r="I451" s="2" t="s">
        <v>22</v>
      </c>
      <c r="J451" s="2" t="s">
        <v>1962</v>
      </c>
      <c r="K451" s="2" t="s">
        <v>495</v>
      </c>
      <c r="L451" s="13" t="s">
        <v>496</v>
      </c>
      <c r="M451" s="2" t="s">
        <v>26</v>
      </c>
      <c r="N451" s="11" t="s">
        <v>576</v>
      </c>
      <c r="O451" s="12" t="s">
        <v>53</v>
      </c>
      <c r="P451" s="5" t="str">
        <f>IFERROR(__xludf.DUMMYFUNCTION("TEXTJOIN("" | "",TRUE,IF(OR(D451="""",E451="""",I451="""",J451="""",H451=""""),""ফাঁকা ঘর"",""""),IF(AND(C451&lt;&gt;"""",D451&lt;&gt;"""",C451=D451),""gloss=figurative"",""""),IF(LEN(D451)&lt;15,""figurative ছোট"",""""),IF(AND(I451=""Positive"",REGEXMATCH(H451,""মূর্খ|"&amp;"ভণ্ড|প্রতার|অলস|লোভ|স্বার্থ|অক্ষম|অযোগ্য|বোকা|কৃপণ|হিংস"")),""valence-target অমিল"",""""),IF(COUNTIF($B:$B,B451)&gt;1,""ডুপ্লিকেট"",""""))"),"figurative ছোট")</f>
        <v>figurative ছোট</v>
      </c>
      <c r="Q451" s="5" t="str">
        <f t="shared" si="1"/>
        <v>১ আগে দেখো</v>
      </c>
    </row>
    <row r="452">
      <c r="A452" s="4">
        <v>5437.0</v>
      </c>
      <c r="B452" s="2" t="s">
        <v>2092</v>
      </c>
      <c r="C452" s="2" t="s">
        <v>2093</v>
      </c>
      <c r="D452" s="2" t="s">
        <v>2094</v>
      </c>
      <c r="E452" s="2" t="s">
        <v>2095</v>
      </c>
      <c r="F452" s="2" t="b">
        <v>1</v>
      </c>
      <c r="G452" s="2" t="b">
        <v>0</v>
      </c>
      <c r="H452" s="2" t="s">
        <v>37</v>
      </c>
      <c r="I452" s="2" t="s">
        <v>32</v>
      </c>
      <c r="J452" s="2" t="s">
        <v>581</v>
      </c>
      <c r="K452" s="2" t="s">
        <v>495</v>
      </c>
      <c r="L452" s="13" t="s">
        <v>496</v>
      </c>
      <c r="M452" s="2" t="s">
        <v>26</v>
      </c>
      <c r="N452" s="11" t="s">
        <v>576</v>
      </c>
      <c r="O452" s="12" t="s">
        <v>53</v>
      </c>
      <c r="P452" s="5" t="str">
        <f>IFERROR(__xludf.DUMMYFUNCTION("TEXTJOIN("" | "",TRUE,IF(OR(D452="""",E452="""",I452="""",J452="""",H452=""""),""ফাঁকা ঘর"",""""),IF(AND(C452&lt;&gt;"""",D452&lt;&gt;"""",C452=D452),""gloss=figurative"",""""),IF(LEN(D452)&lt;15,""figurative ছোট"",""""),IF(AND(I452=""Positive"",REGEXMATCH(H452,""মূর্খ|"&amp;"ভণ্ড|প্রতার|অলস|লোভ|স্বার্থ|অক্ষম|অযোগ্য|বোকা|কৃপণ|হিংস"")),""valence-target অমিল"",""""),IF(COUNTIF($B:$B,B452)&gt;1,""ডুপ্লিকেট"",""""))"),"figurative ছোট")</f>
        <v>figurative ছোট</v>
      </c>
      <c r="Q452" s="5" t="str">
        <f t="shared" si="1"/>
        <v>১ আগে দেখো</v>
      </c>
    </row>
    <row r="453">
      <c r="A453" s="4">
        <v>5438.0</v>
      </c>
      <c r="B453" s="2" t="s">
        <v>2096</v>
      </c>
      <c r="C453" s="2" t="s">
        <v>2097</v>
      </c>
      <c r="D453" s="2" t="s">
        <v>2098</v>
      </c>
      <c r="E453" s="2" t="s">
        <v>2099</v>
      </c>
      <c r="F453" s="2" t="b">
        <v>1</v>
      </c>
      <c r="G453" s="2" t="b">
        <v>0</v>
      </c>
      <c r="H453" s="2" t="s">
        <v>37</v>
      </c>
      <c r="I453" s="2" t="s">
        <v>49</v>
      </c>
      <c r="J453" s="2" t="s">
        <v>708</v>
      </c>
      <c r="K453" s="2" t="s">
        <v>495</v>
      </c>
      <c r="L453" s="13" t="s">
        <v>496</v>
      </c>
      <c r="M453" s="2" t="s">
        <v>26</v>
      </c>
      <c r="N453" s="11" t="s">
        <v>576</v>
      </c>
      <c r="O453" s="12" t="s">
        <v>53</v>
      </c>
      <c r="P453" s="5" t="str">
        <f>IFERROR(__xludf.DUMMYFUNCTION("TEXTJOIN("" | "",TRUE,IF(OR(D453="""",E453="""",I453="""",J453="""",H453=""""),""ফাঁকা ঘর"",""""),IF(AND(C453&lt;&gt;"""",D453&lt;&gt;"""",C453=D453),""gloss=figurative"",""""),IF(LEN(D453)&lt;15,""figurative ছোট"",""""),IF(AND(I453=""Positive"",REGEXMATCH(H453,""মূর্খ|"&amp;"ভণ্ড|প্রতার|অলস|লোভ|স্বার্থ|অক্ষম|অযোগ্য|বোকা|কৃপণ|হিংস"")),""valence-target অমিল"",""""),IF(COUNTIF($B:$B,B453)&gt;1,""ডুপ্লিকেট"",""""))"),"figurative ছোট")</f>
        <v>figurative ছোট</v>
      </c>
      <c r="Q453" s="5" t="str">
        <f t="shared" si="1"/>
        <v>১ আগে দেখো</v>
      </c>
    </row>
    <row r="454">
      <c r="A454" s="4">
        <v>5445.0</v>
      </c>
      <c r="B454" s="2" t="s">
        <v>2100</v>
      </c>
      <c r="C454" s="2" t="s">
        <v>2101</v>
      </c>
      <c r="D454" s="2" t="s">
        <v>2102</v>
      </c>
      <c r="E454" s="2" t="s">
        <v>2103</v>
      </c>
      <c r="F454" s="2" t="b">
        <v>1</v>
      </c>
      <c r="G454" s="2" t="b">
        <v>0</v>
      </c>
      <c r="H454" s="2" t="s">
        <v>37</v>
      </c>
      <c r="I454" s="2" t="s">
        <v>49</v>
      </c>
      <c r="J454" s="2" t="s">
        <v>300</v>
      </c>
      <c r="K454" s="2" t="s">
        <v>495</v>
      </c>
      <c r="L454" s="13" t="s">
        <v>496</v>
      </c>
      <c r="M454" s="2" t="s">
        <v>26</v>
      </c>
      <c r="N454" s="11" t="s">
        <v>576</v>
      </c>
      <c r="O454" s="12" t="s">
        <v>53</v>
      </c>
      <c r="P454" s="5" t="str">
        <f>IFERROR(__xludf.DUMMYFUNCTION("TEXTJOIN("" | "",TRUE,IF(OR(D454="""",E454="""",I454="""",J454="""",H454=""""),""ফাঁকা ঘর"",""""),IF(AND(C454&lt;&gt;"""",D454&lt;&gt;"""",C454=D454),""gloss=figurative"",""""),IF(LEN(D454)&lt;15,""figurative ছোট"",""""),IF(AND(I454=""Positive"",REGEXMATCH(H454,""মূর্খ|"&amp;"ভণ্ড|প্রতার|অলস|লোভ|স্বার্থ|অক্ষম|অযোগ্য|বোকা|কৃপণ|হিংস"")),""valence-target অমিল"",""""),IF(COUNTIF($B:$B,B454)&gt;1,""ডুপ্লিকেট"",""""))"),"figurative ছোট")</f>
        <v>figurative ছোট</v>
      </c>
      <c r="Q454" s="5" t="str">
        <f t="shared" si="1"/>
        <v>১ আগে দেখো</v>
      </c>
    </row>
    <row r="455">
      <c r="A455" s="4">
        <v>5447.0</v>
      </c>
      <c r="B455" s="2" t="s">
        <v>2104</v>
      </c>
      <c r="C455" s="2" t="s">
        <v>2105</v>
      </c>
      <c r="D455" s="2" t="s">
        <v>2106</v>
      </c>
      <c r="E455" s="2" t="s">
        <v>2107</v>
      </c>
      <c r="F455" s="2" t="b">
        <v>1</v>
      </c>
      <c r="G455" s="2" t="b">
        <v>0</v>
      </c>
      <c r="H455" s="2" t="s">
        <v>37</v>
      </c>
      <c r="I455" s="2" t="s">
        <v>32</v>
      </c>
      <c r="J455" s="2" t="s">
        <v>2108</v>
      </c>
      <c r="K455" s="2" t="s">
        <v>495</v>
      </c>
      <c r="L455" s="13" t="s">
        <v>496</v>
      </c>
      <c r="M455" s="2" t="s">
        <v>26</v>
      </c>
      <c r="N455" s="11" t="s">
        <v>576</v>
      </c>
      <c r="O455" s="12" t="s">
        <v>53</v>
      </c>
      <c r="P455" s="5" t="str">
        <f>IFERROR(__xludf.DUMMYFUNCTION("TEXTJOIN("" | "",TRUE,IF(OR(D455="""",E455="""",I455="""",J455="""",H455=""""),""ফাঁকা ঘর"",""""),IF(AND(C455&lt;&gt;"""",D455&lt;&gt;"""",C455=D455),""gloss=figurative"",""""),IF(LEN(D455)&lt;15,""figurative ছোট"",""""),IF(AND(I455=""Positive"",REGEXMATCH(H455,""মূর্খ|"&amp;"ভণ্ড|প্রতার|অলস|লোভ|স্বার্থ|অক্ষম|অযোগ্য|বোকা|কৃপণ|হিংস"")),""valence-target অমিল"",""""),IF(COUNTIF($B:$B,B455)&gt;1,""ডুপ্লিকেট"",""""))"),"figurative ছোট")</f>
        <v>figurative ছোট</v>
      </c>
      <c r="Q455" s="5" t="str">
        <f t="shared" si="1"/>
        <v>১ আগে দেখো</v>
      </c>
    </row>
    <row r="456">
      <c r="A456" s="4">
        <v>5450.0</v>
      </c>
      <c r="B456" s="2" t="s">
        <v>2109</v>
      </c>
      <c r="C456" s="2" t="s">
        <v>2110</v>
      </c>
      <c r="D456" s="2" t="s">
        <v>2111</v>
      </c>
      <c r="E456" s="2" t="s">
        <v>2112</v>
      </c>
      <c r="F456" s="2" t="b">
        <v>1</v>
      </c>
      <c r="G456" s="2" t="b">
        <v>0</v>
      </c>
      <c r="H456" s="2" t="s">
        <v>37</v>
      </c>
      <c r="I456" s="2" t="s">
        <v>49</v>
      </c>
      <c r="J456" s="2" t="s">
        <v>2113</v>
      </c>
      <c r="K456" s="2" t="s">
        <v>495</v>
      </c>
      <c r="L456" s="13" t="s">
        <v>496</v>
      </c>
      <c r="M456" s="2" t="s">
        <v>26</v>
      </c>
      <c r="N456" s="11" t="s">
        <v>576</v>
      </c>
      <c r="O456" s="12" t="s">
        <v>53</v>
      </c>
      <c r="P456" s="5" t="str">
        <f>IFERROR(__xludf.DUMMYFUNCTION("TEXTJOIN("" | "",TRUE,IF(OR(D456="""",E456="""",I456="""",J456="""",H456=""""),""ফাঁকা ঘর"",""""),IF(AND(C456&lt;&gt;"""",D456&lt;&gt;"""",C456=D456),""gloss=figurative"",""""),IF(LEN(D456)&lt;15,""figurative ছোট"",""""),IF(AND(I456=""Positive"",REGEXMATCH(H456,""মূর্খ|"&amp;"ভণ্ড|প্রতার|অলস|লোভ|স্বার্থ|অক্ষম|অযোগ্য|বোকা|কৃপণ|হিংস"")),""valence-target অমিল"",""""),IF(COUNTIF($B:$B,B456)&gt;1,""ডুপ্লিকেট"",""""))"),"figurative ছোট")</f>
        <v>figurative ছোট</v>
      </c>
      <c r="Q456" s="5" t="str">
        <f t="shared" si="1"/>
        <v>১ আগে দেখো</v>
      </c>
    </row>
    <row r="457">
      <c r="A457" s="4">
        <v>5451.0</v>
      </c>
      <c r="B457" s="2" t="s">
        <v>2114</v>
      </c>
      <c r="C457" s="2" t="s">
        <v>2115</v>
      </c>
      <c r="D457" s="2" t="s">
        <v>2116</v>
      </c>
      <c r="E457" s="2" t="s">
        <v>2117</v>
      </c>
      <c r="F457" s="2" t="b">
        <v>1</v>
      </c>
      <c r="G457" s="2" t="b">
        <v>0</v>
      </c>
      <c r="H457" s="2" t="s">
        <v>37</v>
      </c>
      <c r="I457" s="2" t="s">
        <v>22</v>
      </c>
      <c r="J457" s="2" t="s">
        <v>842</v>
      </c>
      <c r="K457" s="2" t="s">
        <v>495</v>
      </c>
      <c r="L457" s="13" t="s">
        <v>496</v>
      </c>
      <c r="M457" s="2" t="s">
        <v>26</v>
      </c>
      <c r="N457" s="11" t="s">
        <v>576</v>
      </c>
      <c r="O457" s="12" t="s">
        <v>53</v>
      </c>
      <c r="P457" s="5" t="str">
        <f>IFERROR(__xludf.DUMMYFUNCTION("TEXTJOIN("" | "",TRUE,IF(OR(D457="""",E457="""",I457="""",J457="""",H457=""""),""ফাঁকা ঘর"",""""),IF(AND(C457&lt;&gt;"""",D457&lt;&gt;"""",C457=D457),""gloss=figurative"",""""),IF(LEN(D457)&lt;15,""figurative ছোট"",""""),IF(AND(I457=""Positive"",REGEXMATCH(H457,""মূর্খ|"&amp;"ভণ্ড|প্রতার|অলস|লোভ|স্বার্থ|অক্ষম|অযোগ্য|বোকা|কৃপণ|হিংস"")),""valence-target অমিল"",""""),IF(COUNTIF($B:$B,B457)&gt;1,""ডুপ্লিকেট"",""""))"),"figurative ছোট")</f>
        <v>figurative ছোট</v>
      </c>
      <c r="Q457" s="5" t="str">
        <f t="shared" si="1"/>
        <v>১ আগে দেখো</v>
      </c>
    </row>
    <row r="458">
      <c r="A458" s="4">
        <v>5453.0</v>
      </c>
      <c r="B458" s="2" t="s">
        <v>2118</v>
      </c>
      <c r="C458" s="2" t="s">
        <v>2119</v>
      </c>
      <c r="D458" s="2" t="s">
        <v>2120</v>
      </c>
      <c r="E458" s="2" t="s">
        <v>2121</v>
      </c>
      <c r="F458" s="2" t="b">
        <v>1</v>
      </c>
      <c r="G458" s="2" t="b">
        <v>0</v>
      </c>
      <c r="H458" s="2" t="s">
        <v>37</v>
      </c>
      <c r="I458" s="2" t="s">
        <v>49</v>
      </c>
      <c r="J458" s="2" t="s">
        <v>2122</v>
      </c>
      <c r="K458" s="2" t="s">
        <v>495</v>
      </c>
      <c r="L458" s="13" t="s">
        <v>496</v>
      </c>
      <c r="M458" s="2" t="s">
        <v>26</v>
      </c>
      <c r="N458" s="11" t="s">
        <v>576</v>
      </c>
      <c r="O458" s="12" t="s">
        <v>53</v>
      </c>
      <c r="P458" s="5" t="str">
        <f>IFERROR(__xludf.DUMMYFUNCTION("TEXTJOIN("" | "",TRUE,IF(OR(D458="""",E458="""",I458="""",J458="""",H458=""""),""ফাঁকা ঘর"",""""),IF(AND(C458&lt;&gt;"""",D458&lt;&gt;"""",C458=D458),""gloss=figurative"",""""),IF(LEN(D458)&lt;15,""figurative ছোট"",""""),IF(AND(I458=""Positive"",REGEXMATCH(H458,""মূর্খ|"&amp;"ভণ্ড|প্রতার|অলস|লোভ|স্বার্থ|অক্ষম|অযোগ্য|বোকা|কৃপণ|হিংস"")),""valence-target অমিল"",""""),IF(COUNTIF($B:$B,B458)&gt;1,""ডুপ্লিকেট"",""""))"),"figurative ছোট")</f>
        <v>figurative ছোট</v>
      </c>
      <c r="Q458" s="5" t="str">
        <f t="shared" si="1"/>
        <v>১ আগে দেখো</v>
      </c>
    </row>
    <row r="459">
      <c r="A459" s="4">
        <v>5457.0</v>
      </c>
      <c r="B459" s="2" t="s">
        <v>2123</v>
      </c>
      <c r="C459" s="2" t="s">
        <v>2124</v>
      </c>
      <c r="D459" s="2" t="s">
        <v>2125</v>
      </c>
      <c r="E459" s="2" t="s">
        <v>2126</v>
      </c>
      <c r="F459" s="2" t="b">
        <v>1</v>
      </c>
      <c r="G459" s="2" t="b">
        <v>0</v>
      </c>
      <c r="H459" s="2" t="s">
        <v>37</v>
      </c>
      <c r="I459" s="2" t="s">
        <v>22</v>
      </c>
      <c r="J459" s="2" t="s">
        <v>1962</v>
      </c>
      <c r="K459" s="2" t="s">
        <v>495</v>
      </c>
      <c r="L459" s="13" t="s">
        <v>496</v>
      </c>
      <c r="M459" s="2" t="s">
        <v>26</v>
      </c>
      <c r="N459" s="11" t="s">
        <v>576</v>
      </c>
      <c r="O459" s="12" t="s">
        <v>53</v>
      </c>
      <c r="P459" s="5" t="str">
        <f>IFERROR(__xludf.DUMMYFUNCTION("TEXTJOIN("" | "",TRUE,IF(OR(D459="""",E459="""",I459="""",J459="""",H459=""""),""ফাঁকা ঘর"",""""),IF(AND(C459&lt;&gt;"""",D459&lt;&gt;"""",C459=D459),""gloss=figurative"",""""),IF(LEN(D459)&lt;15,""figurative ছোট"",""""),IF(AND(I459=""Positive"",REGEXMATCH(H459,""মূর্খ|"&amp;"ভণ্ড|প্রতার|অলস|লোভ|স্বার্থ|অক্ষম|অযোগ্য|বোকা|কৃপণ|হিংস"")),""valence-target অমিল"",""""),IF(COUNTIF($B:$B,B459)&gt;1,""ডুপ্লিকেট"",""""))"),"figurative ছোট")</f>
        <v>figurative ছোট</v>
      </c>
      <c r="Q459" s="5" t="str">
        <f t="shared" si="1"/>
        <v>১ আগে দেখো</v>
      </c>
    </row>
    <row r="460">
      <c r="A460" s="4">
        <v>5465.0</v>
      </c>
      <c r="B460" s="2" t="s">
        <v>2127</v>
      </c>
      <c r="C460" s="2" t="s">
        <v>2128</v>
      </c>
      <c r="D460" s="2" t="s">
        <v>2129</v>
      </c>
      <c r="E460" s="2" t="s">
        <v>2130</v>
      </c>
      <c r="F460" s="2" t="b">
        <v>1</v>
      </c>
      <c r="G460" s="2" t="b">
        <v>0</v>
      </c>
      <c r="H460" s="2" t="s">
        <v>37</v>
      </c>
      <c r="I460" s="2" t="s">
        <v>49</v>
      </c>
      <c r="J460" s="2" t="s">
        <v>1018</v>
      </c>
      <c r="K460" s="2" t="s">
        <v>495</v>
      </c>
      <c r="L460" s="13" t="s">
        <v>496</v>
      </c>
      <c r="M460" s="2" t="s">
        <v>26</v>
      </c>
      <c r="N460" s="11" t="s">
        <v>2131</v>
      </c>
      <c r="O460" s="12" t="s">
        <v>53</v>
      </c>
      <c r="P460" s="5" t="str">
        <f>IFERROR(__xludf.DUMMYFUNCTION("TEXTJOIN("" | "",TRUE,IF(OR(D460="""",E460="""",I460="""",J460="""",H460=""""),""ফাঁকা ঘর"",""""),IF(AND(C460&lt;&gt;"""",D460&lt;&gt;"""",C460=D460),""gloss=figurative"",""""),IF(LEN(D460)&lt;15,""figurative ছোট"",""""),IF(AND(I460=""Positive"",REGEXMATCH(H460,""মূর্খ|"&amp;"ভণ্ড|প্রতার|অলস|লোভ|স্বার্থ|অক্ষম|অযোগ্য|বোকা|কৃপণ|হিংস"")),""valence-target অমিল"",""""),IF(COUNTIF($B:$B,B460)&gt;1,""ডুপ্লিকেট"",""""))"),"figurative ছোট")</f>
        <v>figurative ছোট</v>
      </c>
      <c r="Q460" s="5" t="str">
        <f t="shared" si="1"/>
        <v>১ আগে দেখো</v>
      </c>
    </row>
    <row r="461">
      <c r="A461" s="4">
        <v>5474.0</v>
      </c>
      <c r="B461" s="2" t="s">
        <v>2132</v>
      </c>
      <c r="C461" s="2" t="s">
        <v>2133</v>
      </c>
      <c r="D461" s="2" t="s">
        <v>2134</v>
      </c>
      <c r="E461" s="2" t="s">
        <v>2135</v>
      </c>
      <c r="F461" s="2" t="b">
        <v>1</v>
      </c>
      <c r="G461" s="2" t="b">
        <v>0</v>
      </c>
      <c r="H461" s="2" t="s">
        <v>37</v>
      </c>
      <c r="I461" s="2" t="s">
        <v>32</v>
      </c>
      <c r="J461" s="2" t="s">
        <v>646</v>
      </c>
      <c r="K461" s="2" t="s">
        <v>495</v>
      </c>
      <c r="L461" s="13" t="s">
        <v>496</v>
      </c>
      <c r="M461" s="2" t="s">
        <v>26</v>
      </c>
      <c r="N461" s="11" t="s">
        <v>576</v>
      </c>
      <c r="O461" s="12" t="s">
        <v>53</v>
      </c>
      <c r="P461" s="5" t="str">
        <f>IFERROR(__xludf.DUMMYFUNCTION("TEXTJOIN("" | "",TRUE,IF(OR(D461="""",E461="""",I461="""",J461="""",H461=""""),""ফাঁকা ঘর"",""""),IF(AND(C461&lt;&gt;"""",D461&lt;&gt;"""",C461=D461),""gloss=figurative"",""""),IF(LEN(D461)&lt;15,""figurative ছোট"",""""),IF(AND(I461=""Positive"",REGEXMATCH(H461,""মূর্খ|"&amp;"ভণ্ড|প্রতার|অলস|লোভ|স্বার্থ|অক্ষম|অযোগ্য|বোকা|কৃপণ|হিংস"")),""valence-target অমিল"",""""),IF(COUNTIF($B:$B,B461)&gt;1,""ডুপ্লিকেট"",""""))"),"figurative ছোট")</f>
        <v>figurative ছোট</v>
      </c>
      <c r="Q461" s="5" t="str">
        <f t="shared" si="1"/>
        <v>১ আগে দেখো</v>
      </c>
    </row>
    <row r="462">
      <c r="A462" s="4">
        <v>5477.0</v>
      </c>
      <c r="B462" s="2" t="s">
        <v>2136</v>
      </c>
      <c r="C462" s="2" t="s">
        <v>2137</v>
      </c>
      <c r="D462" s="2" t="s">
        <v>2138</v>
      </c>
      <c r="E462" s="2" t="s">
        <v>2139</v>
      </c>
      <c r="F462" s="2" t="b">
        <v>1</v>
      </c>
      <c r="G462" s="2" t="b">
        <v>0</v>
      </c>
      <c r="H462" s="2" t="s">
        <v>37</v>
      </c>
      <c r="I462" s="2" t="s">
        <v>49</v>
      </c>
      <c r="J462" s="2" t="s">
        <v>2140</v>
      </c>
      <c r="K462" s="2" t="s">
        <v>495</v>
      </c>
      <c r="L462" s="13" t="s">
        <v>496</v>
      </c>
      <c r="M462" s="2" t="s">
        <v>26</v>
      </c>
      <c r="N462" s="11" t="s">
        <v>576</v>
      </c>
      <c r="O462" s="12" t="s">
        <v>53</v>
      </c>
      <c r="P462" s="5" t="str">
        <f>IFERROR(__xludf.DUMMYFUNCTION("TEXTJOIN("" | "",TRUE,IF(OR(D462="""",E462="""",I462="""",J462="""",H462=""""),""ফাঁকা ঘর"",""""),IF(AND(C462&lt;&gt;"""",D462&lt;&gt;"""",C462=D462),""gloss=figurative"",""""),IF(LEN(D462)&lt;15,""figurative ছোট"",""""),IF(AND(I462=""Positive"",REGEXMATCH(H462,""মূর্খ|"&amp;"ভণ্ড|প্রতার|অলস|লোভ|স্বার্থ|অক্ষম|অযোগ্য|বোকা|কৃপণ|হিংস"")),""valence-target অমিল"",""""),IF(COUNTIF($B:$B,B462)&gt;1,""ডুপ্লিকেট"",""""))"),"figurative ছোট")</f>
        <v>figurative ছোট</v>
      </c>
      <c r="Q462" s="5" t="str">
        <f t="shared" si="1"/>
        <v>১ আগে দেখো</v>
      </c>
    </row>
    <row r="463">
      <c r="A463" s="4">
        <v>5492.0</v>
      </c>
      <c r="B463" s="2" t="s">
        <v>2141</v>
      </c>
      <c r="C463" s="2" t="s">
        <v>2142</v>
      </c>
      <c r="D463" s="2" t="s">
        <v>2143</v>
      </c>
      <c r="E463" s="2" t="s">
        <v>2144</v>
      </c>
      <c r="F463" s="2" t="b">
        <v>1</v>
      </c>
      <c r="G463" s="2" t="b">
        <v>0</v>
      </c>
      <c r="H463" s="2" t="s">
        <v>37</v>
      </c>
      <c r="I463" s="2" t="s">
        <v>49</v>
      </c>
      <c r="J463" s="2" t="s">
        <v>2040</v>
      </c>
      <c r="K463" s="2" t="s">
        <v>495</v>
      </c>
      <c r="L463" s="13" t="s">
        <v>496</v>
      </c>
      <c r="M463" s="2" t="s">
        <v>26</v>
      </c>
      <c r="N463" s="11" t="s">
        <v>576</v>
      </c>
      <c r="O463" s="12" t="s">
        <v>53</v>
      </c>
      <c r="P463" s="5" t="str">
        <f>IFERROR(__xludf.DUMMYFUNCTION("TEXTJOIN("" | "",TRUE,IF(OR(D463="""",E463="""",I463="""",J463="""",H463=""""),""ফাঁকা ঘর"",""""),IF(AND(C463&lt;&gt;"""",D463&lt;&gt;"""",C463=D463),""gloss=figurative"",""""),IF(LEN(D463)&lt;15,""figurative ছোট"",""""),IF(AND(I463=""Positive"",REGEXMATCH(H463,""মূর্খ|"&amp;"ভণ্ড|প্রতার|অলস|লোভ|স্বার্থ|অক্ষম|অযোগ্য|বোকা|কৃপণ|হিংস"")),""valence-target অমিল"",""""),IF(COUNTIF($B:$B,B463)&gt;1,""ডুপ্লিকেট"",""""))"),"figurative ছোট")</f>
        <v>figurative ছোট</v>
      </c>
      <c r="Q463" s="5" t="str">
        <f t="shared" si="1"/>
        <v>১ আগে দেখো</v>
      </c>
    </row>
    <row r="464">
      <c r="A464" s="4">
        <v>5498.0</v>
      </c>
      <c r="B464" s="2" t="s">
        <v>2145</v>
      </c>
      <c r="C464" s="2" t="s">
        <v>2146</v>
      </c>
      <c r="D464" s="2" t="s">
        <v>2147</v>
      </c>
      <c r="E464" s="2" t="s">
        <v>2148</v>
      </c>
      <c r="F464" s="2" t="b">
        <v>1</v>
      </c>
      <c r="G464" s="2" t="b">
        <v>1</v>
      </c>
      <c r="H464" s="2" t="s">
        <v>1106</v>
      </c>
      <c r="I464" s="2" t="s">
        <v>22</v>
      </c>
      <c r="J464" s="2" t="s">
        <v>1679</v>
      </c>
      <c r="K464" s="2" t="s">
        <v>495</v>
      </c>
      <c r="L464" s="13" t="s">
        <v>496</v>
      </c>
      <c r="M464" s="2" t="s">
        <v>26</v>
      </c>
      <c r="N464" s="11" t="s">
        <v>2149</v>
      </c>
      <c r="O464" s="12" t="s">
        <v>53</v>
      </c>
      <c r="P464" s="5" t="str">
        <f>IFERROR(__xludf.DUMMYFUNCTION("TEXTJOIN("" | "",TRUE,IF(OR(D464="""",E464="""",I464="""",J464="""",H464=""""),""ফাঁকা ঘর"",""""),IF(AND(C464&lt;&gt;"""",D464&lt;&gt;"""",C464=D464),""gloss=figurative"",""""),IF(LEN(D464)&lt;15,""figurative ছোট"",""""),IF(AND(I464=""Positive"",REGEXMATCH(H464,""মূর্খ|"&amp;"ভণ্ড|প্রতার|অলস|লোভ|স্বার্থ|অক্ষম|অযোগ্য|বোকা|কৃপণ|হিংস"")),""valence-target অমিল"",""""),IF(COUNTIF($B:$B,B464)&gt;1,""ডুপ্লিকেট"",""""))"),"figurative ছোট")</f>
        <v>figurative ছোট</v>
      </c>
      <c r="Q464" s="5" t="str">
        <f t="shared" si="1"/>
        <v>১ আগে দেখো</v>
      </c>
    </row>
    <row r="465">
      <c r="A465" s="4">
        <v>5499.0</v>
      </c>
      <c r="B465" s="2" t="s">
        <v>2150</v>
      </c>
      <c r="C465" s="2" t="s">
        <v>2151</v>
      </c>
      <c r="D465" s="2" t="s">
        <v>857</v>
      </c>
      <c r="E465" s="2" t="s">
        <v>2152</v>
      </c>
      <c r="F465" s="2" t="b">
        <v>1</v>
      </c>
      <c r="G465" s="2" t="b">
        <v>1</v>
      </c>
      <c r="H465" s="2" t="s">
        <v>1106</v>
      </c>
      <c r="I465" s="2" t="s">
        <v>22</v>
      </c>
      <c r="J465" s="2" t="s">
        <v>590</v>
      </c>
      <c r="K465" s="2" t="s">
        <v>495</v>
      </c>
      <c r="L465" s="13" t="s">
        <v>496</v>
      </c>
      <c r="M465" s="2" t="s">
        <v>26</v>
      </c>
      <c r="N465" s="11" t="s">
        <v>576</v>
      </c>
      <c r="O465" s="12" t="s">
        <v>53</v>
      </c>
      <c r="P465" s="5" t="str">
        <f>IFERROR(__xludf.DUMMYFUNCTION("TEXTJOIN("" | "",TRUE,IF(OR(D465="""",E465="""",I465="""",J465="""",H465=""""),""ফাঁকা ঘর"",""""),IF(AND(C465&lt;&gt;"""",D465&lt;&gt;"""",C465=D465),""gloss=figurative"",""""),IF(LEN(D465)&lt;15,""figurative ছোট"",""""),IF(AND(I465=""Positive"",REGEXMATCH(H465,""মূর্খ|"&amp;"ভণ্ড|প্রতার|অলস|লোভ|স্বার্থ|অক্ষম|অযোগ্য|বোকা|কৃপণ|হিংস"")),""valence-target অমিল"",""""),IF(COUNTIF($B:$B,B465)&gt;1,""ডুপ্লিকেট"",""""))"),"figurative ছোট")</f>
        <v>figurative ছোট</v>
      </c>
      <c r="Q465" s="5" t="str">
        <f t="shared" si="1"/>
        <v>১ আগে দেখো</v>
      </c>
    </row>
    <row r="466">
      <c r="A466" s="4">
        <v>5503.0</v>
      </c>
      <c r="B466" s="2" t="s">
        <v>2153</v>
      </c>
      <c r="C466" s="2" t="s">
        <v>2154</v>
      </c>
      <c r="D466" s="2" t="s">
        <v>2155</v>
      </c>
      <c r="E466" s="2" t="s">
        <v>2156</v>
      </c>
      <c r="F466" s="2" t="b">
        <v>1</v>
      </c>
      <c r="G466" s="2" t="b">
        <v>0</v>
      </c>
      <c r="H466" s="2" t="s">
        <v>37</v>
      </c>
      <c r="I466" s="2" t="s">
        <v>49</v>
      </c>
      <c r="J466" s="2" t="s">
        <v>300</v>
      </c>
      <c r="K466" s="2" t="s">
        <v>495</v>
      </c>
      <c r="L466" s="13" t="s">
        <v>496</v>
      </c>
      <c r="M466" s="2" t="s">
        <v>26</v>
      </c>
      <c r="N466" s="11" t="s">
        <v>576</v>
      </c>
      <c r="O466" s="12" t="s">
        <v>53</v>
      </c>
      <c r="P466" s="5" t="str">
        <f>IFERROR(__xludf.DUMMYFUNCTION("TEXTJOIN("" | "",TRUE,IF(OR(D466="""",E466="""",I466="""",J466="""",H466=""""),""ফাঁকা ঘর"",""""),IF(AND(C466&lt;&gt;"""",D466&lt;&gt;"""",C466=D466),""gloss=figurative"",""""),IF(LEN(D466)&lt;15,""figurative ছোট"",""""),IF(AND(I466=""Positive"",REGEXMATCH(H466,""মূর্খ|"&amp;"ভণ্ড|প্রতার|অলস|লোভ|স্বার্থ|অক্ষম|অযোগ্য|বোকা|কৃপণ|হিংস"")),""valence-target অমিল"",""""),IF(COUNTIF($B:$B,B466)&gt;1,""ডুপ্লিকেট"",""""))"),"figurative ছোট")</f>
        <v>figurative ছোট</v>
      </c>
      <c r="Q466" s="5" t="str">
        <f t="shared" si="1"/>
        <v>১ আগে দেখো</v>
      </c>
    </row>
    <row r="467">
      <c r="A467" s="4">
        <v>5510.0</v>
      </c>
      <c r="B467" s="2" t="s">
        <v>2157</v>
      </c>
      <c r="C467" s="2" t="s">
        <v>2158</v>
      </c>
      <c r="D467" s="2" t="s">
        <v>1051</v>
      </c>
      <c r="E467" s="2" t="s">
        <v>2159</v>
      </c>
      <c r="F467" s="2" t="b">
        <v>1</v>
      </c>
      <c r="G467" s="2" t="b">
        <v>0</v>
      </c>
      <c r="H467" s="2" t="s">
        <v>37</v>
      </c>
      <c r="I467" s="2" t="s">
        <v>32</v>
      </c>
      <c r="J467" s="2" t="s">
        <v>2160</v>
      </c>
      <c r="K467" s="2" t="s">
        <v>495</v>
      </c>
      <c r="L467" s="13" t="s">
        <v>496</v>
      </c>
      <c r="M467" s="2" t="s">
        <v>26</v>
      </c>
      <c r="N467" s="11" t="s">
        <v>576</v>
      </c>
      <c r="O467" s="12" t="s">
        <v>53</v>
      </c>
      <c r="P467" s="5" t="str">
        <f>IFERROR(__xludf.DUMMYFUNCTION("TEXTJOIN("" | "",TRUE,IF(OR(D467="""",E467="""",I467="""",J467="""",H467=""""),""ফাঁকা ঘর"",""""),IF(AND(C467&lt;&gt;"""",D467&lt;&gt;"""",C467=D467),""gloss=figurative"",""""),IF(LEN(D467)&lt;15,""figurative ছোট"",""""),IF(AND(I467=""Positive"",REGEXMATCH(H467,""মূর্খ|"&amp;"ভণ্ড|প্রতার|অলস|লোভ|স্বার্থ|অক্ষম|অযোগ্য|বোকা|কৃপণ|হিংস"")),""valence-target অমিল"",""""),IF(COUNTIF($B:$B,B467)&gt;1,""ডুপ্লিকেট"",""""))"),"figurative ছোট")</f>
        <v>figurative ছোট</v>
      </c>
      <c r="Q467" s="5" t="str">
        <f t="shared" si="1"/>
        <v>১ আগে দেখো</v>
      </c>
    </row>
    <row r="468">
      <c r="A468" s="4">
        <v>5511.0</v>
      </c>
      <c r="B468" s="2" t="s">
        <v>2161</v>
      </c>
      <c r="C468" s="2" t="s">
        <v>2162</v>
      </c>
      <c r="D468" s="2" t="s">
        <v>2163</v>
      </c>
      <c r="E468" s="2" t="s">
        <v>2164</v>
      </c>
      <c r="F468" s="2" t="b">
        <v>1</v>
      </c>
      <c r="G468" s="2" t="b">
        <v>0</v>
      </c>
      <c r="H468" s="2" t="s">
        <v>37</v>
      </c>
      <c r="I468" s="2" t="s">
        <v>49</v>
      </c>
      <c r="J468" s="2" t="s">
        <v>2165</v>
      </c>
      <c r="K468" s="2" t="s">
        <v>495</v>
      </c>
      <c r="L468" s="13" t="s">
        <v>496</v>
      </c>
      <c r="M468" s="2" t="s">
        <v>26</v>
      </c>
      <c r="N468" s="11" t="s">
        <v>576</v>
      </c>
      <c r="O468" s="12" t="s">
        <v>53</v>
      </c>
      <c r="P468" s="5" t="str">
        <f>IFERROR(__xludf.DUMMYFUNCTION("TEXTJOIN("" | "",TRUE,IF(OR(D468="""",E468="""",I468="""",J468="""",H468=""""),""ফাঁকা ঘর"",""""),IF(AND(C468&lt;&gt;"""",D468&lt;&gt;"""",C468=D468),""gloss=figurative"",""""),IF(LEN(D468)&lt;15,""figurative ছোট"",""""),IF(AND(I468=""Positive"",REGEXMATCH(H468,""মূর্খ|"&amp;"ভণ্ড|প্রতার|অলস|লোভ|স্বার্থ|অক্ষম|অযোগ্য|বোকা|কৃপণ|হিংস"")),""valence-target অমিল"",""""),IF(COUNTIF($B:$B,B468)&gt;1,""ডুপ্লিকেট"",""""))"),"figurative ছোট")</f>
        <v>figurative ছোট</v>
      </c>
      <c r="Q468" s="5" t="str">
        <f t="shared" si="1"/>
        <v>১ আগে দেখো</v>
      </c>
    </row>
    <row r="469">
      <c r="A469" s="4">
        <v>5512.0</v>
      </c>
      <c r="B469" s="2" t="s">
        <v>2166</v>
      </c>
      <c r="C469" s="2" t="s">
        <v>2167</v>
      </c>
      <c r="D469" s="2" t="s">
        <v>1649</v>
      </c>
      <c r="E469" s="2" t="s">
        <v>2168</v>
      </c>
      <c r="F469" s="2" t="b">
        <v>1</v>
      </c>
      <c r="G469" s="2" t="b">
        <v>0</v>
      </c>
      <c r="H469" s="2" t="s">
        <v>37</v>
      </c>
      <c r="I469" s="2" t="s">
        <v>22</v>
      </c>
      <c r="J469" s="2" t="s">
        <v>1651</v>
      </c>
      <c r="K469" s="2" t="s">
        <v>495</v>
      </c>
      <c r="L469" s="13" t="s">
        <v>496</v>
      </c>
      <c r="M469" s="2" t="s">
        <v>26</v>
      </c>
      <c r="N469" s="11" t="s">
        <v>576</v>
      </c>
      <c r="O469" s="12" t="s">
        <v>53</v>
      </c>
      <c r="P469" s="5" t="str">
        <f>IFERROR(__xludf.DUMMYFUNCTION("TEXTJOIN("" | "",TRUE,IF(OR(D469="""",E469="""",I469="""",J469="""",H469=""""),""ফাঁকা ঘর"",""""),IF(AND(C469&lt;&gt;"""",D469&lt;&gt;"""",C469=D469),""gloss=figurative"",""""),IF(LEN(D469)&lt;15,""figurative ছোট"",""""),IF(AND(I469=""Positive"",REGEXMATCH(H469,""মূর্খ|"&amp;"ভণ্ড|প্রতার|অলস|লোভ|স্বার্থ|অক্ষম|অযোগ্য|বোকা|কৃপণ|হিংস"")),""valence-target অমিল"",""""),IF(COUNTIF($B:$B,B469)&gt;1,""ডুপ্লিকেট"",""""))"),"figurative ছোট")</f>
        <v>figurative ছোট</v>
      </c>
      <c r="Q469" s="5" t="str">
        <f t="shared" si="1"/>
        <v>১ আগে দেখো</v>
      </c>
    </row>
    <row r="470">
      <c r="A470" s="4">
        <v>5514.0</v>
      </c>
      <c r="B470" s="2" t="s">
        <v>2169</v>
      </c>
      <c r="C470" s="2" t="s">
        <v>2170</v>
      </c>
      <c r="D470" s="2" t="s">
        <v>2171</v>
      </c>
      <c r="E470" s="2" t="s">
        <v>2172</v>
      </c>
      <c r="F470" s="2" t="b">
        <v>1</v>
      </c>
      <c r="G470" s="2" t="b">
        <v>1</v>
      </c>
      <c r="H470" s="2" t="s">
        <v>2173</v>
      </c>
      <c r="I470" s="2" t="s">
        <v>49</v>
      </c>
      <c r="J470" s="2" t="s">
        <v>762</v>
      </c>
      <c r="K470" s="2" t="s">
        <v>495</v>
      </c>
      <c r="L470" s="13" t="s">
        <v>496</v>
      </c>
      <c r="M470" s="2" t="s">
        <v>26</v>
      </c>
      <c r="N470" s="11" t="s">
        <v>576</v>
      </c>
      <c r="O470" s="12" t="s">
        <v>53</v>
      </c>
      <c r="P470" s="5" t="str">
        <f>IFERROR(__xludf.DUMMYFUNCTION("TEXTJOIN("" | "",TRUE,IF(OR(D470="""",E470="""",I470="""",J470="""",H470=""""),""ফাঁকা ঘর"",""""),IF(AND(C470&lt;&gt;"""",D470&lt;&gt;"""",C470=D470),""gloss=figurative"",""""),IF(LEN(D470)&lt;15,""figurative ছোট"",""""),IF(AND(I470=""Positive"",REGEXMATCH(H470,""মূর্খ|"&amp;"ভণ্ড|প্রতার|অলস|লোভ|স্বার্থ|অক্ষম|অযোগ্য|বোকা|কৃপণ|হিংস"")),""valence-target অমিল"",""""),IF(COUNTIF($B:$B,B470)&gt;1,""ডুপ্লিকেট"",""""))"),"figurative ছোট")</f>
        <v>figurative ছোট</v>
      </c>
      <c r="Q470" s="5" t="str">
        <f t="shared" si="1"/>
        <v>১ আগে দেখো</v>
      </c>
    </row>
    <row r="471">
      <c r="A471" s="4">
        <v>5518.0</v>
      </c>
      <c r="B471" s="2" t="s">
        <v>2174</v>
      </c>
      <c r="C471" s="2" t="s">
        <v>2174</v>
      </c>
      <c r="D471" s="2" t="s">
        <v>2054</v>
      </c>
      <c r="E471" s="2" t="s">
        <v>2175</v>
      </c>
      <c r="F471" s="2" t="b">
        <v>1</v>
      </c>
      <c r="G471" s="2" t="b">
        <v>0</v>
      </c>
      <c r="H471" s="2" t="s">
        <v>1334</v>
      </c>
      <c r="I471" s="2" t="s">
        <v>22</v>
      </c>
      <c r="J471" s="2" t="s">
        <v>820</v>
      </c>
      <c r="K471" s="2" t="s">
        <v>495</v>
      </c>
      <c r="L471" s="13" t="s">
        <v>496</v>
      </c>
      <c r="M471" s="2" t="s">
        <v>26</v>
      </c>
      <c r="N471" s="11" t="s">
        <v>576</v>
      </c>
      <c r="O471" s="12" t="s">
        <v>53</v>
      </c>
      <c r="P471" s="5" t="str">
        <f>IFERROR(__xludf.DUMMYFUNCTION("TEXTJOIN("" | "",TRUE,IF(OR(D471="""",E471="""",I471="""",J471="""",H471=""""),""ফাঁকা ঘর"",""""),IF(AND(C471&lt;&gt;"""",D471&lt;&gt;"""",C471=D471),""gloss=figurative"",""""),IF(LEN(D471)&lt;15,""figurative ছোট"",""""),IF(AND(I471=""Positive"",REGEXMATCH(H471,""মূর্খ|"&amp;"ভণ্ড|প্রতার|অলস|লোভ|স্বার্থ|অক্ষম|অযোগ্য|বোকা|কৃপণ|হিংস"")),""valence-target অমিল"",""""),IF(COUNTIF($B:$B,B471)&gt;1,""ডুপ্লিকেট"",""""))"),"figurative ছোট")</f>
        <v>figurative ছোট</v>
      </c>
      <c r="Q471" s="5" t="str">
        <f t="shared" si="1"/>
        <v>১ আগে দেখো</v>
      </c>
    </row>
    <row r="472">
      <c r="A472" s="4">
        <v>5519.0</v>
      </c>
      <c r="B472" s="2" t="s">
        <v>2176</v>
      </c>
      <c r="C472" s="2" t="s">
        <v>2177</v>
      </c>
      <c r="D472" s="2" t="s">
        <v>2178</v>
      </c>
      <c r="E472" s="2" t="s">
        <v>2179</v>
      </c>
      <c r="F472" s="2" t="b">
        <v>1</v>
      </c>
      <c r="G472" s="2" t="b">
        <v>0</v>
      </c>
      <c r="H472" s="2" t="s">
        <v>1334</v>
      </c>
      <c r="I472" s="2" t="s">
        <v>22</v>
      </c>
      <c r="J472" s="2" t="s">
        <v>820</v>
      </c>
      <c r="K472" s="2" t="s">
        <v>495</v>
      </c>
      <c r="L472" s="13" t="s">
        <v>496</v>
      </c>
      <c r="M472" s="2" t="s">
        <v>26</v>
      </c>
      <c r="N472" s="11" t="s">
        <v>576</v>
      </c>
      <c r="O472" s="12" t="s">
        <v>53</v>
      </c>
      <c r="P472" s="5" t="str">
        <f>IFERROR(__xludf.DUMMYFUNCTION("TEXTJOIN("" | "",TRUE,IF(OR(D472="""",E472="""",I472="""",J472="""",H472=""""),""ফাঁকা ঘর"",""""),IF(AND(C472&lt;&gt;"""",D472&lt;&gt;"""",C472=D472),""gloss=figurative"",""""),IF(LEN(D472)&lt;15,""figurative ছোট"",""""),IF(AND(I472=""Positive"",REGEXMATCH(H472,""মূর্খ|"&amp;"ভণ্ড|প্রতার|অলস|লোভ|স্বার্থ|অক্ষম|অযোগ্য|বোকা|কৃপণ|হিংস"")),""valence-target অমিল"",""""),IF(COUNTIF($B:$B,B472)&gt;1,""ডুপ্লিকেট"",""""))"),"figurative ছোট")</f>
        <v>figurative ছোট</v>
      </c>
      <c r="Q472" s="5" t="str">
        <f t="shared" si="1"/>
        <v>১ আগে দেখো</v>
      </c>
    </row>
    <row r="473">
      <c r="A473" s="4">
        <v>5531.0</v>
      </c>
      <c r="B473" s="2" t="s">
        <v>2180</v>
      </c>
      <c r="C473" s="2" t="s">
        <v>2181</v>
      </c>
      <c r="D473" s="2" t="s">
        <v>2182</v>
      </c>
      <c r="E473" s="2" t="s">
        <v>2183</v>
      </c>
      <c r="F473" s="2" t="b">
        <v>1</v>
      </c>
      <c r="G473" s="2" t="b">
        <v>1</v>
      </c>
      <c r="H473" s="2" t="s">
        <v>2184</v>
      </c>
      <c r="I473" s="2" t="s">
        <v>22</v>
      </c>
      <c r="J473" s="2" t="s">
        <v>1363</v>
      </c>
      <c r="K473" s="2" t="s">
        <v>495</v>
      </c>
      <c r="L473" s="13" t="s">
        <v>496</v>
      </c>
      <c r="M473" s="2" t="s">
        <v>26</v>
      </c>
      <c r="N473" s="11" t="s">
        <v>576</v>
      </c>
      <c r="O473" s="12" t="s">
        <v>53</v>
      </c>
      <c r="P473" s="5" t="str">
        <f>IFERROR(__xludf.DUMMYFUNCTION("TEXTJOIN("" | "",TRUE,IF(OR(D473="""",E473="""",I473="""",J473="""",H473=""""),""ফাঁকা ঘর"",""""),IF(AND(C473&lt;&gt;"""",D473&lt;&gt;"""",C473=D473),""gloss=figurative"",""""),IF(LEN(D473)&lt;15,""figurative ছোট"",""""),IF(AND(I473=""Positive"",REGEXMATCH(H473,""মূর্খ|"&amp;"ভণ্ড|প্রতার|অলস|লোভ|স্বার্থ|অক্ষম|অযোগ্য|বোকা|কৃপণ|হিংস"")),""valence-target অমিল"",""""),IF(COUNTIF($B:$B,B473)&gt;1,""ডুপ্লিকেট"",""""))"),"figurative ছোট")</f>
        <v>figurative ছোট</v>
      </c>
      <c r="Q473" s="5" t="str">
        <f t="shared" si="1"/>
        <v>১ আগে দেখো</v>
      </c>
    </row>
    <row r="474">
      <c r="A474" s="4">
        <v>5534.0</v>
      </c>
      <c r="B474" s="2" t="s">
        <v>2185</v>
      </c>
      <c r="C474" s="2" t="s">
        <v>2186</v>
      </c>
      <c r="D474" s="2" t="s">
        <v>1264</v>
      </c>
      <c r="E474" s="2" t="s">
        <v>2187</v>
      </c>
      <c r="F474" s="2" t="b">
        <v>1</v>
      </c>
      <c r="G474" s="2" t="b">
        <v>0</v>
      </c>
      <c r="H474" s="2" t="s">
        <v>37</v>
      </c>
      <c r="I474" s="2" t="s">
        <v>49</v>
      </c>
      <c r="J474" s="2" t="s">
        <v>1264</v>
      </c>
      <c r="K474" s="2" t="s">
        <v>495</v>
      </c>
      <c r="L474" s="13" t="s">
        <v>496</v>
      </c>
      <c r="M474" s="2" t="s">
        <v>26</v>
      </c>
      <c r="N474" s="11" t="s">
        <v>576</v>
      </c>
      <c r="O474" s="12" t="s">
        <v>53</v>
      </c>
      <c r="P474" s="5" t="str">
        <f>IFERROR(__xludf.DUMMYFUNCTION("TEXTJOIN("" | "",TRUE,IF(OR(D474="""",E474="""",I474="""",J474="""",H474=""""),""ফাঁকা ঘর"",""""),IF(AND(C474&lt;&gt;"""",D474&lt;&gt;"""",C474=D474),""gloss=figurative"",""""),IF(LEN(D474)&lt;15,""figurative ছোট"",""""),IF(AND(I474=""Positive"",REGEXMATCH(H474,""মূর্খ|"&amp;"ভণ্ড|প্রতার|অলস|লোভ|স্বার্থ|অক্ষম|অযোগ্য|বোকা|কৃপণ|হিংস"")),""valence-target অমিল"",""""),IF(COUNTIF($B:$B,B474)&gt;1,""ডুপ্লিকেট"",""""))"),"figurative ছোট")</f>
        <v>figurative ছোট</v>
      </c>
      <c r="Q474" s="5" t="str">
        <f t="shared" si="1"/>
        <v>১ আগে দেখো</v>
      </c>
    </row>
    <row r="475">
      <c r="A475" s="4">
        <v>5537.0</v>
      </c>
      <c r="B475" s="2" t="s">
        <v>2188</v>
      </c>
      <c r="C475" s="2" t="s">
        <v>2189</v>
      </c>
      <c r="D475" s="2" t="s">
        <v>2190</v>
      </c>
      <c r="E475" s="2" t="s">
        <v>2191</v>
      </c>
      <c r="F475" s="2" t="b">
        <v>1</v>
      </c>
      <c r="G475" s="2" t="b">
        <v>0</v>
      </c>
      <c r="H475" s="2" t="s">
        <v>37</v>
      </c>
      <c r="I475" s="2" t="s">
        <v>22</v>
      </c>
      <c r="J475" s="2" t="s">
        <v>2192</v>
      </c>
      <c r="K475" s="2" t="s">
        <v>495</v>
      </c>
      <c r="L475" s="13" t="s">
        <v>496</v>
      </c>
      <c r="M475" s="2" t="s">
        <v>26</v>
      </c>
      <c r="N475" s="11" t="s">
        <v>576</v>
      </c>
      <c r="O475" s="12" t="s">
        <v>53</v>
      </c>
      <c r="P475" s="5" t="str">
        <f>IFERROR(__xludf.DUMMYFUNCTION("TEXTJOIN("" | "",TRUE,IF(OR(D475="""",E475="""",I475="""",J475="""",H475=""""),""ফাঁকা ঘর"",""""),IF(AND(C475&lt;&gt;"""",D475&lt;&gt;"""",C475=D475),""gloss=figurative"",""""),IF(LEN(D475)&lt;15,""figurative ছোট"",""""),IF(AND(I475=""Positive"",REGEXMATCH(H475,""মূর্খ|"&amp;"ভণ্ড|প্রতার|অলস|লোভ|স্বার্থ|অক্ষম|অযোগ্য|বোকা|কৃপণ|হিংস"")),""valence-target অমিল"",""""),IF(COUNTIF($B:$B,B475)&gt;1,""ডুপ্লিকেট"",""""))"),"figurative ছোট")</f>
        <v>figurative ছোট</v>
      </c>
      <c r="Q475" s="5" t="str">
        <f t="shared" si="1"/>
        <v>১ আগে দেখো</v>
      </c>
    </row>
    <row r="476">
      <c r="A476" s="4">
        <v>5543.0</v>
      </c>
      <c r="B476" s="2" t="s">
        <v>2193</v>
      </c>
      <c r="C476" s="2" t="s">
        <v>2194</v>
      </c>
      <c r="D476" s="2" t="s">
        <v>2195</v>
      </c>
      <c r="E476" s="2" t="s">
        <v>2196</v>
      </c>
      <c r="F476" s="2" t="b">
        <v>1</v>
      </c>
      <c r="G476" s="2" t="b">
        <v>0</v>
      </c>
      <c r="H476" s="2" t="s">
        <v>37</v>
      </c>
      <c r="I476" s="2" t="s">
        <v>49</v>
      </c>
      <c r="J476" s="2" t="s">
        <v>708</v>
      </c>
      <c r="K476" s="2" t="s">
        <v>495</v>
      </c>
      <c r="L476" s="13" t="s">
        <v>496</v>
      </c>
      <c r="M476" s="2" t="s">
        <v>26</v>
      </c>
      <c r="N476" s="11" t="s">
        <v>576</v>
      </c>
      <c r="O476" s="12" t="s">
        <v>53</v>
      </c>
      <c r="P476" s="5" t="str">
        <f>IFERROR(__xludf.DUMMYFUNCTION("TEXTJOIN("" | "",TRUE,IF(OR(D476="""",E476="""",I476="""",J476="""",H476=""""),""ফাঁকা ঘর"",""""),IF(AND(C476&lt;&gt;"""",D476&lt;&gt;"""",C476=D476),""gloss=figurative"",""""),IF(LEN(D476)&lt;15,""figurative ছোট"",""""),IF(AND(I476=""Positive"",REGEXMATCH(H476,""মূর্খ|"&amp;"ভণ্ড|প্রতার|অলস|লোভ|স্বার্থ|অক্ষম|অযোগ্য|বোকা|কৃপণ|হিংস"")),""valence-target অমিল"",""""),IF(COUNTIF($B:$B,B476)&gt;1,""ডুপ্লিকেট"",""""))"),"figurative ছোট")</f>
        <v>figurative ছোট</v>
      </c>
      <c r="Q476" s="5" t="str">
        <f t="shared" si="1"/>
        <v>১ আগে দেখো</v>
      </c>
    </row>
    <row r="477">
      <c r="A477" s="4">
        <v>5546.0</v>
      </c>
      <c r="B477" s="2" t="s">
        <v>2197</v>
      </c>
      <c r="C477" s="2" t="s">
        <v>2198</v>
      </c>
      <c r="D477" s="2" t="s">
        <v>2199</v>
      </c>
      <c r="E477" s="2" t="s">
        <v>2200</v>
      </c>
      <c r="F477" s="2" t="b">
        <v>1</v>
      </c>
      <c r="G477" s="2" t="b">
        <v>0</v>
      </c>
      <c r="H477" s="2" t="s">
        <v>37</v>
      </c>
      <c r="I477" s="2" t="s">
        <v>49</v>
      </c>
      <c r="J477" s="2" t="s">
        <v>2201</v>
      </c>
      <c r="K477" s="2" t="s">
        <v>495</v>
      </c>
      <c r="L477" s="13" t="s">
        <v>496</v>
      </c>
      <c r="M477" s="2" t="s">
        <v>26</v>
      </c>
      <c r="N477" s="11" t="s">
        <v>576</v>
      </c>
      <c r="O477" s="12" t="s">
        <v>53</v>
      </c>
      <c r="P477" s="5" t="str">
        <f>IFERROR(__xludf.DUMMYFUNCTION("TEXTJOIN("" | "",TRUE,IF(OR(D477="""",E477="""",I477="""",J477="""",H477=""""),""ফাঁকা ঘর"",""""),IF(AND(C477&lt;&gt;"""",D477&lt;&gt;"""",C477=D477),""gloss=figurative"",""""),IF(LEN(D477)&lt;15,""figurative ছোট"",""""),IF(AND(I477=""Positive"",REGEXMATCH(H477,""মূর্খ|"&amp;"ভণ্ড|প্রতার|অলস|লোভ|স্বার্থ|অক্ষম|অযোগ্য|বোকা|কৃপণ|হিংস"")),""valence-target অমিল"",""""),IF(COUNTIF($B:$B,B477)&gt;1,""ডুপ্লিকেট"",""""))"),"figurative ছোট")</f>
        <v>figurative ছোট</v>
      </c>
      <c r="Q477" s="5" t="str">
        <f t="shared" si="1"/>
        <v>১ আগে দেখো</v>
      </c>
    </row>
    <row r="478">
      <c r="A478" s="4">
        <v>5551.0</v>
      </c>
      <c r="B478" s="2" t="s">
        <v>2202</v>
      </c>
      <c r="C478" s="2" t="s">
        <v>2203</v>
      </c>
      <c r="D478" s="2" t="s">
        <v>2204</v>
      </c>
      <c r="E478" s="2" t="s">
        <v>2205</v>
      </c>
      <c r="F478" s="2" t="b">
        <v>1</v>
      </c>
      <c r="G478" s="2" t="b">
        <v>0</v>
      </c>
      <c r="H478" s="2" t="s">
        <v>37</v>
      </c>
      <c r="I478" s="2" t="s">
        <v>49</v>
      </c>
      <c r="J478" s="2" t="s">
        <v>2206</v>
      </c>
      <c r="K478" s="2" t="s">
        <v>495</v>
      </c>
      <c r="L478" s="13" t="s">
        <v>496</v>
      </c>
      <c r="M478" s="2" t="s">
        <v>26</v>
      </c>
      <c r="N478" s="11" t="s">
        <v>2207</v>
      </c>
      <c r="O478" s="12" t="s">
        <v>53</v>
      </c>
      <c r="P478" s="5" t="str">
        <f>IFERROR(__xludf.DUMMYFUNCTION("TEXTJOIN("" | "",TRUE,IF(OR(D478="""",E478="""",I478="""",J478="""",H478=""""),""ফাঁকা ঘর"",""""),IF(AND(C478&lt;&gt;"""",D478&lt;&gt;"""",C478=D478),""gloss=figurative"",""""),IF(LEN(D478)&lt;15,""figurative ছোট"",""""),IF(AND(I478=""Positive"",REGEXMATCH(H478,""মূর্খ|"&amp;"ভণ্ড|প্রতার|অলস|লোভ|স্বার্থ|অক্ষম|অযোগ্য|বোকা|কৃপণ|হিংস"")),""valence-target অমিল"",""""),IF(COUNTIF($B:$B,B478)&gt;1,""ডুপ্লিকেট"",""""))"),"figurative ছোট")</f>
        <v>figurative ছোট</v>
      </c>
      <c r="Q478" s="5" t="str">
        <f t="shared" si="1"/>
        <v>১ আগে দেখো</v>
      </c>
    </row>
    <row r="479">
      <c r="A479" s="4">
        <v>5552.0</v>
      </c>
      <c r="B479" s="2" t="s">
        <v>2208</v>
      </c>
      <c r="C479" s="2" t="s">
        <v>2209</v>
      </c>
      <c r="D479" s="2" t="s">
        <v>2210</v>
      </c>
      <c r="E479" s="2" t="s">
        <v>2211</v>
      </c>
      <c r="F479" s="2" t="b">
        <v>1</v>
      </c>
      <c r="G479" s="2" t="b">
        <v>0</v>
      </c>
      <c r="H479" s="2" t="s">
        <v>37</v>
      </c>
      <c r="I479" s="2" t="s">
        <v>49</v>
      </c>
      <c r="J479" s="2" t="s">
        <v>2206</v>
      </c>
      <c r="K479" s="2" t="s">
        <v>495</v>
      </c>
      <c r="L479" s="13" t="s">
        <v>496</v>
      </c>
      <c r="M479" s="2" t="s">
        <v>26</v>
      </c>
      <c r="N479" s="11" t="s">
        <v>2212</v>
      </c>
      <c r="O479" s="12" t="s">
        <v>53</v>
      </c>
      <c r="P479" s="5" t="str">
        <f>IFERROR(__xludf.DUMMYFUNCTION("TEXTJOIN("" | "",TRUE,IF(OR(D479="""",E479="""",I479="""",J479="""",H479=""""),""ফাঁকা ঘর"",""""),IF(AND(C479&lt;&gt;"""",D479&lt;&gt;"""",C479=D479),""gloss=figurative"",""""),IF(LEN(D479)&lt;15,""figurative ছোট"",""""),IF(AND(I479=""Positive"",REGEXMATCH(H479,""মূর্খ|"&amp;"ভণ্ড|প্রতার|অলস|লোভ|স্বার্থ|অক্ষম|অযোগ্য|বোকা|কৃপণ|হিংস"")),""valence-target অমিল"",""""),IF(COUNTIF($B:$B,B479)&gt;1,""ডুপ্লিকেট"",""""))"),"figurative ছোট")</f>
        <v>figurative ছোট</v>
      </c>
      <c r="Q479" s="5" t="str">
        <f t="shared" si="1"/>
        <v>১ আগে দেখো</v>
      </c>
    </row>
    <row r="480">
      <c r="A480" s="4">
        <v>5554.0</v>
      </c>
      <c r="B480" s="2" t="s">
        <v>2213</v>
      </c>
      <c r="C480" s="2" t="s">
        <v>2214</v>
      </c>
      <c r="D480" s="2" t="s">
        <v>590</v>
      </c>
      <c r="E480" s="2" t="s">
        <v>2215</v>
      </c>
      <c r="F480" s="2" t="b">
        <v>1</v>
      </c>
      <c r="G480" s="2" t="b">
        <v>1</v>
      </c>
      <c r="H480" s="2" t="s">
        <v>1106</v>
      </c>
      <c r="I480" s="2" t="s">
        <v>22</v>
      </c>
      <c r="J480" s="2" t="s">
        <v>590</v>
      </c>
      <c r="K480" s="2" t="s">
        <v>495</v>
      </c>
      <c r="L480" s="13" t="s">
        <v>496</v>
      </c>
      <c r="M480" s="2" t="s">
        <v>26</v>
      </c>
      <c r="N480" s="11" t="s">
        <v>576</v>
      </c>
      <c r="O480" s="12" t="s">
        <v>53</v>
      </c>
      <c r="P480" s="5" t="str">
        <f>IFERROR(__xludf.DUMMYFUNCTION("TEXTJOIN("" | "",TRUE,IF(OR(D480="""",E480="""",I480="""",J480="""",H480=""""),""ফাঁকা ঘর"",""""),IF(AND(C480&lt;&gt;"""",D480&lt;&gt;"""",C480=D480),""gloss=figurative"",""""),IF(LEN(D480)&lt;15,""figurative ছোট"",""""),IF(AND(I480=""Positive"",REGEXMATCH(H480,""মূর্খ|"&amp;"ভণ্ড|প্রতার|অলস|লোভ|স্বার্থ|অক্ষম|অযোগ্য|বোকা|কৃপণ|হিংস"")),""valence-target অমিল"",""""),IF(COUNTIF($B:$B,B480)&gt;1,""ডুপ্লিকেট"",""""))"),"figurative ছোট")</f>
        <v>figurative ছোট</v>
      </c>
      <c r="Q480" s="5" t="str">
        <f t="shared" si="1"/>
        <v>১ আগে দেখো</v>
      </c>
    </row>
    <row r="481">
      <c r="A481" s="4">
        <v>5555.0</v>
      </c>
      <c r="B481" s="2" t="s">
        <v>2216</v>
      </c>
      <c r="C481" s="2" t="s">
        <v>2217</v>
      </c>
      <c r="D481" s="2" t="s">
        <v>2218</v>
      </c>
      <c r="E481" s="2" t="s">
        <v>2219</v>
      </c>
      <c r="F481" s="2" t="b">
        <v>1</v>
      </c>
      <c r="G481" s="2" t="b">
        <v>0</v>
      </c>
      <c r="H481" s="2" t="s">
        <v>37</v>
      </c>
      <c r="I481" s="2" t="s">
        <v>22</v>
      </c>
      <c r="J481" s="2" t="s">
        <v>750</v>
      </c>
      <c r="K481" s="2" t="s">
        <v>495</v>
      </c>
      <c r="L481" s="13" t="s">
        <v>496</v>
      </c>
      <c r="M481" s="2" t="s">
        <v>26</v>
      </c>
      <c r="N481" s="11" t="s">
        <v>2220</v>
      </c>
      <c r="O481" s="12" t="s">
        <v>53</v>
      </c>
      <c r="P481" s="5" t="str">
        <f>IFERROR(__xludf.DUMMYFUNCTION("TEXTJOIN("" | "",TRUE,IF(OR(D481="""",E481="""",I481="""",J481="""",H481=""""),""ফাঁকা ঘর"",""""),IF(AND(C481&lt;&gt;"""",D481&lt;&gt;"""",C481=D481),""gloss=figurative"",""""),IF(LEN(D481)&lt;15,""figurative ছোট"",""""),IF(AND(I481=""Positive"",REGEXMATCH(H481,""মূর্খ|"&amp;"ভণ্ড|প্রতার|অলস|লোভ|স্বার্থ|অক্ষম|অযোগ্য|বোকা|কৃপণ|হিংস"")),""valence-target অমিল"",""""),IF(COUNTIF($B:$B,B481)&gt;1,""ডুপ্লিকেট"",""""))"),"figurative ছোট")</f>
        <v>figurative ছোট</v>
      </c>
      <c r="Q481" s="5" t="str">
        <f t="shared" si="1"/>
        <v>১ আগে দেখো</v>
      </c>
    </row>
    <row r="482">
      <c r="A482" s="4">
        <v>5559.0</v>
      </c>
      <c r="B482" s="2" t="s">
        <v>2221</v>
      </c>
      <c r="C482" s="2" t="s">
        <v>2222</v>
      </c>
      <c r="D482" s="2" t="s">
        <v>2223</v>
      </c>
      <c r="E482" s="2" t="s">
        <v>2224</v>
      </c>
      <c r="F482" s="2" t="b">
        <v>1</v>
      </c>
      <c r="G482" s="2" t="b">
        <v>0</v>
      </c>
      <c r="H482" s="2" t="s">
        <v>37</v>
      </c>
      <c r="I482" s="2" t="s">
        <v>49</v>
      </c>
      <c r="J482" s="2" t="s">
        <v>636</v>
      </c>
      <c r="K482" s="2" t="s">
        <v>495</v>
      </c>
      <c r="L482" s="13" t="s">
        <v>496</v>
      </c>
      <c r="M482" s="2" t="s">
        <v>26</v>
      </c>
      <c r="N482" s="11" t="s">
        <v>576</v>
      </c>
      <c r="O482" s="12" t="s">
        <v>53</v>
      </c>
      <c r="P482" s="5" t="str">
        <f>IFERROR(__xludf.DUMMYFUNCTION("TEXTJOIN("" | "",TRUE,IF(OR(D482="""",E482="""",I482="""",J482="""",H482=""""),""ফাঁকা ঘর"",""""),IF(AND(C482&lt;&gt;"""",D482&lt;&gt;"""",C482=D482),""gloss=figurative"",""""),IF(LEN(D482)&lt;15,""figurative ছোট"",""""),IF(AND(I482=""Positive"",REGEXMATCH(H482,""মূর্খ|"&amp;"ভণ্ড|প্রতার|অলস|লোভ|স্বার্থ|অক্ষম|অযোগ্য|বোকা|কৃপণ|হিংস"")),""valence-target অমিল"",""""),IF(COUNTIF($B:$B,B482)&gt;1,""ডুপ্লিকেট"",""""))"),"figurative ছোট")</f>
        <v>figurative ছোট</v>
      </c>
      <c r="Q482" s="5" t="str">
        <f t="shared" si="1"/>
        <v>১ আগে দেখো</v>
      </c>
    </row>
    <row r="483">
      <c r="A483" s="4">
        <v>5564.0</v>
      </c>
      <c r="B483" s="2" t="s">
        <v>2225</v>
      </c>
      <c r="C483" s="2" t="s">
        <v>2226</v>
      </c>
      <c r="D483" s="2" t="s">
        <v>2227</v>
      </c>
      <c r="E483" s="2" t="s">
        <v>2228</v>
      </c>
      <c r="F483" s="2" t="b">
        <v>1</v>
      </c>
      <c r="G483" s="2" t="b">
        <v>0</v>
      </c>
      <c r="H483" s="2" t="s">
        <v>2229</v>
      </c>
      <c r="I483" s="2" t="s">
        <v>22</v>
      </c>
      <c r="J483" s="2" t="s">
        <v>913</v>
      </c>
      <c r="K483" s="2" t="s">
        <v>495</v>
      </c>
      <c r="L483" s="13" t="s">
        <v>496</v>
      </c>
      <c r="M483" s="2" t="s">
        <v>26</v>
      </c>
      <c r="N483" s="11" t="s">
        <v>576</v>
      </c>
      <c r="O483" s="12" t="s">
        <v>53</v>
      </c>
      <c r="P483" s="5" t="str">
        <f>IFERROR(__xludf.DUMMYFUNCTION("TEXTJOIN("" | "",TRUE,IF(OR(D483="""",E483="""",I483="""",J483="""",H483=""""),""ফাঁকা ঘর"",""""),IF(AND(C483&lt;&gt;"""",D483&lt;&gt;"""",C483=D483),""gloss=figurative"",""""),IF(LEN(D483)&lt;15,""figurative ছোট"",""""),IF(AND(I483=""Positive"",REGEXMATCH(H483,""মূর্খ|"&amp;"ভণ্ড|প্রতার|অলস|লোভ|স্বার্থ|অক্ষম|অযোগ্য|বোকা|কৃপণ|হিংস"")),""valence-target অমিল"",""""),IF(COUNTIF($B:$B,B483)&gt;1,""ডুপ্লিকেট"",""""))"),"figurative ছোট")</f>
        <v>figurative ছোট</v>
      </c>
      <c r="Q483" s="5" t="str">
        <f t="shared" si="1"/>
        <v>১ আগে দেখো</v>
      </c>
    </row>
    <row r="484">
      <c r="A484" s="4">
        <v>5568.0</v>
      </c>
      <c r="B484" s="2" t="s">
        <v>2230</v>
      </c>
      <c r="C484" s="2" t="s">
        <v>2231</v>
      </c>
      <c r="D484" s="2" t="s">
        <v>2232</v>
      </c>
      <c r="E484" s="2" t="s">
        <v>2233</v>
      </c>
      <c r="F484" s="2" t="b">
        <v>1</v>
      </c>
      <c r="G484" s="2" t="b">
        <v>0</v>
      </c>
      <c r="H484" s="2" t="s">
        <v>37</v>
      </c>
      <c r="I484" s="2" t="s">
        <v>22</v>
      </c>
      <c r="J484" s="2" t="s">
        <v>2234</v>
      </c>
      <c r="K484" s="2" t="s">
        <v>495</v>
      </c>
      <c r="L484" s="13" t="s">
        <v>496</v>
      </c>
      <c r="M484" s="2" t="s">
        <v>26</v>
      </c>
      <c r="N484" s="11" t="s">
        <v>2235</v>
      </c>
      <c r="O484" s="12" t="s">
        <v>53</v>
      </c>
      <c r="P484" s="5" t="str">
        <f>IFERROR(__xludf.DUMMYFUNCTION("TEXTJOIN("" | "",TRUE,IF(OR(D484="""",E484="""",I484="""",J484="""",H484=""""),""ফাঁকা ঘর"",""""),IF(AND(C484&lt;&gt;"""",D484&lt;&gt;"""",C484=D484),""gloss=figurative"",""""),IF(LEN(D484)&lt;15,""figurative ছোট"",""""),IF(AND(I484=""Positive"",REGEXMATCH(H484,""মূর্খ|"&amp;"ভণ্ড|প্রতার|অলস|লোভ|স্বার্থ|অক্ষম|অযোগ্য|বোকা|কৃপণ|হিংস"")),""valence-target অমিল"",""""),IF(COUNTIF($B:$B,B484)&gt;1,""ডুপ্লিকেট"",""""))"),"figurative ছোট")</f>
        <v>figurative ছোট</v>
      </c>
      <c r="Q484" s="5" t="str">
        <f t="shared" si="1"/>
        <v>১ আগে দেখো</v>
      </c>
    </row>
    <row r="485">
      <c r="A485" s="4">
        <v>5571.0</v>
      </c>
      <c r="B485" s="2" t="s">
        <v>2236</v>
      </c>
      <c r="C485" s="2" t="s">
        <v>2237</v>
      </c>
      <c r="D485" s="2" t="s">
        <v>2238</v>
      </c>
      <c r="E485" s="2" t="s">
        <v>2239</v>
      </c>
      <c r="F485" s="2" t="b">
        <v>1</v>
      </c>
      <c r="G485" s="2" t="b">
        <v>0</v>
      </c>
      <c r="H485" s="2" t="s">
        <v>37</v>
      </c>
      <c r="I485" s="2" t="s">
        <v>22</v>
      </c>
      <c r="J485" s="2" t="s">
        <v>2240</v>
      </c>
      <c r="K485" s="2" t="s">
        <v>495</v>
      </c>
      <c r="L485" s="13" t="s">
        <v>496</v>
      </c>
      <c r="M485" s="2" t="s">
        <v>26</v>
      </c>
      <c r="N485" s="11" t="s">
        <v>576</v>
      </c>
      <c r="O485" s="12" t="s">
        <v>53</v>
      </c>
      <c r="P485" s="5" t="str">
        <f>IFERROR(__xludf.DUMMYFUNCTION("TEXTJOIN("" | "",TRUE,IF(OR(D485="""",E485="""",I485="""",J485="""",H485=""""),""ফাঁকা ঘর"",""""),IF(AND(C485&lt;&gt;"""",D485&lt;&gt;"""",C485=D485),""gloss=figurative"",""""),IF(LEN(D485)&lt;15,""figurative ছোট"",""""),IF(AND(I485=""Positive"",REGEXMATCH(H485,""মূর্খ|"&amp;"ভণ্ড|প্রতার|অলস|লোভ|স্বার্থ|অক্ষম|অযোগ্য|বোকা|কৃপণ|হিংস"")),""valence-target অমিল"",""""),IF(COUNTIF($B:$B,B485)&gt;1,""ডুপ্লিকেট"",""""))"),"figurative ছোট")</f>
        <v>figurative ছোট</v>
      </c>
      <c r="Q485" s="5" t="str">
        <f t="shared" si="1"/>
        <v>১ আগে দেখো</v>
      </c>
    </row>
    <row r="486">
      <c r="A486" s="4">
        <v>5574.0</v>
      </c>
      <c r="B486" s="2" t="s">
        <v>2241</v>
      </c>
      <c r="C486" s="2" t="s">
        <v>2242</v>
      </c>
      <c r="D486" s="2" t="s">
        <v>2243</v>
      </c>
      <c r="E486" s="2" t="s">
        <v>2244</v>
      </c>
      <c r="F486" s="2" t="b">
        <v>1</v>
      </c>
      <c r="G486" s="2" t="b">
        <v>0</v>
      </c>
      <c r="H486" s="2" t="s">
        <v>2243</v>
      </c>
      <c r="I486" s="2" t="s">
        <v>22</v>
      </c>
      <c r="J486" s="2" t="s">
        <v>820</v>
      </c>
      <c r="K486" s="2" t="s">
        <v>495</v>
      </c>
      <c r="L486" s="13" t="s">
        <v>496</v>
      </c>
      <c r="M486" s="2" t="s">
        <v>26</v>
      </c>
      <c r="N486" s="11" t="s">
        <v>576</v>
      </c>
      <c r="O486" s="12" t="s">
        <v>53</v>
      </c>
      <c r="P486" s="5" t="str">
        <f>IFERROR(__xludf.DUMMYFUNCTION("TEXTJOIN("" | "",TRUE,IF(OR(D486="""",E486="""",I486="""",J486="""",H486=""""),""ফাঁকা ঘর"",""""),IF(AND(C486&lt;&gt;"""",D486&lt;&gt;"""",C486=D486),""gloss=figurative"",""""),IF(LEN(D486)&lt;15,""figurative ছোট"",""""),IF(AND(I486=""Positive"",REGEXMATCH(H486,""মূর্খ|"&amp;"ভণ্ড|প্রতার|অলস|লোভ|স্বার্থ|অক্ষম|অযোগ্য|বোকা|কৃপণ|হিংস"")),""valence-target অমিল"",""""),IF(COUNTIF($B:$B,B486)&gt;1,""ডুপ্লিকেট"",""""))"),"figurative ছোট")</f>
        <v>figurative ছোট</v>
      </c>
      <c r="Q486" s="5" t="str">
        <f t="shared" si="1"/>
        <v>১ আগে দেখো</v>
      </c>
    </row>
    <row r="487">
      <c r="A487" s="4">
        <v>5576.0</v>
      </c>
      <c r="B487" s="2" t="s">
        <v>2245</v>
      </c>
      <c r="C487" s="2" t="s">
        <v>2246</v>
      </c>
      <c r="D487" s="2" t="s">
        <v>2247</v>
      </c>
      <c r="E487" s="2" t="s">
        <v>2248</v>
      </c>
      <c r="F487" s="2" t="b">
        <v>1</v>
      </c>
      <c r="G487" s="2" t="b">
        <v>0</v>
      </c>
      <c r="H487" s="2" t="s">
        <v>37</v>
      </c>
      <c r="I487" s="2" t="s">
        <v>32</v>
      </c>
      <c r="J487" s="2" t="s">
        <v>2249</v>
      </c>
      <c r="K487" s="2" t="s">
        <v>495</v>
      </c>
      <c r="L487" s="13" t="s">
        <v>496</v>
      </c>
      <c r="M487" s="2" t="s">
        <v>26</v>
      </c>
      <c r="N487" s="11" t="s">
        <v>2250</v>
      </c>
      <c r="O487" s="12" t="s">
        <v>53</v>
      </c>
      <c r="P487" s="5" t="str">
        <f>IFERROR(__xludf.DUMMYFUNCTION("TEXTJOIN("" | "",TRUE,IF(OR(D487="""",E487="""",I487="""",J487="""",H487=""""),""ফাঁকা ঘর"",""""),IF(AND(C487&lt;&gt;"""",D487&lt;&gt;"""",C487=D487),""gloss=figurative"",""""),IF(LEN(D487)&lt;15,""figurative ছোট"",""""),IF(AND(I487=""Positive"",REGEXMATCH(H487,""মূর্খ|"&amp;"ভণ্ড|প্রতার|অলস|লোভ|স্বার্থ|অক্ষম|অযোগ্য|বোকা|কৃপণ|হিংস"")),""valence-target অমিল"",""""),IF(COUNTIF($B:$B,B487)&gt;1,""ডুপ্লিকেট"",""""))"),"figurative ছোট")</f>
        <v>figurative ছোট</v>
      </c>
      <c r="Q487" s="5" t="str">
        <f t="shared" si="1"/>
        <v>১ আগে দেখো</v>
      </c>
    </row>
    <row r="488">
      <c r="A488" s="4">
        <v>5577.0</v>
      </c>
      <c r="B488" s="2" t="s">
        <v>2251</v>
      </c>
      <c r="C488" s="2" t="s">
        <v>2252</v>
      </c>
      <c r="D488" s="2" t="s">
        <v>2253</v>
      </c>
      <c r="E488" s="2" t="s">
        <v>2254</v>
      </c>
      <c r="F488" s="2" t="b">
        <v>1</v>
      </c>
      <c r="G488" s="2" t="b">
        <v>0</v>
      </c>
      <c r="H488" s="2" t="s">
        <v>37</v>
      </c>
      <c r="I488" s="2" t="s">
        <v>22</v>
      </c>
      <c r="J488" s="2" t="s">
        <v>2255</v>
      </c>
      <c r="K488" s="2" t="s">
        <v>495</v>
      </c>
      <c r="L488" s="13" t="s">
        <v>496</v>
      </c>
      <c r="M488" s="2" t="s">
        <v>26</v>
      </c>
      <c r="N488" s="11" t="s">
        <v>2256</v>
      </c>
      <c r="O488" s="12" t="s">
        <v>53</v>
      </c>
      <c r="P488" s="5" t="str">
        <f>IFERROR(__xludf.DUMMYFUNCTION("TEXTJOIN("" | "",TRUE,IF(OR(D488="""",E488="""",I488="""",J488="""",H488=""""),""ফাঁকা ঘর"",""""),IF(AND(C488&lt;&gt;"""",D488&lt;&gt;"""",C488=D488),""gloss=figurative"",""""),IF(LEN(D488)&lt;15,""figurative ছোট"",""""),IF(AND(I488=""Positive"",REGEXMATCH(H488,""মূর্খ|"&amp;"ভণ্ড|প্রতার|অলস|লোভ|স্বার্থ|অক্ষম|অযোগ্য|বোকা|কৃপণ|হিংস"")),""valence-target অমিল"",""""),IF(COUNTIF($B:$B,B488)&gt;1,""ডুপ্লিকেট"",""""))"),"figurative ছোট")</f>
        <v>figurative ছোট</v>
      </c>
      <c r="Q488" s="5" t="str">
        <f t="shared" si="1"/>
        <v>১ আগে দেখো</v>
      </c>
    </row>
    <row r="489">
      <c r="A489" s="4">
        <v>5578.0</v>
      </c>
      <c r="B489" s="2" t="s">
        <v>2257</v>
      </c>
      <c r="C489" s="2" t="s">
        <v>2258</v>
      </c>
      <c r="D489" s="2" t="s">
        <v>2259</v>
      </c>
      <c r="E489" s="2" t="s">
        <v>2260</v>
      </c>
      <c r="F489" s="2" t="b">
        <v>1</v>
      </c>
      <c r="G489" s="2" t="b">
        <v>0</v>
      </c>
      <c r="H489" s="2" t="s">
        <v>37</v>
      </c>
      <c r="I489" s="2" t="s">
        <v>49</v>
      </c>
      <c r="J489" s="2" t="s">
        <v>565</v>
      </c>
      <c r="K489" s="2" t="s">
        <v>495</v>
      </c>
      <c r="L489" s="13" t="s">
        <v>496</v>
      </c>
      <c r="M489" s="2" t="s">
        <v>26</v>
      </c>
      <c r="N489" s="11" t="s">
        <v>576</v>
      </c>
      <c r="O489" s="12" t="s">
        <v>53</v>
      </c>
      <c r="P489" s="5" t="str">
        <f>IFERROR(__xludf.DUMMYFUNCTION("TEXTJOIN("" | "",TRUE,IF(OR(D489="""",E489="""",I489="""",J489="""",H489=""""),""ফাঁকা ঘর"",""""),IF(AND(C489&lt;&gt;"""",D489&lt;&gt;"""",C489=D489),""gloss=figurative"",""""),IF(LEN(D489)&lt;15,""figurative ছোট"",""""),IF(AND(I489=""Positive"",REGEXMATCH(H489,""মূর্খ|"&amp;"ভণ্ড|প্রতার|অলস|লোভ|স্বার্থ|অক্ষম|অযোগ্য|বোকা|কৃপণ|হিংস"")),""valence-target অমিল"",""""),IF(COUNTIF($B:$B,B489)&gt;1,""ডুপ্লিকেট"",""""))"),"figurative ছোট")</f>
        <v>figurative ছোট</v>
      </c>
      <c r="Q489" s="5" t="str">
        <f t="shared" si="1"/>
        <v>১ আগে দেখো</v>
      </c>
    </row>
    <row r="490">
      <c r="A490" s="4">
        <v>5582.0</v>
      </c>
      <c r="B490" s="2" t="s">
        <v>2261</v>
      </c>
      <c r="C490" s="2" t="s">
        <v>2262</v>
      </c>
      <c r="D490" s="2" t="s">
        <v>2263</v>
      </c>
      <c r="E490" s="2" t="s">
        <v>2264</v>
      </c>
      <c r="F490" s="2" t="b">
        <v>1</v>
      </c>
      <c r="G490" s="2" t="b">
        <v>0</v>
      </c>
      <c r="H490" s="2" t="s">
        <v>37</v>
      </c>
      <c r="I490" s="2" t="s">
        <v>22</v>
      </c>
      <c r="J490" s="2" t="s">
        <v>990</v>
      </c>
      <c r="K490" s="2" t="s">
        <v>495</v>
      </c>
      <c r="L490" s="13" t="s">
        <v>496</v>
      </c>
      <c r="M490" s="2" t="s">
        <v>26</v>
      </c>
      <c r="N490" s="11" t="s">
        <v>576</v>
      </c>
      <c r="O490" s="12" t="s">
        <v>53</v>
      </c>
      <c r="P490" s="5" t="str">
        <f>IFERROR(__xludf.DUMMYFUNCTION("TEXTJOIN("" | "",TRUE,IF(OR(D490="""",E490="""",I490="""",J490="""",H490=""""),""ফাঁকা ঘর"",""""),IF(AND(C490&lt;&gt;"""",D490&lt;&gt;"""",C490=D490),""gloss=figurative"",""""),IF(LEN(D490)&lt;15,""figurative ছোট"",""""),IF(AND(I490=""Positive"",REGEXMATCH(H490,""মূর্খ|"&amp;"ভণ্ড|প্রতার|অলস|লোভ|স্বার্থ|অক্ষম|অযোগ্য|বোকা|কৃপণ|হিংস"")),""valence-target অমিল"",""""),IF(COUNTIF($B:$B,B490)&gt;1,""ডুপ্লিকেট"",""""))"),"figurative ছোট")</f>
        <v>figurative ছোট</v>
      </c>
      <c r="Q490" s="5" t="str">
        <f t="shared" si="1"/>
        <v>১ আগে দেখো</v>
      </c>
    </row>
    <row r="491">
      <c r="A491" s="4">
        <v>5583.0</v>
      </c>
      <c r="B491" s="2" t="s">
        <v>2265</v>
      </c>
      <c r="C491" s="2" t="s">
        <v>2266</v>
      </c>
      <c r="D491" s="2" t="s">
        <v>2267</v>
      </c>
      <c r="E491" s="2" t="s">
        <v>2268</v>
      </c>
      <c r="F491" s="2" t="b">
        <v>1</v>
      </c>
      <c r="G491" s="2" t="b">
        <v>0</v>
      </c>
      <c r="H491" s="2" t="s">
        <v>37</v>
      </c>
      <c r="I491" s="2" t="s">
        <v>32</v>
      </c>
      <c r="J491" s="2" t="s">
        <v>565</v>
      </c>
      <c r="K491" s="2" t="s">
        <v>495</v>
      </c>
      <c r="L491" s="13" t="s">
        <v>496</v>
      </c>
      <c r="M491" s="2" t="s">
        <v>26</v>
      </c>
      <c r="N491" s="11" t="s">
        <v>576</v>
      </c>
      <c r="O491" s="12" t="s">
        <v>53</v>
      </c>
      <c r="P491" s="5" t="str">
        <f>IFERROR(__xludf.DUMMYFUNCTION("TEXTJOIN("" | "",TRUE,IF(OR(D491="""",E491="""",I491="""",J491="""",H491=""""),""ফাঁকা ঘর"",""""),IF(AND(C491&lt;&gt;"""",D491&lt;&gt;"""",C491=D491),""gloss=figurative"",""""),IF(LEN(D491)&lt;15,""figurative ছোট"",""""),IF(AND(I491=""Positive"",REGEXMATCH(H491,""মূর্খ|"&amp;"ভণ্ড|প্রতার|অলস|লোভ|স্বার্থ|অক্ষম|অযোগ্য|বোকা|কৃপণ|হিংস"")),""valence-target অমিল"",""""),IF(COUNTIF($B:$B,B491)&gt;1,""ডুপ্লিকেট"",""""))"),"figurative ছোট")</f>
        <v>figurative ছোট</v>
      </c>
      <c r="Q491" s="5" t="str">
        <f t="shared" si="1"/>
        <v>১ আগে দেখো</v>
      </c>
    </row>
    <row r="492">
      <c r="A492" s="4">
        <v>5584.0</v>
      </c>
      <c r="B492" s="2" t="s">
        <v>2269</v>
      </c>
      <c r="C492" s="2" t="s">
        <v>2270</v>
      </c>
      <c r="D492" s="2" t="s">
        <v>2271</v>
      </c>
      <c r="E492" s="2" t="s">
        <v>2272</v>
      </c>
      <c r="F492" s="2" t="b">
        <v>1</v>
      </c>
      <c r="G492" s="2" t="b">
        <v>0</v>
      </c>
      <c r="H492" s="2" t="s">
        <v>37</v>
      </c>
      <c r="I492" s="2" t="s">
        <v>49</v>
      </c>
      <c r="J492" s="2" t="s">
        <v>2273</v>
      </c>
      <c r="K492" s="2" t="s">
        <v>495</v>
      </c>
      <c r="L492" s="13" t="s">
        <v>496</v>
      </c>
      <c r="M492" s="2" t="s">
        <v>26</v>
      </c>
      <c r="N492" s="11" t="s">
        <v>576</v>
      </c>
      <c r="O492" s="12" t="s">
        <v>53</v>
      </c>
      <c r="P492" s="5" t="str">
        <f>IFERROR(__xludf.DUMMYFUNCTION("TEXTJOIN("" | "",TRUE,IF(OR(D492="""",E492="""",I492="""",J492="""",H492=""""),""ফাঁকা ঘর"",""""),IF(AND(C492&lt;&gt;"""",D492&lt;&gt;"""",C492=D492),""gloss=figurative"",""""),IF(LEN(D492)&lt;15,""figurative ছোট"",""""),IF(AND(I492=""Positive"",REGEXMATCH(H492,""মূর্খ|"&amp;"ভণ্ড|প্রতার|অলস|লোভ|স্বার্থ|অক্ষম|অযোগ্য|বোকা|কৃপণ|হিংস"")),""valence-target অমিল"",""""),IF(COUNTIF($B:$B,B492)&gt;1,""ডুপ্লিকেট"",""""))"),"figurative ছোট")</f>
        <v>figurative ছোট</v>
      </c>
      <c r="Q492" s="5" t="str">
        <f t="shared" si="1"/>
        <v>১ আগে দেখো</v>
      </c>
    </row>
    <row r="493">
      <c r="A493" s="4">
        <v>5587.0</v>
      </c>
      <c r="B493" s="2" t="s">
        <v>2274</v>
      </c>
      <c r="C493" s="2" t="s">
        <v>2274</v>
      </c>
      <c r="D493" s="2" t="s">
        <v>2275</v>
      </c>
      <c r="E493" s="2" t="s">
        <v>2276</v>
      </c>
      <c r="F493" s="2" t="b">
        <v>1</v>
      </c>
      <c r="G493" s="2" t="b">
        <v>0</v>
      </c>
      <c r="H493" s="2" t="s">
        <v>37</v>
      </c>
      <c r="I493" s="2" t="s">
        <v>22</v>
      </c>
      <c r="J493" s="2" t="s">
        <v>2277</v>
      </c>
      <c r="K493" s="2" t="s">
        <v>495</v>
      </c>
      <c r="L493" s="13" t="s">
        <v>496</v>
      </c>
      <c r="M493" s="2" t="s">
        <v>26</v>
      </c>
      <c r="N493" s="11" t="s">
        <v>576</v>
      </c>
      <c r="O493" s="12" t="s">
        <v>53</v>
      </c>
      <c r="P493" s="5" t="str">
        <f>IFERROR(__xludf.DUMMYFUNCTION("TEXTJOIN("" | "",TRUE,IF(OR(D493="""",E493="""",I493="""",J493="""",H493=""""),""ফাঁকা ঘর"",""""),IF(AND(C493&lt;&gt;"""",D493&lt;&gt;"""",C493=D493),""gloss=figurative"",""""),IF(LEN(D493)&lt;15,""figurative ছোট"",""""),IF(AND(I493=""Positive"",REGEXMATCH(H493,""মূর্খ|"&amp;"ভণ্ড|প্রতার|অলস|লোভ|স্বার্থ|অক্ষম|অযোগ্য|বোকা|কৃপণ|হিংস"")),""valence-target অমিল"",""""),IF(COUNTIF($B:$B,B493)&gt;1,""ডুপ্লিকেট"",""""))"),"figurative ছোট")</f>
        <v>figurative ছোট</v>
      </c>
      <c r="Q493" s="5" t="str">
        <f t="shared" si="1"/>
        <v>১ আগে দেখো</v>
      </c>
    </row>
    <row r="494">
      <c r="A494" s="4">
        <v>5588.0</v>
      </c>
      <c r="B494" s="2" t="s">
        <v>2278</v>
      </c>
      <c r="C494" s="2" t="s">
        <v>2279</v>
      </c>
      <c r="D494" s="2" t="s">
        <v>2280</v>
      </c>
      <c r="E494" s="2" t="s">
        <v>2281</v>
      </c>
      <c r="F494" s="2" t="b">
        <v>1</v>
      </c>
      <c r="G494" s="2" t="b">
        <v>0</v>
      </c>
      <c r="H494" s="2" t="s">
        <v>37</v>
      </c>
      <c r="I494" s="2" t="s">
        <v>22</v>
      </c>
      <c r="J494" s="2" t="s">
        <v>1700</v>
      </c>
      <c r="K494" s="2" t="s">
        <v>495</v>
      </c>
      <c r="L494" s="13" t="s">
        <v>496</v>
      </c>
      <c r="M494" s="2" t="s">
        <v>26</v>
      </c>
      <c r="N494" s="11" t="s">
        <v>576</v>
      </c>
      <c r="O494" s="12" t="s">
        <v>53</v>
      </c>
      <c r="P494" s="5" t="str">
        <f>IFERROR(__xludf.DUMMYFUNCTION("TEXTJOIN("" | "",TRUE,IF(OR(D494="""",E494="""",I494="""",J494="""",H494=""""),""ফাঁকা ঘর"",""""),IF(AND(C494&lt;&gt;"""",D494&lt;&gt;"""",C494=D494),""gloss=figurative"",""""),IF(LEN(D494)&lt;15,""figurative ছোট"",""""),IF(AND(I494=""Positive"",REGEXMATCH(H494,""মূর্খ|"&amp;"ভণ্ড|প্রতার|অলস|লোভ|স্বার্থ|অক্ষম|অযোগ্য|বোকা|কৃপণ|হিংস"")),""valence-target অমিল"",""""),IF(COUNTIF($B:$B,B494)&gt;1,""ডুপ্লিকেট"",""""))"),"figurative ছোট")</f>
        <v>figurative ছোট</v>
      </c>
      <c r="Q494" s="5" t="str">
        <f t="shared" si="1"/>
        <v>১ আগে দেখো</v>
      </c>
    </row>
    <row r="495">
      <c r="A495" s="4">
        <v>5592.0</v>
      </c>
      <c r="B495" s="2" t="s">
        <v>2282</v>
      </c>
      <c r="C495" s="2" t="s">
        <v>2283</v>
      </c>
      <c r="D495" s="2" t="s">
        <v>2284</v>
      </c>
      <c r="E495" s="2" t="s">
        <v>2285</v>
      </c>
      <c r="F495" s="2" t="b">
        <v>1</v>
      </c>
      <c r="G495" s="2" t="b">
        <v>0</v>
      </c>
      <c r="H495" s="2" t="s">
        <v>37</v>
      </c>
      <c r="I495" s="2" t="s">
        <v>22</v>
      </c>
      <c r="J495" s="2" t="s">
        <v>842</v>
      </c>
      <c r="K495" s="2" t="s">
        <v>495</v>
      </c>
      <c r="L495" s="13" t="s">
        <v>496</v>
      </c>
      <c r="M495" s="2" t="s">
        <v>26</v>
      </c>
      <c r="N495" s="11" t="s">
        <v>576</v>
      </c>
      <c r="O495" s="12" t="s">
        <v>53</v>
      </c>
      <c r="P495" s="5" t="str">
        <f>IFERROR(__xludf.DUMMYFUNCTION("TEXTJOIN("" | "",TRUE,IF(OR(D495="""",E495="""",I495="""",J495="""",H495=""""),""ফাঁকা ঘর"",""""),IF(AND(C495&lt;&gt;"""",D495&lt;&gt;"""",C495=D495),""gloss=figurative"",""""),IF(LEN(D495)&lt;15,""figurative ছোট"",""""),IF(AND(I495=""Positive"",REGEXMATCH(H495,""মূর্খ|"&amp;"ভণ্ড|প্রতার|অলস|লোভ|স্বার্থ|অক্ষম|অযোগ্য|বোকা|কৃপণ|হিংস"")),""valence-target অমিল"",""""),IF(COUNTIF($B:$B,B495)&gt;1,""ডুপ্লিকেট"",""""))"),"figurative ছোট")</f>
        <v>figurative ছোট</v>
      </c>
      <c r="Q495" s="5" t="str">
        <f t="shared" si="1"/>
        <v>১ আগে দেখো</v>
      </c>
    </row>
    <row r="496">
      <c r="A496" s="4">
        <v>5596.0</v>
      </c>
      <c r="B496" s="2" t="s">
        <v>2286</v>
      </c>
      <c r="C496" s="2" t="s">
        <v>2286</v>
      </c>
      <c r="D496" s="2" t="s">
        <v>2287</v>
      </c>
      <c r="E496" s="2" t="s">
        <v>2288</v>
      </c>
      <c r="F496" s="2" t="b">
        <v>1</v>
      </c>
      <c r="G496" s="2" t="b">
        <v>1</v>
      </c>
      <c r="H496" s="2" t="s">
        <v>1106</v>
      </c>
      <c r="I496" s="2" t="s">
        <v>22</v>
      </c>
      <c r="J496" s="2" t="s">
        <v>1315</v>
      </c>
      <c r="K496" s="2" t="s">
        <v>495</v>
      </c>
      <c r="L496" s="13" t="s">
        <v>496</v>
      </c>
      <c r="M496" s="2" t="s">
        <v>26</v>
      </c>
      <c r="N496" s="11" t="s">
        <v>576</v>
      </c>
      <c r="O496" s="12" t="s">
        <v>53</v>
      </c>
      <c r="P496" s="5" t="str">
        <f>IFERROR(__xludf.DUMMYFUNCTION("TEXTJOIN("" | "",TRUE,IF(OR(D496="""",E496="""",I496="""",J496="""",H496=""""),""ফাঁকা ঘর"",""""),IF(AND(C496&lt;&gt;"""",D496&lt;&gt;"""",C496=D496),""gloss=figurative"",""""),IF(LEN(D496)&lt;15,""figurative ছোট"",""""),IF(AND(I496=""Positive"",REGEXMATCH(H496,""মূর্খ|"&amp;"ভণ্ড|প্রতার|অলস|লোভ|স্বার্থ|অক্ষম|অযোগ্য|বোকা|কৃপণ|হিংস"")),""valence-target অমিল"",""""),IF(COUNTIF($B:$B,B496)&gt;1,""ডুপ্লিকেট"",""""))"),"figurative ছোট")</f>
        <v>figurative ছোট</v>
      </c>
      <c r="Q496" s="5" t="str">
        <f t="shared" si="1"/>
        <v>১ আগে দেখো</v>
      </c>
    </row>
    <row r="497">
      <c r="A497" s="4">
        <v>5597.0</v>
      </c>
      <c r="B497" s="2" t="s">
        <v>2289</v>
      </c>
      <c r="C497" s="2" t="s">
        <v>2289</v>
      </c>
      <c r="D497" s="2" t="s">
        <v>2290</v>
      </c>
      <c r="E497" s="2" t="s">
        <v>2291</v>
      </c>
      <c r="F497" s="2" t="b">
        <v>1</v>
      </c>
      <c r="G497" s="2" t="b">
        <v>1</v>
      </c>
      <c r="H497" s="2" t="s">
        <v>1106</v>
      </c>
      <c r="I497" s="2" t="s">
        <v>32</v>
      </c>
      <c r="J497" s="2" t="s">
        <v>2292</v>
      </c>
      <c r="K497" s="2" t="s">
        <v>495</v>
      </c>
      <c r="L497" s="13" t="s">
        <v>496</v>
      </c>
      <c r="M497" s="2" t="s">
        <v>26</v>
      </c>
      <c r="N497" s="11" t="s">
        <v>576</v>
      </c>
      <c r="O497" s="12" t="s">
        <v>53</v>
      </c>
      <c r="P497" s="5" t="str">
        <f>IFERROR(__xludf.DUMMYFUNCTION("TEXTJOIN("" | "",TRUE,IF(OR(D497="""",E497="""",I497="""",J497="""",H497=""""),""ফাঁকা ঘর"",""""),IF(AND(C497&lt;&gt;"""",D497&lt;&gt;"""",C497=D497),""gloss=figurative"",""""),IF(LEN(D497)&lt;15,""figurative ছোট"",""""),IF(AND(I497=""Positive"",REGEXMATCH(H497,""মূর্খ|"&amp;"ভণ্ড|প্রতার|অলস|লোভ|স্বার্থ|অক্ষম|অযোগ্য|বোকা|কৃপণ|হিংস"")),""valence-target অমিল"",""""),IF(COUNTIF($B:$B,B497)&gt;1,""ডুপ্লিকেট"",""""))"),"figurative ছোট")</f>
        <v>figurative ছোট</v>
      </c>
      <c r="Q497" s="5" t="str">
        <f t="shared" si="1"/>
        <v>১ আগে দেখো</v>
      </c>
    </row>
    <row r="498">
      <c r="A498" s="4">
        <v>5603.0</v>
      </c>
      <c r="B498" s="2" t="s">
        <v>2293</v>
      </c>
      <c r="C498" s="2" t="s">
        <v>2294</v>
      </c>
      <c r="D498" s="2" t="s">
        <v>2295</v>
      </c>
      <c r="E498" s="2" t="s">
        <v>2296</v>
      </c>
      <c r="F498" s="2" t="b">
        <v>1</v>
      </c>
      <c r="G498" s="2" t="b">
        <v>0</v>
      </c>
      <c r="H498" s="2" t="s">
        <v>37</v>
      </c>
      <c r="I498" s="2" t="s">
        <v>22</v>
      </c>
      <c r="J498" s="2" t="s">
        <v>2108</v>
      </c>
      <c r="K498" s="2" t="s">
        <v>495</v>
      </c>
      <c r="L498" s="13" t="s">
        <v>496</v>
      </c>
      <c r="M498" s="2" t="s">
        <v>26</v>
      </c>
      <c r="N498" s="11" t="s">
        <v>576</v>
      </c>
      <c r="O498" s="12" t="s">
        <v>53</v>
      </c>
      <c r="P498" s="5" t="str">
        <f>IFERROR(__xludf.DUMMYFUNCTION("TEXTJOIN("" | "",TRUE,IF(OR(D498="""",E498="""",I498="""",J498="""",H498=""""),""ফাঁকা ঘর"",""""),IF(AND(C498&lt;&gt;"""",D498&lt;&gt;"""",C498=D498),""gloss=figurative"",""""),IF(LEN(D498)&lt;15,""figurative ছোট"",""""),IF(AND(I498=""Positive"",REGEXMATCH(H498,""মূর্খ|"&amp;"ভণ্ড|প্রতার|অলস|লোভ|স্বার্থ|অক্ষম|অযোগ্য|বোকা|কৃপণ|হিংস"")),""valence-target অমিল"",""""),IF(COUNTIF($B:$B,B498)&gt;1,""ডুপ্লিকেট"",""""))"),"figurative ছোট")</f>
        <v>figurative ছোট</v>
      </c>
      <c r="Q498" s="5" t="str">
        <f t="shared" si="1"/>
        <v>১ আগে দেখো</v>
      </c>
    </row>
    <row r="499">
      <c r="A499" s="4">
        <v>5604.0</v>
      </c>
      <c r="B499" s="2" t="s">
        <v>2297</v>
      </c>
      <c r="C499" s="2" t="s">
        <v>2297</v>
      </c>
      <c r="D499" s="2" t="s">
        <v>2298</v>
      </c>
      <c r="E499" s="2" t="s">
        <v>2299</v>
      </c>
      <c r="F499" s="2" t="b">
        <v>1</v>
      </c>
      <c r="G499" s="2" t="b">
        <v>0</v>
      </c>
      <c r="H499" s="2" t="s">
        <v>37</v>
      </c>
      <c r="I499" s="2" t="s">
        <v>32</v>
      </c>
      <c r="J499" s="2" t="s">
        <v>2300</v>
      </c>
      <c r="K499" s="2" t="s">
        <v>495</v>
      </c>
      <c r="L499" s="13" t="s">
        <v>496</v>
      </c>
      <c r="M499" s="2" t="s">
        <v>26</v>
      </c>
      <c r="N499" s="11" t="s">
        <v>576</v>
      </c>
      <c r="O499" s="12" t="s">
        <v>53</v>
      </c>
      <c r="P499" s="5" t="str">
        <f>IFERROR(__xludf.DUMMYFUNCTION("TEXTJOIN("" | "",TRUE,IF(OR(D499="""",E499="""",I499="""",J499="""",H499=""""),""ফাঁকা ঘর"",""""),IF(AND(C499&lt;&gt;"""",D499&lt;&gt;"""",C499=D499),""gloss=figurative"",""""),IF(LEN(D499)&lt;15,""figurative ছোট"",""""),IF(AND(I499=""Positive"",REGEXMATCH(H499,""মূর্খ|"&amp;"ভণ্ড|প্রতার|অলস|লোভ|স্বার্থ|অক্ষম|অযোগ্য|বোকা|কৃপণ|হিংস"")),""valence-target অমিল"",""""),IF(COUNTIF($B:$B,B499)&gt;1,""ডুপ্লিকেট"",""""))"),"figurative ছোট")</f>
        <v>figurative ছোট</v>
      </c>
      <c r="Q499" s="5" t="str">
        <f t="shared" si="1"/>
        <v>১ আগে দেখো</v>
      </c>
    </row>
    <row r="500">
      <c r="A500" s="4">
        <v>5606.0</v>
      </c>
      <c r="B500" s="2" t="s">
        <v>2301</v>
      </c>
      <c r="C500" s="2" t="s">
        <v>2301</v>
      </c>
      <c r="D500" s="2" t="s">
        <v>2302</v>
      </c>
      <c r="E500" s="2" t="s">
        <v>2303</v>
      </c>
      <c r="F500" s="2" t="b">
        <v>1</v>
      </c>
      <c r="G500" s="2" t="b">
        <v>0</v>
      </c>
      <c r="H500" s="2" t="s">
        <v>37</v>
      </c>
      <c r="I500" s="2" t="s">
        <v>32</v>
      </c>
      <c r="J500" s="2" t="s">
        <v>646</v>
      </c>
      <c r="K500" s="2" t="s">
        <v>495</v>
      </c>
      <c r="L500" s="13" t="s">
        <v>496</v>
      </c>
      <c r="M500" s="2" t="s">
        <v>26</v>
      </c>
      <c r="N500" s="11" t="s">
        <v>576</v>
      </c>
      <c r="O500" s="12" t="s">
        <v>53</v>
      </c>
      <c r="P500" s="5" t="str">
        <f>IFERROR(__xludf.DUMMYFUNCTION("TEXTJOIN("" | "",TRUE,IF(OR(D500="""",E500="""",I500="""",J500="""",H500=""""),""ফাঁকা ঘর"",""""),IF(AND(C500&lt;&gt;"""",D500&lt;&gt;"""",C500=D500),""gloss=figurative"",""""),IF(LEN(D500)&lt;15,""figurative ছোট"",""""),IF(AND(I500=""Positive"",REGEXMATCH(H500,""মূর্খ|"&amp;"ভণ্ড|প্রতার|অলস|লোভ|স্বার্থ|অক্ষম|অযোগ্য|বোকা|কৃপণ|হিংস"")),""valence-target অমিল"",""""),IF(COUNTIF($B:$B,B500)&gt;1,""ডুপ্লিকেট"",""""))"),"figurative ছোট")</f>
        <v>figurative ছোট</v>
      </c>
      <c r="Q500" s="5" t="str">
        <f t="shared" si="1"/>
        <v>১ আগে দেখো</v>
      </c>
    </row>
    <row r="501">
      <c r="A501" s="4">
        <v>5607.0</v>
      </c>
      <c r="B501" s="2" t="s">
        <v>2304</v>
      </c>
      <c r="C501" s="2" t="s">
        <v>2304</v>
      </c>
      <c r="D501" s="2" t="s">
        <v>2305</v>
      </c>
      <c r="E501" s="2" t="s">
        <v>2306</v>
      </c>
      <c r="F501" s="2" t="b">
        <v>1</v>
      </c>
      <c r="G501" s="2" t="b">
        <v>0</v>
      </c>
      <c r="H501" s="2" t="s">
        <v>37</v>
      </c>
      <c r="I501" s="2" t="s">
        <v>49</v>
      </c>
      <c r="J501" s="2" t="s">
        <v>690</v>
      </c>
      <c r="K501" s="2" t="s">
        <v>495</v>
      </c>
      <c r="L501" s="13" t="s">
        <v>496</v>
      </c>
      <c r="M501" s="2" t="s">
        <v>26</v>
      </c>
      <c r="N501" s="11" t="s">
        <v>576</v>
      </c>
      <c r="O501" s="12" t="s">
        <v>53</v>
      </c>
      <c r="P501" s="5" t="str">
        <f>IFERROR(__xludf.DUMMYFUNCTION("TEXTJOIN("" | "",TRUE,IF(OR(D501="""",E501="""",I501="""",J501="""",H501=""""),""ফাঁকা ঘর"",""""),IF(AND(C501&lt;&gt;"""",D501&lt;&gt;"""",C501=D501),""gloss=figurative"",""""),IF(LEN(D501)&lt;15,""figurative ছোট"",""""),IF(AND(I501=""Positive"",REGEXMATCH(H501,""মূর্খ|"&amp;"ভণ্ড|প্রতার|অলস|লোভ|স্বার্থ|অক্ষম|অযোগ্য|বোকা|কৃপণ|হিংস"")),""valence-target অমিল"",""""),IF(COUNTIF($B:$B,B501)&gt;1,""ডুপ্লিকেট"",""""))"),"figurative ছোট")</f>
        <v>figurative ছোট</v>
      </c>
      <c r="Q501" s="5" t="str">
        <f t="shared" si="1"/>
        <v>১ আগে দেখো</v>
      </c>
    </row>
    <row r="502">
      <c r="A502" s="4">
        <v>5610.0</v>
      </c>
      <c r="B502" s="2" t="s">
        <v>2307</v>
      </c>
      <c r="C502" s="2" t="s">
        <v>2308</v>
      </c>
      <c r="D502" s="2" t="s">
        <v>2309</v>
      </c>
      <c r="E502" s="2" t="s">
        <v>2310</v>
      </c>
      <c r="F502" s="2" t="b">
        <v>1</v>
      </c>
      <c r="G502" s="2" t="b">
        <v>0</v>
      </c>
      <c r="H502" s="2" t="s">
        <v>37</v>
      </c>
      <c r="I502" s="2" t="s">
        <v>22</v>
      </c>
      <c r="J502" s="2" t="s">
        <v>1013</v>
      </c>
      <c r="K502" s="2" t="s">
        <v>495</v>
      </c>
      <c r="L502" s="13" t="s">
        <v>496</v>
      </c>
      <c r="M502" s="2" t="s">
        <v>26</v>
      </c>
      <c r="N502" s="11" t="s">
        <v>2311</v>
      </c>
      <c r="O502" s="12" t="s">
        <v>53</v>
      </c>
      <c r="P502" s="5" t="str">
        <f>IFERROR(__xludf.DUMMYFUNCTION("TEXTJOIN("" | "",TRUE,IF(OR(D502="""",E502="""",I502="""",J502="""",H502=""""),""ফাঁকা ঘর"",""""),IF(AND(C502&lt;&gt;"""",D502&lt;&gt;"""",C502=D502),""gloss=figurative"",""""),IF(LEN(D502)&lt;15,""figurative ছোট"",""""),IF(AND(I502=""Positive"",REGEXMATCH(H502,""মূর্খ|"&amp;"ভণ্ড|প্রতার|অলস|লোভ|স্বার্থ|অক্ষম|অযোগ্য|বোকা|কৃপণ|হিংস"")),""valence-target অমিল"",""""),IF(COUNTIF($B:$B,B502)&gt;1,""ডুপ্লিকেট"",""""))"),"figurative ছোট")</f>
        <v>figurative ছোট</v>
      </c>
      <c r="Q502" s="5" t="str">
        <f t="shared" si="1"/>
        <v>১ আগে দেখো</v>
      </c>
    </row>
    <row r="503">
      <c r="A503" s="4">
        <v>5611.0</v>
      </c>
      <c r="B503" s="2" t="s">
        <v>2312</v>
      </c>
      <c r="C503" s="2" t="s">
        <v>2313</v>
      </c>
      <c r="D503" s="2" t="s">
        <v>2314</v>
      </c>
      <c r="E503" s="2" t="s">
        <v>2315</v>
      </c>
      <c r="F503" s="2" t="b">
        <v>1</v>
      </c>
      <c r="G503" s="2" t="b">
        <v>1</v>
      </c>
      <c r="H503" s="2" t="s">
        <v>1106</v>
      </c>
      <c r="I503" s="2" t="s">
        <v>22</v>
      </c>
      <c r="J503" s="2" t="s">
        <v>2316</v>
      </c>
      <c r="K503" s="2" t="s">
        <v>495</v>
      </c>
      <c r="L503" s="13" t="s">
        <v>496</v>
      </c>
      <c r="M503" s="2" t="s">
        <v>26</v>
      </c>
      <c r="N503" s="11" t="s">
        <v>576</v>
      </c>
      <c r="O503" s="12" t="s">
        <v>53</v>
      </c>
      <c r="P503" s="5" t="str">
        <f>IFERROR(__xludf.DUMMYFUNCTION("TEXTJOIN("" | "",TRUE,IF(OR(D503="""",E503="""",I503="""",J503="""",H503=""""),""ফাঁকা ঘর"",""""),IF(AND(C503&lt;&gt;"""",D503&lt;&gt;"""",C503=D503),""gloss=figurative"",""""),IF(LEN(D503)&lt;15,""figurative ছোট"",""""),IF(AND(I503=""Positive"",REGEXMATCH(H503,""মূর্খ|"&amp;"ভণ্ড|প্রতার|অলস|লোভ|স্বার্থ|অক্ষম|অযোগ্য|বোকা|কৃপণ|হিংস"")),""valence-target অমিল"",""""),IF(COUNTIF($B:$B,B503)&gt;1,""ডুপ্লিকেট"",""""))"),"figurative ছোট")</f>
        <v>figurative ছোট</v>
      </c>
      <c r="Q503" s="5" t="str">
        <f t="shared" si="1"/>
        <v>১ আগে দেখো</v>
      </c>
    </row>
    <row r="504">
      <c r="A504" s="4">
        <v>5613.0</v>
      </c>
      <c r="B504" s="2" t="s">
        <v>2317</v>
      </c>
      <c r="C504" s="2" t="s">
        <v>2318</v>
      </c>
      <c r="D504" s="2" t="s">
        <v>2319</v>
      </c>
      <c r="E504" s="2" t="s">
        <v>2320</v>
      </c>
      <c r="F504" s="2" t="b">
        <v>1</v>
      </c>
      <c r="G504" s="2" t="b">
        <v>0</v>
      </c>
      <c r="H504" s="2" t="s">
        <v>37</v>
      </c>
      <c r="I504" s="2" t="s">
        <v>22</v>
      </c>
      <c r="J504" s="2" t="s">
        <v>820</v>
      </c>
      <c r="K504" s="2" t="s">
        <v>495</v>
      </c>
      <c r="L504" s="13" t="s">
        <v>496</v>
      </c>
      <c r="M504" s="2" t="s">
        <v>26</v>
      </c>
      <c r="N504" s="11" t="s">
        <v>576</v>
      </c>
      <c r="O504" s="12" t="s">
        <v>53</v>
      </c>
      <c r="P504" s="5" t="str">
        <f>IFERROR(__xludf.DUMMYFUNCTION("TEXTJOIN("" | "",TRUE,IF(OR(D504="""",E504="""",I504="""",J504="""",H504=""""),""ফাঁকা ঘর"",""""),IF(AND(C504&lt;&gt;"""",D504&lt;&gt;"""",C504=D504),""gloss=figurative"",""""),IF(LEN(D504)&lt;15,""figurative ছোট"",""""),IF(AND(I504=""Positive"",REGEXMATCH(H504,""মূর্খ|"&amp;"ভণ্ড|প্রতার|অলস|লোভ|স্বার্থ|অক্ষম|অযোগ্য|বোকা|কৃপণ|হিংস"")),""valence-target অমিল"",""""),IF(COUNTIF($B:$B,B504)&gt;1,""ডুপ্লিকেট"",""""))"),"figurative ছোট")</f>
        <v>figurative ছোট</v>
      </c>
      <c r="Q504" s="5" t="str">
        <f t="shared" si="1"/>
        <v>১ আগে দেখো</v>
      </c>
    </row>
    <row r="505">
      <c r="A505" s="4">
        <v>5618.0</v>
      </c>
      <c r="B505" s="2" t="s">
        <v>2321</v>
      </c>
      <c r="C505" s="2" t="s">
        <v>2322</v>
      </c>
      <c r="D505" s="2" t="s">
        <v>2323</v>
      </c>
      <c r="E505" s="2" t="s">
        <v>2324</v>
      </c>
      <c r="F505" s="2" t="b">
        <v>1</v>
      </c>
      <c r="G505" s="2" t="b">
        <v>0</v>
      </c>
      <c r="H505" s="2" t="s">
        <v>37</v>
      </c>
      <c r="I505" s="2" t="s">
        <v>49</v>
      </c>
      <c r="J505" s="2" t="s">
        <v>924</v>
      </c>
      <c r="K505" s="2" t="s">
        <v>495</v>
      </c>
      <c r="L505" s="13" t="s">
        <v>496</v>
      </c>
      <c r="M505" s="2" t="s">
        <v>26</v>
      </c>
      <c r="N505" s="11" t="s">
        <v>576</v>
      </c>
      <c r="O505" s="12" t="s">
        <v>53</v>
      </c>
      <c r="P505" s="5" t="str">
        <f>IFERROR(__xludf.DUMMYFUNCTION("TEXTJOIN("" | "",TRUE,IF(OR(D505="""",E505="""",I505="""",J505="""",H505=""""),""ফাঁকা ঘর"",""""),IF(AND(C505&lt;&gt;"""",D505&lt;&gt;"""",C505=D505),""gloss=figurative"",""""),IF(LEN(D505)&lt;15,""figurative ছোট"",""""),IF(AND(I505=""Positive"",REGEXMATCH(H505,""মূর্খ|"&amp;"ভণ্ড|প্রতার|অলস|লোভ|স্বার্থ|অক্ষম|অযোগ্য|বোকা|কৃপণ|হিংস"")),""valence-target অমিল"",""""),IF(COUNTIF($B:$B,B505)&gt;1,""ডুপ্লিকেট"",""""))"),"figurative ছোট")</f>
        <v>figurative ছোট</v>
      </c>
      <c r="Q505" s="5" t="str">
        <f t="shared" si="1"/>
        <v>১ আগে দেখো</v>
      </c>
    </row>
    <row r="506">
      <c r="A506" s="4">
        <v>5622.0</v>
      </c>
      <c r="B506" s="2" t="s">
        <v>2325</v>
      </c>
      <c r="C506" s="2" t="s">
        <v>2326</v>
      </c>
      <c r="D506" s="2" t="s">
        <v>2327</v>
      </c>
      <c r="E506" s="2" t="s">
        <v>2328</v>
      </c>
      <c r="F506" s="2" t="b">
        <v>1</v>
      </c>
      <c r="G506" s="2" t="b">
        <v>0</v>
      </c>
      <c r="H506" s="2" t="s">
        <v>37</v>
      </c>
      <c r="I506" s="2" t="s">
        <v>32</v>
      </c>
      <c r="J506" s="2" t="s">
        <v>739</v>
      </c>
      <c r="K506" s="2" t="s">
        <v>495</v>
      </c>
      <c r="L506" s="13" t="s">
        <v>496</v>
      </c>
      <c r="M506" s="2" t="s">
        <v>26</v>
      </c>
      <c r="N506" s="11" t="s">
        <v>576</v>
      </c>
      <c r="O506" s="12" t="s">
        <v>53</v>
      </c>
      <c r="P506" s="5" t="str">
        <f>IFERROR(__xludf.DUMMYFUNCTION("TEXTJOIN("" | "",TRUE,IF(OR(D506="""",E506="""",I506="""",J506="""",H506=""""),""ফাঁকা ঘর"",""""),IF(AND(C506&lt;&gt;"""",D506&lt;&gt;"""",C506=D506),""gloss=figurative"",""""),IF(LEN(D506)&lt;15,""figurative ছোট"",""""),IF(AND(I506=""Positive"",REGEXMATCH(H506,""মূর্খ|"&amp;"ভণ্ড|প্রতার|অলস|লোভ|স্বার্থ|অক্ষম|অযোগ্য|বোকা|কৃপণ|হিংস"")),""valence-target অমিল"",""""),IF(COUNTIF($B:$B,B506)&gt;1,""ডুপ্লিকেট"",""""))"),"figurative ছোট")</f>
        <v>figurative ছোট</v>
      </c>
      <c r="Q506" s="5" t="str">
        <f t="shared" si="1"/>
        <v>১ আগে দেখো</v>
      </c>
    </row>
    <row r="507">
      <c r="A507" s="4">
        <v>5623.0</v>
      </c>
      <c r="B507" s="2" t="s">
        <v>2329</v>
      </c>
      <c r="C507" s="2" t="s">
        <v>2330</v>
      </c>
      <c r="D507" s="2" t="s">
        <v>2331</v>
      </c>
      <c r="E507" s="2" t="s">
        <v>2332</v>
      </c>
      <c r="F507" s="2" t="b">
        <v>1</v>
      </c>
      <c r="G507" s="2" t="b">
        <v>0</v>
      </c>
      <c r="H507" s="2" t="s">
        <v>37</v>
      </c>
      <c r="I507" s="2" t="s">
        <v>49</v>
      </c>
      <c r="J507" s="2" t="s">
        <v>729</v>
      </c>
      <c r="K507" s="2" t="s">
        <v>495</v>
      </c>
      <c r="L507" s="13" t="s">
        <v>496</v>
      </c>
      <c r="M507" s="2" t="s">
        <v>26</v>
      </c>
      <c r="N507" s="11" t="s">
        <v>576</v>
      </c>
      <c r="O507" s="12" t="s">
        <v>53</v>
      </c>
      <c r="P507" s="5" t="str">
        <f>IFERROR(__xludf.DUMMYFUNCTION("TEXTJOIN("" | "",TRUE,IF(OR(D507="""",E507="""",I507="""",J507="""",H507=""""),""ফাঁকা ঘর"",""""),IF(AND(C507&lt;&gt;"""",D507&lt;&gt;"""",C507=D507),""gloss=figurative"",""""),IF(LEN(D507)&lt;15,""figurative ছোট"",""""),IF(AND(I507=""Positive"",REGEXMATCH(H507,""মূর্খ|"&amp;"ভণ্ড|প্রতার|অলস|লোভ|স্বার্থ|অক্ষম|অযোগ্য|বোকা|কৃপণ|হিংস"")),""valence-target অমিল"",""""),IF(COUNTIF($B:$B,B507)&gt;1,""ডুপ্লিকেট"",""""))"),"figurative ছোট")</f>
        <v>figurative ছোট</v>
      </c>
      <c r="Q507" s="5" t="str">
        <f t="shared" si="1"/>
        <v>১ আগে দেখো</v>
      </c>
    </row>
    <row r="508">
      <c r="A508" s="4">
        <v>5625.0</v>
      </c>
      <c r="B508" s="2" t="s">
        <v>2333</v>
      </c>
      <c r="C508" s="2" t="s">
        <v>2334</v>
      </c>
      <c r="D508" s="2" t="s">
        <v>2335</v>
      </c>
      <c r="E508" s="2" t="s">
        <v>2336</v>
      </c>
      <c r="F508" s="2" t="b">
        <v>1</v>
      </c>
      <c r="G508" s="2" t="b">
        <v>0</v>
      </c>
      <c r="H508" s="2" t="s">
        <v>37</v>
      </c>
      <c r="I508" s="2" t="s">
        <v>32</v>
      </c>
      <c r="J508" s="2" t="s">
        <v>581</v>
      </c>
      <c r="K508" s="2" t="s">
        <v>495</v>
      </c>
      <c r="L508" s="13" t="s">
        <v>496</v>
      </c>
      <c r="M508" s="2" t="s">
        <v>26</v>
      </c>
      <c r="N508" s="11" t="s">
        <v>576</v>
      </c>
      <c r="O508" s="12" t="s">
        <v>53</v>
      </c>
      <c r="P508" s="5" t="str">
        <f>IFERROR(__xludf.DUMMYFUNCTION("TEXTJOIN("" | "",TRUE,IF(OR(D508="""",E508="""",I508="""",J508="""",H508=""""),""ফাঁকা ঘর"",""""),IF(AND(C508&lt;&gt;"""",D508&lt;&gt;"""",C508=D508),""gloss=figurative"",""""),IF(LEN(D508)&lt;15,""figurative ছোট"",""""),IF(AND(I508=""Positive"",REGEXMATCH(H508,""মূর্খ|"&amp;"ভণ্ড|প্রতার|অলস|লোভ|স্বার্থ|অক্ষম|অযোগ্য|বোকা|কৃপণ|হিংস"")),""valence-target অমিল"",""""),IF(COUNTIF($B:$B,B508)&gt;1,""ডুপ্লিকেট"",""""))"),"figurative ছোট")</f>
        <v>figurative ছোট</v>
      </c>
      <c r="Q508" s="5" t="str">
        <f t="shared" si="1"/>
        <v>১ আগে দেখো</v>
      </c>
    </row>
    <row r="509">
      <c r="A509" s="4">
        <v>5627.0</v>
      </c>
      <c r="B509" s="2" t="s">
        <v>2337</v>
      </c>
      <c r="C509" s="2" t="s">
        <v>2338</v>
      </c>
      <c r="D509" s="2" t="s">
        <v>1098</v>
      </c>
      <c r="E509" s="2" t="s">
        <v>2339</v>
      </c>
      <c r="F509" s="2" t="b">
        <v>1</v>
      </c>
      <c r="G509" s="2" t="b">
        <v>0</v>
      </c>
      <c r="H509" s="2" t="s">
        <v>37</v>
      </c>
      <c r="I509" s="2" t="s">
        <v>22</v>
      </c>
      <c r="J509" s="2" t="s">
        <v>590</v>
      </c>
      <c r="K509" s="2" t="s">
        <v>495</v>
      </c>
      <c r="L509" s="13" t="s">
        <v>496</v>
      </c>
      <c r="M509" s="2" t="s">
        <v>26</v>
      </c>
      <c r="N509" s="11" t="s">
        <v>2340</v>
      </c>
      <c r="O509" s="12" t="s">
        <v>53</v>
      </c>
      <c r="P509" s="5" t="str">
        <f>IFERROR(__xludf.DUMMYFUNCTION("TEXTJOIN("" | "",TRUE,IF(OR(D509="""",E509="""",I509="""",J509="""",H509=""""),""ফাঁকা ঘর"",""""),IF(AND(C509&lt;&gt;"""",D509&lt;&gt;"""",C509=D509),""gloss=figurative"",""""),IF(LEN(D509)&lt;15,""figurative ছোট"",""""),IF(AND(I509=""Positive"",REGEXMATCH(H509,""মূর্খ|"&amp;"ভণ্ড|প্রতার|অলস|লোভ|স্বার্থ|অক্ষম|অযোগ্য|বোকা|কৃপণ|হিংস"")),""valence-target অমিল"",""""),IF(COUNTIF($B:$B,B509)&gt;1,""ডুপ্লিকেট"",""""))"),"figurative ছোট")</f>
        <v>figurative ছোট</v>
      </c>
      <c r="Q509" s="5" t="str">
        <f t="shared" si="1"/>
        <v>১ আগে দেখো</v>
      </c>
    </row>
    <row r="510">
      <c r="A510" s="4">
        <v>5628.0</v>
      </c>
      <c r="B510" s="2" t="s">
        <v>2341</v>
      </c>
      <c r="C510" s="2" t="s">
        <v>2342</v>
      </c>
      <c r="D510" s="2" t="s">
        <v>2343</v>
      </c>
      <c r="E510" s="2" t="s">
        <v>2344</v>
      </c>
      <c r="F510" s="2" t="b">
        <v>1</v>
      </c>
      <c r="G510" s="2" t="b">
        <v>0</v>
      </c>
      <c r="H510" s="2" t="s">
        <v>37</v>
      </c>
      <c r="I510" s="2" t="s">
        <v>22</v>
      </c>
      <c r="J510" s="2" t="s">
        <v>1656</v>
      </c>
      <c r="K510" s="2" t="s">
        <v>495</v>
      </c>
      <c r="L510" s="13" t="s">
        <v>496</v>
      </c>
      <c r="M510" s="2" t="s">
        <v>26</v>
      </c>
      <c r="N510" s="11" t="s">
        <v>2345</v>
      </c>
      <c r="O510" s="12" t="s">
        <v>53</v>
      </c>
      <c r="P510" s="5" t="str">
        <f>IFERROR(__xludf.DUMMYFUNCTION("TEXTJOIN("" | "",TRUE,IF(OR(D510="""",E510="""",I510="""",J510="""",H510=""""),""ফাঁকা ঘর"",""""),IF(AND(C510&lt;&gt;"""",D510&lt;&gt;"""",C510=D510),""gloss=figurative"",""""),IF(LEN(D510)&lt;15,""figurative ছোট"",""""),IF(AND(I510=""Positive"",REGEXMATCH(H510,""মূর্খ|"&amp;"ভণ্ড|প্রতার|অলস|লোভ|স্বার্থ|অক্ষম|অযোগ্য|বোকা|কৃপণ|হিংস"")),""valence-target অমিল"",""""),IF(COUNTIF($B:$B,B510)&gt;1,""ডুপ্লিকেট"",""""))"),"figurative ছোট")</f>
        <v>figurative ছোট</v>
      </c>
      <c r="Q510" s="5" t="str">
        <f t="shared" si="1"/>
        <v>১ আগে দেখো</v>
      </c>
    </row>
    <row r="511">
      <c r="A511" s="4">
        <v>5629.0</v>
      </c>
      <c r="B511" s="2" t="s">
        <v>2346</v>
      </c>
      <c r="C511" s="2" t="s">
        <v>2346</v>
      </c>
      <c r="D511" s="2" t="s">
        <v>590</v>
      </c>
      <c r="E511" s="2" t="s">
        <v>2347</v>
      </c>
      <c r="F511" s="2" t="b">
        <v>1</v>
      </c>
      <c r="G511" s="2" t="b">
        <v>0</v>
      </c>
      <c r="H511" s="2" t="s">
        <v>37</v>
      </c>
      <c r="I511" s="2" t="s">
        <v>22</v>
      </c>
      <c r="J511" s="2" t="s">
        <v>590</v>
      </c>
      <c r="K511" s="2" t="s">
        <v>495</v>
      </c>
      <c r="L511" s="13" t="s">
        <v>496</v>
      </c>
      <c r="M511" s="2" t="s">
        <v>26</v>
      </c>
      <c r="N511" s="11" t="s">
        <v>576</v>
      </c>
      <c r="O511" s="12" t="s">
        <v>53</v>
      </c>
      <c r="P511" s="5" t="str">
        <f>IFERROR(__xludf.DUMMYFUNCTION("TEXTJOIN("" | "",TRUE,IF(OR(D511="""",E511="""",I511="""",J511="""",H511=""""),""ফাঁকা ঘর"",""""),IF(AND(C511&lt;&gt;"""",D511&lt;&gt;"""",C511=D511),""gloss=figurative"",""""),IF(LEN(D511)&lt;15,""figurative ছোট"",""""),IF(AND(I511=""Positive"",REGEXMATCH(H511,""মূর্খ|"&amp;"ভণ্ড|প্রতার|অলস|লোভ|স্বার্থ|অক্ষম|অযোগ্য|বোকা|কৃপণ|হিংস"")),""valence-target অমিল"",""""),IF(COUNTIF($B:$B,B511)&gt;1,""ডুপ্লিকেট"",""""))"),"figurative ছোট")</f>
        <v>figurative ছোট</v>
      </c>
      <c r="Q511" s="5" t="str">
        <f t="shared" si="1"/>
        <v>১ আগে দেখো</v>
      </c>
    </row>
    <row r="512">
      <c r="A512" s="4">
        <v>5630.0</v>
      </c>
      <c r="B512" s="2" t="s">
        <v>2348</v>
      </c>
      <c r="C512" s="2" t="s">
        <v>2349</v>
      </c>
      <c r="D512" s="2" t="s">
        <v>2350</v>
      </c>
      <c r="E512" s="2" t="s">
        <v>2351</v>
      </c>
      <c r="F512" s="2" t="b">
        <v>1</v>
      </c>
      <c r="G512" s="2" t="b">
        <v>0</v>
      </c>
      <c r="H512" s="2" t="s">
        <v>37</v>
      </c>
      <c r="I512" s="2" t="s">
        <v>22</v>
      </c>
      <c r="J512" s="2" t="s">
        <v>1656</v>
      </c>
      <c r="K512" s="2" t="s">
        <v>495</v>
      </c>
      <c r="L512" s="13" t="s">
        <v>496</v>
      </c>
      <c r="M512" s="2" t="s">
        <v>26</v>
      </c>
      <c r="N512" s="11" t="s">
        <v>2352</v>
      </c>
      <c r="O512" s="12" t="s">
        <v>53</v>
      </c>
      <c r="P512" s="5" t="str">
        <f>IFERROR(__xludf.DUMMYFUNCTION("TEXTJOIN("" | "",TRUE,IF(OR(D512="""",E512="""",I512="""",J512="""",H512=""""),""ফাঁকা ঘর"",""""),IF(AND(C512&lt;&gt;"""",D512&lt;&gt;"""",C512=D512),""gloss=figurative"",""""),IF(LEN(D512)&lt;15,""figurative ছোট"",""""),IF(AND(I512=""Positive"",REGEXMATCH(H512,""মূর্খ|"&amp;"ভণ্ড|প্রতার|অলস|লোভ|স্বার্থ|অক্ষম|অযোগ্য|বোকা|কৃপণ|হিংস"")),""valence-target অমিল"",""""),IF(COUNTIF($B:$B,B512)&gt;1,""ডুপ্লিকেট"",""""))"),"figurative ছোট")</f>
        <v>figurative ছোট</v>
      </c>
      <c r="Q512" s="5" t="str">
        <f t="shared" si="1"/>
        <v>১ আগে দেখো</v>
      </c>
    </row>
    <row r="513">
      <c r="A513" s="4">
        <v>5636.0</v>
      </c>
      <c r="B513" s="2" t="s">
        <v>2353</v>
      </c>
      <c r="C513" s="2" t="s">
        <v>2354</v>
      </c>
      <c r="D513" s="2" t="s">
        <v>2355</v>
      </c>
      <c r="E513" s="2" t="s">
        <v>2356</v>
      </c>
      <c r="F513" s="2" t="b">
        <v>1</v>
      </c>
      <c r="G513" s="2" t="b">
        <v>0</v>
      </c>
      <c r="H513" s="2" t="s">
        <v>37</v>
      </c>
      <c r="I513" s="2" t="s">
        <v>32</v>
      </c>
      <c r="J513" s="2" t="s">
        <v>913</v>
      </c>
      <c r="K513" s="2" t="s">
        <v>495</v>
      </c>
      <c r="L513" s="13" t="s">
        <v>496</v>
      </c>
      <c r="M513" s="2" t="s">
        <v>26</v>
      </c>
      <c r="N513" s="11" t="s">
        <v>576</v>
      </c>
      <c r="O513" s="12" t="s">
        <v>53</v>
      </c>
      <c r="P513" s="5" t="str">
        <f>IFERROR(__xludf.DUMMYFUNCTION("TEXTJOIN("" | "",TRUE,IF(OR(D513="""",E513="""",I513="""",J513="""",H513=""""),""ফাঁকা ঘর"",""""),IF(AND(C513&lt;&gt;"""",D513&lt;&gt;"""",C513=D513),""gloss=figurative"",""""),IF(LEN(D513)&lt;15,""figurative ছোট"",""""),IF(AND(I513=""Positive"",REGEXMATCH(H513,""মূর্খ|"&amp;"ভণ্ড|প্রতার|অলস|লোভ|স্বার্থ|অক্ষম|অযোগ্য|বোকা|কৃপণ|হিংস"")),""valence-target অমিল"",""""),IF(COUNTIF($B:$B,B513)&gt;1,""ডুপ্লিকেট"",""""))"),"figurative ছোট")</f>
        <v>figurative ছোট</v>
      </c>
      <c r="Q513" s="5" t="str">
        <f t="shared" si="1"/>
        <v>১ আগে দেখো</v>
      </c>
    </row>
    <row r="514">
      <c r="A514" s="4">
        <v>5638.0</v>
      </c>
      <c r="B514" s="2" t="s">
        <v>2357</v>
      </c>
      <c r="C514" s="2" t="s">
        <v>2358</v>
      </c>
      <c r="D514" s="2" t="s">
        <v>2359</v>
      </c>
      <c r="E514" s="2" t="s">
        <v>2360</v>
      </c>
      <c r="F514" s="2" t="b">
        <v>1</v>
      </c>
      <c r="G514" s="2" t="b">
        <v>0</v>
      </c>
      <c r="H514" s="2" t="s">
        <v>37</v>
      </c>
      <c r="I514" s="2" t="s">
        <v>22</v>
      </c>
      <c r="J514" s="2" t="s">
        <v>1117</v>
      </c>
      <c r="K514" s="2" t="s">
        <v>495</v>
      </c>
      <c r="L514" s="13" t="s">
        <v>496</v>
      </c>
      <c r="M514" s="2" t="s">
        <v>26</v>
      </c>
      <c r="N514" s="11" t="s">
        <v>576</v>
      </c>
      <c r="O514" s="12" t="s">
        <v>53</v>
      </c>
      <c r="P514" s="5" t="str">
        <f>IFERROR(__xludf.DUMMYFUNCTION("TEXTJOIN("" | "",TRUE,IF(OR(D514="""",E514="""",I514="""",J514="""",H514=""""),""ফাঁকা ঘর"",""""),IF(AND(C514&lt;&gt;"""",D514&lt;&gt;"""",C514=D514),""gloss=figurative"",""""),IF(LEN(D514)&lt;15,""figurative ছোট"",""""),IF(AND(I514=""Positive"",REGEXMATCH(H514,""মূর্খ|"&amp;"ভণ্ড|প্রতার|অলস|লোভ|স্বার্থ|অক্ষম|অযোগ্য|বোকা|কৃপণ|হিংস"")),""valence-target অমিল"",""""),IF(COUNTIF($B:$B,B514)&gt;1,""ডুপ্লিকেট"",""""))"),"figurative ছোট")</f>
        <v>figurative ছোট</v>
      </c>
      <c r="Q514" s="5" t="str">
        <f t="shared" si="1"/>
        <v>১ আগে দেখো</v>
      </c>
    </row>
    <row r="515">
      <c r="A515" s="4">
        <v>5641.0</v>
      </c>
      <c r="B515" s="2" t="s">
        <v>2361</v>
      </c>
      <c r="C515" s="2" t="s">
        <v>2362</v>
      </c>
      <c r="D515" s="2" t="s">
        <v>1397</v>
      </c>
      <c r="E515" s="2" t="s">
        <v>2363</v>
      </c>
      <c r="F515" s="2" t="b">
        <v>1</v>
      </c>
      <c r="G515" s="2" t="b">
        <v>0</v>
      </c>
      <c r="H515" s="2" t="s">
        <v>1484</v>
      </c>
      <c r="I515" s="2" t="s">
        <v>22</v>
      </c>
      <c r="J515" s="2" t="s">
        <v>1397</v>
      </c>
      <c r="K515" s="2" t="s">
        <v>495</v>
      </c>
      <c r="L515" s="13" t="s">
        <v>496</v>
      </c>
      <c r="M515" s="2" t="s">
        <v>26</v>
      </c>
      <c r="N515" s="11" t="s">
        <v>2364</v>
      </c>
      <c r="O515" s="12" t="s">
        <v>53</v>
      </c>
      <c r="P515" s="5" t="str">
        <f>IFERROR(__xludf.DUMMYFUNCTION("TEXTJOIN("" | "",TRUE,IF(OR(D515="""",E515="""",I515="""",J515="""",H515=""""),""ফাঁকা ঘর"",""""),IF(AND(C515&lt;&gt;"""",D515&lt;&gt;"""",C515=D515),""gloss=figurative"",""""),IF(LEN(D515)&lt;15,""figurative ছোট"",""""),IF(AND(I515=""Positive"",REGEXMATCH(H515,""মূর্খ|"&amp;"ভণ্ড|প্রতার|অলস|লোভ|স্বার্থ|অক্ষম|অযোগ্য|বোকা|কৃপণ|হিংস"")),""valence-target অমিল"",""""),IF(COUNTIF($B:$B,B515)&gt;1,""ডুপ্লিকেট"",""""))"),"figurative ছোট")</f>
        <v>figurative ছোট</v>
      </c>
      <c r="Q515" s="5" t="str">
        <f t="shared" si="1"/>
        <v>১ আগে দেখো</v>
      </c>
    </row>
    <row r="516">
      <c r="A516" s="4">
        <v>5644.0</v>
      </c>
      <c r="B516" s="2" t="s">
        <v>2365</v>
      </c>
      <c r="C516" s="2" t="s">
        <v>2365</v>
      </c>
      <c r="D516" s="2" t="s">
        <v>2366</v>
      </c>
      <c r="E516" s="2" t="s">
        <v>2367</v>
      </c>
      <c r="F516" s="2" t="b">
        <v>1</v>
      </c>
      <c r="G516" s="2" t="b">
        <v>0</v>
      </c>
      <c r="H516" s="2" t="s">
        <v>37</v>
      </c>
      <c r="I516" s="2" t="s">
        <v>22</v>
      </c>
      <c r="J516" s="2" t="s">
        <v>2192</v>
      </c>
      <c r="K516" s="2" t="s">
        <v>495</v>
      </c>
      <c r="L516" s="13" t="s">
        <v>496</v>
      </c>
      <c r="M516" s="2" t="s">
        <v>26</v>
      </c>
      <c r="N516" s="11" t="s">
        <v>576</v>
      </c>
      <c r="O516" s="12" t="s">
        <v>53</v>
      </c>
      <c r="P516" s="5" t="str">
        <f>IFERROR(__xludf.DUMMYFUNCTION("TEXTJOIN("" | "",TRUE,IF(OR(D516="""",E516="""",I516="""",J516="""",H516=""""),""ফাঁকা ঘর"",""""),IF(AND(C516&lt;&gt;"""",D516&lt;&gt;"""",C516=D516),""gloss=figurative"",""""),IF(LEN(D516)&lt;15,""figurative ছোট"",""""),IF(AND(I516=""Positive"",REGEXMATCH(H516,""মূর্খ|"&amp;"ভণ্ড|প্রতার|অলস|লোভ|স্বার্থ|অক্ষম|অযোগ্য|বোকা|কৃপণ|হিংস"")),""valence-target অমিল"",""""),IF(COUNTIF($B:$B,B516)&gt;1,""ডুপ্লিকেট"",""""))"),"figurative ছোট")</f>
        <v>figurative ছোট</v>
      </c>
      <c r="Q516" s="5" t="str">
        <f t="shared" si="1"/>
        <v>১ আগে দেখো</v>
      </c>
    </row>
    <row r="517">
      <c r="A517" s="4">
        <v>5646.0</v>
      </c>
      <c r="B517" s="2" t="s">
        <v>2368</v>
      </c>
      <c r="C517" s="2" t="s">
        <v>2369</v>
      </c>
      <c r="D517" s="2" t="s">
        <v>2370</v>
      </c>
      <c r="E517" s="2" t="s">
        <v>2371</v>
      </c>
      <c r="F517" s="2" t="b">
        <v>1</v>
      </c>
      <c r="G517" s="2" t="b">
        <v>1</v>
      </c>
      <c r="H517" s="2" t="s">
        <v>2372</v>
      </c>
      <c r="I517" s="2" t="s">
        <v>49</v>
      </c>
      <c r="J517" s="2" t="s">
        <v>1310</v>
      </c>
      <c r="K517" s="2" t="s">
        <v>495</v>
      </c>
      <c r="L517" s="13" t="s">
        <v>496</v>
      </c>
      <c r="M517" s="2" t="s">
        <v>26</v>
      </c>
      <c r="N517" s="11" t="s">
        <v>576</v>
      </c>
      <c r="O517" s="12" t="s">
        <v>53</v>
      </c>
      <c r="P517" s="5" t="str">
        <f>IFERROR(__xludf.DUMMYFUNCTION("TEXTJOIN("" | "",TRUE,IF(OR(D517="""",E517="""",I517="""",J517="""",H517=""""),""ফাঁকা ঘর"",""""),IF(AND(C517&lt;&gt;"""",D517&lt;&gt;"""",C517=D517),""gloss=figurative"",""""),IF(LEN(D517)&lt;15,""figurative ছোট"",""""),IF(AND(I517=""Positive"",REGEXMATCH(H517,""মূর্খ|"&amp;"ভণ্ড|প্রতার|অলস|লোভ|স্বার্থ|অক্ষম|অযোগ্য|বোকা|কৃপণ|হিংস"")),""valence-target অমিল"",""""),IF(COUNTIF($B:$B,B517)&gt;1,""ডুপ্লিকেট"",""""))"),"figurative ছোট")</f>
        <v>figurative ছোট</v>
      </c>
      <c r="Q517" s="5" t="str">
        <f t="shared" si="1"/>
        <v>১ আগে দেখো</v>
      </c>
    </row>
    <row r="518">
      <c r="A518" s="4">
        <v>5651.0</v>
      </c>
      <c r="B518" s="2" t="s">
        <v>2373</v>
      </c>
      <c r="C518" s="2" t="s">
        <v>2374</v>
      </c>
      <c r="D518" s="2" t="s">
        <v>2375</v>
      </c>
      <c r="E518" s="2" t="s">
        <v>2376</v>
      </c>
      <c r="F518" s="2" t="b">
        <v>1</v>
      </c>
      <c r="G518" s="2" t="b">
        <v>0</v>
      </c>
      <c r="H518" s="2" t="s">
        <v>37</v>
      </c>
      <c r="I518" s="2" t="s">
        <v>22</v>
      </c>
      <c r="J518" s="2" t="s">
        <v>729</v>
      </c>
      <c r="K518" s="2" t="s">
        <v>495</v>
      </c>
      <c r="L518" s="13" t="s">
        <v>496</v>
      </c>
      <c r="M518" s="2" t="s">
        <v>26</v>
      </c>
      <c r="N518" s="11" t="s">
        <v>576</v>
      </c>
      <c r="O518" s="12" t="s">
        <v>53</v>
      </c>
      <c r="P518" s="5" t="str">
        <f>IFERROR(__xludf.DUMMYFUNCTION("TEXTJOIN("" | "",TRUE,IF(OR(D518="""",E518="""",I518="""",J518="""",H518=""""),""ফাঁকা ঘর"",""""),IF(AND(C518&lt;&gt;"""",D518&lt;&gt;"""",C518=D518),""gloss=figurative"",""""),IF(LEN(D518)&lt;15,""figurative ছোট"",""""),IF(AND(I518=""Positive"",REGEXMATCH(H518,""মূর্খ|"&amp;"ভণ্ড|প্রতার|অলস|লোভ|স্বার্থ|অক্ষম|অযোগ্য|বোকা|কৃপণ|হিংস"")),""valence-target অমিল"",""""),IF(COUNTIF($B:$B,B518)&gt;1,""ডুপ্লিকেট"",""""))"),"figurative ছোট")</f>
        <v>figurative ছোট</v>
      </c>
      <c r="Q518" s="5" t="str">
        <f t="shared" si="1"/>
        <v>১ আগে দেখো</v>
      </c>
    </row>
    <row r="519">
      <c r="A519" s="4">
        <v>5653.0</v>
      </c>
      <c r="B519" s="2" t="s">
        <v>2377</v>
      </c>
      <c r="C519" s="2" t="s">
        <v>2378</v>
      </c>
      <c r="D519" s="2" t="s">
        <v>2379</v>
      </c>
      <c r="E519" s="2" t="s">
        <v>2380</v>
      </c>
      <c r="F519" s="2" t="b">
        <v>1</v>
      </c>
      <c r="G519" s="2" t="b">
        <v>0</v>
      </c>
      <c r="H519" s="2" t="s">
        <v>37</v>
      </c>
      <c r="I519" s="2" t="s">
        <v>32</v>
      </c>
      <c r="J519" s="2" t="s">
        <v>2381</v>
      </c>
      <c r="K519" s="2" t="s">
        <v>495</v>
      </c>
      <c r="L519" s="13" t="s">
        <v>496</v>
      </c>
      <c r="M519" s="2" t="s">
        <v>26</v>
      </c>
      <c r="N519" s="11" t="s">
        <v>576</v>
      </c>
      <c r="O519" s="12" t="s">
        <v>53</v>
      </c>
      <c r="P519" s="5" t="str">
        <f>IFERROR(__xludf.DUMMYFUNCTION("TEXTJOIN("" | "",TRUE,IF(OR(D519="""",E519="""",I519="""",J519="""",H519=""""),""ফাঁকা ঘর"",""""),IF(AND(C519&lt;&gt;"""",D519&lt;&gt;"""",C519=D519),""gloss=figurative"",""""),IF(LEN(D519)&lt;15,""figurative ছোট"",""""),IF(AND(I519=""Positive"",REGEXMATCH(H519,""মূর্খ|"&amp;"ভণ্ড|প্রতার|অলস|লোভ|স্বার্থ|অক্ষম|অযোগ্য|বোকা|কৃপণ|হিংস"")),""valence-target অমিল"",""""),IF(COUNTIF($B:$B,B519)&gt;1,""ডুপ্লিকেট"",""""))"),"figurative ছোট")</f>
        <v>figurative ছোট</v>
      </c>
      <c r="Q519" s="5" t="str">
        <f t="shared" si="1"/>
        <v>১ আগে দেখো</v>
      </c>
    </row>
    <row r="520">
      <c r="A520" s="4">
        <v>5656.0</v>
      </c>
      <c r="B520" s="2" t="s">
        <v>2382</v>
      </c>
      <c r="C520" s="2" t="s">
        <v>2383</v>
      </c>
      <c r="D520" s="2" t="s">
        <v>2384</v>
      </c>
      <c r="E520" s="2" t="s">
        <v>2385</v>
      </c>
      <c r="F520" s="2" t="b">
        <v>1</v>
      </c>
      <c r="G520" s="2" t="b">
        <v>1</v>
      </c>
      <c r="H520" s="2" t="s">
        <v>1982</v>
      </c>
      <c r="I520" s="2" t="s">
        <v>22</v>
      </c>
      <c r="J520" s="2" t="s">
        <v>2386</v>
      </c>
      <c r="K520" s="2" t="s">
        <v>495</v>
      </c>
      <c r="L520" s="13" t="s">
        <v>496</v>
      </c>
      <c r="M520" s="2" t="s">
        <v>26</v>
      </c>
      <c r="N520" s="11" t="s">
        <v>576</v>
      </c>
      <c r="O520" s="12" t="s">
        <v>53</v>
      </c>
      <c r="P520" s="5" t="str">
        <f>IFERROR(__xludf.DUMMYFUNCTION("TEXTJOIN("" | "",TRUE,IF(OR(D520="""",E520="""",I520="""",J520="""",H520=""""),""ফাঁকা ঘর"",""""),IF(AND(C520&lt;&gt;"""",D520&lt;&gt;"""",C520=D520),""gloss=figurative"",""""),IF(LEN(D520)&lt;15,""figurative ছোট"",""""),IF(AND(I520=""Positive"",REGEXMATCH(H520,""মূর্খ|"&amp;"ভণ্ড|প্রতার|অলস|লোভ|স্বার্থ|অক্ষম|অযোগ্য|বোকা|কৃপণ|হিংস"")),""valence-target অমিল"",""""),IF(COUNTIF($B:$B,B520)&gt;1,""ডুপ্লিকেট"",""""))"),"figurative ছোট")</f>
        <v>figurative ছোট</v>
      </c>
      <c r="Q520" s="5" t="str">
        <f t="shared" si="1"/>
        <v>১ আগে দেখো</v>
      </c>
    </row>
    <row r="521">
      <c r="A521" s="4">
        <v>5657.0</v>
      </c>
      <c r="B521" s="2" t="s">
        <v>2387</v>
      </c>
      <c r="C521" s="2" t="s">
        <v>2388</v>
      </c>
      <c r="D521" s="2" t="s">
        <v>2389</v>
      </c>
      <c r="E521" s="2" t="s">
        <v>2390</v>
      </c>
      <c r="F521" s="2" t="b">
        <v>1</v>
      </c>
      <c r="G521" s="2" t="b">
        <v>0</v>
      </c>
      <c r="H521" s="2" t="s">
        <v>37</v>
      </c>
      <c r="I521" s="2" t="s">
        <v>22</v>
      </c>
      <c r="J521" s="2" t="s">
        <v>739</v>
      </c>
      <c r="K521" s="2" t="s">
        <v>495</v>
      </c>
      <c r="L521" s="13" t="s">
        <v>496</v>
      </c>
      <c r="M521" s="2" t="s">
        <v>26</v>
      </c>
      <c r="N521" s="11" t="s">
        <v>576</v>
      </c>
      <c r="O521" s="12" t="s">
        <v>53</v>
      </c>
      <c r="P521" s="5" t="str">
        <f>IFERROR(__xludf.DUMMYFUNCTION("TEXTJOIN("" | "",TRUE,IF(OR(D521="""",E521="""",I521="""",J521="""",H521=""""),""ফাঁকা ঘর"",""""),IF(AND(C521&lt;&gt;"""",D521&lt;&gt;"""",C521=D521),""gloss=figurative"",""""),IF(LEN(D521)&lt;15,""figurative ছোট"",""""),IF(AND(I521=""Positive"",REGEXMATCH(H521,""মূর্খ|"&amp;"ভণ্ড|প্রতার|অলস|লোভ|স্বার্থ|অক্ষম|অযোগ্য|বোকা|কৃপণ|হিংস"")),""valence-target অমিল"",""""),IF(COUNTIF($B:$B,B521)&gt;1,""ডুপ্লিকেট"",""""))"),"figurative ছোট")</f>
        <v>figurative ছোট</v>
      </c>
      <c r="Q521" s="5" t="str">
        <f t="shared" si="1"/>
        <v>১ আগে দেখো</v>
      </c>
    </row>
    <row r="522">
      <c r="A522" s="4">
        <v>5658.0</v>
      </c>
      <c r="B522" s="2" t="s">
        <v>2391</v>
      </c>
      <c r="C522" s="2" t="s">
        <v>2392</v>
      </c>
      <c r="D522" s="2" t="s">
        <v>1098</v>
      </c>
      <c r="E522" s="2" t="s">
        <v>2393</v>
      </c>
      <c r="F522" s="2" t="b">
        <v>1</v>
      </c>
      <c r="G522" s="2" t="b">
        <v>0</v>
      </c>
      <c r="H522" s="2" t="s">
        <v>37</v>
      </c>
      <c r="I522" s="2" t="s">
        <v>22</v>
      </c>
      <c r="J522" s="2" t="s">
        <v>590</v>
      </c>
      <c r="K522" s="2" t="s">
        <v>495</v>
      </c>
      <c r="L522" s="13" t="s">
        <v>496</v>
      </c>
      <c r="M522" s="2" t="s">
        <v>26</v>
      </c>
      <c r="N522" s="11" t="s">
        <v>576</v>
      </c>
      <c r="O522" s="12" t="s">
        <v>53</v>
      </c>
      <c r="P522" s="5" t="str">
        <f>IFERROR(__xludf.DUMMYFUNCTION("TEXTJOIN("" | "",TRUE,IF(OR(D522="""",E522="""",I522="""",J522="""",H522=""""),""ফাঁকা ঘর"",""""),IF(AND(C522&lt;&gt;"""",D522&lt;&gt;"""",C522=D522),""gloss=figurative"",""""),IF(LEN(D522)&lt;15,""figurative ছোট"",""""),IF(AND(I522=""Positive"",REGEXMATCH(H522,""মূর্খ|"&amp;"ভণ্ড|প্রতার|অলস|লোভ|স্বার্থ|অক্ষম|অযোগ্য|বোকা|কৃপণ|হিংস"")),""valence-target অমিল"",""""),IF(COUNTIF($B:$B,B522)&gt;1,""ডুপ্লিকেট"",""""))"),"figurative ছোট")</f>
        <v>figurative ছোট</v>
      </c>
      <c r="Q522" s="5" t="str">
        <f t="shared" si="1"/>
        <v>১ আগে দেখো</v>
      </c>
    </row>
    <row r="523">
      <c r="A523" s="4">
        <v>5660.0</v>
      </c>
      <c r="B523" s="2" t="s">
        <v>2394</v>
      </c>
      <c r="C523" s="2" t="s">
        <v>2395</v>
      </c>
      <c r="D523" s="2" t="s">
        <v>2396</v>
      </c>
      <c r="E523" s="2" t="s">
        <v>2397</v>
      </c>
      <c r="F523" s="2" t="b">
        <v>1</v>
      </c>
      <c r="G523" s="2" t="b">
        <v>0</v>
      </c>
      <c r="H523" s="2" t="s">
        <v>37</v>
      </c>
      <c r="I523" s="2" t="s">
        <v>22</v>
      </c>
      <c r="J523" s="2" t="s">
        <v>855</v>
      </c>
      <c r="K523" s="2" t="s">
        <v>495</v>
      </c>
      <c r="L523" s="13" t="s">
        <v>496</v>
      </c>
      <c r="M523" s="2" t="s">
        <v>26</v>
      </c>
      <c r="N523" s="11" t="s">
        <v>576</v>
      </c>
      <c r="O523" s="12" t="s">
        <v>53</v>
      </c>
      <c r="P523" s="5" t="str">
        <f>IFERROR(__xludf.DUMMYFUNCTION("TEXTJOIN("" | "",TRUE,IF(OR(D523="""",E523="""",I523="""",J523="""",H523=""""),""ফাঁকা ঘর"",""""),IF(AND(C523&lt;&gt;"""",D523&lt;&gt;"""",C523=D523),""gloss=figurative"",""""),IF(LEN(D523)&lt;15,""figurative ছোট"",""""),IF(AND(I523=""Positive"",REGEXMATCH(H523,""মূর্খ|"&amp;"ভণ্ড|প্রতার|অলস|লোভ|স্বার্থ|অক্ষম|অযোগ্য|বোকা|কৃপণ|হিংস"")),""valence-target অমিল"",""""),IF(COUNTIF($B:$B,B523)&gt;1,""ডুপ্লিকেট"",""""))"),"figurative ছোট")</f>
        <v>figurative ছোট</v>
      </c>
      <c r="Q523" s="5" t="str">
        <f t="shared" si="1"/>
        <v>১ আগে দেখো</v>
      </c>
    </row>
    <row r="524">
      <c r="A524" s="4">
        <v>5662.0</v>
      </c>
      <c r="B524" s="2" t="s">
        <v>2398</v>
      </c>
      <c r="C524" s="2" t="s">
        <v>2399</v>
      </c>
      <c r="D524" s="2" t="s">
        <v>640</v>
      </c>
      <c r="E524" s="2" t="s">
        <v>2400</v>
      </c>
      <c r="F524" s="2" t="b">
        <v>1</v>
      </c>
      <c r="G524" s="2" t="b">
        <v>1</v>
      </c>
      <c r="H524" s="2" t="s">
        <v>1106</v>
      </c>
      <c r="I524" s="2" t="s">
        <v>22</v>
      </c>
      <c r="J524" s="2" t="s">
        <v>1315</v>
      </c>
      <c r="K524" s="2" t="s">
        <v>495</v>
      </c>
      <c r="L524" s="13" t="s">
        <v>496</v>
      </c>
      <c r="M524" s="2" t="s">
        <v>26</v>
      </c>
      <c r="N524" s="11" t="s">
        <v>576</v>
      </c>
      <c r="O524" s="12" t="s">
        <v>53</v>
      </c>
      <c r="P524" s="5" t="str">
        <f>IFERROR(__xludf.DUMMYFUNCTION("TEXTJOIN("" | "",TRUE,IF(OR(D524="""",E524="""",I524="""",J524="""",H524=""""),""ফাঁকা ঘর"",""""),IF(AND(C524&lt;&gt;"""",D524&lt;&gt;"""",C524=D524),""gloss=figurative"",""""),IF(LEN(D524)&lt;15,""figurative ছোট"",""""),IF(AND(I524=""Positive"",REGEXMATCH(H524,""মূর্খ|"&amp;"ভণ্ড|প্রতার|অলস|লোভ|স্বার্থ|অক্ষম|অযোগ্য|বোকা|কৃপণ|হিংস"")),""valence-target অমিল"",""""),IF(COUNTIF($B:$B,B524)&gt;1,""ডুপ্লিকেট"",""""))"),"figurative ছোট")</f>
        <v>figurative ছোট</v>
      </c>
      <c r="Q524" s="5" t="str">
        <f t="shared" si="1"/>
        <v>১ আগে দেখো</v>
      </c>
    </row>
    <row r="525">
      <c r="A525" s="4">
        <v>5663.0</v>
      </c>
      <c r="B525" s="2" t="s">
        <v>2401</v>
      </c>
      <c r="C525" s="2" t="s">
        <v>2402</v>
      </c>
      <c r="D525" s="2" t="s">
        <v>2403</v>
      </c>
      <c r="E525" s="2" t="s">
        <v>2404</v>
      </c>
      <c r="F525" s="2" t="b">
        <v>1</v>
      </c>
      <c r="G525" s="2" t="b">
        <v>0</v>
      </c>
      <c r="H525" s="2" t="s">
        <v>37</v>
      </c>
      <c r="I525" s="2" t="s">
        <v>32</v>
      </c>
      <c r="J525" s="2" t="s">
        <v>502</v>
      </c>
      <c r="K525" s="2" t="s">
        <v>495</v>
      </c>
      <c r="L525" s="13" t="s">
        <v>496</v>
      </c>
      <c r="M525" s="2" t="s">
        <v>26</v>
      </c>
      <c r="N525" s="11" t="s">
        <v>576</v>
      </c>
      <c r="O525" s="12" t="s">
        <v>53</v>
      </c>
      <c r="P525" s="5" t="str">
        <f>IFERROR(__xludf.DUMMYFUNCTION("TEXTJOIN("" | "",TRUE,IF(OR(D525="""",E525="""",I525="""",J525="""",H525=""""),""ফাঁকা ঘর"",""""),IF(AND(C525&lt;&gt;"""",D525&lt;&gt;"""",C525=D525),""gloss=figurative"",""""),IF(LEN(D525)&lt;15,""figurative ছোট"",""""),IF(AND(I525=""Positive"",REGEXMATCH(H525,""মূর্খ|"&amp;"ভণ্ড|প্রতার|অলস|লোভ|স্বার্থ|অক্ষম|অযোগ্য|বোকা|কৃপণ|হিংস"")),""valence-target অমিল"",""""),IF(COUNTIF($B:$B,B525)&gt;1,""ডুপ্লিকেট"",""""))"),"figurative ছোট")</f>
        <v>figurative ছোট</v>
      </c>
      <c r="Q525" s="5" t="str">
        <f t="shared" si="1"/>
        <v>১ আগে দেখো</v>
      </c>
    </row>
    <row r="526">
      <c r="A526" s="4">
        <v>5664.0</v>
      </c>
      <c r="B526" s="2" t="s">
        <v>2405</v>
      </c>
      <c r="C526" s="2" t="s">
        <v>2406</v>
      </c>
      <c r="D526" s="2" t="s">
        <v>590</v>
      </c>
      <c r="E526" s="2" t="s">
        <v>2407</v>
      </c>
      <c r="F526" s="2" t="b">
        <v>1</v>
      </c>
      <c r="G526" s="2" t="b">
        <v>1</v>
      </c>
      <c r="H526" s="2" t="s">
        <v>2408</v>
      </c>
      <c r="I526" s="2" t="s">
        <v>22</v>
      </c>
      <c r="J526" s="2" t="s">
        <v>590</v>
      </c>
      <c r="K526" s="2" t="s">
        <v>495</v>
      </c>
      <c r="L526" s="13" t="s">
        <v>496</v>
      </c>
      <c r="M526" s="2" t="s">
        <v>26</v>
      </c>
      <c r="N526" s="11" t="s">
        <v>576</v>
      </c>
      <c r="O526" s="12" t="s">
        <v>53</v>
      </c>
      <c r="P526" s="5" t="str">
        <f>IFERROR(__xludf.DUMMYFUNCTION("TEXTJOIN("" | "",TRUE,IF(OR(D526="""",E526="""",I526="""",J526="""",H526=""""),""ফাঁকা ঘর"",""""),IF(AND(C526&lt;&gt;"""",D526&lt;&gt;"""",C526=D526),""gloss=figurative"",""""),IF(LEN(D526)&lt;15,""figurative ছোট"",""""),IF(AND(I526=""Positive"",REGEXMATCH(H526,""মূর্খ|"&amp;"ভণ্ড|প্রতার|অলস|লোভ|স্বার্থ|অক্ষম|অযোগ্য|বোকা|কৃপণ|হিংস"")),""valence-target অমিল"",""""),IF(COUNTIF($B:$B,B526)&gt;1,""ডুপ্লিকেট"",""""))"),"figurative ছোট")</f>
        <v>figurative ছোট</v>
      </c>
      <c r="Q526" s="5" t="str">
        <f t="shared" si="1"/>
        <v>১ আগে দেখো</v>
      </c>
    </row>
    <row r="527">
      <c r="A527" s="4">
        <v>5665.0</v>
      </c>
      <c r="B527" s="2" t="s">
        <v>2409</v>
      </c>
      <c r="C527" s="2" t="s">
        <v>2410</v>
      </c>
      <c r="D527" s="2" t="s">
        <v>2411</v>
      </c>
      <c r="E527" s="2" t="s">
        <v>2412</v>
      </c>
      <c r="F527" s="2" t="b">
        <v>1</v>
      </c>
      <c r="G527" s="2" t="b">
        <v>1</v>
      </c>
      <c r="H527" s="2" t="s">
        <v>2408</v>
      </c>
      <c r="I527" s="2" t="s">
        <v>22</v>
      </c>
      <c r="J527" s="2" t="s">
        <v>590</v>
      </c>
      <c r="K527" s="2" t="s">
        <v>495</v>
      </c>
      <c r="L527" s="13" t="s">
        <v>496</v>
      </c>
      <c r="M527" s="2" t="s">
        <v>26</v>
      </c>
      <c r="N527" s="11" t="s">
        <v>576</v>
      </c>
      <c r="O527" s="12" t="s">
        <v>53</v>
      </c>
      <c r="P527" s="5" t="str">
        <f>IFERROR(__xludf.DUMMYFUNCTION("TEXTJOIN("" | "",TRUE,IF(OR(D527="""",E527="""",I527="""",J527="""",H527=""""),""ফাঁকা ঘর"",""""),IF(AND(C527&lt;&gt;"""",D527&lt;&gt;"""",C527=D527),""gloss=figurative"",""""),IF(LEN(D527)&lt;15,""figurative ছোট"",""""),IF(AND(I527=""Positive"",REGEXMATCH(H527,""মূর্খ|"&amp;"ভণ্ড|প্রতার|অলস|লোভ|স্বার্থ|অক্ষম|অযোগ্য|বোকা|কৃপণ|হিংস"")),""valence-target অমিল"",""""),IF(COUNTIF($B:$B,B527)&gt;1,""ডুপ্লিকেট"",""""))"),"figurative ছোট")</f>
        <v>figurative ছোট</v>
      </c>
      <c r="Q527" s="5" t="str">
        <f t="shared" si="1"/>
        <v>১ আগে দেখো</v>
      </c>
    </row>
    <row r="528">
      <c r="A528" s="4">
        <v>5666.0</v>
      </c>
      <c r="B528" s="2" t="s">
        <v>2413</v>
      </c>
      <c r="C528" s="2" t="s">
        <v>2413</v>
      </c>
      <c r="D528" s="2" t="s">
        <v>2414</v>
      </c>
      <c r="E528" s="2" t="s">
        <v>2415</v>
      </c>
      <c r="F528" s="2" t="b">
        <v>1</v>
      </c>
      <c r="G528" s="2" t="b">
        <v>1</v>
      </c>
      <c r="H528" s="2" t="s">
        <v>1982</v>
      </c>
      <c r="I528" s="2" t="s">
        <v>22</v>
      </c>
      <c r="J528" s="2" t="s">
        <v>820</v>
      </c>
      <c r="K528" s="2" t="s">
        <v>495</v>
      </c>
      <c r="L528" s="13" t="s">
        <v>496</v>
      </c>
      <c r="M528" s="2" t="s">
        <v>26</v>
      </c>
      <c r="N528" s="11" t="s">
        <v>576</v>
      </c>
      <c r="O528" s="12" t="s">
        <v>53</v>
      </c>
      <c r="P528" s="5" t="str">
        <f>IFERROR(__xludf.DUMMYFUNCTION("TEXTJOIN("" | "",TRUE,IF(OR(D528="""",E528="""",I528="""",J528="""",H528=""""),""ফাঁকা ঘর"",""""),IF(AND(C528&lt;&gt;"""",D528&lt;&gt;"""",C528=D528),""gloss=figurative"",""""),IF(LEN(D528)&lt;15,""figurative ছোট"",""""),IF(AND(I528=""Positive"",REGEXMATCH(H528,""মূর্খ|"&amp;"ভণ্ড|প্রতার|অলস|লোভ|স্বার্থ|অক্ষম|অযোগ্য|বোকা|কৃপণ|হিংস"")),""valence-target অমিল"",""""),IF(COUNTIF($B:$B,B528)&gt;1,""ডুপ্লিকেট"",""""))"),"figurative ছোট")</f>
        <v>figurative ছোট</v>
      </c>
      <c r="Q528" s="5" t="str">
        <f t="shared" si="1"/>
        <v>১ আগে দেখো</v>
      </c>
    </row>
    <row r="529">
      <c r="A529" s="4">
        <v>5667.0</v>
      </c>
      <c r="B529" s="2" t="s">
        <v>2416</v>
      </c>
      <c r="C529" s="2" t="s">
        <v>2417</v>
      </c>
      <c r="D529" s="2" t="s">
        <v>2418</v>
      </c>
      <c r="E529" s="2" t="s">
        <v>2419</v>
      </c>
      <c r="F529" s="2" t="b">
        <v>1</v>
      </c>
      <c r="G529" s="2" t="b">
        <v>1</v>
      </c>
      <c r="H529" s="2" t="s">
        <v>1982</v>
      </c>
      <c r="I529" s="2" t="s">
        <v>22</v>
      </c>
      <c r="J529" s="2" t="s">
        <v>1859</v>
      </c>
      <c r="K529" s="2" t="s">
        <v>495</v>
      </c>
      <c r="L529" s="13" t="s">
        <v>496</v>
      </c>
      <c r="M529" s="2" t="s">
        <v>26</v>
      </c>
      <c r="N529" s="11" t="s">
        <v>576</v>
      </c>
      <c r="O529" s="12" t="s">
        <v>53</v>
      </c>
      <c r="P529" s="5" t="str">
        <f>IFERROR(__xludf.DUMMYFUNCTION("TEXTJOIN("" | "",TRUE,IF(OR(D529="""",E529="""",I529="""",J529="""",H529=""""),""ফাঁকা ঘর"",""""),IF(AND(C529&lt;&gt;"""",D529&lt;&gt;"""",C529=D529),""gloss=figurative"",""""),IF(LEN(D529)&lt;15,""figurative ছোট"",""""),IF(AND(I529=""Positive"",REGEXMATCH(H529,""মূর্খ|"&amp;"ভণ্ড|প্রতার|অলস|লোভ|স্বার্থ|অক্ষম|অযোগ্য|বোকা|কৃপণ|হিংস"")),""valence-target অমিল"",""""),IF(COUNTIF($B:$B,B529)&gt;1,""ডুপ্লিকেট"",""""))"),"figurative ছোট")</f>
        <v>figurative ছোট</v>
      </c>
      <c r="Q529" s="5" t="str">
        <f t="shared" si="1"/>
        <v>১ আগে দেখো</v>
      </c>
    </row>
    <row r="530">
      <c r="A530" s="4">
        <v>5668.0</v>
      </c>
      <c r="B530" s="2" t="s">
        <v>2420</v>
      </c>
      <c r="C530" s="2" t="s">
        <v>2421</v>
      </c>
      <c r="D530" s="2" t="s">
        <v>2422</v>
      </c>
      <c r="E530" s="2" t="s">
        <v>2423</v>
      </c>
      <c r="F530" s="2" t="b">
        <v>1</v>
      </c>
      <c r="G530" s="2" t="b">
        <v>0</v>
      </c>
      <c r="H530" s="2" t="s">
        <v>2424</v>
      </c>
      <c r="I530" s="2" t="s">
        <v>22</v>
      </c>
      <c r="J530" s="2" t="s">
        <v>2422</v>
      </c>
      <c r="K530" s="2" t="s">
        <v>495</v>
      </c>
      <c r="L530" s="13" t="s">
        <v>496</v>
      </c>
      <c r="M530" s="2" t="s">
        <v>26</v>
      </c>
      <c r="N530" s="11" t="s">
        <v>576</v>
      </c>
      <c r="O530" s="12" t="s">
        <v>53</v>
      </c>
      <c r="P530" s="5" t="str">
        <f>IFERROR(__xludf.DUMMYFUNCTION("TEXTJOIN("" | "",TRUE,IF(OR(D530="""",E530="""",I530="""",J530="""",H530=""""),""ফাঁকা ঘর"",""""),IF(AND(C530&lt;&gt;"""",D530&lt;&gt;"""",C530=D530),""gloss=figurative"",""""),IF(LEN(D530)&lt;15,""figurative ছোট"",""""),IF(AND(I530=""Positive"",REGEXMATCH(H530,""মূর্খ|"&amp;"ভণ্ড|প্রতার|অলস|লোভ|স্বার্থ|অক্ষম|অযোগ্য|বোকা|কৃপণ|হিংস"")),""valence-target অমিল"",""""),IF(COUNTIF($B:$B,B530)&gt;1,""ডুপ্লিকেট"",""""))"),"figurative ছোট")</f>
        <v>figurative ছোট</v>
      </c>
      <c r="Q530" s="5" t="str">
        <f t="shared" si="1"/>
        <v>১ আগে দেখো</v>
      </c>
    </row>
    <row r="531">
      <c r="A531" s="4">
        <v>5669.0</v>
      </c>
      <c r="B531" s="2" t="s">
        <v>2425</v>
      </c>
      <c r="C531" s="2" t="s">
        <v>2426</v>
      </c>
      <c r="D531" s="2" t="s">
        <v>2427</v>
      </c>
      <c r="E531" s="2" t="s">
        <v>2428</v>
      </c>
      <c r="F531" s="2" t="b">
        <v>1</v>
      </c>
      <c r="G531" s="2" t="b">
        <v>0</v>
      </c>
      <c r="H531" s="2" t="s">
        <v>37</v>
      </c>
      <c r="I531" s="2" t="s">
        <v>22</v>
      </c>
      <c r="J531" s="2" t="s">
        <v>723</v>
      </c>
      <c r="K531" s="2" t="s">
        <v>495</v>
      </c>
      <c r="L531" s="13" t="s">
        <v>496</v>
      </c>
      <c r="M531" s="2" t="s">
        <v>26</v>
      </c>
      <c r="N531" s="11" t="s">
        <v>576</v>
      </c>
      <c r="O531" s="12" t="s">
        <v>53</v>
      </c>
      <c r="P531" s="5" t="str">
        <f>IFERROR(__xludf.DUMMYFUNCTION("TEXTJOIN("" | "",TRUE,IF(OR(D531="""",E531="""",I531="""",J531="""",H531=""""),""ফাঁকা ঘর"",""""),IF(AND(C531&lt;&gt;"""",D531&lt;&gt;"""",C531=D531),""gloss=figurative"",""""),IF(LEN(D531)&lt;15,""figurative ছোট"",""""),IF(AND(I531=""Positive"",REGEXMATCH(H531,""মূর্খ|"&amp;"ভণ্ড|প্রতার|অলস|লোভ|স্বার্থ|অক্ষম|অযোগ্য|বোকা|কৃপণ|হিংস"")),""valence-target অমিল"",""""),IF(COUNTIF($B:$B,B531)&gt;1,""ডুপ্লিকেট"",""""))"),"figurative ছোট")</f>
        <v>figurative ছোট</v>
      </c>
      <c r="Q531" s="5" t="str">
        <f t="shared" si="1"/>
        <v>১ আগে দেখো</v>
      </c>
    </row>
    <row r="532">
      <c r="A532" s="4">
        <v>5673.0</v>
      </c>
      <c r="B532" s="2" t="s">
        <v>2429</v>
      </c>
      <c r="C532" s="2" t="s">
        <v>2430</v>
      </c>
      <c r="D532" s="2" t="s">
        <v>2431</v>
      </c>
      <c r="E532" s="2" t="s">
        <v>2432</v>
      </c>
      <c r="F532" s="2" t="b">
        <v>1</v>
      </c>
      <c r="G532" s="2" t="b">
        <v>0</v>
      </c>
      <c r="H532" s="2" t="s">
        <v>37</v>
      </c>
      <c r="I532" s="2" t="s">
        <v>22</v>
      </c>
      <c r="J532" s="2" t="s">
        <v>2433</v>
      </c>
      <c r="K532" s="2" t="s">
        <v>495</v>
      </c>
      <c r="L532" s="13" t="s">
        <v>496</v>
      </c>
      <c r="M532" s="2" t="s">
        <v>26</v>
      </c>
      <c r="N532" s="11" t="s">
        <v>576</v>
      </c>
      <c r="O532" s="12" t="s">
        <v>53</v>
      </c>
      <c r="P532" s="5" t="str">
        <f>IFERROR(__xludf.DUMMYFUNCTION("TEXTJOIN("" | "",TRUE,IF(OR(D532="""",E532="""",I532="""",J532="""",H532=""""),""ফাঁকা ঘর"",""""),IF(AND(C532&lt;&gt;"""",D532&lt;&gt;"""",C532=D532),""gloss=figurative"",""""),IF(LEN(D532)&lt;15,""figurative ছোট"",""""),IF(AND(I532=""Positive"",REGEXMATCH(H532,""মূর্খ|"&amp;"ভণ্ড|প্রতার|অলস|লোভ|স্বার্থ|অক্ষম|অযোগ্য|বোকা|কৃপণ|হিংস"")),""valence-target অমিল"",""""),IF(COUNTIF($B:$B,B532)&gt;1,""ডুপ্লিকেট"",""""))"),"figurative ছোট")</f>
        <v>figurative ছোট</v>
      </c>
      <c r="Q532" s="5" t="str">
        <f t="shared" si="1"/>
        <v>১ আগে দেখো</v>
      </c>
    </row>
    <row r="533">
      <c r="A533" s="4">
        <v>5675.0</v>
      </c>
      <c r="B533" s="2" t="s">
        <v>2434</v>
      </c>
      <c r="C533" s="2" t="s">
        <v>2435</v>
      </c>
      <c r="D533" s="2" t="s">
        <v>2436</v>
      </c>
      <c r="E533" s="2" t="s">
        <v>2437</v>
      </c>
      <c r="F533" s="2" t="b">
        <v>1</v>
      </c>
      <c r="G533" s="2" t="b">
        <v>0</v>
      </c>
      <c r="H533" s="2" t="s">
        <v>2229</v>
      </c>
      <c r="I533" s="2" t="s">
        <v>22</v>
      </c>
      <c r="J533" s="2" t="s">
        <v>750</v>
      </c>
      <c r="K533" s="2" t="s">
        <v>495</v>
      </c>
      <c r="L533" s="13" t="s">
        <v>496</v>
      </c>
      <c r="M533" s="2" t="s">
        <v>26</v>
      </c>
      <c r="N533" s="11" t="s">
        <v>576</v>
      </c>
      <c r="O533" s="12" t="s">
        <v>53</v>
      </c>
      <c r="P533" s="5" t="str">
        <f>IFERROR(__xludf.DUMMYFUNCTION("TEXTJOIN("" | "",TRUE,IF(OR(D533="""",E533="""",I533="""",J533="""",H533=""""),""ফাঁকা ঘর"",""""),IF(AND(C533&lt;&gt;"""",D533&lt;&gt;"""",C533=D533),""gloss=figurative"",""""),IF(LEN(D533)&lt;15,""figurative ছোট"",""""),IF(AND(I533=""Positive"",REGEXMATCH(H533,""মূর্খ|"&amp;"ভণ্ড|প্রতার|অলস|লোভ|স্বার্থ|অক্ষম|অযোগ্য|বোকা|কৃপণ|হিংস"")),""valence-target অমিল"",""""),IF(COUNTIF($B:$B,B533)&gt;1,""ডুপ্লিকেট"",""""))"),"figurative ছোট")</f>
        <v>figurative ছোট</v>
      </c>
      <c r="Q533" s="5" t="str">
        <f t="shared" si="1"/>
        <v>১ আগে দেখো</v>
      </c>
    </row>
    <row r="534">
      <c r="A534" s="4">
        <v>5676.0</v>
      </c>
      <c r="B534" s="2" t="s">
        <v>2438</v>
      </c>
      <c r="C534" s="2" t="s">
        <v>2439</v>
      </c>
      <c r="D534" s="2" t="s">
        <v>2440</v>
      </c>
      <c r="E534" s="2" t="s">
        <v>2441</v>
      </c>
      <c r="F534" s="2" t="b">
        <v>1</v>
      </c>
      <c r="G534" s="2" t="b">
        <v>0</v>
      </c>
      <c r="H534" s="2" t="s">
        <v>37</v>
      </c>
      <c r="I534" s="2" t="s">
        <v>49</v>
      </c>
      <c r="J534" s="2" t="s">
        <v>2442</v>
      </c>
      <c r="K534" s="2" t="s">
        <v>495</v>
      </c>
      <c r="L534" s="13" t="s">
        <v>496</v>
      </c>
      <c r="M534" s="2" t="s">
        <v>26</v>
      </c>
      <c r="N534" s="11" t="s">
        <v>576</v>
      </c>
      <c r="O534" s="12" t="s">
        <v>53</v>
      </c>
      <c r="P534" s="5" t="str">
        <f>IFERROR(__xludf.DUMMYFUNCTION("TEXTJOIN("" | "",TRUE,IF(OR(D534="""",E534="""",I534="""",J534="""",H534=""""),""ফাঁকা ঘর"",""""),IF(AND(C534&lt;&gt;"""",D534&lt;&gt;"""",C534=D534),""gloss=figurative"",""""),IF(LEN(D534)&lt;15,""figurative ছোট"",""""),IF(AND(I534=""Positive"",REGEXMATCH(H534,""মূর্খ|"&amp;"ভণ্ড|প্রতার|অলস|লোভ|স্বার্থ|অক্ষম|অযোগ্য|বোকা|কৃপণ|হিংস"")),""valence-target অমিল"",""""),IF(COUNTIF($B:$B,B534)&gt;1,""ডুপ্লিকেট"",""""))"),"figurative ছোট")</f>
        <v>figurative ছোট</v>
      </c>
      <c r="Q534" s="5" t="str">
        <f t="shared" si="1"/>
        <v>১ আগে দেখো</v>
      </c>
    </row>
    <row r="535">
      <c r="A535" s="4">
        <v>5677.0</v>
      </c>
      <c r="B535" s="2" t="s">
        <v>2443</v>
      </c>
      <c r="C535" s="2" t="s">
        <v>2444</v>
      </c>
      <c r="D535" s="2" t="s">
        <v>971</v>
      </c>
      <c r="E535" s="2" t="s">
        <v>2445</v>
      </c>
      <c r="F535" s="2" t="b">
        <v>1</v>
      </c>
      <c r="G535" s="2" t="b">
        <v>0</v>
      </c>
      <c r="H535" s="2" t="s">
        <v>37</v>
      </c>
      <c r="I535" s="2" t="s">
        <v>22</v>
      </c>
      <c r="J535" s="2" t="s">
        <v>971</v>
      </c>
      <c r="K535" s="2" t="s">
        <v>495</v>
      </c>
      <c r="L535" s="13" t="s">
        <v>496</v>
      </c>
      <c r="M535" s="2" t="s">
        <v>26</v>
      </c>
      <c r="N535" s="11" t="s">
        <v>576</v>
      </c>
      <c r="O535" s="12" t="s">
        <v>53</v>
      </c>
      <c r="P535" s="5" t="str">
        <f>IFERROR(__xludf.DUMMYFUNCTION("TEXTJOIN("" | "",TRUE,IF(OR(D535="""",E535="""",I535="""",J535="""",H535=""""),""ফাঁকা ঘর"",""""),IF(AND(C535&lt;&gt;"""",D535&lt;&gt;"""",C535=D535),""gloss=figurative"",""""),IF(LEN(D535)&lt;15,""figurative ছোট"",""""),IF(AND(I535=""Positive"",REGEXMATCH(H535,""মূর্খ|"&amp;"ভণ্ড|প্রতার|অলস|লোভ|স্বার্থ|অক্ষম|অযোগ্য|বোকা|কৃপণ|হিংস"")),""valence-target অমিল"",""""),IF(COUNTIF($B:$B,B535)&gt;1,""ডুপ্লিকেট"",""""))"),"figurative ছোট")</f>
        <v>figurative ছোট</v>
      </c>
      <c r="Q535" s="5" t="str">
        <f t="shared" si="1"/>
        <v>১ আগে দেখো</v>
      </c>
    </row>
    <row r="536">
      <c r="A536" s="4">
        <v>5679.0</v>
      </c>
      <c r="B536" s="2" t="s">
        <v>2446</v>
      </c>
      <c r="C536" s="2" t="s">
        <v>2447</v>
      </c>
      <c r="D536" s="2" t="s">
        <v>2448</v>
      </c>
      <c r="E536" s="2" t="s">
        <v>2449</v>
      </c>
      <c r="F536" s="2" t="b">
        <v>1</v>
      </c>
      <c r="G536" s="2" t="b">
        <v>0</v>
      </c>
      <c r="H536" s="2" t="s">
        <v>37</v>
      </c>
      <c r="I536" s="2" t="s">
        <v>22</v>
      </c>
      <c r="J536" s="2" t="s">
        <v>2448</v>
      </c>
      <c r="K536" s="2" t="s">
        <v>495</v>
      </c>
      <c r="L536" s="13" t="s">
        <v>496</v>
      </c>
      <c r="M536" s="2" t="s">
        <v>26</v>
      </c>
      <c r="N536" s="11" t="s">
        <v>576</v>
      </c>
      <c r="O536" s="12" t="s">
        <v>53</v>
      </c>
      <c r="P536" s="5" t="str">
        <f>IFERROR(__xludf.DUMMYFUNCTION("TEXTJOIN("" | "",TRUE,IF(OR(D536="""",E536="""",I536="""",J536="""",H536=""""),""ফাঁকা ঘর"",""""),IF(AND(C536&lt;&gt;"""",D536&lt;&gt;"""",C536=D536),""gloss=figurative"",""""),IF(LEN(D536)&lt;15,""figurative ছোট"",""""),IF(AND(I536=""Positive"",REGEXMATCH(H536,""মূর্খ|"&amp;"ভণ্ড|প্রতার|অলস|লোভ|স্বার্থ|অক্ষম|অযোগ্য|বোকা|কৃপণ|হিংস"")),""valence-target অমিল"",""""),IF(COUNTIF($B:$B,B536)&gt;1,""ডুপ্লিকেট"",""""))"),"figurative ছোট")</f>
        <v>figurative ছোট</v>
      </c>
      <c r="Q536" s="5" t="str">
        <f t="shared" si="1"/>
        <v>১ আগে দেখো</v>
      </c>
    </row>
    <row r="537">
      <c r="A537" s="4">
        <v>5680.0</v>
      </c>
      <c r="B537" s="2" t="s">
        <v>2450</v>
      </c>
      <c r="C537" s="2" t="s">
        <v>2450</v>
      </c>
      <c r="D537" s="2" t="s">
        <v>2451</v>
      </c>
      <c r="E537" s="2" t="s">
        <v>2452</v>
      </c>
      <c r="F537" s="2" t="b">
        <v>1</v>
      </c>
      <c r="G537" s="2" t="b">
        <v>0</v>
      </c>
      <c r="H537" s="2" t="s">
        <v>37</v>
      </c>
      <c r="I537" s="2" t="s">
        <v>32</v>
      </c>
      <c r="J537" s="2" t="s">
        <v>646</v>
      </c>
      <c r="K537" s="2" t="s">
        <v>495</v>
      </c>
      <c r="L537" s="13" t="s">
        <v>496</v>
      </c>
      <c r="M537" s="2" t="s">
        <v>26</v>
      </c>
      <c r="N537" s="11" t="s">
        <v>576</v>
      </c>
      <c r="O537" s="12" t="s">
        <v>53</v>
      </c>
      <c r="P537" s="5" t="str">
        <f>IFERROR(__xludf.DUMMYFUNCTION("TEXTJOIN("" | "",TRUE,IF(OR(D537="""",E537="""",I537="""",J537="""",H537=""""),""ফাঁকা ঘর"",""""),IF(AND(C537&lt;&gt;"""",D537&lt;&gt;"""",C537=D537),""gloss=figurative"",""""),IF(LEN(D537)&lt;15,""figurative ছোট"",""""),IF(AND(I537=""Positive"",REGEXMATCH(H537,""মূর্খ|"&amp;"ভণ্ড|প্রতার|অলস|লোভ|স্বার্থ|অক্ষম|অযোগ্য|বোকা|কৃপণ|হিংস"")),""valence-target অমিল"",""""),IF(COUNTIF($B:$B,B537)&gt;1,""ডুপ্লিকেট"",""""))"),"figurative ছোট")</f>
        <v>figurative ছোট</v>
      </c>
      <c r="Q537" s="5" t="str">
        <f t="shared" si="1"/>
        <v>১ আগে দেখো</v>
      </c>
    </row>
    <row r="538">
      <c r="A538" s="4">
        <v>5682.0</v>
      </c>
      <c r="B538" s="2" t="s">
        <v>2453</v>
      </c>
      <c r="C538" s="2" t="s">
        <v>2454</v>
      </c>
      <c r="D538" s="2" t="s">
        <v>2455</v>
      </c>
      <c r="E538" s="2" t="s">
        <v>2456</v>
      </c>
      <c r="F538" s="2" t="b">
        <v>1</v>
      </c>
      <c r="G538" s="2" t="b">
        <v>0</v>
      </c>
      <c r="H538" s="2" t="s">
        <v>37</v>
      </c>
      <c r="I538" s="2" t="s">
        <v>32</v>
      </c>
      <c r="J538" s="2" t="s">
        <v>913</v>
      </c>
      <c r="K538" s="2" t="s">
        <v>495</v>
      </c>
      <c r="L538" s="13" t="s">
        <v>496</v>
      </c>
      <c r="M538" s="2" t="s">
        <v>26</v>
      </c>
      <c r="N538" s="11" t="s">
        <v>576</v>
      </c>
      <c r="O538" s="12" t="s">
        <v>53</v>
      </c>
      <c r="P538" s="5" t="str">
        <f>IFERROR(__xludf.DUMMYFUNCTION("TEXTJOIN("" | "",TRUE,IF(OR(D538="""",E538="""",I538="""",J538="""",H538=""""),""ফাঁকা ঘর"",""""),IF(AND(C538&lt;&gt;"""",D538&lt;&gt;"""",C538=D538),""gloss=figurative"",""""),IF(LEN(D538)&lt;15,""figurative ছোট"",""""),IF(AND(I538=""Positive"",REGEXMATCH(H538,""মূর্খ|"&amp;"ভণ্ড|প্রতার|অলস|লোভ|স্বার্থ|অক্ষম|অযোগ্য|বোকা|কৃপণ|হিংস"")),""valence-target অমিল"",""""),IF(COUNTIF($B:$B,B538)&gt;1,""ডুপ্লিকেট"",""""))"),"figurative ছোট")</f>
        <v>figurative ছোট</v>
      </c>
      <c r="Q538" s="5" t="str">
        <f t="shared" si="1"/>
        <v>১ আগে দেখো</v>
      </c>
    </row>
    <row r="539">
      <c r="A539" s="4">
        <v>5683.0</v>
      </c>
      <c r="B539" s="2" t="s">
        <v>2457</v>
      </c>
      <c r="C539" s="2" t="s">
        <v>2458</v>
      </c>
      <c r="D539" s="2" t="s">
        <v>2459</v>
      </c>
      <c r="E539" s="2" t="s">
        <v>2460</v>
      </c>
      <c r="F539" s="2" t="b">
        <v>1</v>
      </c>
      <c r="G539" s="2" t="b">
        <v>0</v>
      </c>
      <c r="H539" s="2" t="s">
        <v>37</v>
      </c>
      <c r="I539" s="2" t="s">
        <v>32</v>
      </c>
      <c r="J539" s="2" t="s">
        <v>646</v>
      </c>
      <c r="K539" s="2" t="s">
        <v>495</v>
      </c>
      <c r="L539" s="13" t="s">
        <v>496</v>
      </c>
      <c r="M539" s="2" t="s">
        <v>26</v>
      </c>
      <c r="N539" s="11" t="s">
        <v>576</v>
      </c>
      <c r="O539" s="12" t="s">
        <v>53</v>
      </c>
      <c r="P539" s="5" t="str">
        <f>IFERROR(__xludf.DUMMYFUNCTION("TEXTJOIN("" | "",TRUE,IF(OR(D539="""",E539="""",I539="""",J539="""",H539=""""),""ফাঁকা ঘর"",""""),IF(AND(C539&lt;&gt;"""",D539&lt;&gt;"""",C539=D539),""gloss=figurative"",""""),IF(LEN(D539)&lt;15,""figurative ছোট"",""""),IF(AND(I539=""Positive"",REGEXMATCH(H539,""মূর্খ|"&amp;"ভণ্ড|প্রতার|অলস|লোভ|স্বার্থ|অক্ষম|অযোগ্য|বোকা|কৃপণ|হিংস"")),""valence-target অমিল"",""""),IF(COUNTIF($B:$B,B539)&gt;1,""ডুপ্লিকেট"",""""))"),"figurative ছোট")</f>
        <v>figurative ছোট</v>
      </c>
      <c r="Q539" s="5" t="str">
        <f t="shared" si="1"/>
        <v>১ আগে দেখো</v>
      </c>
    </row>
    <row r="540">
      <c r="A540" s="4">
        <v>5685.0</v>
      </c>
      <c r="B540" s="2" t="s">
        <v>2461</v>
      </c>
      <c r="C540" s="2" t="s">
        <v>2462</v>
      </c>
      <c r="D540" s="2" t="s">
        <v>2463</v>
      </c>
      <c r="E540" s="2" t="s">
        <v>2464</v>
      </c>
      <c r="F540" s="2" t="b">
        <v>1</v>
      </c>
      <c r="G540" s="2" t="b">
        <v>0</v>
      </c>
      <c r="H540" s="2" t="s">
        <v>37</v>
      </c>
      <c r="I540" s="2" t="s">
        <v>49</v>
      </c>
      <c r="J540" s="2" t="s">
        <v>2465</v>
      </c>
      <c r="K540" s="2" t="s">
        <v>495</v>
      </c>
      <c r="L540" s="13" t="s">
        <v>496</v>
      </c>
      <c r="M540" s="2" t="s">
        <v>26</v>
      </c>
      <c r="N540" s="11" t="s">
        <v>576</v>
      </c>
      <c r="O540" s="12" t="s">
        <v>53</v>
      </c>
      <c r="P540" s="5" t="str">
        <f>IFERROR(__xludf.DUMMYFUNCTION("TEXTJOIN("" | "",TRUE,IF(OR(D540="""",E540="""",I540="""",J540="""",H540=""""),""ফাঁকা ঘর"",""""),IF(AND(C540&lt;&gt;"""",D540&lt;&gt;"""",C540=D540),""gloss=figurative"",""""),IF(LEN(D540)&lt;15,""figurative ছোট"",""""),IF(AND(I540=""Positive"",REGEXMATCH(H540,""মূর্খ|"&amp;"ভণ্ড|প্রতার|অলস|লোভ|স্বার্থ|অক্ষম|অযোগ্য|বোকা|কৃপণ|হিংস"")),""valence-target অমিল"",""""),IF(COUNTIF($B:$B,B540)&gt;1,""ডুপ্লিকেট"",""""))"),"figurative ছোট")</f>
        <v>figurative ছোট</v>
      </c>
      <c r="Q540" s="5" t="str">
        <f t="shared" si="1"/>
        <v>১ আগে দেখো</v>
      </c>
    </row>
    <row r="541">
      <c r="A541" s="4">
        <v>5686.0</v>
      </c>
      <c r="B541" s="2" t="s">
        <v>2466</v>
      </c>
      <c r="C541" s="2" t="s">
        <v>2467</v>
      </c>
      <c r="D541" s="2" t="s">
        <v>2468</v>
      </c>
      <c r="E541" s="2" t="s">
        <v>2469</v>
      </c>
      <c r="F541" s="2" t="b">
        <v>1</v>
      </c>
      <c r="G541" s="2" t="b">
        <v>0</v>
      </c>
      <c r="H541" s="2" t="s">
        <v>37</v>
      </c>
      <c r="I541" s="2" t="s">
        <v>22</v>
      </c>
      <c r="J541" s="2" t="s">
        <v>2468</v>
      </c>
      <c r="K541" s="2" t="s">
        <v>495</v>
      </c>
      <c r="L541" s="13" t="s">
        <v>496</v>
      </c>
      <c r="M541" s="2" t="s">
        <v>26</v>
      </c>
      <c r="N541" s="11" t="s">
        <v>576</v>
      </c>
      <c r="O541" s="12" t="s">
        <v>53</v>
      </c>
      <c r="P541" s="5" t="str">
        <f>IFERROR(__xludf.DUMMYFUNCTION("TEXTJOIN("" | "",TRUE,IF(OR(D541="""",E541="""",I541="""",J541="""",H541=""""),""ফাঁকা ঘর"",""""),IF(AND(C541&lt;&gt;"""",D541&lt;&gt;"""",C541=D541),""gloss=figurative"",""""),IF(LEN(D541)&lt;15,""figurative ছোট"",""""),IF(AND(I541=""Positive"",REGEXMATCH(H541,""মূর্খ|"&amp;"ভণ্ড|প্রতার|অলস|লোভ|স্বার্থ|অক্ষম|অযোগ্য|বোকা|কৃপণ|হিংস"")),""valence-target অমিল"",""""),IF(COUNTIF($B:$B,B541)&gt;1,""ডুপ্লিকেট"",""""))"),"figurative ছোট")</f>
        <v>figurative ছোট</v>
      </c>
      <c r="Q541" s="5" t="str">
        <f t="shared" si="1"/>
        <v>১ আগে দেখো</v>
      </c>
    </row>
    <row r="542">
      <c r="A542" s="4">
        <v>5687.0</v>
      </c>
      <c r="B542" s="2" t="s">
        <v>2470</v>
      </c>
      <c r="C542" s="2" t="s">
        <v>2471</v>
      </c>
      <c r="D542" s="2" t="s">
        <v>590</v>
      </c>
      <c r="E542" s="2" t="s">
        <v>2472</v>
      </c>
      <c r="F542" s="2" t="b">
        <v>1</v>
      </c>
      <c r="G542" s="2" t="b">
        <v>0</v>
      </c>
      <c r="H542" s="2" t="s">
        <v>37</v>
      </c>
      <c r="I542" s="2" t="s">
        <v>22</v>
      </c>
      <c r="J542" s="2" t="s">
        <v>590</v>
      </c>
      <c r="K542" s="2" t="s">
        <v>495</v>
      </c>
      <c r="L542" s="13" t="s">
        <v>496</v>
      </c>
      <c r="M542" s="2" t="s">
        <v>26</v>
      </c>
      <c r="N542" s="11" t="s">
        <v>2473</v>
      </c>
      <c r="O542" s="12" t="s">
        <v>53</v>
      </c>
      <c r="P542" s="5" t="str">
        <f>IFERROR(__xludf.DUMMYFUNCTION("TEXTJOIN("" | "",TRUE,IF(OR(D542="""",E542="""",I542="""",J542="""",H542=""""),""ফাঁকা ঘর"",""""),IF(AND(C542&lt;&gt;"""",D542&lt;&gt;"""",C542=D542),""gloss=figurative"",""""),IF(LEN(D542)&lt;15,""figurative ছোট"",""""),IF(AND(I542=""Positive"",REGEXMATCH(H542,""মূর্খ|"&amp;"ভণ্ড|প্রতার|অলস|লোভ|স্বার্থ|অক্ষম|অযোগ্য|বোকা|কৃপণ|হিংস"")),""valence-target অমিল"",""""),IF(COUNTIF($B:$B,B542)&gt;1,""ডুপ্লিকেট"",""""))"),"figurative ছোট")</f>
        <v>figurative ছোট</v>
      </c>
      <c r="Q542" s="5" t="str">
        <f t="shared" si="1"/>
        <v>১ আগে দেখো</v>
      </c>
    </row>
    <row r="543">
      <c r="A543" s="4">
        <v>5688.0</v>
      </c>
      <c r="B543" s="2" t="s">
        <v>2474</v>
      </c>
      <c r="C543" s="2" t="s">
        <v>2475</v>
      </c>
      <c r="D543" s="2" t="s">
        <v>1607</v>
      </c>
      <c r="E543" s="2" t="s">
        <v>2476</v>
      </c>
      <c r="F543" s="2" t="b">
        <v>1</v>
      </c>
      <c r="G543" s="2" t="b">
        <v>0</v>
      </c>
      <c r="H543" s="2" t="s">
        <v>37</v>
      </c>
      <c r="I543" s="2" t="s">
        <v>22</v>
      </c>
      <c r="J543" s="2" t="s">
        <v>1607</v>
      </c>
      <c r="K543" s="2" t="s">
        <v>495</v>
      </c>
      <c r="L543" s="13" t="s">
        <v>496</v>
      </c>
      <c r="M543" s="2" t="s">
        <v>26</v>
      </c>
      <c r="N543" s="11" t="s">
        <v>2477</v>
      </c>
      <c r="O543" s="12" t="s">
        <v>53</v>
      </c>
      <c r="P543" s="5" t="str">
        <f>IFERROR(__xludf.DUMMYFUNCTION("TEXTJOIN("" | "",TRUE,IF(OR(D543="""",E543="""",I543="""",J543="""",H543=""""),""ফাঁকা ঘর"",""""),IF(AND(C543&lt;&gt;"""",D543&lt;&gt;"""",C543=D543),""gloss=figurative"",""""),IF(LEN(D543)&lt;15,""figurative ছোট"",""""),IF(AND(I543=""Positive"",REGEXMATCH(H543,""মূর্খ|"&amp;"ভণ্ড|প্রতার|অলস|লোভ|স্বার্থ|অক্ষম|অযোগ্য|বোকা|কৃপণ|হিংস"")),""valence-target অমিল"",""""),IF(COUNTIF($B:$B,B543)&gt;1,""ডুপ্লিকেট"",""""))"),"figurative ছোট")</f>
        <v>figurative ছোট</v>
      </c>
      <c r="Q543" s="5" t="str">
        <f t="shared" si="1"/>
        <v>১ আগে দেখো</v>
      </c>
    </row>
    <row r="544">
      <c r="A544" s="4">
        <v>5689.0</v>
      </c>
      <c r="B544" s="2" t="s">
        <v>2478</v>
      </c>
      <c r="C544" s="2" t="s">
        <v>2479</v>
      </c>
      <c r="D544" s="2" t="s">
        <v>2480</v>
      </c>
      <c r="E544" s="2" t="s">
        <v>2481</v>
      </c>
      <c r="F544" s="2" t="b">
        <v>1</v>
      </c>
      <c r="G544" s="2" t="b">
        <v>0</v>
      </c>
      <c r="H544" s="2" t="s">
        <v>2482</v>
      </c>
      <c r="I544" s="2" t="s">
        <v>22</v>
      </c>
      <c r="J544" s="2" t="s">
        <v>723</v>
      </c>
      <c r="K544" s="2" t="s">
        <v>495</v>
      </c>
      <c r="L544" s="13" t="s">
        <v>496</v>
      </c>
      <c r="M544" s="2" t="s">
        <v>26</v>
      </c>
      <c r="N544" s="11" t="s">
        <v>576</v>
      </c>
      <c r="O544" s="12" t="s">
        <v>53</v>
      </c>
      <c r="P544" s="5" t="str">
        <f>IFERROR(__xludf.DUMMYFUNCTION("TEXTJOIN("" | "",TRUE,IF(OR(D544="""",E544="""",I544="""",J544="""",H544=""""),""ফাঁকা ঘর"",""""),IF(AND(C544&lt;&gt;"""",D544&lt;&gt;"""",C544=D544),""gloss=figurative"",""""),IF(LEN(D544)&lt;15,""figurative ছোট"",""""),IF(AND(I544=""Positive"",REGEXMATCH(H544,""মূর্খ|"&amp;"ভণ্ড|প্রতার|অলস|লোভ|স্বার্থ|অক্ষম|অযোগ্য|বোকা|কৃপণ|হিংস"")),""valence-target অমিল"",""""),IF(COUNTIF($B:$B,B544)&gt;1,""ডুপ্লিকেট"",""""))"),"figurative ছোট")</f>
        <v>figurative ছোট</v>
      </c>
      <c r="Q544" s="5" t="str">
        <f t="shared" si="1"/>
        <v>১ আগে দেখো</v>
      </c>
    </row>
    <row r="545">
      <c r="A545" s="4">
        <v>5692.0</v>
      </c>
      <c r="B545" s="2" t="s">
        <v>2483</v>
      </c>
      <c r="C545" s="2" t="s">
        <v>2483</v>
      </c>
      <c r="D545" s="2" t="s">
        <v>1074</v>
      </c>
      <c r="E545" s="2" t="s">
        <v>2484</v>
      </c>
      <c r="F545" s="2" t="b">
        <v>1</v>
      </c>
      <c r="G545" s="2" t="b">
        <v>0</v>
      </c>
      <c r="H545" s="2" t="s">
        <v>37</v>
      </c>
      <c r="I545" s="2" t="s">
        <v>22</v>
      </c>
      <c r="J545" s="2" t="s">
        <v>2485</v>
      </c>
      <c r="K545" s="2" t="s">
        <v>495</v>
      </c>
      <c r="L545" s="13" t="s">
        <v>496</v>
      </c>
      <c r="M545" s="2" t="s">
        <v>26</v>
      </c>
      <c r="N545" s="11" t="s">
        <v>576</v>
      </c>
      <c r="O545" s="12" t="s">
        <v>53</v>
      </c>
      <c r="P545" s="5" t="str">
        <f>IFERROR(__xludf.DUMMYFUNCTION("TEXTJOIN("" | "",TRUE,IF(OR(D545="""",E545="""",I545="""",J545="""",H545=""""),""ফাঁকা ঘর"",""""),IF(AND(C545&lt;&gt;"""",D545&lt;&gt;"""",C545=D545),""gloss=figurative"",""""),IF(LEN(D545)&lt;15,""figurative ছোট"",""""),IF(AND(I545=""Positive"",REGEXMATCH(H545,""মূর্খ|"&amp;"ভণ্ড|প্রতার|অলস|লোভ|স্বার্থ|অক্ষম|অযোগ্য|বোকা|কৃপণ|হিংস"")),""valence-target অমিল"",""""),IF(COUNTIF($B:$B,B545)&gt;1,""ডুপ্লিকেট"",""""))"),"figurative ছোট")</f>
        <v>figurative ছোট</v>
      </c>
      <c r="Q545" s="5" t="str">
        <f t="shared" si="1"/>
        <v>১ আগে দেখো</v>
      </c>
    </row>
    <row r="546">
      <c r="A546" s="4">
        <v>5696.0</v>
      </c>
      <c r="B546" s="2" t="s">
        <v>2486</v>
      </c>
      <c r="C546" s="2" t="s">
        <v>2487</v>
      </c>
      <c r="D546" s="2" t="s">
        <v>2488</v>
      </c>
      <c r="E546" s="2" t="s">
        <v>2489</v>
      </c>
      <c r="F546" s="2" t="b">
        <v>1</v>
      </c>
      <c r="G546" s="2" t="b">
        <v>0</v>
      </c>
      <c r="H546" s="2" t="s">
        <v>37</v>
      </c>
      <c r="I546" s="2" t="s">
        <v>22</v>
      </c>
      <c r="J546" s="2" t="s">
        <v>2490</v>
      </c>
      <c r="K546" s="2" t="s">
        <v>495</v>
      </c>
      <c r="L546" s="13" t="s">
        <v>496</v>
      </c>
      <c r="M546" s="2" t="s">
        <v>26</v>
      </c>
      <c r="N546" s="11" t="s">
        <v>576</v>
      </c>
      <c r="O546" s="12" t="s">
        <v>53</v>
      </c>
      <c r="P546" s="5" t="str">
        <f>IFERROR(__xludf.DUMMYFUNCTION("TEXTJOIN("" | "",TRUE,IF(OR(D546="""",E546="""",I546="""",J546="""",H546=""""),""ফাঁকা ঘর"",""""),IF(AND(C546&lt;&gt;"""",D546&lt;&gt;"""",C546=D546),""gloss=figurative"",""""),IF(LEN(D546)&lt;15,""figurative ছোট"",""""),IF(AND(I546=""Positive"",REGEXMATCH(H546,""মূর্খ|"&amp;"ভণ্ড|প্রতার|অলস|লোভ|স্বার্থ|অক্ষম|অযোগ্য|বোকা|কৃপণ|হিংস"")),""valence-target অমিল"",""""),IF(COUNTIF($B:$B,B546)&gt;1,""ডুপ্লিকেট"",""""))"),"figurative ছোট")</f>
        <v>figurative ছোট</v>
      </c>
      <c r="Q546" s="5" t="str">
        <f t="shared" si="1"/>
        <v>১ আগে দেখো</v>
      </c>
    </row>
    <row r="547">
      <c r="A547" s="4">
        <v>5701.0</v>
      </c>
      <c r="B547" s="2" t="s">
        <v>2491</v>
      </c>
      <c r="C547" s="2" t="s">
        <v>2492</v>
      </c>
      <c r="D547" s="2" t="s">
        <v>2243</v>
      </c>
      <c r="E547" s="2" t="s">
        <v>2244</v>
      </c>
      <c r="F547" s="2" t="b">
        <v>1</v>
      </c>
      <c r="G547" s="2" t="b">
        <v>0</v>
      </c>
      <c r="H547" s="2" t="s">
        <v>2243</v>
      </c>
      <c r="I547" s="2" t="s">
        <v>22</v>
      </c>
      <c r="J547" s="2" t="s">
        <v>820</v>
      </c>
      <c r="K547" s="2" t="s">
        <v>495</v>
      </c>
      <c r="L547" s="13" t="s">
        <v>496</v>
      </c>
      <c r="M547" s="2" t="s">
        <v>26</v>
      </c>
      <c r="N547" s="11" t="s">
        <v>576</v>
      </c>
      <c r="O547" s="12" t="s">
        <v>53</v>
      </c>
      <c r="P547" s="5" t="str">
        <f>IFERROR(__xludf.DUMMYFUNCTION("TEXTJOIN("" | "",TRUE,IF(OR(D547="""",E547="""",I547="""",J547="""",H547=""""),""ফাঁকা ঘর"",""""),IF(AND(C547&lt;&gt;"""",D547&lt;&gt;"""",C547=D547),""gloss=figurative"",""""),IF(LEN(D547)&lt;15,""figurative ছোট"",""""),IF(AND(I547=""Positive"",REGEXMATCH(H547,""মূর্খ|"&amp;"ভণ্ড|প্রতার|অলস|লোভ|স্বার্থ|অক্ষম|অযোগ্য|বোকা|কৃপণ|হিংস"")),""valence-target অমিল"",""""),IF(COUNTIF($B:$B,B547)&gt;1,""ডুপ্লিকেট"",""""))"),"figurative ছোট")</f>
        <v>figurative ছোট</v>
      </c>
      <c r="Q547" s="5" t="str">
        <f t="shared" si="1"/>
        <v>১ আগে দেখো</v>
      </c>
    </row>
    <row r="548">
      <c r="A548" s="4">
        <v>5706.0</v>
      </c>
      <c r="B548" s="2" t="s">
        <v>2493</v>
      </c>
      <c r="C548" s="2" t="s">
        <v>2494</v>
      </c>
      <c r="D548" s="2" t="s">
        <v>2495</v>
      </c>
      <c r="E548" s="2" t="s">
        <v>2496</v>
      </c>
      <c r="F548" s="2" t="b">
        <v>1</v>
      </c>
      <c r="G548" s="2" t="b">
        <v>0</v>
      </c>
      <c r="H548" s="2" t="s">
        <v>37</v>
      </c>
      <c r="I548" s="2" t="s">
        <v>49</v>
      </c>
      <c r="J548" s="2" t="s">
        <v>176</v>
      </c>
      <c r="K548" s="2" t="s">
        <v>495</v>
      </c>
      <c r="L548" s="13" t="s">
        <v>496</v>
      </c>
      <c r="M548" s="2" t="s">
        <v>26</v>
      </c>
      <c r="N548" s="11" t="s">
        <v>576</v>
      </c>
      <c r="O548" s="12" t="s">
        <v>53</v>
      </c>
      <c r="P548" s="5" t="str">
        <f>IFERROR(__xludf.DUMMYFUNCTION("TEXTJOIN("" | "",TRUE,IF(OR(D548="""",E548="""",I548="""",J548="""",H548=""""),""ফাঁকা ঘর"",""""),IF(AND(C548&lt;&gt;"""",D548&lt;&gt;"""",C548=D548),""gloss=figurative"",""""),IF(LEN(D548)&lt;15,""figurative ছোট"",""""),IF(AND(I548=""Positive"",REGEXMATCH(H548,""মূর্খ|"&amp;"ভণ্ড|প্রতার|অলস|লোভ|স্বার্থ|অক্ষম|অযোগ্য|বোকা|কৃপণ|হিংস"")),""valence-target অমিল"",""""),IF(COUNTIF($B:$B,B548)&gt;1,""ডুপ্লিকেট"",""""))"),"figurative ছোট")</f>
        <v>figurative ছোট</v>
      </c>
      <c r="Q548" s="5" t="str">
        <f t="shared" si="1"/>
        <v>১ আগে দেখো</v>
      </c>
    </row>
    <row r="549">
      <c r="A549" s="4">
        <v>5713.0</v>
      </c>
      <c r="B549" s="2" t="s">
        <v>2497</v>
      </c>
      <c r="C549" s="2" t="s">
        <v>2497</v>
      </c>
      <c r="D549" s="2" t="s">
        <v>2054</v>
      </c>
      <c r="E549" s="2" t="s">
        <v>2498</v>
      </c>
      <c r="F549" s="2" t="b">
        <v>1</v>
      </c>
      <c r="G549" s="2" t="b">
        <v>0</v>
      </c>
      <c r="H549" s="2" t="s">
        <v>1334</v>
      </c>
      <c r="I549" s="2" t="s">
        <v>22</v>
      </c>
      <c r="J549" s="2" t="s">
        <v>820</v>
      </c>
      <c r="K549" s="2" t="s">
        <v>495</v>
      </c>
      <c r="L549" s="13" t="s">
        <v>496</v>
      </c>
      <c r="M549" s="2" t="s">
        <v>26</v>
      </c>
      <c r="N549" s="11" t="s">
        <v>576</v>
      </c>
      <c r="O549" s="12" t="s">
        <v>53</v>
      </c>
      <c r="P549" s="5" t="str">
        <f>IFERROR(__xludf.DUMMYFUNCTION("TEXTJOIN("" | "",TRUE,IF(OR(D549="""",E549="""",I549="""",J549="""",H549=""""),""ফাঁকা ঘর"",""""),IF(AND(C549&lt;&gt;"""",D549&lt;&gt;"""",C549=D549),""gloss=figurative"",""""),IF(LEN(D549)&lt;15,""figurative ছোট"",""""),IF(AND(I549=""Positive"",REGEXMATCH(H549,""মূর্খ|"&amp;"ভণ্ড|প্রতার|অলস|লোভ|স্বার্থ|অক্ষম|অযোগ্য|বোকা|কৃপণ|হিংস"")),""valence-target অমিল"",""""),IF(COUNTIF($B:$B,B549)&gt;1,""ডুপ্লিকেট"",""""))"),"figurative ছোট")</f>
        <v>figurative ছোট</v>
      </c>
      <c r="Q549" s="5" t="str">
        <f t="shared" si="1"/>
        <v>১ আগে দেখো</v>
      </c>
    </row>
    <row r="550">
      <c r="A550" s="4">
        <v>5714.0</v>
      </c>
      <c r="B550" s="2" t="s">
        <v>2499</v>
      </c>
      <c r="C550" s="2" t="s">
        <v>2500</v>
      </c>
      <c r="D550" s="2" t="s">
        <v>2501</v>
      </c>
      <c r="E550" s="2" t="s">
        <v>2502</v>
      </c>
      <c r="F550" s="2" t="b">
        <v>1</v>
      </c>
      <c r="G550" s="2" t="b">
        <v>0</v>
      </c>
      <c r="H550" s="2" t="s">
        <v>37</v>
      </c>
      <c r="I550" s="2" t="s">
        <v>32</v>
      </c>
      <c r="J550" s="2" t="s">
        <v>830</v>
      </c>
      <c r="K550" s="2" t="s">
        <v>495</v>
      </c>
      <c r="L550" s="13" t="s">
        <v>496</v>
      </c>
      <c r="M550" s="2" t="s">
        <v>26</v>
      </c>
      <c r="N550" s="11" t="s">
        <v>576</v>
      </c>
      <c r="O550" s="12" t="s">
        <v>53</v>
      </c>
      <c r="P550" s="5" t="str">
        <f>IFERROR(__xludf.DUMMYFUNCTION("TEXTJOIN("" | "",TRUE,IF(OR(D550="""",E550="""",I550="""",J550="""",H550=""""),""ফাঁকা ঘর"",""""),IF(AND(C550&lt;&gt;"""",D550&lt;&gt;"""",C550=D550),""gloss=figurative"",""""),IF(LEN(D550)&lt;15,""figurative ছোট"",""""),IF(AND(I550=""Positive"",REGEXMATCH(H550,""মূর্খ|"&amp;"ভণ্ড|প্রতার|অলস|লোভ|স্বার্থ|অক্ষম|অযোগ্য|বোকা|কৃপণ|হিংস"")),""valence-target অমিল"",""""),IF(COUNTIF($B:$B,B550)&gt;1,""ডুপ্লিকেট"",""""))"),"figurative ছোট")</f>
        <v>figurative ছোট</v>
      </c>
      <c r="Q550" s="5" t="str">
        <f t="shared" si="1"/>
        <v>১ আগে দেখো</v>
      </c>
    </row>
    <row r="551">
      <c r="A551" s="4">
        <v>5715.0</v>
      </c>
      <c r="B551" s="2" t="s">
        <v>2503</v>
      </c>
      <c r="C551" s="2" t="s">
        <v>2504</v>
      </c>
      <c r="D551" s="2" t="s">
        <v>2505</v>
      </c>
      <c r="E551" s="2" t="s">
        <v>2506</v>
      </c>
      <c r="F551" s="2" t="b">
        <v>1</v>
      </c>
      <c r="G551" s="2" t="b">
        <v>0</v>
      </c>
      <c r="H551" s="2" t="s">
        <v>37</v>
      </c>
      <c r="I551" s="2" t="s">
        <v>49</v>
      </c>
      <c r="J551" s="2" t="s">
        <v>565</v>
      </c>
      <c r="K551" s="2" t="s">
        <v>495</v>
      </c>
      <c r="L551" s="13" t="s">
        <v>496</v>
      </c>
      <c r="M551" s="2" t="s">
        <v>26</v>
      </c>
      <c r="N551" s="11" t="s">
        <v>576</v>
      </c>
      <c r="O551" s="12" t="s">
        <v>53</v>
      </c>
      <c r="P551" s="5" t="str">
        <f>IFERROR(__xludf.DUMMYFUNCTION("TEXTJOIN("" | "",TRUE,IF(OR(D551="""",E551="""",I551="""",J551="""",H551=""""),""ফাঁকা ঘর"",""""),IF(AND(C551&lt;&gt;"""",D551&lt;&gt;"""",C551=D551),""gloss=figurative"",""""),IF(LEN(D551)&lt;15,""figurative ছোট"",""""),IF(AND(I551=""Positive"",REGEXMATCH(H551,""মূর্খ|"&amp;"ভণ্ড|প্রতার|অলস|লোভ|স্বার্থ|অক্ষম|অযোগ্য|বোকা|কৃপণ|হিংস"")),""valence-target অমিল"",""""),IF(COUNTIF($B:$B,B551)&gt;1,""ডুপ্লিকেট"",""""))"),"figurative ছোট")</f>
        <v>figurative ছোট</v>
      </c>
      <c r="Q551" s="5" t="str">
        <f t="shared" si="1"/>
        <v>১ আগে দেখো</v>
      </c>
    </row>
    <row r="552">
      <c r="A552" s="4">
        <v>5717.0</v>
      </c>
      <c r="B552" s="2" t="s">
        <v>2507</v>
      </c>
      <c r="C552" s="2" t="s">
        <v>2508</v>
      </c>
      <c r="D552" s="2" t="s">
        <v>2509</v>
      </c>
      <c r="E552" s="2" t="s">
        <v>2510</v>
      </c>
      <c r="F552" s="2" t="b">
        <v>1</v>
      </c>
      <c r="G552" s="2" t="b">
        <v>0</v>
      </c>
      <c r="H552" s="2" t="s">
        <v>1334</v>
      </c>
      <c r="I552" s="2" t="s">
        <v>22</v>
      </c>
      <c r="J552" s="2" t="s">
        <v>820</v>
      </c>
      <c r="K552" s="2" t="s">
        <v>495</v>
      </c>
      <c r="L552" s="13" t="s">
        <v>496</v>
      </c>
      <c r="M552" s="2" t="s">
        <v>26</v>
      </c>
      <c r="N552" s="11" t="s">
        <v>576</v>
      </c>
      <c r="O552" s="12" t="s">
        <v>53</v>
      </c>
      <c r="P552" s="5" t="str">
        <f>IFERROR(__xludf.DUMMYFUNCTION("TEXTJOIN("" | "",TRUE,IF(OR(D552="""",E552="""",I552="""",J552="""",H552=""""),""ফাঁকা ঘর"",""""),IF(AND(C552&lt;&gt;"""",D552&lt;&gt;"""",C552=D552),""gloss=figurative"",""""),IF(LEN(D552)&lt;15,""figurative ছোট"",""""),IF(AND(I552=""Positive"",REGEXMATCH(H552,""মূর্খ|"&amp;"ভণ্ড|প্রতার|অলস|লোভ|স্বার্থ|অক্ষম|অযোগ্য|বোকা|কৃপণ|হিংস"")),""valence-target অমিল"",""""),IF(COUNTIF($B:$B,B552)&gt;1,""ডুপ্লিকেট"",""""))"),"figurative ছোট")</f>
        <v>figurative ছোট</v>
      </c>
      <c r="Q552" s="5" t="str">
        <f t="shared" si="1"/>
        <v>১ আগে দেখো</v>
      </c>
    </row>
    <row r="553">
      <c r="A553" s="4">
        <v>5718.0</v>
      </c>
      <c r="B553" s="2" t="s">
        <v>2511</v>
      </c>
      <c r="C553" s="2" t="s">
        <v>2511</v>
      </c>
      <c r="D553" s="2" t="s">
        <v>2512</v>
      </c>
      <c r="E553" s="2" t="s">
        <v>2513</v>
      </c>
      <c r="F553" s="2" t="b">
        <v>1</v>
      </c>
      <c r="G553" s="2" t="b">
        <v>0</v>
      </c>
      <c r="H553" s="2" t="s">
        <v>1334</v>
      </c>
      <c r="I553" s="2" t="s">
        <v>22</v>
      </c>
      <c r="J553" s="2" t="s">
        <v>820</v>
      </c>
      <c r="K553" s="2" t="s">
        <v>495</v>
      </c>
      <c r="L553" s="13" t="s">
        <v>496</v>
      </c>
      <c r="M553" s="2" t="s">
        <v>26</v>
      </c>
      <c r="N553" s="11" t="s">
        <v>576</v>
      </c>
      <c r="O553" s="12" t="s">
        <v>53</v>
      </c>
      <c r="P553" s="5" t="str">
        <f>IFERROR(__xludf.DUMMYFUNCTION("TEXTJOIN("" | "",TRUE,IF(OR(D553="""",E553="""",I553="""",J553="""",H553=""""),""ফাঁকা ঘর"",""""),IF(AND(C553&lt;&gt;"""",D553&lt;&gt;"""",C553=D553),""gloss=figurative"",""""),IF(LEN(D553)&lt;15,""figurative ছোট"",""""),IF(AND(I553=""Positive"",REGEXMATCH(H553,""মূর্খ|"&amp;"ভণ্ড|প্রতার|অলস|লোভ|স্বার্থ|অক্ষম|অযোগ্য|বোকা|কৃপণ|হিংস"")),""valence-target অমিল"",""""),IF(COUNTIF($B:$B,B553)&gt;1,""ডুপ্লিকেট"",""""))"),"figurative ছোট")</f>
        <v>figurative ছোট</v>
      </c>
      <c r="Q553" s="5" t="str">
        <f t="shared" si="1"/>
        <v>১ আগে দেখো</v>
      </c>
    </row>
    <row r="554">
      <c r="A554" s="4">
        <v>5721.0</v>
      </c>
      <c r="B554" s="2" t="s">
        <v>2514</v>
      </c>
      <c r="C554" s="2" t="s">
        <v>2514</v>
      </c>
      <c r="D554" s="2" t="s">
        <v>2515</v>
      </c>
      <c r="E554" s="2" t="s">
        <v>2516</v>
      </c>
      <c r="F554" s="2" t="b">
        <v>1</v>
      </c>
      <c r="G554" s="2" t="b">
        <v>0</v>
      </c>
      <c r="H554" s="2" t="s">
        <v>37</v>
      </c>
      <c r="I554" s="2" t="s">
        <v>32</v>
      </c>
      <c r="J554" s="2" t="s">
        <v>424</v>
      </c>
      <c r="K554" s="2" t="s">
        <v>495</v>
      </c>
      <c r="L554" s="13" t="s">
        <v>496</v>
      </c>
      <c r="M554" s="2" t="s">
        <v>26</v>
      </c>
      <c r="N554" s="11" t="s">
        <v>576</v>
      </c>
      <c r="O554" s="12" t="s">
        <v>53</v>
      </c>
      <c r="P554" s="5" t="str">
        <f>IFERROR(__xludf.DUMMYFUNCTION("TEXTJOIN("" | "",TRUE,IF(OR(D554="""",E554="""",I554="""",J554="""",H554=""""),""ফাঁকা ঘর"",""""),IF(AND(C554&lt;&gt;"""",D554&lt;&gt;"""",C554=D554),""gloss=figurative"",""""),IF(LEN(D554)&lt;15,""figurative ছোট"",""""),IF(AND(I554=""Positive"",REGEXMATCH(H554,""মূর্খ|"&amp;"ভণ্ড|প্রতার|অলস|লোভ|স্বার্থ|অক্ষম|অযোগ্য|বোকা|কৃপণ|হিংস"")),""valence-target অমিল"",""""),IF(COUNTIF($B:$B,B554)&gt;1,""ডুপ্লিকেট"",""""))"),"figurative ছোট")</f>
        <v>figurative ছোট</v>
      </c>
      <c r="Q554" s="5" t="str">
        <f t="shared" si="1"/>
        <v>১ আগে দেখো</v>
      </c>
    </row>
    <row r="555">
      <c r="A555" s="4">
        <v>5722.0</v>
      </c>
      <c r="B555" s="2" t="s">
        <v>2517</v>
      </c>
      <c r="C555" s="2" t="s">
        <v>2517</v>
      </c>
      <c r="D555" s="2" t="s">
        <v>2054</v>
      </c>
      <c r="E555" s="2" t="s">
        <v>2518</v>
      </c>
      <c r="F555" s="2" t="b">
        <v>1</v>
      </c>
      <c r="G555" s="2" t="b">
        <v>0</v>
      </c>
      <c r="H555" s="2" t="s">
        <v>1334</v>
      </c>
      <c r="I555" s="2" t="s">
        <v>22</v>
      </c>
      <c r="J555" s="2" t="s">
        <v>820</v>
      </c>
      <c r="K555" s="2" t="s">
        <v>495</v>
      </c>
      <c r="L555" s="13" t="s">
        <v>496</v>
      </c>
      <c r="M555" s="2" t="s">
        <v>26</v>
      </c>
      <c r="N555" s="11" t="s">
        <v>576</v>
      </c>
      <c r="O555" s="12" t="s">
        <v>53</v>
      </c>
      <c r="P555" s="5" t="str">
        <f>IFERROR(__xludf.DUMMYFUNCTION("TEXTJOIN("" | "",TRUE,IF(OR(D555="""",E555="""",I555="""",J555="""",H555=""""),""ফাঁকা ঘর"",""""),IF(AND(C555&lt;&gt;"""",D555&lt;&gt;"""",C555=D555),""gloss=figurative"",""""),IF(LEN(D555)&lt;15,""figurative ছোট"",""""),IF(AND(I555=""Positive"",REGEXMATCH(H555,""মূর্খ|"&amp;"ভণ্ড|প্রতার|অলস|লোভ|স্বার্থ|অক্ষম|অযোগ্য|বোকা|কৃপণ|হিংস"")),""valence-target অমিল"",""""),IF(COUNTIF($B:$B,B555)&gt;1,""ডুপ্লিকেট"",""""))"),"figurative ছোট")</f>
        <v>figurative ছোট</v>
      </c>
      <c r="Q555" s="5" t="str">
        <f t="shared" si="1"/>
        <v>১ আগে দেখো</v>
      </c>
    </row>
    <row r="556">
      <c r="A556" s="4">
        <v>5723.0</v>
      </c>
      <c r="B556" s="2" t="s">
        <v>2519</v>
      </c>
      <c r="C556" s="2" t="s">
        <v>2519</v>
      </c>
      <c r="D556" s="2" t="s">
        <v>2520</v>
      </c>
      <c r="E556" s="2" t="s">
        <v>2521</v>
      </c>
      <c r="F556" s="2" t="b">
        <v>1</v>
      </c>
      <c r="G556" s="2" t="b">
        <v>0</v>
      </c>
      <c r="H556" s="2" t="s">
        <v>37</v>
      </c>
      <c r="I556" s="2" t="s">
        <v>22</v>
      </c>
      <c r="J556" s="2" t="s">
        <v>1915</v>
      </c>
      <c r="K556" s="2" t="s">
        <v>495</v>
      </c>
      <c r="L556" s="13" t="s">
        <v>496</v>
      </c>
      <c r="M556" s="2" t="s">
        <v>26</v>
      </c>
      <c r="N556" s="11" t="s">
        <v>576</v>
      </c>
      <c r="O556" s="12" t="s">
        <v>53</v>
      </c>
      <c r="P556" s="5" t="str">
        <f>IFERROR(__xludf.DUMMYFUNCTION("TEXTJOIN("" | "",TRUE,IF(OR(D556="""",E556="""",I556="""",J556="""",H556=""""),""ফাঁকা ঘর"",""""),IF(AND(C556&lt;&gt;"""",D556&lt;&gt;"""",C556=D556),""gloss=figurative"",""""),IF(LEN(D556)&lt;15,""figurative ছোট"",""""),IF(AND(I556=""Positive"",REGEXMATCH(H556,""মূর্খ|"&amp;"ভণ্ড|প্রতার|অলস|লোভ|স্বার্থ|অক্ষম|অযোগ্য|বোকা|কৃপণ|হিংস"")),""valence-target অমিল"",""""),IF(COUNTIF($B:$B,B556)&gt;1,""ডুপ্লিকেট"",""""))"),"figurative ছোট")</f>
        <v>figurative ছোট</v>
      </c>
      <c r="Q556" s="5" t="str">
        <f t="shared" si="1"/>
        <v>১ আগে দেখো</v>
      </c>
    </row>
    <row r="557">
      <c r="A557" s="4">
        <v>5726.0</v>
      </c>
      <c r="B557" s="2" t="s">
        <v>2522</v>
      </c>
      <c r="C557" s="2" t="s">
        <v>2522</v>
      </c>
      <c r="D557" s="2" t="s">
        <v>2523</v>
      </c>
      <c r="E557" s="2" t="s">
        <v>2524</v>
      </c>
      <c r="F557" s="2" t="b">
        <v>1</v>
      </c>
      <c r="G557" s="2" t="b">
        <v>0</v>
      </c>
      <c r="H557" s="2" t="s">
        <v>37</v>
      </c>
      <c r="I557" s="2" t="s">
        <v>49</v>
      </c>
      <c r="J557" s="2" t="s">
        <v>2249</v>
      </c>
      <c r="K557" s="2" t="s">
        <v>495</v>
      </c>
      <c r="L557" s="13" t="s">
        <v>496</v>
      </c>
      <c r="M557" s="2" t="s">
        <v>26</v>
      </c>
      <c r="N557" s="11" t="s">
        <v>576</v>
      </c>
      <c r="O557" s="12" t="s">
        <v>53</v>
      </c>
      <c r="P557" s="5" t="str">
        <f>IFERROR(__xludf.DUMMYFUNCTION("TEXTJOIN("" | "",TRUE,IF(OR(D557="""",E557="""",I557="""",J557="""",H557=""""),""ফাঁকা ঘর"",""""),IF(AND(C557&lt;&gt;"""",D557&lt;&gt;"""",C557=D557),""gloss=figurative"",""""),IF(LEN(D557)&lt;15,""figurative ছোট"",""""),IF(AND(I557=""Positive"",REGEXMATCH(H557,""মূর্খ|"&amp;"ভণ্ড|প্রতার|অলস|লোভ|স্বার্থ|অক্ষম|অযোগ্য|বোকা|কৃপণ|হিংস"")),""valence-target অমিল"",""""),IF(COUNTIF($B:$B,B557)&gt;1,""ডুপ্লিকেট"",""""))"),"figurative ছোট")</f>
        <v>figurative ছোট</v>
      </c>
      <c r="Q557" s="5" t="str">
        <f t="shared" si="1"/>
        <v>১ আগে দেখো</v>
      </c>
    </row>
    <row r="558">
      <c r="A558" s="4">
        <v>5733.0</v>
      </c>
      <c r="B558" s="2" t="s">
        <v>2525</v>
      </c>
      <c r="C558" s="2" t="s">
        <v>2525</v>
      </c>
      <c r="D558" s="2" t="s">
        <v>2526</v>
      </c>
      <c r="E558" s="2" t="s">
        <v>2527</v>
      </c>
      <c r="F558" s="2" t="b">
        <v>1</v>
      </c>
      <c r="G558" s="2" t="b">
        <v>0</v>
      </c>
      <c r="H558" s="2" t="s">
        <v>37</v>
      </c>
      <c r="I558" s="2" t="s">
        <v>49</v>
      </c>
      <c r="J558" s="2" t="s">
        <v>300</v>
      </c>
      <c r="K558" s="2" t="s">
        <v>495</v>
      </c>
      <c r="L558" s="13" t="s">
        <v>496</v>
      </c>
      <c r="M558" s="2" t="s">
        <v>26</v>
      </c>
      <c r="N558" s="11" t="s">
        <v>576</v>
      </c>
      <c r="O558" s="12" t="s">
        <v>53</v>
      </c>
      <c r="P558" s="5" t="str">
        <f>IFERROR(__xludf.DUMMYFUNCTION("TEXTJOIN("" | "",TRUE,IF(OR(D558="""",E558="""",I558="""",J558="""",H558=""""),""ফাঁকা ঘর"",""""),IF(AND(C558&lt;&gt;"""",D558&lt;&gt;"""",C558=D558),""gloss=figurative"",""""),IF(LEN(D558)&lt;15,""figurative ছোট"",""""),IF(AND(I558=""Positive"",REGEXMATCH(H558,""মূর্খ|"&amp;"ভণ্ড|প্রতার|অলস|লোভ|স্বার্থ|অক্ষম|অযোগ্য|বোকা|কৃপণ|হিংস"")),""valence-target অমিল"",""""),IF(COUNTIF($B:$B,B558)&gt;1,""ডুপ্লিকেট"",""""))"),"figurative ছোট")</f>
        <v>figurative ছোট</v>
      </c>
      <c r="Q558" s="5" t="str">
        <f t="shared" si="1"/>
        <v>১ আগে দেখো</v>
      </c>
    </row>
    <row r="559">
      <c r="A559" s="4">
        <v>5734.0</v>
      </c>
      <c r="B559" s="2" t="s">
        <v>2528</v>
      </c>
      <c r="C559" s="2" t="s">
        <v>2529</v>
      </c>
      <c r="D559" s="2" t="s">
        <v>2530</v>
      </c>
      <c r="E559" s="2" t="s">
        <v>2531</v>
      </c>
      <c r="F559" s="2" t="b">
        <v>1</v>
      </c>
      <c r="G559" s="2" t="b">
        <v>0</v>
      </c>
      <c r="H559" s="2" t="s">
        <v>37</v>
      </c>
      <c r="I559" s="2" t="s">
        <v>49</v>
      </c>
      <c r="J559" s="2" t="s">
        <v>300</v>
      </c>
      <c r="K559" s="2" t="s">
        <v>495</v>
      </c>
      <c r="L559" s="13" t="s">
        <v>496</v>
      </c>
      <c r="M559" s="2" t="s">
        <v>26</v>
      </c>
      <c r="N559" s="11" t="s">
        <v>576</v>
      </c>
      <c r="O559" s="12" t="s">
        <v>53</v>
      </c>
      <c r="P559" s="5" t="str">
        <f>IFERROR(__xludf.DUMMYFUNCTION("TEXTJOIN("" | "",TRUE,IF(OR(D559="""",E559="""",I559="""",J559="""",H559=""""),""ফাঁকা ঘর"",""""),IF(AND(C559&lt;&gt;"""",D559&lt;&gt;"""",C559=D559),""gloss=figurative"",""""),IF(LEN(D559)&lt;15,""figurative ছোট"",""""),IF(AND(I559=""Positive"",REGEXMATCH(H559,""মূর্খ|"&amp;"ভণ্ড|প্রতার|অলস|লোভ|স্বার্থ|অক্ষম|অযোগ্য|বোকা|কৃপণ|হিংস"")),""valence-target অমিল"",""""),IF(COUNTIF($B:$B,B559)&gt;1,""ডুপ্লিকেট"",""""))"),"figurative ছোট")</f>
        <v>figurative ছোট</v>
      </c>
      <c r="Q559" s="5" t="str">
        <f t="shared" si="1"/>
        <v>১ আগে দেখো</v>
      </c>
    </row>
    <row r="560">
      <c r="A560" s="4">
        <v>5735.0</v>
      </c>
      <c r="B560" s="2" t="s">
        <v>2532</v>
      </c>
      <c r="C560" s="2" t="s">
        <v>2533</v>
      </c>
      <c r="D560" s="2" t="s">
        <v>2534</v>
      </c>
      <c r="E560" s="2" t="s">
        <v>2535</v>
      </c>
      <c r="F560" s="2" t="b">
        <v>1</v>
      </c>
      <c r="G560" s="2" t="b">
        <v>0</v>
      </c>
      <c r="H560" s="2" t="s">
        <v>37</v>
      </c>
      <c r="I560" s="2" t="s">
        <v>49</v>
      </c>
      <c r="J560" s="2" t="s">
        <v>300</v>
      </c>
      <c r="K560" s="2" t="s">
        <v>495</v>
      </c>
      <c r="L560" s="13" t="s">
        <v>496</v>
      </c>
      <c r="M560" s="2" t="s">
        <v>26</v>
      </c>
      <c r="N560" s="11" t="s">
        <v>576</v>
      </c>
      <c r="O560" s="12" t="s">
        <v>53</v>
      </c>
      <c r="P560" s="5" t="str">
        <f>IFERROR(__xludf.DUMMYFUNCTION("TEXTJOIN("" | "",TRUE,IF(OR(D560="""",E560="""",I560="""",J560="""",H560=""""),""ফাঁকা ঘর"",""""),IF(AND(C560&lt;&gt;"""",D560&lt;&gt;"""",C560=D560),""gloss=figurative"",""""),IF(LEN(D560)&lt;15,""figurative ছোট"",""""),IF(AND(I560=""Positive"",REGEXMATCH(H560,""মূর্খ|"&amp;"ভণ্ড|প্রতার|অলস|লোভ|স্বার্থ|অক্ষম|অযোগ্য|বোকা|কৃপণ|হিংস"")),""valence-target অমিল"",""""),IF(COUNTIF($B:$B,B560)&gt;1,""ডুপ্লিকেট"",""""))"),"figurative ছোট")</f>
        <v>figurative ছোট</v>
      </c>
      <c r="Q560" s="5" t="str">
        <f t="shared" si="1"/>
        <v>১ আগে দেখো</v>
      </c>
    </row>
    <row r="561">
      <c r="A561" s="4">
        <v>5741.0</v>
      </c>
      <c r="B561" s="2" t="s">
        <v>2536</v>
      </c>
      <c r="C561" s="2" t="s">
        <v>2537</v>
      </c>
      <c r="D561" s="2" t="s">
        <v>2538</v>
      </c>
      <c r="E561" s="2" t="s">
        <v>2539</v>
      </c>
      <c r="F561" s="2" t="b">
        <v>1</v>
      </c>
      <c r="G561" s="2" t="b">
        <v>0</v>
      </c>
      <c r="H561" s="2" t="s">
        <v>37</v>
      </c>
      <c r="I561" s="2" t="s">
        <v>22</v>
      </c>
      <c r="J561" s="2" t="s">
        <v>2540</v>
      </c>
      <c r="K561" s="2" t="s">
        <v>495</v>
      </c>
      <c r="L561" s="13" t="s">
        <v>496</v>
      </c>
      <c r="M561" s="2" t="s">
        <v>26</v>
      </c>
      <c r="N561" s="11" t="s">
        <v>576</v>
      </c>
      <c r="O561" s="12" t="s">
        <v>53</v>
      </c>
      <c r="P561" s="5" t="str">
        <f>IFERROR(__xludf.DUMMYFUNCTION("TEXTJOIN("" | "",TRUE,IF(OR(D561="""",E561="""",I561="""",J561="""",H561=""""),""ফাঁকা ঘর"",""""),IF(AND(C561&lt;&gt;"""",D561&lt;&gt;"""",C561=D561),""gloss=figurative"",""""),IF(LEN(D561)&lt;15,""figurative ছোট"",""""),IF(AND(I561=""Positive"",REGEXMATCH(H561,""মূর্খ|"&amp;"ভণ্ড|প্রতার|অলস|লোভ|স্বার্থ|অক্ষম|অযোগ্য|বোকা|কৃপণ|হিংস"")),""valence-target অমিল"",""""),IF(COUNTIF($B:$B,B561)&gt;1,""ডুপ্লিকেট"",""""))"),"figurative ছোট")</f>
        <v>figurative ছোট</v>
      </c>
      <c r="Q561" s="5" t="str">
        <f t="shared" si="1"/>
        <v>১ আগে দেখো</v>
      </c>
    </row>
    <row r="562">
      <c r="A562" s="4">
        <v>5746.0</v>
      </c>
      <c r="B562" s="2" t="s">
        <v>2541</v>
      </c>
      <c r="C562" s="2" t="s">
        <v>2533</v>
      </c>
      <c r="D562" s="2" t="s">
        <v>2534</v>
      </c>
      <c r="E562" s="2" t="s">
        <v>2535</v>
      </c>
      <c r="F562" s="2" t="b">
        <v>1</v>
      </c>
      <c r="G562" s="2" t="b">
        <v>0</v>
      </c>
      <c r="H562" s="2" t="s">
        <v>37</v>
      </c>
      <c r="I562" s="2" t="s">
        <v>49</v>
      </c>
      <c r="J562" s="2" t="s">
        <v>300</v>
      </c>
      <c r="K562" s="2" t="s">
        <v>495</v>
      </c>
      <c r="L562" s="13" t="s">
        <v>496</v>
      </c>
      <c r="M562" s="2" t="s">
        <v>26</v>
      </c>
      <c r="N562" s="11" t="s">
        <v>576</v>
      </c>
      <c r="O562" s="12" t="s">
        <v>53</v>
      </c>
      <c r="P562" s="5" t="str">
        <f>IFERROR(__xludf.DUMMYFUNCTION("TEXTJOIN("" | "",TRUE,IF(OR(D562="""",E562="""",I562="""",J562="""",H562=""""),""ফাঁকা ঘর"",""""),IF(AND(C562&lt;&gt;"""",D562&lt;&gt;"""",C562=D562),""gloss=figurative"",""""),IF(LEN(D562)&lt;15,""figurative ছোট"",""""),IF(AND(I562=""Positive"",REGEXMATCH(H562,""মূর্খ|"&amp;"ভণ্ড|প্রতার|অলস|লোভ|স্বার্থ|অক্ষম|অযোগ্য|বোকা|কৃপণ|হিংস"")),""valence-target অমিল"",""""),IF(COUNTIF($B:$B,B562)&gt;1,""ডুপ্লিকেট"",""""))"),"figurative ছোট")</f>
        <v>figurative ছোট</v>
      </c>
      <c r="Q562" s="5" t="str">
        <f t="shared" si="1"/>
        <v>১ আগে দেখো</v>
      </c>
    </row>
    <row r="563">
      <c r="A563" s="4">
        <v>5748.0</v>
      </c>
      <c r="B563" s="2" t="s">
        <v>2542</v>
      </c>
      <c r="C563" s="2" t="s">
        <v>2543</v>
      </c>
      <c r="D563" s="2" t="s">
        <v>2544</v>
      </c>
      <c r="E563" s="2" t="s">
        <v>2545</v>
      </c>
      <c r="F563" s="2" t="b">
        <v>1</v>
      </c>
      <c r="G563" s="2" t="b">
        <v>0</v>
      </c>
      <c r="H563" s="2" t="s">
        <v>37</v>
      </c>
      <c r="I563" s="2" t="s">
        <v>22</v>
      </c>
      <c r="J563" s="2" t="s">
        <v>739</v>
      </c>
      <c r="K563" s="2" t="s">
        <v>495</v>
      </c>
      <c r="L563" s="13" t="s">
        <v>496</v>
      </c>
      <c r="M563" s="2" t="s">
        <v>26</v>
      </c>
      <c r="N563" s="11" t="s">
        <v>576</v>
      </c>
      <c r="O563" s="12" t="s">
        <v>53</v>
      </c>
      <c r="P563" s="5" t="str">
        <f>IFERROR(__xludf.DUMMYFUNCTION("TEXTJOIN("" | "",TRUE,IF(OR(D563="""",E563="""",I563="""",J563="""",H563=""""),""ফাঁকা ঘর"",""""),IF(AND(C563&lt;&gt;"""",D563&lt;&gt;"""",C563=D563),""gloss=figurative"",""""),IF(LEN(D563)&lt;15,""figurative ছোট"",""""),IF(AND(I563=""Positive"",REGEXMATCH(H563,""মূর্খ|"&amp;"ভণ্ড|প্রতার|অলস|লোভ|স্বার্থ|অক্ষম|অযোগ্য|বোকা|কৃপণ|হিংস"")),""valence-target অমিল"",""""),IF(COUNTIF($B:$B,B563)&gt;1,""ডুপ্লিকেট"",""""))"),"figurative ছোট")</f>
        <v>figurative ছোট</v>
      </c>
      <c r="Q563" s="5" t="str">
        <f t="shared" si="1"/>
        <v>১ আগে দেখো</v>
      </c>
    </row>
    <row r="564">
      <c r="A564" s="4">
        <v>5749.0</v>
      </c>
      <c r="B564" s="2" t="s">
        <v>2546</v>
      </c>
      <c r="C564" s="2" t="s">
        <v>2547</v>
      </c>
      <c r="D564" s="2" t="s">
        <v>2548</v>
      </c>
      <c r="E564" s="2" t="s">
        <v>2549</v>
      </c>
      <c r="F564" s="2" t="b">
        <v>1</v>
      </c>
      <c r="G564" s="2" t="b">
        <v>0</v>
      </c>
      <c r="H564" s="2" t="s">
        <v>37</v>
      </c>
      <c r="I564" s="2" t="s">
        <v>32</v>
      </c>
      <c r="J564" s="2" t="s">
        <v>2550</v>
      </c>
      <c r="K564" s="2" t="s">
        <v>495</v>
      </c>
      <c r="L564" s="13" t="s">
        <v>496</v>
      </c>
      <c r="M564" s="2" t="s">
        <v>26</v>
      </c>
      <c r="N564" s="11" t="s">
        <v>576</v>
      </c>
      <c r="O564" s="12" t="s">
        <v>53</v>
      </c>
      <c r="P564" s="5" t="str">
        <f>IFERROR(__xludf.DUMMYFUNCTION("TEXTJOIN("" | "",TRUE,IF(OR(D564="""",E564="""",I564="""",J564="""",H564=""""),""ফাঁকা ঘর"",""""),IF(AND(C564&lt;&gt;"""",D564&lt;&gt;"""",C564=D564),""gloss=figurative"",""""),IF(LEN(D564)&lt;15,""figurative ছোট"",""""),IF(AND(I564=""Positive"",REGEXMATCH(H564,""মূর্খ|"&amp;"ভণ্ড|প্রতার|অলস|লোভ|স্বার্থ|অক্ষম|অযোগ্য|বোকা|কৃপণ|হিংস"")),""valence-target অমিল"",""""),IF(COUNTIF($B:$B,B564)&gt;1,""ডুপ্লিকেট"",""""))"),"figurative ছোট")</f>
        <v>figurative ছোট</v>
      </c>
      <c r="Q564" s="5" t="str">
        <f t="shared" si="1"/>
        <v>১ আগে দেখো</v>
      </c>
    </row>
    <row r="565">
      <c r="A565" s="4">
        <v>5756.0</v>
      </c>
      <c r="B565" s="2" t="s">
        <v>2551</v>
      </c>
      <c r="C565" s="2" t="s">
        <v>2552</v>
      </c>
      <c r="D565" s="2" t="s">
        <v>2553</v>
      </c>
      <c r="E565" s="2" t="s">
        <v>2554</v>
      </c>
      <c r="F565" s="2" t="b">
        <v>1</v>
      </c>
      <c r="G565" s="2" t="b">
        <v>0</v>
      </c>
      <c r="H565" s="2" t="s">
        <v>37</v>
      </c>
      <c r="I565" s="2" t="s">
        <v>22</v>
      </c>
      <c r="J565" s="2" t="s">
        <v>1438</v>
      </c>
      <c r="K565" s="2" t="s">
        <v>495</v>
      </c>
      <c r="L565" s="13" t="s">
        <v>496</v>
      </c>
      <c r="M565" s="2" t="s">
        <v>26</v>
      </c>
      <c r="N565" s="11" t="s">
        <v>576</v>
      </c>
      <c r="O565" s="12" t="s">
        <v>53</v>
      </c>
      <c r="P565" s="5" t="str">
        <f>IFERROR(__xludf.DUMMYFUNCTION("TEXTJOIN("" | "",TRUE,IF(OR(D565="""",E565="""",I565="""",J565="""",H565=""""),""ফাঁকা ঘর"",""""),IF(AND(C565&lt;&gt;"""",D565&lt;&gt;"""",C565=D565),""gloss=figurative"",""""),IF(LEN(D565)&lt;15,""figurative ছোট"",""""),IF(AND(I565=""Positive"",REGEXMATCH(H565,""মূর্খ|"&amp;"ভণ্ড|প্রতার|অলস|লোভ|স্বার্থ|অক্ষম|অযোগ্য|বোকা|কৃপণ|হিংস"")),""valence-target অমিল"",""""),IF(COUNTIF($B:$B,B565)&gt;1,""ডুপ্লিকেট"",""""))"),"figurative ছোট")</f>
        <v>figurative ছোট</v>
      </c>
      <c r="Q565" s="5" t="str">
        <f t="shared" si="1"/>
        <v>১ আগে দেখো</v>
      </c>
    </row>
    <row r="566">
      <c r="A566" s="4">
        <v>5760.0</v>
      </c>
      <c r="B566" s="2" t="s">
        <v>2555</v>
      </c>
      <c r="C566" s="2" t="s">
        <v>2556</v>
      </c>
      <c r="D566" s="2" t="s">
        <v>2557</v>
      </c>
      <c r="E566" s="2" t="s">
        <v>2558</v>
      </c>
      <c r="F566" s="2" t="b">
        <v>1</v>
      </c>
      <c r="G566" s="2" t="b">
        <v>0</v>
      </c>
      <c r="H566" s="2" t="s">
        <v>37</v>
      </c>
      <c r="I566" s="2" t="s">
        <v>22</v>
      </c>
      <c r="J566" s="2" t="s">
        <v>1060</v>
      </c>
      <c r="K566" s="2" t="s">
        <v>495</v>
      </c>
      <c r="L566" s="13" t="s">
        <v>496</v>
      </c>
      <c r="M566" s="2" t="s">
        <v>26</v>
      </c>
      <c r="N566" s="11" t="s">
        <v>576</v>
      </c>
      <c r="O566" s="12" t="s">
        <v>53</v>
      </c>
      <c r="P566" s="5" t="str">
        <f>IFERROR(__xludf.DUMMYFUNCTION("TEXTJOIN("" | "",TRUE,IF(OR(D566="""",E566="""",I566="""",J566="""",H566=""""),""ফাঁকা ঘর"",""""),IF(AND(C566&lt;&gt;"""",D566&lt;&gt;"""",C566=D566),""gloss=figurative"",""""),IF(LEN(D566)&lt;15,""figurative ছোট"",""""),IF(AND(I566=""Positive"",REGEXMATCH(H566,""মূর্খ|"&amp;"ভণ্ড|প্রতার|অলস|লোভ|স্বার্থ|অক্ষম|অযোগ্য|বোকা|কৃপণ|হিংস"")),""valence-target অমিল"",""""),IF(COUNTIF($B:$B,B566)&gt;1,""ডুপ্লিকেট"",""""))"),"figurative ছোট")</f>
        <v>figurative ছোট</v>
      </c>
      <c r="Q566" s="5" t="str">
        <f t="shared" si="1"/>
        <v>১ আগে দেখো</v>
      </c>
    </row>
    <row r="567">
      <c r="A567" s="4">
        <v>5763.0</v>
      </c>
      <c r="B567" s="2" t="s">
        <v>2559</v>
      </c>
      <c r="C567" s="2" t="s">
        <v>2560</v>
      </c>
      <c r="D567" s="2" t="s">
        <v>590</v>
      </c>
      <c r="E567" s="2" t="s">
        <v>2561</v>
      </c>
      <c r="F567" s="2" t="b">
        <v>1</v>
      </c>
      <c r="G567" s="2" t="b">
        <v>0</v>
      </c>
      <c r="H567" s="2" t="s">
        <v>37</v>
      </c>
      <c r="I567" s="2" t="s">
        <v>22</v>
      </c>
      <c r="J567" s="2" t="s">
        <v>590</v>
      </c>
      <c r="K567" s="2" t="s">
        <v>495</v>
      </c>
      <c r="L567" s="13" t="s">
        <v>496</v>
      </c>
      <c r="M567" s="2" t="s">
        <v>26</v>
      </c>
      <c r="N567" s="11" t="s">
        <v>576</v>
      </c>
      <c r="O567" s="12" t="s">
        <v>53</v>
      </c>
      <c r="P567" s="5" t="str">
        <f>IFERROR(__xludf.DUMMYFUNCTION("TEXTJOIN("" | "",TRUE,IF(OR(D567="""",E567="""",I567="""",J567="""",H567=""""),""ফাঁকা ঘর"",""""),IF(AND(C567&lt;&gt;"""",D567&lt;&gt;"""",C567=D567),""gloss=figurative"",""""),IF(LEN(D567)&lt;15,""figurative ছোট"",""""),IF(AND(I567=""Positive"",REGEXMATCH(H567,""মূর্খ|"&amp;"ভণ্ড|প্রতার|অলস|লোভ|স্বার্থ|অক্ষম|অযোগ্য|বোকা|কৃপণ|হিংস"")),""valence-target অমিল"",""""),IF(COUNTIF($B:$B,B567)&gt;1,""ডুপ্লিকেট"",""""))"),"figurative ছোট")</f>
        <v>figurative ছোট</v>
      </c>
      <c r="Q567" s="5" t="str">
        <f t="shared" si="1"/>
        <v>১ আগে দেখো</v>
      </c>
    </row>
    <row r="568">
      <c r="A568" s="4">
        <v>5765.0</v>
      </c>
      <c r="B568" s="2" t="s">
        <v>2562</v>
      </c>
      <c r="C568" s="2" t="s">
        <v>2563</v>
      </c>
      <c r="D568" s="2" t="s">
        <v>2564</v>
      </c>
      <c r="E568" s="2" t="s">
        <v>2565</v>
      </c>
      <c r="F568" s="2" t="b">
        <v>1</v>
      </c>
      <c r="G568" s="2" t="b">
        <v>0</v>
      </c>
      <c r="H568" s="2" t="s">
        <v>37</v>
      </c>
      <c r="I568" s="2" t="s">
        <v>22</v>
      </c>
      <c r="J568" s="2" t="s">
        <v>1700</v>
      </c>
      <c r="K568" s="2" t="s">
        <v>495</v>
      </c>
      <c r="L568" s="13" t="s">
        <v>496</v>
      </c>
      <c r="M568" s="2" t="s">
        <v>26</v>
      </c>
      <c r="N568" s="11" t="s">
        <v>576</v>
      </c>
      <c r="O568" s="12" t="s">
        <v>53</v>
      </c>
      <c r="P568" s="5" t="str">
        <f>IFERROR(__xludf.DUMMYFUNCTION("TEXTJOIN("" | "",TRUE,IF(OR(D568="""",E568="""",I568="""",J568="""",H568=""""),""ফাঁকা ঘর"",""""),IF(AND(C568&lt;&gt;"""",D568&lt;&gt;"""",C568=D568),""gloss=figurative"",""""),IF(LEN(D568)&lt;15,""figurative ছোট"",""""),IF(AND(I568=""Positive"",REGEXMATCH(H568,""মূর্খ|"&amp;"ভণ্ড|প্রতার|অলস|লোভ|স্বার্থ|অক্ষম|অযোগ্য|বোকা|কৃপণ|হিংস"")),""valence-target অমিল"",""""),IF(COUNTIF($B:$B,B568)&gt;1,""ডুপ্লিকেট"",""""))"),"figurative ছোট")</f>
        <v>figurative ছোট</v>
      </c>
      <c r="Q568" s="5" t="str">
        <f t="shared" si="1"/>
        <v>১ আগে দেখো</v>
      </c>
    </row>
    <row r="569">
      <c r="A569" s="4">
        <v>5774.0</v>
      </c>
      <c r="B569" s="2" t="s">
        <v>2566</v>
      </c>
      <c r="C569" s="2" t="s">
        <v>2567</v>
      </c>
      <c r="D569" s="2" t="s">
        <v>2568</v>
      </c>
      <c r="E569" s="2" t="s">
        <v>2569</v>
      </c>
      <c r="F569" s="2" t="b">
        <v>1</v>
      </c>
      <c r="G569" s="2" t="b">
        <v>0</v>
      </c>
      <c r="H569" s="2" t="s">
        <v>37</v>
      </c>
      <c r="I569" s="2" t="s">
        <v>49</v>
      </c>
      <c r="J569" s="2" t="s">
        <v>208</v>
      </c>
      <c r="K569" s="2" t="s">
        <v>495</v>
      </c>
      <c r="L569" s="13" t="s">
        <v>496</v>
      </c>
      <c r="M569" s="2" t="s">
        <v>26</v>
      </c>
      <c r="N569" s="11" t="s">
        <v>2570</v>
      </c>
      <c r="O569" s="12" t="s">
        <v>53</v>
      </c>
      <c r="P569" s="5" t="str">
        <f>IFERROR(__xludf.DUMMYFUNCTION("TEXTJOIN("" | "",TRUE,IF(OR(D569="""",E569="""",I569="""",J569="""",H569=""""),""ফাঁকা ঘর"",""""),IF(AND(C569&lt;&gt;"""",D569&lt;&gt;"""",C569=D569),""gloss=figurative"",""""),IF(LEN(D569)&lt;15,""figurative ছোট"",""""),IF(AND(I569=""Positive"",REGEXMATCH(H569,""মূর্খ|"&amp;"ভণ্ড|প্রতার|অলস|লোভ|স্বার্থ|অক্ষম|অযোগ্য|বোকা|কৃপণ|হিংস"")),""valence-target অমিল"",""""),IF(COUNTIF($B:$B,B569)&gt;1,""ডুপ্লিকেট"",""""))"),"figurative ছোট")</f>
        <v>figurative ছোট</v>
      </c>
      <c r="Q569" s="5" t="str">
        <f t="shared" si="1"/>
        <v>১ আগে দেখো</v>
      </c>
    </row>
    <row r="570">
      <c r="A570" s="4">
        <v>5775.0</v>
      </c>
      <c r="B570" s="2" t="s">
        <v>2571</v>
      </c>
      <c r="C570" s="2" t="s">
        <v>2572</v>
      </c>
      <c r="D570" s="2" t="s">
        <v>2573</v>
      </c>
      <c r="E570" s="2" t="s">
        <v>2574</v>
      </c>
      <c r="F570" s="2" t="b">
        <v>1</v>
      </c>
      <c r="G570" s="2" t="b">
        <v>0</v>
      </c>
      <c r="H570" s="2" t="s">
        <v>37</v>
      </c>
      <c r="I570" s="2" t="s">
        <v>49</v>
      </c>
      <c r="J570" s="2" t="s">
        <v>2575</v>
      </c>
      <c r="K570" s="2" t="s">
        <v>495</v>
      </c>
      <c r="L570" s="13" t="s">
        <v>496</v>
      </c>
      <c r="M570" s="2" t="s">
        <v>26</v>
      </c>
      <c r="N570" s="11" t="s">
        <v>576</v>
      </c>
      <c r="O570" s="12" t="s">
        <v>53</v>
      </c>
      <c r="P570" s="5" t="str">
        <f>IFERROR(__xludf.DUMMYFUNCTION("TEXTJOIN("" | "",TRUE,IF(OR(D570="""",E570="""",I570="""",J570="""",H570=""""),""ফাঁকা ঘর"",""""),IF(AND(C570&lt;&gt;"""",D570&lt;&gt;"""",C570=D570),""gloss=figurative"",""""),IF(LEN(D570)&lt;15,""figurative ছোট"",""""),IF(AND(I570=""Positive"",REGEXMATCH(H570,""মূর্খ|"&amp;"ভণ্ড|প্রতার|অলস|লোভ|স্বার্থ|অক্ষম|অযোগ্য|বোকা|কৃপণ|হিংস"")),""valence-target অমিল"",""""),IF(COUNTIF($B:$B,B570)&gt;1,""ডুপ্লিকেট"",""""))"),"figurative ছোট")</f>
        <v>figurative ছোট</v>
      </c>
      <c r="Q570" s="5" t="str">
        <f t="shared" si="1"/>
        <v>১ আগে দেখো</v>
      </c>
    </row>
    <row r="571">
      <c r="A571" s="4">
        <v>5782.0</v>
      </c>
      <c r="B571" s="2" t="s">
        <v>2576</v>
      </c>
      <c r="C571" s="2" t="s">
        <v>2577</v>
      </c>
      <c r="D571" s="2" t="s">
        <v>2557</v>
      </c>
      <c r="E571" s="2" t="s">
        <v>2578</v>
      </c>
      <c r="F571" s="2" t="b">
        <v>1</v>
      </c>
      <c r="G571" s="2" t="b">
        <v>0</v>
      </c>
      <c r="H571" s="2" t="s">
        <v>37</v>
      </c>
      <c r="I571" s="2" t="s">
        <v>32</v>
      </c>
      <c r="J571" s="2" t="s">
        <v>1060</v>
      </c>
      <c r="K571" s="2" t="s">
        <v>495</v>
      </c>
      <c r="L571" s="13" t="s">
        <v>496</v>
      </c>
      <c r="M571" s="2" t="s">
        <v>26</v>
      </c>
      <c r="N571" s="11" t="s">
        <v>2579</v>
      </c>
      <c r="O571" s="12" t="s">
        <v>53</v>
      </c>
      <c r="P571" s="5" t="str">
        <f>IFERROR(__xludf.DUMMYFUNCTION("TEXTJOIN("" | "",TRUE,IF(OR(D571="""",E571="""",I571="""",J571="""",H571=""""),""ফাঁকা ঘর"",""""),IF(AND(C571&lt;&gt;"""",D571&lt;&gt;"""",C571=D571),""gloss=figurative"",""""),IF(LEN(D571)&lt;15,""figurative ছোট"",""""),IF(AND(I571=""Positive"",REGEXMATCH(H571,""মূর্খ|"&amp;"ভণ্ড|প্রতার|অলস|লোভ|স্বার্থ|অক্ষম|অযোগ্য|বোকা|কৃপণ|হিংস"")),""valence-target অমিল"",""""),IF(COUNTIF($B:$B,B571)&gt;1,""ডুপ্লিকেট"",""""))"),"figurative ছোট")</f>
        <v>figurative ছোট</v>
      </c>
      <c r="Q571" s="5" t="str">
        <f t="shared" si="1"/>
        <v>১ আগে দেখো</v>
      </c>
    </row>
    <row r="572">
      <c r="A572" s="4">
        <v>5783.0</v>
      </c>
      <c r="B572" s="2" t="s">
        <v>2580</v>
      </c>
      <c r="C572" s="2" t="s">
        <v>2581</v>
      </c>
      <c r="D572" s="2" t="s">
        <v>2582</v>
      </c>
      <c r="E572" s="2" t="s">
        <v>2583</v>
      </c>
      <c r="F572" s="2" t="b">
        <v>1</v>
      </c>
      <c r="G572" s="2" t="b">
        <v>0</v>
      </c>
      <c r="H572" s="2" t="s">
        <v>37</v>
      </c>
      <c r="I572" s="2" t="s">
        <v>49</v>
      </c>
      <c r="J572" s="2" t="s">
        <v>565</v>
      </c>
      <c r="K572" s="2" t="s">
        <v>495</v>
      </c>
      <c r="L572" s="13" t="s">
        <v>496</v>
      </c>
      <c r="M572" s="2" t="s">
        <v>26</v>
      </c>
      <c r="N572" s="11" t="s">
        <v>576</v>
      </c>
      <c r="O572" s="12" t="s">
        <v>53</v>
      </c>
      <c r="P572" s="5" t="str">
        <f>IFERROR(__xludf.DUMMYFUNCTION("TEXTJOIN("" | "",TRUE,IF(OR(D572="""",E572="""",I572="""",J572="""",H572=""""),""ফাঁকা ঘর"",""""),IF(AND(C572&lt;&gt;"""",D572&lt;&gt;"""",C572=D572),""gloss=figurative"",""""),IF(LEN(D572)&lt;15,""figurative ছোট"",""""),IF(AND(I572=""Positive"",REGEXMATCH(H572,""মূর্খ|"&amp;"ভণ্ড|প্রতার|অলস|লোভ|স্বার্থ|অক্ষম|অযোগ্য|বোকা|কৃপণ|হিংস"")),""valence-target অমিল"",""""),IF(COUNTIF($B:$B,B572)&gt;1,""ডুপ্লিকেট"",""""))"),"figurative ছোট")</f>
        <v>figurative ছোট</v>
      </c>
      <c r="Q572" s="5" t="str">
        <f t="shared" si="1"/>
        <v>১ আগে দেখো</v>
      </c>
    </row>
    <row r="573">
      <c r="A573" s="4">
        <v>5785.0</v>
      </c>
      <c r="B573" s="2" t="s">
        <v>2584</v>
      </c>
      <c r="C573" s="2" t="s">
        <v>2585</v>
      </c>
      <c r="D573" s="2" t="s">
        <v>2586</v>
      </c>
      <c r="E573" s="2" t="s">
        <v>2587</v>
      </c>
      <c r="F573" s="2" t="b">
        <v>1</v>
      </c>
      <c r="G573" s="2" t="b">
        <v>0</v>
      </c>
      <c r="H573" s="2" t="s">
        <v>37</v>
      </c>
      <c r="I573" s="2" t="s">
        <v>49</v>
      </c>
      <c r="J573" s="2" t="s">
        <v>1259</v>
      </c>
      <c r="K573" s="2" t="s">
        <v>495</v>
      </c>
      <c r="L573" s="13" t="s">
        <v>496</v>
      </c>
      <c r="M573" s="2" t="s">
        <v>26</v>
      </c>
      <c r="N573" s="11" t="s">
        <v>576</v>
      </c>
      <c r="O573" s="12" t="s">
        <v>53</v>
      </c>
      <c r="P573" s="5" t="str">
        <f>IFERROR(__xludf.DUMMYFUNCTION("TEXTJOIN("" | "",TRUE,IF(OR(D573="""",E573="""",I573="""",J573="""",H573=""""),""ফাঁকা ঘর"",""""),IF(AND(C573&lt;&gt;"""",D573&lt;&gt;"""",C573=D573),""gloss=figurative"",""""),IF(LEN(D573)&lt;15,""figurative ছোট"",""""),IF(AND(I573=""Positive"",REGEXMATCH(H573,""মূর্খ|"&amp;"ভণ্ড|প্রতার|অলস|লোভ|স্বার্থ|অক্ষম|অযোগ্য|বোকা|কৃপণ|হিংস"")),""valence-target অমিল"",""""),IF(COUNTIF($B:$B,B573)&gt;1,""ডুপ্লিকেট"",""""))"),"figurative ছোট")</f>
        <v>figurative ছোট</v>
      </c>
      <c r="Q573" s="5" t="str">
        <f t="shared" si="1"/>
        <v>১ আগে দেখো</v>
      </c>
    </row>
    <row r="574">
      <c r="A574" s="4">
        <v>5787.0</v>
      </c>
      <c r="B574" s="2" t="s">
        <v>2588</v>
      </c>
      <c r="C574" s="2" t="s">
        <v>2589</v>
      </c>
      <c r="D574" s="2" t="s">
        <v>2557</v>
      </c>
      <c r="E574" s="2" t="s">
        <v>2590</v>
      </c>
      <c r="F574" s="2" t="b">
        <v>1</v>
      </c>
      <c r="G574" s="2" t="b">
        <v>0</v>
      </c>
      <c r="H574" s="2" t="s">
        <v>37</v>
      </c>
      <c r="I574" s="2" t="s">
        <v>32</v>
      </c>
      <c r="J574" s="2" t="s">
        <v>1060</v>
      </c>
      <c r="K574" s="2" t="s">
        <v>495</v>
      </c>
      <c r="L574" s="13" t="s">
        <v>496</v>
      </c>
      <c r="M574" s="2" t="s">
        <v>26</v>
      </c>
      <c r="N574" s="11" t="s">
        <v>576</v>
      </c>
      <c r="O574" s="12" t="s">
        <v>53</v>
      </c>
      <c r="P574" s="5" t="str">
        <f>IFERROR(__xludf.DUMMYFUNCTION("TEXTJOIN("" | "",TRUE,IF(OR(D574="""",E574="""",I574="""",J574="""",H574=""""),""ফাঁকা ঘর"",""""),IF(AND(C574&lt;&gt;"""",D574&lt;&gt;"""",C574=D574),""gloss=figurative"",""""),IF(LEN(D574)&lt;15,""figurative ছোট"",""""),IF(AND(I574=""Positive"",REGEXMATCH(H574,""মূর্খ|"&amp;"ভণ্ড|প্রতার|অলস|লোভ|স্বার্থ|অক্ষম|অযোগ্য|বোকা|কৃপণ|হিংস"")),""valence-target অমিল"",""""),IF(COUNTIF($B:$B,B574)&gt;1,""ডুপ্লিকেট"",""""))"),"figurative ছোট")</f>
        <v>figurative ছোট</v>
      </c>
      <c r="Q574" s="5" t="str">
        <f t="shared" si="1"/>
        <v>১ আগে দেখো</v>
      </c>
    </row>
    <row r="575">
      <c r="A575" s="4">
        <v>5789.0</v>
      </c>
      <c r="B575" s="2" t="s">
        <v>2591</v>
      </c>
      <c r="C575" s="2" t="s">
        <v>2592</v>
      </c>
      <c r="D575" s="2" t="s">
        <v>2593</v>
      </c>
      <c r="E575" s="2" t="s">
        <v>2594</v>
      </c>
      <c r="F575" s="2" t="b">
        <v>1</v>
      </c>
      <c r="G575" s="2" t="b">
        <v>0</v>
      </c>
      <c r="H575" s="2" t="s">
        <v>37</v>
      </c>
      <c r="I575" s="2" t="s">
        <v>22</v>
      </c>
      <c r="J575" s="2" t="s">
        <v>842</v>
      </c>
      <c r="K575" s="2" t="s">
        <v>495</v>
      </c>
      <c r="L575" s="13" t="s">
        <v>496</v>
      </c>
      <c r="M575" s="2" t="s">
        <v>26</v>
      </c>
      <c r="N575" s="11" t="s">
        <v>576</v>
      </c>
      <c r="O575" s="12" t="s">
        <v>53</v>
      </c>
      <c r="P575" s="5" t="str">
        <f>IFERROR(__xludf.DUMMYFUNCTION("TEXTJOIN("" | "",TRUE,IF(OR(D575="""",E575="""",I575="""",J575="""",H575=""""),""ফাঁকা ঘর"",""""),IF(AND(C575&lt;&gt;"""",D575&lt;&gt;"""",C575=D575),""gloss=figurative"",""""),IF(LEN(D575)&lt;15,""figurative ছোট"",""""),IF(AND(I575=""Positive"",REGEXMATCH(H575,""মূর্খ|"&amp;"ভণ্ড|প্রতার|অলস|লোভ|স্বার্থ|অক্ষম|অযোগ্য|বোকা|কৃপণ|হিংস"")),""valence-target অমিল"",""""),IF(COUNTIF($B:$B,B575)&gt;1,""ডুপ্লিকেট"",""""))"),"figurative ছোট")</f>
        <v>figurative ছোট</v>
      </c>
      <c r="Q575" s="5" t="str">
        <f t="shared" si="1"/>
        <v>১ আগে দেখো</v>
      </c>
    </row>
    <row r="576">
      <c r="A576" s="4">
        <v>5794.0</v>
      </c>
      <c r="B576" s="2" t="s">
        <v>2595</v>
      </c>
      <c r="C576" s="2" t="s">
        <v>2596</v>
      </c>
      <c r="D576" s="2" t="s">
        <v>590</v>
      </c>
      <c r="E576" s="2" t="s">
        <v>2597</v>
      </c>
      <c r="F576" s="2" t="b">
        <v>1</v>
      </c>
      <c r="G576" s="2" t="b">
        <v>1</v>
      </c>
      <c r="H576" s="2" t="s">
        <v>2598</v>
      </c>
      <c r="I576" s="2" t="s">
        <v>22</v>
      </c>
      <c r="J576" s="2" t="s">
        <v>1315</v>
      </c>
      <c r="K576" s="2" t="s">
        <v>495</v>
      </c>
      <c r="L576" s="13" t="s">
        <v>496</v>
      </c>
      <c r="M576" s="2" t="s">
        <v>26</v>
      </c>
      <c r="N576" s="11" t="s">
        <v>576</v>
      </c>
      <c r="O576" s="12" t="s">
        <v>53</v>
      </c>
      <c r="P576" s="5" t="str">
        <f>IFERROR(__xludf.DUMMYFUNCTION("TEXTJOIN("" | "",TRUE,IF(OR(D576="""",E576="""",I576="""",J576="""",H576=""""),""ফাঁকা ঘর"",""""),IF(AND(C576&lt;&gt;"""",D576&lt;&gt;"""",C576=D576),""gloss=figurative"",""""),IF(LEN(D576)&lt;15,""figurative ছোট"",""""),IF(AND(I576=""Positive"",REGEXMATCH(H576,""মূর্খ|"&amp;"ভণ্ড|প্রতার|অলস|লোভ|স্বার্থ|অক্ষম|অযোগ্য|বোকা|কৃপণ|হিংস"")),""valence-target অমিল"",""""),IF(COUNTIF($B:$B,B576)&gt;1,""ডুপ্লিকেট"",""""))"),"figurative ছোট")</f>
        <v>figurative ছোট</v>
      </c>
      <c r="Q576" s="5" t="str">
        <f t="shared" si="1"/>
        <v>১ আগে দেখো</v>
      </c>
    </row>
    <row r="577">
      <c r="A577" s="4">
        <v>5796.0</v>
      </c>
      <c r="B577" s="2" t="s">
        <v>2599</v>
      </c>
      <c r="C577" s="2" t="s">
        <v>2599</v>
      </c>
      <c r="D577" s="2" t="s">
        <v>2600</v>
      </c>
      <c r="E577" s="2" t="s">
        <v>2601</v>
      </c>
      <c r="F577" s="2" t="b">
        <v>1</v>
      </c>
      <c r="G577" s="2" t="b">
        <v>0</v>
      </c>
      <c r="H577" s="2" t="s">
        <v>37</v>
      </c>
      <c r="I577" s="2" t="s">
        <v>22</v>
      </c>
      <c r="J577" s="2" t="s">
        <v>2602</v>
      </c>
      <c r="K577" s="2" t="s">
        <v>495</v>
      </c>
      <c r="L577" s="13" t="s">
        <v>496</v>
      </c>
      <c r="M577" s="2" t="s">
        <v>26</v>
      </c>
      <c r="N577" s="11" t="s">
        <v>576</v>
      </c>
      <c r="O577" s="12" t="s">
        <v>53</v>
      </c>
      <c r="P577" s="5" t="str">
        <f>IFERROR(__xludf.DUMMYFUNCTION("TEXTJOIN("" | "",TRUE,IF(OR(D577="""",E577="""",I577="""",J577="""",H577=""""),""ফাঁকা ঘর"",""""),IF(AND(C577&lt;&gt;"""",D577&lt;&gt;"""",C577=D577),""gloss=figurative"",""""),IF(LEN(D577)&lt;15,""figurative ছোট"",""""),IF(AND(I577=""Positive"",REGEXMATCH(H577,""মূর্খ|"&amp;"ভণ্ড|প্রতার|অলস|লোভ|স্বার্থ|অক্ষম|অযোগ্য|বোকা|কৃপণ|হিংস"")),""valence-target অমিল"",""""),IF(COUNTIF($B:$B,B577)&gt;1,""ডুপ্লিকেট"",""""))"),"figurative ছোট")</f>
        <v>figurative ছোট</v>
      </c>
      <c r="Q577" s="5" t="str">
        <f t="shared" si="1"/>
        <v>১ আগে দেখো</v>
      </c>
    </row>
    <row r="578">
      <c r="A578" s="4">
        <v>5798.0</v>
      </c>
      <c r="B578" s="2" t="s">
        <v>2603</v>
      </c>
      <c r="C578" s="2" t="s">
        <v>2604</v>
      </c>
      <c r="D578" s="2" t="s">
        <v>2605</v>
      </c>
      <c r="E578" s="2" t="s">
        <v>2606</v>
      </c>
      <c r="F578" s="2" t="b">
        <v>1</v>
      </c>
      <c r="G578" s="2" t="b">
        <v>0</v>
      </c>
      <c r="H578" s="2" t="s">
        <v>37</v>
      </c>
      <c r="I578" s="2" t="s">
        <v>49</v>
      </c>
      <c r="J578" s="2" t="s">
        <v>729</v>
      </c>
      <c r="K578" s="2" t="s">
        <v>495</v>
      </c>
      <c r="L578" s="13" t="s">
        <v>496</v>
      </c>
      <c r="M578" s="2" t="s">
        <v>26</v>
      </c>
      <c r="N578" s="11" t="s">
        <v>576</v>
      </c>
      <c r="O578" s="12" t="s">
        <v>53</v>
      </c>
      <c r="P578" s="5" t="str">
        <f>IFERROR(__xludf.DUMMYFUNCTION("TEXTJOIN("" | "",TRUE,IF(OR(D578="""",E578="""",I578="""",J578="""",H578=""""),""ফাঁকা ঘর"",""""),IF(AND(C578&lt;&gt;"""",D578&lt;&gt;"""",C578=D578),""gloss=figurative"",""""),IF(LEN(D578)&lt;15,""figurative ছোট"",""""),IF(AND(I578=""Positive"",REGEXMATCH(H578,""মূর্খ|"&amp;"ভণ্ড|প্রতার|অলস|লোভ|স্বার্থ|অক্ষম|অযোগ্য|বোকা|কৃপণ|হিংস"")),""valence-target অমিল"",""""),IF(COUNTIF($B:$B,B578)&gt;1,""ডুপ্লিকেট"",""""))"),"figurative ছোট")</f>
        <v>figurative ছোট</v>
      </c>
      <c r="Q578" s="5" t="str">
        <f t="shared" si="1"/>
        <v>১ আগে দেখো</v>
      </c>
    </row>
    <row r="579">
      <c r="A579" s="4">
        <v>5800.0</v>
      </c>
      <c r="B579" s="2" t="s">
        <v>2607</v>
      </c>
      <c r="C579" s="2" t="s">
        <v>2608</v>
      </c>
      <c r="D579" s="2" t="s">
        <v>2609</v>
      </c>
      <c r="E579" s="2" t="s">
        <v>2610</v>
      </c>
      <c r="F579" s="2" t="b">
        <v>1</v>
      </c>
      <c r="G579" s="2" t="b">
        <v>0</v>
      </c>
      <c r="H579" s="2" t="s">
        <v>37</v>
      </c>
      <c r="I579" s="2" t="s">
        <v>22</v>
      </c>
      <c r="J579" s="2" t="s">
        <v>2611</v>
      </c>
      <c r="K579" s="2" t="s">
        <v>495</v>
      </c>
      <c r="L579" s="13" t="s">
        <v>496</v>
      </c>
      <c r="M579" s="2" t="s">
        <v>26</v>
      </c>
      <c r="N579" s="11" t="s">
        <v>576</v>
      </c>
      <c r="O579" s="12" t="s">
        <v>53</v>
      </c>
      <c r="P579" s="5" t="str">
        <f>IFERROR(__xludf.DUMMYFUNCTION("TEXTJOIN("" | "",TRUE,IF(OR(D579="""",E579="""",I579="""",J579="""",H579=""""),""ফাঁকা ঘর"",""""),IF(AND(C579&lt;&gt;"""",D579&lt;&gt;"""",C579=D579),""gloss=figurative"",""""),IF(LEN(D579)&lt;15,""figurative ছোট"",""""),IF(AND(I579=""Positive"",REGEXMATCH(H579,""মূর্খ|"&amp;"ভণ্ড|প্রতার|অলস|লোভ|স্বার্থ|অক্ষম|অযোগ্য|বোকা|কৃপণ|হিংস"")),""valence-target অমিল"",""""),IF(COUNTIF($B:$B,B579)&gt;1,""ডুপ্লিকেট"",""""))"),"figurative ছোট")</f>
        <v>figurative ছোট</v>
      </c>
      <c r="Q579" s="5" t="str">
        <f t="shared" si="1"/>
        <v>১ আগে দেখো</v>
      </c>
    </row>
    <row r="580">
      <c r="A580" s="4">
        <v>5802.0</v>
      </c>
      <c r="B580" s="2" t="s">
        <v>2612</v>
      </c>
      <c r="C580" s="2" t="s">
        <v>2613</v>
      </c>
      <c r="D580" s="2" t="s">
        <v>2614</v>
      </c>
      <c r="E580" s="2" t="s">
        <v>2615</v>
      </c>
      <c r="F580" s="2" t="b">
        <v>1</v>
      </c>
      <c r="G580" s="2" t="b">
        <v>0</v>
      </c>
      <c r="H580" s="2" t="s">
        <v>37</v>
      </c>
      <c r="I580" s="2" t="s">
        <v>49</v>
      </c>
      <c r="J580" s="2" t="s">
        <v>208</v>
      </c>
      <c r="K580" s="2" t="s">
        <v>495</v>
      </c>
      <c r="L580" s="13" t="s">
        <v>496</v>
      </c>
      <c r="M580" s="2" t="s">
        <v>26</v>
      </c>
      <c r="N580" s="11" t="s">
        <v>576</v>
      </c>
      <c r="O580" s="12" t="s">
        <v>53</v>
      </c>
      <c r="P580" s="5" t="str">
        <f>IFERROR(__xludf.DUMMYFUNCTION("TEXTJOIN("" | "",TRUE,IF(OR(D580="""",E580="""",I580="""",J580="""",H580=""""),""ফাঁকা ঘর"",""""),IF(AND(C580&lt;&gt;"""",D580&lt;&gt;"""",C580=D580),""gloss=figurative"",""""),IF(LEN(D580)&lt;15,""figurative ছোট"",""""),IF(AND(I580=""Positive"",REGEXMATCH(H580,""মূর্খ|"&amp;"ভণ্ড|প্রতার|অলস|লোভ|স্বার্থ|অক্ষম|অযোগ্য|বোকা|কৃপণ|হিংস"")),""valence-target অমিল"",""""),IF(COUNTIF($B:$B,B580)&gt;1,""ডুপ্লিকেট"",""""))"),"figurative ছোট")</f>
        <v>figurative ছোট</v>
      </c>
      <c r="Q580" s="5" t="str">
        <f t="shared" si="1"/>
        <v>১ আগে দেখো</v>
      </c>
    </row>
    <row r="581">
      <c r="A581" s="4">
        <v>5806.0</v>
      </c>
      <c r="B581" s="2" t="s">
        <v>2616</v>
      </c>
      <c r="C581" s="2" t="s">
        <v>2617</v>
      </c>
      <c r="D581" s="2" t="s">
        <v>2618</v>
      </c>
      <c r="E581" s="2" t="s">
        <v>2619</v>
      </c>
      <c r="F581" s="2" t="b">
        <v>1</v>
      </c>
      <c r="G581" s="2" t="b">
        <v>0</v>
      </c>
      <c r="H581" s="2" t="s">
        <v>37</v>
      </c>
      <c r="I581" s="2" t="s">
        <v>22</v>
      </c>
      <c r="J581" s="2" t="s">
        <v>1027</v>
      </c>
      <c r="K581" s="2" t="s">
        <v>495</v>
      </c>
      <c r="L581" s="13" t="s">
        <v>496</v>
      </c>
      <c r="M581" s="2" t="s">
        <v>26</v>
      </c>
      <c r="N581" s="11" t="s">
        <v>2620</v>
      </c>
      <c r="O581" s="12" t="s">
        <v>53</v>
      </c>
      <c r="P581" s="5" t="str">
        <f>IFERROR(__xludf.DUMMYFUNCTION("TEXTJOIN("" | "",TRUE,IF(OR(D581="""",E581="""",I581="""",J581="""",H581=""""),""ফাঁকা ঘর"",""""),IF(AND(C581&lt;&gt;"""",D581&lt;&gt;"""",C581=D581),""gloss=figurative"",""""),IF(LEN(D581)&lt;15,""figurative ছোট"",""""),IF(AND(I581=""Positive"",REGEXMATCH(H581,""মূর্খ|"&amp;"ভণ্ড|প্রতার|অলস|লোভ|স্বার্থ|অক্ষম|অযোগ্য|বোকা|কৃপণ|হিংস"")),""valence-target অমিল"",""""),IF(COUNTIF($B:$B,B581)&gt;1,""ডুপ্লিকেট"",""""))"),"figurative ছোট")</f>
        <v>figurative ছোট</v>
      </c>
      <c r="Q581" s="5" t="str">
        <f t="shared" si="1"/>
        <v>১ আগে দেখো</v>
      </c>
    </row>
    <row r="582">
      <c r="A582" s="4">
        <v>5807.0</v>
      </c>
      <c r="B582" s="2" t="s">
        <v>2621</v>
      </c>
      <c r="C582" s="2" t="s">
        <v>2621</v>
      </c>
      <c r="D582" s="2" t="s">
        <v>2622</v>
      </c>
      <c r="E582" s="2" t="s">
        <v>2623</v>
      </c>
      <c r="F582" s="2" t="b">
        <v>1</v>
      </c>
      <c r="G582" s="2" t="b">
        <v>0</v>
      </c>
      <c r="H582" s="2" t="s">
        <v>37</v>
      </c>
      <c r="I582" s="2" t="s">
        <v>22</v>
      </c>
      <c r="J582" s="2" t="s">
        <v>2624</v>
      </c>
      <c r="K582" s="2" t="s">
        <v>495</v>
      </c>
      <c r="L582" s="13" t="s">
        <v>496</v>
      </c>
      <c r="M582" s="2" t="s">
        <v>26</v>
      </c>
      <c r="N582" s="11" t="s">
        <v>576</v>
      </c>
      <c r="O582" s="12" t="s">
        <v>53</v>
      </c>
      <c r="P582" s="5" t="str">
        <f>IFERROR(__xludf.DUMMYFUNCTION("TEXTJOIN("" | "",TRUE,IF(OR(D582="""",E582="""",I582="""",J582="""",H582=""""),""ফাঁকা ঘর"",""""),IF(AND(C582&lt;&gt;"""",D582&lt;&gt;"""",C582=D582),""gloss=figurative"",""""),IF(LEN(D582)&lt;15,""figurative ছোট"",""""),IF(AND(I582=""Positive"",REGEXMATCH(H582,""মূর্খ|"&amp;"ভণ্ড|প্রতার|অলস|লোভ|স্বার্থ|অক্ষম|অযোগ্য|বোকা|কৃপণ|হিংস"")),""valence-target অমিল"",""""),IF(COUNTIF($B:$B,B582)&gt;1,""ডুপ্লিকেট"",""""))"),"figurative ছোট")</f>
        <v>figurative ছোট</v>
      </c>
      <c r="Q582" s="5" t="str">
        <f t="shared" si="1"/>
        <v>১ আগে দেখো</v>
      </c>
    </row>
    <row r="583">
      <c r="A583" s="4">
        <v>5813.0</v>
      </c>
      <c r="B583" s="2" t="s">
        <v>2625</v>
      </c>
      <c r="C583" s="2" t="s">
        <v>2626</v>
      </c>
      <c r="D583" s="2" t="s">
        <v>2627</v>
      </c>
      <c r="E583" s="2" t="s">
        <v>2628</v>
      </c>
      <c r="F583" s="2" t="b">
        <v>1</v>
      </c>
      <c r="G583" s="2" t="b">
        <v>0</v>
      </c>
      <c r="H583" s="2" t="s">
        <v>37</v>
      </c>
      <c r="I583" s="2" t="s">
        <v>49</v>
      </c>
      <c r="J583" s="2" t="s">
        <v>2629</v>
      </c>
      <c r="K583" s="2" t="s">
        <v>495</v>
      </c>
      <c r="L583" s="13" t="s">
        <v>496</v>
      </c>
      <c r="M583" s="2" t="s">
        <v>26</v>
      </c>
      <c r="N583" s="11" t="s">
        <v>576</v>
      </c>
      <c r="O583" s="12" t="s">
        <v>53</v>
      </c>
      <c r="P583" s="5" t="str">
        <f>IFERROR(__xludf.DUMMYFUNCTION("TEXTJOIN("" | "",TRUE,IF(OR(D583="""",E583="""",I583="""",J583="""",H583=""""),""ফাঁকা ঘর"",""""),IF(AND(C583&lt;&gt;"""",D583&lt;&gt;"""",C583=D583),""gloss=figurative"",""""),IF(LEN(D583)&lt;15,""figurative ছোট"",""""),IF(AND(I583=""Positive"",REGEXMATCH(H583,""মূর্খ|"&amp;"ভণ্ড|প্রতার|অলস|লোভ|স্বার্থ|অক্ষম|অযোগ্য|বোকা|কৃপণ|হিংস"")),""valence-target অমিল"",""""),IF(COUNTIF($B:$B,B583)&gt;1,""ডুপ্লিকেট"",""""))"),"figurative ছোট")</f>
        <v>figurative ছোট</v>
      </c>
      <c r="Q583" s="5" t="str">
        <f t="shared" si="1"/>
        <v>১ আগে দেখো</v>
      </c>
    </row>
    <row r="584">
      <c r="A584" s="4">
        <v>5817.0</v>
      </c>
      <c r="B584" s="2" t="s">
        <v>2630</v>
      </c>
      <c r="C584" s="2" t="s">
        <v>2631</v>
      </c>
      <c r="D584" s="2" t="s">
        <v>2632</v>
      </c>
      <c r="E584" s="2" t="s">
        <v>2633</v>
      </c>
      <c r="F584" s="2" t="b">
        <v>1</v>
      </c>
      <c r="G584" s="2" t="b">
        <v>0</v>
      </c>
      <c r="H584" s="2" t="s">
        <v>37</v>
      </c>
      <c r="I584" s="2" t="s">
        <v>49</v>
      </c>
      <c r="J584" s="2" t="s">
        <v>2629</v>
      </c>
      <c r="K584" s="2" t="s">
        <v>495</v>
      </c>
      <c r="L584" s="13" t="s">
        <v>496</v>
      </c>
      <c r="M584" s="2" t="s">
        <v>26</v>
      </c>
      <c r="N584" s="11" t="s">
        <v>576</v>
      </c>
      <c r="O584" s="12" t="s">
        <v>53</v>
      </c>
      <c r="P584" s="5" t="str">
        <f>IFERROR(__xludf.DUMMYFUNCTION("TEXTJOIN("" | "",TRUE,IF(OR(D584="""",E584="""",I584="""",J584="""",H584=""""),""ফাঁকা ঘর"",""""),IF(AND(C584&lt;&gt;"""",D584&lt;&gt;"""",C584=D584),""gloss=figurative"",""""),IF(LEN(D584)&lt;15,""figurative ছোট"",""""),IF(AND(I584=""Positive"",REGEXMATCH(H584,""মূর্খ|"&amp;"ভণ্ড|প্রতার|অলস|লোভ|স্বার্থ|অক্ষম|অযোগ্য|বোকা|কৃপণ|হিংস"")),""valence-target অমিল"",""""),IF(COUNTIF($B:$B,B584)&gt;1,""ডুপ্লিকেট"",""""))"),"figurative ছোট")</f>
        <v>figurative ছোট</v>
      </c>
      <c r="Q584" s="5" t="str">
        <f t="shared" si="1"/>
        <v>১ আগে দেখো</v>
      </c>
    </row>
    <row r="585">
      <c r="A585" s="4">
        <v>5818.0</v>
      </c>
      <c r="B585" s="2" t="s">
        <v>2634</v>
      </c>
      <c r="C585" s="2" t="s">
        <v>2635</v>
      </c>
      <c r="D585" s="2" t="s">
        <v>2636</v>
      </c>
      <c r="E585" s="2" t="s">
        <v>2637</v>
      </c>
      <c r="F585" s="2" t="b">
        <v>1</v>
      </c>
      <c r="G585" s="2" t="b">
        <v>0</v>
      </c>
      <c r="H585" s="2" t="s">
        <v>37</v>
      </c>
      <c r="I585" s="2" t="s">
        <v>22</v>
      </c>
      <c r="J585" s="2" t="s">
        <v>2638</v>
      </c>
      <c r="K585" s="2" t="s">
        <v>495</v>
      </c>
      <c r="L585" s="13" t="s">
        <v>496</v>
      </c>
      <c r="M585" s="2" t="s">
        <v>26</v>
      </c>
      <c r="N585" s="11" t="s">
        <v>576</v>
      </c>
      <c r="O585" s="12" t="s">
        <v>53</v>
      </c>
      <c r="P585" s="5" t="str">
        <f>IFERROR(__xludf.DUMMYFUNCTION("TEXTJOIN("" | "",TRUE,IF(OR(D585="""",E585="""",I585="""",J585="""",H585=""""),""ফাঁকা ঘর"",""""),IF(AND(C585&lt;&gt;"""",D585&lt;&gt;"""",C585=D585),""gloss=figurative"",""""),IF(LEN(D585)&lt;15,""figurative ছোট"",""""),IF(AND(I585=""Positive"",REGEXMATCH(H585,""মূর্খ|"&amp;"ভণ্ড|প্রতার|অলস|লোভ|স্বার্থ|অক্ষম|অযোগ্য|বোকা|কৃপণ|হিংস"")),""valence-target অমিল"",""""),IF(COUNTIF($B:$B,B585)&gt;1,""ডুপ্লিকেট"",""""))"),"figurative ছোট")</f>
        <v>figurative ছোট</v>
      </c>
      <c r="Q585" s="5" t="str">
        <f t="shared" si="1"/>
        <v>১ আগে দেখো</v>
      </c>
    </row>
    <row r="586">
      <c r="A586" s="4">
        <v>5820.0</v>
      </c>
      <c r="B586" s="2" t="s">
        <v>2639</v>
      </c>
      <c r="C586" s="2" t="s">
        <v>2639</v>
      </c>
      <c r="D586" s="2" t="s">
        <v>2640</v>
      </c>
      <c r="E586" s="2" t="s">
        <v>2641</v>
      </c>
      <c r="F586" s="2" t="b">
        <v>1</v>
      </c>
      <c r="G586" s="2" t="b">
        <v>0</v>
      </c>
      <c r="H586" s="2" t="s">
        <v>37</v>
      </c>
      <c r="I586" s="2" t="s">
        <v>49</v>
      </c>
      <c r="J586" s="2" t="s">
        <v>868</v>
      </c>
      <c r="K586" s="2" t="s">
        <v>495</v>
      </c>
      <c r="L586" s="13" t="s">
        <v>496</v>
      </c>
      <c r="M586" s="2" t="s">
        <v>26</v>
      </c>
      <c r="N586" s="11" t="s">
        <v>576</v>
      </c>
      <c r="O586" s="12" t="s">
        <v>53</v>
      </c>
      <c r="P586" s="5" t="str">
        <f>IFERROR(__xludf.DUMMYFUNCTION("TEXTJOIN("" | "",TRUE,IF(OR(D586="""",E586="""",I586="""",J586="""",H586=""""),""ফাঁকা ঘর"",""""),IF(AND(C586&lt;&gt;"""",D586&lt;&gt;"""",C586=D586),""gloss=figurative"",""""),IF(LEN(D586)&lt;15,""figurative ছোট"",""""),IF(AND(I586=""Positive"",REGEXMATCH(H586,""মূর্খ|"&amp;"ভণ্ড|প্রতার|অলস|লোভ|স্বার্থ|অক্ষম|অযোগ্য|বোকা|কৃপণ|হিংস"")),""valence-target অমিল"",""""),IF(COUNTIF($B:$B,B586)&gt;1,""ডুপ্লিকেট"",""""))"),"figurative ছোট")</f>
        <v>figurative ছোট</v>
      </c>
      <c r="Q586" s="5" t="str">
        <f t="shared" si="1"/>
        <v>১ আগে দেখো</v>
      </c>
    </row>
    <row r="587">
      <c r="A587" s="4">
        <v>5821.0</v>
      </c>
      <c r="B587" s="2" t="s">
        <v>2642</v>
      </c>
      <c r="C587" s="2" t="s">
        <v>2643</v>
      </c>
      <c r="D587" s="2" t="s">
        <v>1051</v>
      </c>
      <c r="E587" s="2" t="s">
        <v>2644</v>
      </c>
      <c r="F587" s="2" t="b">
        <v>1</v>
      </c>
      <c r="G587" s="2" t="b">
        <v>0</v>
      </c>
      <c r="H587" s="2" t="s">
        <v>37</v>
      </c>
      <c r="I587" s="2" t="s">
        <v>49</v>
      </c>
      <c r="J587" s="2" t="s">
        <v>2645</v>
      </c>
      <c r="K587" s="2" t="s">
        <v>495</v>
      </c>
      <c r="L587" s="13" t="s">
        <v>496</v>
      </c>
      <c r="M587" s="2" t="s">
        <v>26</v>
      </c>
      <c r="N587" s="11" t="s">
        <v>576</v>
      </c>
      <c r="O587" s="12" t="s">
        <v>53</v>
      </c>
      <c r="P587" s="5" t="str">
        <f>IFERROR(__xludf.DUMMYFUNCTION("TEXTJOIN("" | "",TRUE,IF(OR(D587="""",E587="""",I587="""",J587="""",H587=""""),""ফাঁকা ঘর"",""""),IF(AND(C587&lt;&gt;"""",D587&lt;&gt;"""",C587=D587),""gloss=figurative"",""""),IF(LEN(D587)&lt;15,""figurative ছোট"",""""),IF(AND(I587=""Positive"",REGEXMATCH(H587,""মূর্খ|"&amp;"ভণ্ড|প্রতার|অলস|লোভ|স্বার্থ|অক্ষম|অযোগ্য|বোকা|কৃপণ|হিংস"")),""valence-target অমিল"",""""),IF(COUNTIF($B:$B,B587)&gt;1,""ডুপ্লিকেট"",""""))"),"figurative ছোট")</f>
        <v>figurative ছোট</v>
      </c>
      <c r="Q587" s="5" t="str">
        <f t="shared" si="1"/>
        <v>১ আগে দেখো</v>
      </c>
    </row>
    <row r="588">
      <c r="A588" s="4">
        <v>5822.0</v>
      </c>
      <c r="B588" s="2" t="s">
        <v>2646</v>
      </c>
      <c r="C588" s="2" t="s">
        <v>2646</v>
      </c>
      <c r="D588" s="2" t="s">
        <v>2647</v>
      </c>
      <c r="E588" s="2" t="s">
        <v>2648</v>
      </c>
      <c r="F588" s="2" t="b">
        <v>1</v>
      </c>
      <c r="G588" s="2" t="b">
        <v>0</v>
      </c>
      <c r="H588" s="2" t="s">
        <v>37</v>
      </c>
      <c r="I588" s="2" t="s">
        <v>22</v>
      </c>
      <c r="J588" s="2" t="s">
        <v>868</v>
      </c>
      <c r="K588" s="2" t="s">
        <v>495</v>
      </c>
      <c r="L588" s="13" t="s">
        <v>496</v>
      </c>
      <c r="M588" s="2" t="s">
        <v>26</v>
      </c>
      <c r="N588" s="11" t="s">
        <v>576</v>
      </c>
      <c r="O588" s="12" t="s">
        <v>53</v>
      </c>
      <c r="P588" s="5" t="str">
        <f>IFERROR(__xludf.DUMMYFUNCTION("TEXTJOIN("" | "",TRUE,IF(OR(D588="""",E588="""",I588="""",J588="""",H588=""""),""ফাঁকা ঘর"",""""),IF(AND(C588&lt;&gt;"""",D588&lt;&gt;"""",C588=D588),""gloss=figurative"",""""),IF(LEN(D588)&lt;15,""figurative ছোট"",""""),IF(AND(I588=""Positive"",REGEXMATCH(H588,""মূর্খ|"&amp;"ভণ্ড|প্রতার|অলস|লোভ|স্বার্থ|অক্ষম|অযোগ্য|বোকা|কৃপণ|হিংস"")),""valence-target অমিল"",""""),IF(COUNTIF($B:$B,B588)&gt;1,""ডুপ্লিকেট"",""""))"),"figurative ছোট")</f>
        <v>figurative ছোট</v>
      </c>
      <c r="Q588" s="5" t="str">
        <f t="shared" si="1"/>
        <v>১ আগে দেখো</v>
      </c>
    </row>
    <row r="589">
      <c r="A589" s="4">
        <v>5823.0</v>
      </c>
      <c r="B589" s="2" t="s">
        <v>2649</v>
      </c>
      <c r="C589" s="2" t="s">
        <v>2650</v>
      </c>
      <c r="D589" s="2" t="s">
        <v>2651</v>
      </c>
      <c r="E589" s="2" t="s">
        <v>2652</v>
      </c>
      <c r="F589" s="2" t="b">
        <v>1</v>
      </c>
      <c r="G589" s="2" t="b">
        <v>0</v>
      </c>
      <c r="H589" s="2" t="s">
        <v>37</v>
      </c>
      <c r="I589" s="2" t="s">
        <v>22</v>
      </c>
      <c r="J589" s="2" t="s">
        <v>820</v>
      </c>
      <c r="K589" s="2" t="s">
        <v>495</v>
      </c>
      <c r="L589" s="13" t="s">
        <v>496</v>
      </c>
      <c r="M589" s="2" t="s">
        <v>26</v>
      </c>
      <c r="N589" s="11" t="s">
        <v>576</v>
      </c>
      <c r="O589" s="12" t="s">
        <v>53</v>
      </c>
      <c r="P589" s="5" t="str">
        <f>IFERROR(__xludf.DUMMYFUNCTION("TEXTJOIN("" | "",TRUE,IF(OR(D589="""",E589="""",I589="""",J589="""",H589=""""),""ফাঁকা ঘর"",""""),IF(AND(C589&lt;&gt;"""",D589&lt;&gt;"""",C589=D589),""gloss=figurative"",""""),IF(LEN(D589)&lt;15,""figurative ছোট"",""""),IF(AND(I589=""Positive"",REGEXMATCH(H589,""মূর্খ|"&amp;"ভণ্ড|প্রতার|অলস|লোভ|স্বার্থ|অক্ষম|অযোগ্য|বোকা|কৃপণ|হিংস"")),""valence-target অমিল"",""""),IF(COUNTIF($B:$B,B589)&gt;1,""ডুপ্লিকেট"",""""))"),"figurative ছোট")</f>
        <v>figurative ছোট</v>
      </c>
      <c r="Q589" s="5" t="str">
        <f t="shared" si="1"/>
        <v>১ আগে দেখো</v>
      </c>
    </row>
    <row r="590">
      <c r="A590" s="4">
        <v>5827.0</v>
      </c>
      <c r="B590" s="2" t="s">
        <v>2653</v>
      </c>
      <c r="C590" s="2" t="s">
        <v>2654</v>
      </c>
      <c r="D590" s="2" t="s">
        <v>742</v>
      </c>
      <c r="E590" s="2" t="s">
        <v>2655</v>
      </c>
      <c r="F590" s="2" t="b">
        <v>1</v>
      </c>
      <c r="G590" s="2" t="b">
        <v>0</v>
      </c>
      <c r="H590" s="2" t="s">
        <v>37</v>
      </c>
      <c r="I590" s="2" t="s">
        <v>22</v>
      </c>
      <c r="J590" s="2" t="s">
        <v>836</v>
      </c>
      <c r="K590" s="2" t="s">
        <v>495</v>
      </c>
      <c r="L590" s="13" t="s">
        <v>496</v>
      </c>
      <c r="M590" s="2" t="s">
        <v>26</v>
      </c>
      <c r="N590" s="11" t="s">
        <v>576</v>
      </c>
      <c r="O590" s="12" t="s">
        <v>53</v>
      </c>
      <c r="P590" s="5" t="str">
        <f>IFERROR(__xludf.DUMMYFUNCTION("TEXTJOIN("" | "",TRUE,IF(OR(D590="""",E590="""",I590="""",J590="""",H590=""""),""ফাঁকা ঘর"",""""),IF(AND(C590&lt;&gt;"""",D590&lt;&gt;"""",C590=D590),""gloss=figurative"",""""),IF(LEN(D590)&lt;15,""figurative ছোট"",""""),IF(AND(I590=""Positive"",REGEXMATCH(H590,""মূর্খ|"&amp;"ভণ্ড|প্রতার|অলস|লোভ|স্বার্থ|অক্ষম|অযোগ্য|বোকা|কৃপণ|হিংস"")),""valence-target অমিল"",""""),IF(COUNTIF($B:$B,B590)&gt;1,""ডুপ্লিকেট"",""""))"),"figurative ছোট")</f>
        <v>figurative ছোট</v>
      </c>
      <c r="Q590" s="5" t="str">
        <f t="shared" si="1"/>
        <v>১ আগে দেখো</v>
      </c>
    </row>
    <row r="591">
      <c r="A591" s="4">
        <v>5829.0</v>
      </c>
      <c r="B591" s="2" t="s">
        <v>2656</v>
      </c>
      <c r="C591" s="2" t="s">
        <v>2657</v>
      </c>
      <c r="D591" s="2" t="s">
        <v>2658</v>
      </c>
      <c r="E591" s="2" t="s">
        <v>2659</v>
      </c>
      <c r="F591" s="2" t="b">
        <v>1</v>
      </c>
      <c r="G591" s="2" t="b">
        <v>0</v>
      </c>
      <c r="H591" s="2" t="s">
        <v>37</v>
      </c>
      <c r="I591" s="2" t="s">
        <v>49</v>
      </c>
      <c r="J591" s="2" t="s">
        <v>2645</v>
      </c>
      <c r="K591" s="2" t="s">
        <v>495</v>
      </c>
      <c r="L591" s="13" t="s">
        <v>496</v>
      </c>
      <c r="M591" s="2" t="s">
        <v>26</v>
      </c>
      <c r="N591" s="11" t="s">
        <v>576</v>
      </c>
      <c r="O591" s="12" t="s">
        <v>53</v>
      </c>
      <c r="P591" s="5" t="str">
        <f>IFERROR(__xludf.DUMMYFUNCTION("TEXTJOIN("" | "",TRUE,IF(OR(D591="""",E591="""",I591="""",J591="""",H591=""""),""ফাঁকা ঘর"",""""),IF(AND(C591&lt;&gt;"""",D591&lt;&gt;"""",C591=D591),""gloss=figurative"",""""),IF(LEN(D591)&lt;15,""figurative ছোট"",""""),IF(AND(I591=""Positive"",REGEXMATCH(H591,""মূর্খ|"&amp;"ভণ্ড|প্রতার|অলস|লোভ|স্বার্থ|অক্ষম|অযোগ্য|বোকা|কৃপণ|হিংস"")),""valence-target অমিল"",""""),IF(COUNTIF($B:$B,B591)&gt;1,""ডুপ্লিকেট"",""""))"),"figurative ছোট")</f>
        <v>figurative ছোট</v>
      </c>
      <c r="Q591" s="5" t="str">
        <f t="shared" si="1"/>
        <v>১ আগে দেখো</v>
      </c>
    </row>
    <row r="592">
      <c r="A592" s="4">
        <v>5832.0</v>
      </c>
      <c r="B592" s="2" t="s">
        <v>2660</v>
      </c>
      <c r="C592" s="2" t="s">
        <v>2660</v>
      </c>
      <c r="D592" s="2" t="s">
        <v>2661</v>
      </c>
      <c r="E592" s="2" t="s">
        <v>2662</v>
      </c>
      <c r="F592" s="2" t="b">
        <v>1</v>
      </c>
      <c r="G592" s="2" t="b">
        <v>0</v>
      </c>
      <c r="H592" s="2" t="s">
        <v>37</v>
      </c>
      <c r="I592" s="2" t="s">
        <v>22</v>
      </c>
      <c r="J592" s="2" t="s">
        <v>766</v>
      </c>
      <c r="K592" s="2" t="s">
        <v>495</v>
      </c>
      <c r="L592" s="13" t="s">
        <v>496</v>
      </c>
      <c r="M592" s="2" t="s">
        <v>26</v>
      </c>
      <c r="N592" s="11" t="s">
        <v>576</v>
      </c>
      <c r="O592" s="12" t="s">
        <v>53</v>
      </c>
      <c r="P592" s="5" t="str">
        <f>IFERROR(__xludf.DUMMYFUNCTION("TEXTJOIN("" | "",TRUE,IF(OR(D592="""",E592="""",I592="""",J592="""",H592=""""),""ফাঁকা ঘর"",""""),IF(AND(C592&lt;&gt;"""",D592&lt;&gt;"""",C592=D592),""gloss=figurative"",""""),IF(LEN(D592)&lt;15,""figurative ছোট"",""""),IF(AND(I592=""Positive"",REGEXMATCH(H592,""মূর্খ|"&amp;"ভণ্ড|প্রতার|অলস|লোভ|স্বার্থ|অক্ষম|অযোগ্য|বোকা|কৃপণ|হিংস"")),""valence-target অমিল"",""""),IF(COUNTIF($B:$B,B592)&gt;1,""ডুপ্লিকেট"",""""))"),"figurative ছোট")</f>
        <v>figurative ছোট</v>
      </c>
      <c r="Q592" s="5" t="str">
        <f t="shared" si="1"/>
        <v>১ আগে দেখো</v>
      </c>
    </row>
    <row r="593">
      <c r="A593" s="4">
        <v>5833.0</v>
      </c>
      <c r="B593" s="2" t="s">
        <v>2663</v>
      </c>
      <c r="C593" s="2" t="s">
        <v>2664</v>
      </c>
      <c r="D593" s="2" t="s">
        <v>2665</v>
      </c>
      <c r="E593" s="2" t="s">
        <v>2666</v>
      </c>
      <c r="F593" s="2" t="b">
        <v>1</v>
      </c>
      <c r="G593" s="2" t="b">
        <v>0</v>
      </c>
      <c r="H593" s="2" t="s">
        <v>37</v>
      </c>
      <c r="I593" s="2" t="s">
        <v>22</v>
      </c>
      <c r="J593" s="2" t="s">
        <v>2667</v>
      </c>
      <c r="K593" s="2" t="s">
        <v>495</v>
      </c>
      <c r="L593" s="13" t="s">
        <v>496</v>
      </c>
      <c r="M593" s="2" t="s">
        <v>26</v>
      </c>
      <c r="N593" s="11" t="s">
        <v>576</v>
      </c>
      <c r="O593" s="12" t="s">
        <v>53</v>
      </c>
      <c r="P593" s="5" t="str">
        <f>IFERROR(__xludf.DUMMYFUNCTION("TEXTJOIN("" | "",TRUE,IF(OR(D593="""",E593="""",I593="""",J593="""",H593=""""),""ফাঁকা ঘর"",""""),IF(AND(C593&lt;&gt;"""",D593&lt;&gt;"""",C593=D593),""gloss=figurative"",""""),IF(LEN(D593)&lt;15,""figurative ছোট"",""""),IF(AND(I593=""Positive"",REGEXMATCH(H593,""মূর্খ|"&amp;"ভণ্ড|প্রতার|অলস|লোভ|স্বার্থ|অক্ষম|অযোগ্য|বোকা|কৃপণ|হিংস"")),""valence-target অমিল"",""""),IF(COUNTIF($B:$B,B593)&gt;1,""ডুপ্লিকেট"",""""))"),"figurative ছোট")</f>
        <v>figurative ছোট</v>
      </c>
      <c r="Q593" s="5" t="str">
        <f t="shared" si="1"/>
        <v>১ আগে দেখো</v>
      </c>
    </row>
    <row r="594">
      <c r="A594" s="4">
        <v>5834.0</v>
      </c>
      <c r="B594" s="2" t="s">
        <v>2668</v>
      </c>
      <c r="C594" s="2" t="s">
        <v>2668</v>
      </c>
      <c r="D594" s="2" t="s">
        <v>2669</v>
      </c>
      <c r="E594" s="2" t="s">
        <v>2670</v>
      </c>
      <c r="F594" s="2" t="b">
        <v>1</v>
      </c>
      <c r="G594" s="2" t="b">
        <v>0</v>
      </c>
      <c r="H594" s="2" t="s">
        <v>37</v>
      </c>
      <c r="I594" s="2" t="s">
        <v>22</v>
      </c>
      <c r="J594" s="2" t="s">
        <v>2671</v>
      </c>
      <c r="K594" s="2" t="s">
        <v>495</v>
      </c>
      <c r="L594" s="13" t="s">
        <v>496</v>
      </c>
      <c r="M594" s="2" t="s">
        <v>26</v>
      </c>
      <c r="N594" s="11" t="s">
        <v>576</v>
      </c>
      <c r="O594" s="12" t="s">
        <v>53</v>
      </c>
      <c r="P594" s="5" t="str">
        <f>IFERROR(__xludf.DUMMYFUNCTION("TEXTJOIN("" | "",TRUE,IF(OR(D594="""",E594="""",I594="""",J594="""",H594=""""),""ফাঁকা ঘর"",""""),IF(AND(C594&lt;&gt;"""",D594&lt;&gt;"""",C594=D594),""gloss=figurative"",""""),IF(LEN(D594)&lt;15,""figurative ছোট"",""""),IF(AND(I594=""Positive"",REGEXMATCH(H594,""মূর্খ|"&amp;"ভণ্ড|প্রতার|অলস|লোভ|স্বার্থ|অক্ষম|অযোগ্য|বোকা|কৃপণ|হিংস"")),""valence-target অমিল"",""""),IF(COUNTIF($B:$B,B594)&gt;1,""ডুপ্লিকেট"",""""))"),"figurative ছোট")</f>
        <v>figurative ছোট</v>
      </c>
      <c r="Q594" s="5" t="str">
        <f t="shared" si="1"/>
        <v>১ আগে দেখো</v>
      </c>
    </row>
    <row r="595">
      <c r="A595" s="4">
        <v>5837.0</v>
      </c>
      <c r="B595" s="2" t="s">
        <v>2672</v>
      </c>
      <c r="C595" s="2" t="s">
        <v>2672</v>
      </c>
      <c r="D595" s="2" t="s">
        <v>2673</v>
      </c>
      <c r="E595" s="2" t="s">
        <v>2674</v>
      </c>
      <c r="F595" s="2" t="b">
        <v>1</v>
      </c>
      <c r="G595" s="2" t="b">
        <v>0</v>
      </c>
      <c r="H595" s="2" t="s">
        <v>37</v>
      </c>
      <c r="I595" s="2" t="s">
        <v>22</v>
      </c>
      <c r="J595" s="2" t="s">
        <v>2675</v>
      </c>
      <c r="K595" s="2" t="s">
        <v>495</v>
      </c>
      <c r="L595" s="13" t="s">
        <v>496</v>
      </c>
      <c r="M595" s="2" t="s">
        <v>26</v>
      </c>
      <c r="N595" s="11" t="s">
        <v>576</v>
      </c>
      <c r="O595" s="12" t="s">
        <v>53</v>
      </c>
      <c r="P595" s="5" t="str">
        <f>IFERROR(__xludf.DUMMYFUNCTION("TEXTJOIN("" | "",TRUE,IF(OR(D595="""",E595="""",I595="""",J595="""",H595=""""),""ফাঁকা ঘর"",""""),IF(AND(C595&lt;&gt;"""",D595&lt;&gt;"""",C595=D595),""gloss=figurative"",""""),IF(LEN(D595)&lt;15,""figurative ছোট"",""""),IF(AND(I595=""Positive"",REGEXMATCH(H595,""মূর্খ|"&amp;"ভণ্ড|প্রতার|অলস|লোভ|স্বার্থ|অক্ষম|অযোগ্য|বোকা|কৃপণ|হিংস"")),""valence-target অমিল"",""""),IF(COUNTIF($B:$B,B595)&gt;1,""ডুপ্লিকেট"",""""))"),"figurative ছোট")</f>
        <v>figurative ছোট</v>
      </c>
      <c r="Q595" s="5" t="str">
        <f t="shared" si="1"/>
        <v>১ আগে দেখো</v>
      </c>
    </row>
    <row r="596">
      <c r="A596" s="4">
        <v>5838.0</v>
      </c>
      <c r="B596" s="2" t="s">
        <v>2676</v>
      </c>
      <c r="C596" s="2" t="s">
        <v>2677</v>
      </c>
      <c r="D596" s="2" t="s">
        <v>2678</v>
      </c>
      <c r="E596" s="2" t="s">
        <v>2679</v>
      </c>
      <c r="F596" s="2" t="b">
        <v>1</v>
      </c>
      <c r="G596" s="2" t="b">
        <v>0</v>
      </c>
      <c r="H596" s="2" t="s">
        <v>37</v>
      </c>
      <c r="I596" s="2" t="s">
        <v>22</v>
      </c>
      <c r="J596" s="2" t="s">
        <v>1117</v>
      </c>
      <c r="K596" s="2" t="s">
        <v>495</v>
      </c>
      <c r="L596" s="13" t="s">
        <v>496</v>
      </c>
      <c r="M596" s="2" t="s">
        <v>26</v>
      </c>
      <c r="N596" s="11" t="s">
        <v>576</v>
      </c>
      <c r="O596" s="12" t="s">
        <v>53</v>
      </c>
      <c r="P596" s="5" t="str">
        <f>IFERROR(__xludf.DUMMYFUNCTION("TEXTJOIN("" | "",TRUE,IF(OR(D596="""",E596="""",I596="""",J596="""",H596=""""),""ফাঁকা ঘর"",""""),IF(AND(C596&lt;&gt;"""",D596&lt;&gt;"""",C596=D596),""gloss=figurative"",""""),IF(LEN(D596)&lt;15,""figurative ছোট"",""""),IF(AND(I596=""Positive"",REGEXMATCH(H596,""মূর্খ|"&amp;"ভণ্ড|প্রতার|অলস|লোভ|স্বার্থ|অক্ষম|অযোগ্য|বোকা|কৃপণ|হিংস"")),""valence-target অমিল"",""""),IF(COUNTIF($B:$B,B596)&gt;1,""ডুপ্লিকেট"",""""))"),"figurative ছোট")</f>
        <v>figurative ছোট</v>
      </c>
      <c r="Q596" s="5" t="str">
        <f t="shared" si="1"/>
        <v>১ আগে দেখো</v>
      </c>
    </row>
    <row r="597">
      <c r="A597" s="4">
        <v>5839.0</v>
      </c>
      <c r="B597" s="2" t="s">
        <v>2680</v>
      </c>
      <c r="C597" s="2" t="s">
        <v>2680</v>
      </c>
      <c r="D597" s="2" t="s">
        <v>2681</v>
      </c>
      <c r="E597" s="2" t="s">
        <v>2682</v>
      </c>
      <c r="F597" s="2" t="b">
        <v>1</v>
      </c>
      <c r="G597" s="2" t="b">
        <v>1</v>
      </c>
      <c r="H597" s="2" t="s">
        <v>1982</v>
      </c>
      <c r="I597" s="2" t="s">
        <v>49</v>
      </c>
      <c r="J597" s="2" t="s">
        <v>1259</v>
      </c>
      <c r="K597" s="2" t="s">
        <v>495</v>
      </c>
      <c r="L597" s="13" t="s">
        <v>496</v>
      </c>
      <c r="M597" s="2" t="s">
        <v>26</v>
      </c>
      <c r="N597" s="11" t="s">
        <v>576</v>
      </c>
      <c r="O597" s="12" t="s">
        <v>53</v>
      </c>
      <c r="P597" s="5" t="str">
        <f>IFERROR(__xludf.DUMMYFUNCTION("TEXTJOIN("" | "",TRUE,IF(OR(D597="""",E597="""",I597="""",J597="""",H597=""""),""ফাঁকা ঘর"",""""),IF(AND(C597&lt;&gt;"""",D597&lt;&gt;"""",C597=D597),""gloss=figurative"",""""),IF(LEN(D597)&lt;15,""figurative ছোট"",""""),IF(AND(I597=""Positive"",REGEXMATCH(H597,""মূর্খ|"&amp;"ভণ্ড|প্রতার|অলস|লোভ|স্বার্থ|অক্ষম|অযোগ্য|বোকা|কৃপণ|হিংস"")),""valence-target অমিল"",""""),IF(COUNTIF($B:$B,B597)&gt;1,""ডুপ্লিকেট"",""""))"),"figurative ছোট")</f>
        <v>figurative ছোট</v>
      </c>
      <c r="Q597" s="5" t="str">
        <f t="shared" si="1"/>
        <v>১ আগে দেখো</v>
      </c>
    </row>
    <row r="598">
      <c r="A598" s="4">
        <v>5840.0</v>
      </c>
      <c r="B598" s="2" t="s">
        <v>2683</v>
      </c>
      <c r="C598" s="2" t="s">
        <v>2683</v>
      </c>
      <c r="D598" s="2" t="s">
        <v>2684</v>
      </c>
      <c r="E598" s="2" t="s">
        <v>2685</v>
      </c>
      <c r="F598" s="2" t="b">
        <v>1</v>
      </c>
      <c r="G598" s="2" t="b">
        <v>0</v>
      </c>
      <c r="H598" s="2" t="s">
        <v>1334</v>
      </c>
      <c r="I598" s="2" t="s">
        <v>22</v>
      </c>
      <c r="J598" s="2" t="s">
        <v>820</v>
      </c>
      <c r="K598" s="2" t="s">
        <v>495</v>
      </c>
      <c r="L598" s="13" t="s">
        <v>496</v>
      </c>
      <c r="M598" s="2" t="s">
        <v>26</v>
      </c>
      <c r="N598" s="11" t="s">
        <v>576</v>
      </c>
      <c r="O598" s="12" t="s">
        <v>53</v>
      </c>
      <c r="P598" s="5" t="str">
        <f>IFERROR(__xludf.DUMMYFUNCTION("TEXTJOIN("" | "",TRUE,IF(OR(D598="""",E598="""",I598="""",J598="""",H598=""""),""ফাঁকা ঘর"",""""),IF(AND(C598&lt;&gt;"""",D598&lt;&gt;"""",C598=D598),""gloss=figurative"",""""),IF(LEN(D598)&lt;15,""figurative ছোট"",""""),IF(AND(I598=""Positive"",REGEXMATCH(H598,""মূর্খ|"&amp;"ভণ্ড|প্রতার|অলস|লোভ|স্বার্থ|অক্ষম|অযোগ্য|বোকা|কৃপণ|হিংস"")),""valence-target অমিল"",""""),IF(COUNTIF($B:$B,B598)&gt;1,""ডুপ্লিকেট"",""""))"),"figurative ছোট")</f>
        <v>figurative ছোট</v>
      </c>
      <c r="Q598" s="5" t="str">
        <f t="shared" si="1"/>
        <v>১ আগে দেখো</v>
      </c>
    </row>
    <row r="599">
      <c r="A599" s="4">
        <v>5841.0</v>
      </c>
      <c r="B599" s="2" t="s">
        <v>2686</v>
      </c>
      <c r="C599" s="2" t="s">
        <v>2687</v>
      </c>
      <c r="D599" s="2" t="s">
        <v>2688</v>
      </c>
      <c r="E599" s="2" t="s">
        <v>2689</v>
      </c>
      <c r="F599" s="2" t="b">
        <v>1</v>
      </c>
      <c r="G599" s="2" t="b">
        <v>0</v>
      </c>
      <c r="H599" s="2" t="s">
        <v>37</v>
      </c>
      <c r="I599" s="2" t="s">
        <v>49</v>
      </c>
      <c r="J599" s="2" t="s">
        <v>729</v>
      </c>
      <c r="K599" s="2" t="s">
        <v>495</v>
      </c>
      <c r="L599" s="13" t="s">
        <v>496</v>
      </c>
      <c r="M599" s="2" t="s">
        <v>26</v>
      </c>
      <c r="N599" s="11" t="s">
        <v>576</v>
      </c>
      <c r="O599" s="12" t="s">
        <v>53</v>
      </c>
      <c r="P599" s="5" t="str">
        <f>IFERROR(__xludf.DUMMYFUNCTION("TEXTJOIN("" | "",TRUE,IF(OR(D599="""",E599="""",I599="""",J599="""",H599=""""),""ফাঁকা ঘর"",""""),IF(AND(C599&lt;&gt;"""",D599&lt;&gt;"""",C599=D599),""gloss=figurative"",""""),IF(LEN(D599)&lt;15,""figurative ছোট"",""""),IF(AND(I599=""Positive"",REGEXMATCH(H599,""মূর্খ|"&amp;"ভণ্ড|প্রতার|অলস|লোভ|স্বার্থ|অক্ষম|অযোগ্য|বোকা|কৃপণ|হিংস"")),""valence-target অমিল"",""""),IF(COUNTIF($B:$B,B599)&gt;1,""ডুপ্লিকেট"",""""))"),"figurative ছোট")</f>
        <v>figurative ছোট</v>
      </c>
      <c r="Q599" s="5" t="str">
        <f t="shared" si="1"/>
        <v>১ আগে দেখো</v>
      </c>
    </row>
    <row r="600">
      <c r="A600" s="4">
        <v>5842.0</v>
      </c>
      <c r="B600" s="2" t="s">
        <v>2690</v>
      </c>
      <c r="C600" s="2" t="s">
        <v>2691</v>
      </c>
      <c r="D600" s="2" t="s">
        <v>2692</v>
      </c>
      <c r="E600" s="2" t="s">
        <v>2693</v>
      </c>
      <c r="F600" s="2" t="b">
        <v>1</v>
      </c>
      <c r="G600" s="2" t="b">
        <v>0</v>
      </c>
      <c r="H600" s="2" t="s">
        <v>37</v>
      </c>
      <c r="I600" s="2" t="s">
        <v>32</v>
      </c>
      <c r="J600" s="2" t="s">
        <v>2694</v>
      </c>
      <c r="K600" s="2" t="s">
        <v>495</v>
      </c>
      <c r="L600" s="13" t="s">
        <v>496</v>
      </c>
      <c r="M600" s="2" t="s">
        <v>26</v>
      </c>
      <c r="N600" s="11" t="s">
        <v>576</v>
      </c>
      <c r="O600" s="12" t="s">
        <v>53</v>
      </c>
      <c r="P600" s="5" t="str">
        <f>IFERROR(__xludf.DUMMYFUNCTION("TEXTJOIN("" | "",TRUE,IF(OR(D600="""",E600="""",I600="""",J600="""",H600=""""),""ফাঁকা ঘর"",""""),IF(AND(C600&lt;&gt;"""",D600&lt;&gt;"""",C600=D600),""gloss=figurative"",""""),IF(LEN(D600)&lt;15,""figurative ছোট"",""""),IF(AND(I600=""Positive"",REGEXMATCH(H600,""মূর্খ|"&amp;"ভণ্ড|প্রতার|অলস|লোভ|স্বার্থ|অক্ষম|অযোগ্য|বোকা|কৃপণ|হিংস"")),""valence-target অমিল"",""""),IF(COUNTIF($B:$B,B600)&gt;1,""ডুপ্লিকেট"",""""))"),"figurative ছোট")</f>
        <v>figurative ছোট</v>
      </c>
      <c r="Q600" s="5" t="str">
        <f t="shared" si="1"/>
        <v>১ আগে দেখো</v>
      </c>
    </row>
    <row r="601">
      <c r="A601" s="4">
        <v>5846.0</v>
      </c>
      <c r="B601" s="2" t="s">
        <v>2695</v>
      </c>
      <c r="C601" s="2" t="s">
        <v>2696</v>
      </c>
      <c r="D601" s="2" t="s">
        <v>2697</v>
      </c>
      <c r="E601" s="2" t="s">
        <v>2698</v>
      </c>
      <c r="F601" s="2" t="b">
        <v>1</v>
      </c>
      <c r="G601" s="2" t="b">
        <v>1</v>
      </c>
      <c r="H601" s="2" t="s">
        <v>1982</v>
      </c>
      <c r="I601" s="2" t="s">
        <v>22</v>
      </c>
      <c r="J601" s="2" t="s">
        <v>2386</v>
      </c>
      <c r="K601" s="2" t="s">
        <v>495</v>
      </c>
      <c r="L601" s="13" t="s">
        <v>496</v>
      </c>
      <c r="M601" s="2" t="s">
        <v>26</v>
      </c>
      <c r="N601" s="11" t="s">
        <v>2699</v>
      </c>
      <c r="O601" s="12" t="s">
        <v>53</v>
      </c>
      <c r="P601" s="5" t="str">
        <f>IFERROR(__xludf.DUMMYFUNCTION("TEXTJOIN("" | "",TRUE,IF(OR(D601="""",E601="""",I601="""",J601="""",H601=""""),""ফাঁকা ঘর"",""""),IF(AND(C601&lt;&gt;"""",D601&lt;&gt;"""",C601=D601),""gloss=figurative"",""""),IF(LEN(D601)&lt;15,""figurative ছোট"",""""),IF(AND(I601=""Positive"",REGEXMATCH(H601,""মূর্খ|"&amp;"ভণ্ড|প্রতার|অলস|লোভ|স্বার্থ|অক্ষম|অযোগ্য|বোকা|কৃপণ|হিংস"")),""valence-target অমিল"",""""),IF(COUNTIF($B:$B,B601)&gt;1,""ডুপ্লিকেট"",""""))"),"figurative ছোট")</f>
        <v>figurative ছোট</v>
      </c>
      <c r="Q601" s="5" t="str">
        <f t="shared" si="1"/>
        <v>১ আগে দেখো</v>
      </c>
    </row>
    <row r="602">
      <c r="A602" s="4">
        <v>5847.0</v>
      </c>
      <c r="B602" s="2" t="s">
        <v>2700</v>
      </c>
      <c r="C602" s="2" t="s">
        <v>2701</v>
      </c>
      <c r="D602" s="2" t="s">
        <v>2702</v>
      </c>
      <c r="E602" s="2" t="s">
        <v>2703</v>
      </c>
      <c r="F602" s="2" t="b">
        <v>1</v>
      </c>
      <c r="G602" s="2" t="b">
        <v>1</v>
      </c>
      <c r="H602" s="2" t="s">
        <v>1982</v>
      </c>
      <c r="I602" s="2" t="s">
        <v>22</v>
      </c>
      <c r="J602" s="2" t="s">
        <v>2386</v>
      </c>
      <c r="K602" s="2" t="s">
        <v>495</v>
      </c>
      <c r="L602" s="13" t="s">
        <v>496</v>
      </c>
      <c r="M602" s="2" t="s">
        <v>26</v>
      </c>
      <c r="N602" s="11" t="s">
        <v>2704</v>
      </c>
      <c r="O602" s="12" t="s">
        <v>53</v>
      </c>
      <c r="P602" s="5" t="str">
        <f>IFERROR(__xludf.DUMMYFUNCTION("TEXTJOIN("" | "",TRUE,IF(OR(D602="""",E602="""",I602="""",J602="""",H602=""""),""ফাঁকা ঘর"",""""),IF(AND(C602&lt;&gt;"""",D602&lt;&gt;"""",C602=D602),""gloss=figurative"",""""),IF(LEN(D602)&lt;15,""figurative ছোট"",""""),IF(AND(I602=""Positive"",REGEXMATCH(H602,""মূর্খ|"&amp;"ভণ্ড|প্রতার|অলস|লোভ|স্বার্থ|অক্ষম|অযোগ্য|বোকা|কৃপণ|হিংস"")),""valence-target অমিল"",""""),IF(COUNTIF($B:$B,B602)&gt;1,""ডুপ্লিকেট"",""""))"),"figurative ছোট")</f>
        <v>figurative ছোট</v>
      </c>
      <c r="Q602" s="5" t="str">
        <f t="shared" si="1"/>
        <v>১ আগে দেখো</v>
      </c>
    </row>
    <row r="603">
      <c r="A603" s="4">
        <v>5849.0</v>
      </c>
      <c r="B603" s="2" t="s">
        <v>2705</v>
      </c>
      <c r="C603" s="2" t="s">
        <v>2706</v>
      </c>
      <c r="D603" s="2" t="s">
        <v>2707</v>
      </c>
      <c r="E603" s="2" t="s">
        <v>2708</v>
      </c>
      <c r="F603" s="2" t="b">
        <v>1</v>
      </c>
      <c r="G603" s="2" t="b">
        <v>0</v>
      </c>
      <c r="H603" s="2" t="s">
        <v>2709</v>
      </c>
      <c r="I603" s="2" t="s">
        <v>22</v>
      </c>
      <c r="J603" s="2" t="s">
        <v>1630</v>
      </c>
      <c r="K603" s="2" t="s">
        <v>495</v>
      </c>
      <c r="L603" s="13" t="s">
        <v>496</v>
      </c>
      <c r="M603" s="2" t="s">
        <v>26</v>
      </c>
      <c r="N603" s="11" t="s">
        <v>576</v>
      </c>
      <c r="O603" s="12" t="s">
        <v>53</v>
      </c>
      <c r="P603" s="5" t="str">
        <f>IFERROR(__xludf.DUMMYFUNCTION("TEXTJOIN("" | "",TRUE,IF(OR(D603="""",E603="""",I603="""",J603="""",H603=""""),""ফাঁকা ঘর"",""""),IF(AND(C603&lt;&gt;"""",D603&lt;&gt;"""",C603=D603),""gloss=figurative"",""""),IF(LEN(D603)&lt;15,""figurative ছোট"",""""),IF(AND(I603=""Positive"",REGEXMATCH(H603,""মূর্খ|"&amp;"ভণ্ড|প্রতার|অলস|লোভ|স্বার্থ|অক্ষম|অযোগ্য|বোকা|কৃপণ|হিংস"")),""valence-target অমিল"",""""),IF(COUNTIF($B:$B,B603)&gt;1,""ডুপ্লিকেট"",""""))"),"figurative ছোট")</f>
        <v>figurative ছোট</v>
      </c>
      <c r="Q603" s="5" t="str">
        <f t="shared" si="1"/>
        <v>১ আগে দেখো</v>
      </c>
    </row>
    <row r="604">
      <c r="A604" s="4">
        <v>5855.0</v>
      </c>
      <c r="B604" s="2" t="s">
        <v>2710</v>
      </c>
      <c r="C604" s="2" t="s">
        <v>2711</v>
      </c>
      <c r="D604" s="2" t="s">
        <v>2712</v>
      </c>
      <c r="E604" s="2" t="s">
        <v>2713</v>
      </c>
      <c r="F604" s="2" t="b">
        <v>1</v>
      </c>
      <c r="G604" s="2" t="b">
        <v>0</v>
      </c>
      <c r="H604" s="2" t="s">
        <v>2709</v>
      </c>
      <c r="I604" s="2" t="s">
        <v>22</v>
      </c>
      <c r="J604" s="2" t="s">
        <v>2277</v>
      </c>
      <c r="K604" s="2" t="s">
        <v>495</v>
      </c>
      <c r="L604" s="13" t="s">
        <v>496</v>
      </c>
      <c r="M604" s="2" t="s">
        <v>26</v>
      </c>
      <c r="N604" s="11" t="s">
        <v>2714</v>
      </c>
      <c r="O604" s="12" t="s">
        <v>53</v>
      </c>
      <c r="P604" s="5" t="str">
        <f>IFERROR(__xludf.DUMMYFUNCTION("TEXTJOIN("" | "",TRUE,IF(OR(D604="""",E604="""",I604="""",J604="""",H604=""""),""ফাঁকা ঘর"",""""),IF(AND(C604&lt;&gt;"""",D604&lt;&gt;"""",C604=D604),""gloss=figurative"",""""),IF(LEN(D604)&lt;15,""figurative ছোট"",""""),IF(AND(I604=""Positive"",REGEXMATCH(H604,""মূর্খ|"&amp;"ভণ্ড|প্রতার|অলস|লোভ|স্বার্থ|অক্ষম|অযোগ্য|বোকা|কৃপণ|হিংস"")),""valence-target অমিল"",""""),IF(COUNTIF($B:$B,B604)&gt;1,""ডুপ্লিকেট"",""""))"),"figurative ছোট")</f>
        <v>figurative ছোট</v>
      </c>
      <c r="Q604" s="5" t="str">
        <f t="shared" si="1"/>
        <v>১ আগে দেখো</v>
      </c>
    </row>
    <row r="605">
      <c r="A605" s="4">
        <v>5856.0</v>
      </c>
      <c r="B605" s="2" t="s">
        <v>2715</v>
      </c>
      <c r="C605" s="2" t="s">
        <v>2716</v>
      </c>
      <c r="D605" s="2" t="s">
        <v>2717</v>
      </c>
      <c r="E605" s="2" t="s">
        <v>2718</v>
      </c>
      <c r="F605" s="2" t="b">
        <v>1</v>
      </c>
      <c r="G605" s="2" t="b">
        <v>0</v>
      </c>
      <c r="H605" s="2" t="s">
        <v>2709</v>
      </c>
      <c r="I605" s="2" t="s">
        <v>22</v>
      </c>
      <c r="J605" s="2" t="s">
        <v>855</v>
      </c>
      <c r="K605" s="2" t="s">
        <v>495</v>
      </c>
      <c r="L605" s="13" t="s">
        <v>496</v>
      </c>
      <c r="M605" s="2" t="s">
        <v>26</v>
      </c>
      <c r="N605" s="11" t="s">
        <v>576</v>
      </c>
      <c r="O605" s="12" t="s">
        <v>53</v>
      </c>
      <c r="P605" s="5" t="str">
        <f>IFERROR(__xludf.DUMMYFUNCTION("TEXTJOIN("" | "",TRUE,IF(OR(D605="""",E605="""",I605="""",J605="""",H605=""""),""ফাঁকা ঘর"",""""),IF(AND(C605&lt;&gt;"""",D605&lt;&gt;"""",C605=D605),""gloss=figurative"",""""),IF(LEN(D605)&lt;15,""figurative ছোট"",""""),IF(AND(I605=""Positive"",REGEXMATCH(H605,""মূর্খ|"&amp;"ভণ্ড|প্রতার|অলস|লোভ|স্বার্থ|অক্ষম|অযোগ্য|বোকা|কৃপণ|হিংস"")),""valence-target অমিল"",""""),IF(COUNTIF($B:$B,B605)&gt;1,""ডুপ্লিকেট"",""""))"),"figurative ছোট")</f>
        <v>figurative ছোট</v>
      </c>
      <c r="Q605" s="5" t="str">
        <f t="shared" si="1"/>
        <v>১ আগে দেখো</v>
      </c>
    </row>
    <row r="606">
      <c r="A606" s="4">
        <v>5857.0</v>
      </c>
      <c r="B606" s="2" t="s">
        <v>2719</v>
      </c>
      <c r="C606" s="2" t="s">
        <v>2720</v>
      </c>
      <c r="D606" s="2" t="s">
        <v>2721</v>
      </c>
      <c r="E606" s="2" t="s">
        <v>2722</v>
      </c>
      <c r="F606" s="2" t="b">
        <v>1</v>
      </c>
      <c r="G606" s="2" t="b">
        <v>0</v>
      </c>
      <c r="H606" s="2" t="s">
        <v>2709</v>
      </c>
      <c r="I606" s="2" t="s">
        <v>22</v>
      </c>
      <c r="J606" s="2" t="s">
        <v>2386</v>
      </c>
      <c r="K606" s="2" t="s">
        <v>495</v>
      </c>
      <c r="L606" s="13" t="s">
        <v>496</v>
      </c>
      <c r="M606" s="2" t="s">
        <v>26</v>
      </c>
      <c r="N606" s="11" t="s">
        <v>576</v>
      </c>
      <c r="O606" s="12" t="s">
        <v>53</v>
      </c>
      <c r="P606" s="5" t="str">
        <f>IFERROR(__xludf.DUMMYFUNCTION("TEXTJOIN("" | "",TRUE,IF(OR(D606="""",E606="""",I606="""",J606="""",H606=""""),""ফাঁকা ঘর"",""""),IF(AND(C606&lt;&gt;"""",D606&lt;&gt;"""",C606=D606),""gloss=figurative"",""""),IF(LEN(D606)&lt;15,""figurative ছোট"",""""),IF(AND(I606=""Positive"",REGEXMATCH(H606,""মূর্খ|"&amp;"ভণ্ড|প্রতার|অলস|লোভ|স্বার্থ|অক্ষম|অযোগ্য|বোকা|কৃপণ|হিংস"")),""valence-target অমিল"",""""),IF(COUNTIF($B:$B,B606)&gt;1,""ডুপ্লিকেট"",""""))"),"figurative ছোট")</f>
        <v>figurative ছোট</v>
      </c>
      <c r="Q606" s="5" t="str">
        <f t="shared" si="1"/>
        <v>১ আগে দেখো</v>
      </c>
    </row>
    <row r="607">
      <c r="A607" s="4">
        <v>5859.0</v>
      </c>
      <c r="B607" s="2" t="s">
        <v>2723</v>
      </c>
      <c r="C607" s="2" t="s">
        <v>2724</v>
      </c>
      <c r="D607" s="2" t="s">
        <v>2725</v>
      </c>
      <c r="E607" s="2" t="s">
        <v>2726</v>
      </c>
      <c r="F607" s="2" t="b">
        <v>1</v>
      </c>
      <c r="G607" s="2" t="b">
        <v>0</v>
      </c>
      <c r="H607" s="2" t="s">
        <v>37</v>
      </c>
      <c r="I607" s="2" t="s">
        <v>49</v>
      </c>
      <c r="J607" s="2" t="s">
        <v>300</v>
      </c>
      <c r="K607" s="2" t="s">
        <v>495</v>
      </c>
      <c r="L607" s="13" t="s">
        <v>496</v>
      </c>
      <c r="M607" s="2" t="s">
        <v>26</v>
      </c>
      <c r="N607" s="11" t="s">
        <v>2727</v>
      </c>
      <c r="O607" s="12" t="s">
        <v>53</v>
      </c>
      <c r="P607" s="5" t="str">
        <f>IFERROR(__xludf.DUMMYFUNCTION("TEXTJOIN("" | "",TRUE,IF(OR(D607="""",E607="""",I607="""",J607="""",H607=""""),""ফাঁকা ঘর"",""""),IF(AND(C607&lt;&gt;"""",D607&lt;&gt;"""",C607=D607),""gloss=figurative"",""""),IF(LEN(D607)&lt;15,""figurative ছোট"",""""),IF(AND(I607=""Positive"",REGEXMATCH(H607,""মূর্খ|"&amp;"ভণ্ড|প্রতার|অলস|লোভ|স্বার্থ|অক্ষম|অযোগ্য|বোকা|কৃপণ|হিংস"")),""valence-target অমিল"",""""),IF(COUNTIF($B:$B,B607)&gt;1,""ডুপ্লিকেট"",""""))"),"figurative ছোট")</f>
        <v>figurative ছোট</v>
      </c>
      <c r="Q607" s="5" t="str">
        <f t="shared" si="1"/>
        <v>১ আগে দেখো</v>
      </c>
    </row>
    <row r="608">
      <c r="A608" s="4">
        <v>5860.0</v>
      </c>
      <c r="B608" s="2" t="s">
        <v>2728</v>
      </c>
      <c r="C608" s="2" t="s">
        <v>2729</v>
      </c>
      <c r="D608" s="2" t="s">
        <v>2730</v>
      </c>
      <c r="E608" s="2" t="s">
        <v>2731</v>
      </c>
      <c r="F608" s="2" t="b">
        <v>1</v>
      </c>
      <c r="G608" s="2" t="b">
        <v>0</v>
      </c>
      <c r="H608" s="2" t="s">
        <v>37</v>
      </c>
      <c r="I608" s="2" t="s">
        <v>49</v>
      </c>
      <c r="J608" s="2" t="s">
        <v>2732</v>
      </c>
      <c r="K608" s="2" t="s">
        <v>495</v>
      </c>
      <c r="L608" s="13" t="s">
        <v>496</v>
      </c>
      <c r="M608" s="2" t="s">
        <v>26</v>
      </c>
      <c r="N608" s="11" t="s">
        <v>2733</v>
      </c>
      <c r="O608" s="12" t="s">
        <v>53</v>
      </c>
      <c r="P608" s="5" t="str">
        <f>IFERROR(__xludf.DUMMYFUNCTION("TEXTJOIN("" | "",TRUE,IF(OR(D608="""",E608="""",I608="""",J608="""",H608=""""),""ফাঁকা ঘর"",""""),IF(AND(C608&lt;&gt;"""",D608&lt;&gt;"""",C608=D608),""gloss=figurative"",""""),IF(LEN(D608)&lt;15,""figurative ছোট"",""""),IF(AND(I608=""Positive"",REGEXMATCH(H608,""মূর্খ|"&amp;"ভণ্ড|প্রতার|অলস|লোভ|স্বার্থ|অক্ষম|অযোগ্য|বোকা|কৃপণ|হিংস"")),""valence-target অমিল"",""""),IF(COUNTIF($B:$B,B608)&gt;1,""ডুপ্লিকেট"",""""))"),"figurative ছোট")</f>
        <v>figurative ছোট</v>
      </c>
      <c r="Q608" s="5" t="str">
        <f t="shared" si="1"/>
        <v>১ আগে দেখো</v>
      </c>
    </row>
    <row r="609">
      <c r="A609" s="4">
        <v>5862.0</v>
      </c>
      <c r="B609" s="2" t="s">
        <v>2734</v>
      </c>
      <c r="C609" s="2" t="s">
        <v>2735</v>
      </c>
      <c r="D609" s="2" t="s">
        <v>2736</v>
      </c>
      <c r="E609" s="2" t="s">
        <v>2737</v>
      </c>
      <c r="F609" s="2" t="b">
        <v>1</v>
      </c>
      <c r="G609" s="2" t="b">
        <v>0</v>
      </c>
      <c r="H609" s="2" t="s">
        <v>37</v>
      </c>
      <c r="I609" s="2" t="s">
        <v>49</v>
      </c>
      <c r="J609" s="2" t="s">
        <v>300</v>
      </c>
      <c r="K609" s="2" t="s">
        <v>495</v>
      </c>
      <c r="L609" s="13" t="s">
        <v>496</v>
      </c>
      <c r="M609" s="2" t="s">
        <v>26</v>
      </c>
      <c r="N609" s="11" t="s">
        <v>576</v>
      </c>
      <c r="O609" s="12" t="s">
        <v>53</v>
      </c>
      <c r="P609" s="5" t="str">
        <f>IFERROR(__xludf.DUMMYFUNCTION("TEXTJOIN("" | "",TRUE,IF(OR(D609="""",E609="""",I609="""",J609="""",H609=""""),""ফাঁকা ঘর"",""""),IF(AND(C609&lt;&gt;"""",D609&lt;&gt;"""",C609=D609),""gloss=figurative"",""""),IF(LEN(D609)&lt;15,""figurative ছোট"",""""),IF(AND(I609=""Positive"",REGEXMATCH(H609,""মূর্খ|"&amp;"ভণ্ড|প্রতার|অলস|লোভ|স্বার্থ|অক্ষম|অযোগ্য|বোকা|কৃপণ|হিংস"")),""valence-target অমিল"",""""),IF(COUNTIF($B:$B,B609)&gt;1,""ডুপ্লিকেট"",""""))"),"figurative ছোট")</f>
        <v>figurative ছোট</v>
      </c>
      <c r="Q609" s="5" t="str">
        <f t="shared" si="1"/>
        <v>১ আগে দেখো</v>
      </c>
    </row>
    <row r="610">
      <c r="A610" s="4">
        <v>5863.0</v>
      </c>
      <c r="B610" s="2" t="s">
        <v>2738</v>
      </c>
      <c r="C610" s="2" t="s">
        <v>2739</v>
      </c>
      <c r="D610" s="2" t="s">
        <v>2740</v>
      </c>
      <c r="E610" s="2" t="s">
        <v>2741</v>
      </c>
      <c r="F610" s="2" t="b">
        <v>1</v>
      </c>
      <c r="G610" s="2" t="b">
        <v>0</v>
      </c>
      <c r="H610" s="2" t="s">
        <v>37</v>
      </c>
      <c r="I610" s="2" t="s">
        <v>49</v>
      </c>
      <c r="J610" s="2" t="s">
        <v>2742</v>
      </c>
      <c r="K610" s="2" t="s">
        <v>495</v>
      </c>
      <c r="L610" s="13" t="s">
        <v>496</v>
      </c>
      <c r="M610" s="2" t="s">
        <v>26</v>
      </c>
      <c r="N610" s="11" t="s">
        <v>576</v>
      </c>
      <c r="O610" s="12" t="s">
        <v>53</v>
      </c>
      <c r="P610" s="5" t="str">
        <f>IFERROR(__xludf.DUMMYFUNCTION("TEXTJOIN("" | "",TRUE,IF(OR(D610="""",E610="""",I610="""",J610="""",H610=""""),""ফাঁকা ঘর"",""""),IF(AND(C610&lt;&gt;"""",D610&lt;&gt;"""",C610=D610),""gloss=figurative"",""""),IF(LEN(D610)&lt;15,""figurative ছোট"",""""),IF(AND(I610=""Positive"",REGEXMATCH(H610,""মূর্খ|"&amp;"ভণ্ড|প্রতার|অলস|লোভ|স্বার্থ|অক্ষম|অযোগ্য|বোকা|কৃপণ|হিংস"")),""valence-target অমিল"",""""),IF(COUNTIF($B:$B,B610)&gt;1,""ডুপ্লিকেট"",""""))"),"figurative ছোট")</f>
        <v>figurative ছোট</v>
      </c>
      <c r="Q610" s="5" t="str">
        <f t="shared" si="1"/>
        <v>১ আগে দেখো</v>
      </c>
    </row>
    <row r="611">
      <c r="A611" s="4">
        <v>5865.0</v>
      </c>
      <c r="B611" s="2" t="s">
        <v>2743</v>
      </c>
      <c r="C611" s="2" t="s">
        <v>2744</v>
      </c>
      <c r="D611" s="2" t="s">
        <v>2745</v>
      </c>
      <c r="E611" s="2" t="s">
        <v>2746</v>
      </c>
      <c r="F611" s="2" t="b">
        <v>1</v>
      </c>
      <c r="G611" s="2" t="b">
        <v>0</v>
      </c>
      <c r="H611" s="2" t="s">
        <v>37</v>
      </c>
      <c r="I611" s="2" t="s">
        <v>49</v>
      </c>
      <c r="J611" s="2" t="s">
        <v>2645</v>
      </c>
      <c r="K611" s="2" t="s">
        <v>495</v>
      </c>
      <c r="L611" s="13" t="s">
        <v>496</v>
      </c>
      <c r="M611" s="2" t="s">
        <v>26</v>
      </c>
      <c r="N611" s="11" t="s">
        <v>576</v>
      </c>
      <c r="O611" s="12" t="s">
        <v>53</v>
      </c>
      <c r="P611" s="5" t="str">
        <f>IFERROR(__xludf.DUMMYFUNCTION("TEXTJOIN("" | "",TRUE,IF(OR(D611="""",E611="""",I611="""",J611="""",H611=""""),""ফাঁকা ঘর"",""""),IF(AND(C611&lt;&gt;"""",D611&lt;&gt;"""",C611=D611),""gloss=figurative"",""""),IF(LEN(D611)&lt;15,""figurative ছোট"",""""),IF(AND(I611=""Positive"",REGEXMATCH(H611,""মূর্খ|"&amp;"ভণ্ড|প্রতার|অলস|লোভ|স্বার্থ|অক্ষম|অযোগ্য|বোকা|কৃপণ|হিংস"")),""valence-target অমিল"",""""),IF(COUNTIF($B:$B,B611)&gt;1,""ডুপ্লিকেট"",""""))"),"figurative ছোট")</f>
        <v>figurative ছোট</v>
      </c>
      <c r="Q611" s="5" t="str">
        <f t="shared" si="1"/>
        <v>১ আগে দেখো</v>
      </c>
    </row>
    <row r="612">
      <c r="A612" s="4">
        <v>5867.0</v>
      </c>
      <c r="B612" s="2" t="s">
        <v>2747</v>
      </c>
      <c r="C612" s="2" t="s">
        <v>153</v>
      </c>
      <c r="D612" s="2" t="s">
        <v>2748</v>
      </c>
      <c r="E612" s="2" t="s">
        <v>2749</v>
      </c>
      <c r="F612" s="2" t="b">
        <v>1</v>
      </c>
      <c r="G612" s="2" t="b">
        <v>0</v>
      </c>
      <c r="H612" s="2" t="s">
        <v>37</v>
      </c>
      <c r="I612" s="2" t="s">
        <v>49</v>
      </c>
      <c r="J612" s="2" t="s">
        <v>2732</v>
      </c>
      <c r="K612" s="2" t="s">
        <v>495</v>
      </c>
      <c r="L612" s="13" t="s">
        <v>496</v>
      </c>
      <c r="M612" s="2" t="s">
        <v>26</v>
      </c>
      <c r="N612" s="11" t="s">
        <v>576</v>
      </c>
      <c r="O612" s="12" t="s">
        <v>53</v>
      </c>
      <c r="P612" s="5" t="str">
        <f>IFERROR(__xludf.DUMMYFUNCTION("TEXTJOIN("" | "",TRUE,IF(OR(D612="""",E612="""",I612="""",J612="""",H612=""""),""ফাঁকা ঘর"",""""),IF(AND(C612&lt;&gt;"""",D612&lt;&gt;"""",C612=D612),""gloss=figurative"",""""),IF(LEN(D612)&lt;15,""figurative ছোট"",""""),IF(AND(I612=""Positive"",REGEXMATCH(H612,""মূর্খ|"&amp;"ভণ্ড|প্রতার|অলস|লোভ|স্বার্থ|অক্ষম|অযোগ্য|বোকা|কৃপণ|হিংস"")),""valence-target অমিল"",""""),IF(COUNTIF($B:$B,B612)&gt;1,""ডুপ্লিকেট"",""""))"),"figurative ছোট")</f>
        <v>figurative ছোট</v>
      </c>
      <c r="Q612" s="5" t="str">
        <f t="shared" si="1"/>
        <v>১ আগে দেখো</v>
      </c>
    </row>
    <row r="613">
      <c r="A613" s="4">
        <v>5869.0</v>
      </c>
      <c r="B613" s="2" t="s">
        <v>2750</v>
      </c>
      <c r="C613" s="2" t="s">
        <v>2751</v>
      </c>
      <c r="D613" s="2" t="s">
        <v>2752</v>
      </c>
      <c r="E613" s="2" t="s">
        <v>2753</v>
      </c>
      <c r="F613" s="2" t="b">
        <v>1</v>
      </c>
      <c r="G613" s="2" t="b">
        <v>0</v>
      </c>
      <c r="H613" s="2" t="s">
        <v>756</v>
      </c>
      <c r="I613" s="2" t="s">
        <v>22</v>
      </c>
      <c r="J613" s="2" t="s">
        <v>1630</v>
      </c>
      <c r="K613" s="2" t="s">
        <v>495</v>
      </c>
      <c r="L613" s="13" t="s">
        <v>496</v>
      </c>
      <c r="M613" s="2" t="s">
        <v>26</v>
      </c>
      <c r="N613" s="11" t="s">
        <v>576</v>
      </c>
      <c r="O613" s="12" t="s">
        <v>53</v>
      </c>
      <c r="P613" s="5" t="str">
        <f>IFERROR(__xludf.DUMMYFUNCTION("TEXTJOIN("" | "",TRUE,IF(OR(D613="""",E613="""",I613="""",J613="""",H613=""""),""ফাঁকা ঘর"",""""),IF(AND(C613&lt;&gt;"""",D613&lt;&gt;"""",C613=D613),""gloss=figurative"",""""),IF(LEN(D613)&lt;15,""figurative ছোট"",""""),IF(AND(I613=""Positive"",REGEXMATCH(H613,""মূর্খ|"&amp;"ভণ্ড|প্রতার|অলস|লোভ|স্বার্থ|অক্ষম|অযোগ্য|বোকা|কৃপণ|হিংস"")),""valence-target অমিল"",""""),IF(COUNTIF($B:$B,B613)&gt;1,""ডুপ্লিকেট"",""""))"),"figurative ছোট")</f>
        <v>figurative ছোট</v>
      </c>
      <c r="Q613" s="5" t="str">
        <f t="shared" si="1"/>
        <v>১ আগে দেখো</v>
      </c>
    </row>
    <row r="614">
      <c r="A614" s="4">
        <v>5870.0</v>
      </c>
      <c r="B614" s="2" t="s">
        <v>2754</v>
      </c>
      <c r="C614" s="2" t="s">
        <v>2755</v>
      </c>
      <c r="D614" s="2" t="s">
        <v>2756</v>
      </c>
      <c r="E614" s="2" t="s">
        <v>2757</v>
      </c>
      <c r="F614" s="2" t="b">
        <v>1</v>
      </c>
      <c r="G614" s="2" t="b">
        <v>0</v>
      </c>
      <c r="H614" s="2" t="s">
        <v>37</v>
      </c>
      <c r="I614" s="2" t="s">
        <v>22</v>
      </c>
      <c r="J614" s="2" t="s">
        <v>1630</v>
      </c>
      <c r="K614" s="2" t="s">
        <v>495</v>
      </c>
      <c r="L614" s="13" t="s">
        <v>496</v>
      </c>
      <c r="M614" s="2" t="s">
        <v>26</v>
      </c>
      <c r="N614" s="11" t="s">
        <v>576</v>
      </c>
      <c r="O614" s="12" t="s">
        <v>53</v>
      </c>
      <c r="P614" s="5" t="str">
        <f>IFERROR(__xludf.DUMMYFUNCTION("TEXTJOIN("" | "",TRUE,IF(OR(D614="""",E614="""",I614="""",J614="""",H614=""""),""ফাঁকা ঘর"",""""),IF(AND(C614&lt;&gt;"""",D614&lt;&gt;"""",C614=D614),""gloss=figurative"",""""),IF(LEN(D614)&lt;15,""figurative ছোট"",""""),IF(AND(I614=""Positive"",REGEXMATCH(H614,""মূর্খ|"&amp;"ভণ্ড|প্রতার|অলস|লোভ|স্বার্থ|অক্ষম|অযোগ্য|বোকা|কৃপণ|হিংস"")),""valence-target অমিল"",""""),IF(COUNTIF($B:$B,B614)&gt;1,""ডুপ্লিকেট"",""""))"),"figurative ছোট")</f>
        <v>figurative ছোট</v>
      </c>
      <c r="Q614" s="5" t="str">
        <f t="shared" si="1"/>
        <v>১ আগে দেখো</v>
      </c>
    </row>
    <row r="615">
      <c r="A615" s="4">
        <v>5871.0</v>
      </c>
      <c r="B615" s="2" t="s">
        <v>2758</v>
      </c>
      <c r="C615" s="2" t="s">
        <v>2759</v>
      </c>
      <c r="D615" s="2" t="s">
        <v>2760</v>
      </c>
      <c r="E615" s="2" t="s">
        <v>2761</v>
      </c>
      <c r="F615" s="2" t="b">
        <v>1</v>
      </c>
      <c r="G615" s="2" t="b">
        <v>0</v>
      </c>
      <c r="H615" s="2" t="s">
        <v>37</v>
      </c>
      <c r="I615" s="2" t="s">
        <v>49</v>
      </c>
      <c r="J615" s="2" t="s">
        <v>300</v>
      </c>
      <c r="K615" s="2" t="s">
        <v>495</v>
      </c>
      <c r="L615" s="13" t="s">
        <v>496</v>
      </c>
      <c r="M615" s="2" t="s">
        <v>26</v>
      </c>
      <c r="N615" s="11" t="s">
        <v>576</v>
      </c>
      <c r="O615" s="12" t="s">
        <v>53</v>
      </c>
      <c r="P615" s="5" t="str">
        <f>IFERROR(__xludf.DUMMYFUNCTION("TEXTJOIN("" | "",TRUE,IF(OR(D615="""",E615="""",I615="""",J615="""",H615=""""),""ফাঁকা ঘর"",""""),IF(AND(C615&lt;&gt;"""",D615&lt;&gt;"""",C615=D615),""gloss=figurative"",""""),IF(LEN(D615)&lt;15,""figurative ছোট"",""""),IF(AND(I615=""Positive"",REGEXMATCH(H615,""মূর্খ|"&amp;"ভণ্ড|প্রতার|অলস|লোভ|স্বার্থ|অক্ষম|অযোগ্য|বোকা|কৃপণ|হিংস"")),""valence-target অমিল"",""""),IF(COUNTIF($B:$B,B615)&gt;1,""ডুপ্লিকেট"",""""))"),"figurative ছোট")</f>
        <v>figurative ছোট</v>
      </c>
      <c r="Q615" s="5" t="str">
        <f t="shared" si="1"/>
        <v>১ আগে দেখো</v>
      </c>
    </row>
    <row r="616">
      <c r="A616" s="4">
        <v>5874.0</v>
      </c>
      <c r="B616" s="2" t="s">
        <v>2762</v>
      </c>
      <c r="C616" s="2" t="s">
        <v>2763</v>
      </c>
      <c r="D616" s="2" t="s">
        <v>2764</v>
      </c>
      <c r="E616" s="2" t="s">
        <v>2765</v>
      </c>
      <c r="F616" s="2" t="b">
        <v>1</v>
      </c>
      <c r="G616" s="2" t="b">
        <v>0</v>
      </c>
      <c r="H616" s="2" t="s">
        <v>37</v>
      </c>
      <c r="I616" s="2" t="s">
        <v>22</v>
      </c>
      <c r="J616" s="2" t="s">
        <v>1603</v>
      </c>
      <c r="K616" s="2" t="s">
        <v>495</v>
      </c>
      <c r="L616" s="13" t="s">
        <v>496</v>
      </c>
      <c r="M616" s="2" t="s">
        <v>26</v>
      </c>
      <c r="N616" s="11" t="s">
        <v>576</v>
      </c>
      <c r="O616" s="12" t="s">
        <v>53</v>
      </c>
      <c r="P616" s="5" t="str">
        <f>IFERROR(__xludf.DUMMYFUNCTION("TEXTJOIN("" | "",TRUE,IF(OR(D616="""",E616="""",I616="""",J616="""",H616=""""),""ফাঁকা ঘর"",""""),IF(AND(C616&lt;&gt;"""",D616&lt;&gt;"""",C616=D616),""gloss=figurative"",""""),IF(LEN(D616)&lt;15,""figurative ছোট"",""""),IF(AND(I616=""Positive"",REGEXMATCH(H616,""মূর্খ|"&amp;"ভণ্ড|প্রতার|অলস|লোভ|স্বার্থ|অক্ষম|অযোগ্য|বোকা|কৃপণ|হিংস"")),""valence-target অমিল"",""""),IF(COUNTIF($B:$B,B616)&gt;1,""ডুপ্লিকেট"",""""))"),"figurative ছোট")</f>
        <v>figurative ছোট</v>
      </c>
      <c r="Q616" s="5" t="str">
        <f t="shared" si="1"/>
        <v>১ আগে দেখো</v>
      </c>
    </row>
    <row r="617">
      <c r="A617" s="4">
        <v>5875.0</v>
      </c>
      <c r="B617" s="2" t="s">
        <v>2766</v>
      </c>
      <c r="C617" s="2" t="s">
        <v>2767</v>
      </c>
      <c r="D617" s="2" t="s">
        <v>2768</v>
      </c>
      <c r="E617" s="2" t="s">
        <v>2769</v>
      </c>
      <c r="F617" s="2" t="b">
        <v>1</v>
      </c>
      <c r="G617" s="2" t="b">
        <v>0</v>
      </c>
      <c r="H617" s="2" t="s">
        <v>37</v>
      </c>
      <c r="I617" s="2" t="s">
        <v>22</v>
      </c>
      <c r="J617" s="2" t="s">
        <v>1656</v>
      </c>
      <c r="K617" s="2" t="s">
        <v>495</v>
      </c>
      <c r="L617" s="13" t="s">
        <v>496</v>
      </c>
      <c r="M617" s="2" t="s">
        <v>26</v>
      </c>
      <c r="N617" s="11" t="s">
        <v>576</v>
      </c>
      <c r="O617" s="12" t="s">
        <v>53</v>
      </c>
      <c r="P617" s="5" t="str">
        <f>IFERROR(__xludf.DUMMYFUNCTION("TEXTJOIN("" | "",TRUE,IF(OR(D617="""",E617="""",I617="""",J617="""",H617=""""),""ফাঁকা ঘর"",""""),IF(AND(C617&lt;&gt;"""",D617&lt;&gt;"""",C617=D617),""gloss=figurative"",""""),IF(LEN(D617)&lt;15,""figurative ছোট"",""""),IF(AND(I617=""Positive"",REGEXMATCH(H617,""মূর্খ|"&amp;"ভণ্ড|প্রতার|অলস|লোভ|স্বার্থ|অক্ষম|অযোগ্য|বোকা|কৃপণ|হিংস"")),""valence-target অমিল"",""""),IF(COUNTIF($B:$B,B617)&gt;1,""ডুপ্লিকেট"",""""))"),"figurative ছোট")</f>
        <v>figurative ছোট</v>
      </c>
      <c r="Q617" s="5" t="str">
        <f t="shared" si="1"/>
        <v>১ আগে দেখো</v>
      </c>
    </row>
    <row r="618">
      <c r="A618" s="4">
        <v>5877.0</v>
      </c>
      <c r="B618" s="2" t="s">
        <v>2770</v>
      </c>
      <c r="C618" s="2" t="s">
        <v>2771</v>
      </c>
      <c r="D618" s="2" t="s">
        <v>2772</v>
      </c>
      <c r="E618" s="2" t="s">
        <v>2773</v>
      </c>
      <c r="F618" s="2" t="b">
        <v>1</v>
      </c>
      <c r="G618" s="2" t="b">
        <v>0</v>
      </c>
      <c r="H618" s="2" t="s">
        <v>37</v>
      </c>
      <c r="I618" s="2" t="s">
        <v>49</v>
      </c>
      <c r="J618" s="2" t="s">
        <v>436</v>
      </c>
      <c r="K618" s="2" t="s">
        <v>495</v>
      </c>
      <c r="L618" s="13" t="s">
        <v>496</v>
      </c>
      <c r="M618" s="2" t="s">
        <v>26</v>
      </c>
      <c r="N618" s="11" t="s">
        <v>2774</v>
      </c>
      <c r="O618" s="12" t="s">
        <v>53</v>
      </c>
      <c r="P618" s="5" t="str">
        <f>IFERROR(__xludf.DUMMYFUNCTION("TEXTJOIN("" | "",TRUE,IF(OR(D618="""",E618="""",I618="""",J618="""",H618=""""),""ফাঁকা ঘর"",""""),IF(AND(C618&lt;&gt;"""",D618&lt;&gt;"""",C618=D618),""gloss=figurative"",""""),IF(LEN(D618)&lt;15,""figurative ছোট"",""""),IF(AND(I618=""Positive"",REGEXMATCH(H618,""মূর্খ|"&amp;"ভণ্ড|প্রতার|অলস|লোভ|স্বার্থ|অক্ষম|অযোগ্য|বোকা|কৃপণ|হিংস"")),""valence-target অমিল"",""""),IF(COUNTIF($B:$B,B618)&gt;1,""ডুপ্লিকেট"",""""))"),"figurative ছোট")</f>
        <v>figurative ছোট</v>
      </c>
      <c r="Q618" s="5" t="str">
        <f t="shared" si="1"/>
        <v>১ আগে দেখো</v>
      </c>
    </row>
    <row r="619">
      <c r="A619" s="4">
        <v>5878.0</v>
      </c>
      <c r="B619" s="2" t="s">
        <v>2775</v>
      </c>
      <c r="C619" s="2" t="s">
        <v>2776</v>
      </c>
      <c r="D619" s="2" t="s">
        <v>2777</v>
      </c>
      <c r="E619" s="2" t="s">
        <v>2778</v>
      </c>
      <c r="F619" s="2" t="b">
        <v>1</v>
      </c>
      <c r="G619" s="2" t="b">
        <v>0</v>
      </c>
      <c r="H619" s="2" t="s">
        <v>37</v>
      </c>
      <c r="I619" s="2" t="s">
        <v>49</v>
      </c>
      <c r="J619" s="2" t="s">
        <v>762</v>
      </c>
      <c r="K619" s="2" t="s">
        <v>495</v>
      </c>
      <c r="L619" s="13" t="s">
        <v>496</v>
      </c>
      <c r="M619" s="2" t="s">
        <v>26</v>
      </c>
      <c r="N619" s="11" t="s">
        <v>2779</v>
      </c>
      <c r="O619" s="12" t="s">
        <v>53</v>
      </c>
      <c r="P619" s="5" t="str">
        <f>IFERROR(__xludf.DUMMYFUNCTION("TEXTJOIN("" | "",TRUE,IF(OR(D619="""",E619="""",I619="""",J619="""",H619=""""),""ফাঁকা ঘর"",""""),IF(AND(C619&lt;&gt;"""",D619&lt;&gt;"""",C619=D619),""gloss=figurative"",""""),IF(LEN(D619)&lt;15,""figurative ছোট"",""""),IF(AND(I619=""Positive"",REGEXMATCH(H619,""মূর্খ|"&amp;"ভণ্ড|প্রতার|অলস|লোভ|স্বার্থ|অক্ষম|অযোগ্য|বোকা|কৃপণ|হিংস"")),""valence-target অমিল"",""""),IF(COUNTIF($B:$B,B619)&gt;1,""ডুপ্লিকেট"",""""))"),"figurative ছোট")</f>
        <v>figurative ছোট</v>
      </c>
      <c r="Q619" s="5" t="str">
        <f t="shared" si="1"/>
        <v>১ আগে দেখো</v>
      </c>
    </row>
    <row r="620">
      <c r="A620" s="4">
        <v>5882.0</v>
      </c>
      <c r="B620" s="2" t="s">
        <v>2780</v>
      </c>
      <c r="C620" s="2" t="s">
        <v>2781</v>
      </c>
      <c r="D620" s="2" t="s">
        <v>2782</v>
      </c>
      <c r="E620" s="2" t="s">
        <v>2783</v>
      </c>
      <c r="F620" s="2" t="b">
        <v>1</v>
      </c>
      <c r="G620" s="2" t="b">
        <v>1</v>
      </c>
      <c r="H620" s="2" t="s">
        <v>1106</v>
      </c>
      <c r="I620" s="2" t="s">
        <v>22</v>
      </c>
      <c r="J620" s="2" t="s">
        <v>1315</v>
      </c>
      <c r="K620" s="2" t="s">
        <v>495</v>
      </c>
      <c r="L620" s="13" t="s">
        <v>496</v>
      </c>
      <c r="M620" s="2" t="s">
        <v>26</v>
      </c>
      <c r="N620" s="11" t="s">
        <v>576</v>
      </c>
      <c r="O620" s="12" t="s">
        <v>53</v>
      </c>
      <c r="P620" s="5" t="str">
        <f>IFERROR(__xludf.DUMMYFUNCTION("TEXTJOIN("" | "",TRUE,IF(OR(D620="""",E620="""",I620="""",J620="""",H620=""""),""ফাঁকা ঘর"",""""),IF(AND(C620&lt;&gt;"""",D620&lt;&gt;"""",C620=D620),""gloss=figurative"",""""),IF(LEN(D620)&lt;15,""figurative ছোট"",""""),IF(AND(I620=""Positive"",REGEXMATCH(H620,""মূর্খ|"&amp;"ভণ্ড|প্রতার|অলস|লোভ|স্বার্থ|অক্ষম|অযোগ্য|বোকা|কৃপণ|হিংস"")),""valence-target অমিল"",""""),IF(COUNTIF($B:$B,B620)&gt;1,""ডুপ্লিকেট"",""""))"),"figurative ছোট")</f>
        <v>figurative ছোট</v>
      </c>
      <c r="Q620" s="5" t="str">
        <f t="shared" si="1"/>
        <v>১ আগে দেখো</v>
      </c>
    </row>
    <row r="621">
      <c r="A621" s="4">
        <v>5883.0</v>
      </c>
      <c r="B621" s="2" t="s">
        <v>2784</v>
      </c>
      <c r="C621" s="2" t="s">
        <v>2785</v>
      </c>
      <c r="D621" s="2" t="s">
        <v>2786</v>
      </c>
      <c r="E621" s="2" t="s">
        <v>2787</v>
      </c>
      <c r="F621" s="2" t="b">
        <v>1</v>
      </c>
      <c r="G621" s="2" t="b">
        <v>0</v>
      </c>
      <c r="H621" s="2" t="s">
        <v>2709</v>
      </c>
      <c r="I621" s="2" t="s">
        <v>49</v>
      </c>
      <c r="J621" s="2" t="s">
        <v>300</v>
      </c>
      <c r="K621" s="2" t="s">
        <v>495</v>
      </c>
      <c r="L621" s="13" t="s">
        <v>496</v>
      </c>
      <c r="M621" s="2" t="s">
        <v>26</v>
      </c>
      <c r="N621" s="11" t="s">
        <v>576</v>
      </c>
      <c r="O621" s="12" t="s">
        <v>53</v>
      </c>
      <c r="P621" s="5" t="str">
        <f>IFERROR(__xludf.DUMMYFUNCTION("TEXTJOIN("" | "",TRUE,IF(OR(D621="""",E621="""",I621="""",J621="""",H621=""""),""ফাঁকা ঘর"",""""),IF(AND(C621&lt;&gt;"""",D621&lt;&gt;"""",C621=D621),""gloss=figurative"",""""),IF(LEN(D621)&lt;15,""figurative ছোট"",""""),IF(AND(I621=""Positive"",REGEXMATCH(H621,""মূর্খ|"&amp;"ভণ্ড|প্রতার|অলস|লোভ|স্বার্থ|অক্ষম|অযোগ্য|বোকা|কৃপণ|হিংস"")),""valence-target অমিল"",""""),IF(COUNTIF($B:$B,B621)&gt;1,""ডুপ্লিকেট"",""""))"),"figurative ছোট")</f>
        <v>figurative ছোট</v>
      </c>
      <c r="Q621" s="5" t="str">
        <f t="shared" si="1"/>
        <v>১ আগে দেখো</v>
      </c>
    </row>
    <row r="622">
      <c r="A622" s="4">
        <v>5885.0</v>
      </c>
      <c r="B622" s="2" t="s">
        <v>2788</v>
      </c>
      <c r="C622" s="2" t="s">
        <v>2789</v>
      </c>
      <c r="D622" s="2" t="s">
        <v>2790</v>
      </c>
      <c r="E622" s="2" t="s">
        <v>2791</v>
      </c>
      <c r="F622" s="2" t="b">
        <v>1</v>
      </c>
      <c r="G622" s="2" t="b">
        <v>1</v>
      </c>
      <c r="H622" s="2" t="s">
        <v>1106</v>
      </c>
      <c r="I622" s="2" t="s">
        <v>32</v>
      </c>
      <c r="J622" s="2" t="s">
        <v>2792</v>
      </c>
      <c r="K622" s="2" t="s">
        <v>495</v>
      </c>
      <c r="L622" s="13" t="s">
        <v>496</v>
      </c>
      <c r="M622" s="2" t="s">
        <v>26</v>
      </c>
      <c r="N622" s="11" t="s">
        <v>576</v>
      </c>
      <c r="O622" s="12" t="s">
        <v>53</v>
      </c>
      <c r="P622" s="5" t="str">
        <f>IFERROR(__xludf.DUMMYFUNCTION("TEXTJOIN("" | "",TRUE,IF(OR(D622="""",E622="""",I622="""",J622="""",H622=""""),""ফাঁকা ঘর"",""""),IF(AND(C622&lt;&gt;"""",D622&lt;&gt;"""",C622=D622),""gloss=figurative"",""""),IF(LEN(D622)&lt;15,""figurative ছোট"",""""),IF(AND(I622=""Positive"",REGEXMATCH(H622,""মূর্খ|"&amp;"ভণ্ড|প্রতার|অলস|লোভ|স্বার্থ|অক্ষম|অযোগ্য|বোকা|কৃপণ|হিংস"")),""valence-target অমিল"",""""),IF(COUNTIF($B:$B,B622)&gt;1,""ডুপ্লিকেট"",""""))"),"figurative ছোট")</f>
        <v>figurative ছোট</v>
      </c>
      <c r="Q622" s="5" t="str">
        <f t="shared" si="1"/>
        <v>১ আগে দেখো</v>
      </c>
    </row>
    <row r="623">
      <c r="A623" s="4">
        <v>5887.0</v>
      </c>
      <c r="B623" s="2" t="s">
        <v>2793</v>
      </c>
      <c r="C623" s="2" t="s">
        <v>2793</v>
      </c>
      <c r="D623" s="2" t="s">
        <v>2794</v>
      </c>
      <c r="E623" s="2" t="s">
        <v>2795</v>
      </c>
      <c r="F623" s="2" t="b">
        <v>1</v>
      </c>
      <c r="G623" s="2" t="b">
        <v>0</v>
      </c>
      <c r="H623" s="2" t="s">
        <v>37</v>
      </c>
      <c r="I623" s="2" t="s">
        <v>49</v>
      </c>
      <c r="J623" s="2" t="s">
        <v>1518</v>
      </c>
      <c r="K623" s="2" t="s">
        <v>495</v>
      </c>
      <c r="L623" s="13" t="s">
        <v>496</v>
      </c>
      <c r="M623" s="2" t="s">
        <v>26</v>
      </c>
      <c r="N623" s="11" t="s">
        <v>576</v>
      </c>
      <c r="O623" s="12" t="s">
        <v>53</v>
      </c>
      <c r="P623" s="5" t="str">
        <f>IFERROR(__xludf.DUMMYFUNCTION("TEXTJOIN("" | "",TRUE,IF(OR(D623="""",E623="""",I623="""",J623="""",H623=""""),""ফাঁকা ঘর"",""""),IF(AND(C623&lt;&gt;"""",D623&lt;&gt;"""",C623=D623),""gloss=figurative"",""""),IF(LEN(D623)&lt;15,""figurative ছোট"",""""),IF(AND(I623=""Positive"",REGEXMATCH(H623,""মূর্খ|"&amp;"ভণ্ড|প্রতার|অলস|লোভ|স্বার্থ|অক্ষম|অযোগ্য|বোকা|কৃপণ|হিংস"")),""valence-target অমিল"",""""),IF(COUNTIF($B:$B,B623)&gt;1,""ডুপ্লিকেট"",""""))"),"figurative ছোট")</f>
        <v>figurative ছোট</v>
      </c>
      <c r="Q623" s="5" t="str">
        <f t="shared" si="1"/>
        <v>১ আগে দেখো</v>
      </c>
    </row>
    <row r="624">
      <c r="A624" s="4">
        <v>5888.0</v>
      </c>
      <c r="B624" s="2" t="s">
        <v>2796</v>
      </c>
      <c r="C624" s="2" t="s">
        <v>2796</v>
      </c>
      <c r="D624" s="2" t="s">
        <v>2797</v>
      </c>
      <c r="E624" s="2" t="s">
        <v>2798</v>
      </c>
      <c r="F624" s="2" t="b">
        <v>1</v>
      </c>
      <c r="G624" s="2" t="b">
        <v>0</v>
      </c>
      <c r="H624" s="2" t="s">
        <v>37</v>
      </c>
      <c r="I624" s="2" t="s">
        <v>22</v>
      </c>
      <c r="J624" s="2" t="s">
        <v>1518</v>
      </c>
      <c r="K624" s="2" t="s">
        <v>495</v>
      </c>
      <c r="L624" s="13" t="s">
        <v>496</v>
      </c>
      <c r="M624" s="2" t="s">
        <v>26</v>
      </c>
      <c r="N624" s="11" t="s">
        <v>576</v>
      </c>
      <c r="O624" s="12" t="s">
        <v>53</v>
      </c>
      <c r="P624" s="5" t="str">
        <f>IFERROR(__xludf.DUMMYFUNCTION("TEXTJOIN("" | "",TRUE,IF(OR(D624="""",E624="""",I624="""",J624="""",H624=""""),""ফাঁকা ঘর"",""""),IF(AND(C624&lt;&gt;"""",D624&lt;&gt;"""",C624=D624),""gloss=figurative"",""""),IF(LEN(D624)&lt;15,""figurative ছোট"",""""),IF(AND(I624=""Positive"",REGEXMATCH(H624,""মূর্খ|"&amp;"ভণ্ড|প্রতার|অলস|লোভ|স্বার্থ|অক্ষম|অযোগ্য|বোকা|কৃপণ|হিংস"")),""valence-target অমিল"",""""),IF(COUNTIF($B:$B,B624)&gt;1,""ডুপ্লিকেট"",""""))"),"figurative ছোট")</f>
        <v>figurative ছোট</v>
      </c>
      <c r="Q624" s="5" t="str">
        <f t="shared" si="1"/>
        <v>১ আগে দেখো</v>
      </c>
    </row>
    <row r="625">
      <c r="A625" s="4">
        <v>5890.0</v>
      </c>
      <c r="B625" s="2" t="s">
        <v>2799</v>
      </c>
      <c r="C625" s="2" t="s">
        <v>2800</v>
      </c>
      <c r="D625" s="2" t="s">
        <v>2801</v>
      </c>
      <c r="E625" s="2" t="s">
        <v>2802</v>
      </c>
      <c r="F625" s="2" t="b">
        <v>1</v>
      </c>
      <c r="G625" s="2" t="b">
        <v>0</v>
      </c>
      <c r="H625" s="2" t="s">
        <v>37</v>
      </c>
      <c r="I625" s="2" t="s">
        <v>32</v>
      </c>
      <c r="J625" s="2" t="s">
        <v>2803</v>
      </c>
      <c r="K625" s="2" t="s">
        <v>495</v>
      </c>
      <c r="L625" s="13" t="s">
        <v>496</v>
      </c>
      <c r="M625" s="2" t="s">
        <v>26</v>
      </c>
      <c r="N625" s="11" t="s">
        <v>576</v>
      </c>
      <c r="O625" s="12" t="s">
        <v>53</v>
      </c>
      <c r="P625" s="5" t="str">
        <f>IFERROR(__xludf.DUMMYFUNCTION("TEXTJOIN("" | "",TRUE,IF(OR(D625="""",E625="""",I625="""",J625="""",H625=""""),""ফাঁকা ঘর"",""""),IF(AND(C625&lt;&gt;"""",D625&lt;&gt;"""",C625=D625),""gloss=figurative"",""""),IF(LEN(D625)&lt;15,""figurative ছোট"",""""),IF(AND(I625=""Positive"",REGEXMATCH(H625,""মূর্খ|"&amp;"ভণ্ড|প্রতার|অলস|লোভ|স্বার্থ|অক্ষম|অযোগ্য|বোকা|কৃপণ|হিংস"")),""valence-target অমিল"",""""),IF(COUNTIF($B:$B,B625)&gt;1,""ডুপ্লিকেট"",""""))"),"figurative ছোট")</f>
        <v>figurative ছোট</v>
      </c>
      <c r="Q625" s="5" t="str">
        <f t="shared" si="1"/>
        <v>১ আগে দেখো</v>
      </c>
    </row>
    <row r="626">
      <c r="A626" s="4">
        <v>5892.0</v>
      </c>
      <c r="B626" s="2" t="s">
        <v>2804</v>
      </c>
      <c r="C626" s="2" t="s">
        <v>2805</v>
      </c>
      <c r="D626" s="2" t="s">
        <v>2806</v>
      </c>
      <c r="E626" s="2" t="s">
        <v>2807</v>
      </c>
      <c r="F626" s="2" t="b">
        <v>1</v>
      </c>
      <c r="G626" s="2" t="b">
        <v>0</v>
      </c>
      <c r="H626" s="2" t="s">
        <v>37</v>
      </c>
      <c r="I626" s="2" t="s">
        <v>22</v>
      </c>
      <c r="J626" s="2" t="s">
        <v>2540</v>
      </c>
      <c r="K626" s="2" t="s">
        <v>495</v>
      </c>
      <c r="L626" s="13" t="s">
        <v>496</v>
      </c>
      <c r="M626" s="2" t="s">
        <v>26</v>
      </c>
      <c r="N626" s="11" t="s">
        <v>576</v>
      </c>
      <c r="O626" s="12" t="s">
        <v>53</v>
      </c>
      <c r="P626" s="5" t="str">
        <f>IFERROR(__xludf.DUMMYFUNCTION("TEXTJOIN("" | "",TRUE,IF(OR(D626="""",E626="""",I626="""",J626="""",H626=""""),""ফাঁকা ঘর"",""""),IF(AND(C626&lt;&gt;"""",D626&lt;&gt;"""",C626=D626),""gloss=figurative"",""""),IF(LEN(D626)&lt;15,""figurative ছোট"",""""),IF(AND(I626=""Positive"",REGEXMATCH(H626,""মূর্খ|"&amp;"ভণ্ড|প্রতার|অলস|লোভ|স্বার্থ|অক্ষম|অযোগ্য|বোকা|কৃপণ|হিংস"")),""valence-target অমিল"",""""),IF(COUNTIF($B:$B,B626)&gt;1,""ডুপ্লিকেট"",""""))"),"figurative ছোট")</f>
        <v>figurative ছোট</v>
      </c>
      <c r="Q626" s="5" t="str">
        <f t="shared" si="1"/>
        <v>১ আগে দেখো</v>
      </c>
    </row>
    <row r="627">
      <c r="A627" s="4">
        <v>5893.0</v>
      </c>
      <c r="B627" s="2" t="s">
        <v>2808</v>
      </c>
      <c r="C627" s="2" t="s">
        <v>2809</v>
      </c>
      <c r="D627" s="2" t="s">
        <v>2671</v>
      </c>
      <c r="E627" s="2" t="s">
        <v>2810</v>
      </c>
      <c r="F627" s="2" t="b">
        <v>1</v>
      </c>
      <c r="G627" s="2" t="b">
        <v>0</v>
      </c>
      <c r="H627" s="2" t="s">
        <v>37</v>
      </c>
      <c r="I627" s="2" t="s">
        <v>22</v>
      </c>
      <c r="J627" s="2" t="s">
        <v>2671</v>
      </c>
      <c r="K627" s="2" t="s">
        <v>495</v>
      </c>
      <c r="L627" s="13" t="s">
        <v>496</v>
      </c>
      <c r="M627" s="2" t="s">
        <v>26</v>
      </c>
      <c r="N627" s="11" t="s">
        <v>576</v>
      </c>
      <c r="O627" s="12" t="s">
        <v>53</v>
      </c>
      <c r="P627" s="5" t="str">
        <f>IFERROR(__xludf.DUMMYFUNCTION("TEXTJOIN("" | "",TRUE,IF(OR(D627="""",E627="""",I627="""",J627="""",H627=""""),""ফাঁকা ঘর"",""""),IF(AND(C627&lt;&gt;"""",D627&lt;&gt;"""",C627=D627),""gloss=figurative"",""""),IF(LEN(D627)&lt;15,""figurative ছোট"",""""),IF(AND(I627=""Positive"",REGEXMATCH(H627,""মূর্খ|"&amp;"ভণ্ড|প্রতার|অলস|লোভ|স্বার্থ|অক্ষম|অযোগ্য|বোকা|কৃপণ|হিংস"")),""valence-target অমিল"",""""),IF(COUNTIF($B:$B,B627)&gt;1,""ডুপ্লিকেট"",""""))"),"figurative ছোট")</f>
        <v>figurative ছোট</v>
      </c>
      <c r="Q627" s="5" t="str">
        <f t="shared" si="1"/>
        <v>১ আগে দেখো</v>
      </c>
    </row>
    <row r="628">
      <c r="A628" s="4">
        <v>5896.0</v>
      </c>
      <c r="B628" s="2" t="s">
        <v>2811</v>
      </c>
      <c r="C628" s="2" t="s">
        <v>2812</v>
      </c>
      <c r="D628" s="2" t="s">
        <v>590</v>
      </c>
      <c r="E628" s="2" t="s">
        <v>2813</v>
      </c>
      <c r="F628" s="2" t="b">
        <v>1</v>
      </c>
      <c r="G628" s="2" t="b">
        <v>0</v>
      </c>
      <c r="H628" s="2" t="s">
        <v>37</v>
      </c>
      <c r="I628" s="2" t="s">
        <v>22</v>
      </c>
      <c r="J628" s="2" t="s">
        <v>590</v>
      </c>
      <c r="K628" s="2" t="s">
        <v>495</v>
      </c>
      <c r="L628" s="13" t="s">
        <v>496</v>
      </c>
      <c r="M628" s="2" t="s">
        <v>26</v>
      </c>
      <c r="N628" s="11" t="s">
        <v>576</v>
      </c>
      <c r="O628" s="12" t="s">
        <v>53</v>
      </c>
      <c r="P628" s="5" t="str">
        <f>IFERROR(__xludf.DUMMYFUNCTION("TEXTJOIN("" | "",TRUE,IF(OR(D628="""",E628="""",I628="""",J628="""",H628=""""),""ফাঁকা ঘর"",""""),IF(AND(C628&lt;&gt;"""",D628&lt;&gt;"""",C628=D628),""gloss=figurative"",""""),IF(LEN(D628)&lt;15,""figurative ছোট"",""""),IF(AND(I628=""Positive"",REGEXMATCH(H628,""মূর্খ|"&amp;"ভণ্ড|প্রতার|অলস|লোভ|স্বার্থ|অক্ষম|অযোগ্য|বোকা|কৃপণ|হিংস"")),""valence-target অমিল"",""""),IF(COUNTIF($B:$B,B628)&gt;1,""ডুপ্লিকেট"",""""))"),"figurative ছোট")</f>
        <v>figurative ছোট</v>
      </c>
      <c r="Q628" s="5" t="str">
        <f t="shared" si="1"/>
        <v>১ আগে দেখো</v>
      </c>
    </row>
    <row r="629">
      <c r="A629" s="4">
        <v>5901.0</v>
      </c>
      <c r="B629" s="2" t="s">
        <v>2814</v>
      </c>
      <c r="C629" s="2" t="s">
        <v>2815</v>
      </c>
      <c r="D629" s="2" t="s">
        <v>2816</v>
      </c>
      <c r="E629" s="2" t="s">
        <v>2817</v>
      </c>
      <c r="F629" s="2" t="b">
        <v>1</v>
      </c>
      <c r="G629" s="2" t="b">
        <v>1</v>
      </c>
      <c r="H629" s="2" t="s">
        <v>1106</v>
      </c>
      <c r="I629" s="2" t="s">
        <v>22</v>
      </c>
      <c r="J629" s="2" t="s">
        <v>855</v>
      </c>
      <c r="K629" s="2" t="s">
        <v>495</v>
      </c>
      <c r="L629" s="13" t="s">
        <v>496</v>
      </c>
      <c r="M629" s="2" t="s">
        <v>26</v>
      </c>
      <c r="N629" s="11" t="s">
        <v>576</v>
      </c>
      <c r="O629" s="12" t="s">
        <v>53</v>
      </c>
      <c r="P629" s="5" t="str">
        <f>IFERROR(__xludf.DUMMYFUNCTION("TEXTJOIN("" | "",TRUE,IF(OR(D629="""",E629="""",I629="""",J629="""",H629=""""),""ফাঁকা ঘর"",""""),IF(AND(C629&lt;&gt;"""",D629&lt;&gt;"""",C629=D629),""gloss=figurative"",""""),IF(LEN(D629)&lt;15,""figurative ছোট"",""""),IF(AND(I629=""Positive"",REGEXMATCH(H629,""মূর্খ|"&amp;"ভণ্ড|প্রতার|অলস|লোভ|স্বার্থ|অক্ষম|অযোগ্য|বোকা|কৃপণ|হিংস"")),""valence-target অমিল"",""""),IF(COUNTIF($B:$B,B629)&gt;1,""ডুপ্লিকেট"",""""))"),"figurative ছোট")</f>
        <v>figurative ছোট</v>
      </c>
      <c r="Q629" s="5" t="str">
        <f t="shared" si="1"/>
        <v>১ আগে দেখো</v>
      </c>
    </row>
    <row r="630">
      <c r="A630" s="4">
        <v>5904.0</v>
      </c>
      <c r="B630" s="2" t="s">
        <v>2818</v>
      </c>
      <c r="C630" s="2" t="s">
        <v>2819</v>
      </c>
      <c r="D630" s="2" t="s">
        <v>2820</v>
      </c>
      <c r="E630" s="2" t="s">
        <v>2821</v>
      </c>
      <c r="F630" s="2" t="b">
        <v>1</v>
      </c>
      <c r="G630" s="2" t="b">
        <v>0</v>
      </c>
      <c r="H630" s="2" t="s">
        <v>37</v>
      </c>
      <c r="I630" s="2" t="s">
        <v>49</v>
      </c>
      <c r="J630" s="2" t="s">
        <v>924</v>
      </c>
      <c r="K630" s="2" t="s">
        <v>495</v>
      </c>
      <c r="L630" s="13" t="s">
        <v>496</v>
      </c>
      <c r="M630" s="2" t="s">
        <v>26</v>
      </c>
      <c r="N630" s="11" t="s">
        <v>2822</v>
      </c>
      <c r="O630" s="12" t="s">
        <v>53</v>
      </c>
      <c r="P630" s="5" t="str">
        <f>IFERROR(__xludf.DUMMYFUNCTION("TEXTJOIN("" | "",TRUE,IF(OR(D630="""",E630="""",I630="""",J630="""",H630=""""),""ফাঁকা ঘর"",""""),IF(AND(C630&lt;&gt;"""",D630&lt;&gt;"""",C630=D630),""gloss=figurative"",""""),IF(LEN(D630)&lt;15,""figurative ছোট"",""""),IF(AND(I630=""Positive"",REGEXMATCH(H630,""মূর্খ|"&amp;"ভণ্ড|প্রতার|অলস|লোভ|স্বার্থ|অক্ষম|অযোগ্য|বোকা|কৃপণ|হিংস"")),""valence-target অমিল"",""""),IF(COUNTIF($B:$B,B630)&gt;1,""ডুপ্লিকেট"",""""))"),"figurative ছোট")</f>
        <v>figurative ছোট</v>
      </c>
      <c r="Q630" s="5" t="str">
        <f t="shared" si="1"/>
        <v>১ আগে দেখো</v>
      </c>
    </row>
    <row r="631">
      <c r="A631" s="4">
        <v>5905.0</v>
      </c>
      <c r="B631" s="2" t="s">
        <v>2823</v>
      </c>
      <c r="C631" s="2" t="s">
        <v>2824</v>
      </c>
      <c r="D631" s="2" t="s">
        <v>2825</v>
      </c>
      <c r="E631" s="2" t="s">
        <v>2826</v>
      </c>
      <c r="F631" s="2" t="b">
        <v>1</v>
      </c>
      <c r="G631" s="2" t="b">
        <v>0</v>
      </c>
      <c r="H631" s="2" t="s">
        <v>37</v>
      </c>
      <c r="I631" s="2" t="s">
        <v>49</v>
      </c>
      <c r="J631" s="2" t="s">
        <v>2827</v>
      </c>
      <c r="K631" s="2" t="s">
        <v>495</v>
      </c>
      <c r="L631" s="13" t="s">
        <v>496</v>
      </c>
      <c r="M631" s="2" t="s">
        <v>26</v>
      </c>
      <c r="N631" s="11" t="s">
        <v>2828</v>
      </c>
      <c r="O631" s="12" t="s">
        <v>53</v>
      </c>
      <c r="P631" s="5" t="str">
        <f>IFERROR(__xludf.DUMMYFUNCTION("TEXTJOIN("" | "",TRUE,IF(OR(D631="""",E631="""",I631="""",J631="""",H631=""""),""ফাঁকা ঘর"",""""),IF(AND(C631&lt;&gt;"""",D631&lt;&gt;"""",C631=D631),""gloss=figurative"",""""),IF(LEN(D631)&lt;15,""figurative ছোট"",""""),IF(AND(I631=""Positive"",REGEXMATCH(H631,""মূর্খ|"&amp;"ভণ্ড|প্রতার|অলস|লোভ|স্বার্থ|অক্ষম|অযোগ্য|বোকা|কৃপণ|হিংস"")),""valence-target অমিল"",""""),IF(COUNTIF($B:$B,B631)&gt;1,""ডুপ্লিকেট"",""""))"),"figurative ছোট")</f>
        <v>figurative ছোট</v>
      </c>
      <c r="Q631" s="5" t="str">
        <f t="shared" si="1"/>
        <v>১ আগে দেখো</v>
      </c>
    </row>
    <row r="632">
      <c r="A632" s="4">
        <v>5907.0</v>
      </c>
      <c r="B632" s="2" t="s">
        <v>2829</v>
      </c>
      <c r="C632" s="2" t="s">
        <v>2829</v>
      </c>
      <c r="D632" s="2" t="s">
        <v>590</v>
      </c>
      <c r="E632" s="2" t="s">
        <v>2830</v>
      </c>
      <c r="F632" s="2" t="b">
        <v>1</v>
      </c>
      <c r="G632" s="2" t="b">
        <v>0</v>
      </c>
      <c r="H632" s="2" t="s">
        <v>37</v>
      </c>
      <c r="I632" s="2" t="s">
        <v>22</v>
      </c>
      <c r="J632" s="2" t="s">
        <v>590</v>
      </c>
      <c r="K632" s="2" t="s">
        <v>495</v>
      </c>
      <c r="L632" s="13" t="s">
        <v>496</v>
      </c>
      <c r="M632" s="2" t="s">
        <v>26</v>
      </c>
      <c r="N632" s="11" t="s">
        <v>576</v>
      </c>
      <c r="O632" s="12" t="s">
        <v>53</v>
      </c>
      <c r="P632" s="5" t="str">
        <f>IFERROR(__xludf.DUMMYFUNCTION("TEXTJOIN("" | "",TRUE,IF(OR(D632="""",E632="""",I632="""",J632="""",H632=""""),""ফাঁকা ঘর"",""""),IF(AND(C632&lt;&gt;"""",D632&lt;&gt;"""",C632=D632),""gloss=figurative"",""""),IF(LEN(D632)&lt;15,""figurative ছোট"",""""),IF(AND(I632=""Positive"",REGEXMATCH(H632,""মূর্খ|"&amp;"ভণ্ড|প্রতার|অলস|লোভ|স্বার্থ|অক্ষম|অযোগ্য|বোকা|কৃপণ|হিংস"")),""valence-target অমিল"",""""),IF(COUNTIF($B:$B,B632)&gt;1,""ডুপ্লিকেট"",""""))"),"figurative ছোট")</f>
        <v>figurative ছোট</v>
      </c>
      <c r="Q632" s="5" t="str">
        <f t="shared" si="1"/>
        <v>১ আগে দেখো</v>
      </c>
    </row>
    <row r="633">
      <c r="A633" s="4">
        <v>5909.0</v>
      </c>
      <c r="B633" s="2" t="s">
        <v>2831</v>
      </c>
      <c r="C633" s="2" t="s">
        <v>2832</v>
      </c>
      <c r="D633" s="2" t="s">
        <v>2833</v>
      </c>
      <c r="E633" s="2" t="s">
        <v>2834</v>
      </c>
      <c r="F633" s="2" t="b">
        <v>1</v>
      </c>
      <c r="G633" s="2" t="b">
        <v>0</v>
      </c>
      <c r="H633" s="2" t="s">
        <v>37</v>
      </c>
      <c r="I633" s="2" t="s">
        <v>32</v>
      </c>
      <c r="J633" s="2" t="s">
        <v>2835</v>
      </c>
      <c r="K633" s="2" t="s">
        <v>495</v>
      </c>
      <c r="L633" s="13" t="s">
        <v>496</v>
      </c>
      <c r="M633" s="2" t="s">
        <v>26</v>
      </c>
      <c r="N633" s="11" t="s">
        <v>2836</v>
      </c>
      <c r="O633" s="12" t="s">
        <v>53</v>
      </c>
      <c r="P633" s="5" t="str">
        <f>IFERROR(__xludf.DUMMYFUNCTION("TEXTJOIN("" | "",TRUE,IF(OR(D633="""",E633="""",I633="""",J633="""",H633=""""),""ফাঁকা ঘর"",""""),IF(AND(C633&lt;&gt;"""",D633&lt;&gt;"""",C633=D633),""gloss=figurative"",""""),IF(LEN(D633)&lt;15,""figurative ছোট"",""""),IF(AND(I633=""Positive"",REGEXMATCH(H633,""মূর্খ|"&amp;"ভণ্ড|প্রতার|অলস|লোভ|স্বার্থ|অক্ষম|অযোগ্য|বোকা|কৃপণ|হিংস"")),""valence-target অমিল"",""""),IF(COUNTIF($B:$B,B633)&gt;1,""ডুপ্লিকেট"",""""))"),"figurative ছোট")</f>
        <v>figurative ছোট</v>
      </c>
      <c r="Q633" s="5" t="str">
        <f t="shared" si="1"/>
        <v>১ আগে দেখো</v>
      </c>
    </row>
    <row r="634">
      <c r="A634" s="4">
        <v>5910.0</v>
      </c>
      <c r="B634" s="2" t="s">
        <v>2837</v>
      </c>
      <c r="C634" s="2" t="s">
        <v>2838</v>
      </c>
      <c r="D634" s="2" t="s">
        <v>2839</v>
      </c>
      <c r="E634" s="2" t="s">
        <v>2840</v>
      </c>
      <c r="F634" s="2" t="b">
        <v>1</v>
      </c>
      <c r="G634" s="2" t="b">
        <v>0</v>
      </c>
      <c r="H634" s="2" t="s">
        <v>37</v>
      </c>
      <c r="I634" s="2" t="s">
        <v>32</v>
      </c>
      <c r="J634" s="2" t="s">
        <v>1180</v>
      </c>
      <c r="K634" s="2" t="s">
        <v>495</v>
      </c>
      <c r="L634" s="13" t="s">
        <v>496</v>
      </c>
      <c r="M634" s="2" t="s">
        <v>26</v>
      </c>
      <c r="N634" s="11" t="s">
        <v>2841</v>
      </c>
      <c r="O634" s="12" t="s">
        <v>53</v>
      </c>
      <c r="P634" s="5" t="str">
        <f>IFERROR(__xludf.DUMMYFUNCTION("TEXTJOIN("" | "",TRUE,IF(OR(D634="""",E634="""",I634="""",J634="""",H634=""""),""ফাঁকা ঘর"",""""),IF(AND(C634&lt;&gt;"""",D634&lt;&gt;"""",C634=D634),""gloss=figurative"",""""),IF(LEN(D634)&lt;15,""figurative ছোট"",""""),IF(AND(I634=""Positive"",REGEXMATCH(H634,""মূর্খ|"&amp;"ভণ্ড|প্রতার|অলস|লোভ|স্বার্থ|অক্ষম|অযোগ্য|বোকা|কৃপণ|হিংস"")),""valence-target অমিল"",""""),IF(COUNTIF($B:$B,B634)&gt;1,""ডুপ্লিকেট"",""""))"),"figurative ছোট")</f>
        <v>figurative ছোট</v>
      </c>
      <c r="Q634" s="5" t="str">
        <f t="shared" si="1"/>
        <v>১ আগে দেখো</v>
      </c>
    </row>
    <row r="635">
      <c r="A635" s="4">
        <v>5911.0</v>
      </c>
      <c r="B635" s="2" t="s">
        <v>2842</v>
      </c>
      <c r="C635" s="2" t="s">
        <v>2843</v>
      </c>
      <c r="D635" s="2" t="s">
        <v>1363</v>
      </c>
      <c r="E635" s="2" t="s">
        <v>2844</v>
      </c>
      <c r="F635" s="2" t="b">
        <v>1</v>
      </c>
      <c r="G635" s="2" t="b">
        <v>0</v>
      </c>
      <c r="H635" s="2" t="s">
        <v>37</v>
      </c>
      <c r="I635" s="2" t="s">
        <v>22</v>
      </c>
      <c r="J635" s="2" t="s">
        <v>1363</v>
      </c>
      <c r="K635" s="2" t="s">
        <v>495</v>
      </c>
      <c r="L635" s="13" t="s">
        <v>496</v>
      </c>
      <c r="M635" s="2" t="s">
        <v>26</v>
      </c>
      <c r="N635" s="11" t="s">
        <v>2845</v>
      </c>
      <c r="O635" s="12" t="s">
        <v>53</v>
      </c>
      <c r="P635" s="5" t="str">
        <f>IFERROR(__xludf.DUMMYFUNCTION("TEXTJOIN("" | "",TRUE,IF(OR(D635="""",E635="""",I635="""",J635="""",H635=""""),""ফাঁকা ঘর"",""""),IF(AND(C635&lt;&gt;"""",D635&lt;&gt;"""",C635=D635),""gloss=figurative"",""""),IF(LEN(D635)&lt;15,""figurative ছোট"",""""),IF(AND(I635=""Positive"",REGEXMATCH(H635,""মূর্খ|"&amp;"ভণ্ড|প্রতার|অলস|লোভ|স্বার্থ|অক্ষম|অযোগ্য|বোকা|কৃপণ|হিংস"")),""valence-target অমিল"",""""),IF(COUNTIF($B:$B,B635)&gt;1,""ডুপ্লিকেট"",""""))"),"figurative ছোট")</f>
        <v>figurative ছোট</v>
      </c>
      <c r="Q635" s="5" t="str">
        <f t="shared" si="1"/>
        <v>১ আগে দেখো</v>
      </c>
    </row>
    <row r="636">
      <c r="A636" s="4">
        <v>5913.0</v>
      </c>
      <c r="B636" s="2" t="s">
        <v>2846</v>
      </c>
      <c r="C636" s="2" t="s">
        <v>2847</v>
      </c>
      <c r="D636" s="2" t="s">
        <v>852</v>
      </c>
      <c r="E636" s="2" t="s">
        <v>2848</v>
      </c>
      <c r="F636" s="2" t="b">
        <v>1</v>
      </c>
      <c r="G636" s="2" t="b">
        <v>0</v>
      </c>
      <c r="H636" s="2" t="s">
        <v>854</v>
      </c>
      <c r="I636" s="2" t="s">
        <v>22</v>
      </c>
      <c r="J636" s="2" t="s">
        <v>855</v>
      </c>
      <c r="K636" s="2" t="s">
        <v>495</v>
      </c>
      <c r="L636" s="13" t="s">
        <v>496</v>
      </c>
      <c r="M636" s="2" t="s">
        <v>26</v>
      </c>
      <c r="N636" s="11" t="s">
        <v>576</v>
      </c>
      <c r="O636" s="12" t="s">
        <v>53</v>
      </c>
      <c r="P636" s="5" t="str">
        <f>IFERROR(__xludf.DUMMYFUNCTION("TEXTJOIN("" | "",TRUE,IF(OR(D636="""",E636="""",I636="""",J636="""",H636=""""),""ফাঁকা ঘর"",""""),IF(AND(C636&lt;&gt;"""",D636&lt;&gt;"""",C636=D636),""gloss=figurative"",""""),IF(LEN(D636)&lt;15,""figurative ছোট"",""""),IF(AND(I636=""Positive"",REGEXMATCH(H636,""মূর্খ|"&amp;"ভণ্ড|প্রতার|অলস|লোভ|স্বার্থ|অক্ষম|অযোগ্য|বোকা|কৃপণ|হিংস"")),""valence-target অমিল"",""""),IF(COUNTIF($B:$B,B636)&gt;1,""ডুপ্লিকেট"",""""))"),"figurative ছোট")</f>
        <v>figurative ছোট</v>
      </c>
      <c r="Q636" s="5" t="str">
        <f t="shared" si="1"/>
        <v>১ আগে দেখো</v>
      </c>
    </row>
    <row r="637">
      <c r="A637" s="4">
        <v>5916.0</v>
      </c>
      <c r="B637" s="2" t="s">
        <v>2849</v>
      </c>
      <c r="C637" s="2" t="s">
        <v>2850</v>
      </c>
      <c r="D637" s="2" t="s">
        <v>2851</v>
      </c>
      <c r="E637" s="2" t="s">
        <v>2852</v>
      </c>
      <c r="F637" s="2" t="b">
        <v>1</v>
      </c>
      <c r="G637" s="2" t="b">
        <v>0</v>
      </c>
      <c r="H637" s="2" t="s">
        <v>37</v>
      </c>
      <c r="I637" s="2" t="s">
        <v>22</v>
      </c>
      <c r="J637" s="2" t="s">
        <v>1013</v>
      </c>
      <c r="K637" s="2" t="s">
        <v>495</v>
      </c>
      <c r="L637" s="13" t="s">
        <v>496</v>
      </c>
      <c r="M637" s="2" t="s">
        <v>26</v>
      </c>
      <c r="N637" s="11" t="s">
        <v>2853</v>
      </c>
      <c r="O637" s="12" t="s">
        <v>53</v>
      </c>
      <c r="P637" s="5" t="str">
        <f>IFERROR(__xludf.DUMMYFUNCTION("TEXTJOIN("" | "",TRUE,IF(OR(D637="""",E637="""",I637="""",J637="""",H637=""""),""ফাঁকা ঘর"",""""),IF(AND(C637&lt;&gt;"""",D637&lt;&gt;"""",C637=D637),""gloss=figurative"",""""),IF(LEN(D637)&lt;15,""figurative ছোট"",""""),IF(AND(I637=""Positive"",REGEXMATCH(H637,""মূর্খ|"&amp;"ভণ্ড|প্রতার|অলস|লোভ|স্বার্থ|অক্ষম|অযোগ্য|বোকা|কৃপণ|হিংস"")),""valence-target অমিল"",""""),IF(COUNTIF($B:$B,B637)&gt;1,""ডুপ্লিকেট"",""""))"),"figurative ছোট")</f>
        <v>figurative ছোট</v>
      </c>
      <c r="Q637" s="5" t="str">
        <f t="shared" si="1"/>
        <v>১ আগে দেখো</v>
      </c>
    </row>
    <row r="638">
      <c r="A638" s="4">
        <v>5918.0</v>
      </c>
      <c r="B638" s="2" t="s">
        <v>2854</v>
      </c>
      <c r="C638" s="2" t="s">
        <v>2854</v>
      </c>
      <c r="D638" s="2" t="s">
        <v>2855</v>
      </c>
      <c r="E638" s="2" t="s">
        <v>2856</v>
      </c>
      <c r="F638" s="2" t="b">
        <v>1</v>
      </c>
      <c r="G638" s="2" t="b">
        <v>0</v>
      </c>
      <c r="H638" s="2" t="s">
        <v>37</v>
      </c>
      <c r="I638" s="2" t="s">
        <v>22</v>
      </c>
      <c r="J638" s="2" t="s">
        <v>2857</v>
      </c>
      <c r="K638" s="2" t="s">
        <v>495</v>
      </c>
      <c r="L638" s="13" t="s">
        <v>496</v>
      </c>
      <c r="M638" s="2" t="s">
        <v>26</v>
      </c>
      <c r="N638" s="11" t="s">
        <v>576</v>
      </c>
      <c r="O638" s="12" t="s">
        <v>53</v>
      </c>
      <c r="P638" s="5" t="str">
        <f>IFERROR(__xludf.DUMMYFUNCTION("TEXTJOIN("" | "",TRUE,IF(OR(D638="""",E638="""",I638="""",J638="""",H638=""""),""ফাঁকা ঘর"",""""),IF(AND(C638&lt;&gt;"""",D638&lt;&gt;"""",C638=D638),""gloss=figurative"",""""),IF(LEN(D638)&lt;15,""figurative ছোট"",""""),IF(AND(I638=""Positive"",REGEXMATCH(H638,""মূর্খ|"&amp;"ভণ্ড|প্রতার|অলস|লোভ|স্বার্থ|অক্ষম|অযোগ্য|বোকা|কৃপণ|হিংস"")),""valence-target অমিল"",""""),IF(COUNTIF($B:$B,B638)&gt;1,""ডুপ্লিকেট"",""""))"),"figurative ছোট")</f>
        <v>figurative ছোট</v>
      </c>
      <c r="Q638" s="5" t="str">
        <f t="shared" si="1"/>
        <v>১ আগে দেখো</v>
      </c>
    </row>
    <row r="639">
      <c r="A639" s="4">
        <v>5921.0</v>
      </c>
      <c r="B639" s="2" t="s">
        <v>2858</v>
      </c>
      <c r="C639" s="2" t="s">
        <v>2859</v>
      </c>
      <c r="D639" s="2" t="s">
        <v>2860</v>
      </c>
      <c r="E639" s="2" t="s">
        <v>2861</v>
      </c>
      <c r="F639" s="2" t="b">
        <v>1</v>
      </c>
      <c r="G639" s="2" t="b">
        <v>1</v>
      </c>
      <c r="H639" s="2" t="s">
        <v>1106</v>
      </c>
      <c r="I639" s="2" t="s">
        <v>32</v>
      </c>
      <c r="J639" s="2" t="s">
        <v>674</v>
      </c>
      <c r="K639" s="2" t="s">
        <v>495</v>
      </c>
      <c r="L639" s="13" t="s">
        <v>496</v>
      </c>
      <c r="M639" s="2" t="s">
        <v>26</v>
      </c>
      <c r="N639" s="11" t="s">
        <v>576</v>
      </c>
      <c r="O639" s="12" t="s">
        <v>53</v>
      </c>
      <c r="P639" s="5" t="str">
        <f>IFERROR(__xludf.DUMMYFUNCTION("TEXTJOIN("" | "",TRUE,IF(OR(D639="""",E639="""",I639="""",J639="""",H639=""""),""ফাঁকা ঘর"",""""),IF(AND(C639&lt;&gt;"""",D639&lt;&gt;"""",C639=D639),""gloss=figurative"",""""),IF(LEN(D639)&lt;15,""figurative ছোট"",""""),IF(AND(I639=""Positive"",REGEXMATCH(H639,""মূর্খ|"&amp;"ভণ্ড|প্রতার|অলস|লোভ|স্বার্থ|অক্ষম|অযোগ্য|বোকা|কৃপণ|হিংস"")),""valence-target অমিল"",""""),IF(COUNTIF($B:$B,B639)&gt;1,""ডুপ্লিকেট"",""""))"),"figurative ছোট")</f>
        <v>figurative ছোট</v>
      </c>
      <c r="Q639" s="5" t="str">
        <f t="shared" si="1"/>
        <v>১ আগে দেখো</v>
      </c>
    </row>
    <row r="640">
      <c r="A640" s="4">
        <v>5923.0</v>
      </c>
      <c r="B640" s="2" t="s">
        <v>2862</v>
      </c>
      <c r="C640" s="2" t="s">
        <v>2863</v>
      </c>
      <c r="D640" s="2" t="s">
        <v>2864</v>
      </c>
      <c r="E640" s="2" t="s">
        <v>2865</v>
      </c>
      <c r="F640" s="2" t="b">
        <v>1</v>
      </c>
      <c r="G640" s="2" t="b">
        <v>0</v>
      </c>
      <c r="H640" s="2" t="s">
        <v>37</v>
      </c>
      <c r="I640" s="2" t="s">
        <v>22</v>
      </c>
      <c r="J640" s="2" t="s">
        <v>2206</v>
      </c>
      <c r="K640" s="2" t="s">
        <v>495</v>
      </c>
      <c r="L640" s="13" t="s">
        <v>496</v>
      </c>
      <c r="M640" s="2" t="s">
        <v>26</v>
      </c>
      <c r="N640" s="11" t="s">
        <v>576</v>
      </c>
      <c r="O640" s="12" t="s">
        <v>53</v>
      </c>
      <c r="P640" s="5" t="str">
        <f>IFERROR(__xludf.DUMMYFUNCTION("TEXTJOIN("" | "",TRUE,IF(OR(D640="""",E640="""",I640="""",J640="""",H640=""""),""ফাঁকা ঘর"",""""),IF(AND(C640&lt;&gt;"""",D640&lt;&gt;"""",C640=D640),""gloss=figurative"",""""),IF(LEN(D640)&lt;15,""figurative ছোট"",""""),IF(AND(I640=""Positive"",REGEXMATCH(H640,""মূর্খ|"&amp;"ভণ্ড|প্রতার|অলস|লোভ|স্বার্থ|অক্ষম|অযোগ্য|বোকা|কৃপণ|হিংস"")),""valence-target অমিল"",""""),IF(COUNTIF($B:$B,B640)&gt;1,""ডুপ্লিকেট"",""""))"),"figurative ছোট")</f>
        <v>figurative ছোট</v>
      </c>
      <c r="Q640" s="5" t="str">
        <f t="shared" si="1"/>
        <v>১ আগে দেখো</v>
      </c>
    </row>
    <row r="641">
      <c r="A641" s="4">
        <v>5926.0</v>
      </c>
      <c r="B641" s="2" t="s">
        <v>2866</v>
      </c>
      <c r="C641" s="2" t="s">
        <v>2867</v>
      </c>
      <c r="D641" s="2" t="s">
        <v>2309</v>
      </c>
      <c r="E641" s="2" t="s">
        <v>2868</v>
      </c>
      <c r="F641" s="2" t="b">
        <v>1</v>
      </c>
      <c r="G641" s="2" t="b">
        <v>0</v>
      </c>
      <c r="H641" s="2" t="s">
        <v>37</v>
      </c>
      <c r="I641" s="2" t="s">
        <v>22</v>
      </c>
      <c r="J641" s="2" t="s">
        <v>2869</v>
      </c>
      <c r="K641" s="2" t="s">
        <v>495</v>
      </c>
      <c r="L641" s="13" t="s">
        <v>496</v>
      </c>
      <c r="M641" s="2" t="s">
        <v>26</v>
      </c>
      <c r="N641" s="11" t="s">
        <v>2870</v>
      </c>
      <c r="O641" s="12" t="s">
        <v>53</v>
      </c>
      <c r="P641" s="5" t="str">
        <f>IFERROR(__xludf.DUMMYFUNCTION("TEXTJOIN("" | "",TRUE,IF(OR(D641="""",E641="""",I641="""",J641="""",H641=""""),""ফাঁকা ঘর"",""""),IF(AND(C641&lt;&gt;"""",D641&lt;&gt;"""",C641=D641),""gloss=figurative"",""""),IF(LEN(D641)&lt;15,""figurative ছোট"",""""),IF(AND(I641=""Positive"",REGEXMATCH(H641,""মূর্খ|"&amp;"ভণ্ড|প্রতার|অলস|লোভ|স্বার্থ|অক্ষম|অযোগ্য|বোকা|কৃপণ|হিংস"")),""valence-target অমিল"",""""),IF(COUNTIF($B:$B,B641)&gt;1,""ডুপ্লিকেট"",""""))"),"figurative ছোট")</f>
        <v>figurative ছোট</v>
      </c>
      <c r="Q641" s="5" t="str">
        <f t="shared" si="1"/>
        <v>১ আগে দেখো</v>
      </c>
    </row>
    <row r="642">
      <c r="A642" s="4">
        <v>5931.0</v>
      </c>
      <c r="B642" s="2" t="s">
        <v>2871</v>
      </c>
      <c r="C642" s="2" t="s">
        <v>2872</v>
      </c>
      <c r="D642" s="2" t="s">
        <v>2210</v>
      </c>
      <c r="E642" s="2" t="s">
        <v>2873</v>
      </c>
      <c r="F642" s="2" t="b">
        <v>1</v>
      </c>
      <c r="G642" s="2" t="b">
        <v>0</v>
      </c>
      <c r="H642" s="2" t="s">
        <v>37</v>
      </c>
      <c r="I642" s="2" t="s">
        <v>49</v>
      </c>
      <c r="J642" s="2" t="s">
        <v>1008</v>
      </c>
      <c r="K642" s="2" t="s">
        <v>495</v>
      </c>
      <c r="L642" s="13" t="s">
        <v>496</v>
      </c>
      <c r="M642" s="2" t="s">
        <v>26</v>
      </c>
      <c r="N642" s="11" t="s">
        <v>576</v>
      </c>
      <c r="O642" s="12" t="s">
        <v>53</v>
      </c>
      <c r="P642" s="5" t="str">
        <f>IFERROR(__xludf.DUMMYFUNCTION("TEXTJOIN("" | "",TRUE,IF(OR(D642="""",E642="""",I642="""",J642="""",H642=""""),""ফাঁকা ঘর"",""""),IF(AND(C642&lt;&gt;"""",D642&lt;&gt;"""",C642=D642),""gloss=figurative"",""""),IF(LEN(D642)&lt;15,""figurative ছোট"",""""),IF(AND(I642=""Positive"",REGEXMATCH(H642,""মূর্খ|"&amp;"ভণ্ড|প্রতার|অলস|লোভ|স্বার্থ|অক্ষম|অযোগ্য|বোকা|কৃপণ|হিংস"")),""valence-target অমিল"",""""),IF(COUNTIF($B:$B,B642)&gt;1,""ডুপ্লিকেট"",""""))"),"figurative ছোট")</f>
        <v>figurative ছোট</v>
      </c>
      <c r="Q642" s="5" t="str">
        <f t="shared" si="1"/>
        <v>১ আগে দেখো</v>
      </c>
    </row>
    <row r="643">
      <c r="A643" s="4">
        <v>5934.0</v>
      </c>
      <c r="B643" s="2" t="s">
        <v>2874</v>
      </c>
      <c r="C643" s="2" t="s">
        <v>2874</v>
      </c>
      <c r="D643" s="2" t="s">
        <v>2875</v>
      </c>
      <c r="E643" s="2" t="s">
        <v>2876</v>
      </c>
      <c r="F643" s="2" t="b">
        <v>1</v>
      </c>
      <c r="G643" s="2" t="b">
        <v>0</v>
      </c>
      <c r="H643" s="2" t="s">
        <v>37</v>
      </c>
      <c r="I643" s="2" t="s">
        <v>22</v>
      </c>
      <c r="J643" s="2" t="s">
        <v>601</v>
      </c>
      <c r="K643" s="2" t="s">
        <v>495</v>
      </c>
      <c r="L643" s="13" t="s">
        <v>496</v>
      </c>
      <c r="M643" s="2" t="s">
        <v>26</v>
      </c>
      <c r="N643" s="11" t="s">
        <v>576</v>
      </c>
      <c r="O643" s="12" t="s">
        <v>53</v>
      </c>
      <c r="P643" s="5" t="str">
        <f>IFERROR(__xludf.DUMMYFUNCTION("TEXTJOIN("" | "",TRUE,IF(OR(D643="""",E643="""",I643="""",J643="""",H643=""""),""ফাঁকা ঘর"",""""),IF(AND(C643&lt;&gt;"""",D643&lt;&gt;"""",C643=D643),""gloss=figurative"",""""),IF(LEN(D643)&lt;15,""figurative ছোট"",""""),IF(AND(I643=""Positive"",REGEXMATCH(H643,""মূর্খ|"&amp;"ভণ্ড|প্রতার|অলস|লোভ|স্বার্থ|অক্ষম|অযোগ্য|বোকা|কৃপণ|হিংস"")),""valence-target অমিল"",""""),IF(COUNTIF($B:$B,B643)&gt;1,""ডুপ্লিকেট"",""""))"),"figurative ছোট")</f>
        <v>figurative ছোট</v>
      </c>
      <c r="Q643" s="5" t="str">
        <f t="shared" si="1"/>
        <v>১ আগে দেখো</v>
      </c>
    </row>
    <row r="644">
      <c r="A644" s="4">
        <v>5936.0</v>
      </c>
      <c r="B644" s="2" t="s">
        <v>2877</v>
      </c>
      <c r="C644" s="2" t="s">
        <v>2878</v>
      </c>
      <c r="D644" s="2" t="s">
        <v>1837</v>
      </c>
      <c r="E644" s="2" t="s">
        <v>2879</v>
      </c>
      <c r="F644" s="2" t="b">
        <v>1</v>
      </c>
      <c r="G644" s="2" t="b">
        <v>0</v>
      </c>
      <c r="H644" s="2" t="s">
        <v>756</v>
      </c>
      <c r="I644" s="2" t="s">
        <v>22</v>
      </c>
      <c r="J644" s="2" t="s">
        <v>300</v>
      </c>
      <c r="K644" s="2" t="s">
        <v>495</v>
      </c>
      <c r="L644" s="13" t="s">
        <v>496</v>
      </c>
      <c r="M644" s="2" t="s">
        <v>26</v>
      </c>
      <c r="N644" s="11" t="s">
        <v>576</v>
      </c>
      <c r="O644" s="12" t="s">
        <v>53</v>
      </c>
      <c r="P644" s="5" t="str">
        <f>IFERROR(__xludf.DUMMYFUNCTION("TEXTJOIN("" | "",TRUE,IF(OR(D644="""",E644="""",I644="""",J644="""",H644=""""),""ফাঁকা ঘর"",""""),IF(AND(C644&lt;&gt;"""",D644&lt;&gt;"""",C644=D644),""gloss=figurative"",""""),IF(LEN(D644)&lt;15,""figurative ছোট"",""""),IF(AND(I644=""Positive"",REGEXMATCH(H644,""মূর্খ|"&amp;"ভণ্ড|প্রতার|অলস|লোভ|স্বার্থ|অক্ষম|অযোগ্য|বোকা|কৃপণ|হিংস"")),""valence-target অমিল"",""""),IF(COUNTIF($B:$B,B644)&gt;1,""ডুপ্লিকেট"",""""))"),"figurative ছোট")</f>
        <v>figurative ছোট</v>
      </c>
      <c r="Q644" s="5" t="str">
        <f t="shared" si="1"/>
        <v>১ আগে দেখো</v>
      </c>
    </row>
    <row r="645">
      <c r="A645" s="4">
        <v>5937.0</v>
      </c>
      <c r="B645" s="2" t="s">
        <v>2880</v>
      </c>
      <c r="C645" s="2" t="s">
        <v>2881</v>
      </c>
      <c r="D645" s="2" t="s">
        <v>2882</v>
      </c>
      <c r="E645" s="2" t="s">
        <v>2883</v>
      </c>
      <c r="F645" s="2" t="b">
        <v>1</v>
      </c>
      <c r="G645" s="2" t="b">
        <v>0</v>
      </c>
      <c r="H645" s="2" t="s">
        <v>37</v>
      </c>
      <c r="I645" s="2" t="s">
        <v>49</v>
      </c>
      <c r="J645" s="2" t="s">
        <v>2882</v>
      </c>
      <c r="K645" s="2" t="s">
        <v>495</v>
      </c>
      <c r="L645" s="13" t="s">
        <v>496</v>
      </c>
      <c r="M645" s="2" t="s">
        <v>26</v>
      </c>
      <c r="N645" s="11" t="s">
        <v>576</v>
      </c>
      <c r="O645" s="12" t="s">
        <v>53</v>
      </c>
      <c r="P645" s="5" t="str">
        <f>IFERROR(__xludf.DUMMYFUNCTION("TEXTJOIN("" | "",TRUE,IF(OR(D645="""",E645="""",I645="""",J645="""",H645=""""),""ফাঁকা ঘর"",""""),IF(AND(C645&lt;&gt;"""",D645&lt;&gt;"""",C645=D645),""gloss=figurative"",""""),IF(LEN(D645)&lt;15,""figurative ছোট"",""""),IF(AND(I645=""Positive"",REGEXMATCH(H645,""মূর্খ|"&amp;"ভণ্ড|প্রতার|অলস|লোভ|স্বার্থ|অক্ষম|অযোগ্য|বোকা|কৃপণ|হিংস"")),""valence-target অমিল"",""""),IF(COUNTIF($B:$B,B645)&gt;1,""ডুপ্লিকেট"",""""))"),"figurative ছোট")</f>
        <v>figurative ছোট</v>
      </c>
      <c r="Q645" s="5" t="str">
        <f t="shared" si="1"/>
        <v>১ আগে দেখো</v>
      </c>
    </row>
    <row r="646">
      <c r="A646" s="4">
        <v>5939.0</v>
      </c>
      <c r="B646" s="2" t="s">
        <v>2884</v>
      </c>
      <c r="C646" s="2" t="s">
        <v>2885</v>
      </c>
      <c r="D646" s="2" t="s">
        <v>2886</v>
      </c>
      <c r="E646" s="2" t="s">
        <v>2887</v>
      </c>
      <c r="F646" s="2" t="b">
        <v>1</v>
      </c>
      <c r="G646" s="2" t="b">
        <v>0</v>
      </c>
      <c r="H646" s="2" t="s">
        <v>756</v>
      </c>
      <c r="I646" s="2" t="s">
        <v>22</v>
      </c>
      <c r="J646" s="2" t="s">
        <v>300</v>
      </c>
      <c r="K646" s="2" t="s">
        <v>495</v>
      </c>
      <c r="L646" s="13" t="s">
        <v>496</v>
      </c>
      <c r="M646" s="2" t="s">
        <v>26</v>
      </c>
      <c r="N646" s="11" t="s">
        <v>576</v>
      </c>
      <c r="O646" s="12" t="s">
        <v>53</v>
      </c>
      <c r="P646" s="5" t="str">
        <f>IFERROR(__xludf.DUMMYFUNCTION("TEXTJOIN("" | "",TRUE,IF(OR(D646="""",E646="""",I646="""",J646="""",H646=""""),""ফাঁকা ঘর"",""""),IF(AND(C646&lt;&gt;"""",D646&lt;&gt;"""",C646=D646),""gloss=figurative"",""""),IF(LEN(D646)&lt;15,""figurative ছোট"",""""),IF(AND(I646=""Positive"",REGEXMATCH(H646,""মূর্খ|"&amp;"ভণ্ড|প্রতার|অলস|লোভ|স্বার্থ|অক্ষম|অযোগ্য|বোকা|কৃপণ|হিংস"")),""valence-target অমিল"",""""),IF(COUNTIF($B:$B,B646)&gt;1,""ডুপ্লিকেট"",""""))"),"figurative ছোট")</f>
        <v>figurative ছোট</v>
      </c>
      <c r="Q646" s="5" t="str">
        <f t="shared" si="1"/>
        <v>১ আগে দেখো</v>
      </c>
    </row>
    <row r="647">
      <c r="A647" s="4">
        <v>5940.0</v>
      </c>
      <c r="B647" s="2" t="s">
        <v>2888</v>
      </c>
      <c r="C647" s="2" t="s">
        <v>2889</v>
      </c>
      <c r="D647" s="2" t="s">
        <v>2890</v>
      </c>
      <c r="E647" s="2" t="s">
        <v>2891</v>
      </c>
      <c r="F647" s="2" t="b">
        <v>1</v>
      </c>
      <c r="G647" s="2" t="b">
        <v>0</v>
      </c>
      <c r="H647" s="2" t="s">
        <v>756</v>
      </c>
      <c r="I647" s="2" t="s">
        <v>22</v>
      </c>
      <c r="J647" s="2" t="s">
        <v>300</v>
      </c>
      <c r="K647" s="2" t="s">
        <v>495</v>
      </c>
      <c r="L647" s="13" t="s">
        <v>496</v>
      </c>
      <c r="M647" s="2" t="s">
        <v>26</v>
      </c>
      <c r="N647" s="11" t="s">
        <v>576</v>
      </c>
      <c r="O647" s="12" t="s">
        <v>53</v>
      </c>
      <c r="P647" s="5" t="str">
        <f>IFERROR(__xludf.DUMMYFUNCTION("TEXTJOIN("" | "",TRUE,IF(OR(D647="""",E647="""",I647="""",J647="""",H647=""""),""ফাঁকা ঘর"",""""),IF(AND(C647&lt;&gt;"""",D647&lt;&gt;"""",C647=D647),""gloss=figurative"",""""),IF(LEN(D647)&lt;15,""figurative ছোট"",""""),IF(AND(I647=""Positive"",REGEXMATCH(H647,""মূর্খ|"&amp;"ভণ্ড|প্রতার|অলস|লোভ|স্বার্থ|অক্ষম|অযোগ্য|বোকা|কৃপণ|হিংস"")),""valence-target অমিল"",""""),IF(COUNTIF($B:$B,B647)&gt;1,""ডুপ্লিকেট"",""""))"),"figurative ছোট")</f>
        <v>figurative ছোট</v>
      </c>
      <c r="Q647" s="5" t="str">
        <f t="shared" si="1"/>
        <v>১ আগে দেখো</v>
      </c>
    </row>
    <row r="648">
      <c r="A648" s="4">
        <v>5941.0</v>
      </c>
      <c r="B648" s="2" t="s">
        <v>2892</v>
      </c>
      <c r="C648" s="2" t="s">
        <v>2893</v>
      </c>
      <c r="D648" s="2" t="s">
        <v>2894</v>
      </c>
      <c r="E648" s="2" t="s">
        <v>2895</v>
      </c>
      <c r="F648" s="2" t="b">
        <v>1</v>
      </c>
      <c r="G648" s="2" t="b">
        <v>0</v>
      </c>
      <c r="H648" s="2" t="s">
        <v>37</v>
      </c>
      <c r="I648" s="2" t="s">
        <v>32</v>
      </c>
      <c r="J648" s="2" t="s">
        <v>2732</v>
      </c>
      <c r="K648" s="2" t="s">
        <v>495</v>
      </c>
      <c r="L648" s="13" t="s">
        <v>496</v>
      </c>
      <c r="M648" s="2" t="s">
        <v>26</v>
      </c>
      <c r="N648" s="11" t="s">
        <v>576</v>
      </c>
      <c r="O648" s="12" t="s">
        <v>53</v>
      </c>
      <c r="P648" s="5" t="str">
        <f>IFERROR(__xludf.DUMMYFUNCTION("TEXTJOIN("" | "",TRUE,IF(OR(D648="""",E648="""",I648="""",J648="""",H648=""""),""ফাঁকা ঘর"",""""),IF(AND(C648&lt;&gt;"""",D648&lt;&gt;"""",C648=D648),""gloss=figurative"",""""),IF(LEN(D648)&lt;15,""figurative ছোট"",""""),IF(AND(I648=""Positive"",REGEXMATCH(H648,""মূর্খ|"&amp;"ভণ্ড|প্রতার|অলস|লোভ|স্বার্থ|অক্ষম|অযোগ্য|বোকা|কৃপণ|হিংস"")),""valence-target অমিল"",""""),IF(COUNTIF($B:$B,B648)&gt;1,""ডুপ্লিকেট"",""""))"),"figurative ছোট")</f>
        <v>figurative ছোট</v>
      </c>
      <c r="Q648" s="5" t="str">
        <f t="shared" si="1"/>
        <v>১ আগে দেখো</v>
      </c>
    </row>
    <row r="649">
      <c r="A649" s="4">
        <v>5942.0</v>
      </c>
      <c r="B649" s="2" t="s">
        <v>2896</v>
      </c>
      <c r="C649" s="2" t="s">
        <v>2897</v>
      </c>
      <c r="D649" s="2" t="s">
        <v>2898</v>
      </c>
      <c r="E649" s="2" t="s">
        <v>2899</v>
      </c>
      <c r="F649" s="2" t="b">
        <v>1</v>
      </c>
      <c r="G649" s="2" t="b">
        <v>0</v>
      </c>
      <c r="H649" s="2" t="s">
        <v>756</v>
      </c>
      <c r="I649" s="2" t="s">
        <v>22</v>
      </c>
      <c r="J649" s="2" t="s">
        <v>1630</v>
      </c>
      <c r="K649" s="2" t="s">
        <v>495</v>
      </c>
      <c r="L649" s="13" t="s">
        <v>496</v>
      </c>
      <c r="M649" s="2" t="s">
        <v>26</v>
      </c>
      <c r="N649" s="11" t="s">
        <v>576</v>
      </c>
      <c r="O649" s="12" t="s">
        <v>53</v>
      </c>
      <c r="P649" s="5" t="str">
        <f>IFERROR(__xludf.DUMMYFUNCTION("TEXTJOIN("" | "",TRUE,IF(OR(D649="""",E649="""",I649="""",J649="""",H649=""""),""ফাঁকা ঘর"",""""),IF(AND(C649&lt;&gt;"""",D649&lt;&gt;"""",C649=D649),""gloss=figurative"",""""),IF(LEN(D649)&lt;15,""figurative ছোট"",""""),IF(AND(I649=""Positive"",REGEXMATCH(H649,""মূর্খ|"&amp;"ভণ্ড|প্রতার|অলস|লোভ|স্বার্থ|অক্ষম|অযোগ্য|বোকা|কৃপণ|হিংস"")),""valence-target অমিল"",""""),IF(COUNTIF($B:$B,B649)&gt;1,""ডুপ্লিকেট"",""""))"),"figurative ছোট")</f>
        <v>figurative ছোট</v>
      </c>
      <c r="Q649" s="5" t="str">
        <f t="shared" si="1"/>
        <v>১ আগে দেখো</v>
      </c>
    </row>
    <row r="650">
      <c r="A650" s="4">
        <v>5943.0</v>
      </c>
      <c r="B650" s="2" t="s">
        <v>2900</v>
      </c>
      <c r="C650" s="2" t="s">
        <v>2900</v>
      </c>
      <c r="D650" s="2" t="s">
        <v>2901</v>
      </c>
      <c r="E650" s="2" t="s">
        <v>2902</v>
      </c>
      <c r="F650" s="2" t="b">
        <v>1</v>
      </c>
      <c r="G650" s="2" t="b">
        <v>0</v>
      </c>
      <c r="H650" s="2" t="s">
        <v>756</v>
      </c>
      <c r="I650" s="2" t="s">
        <v>22</v>
      </c>
      <c r="J650" s="2" t="s">
        <v>729</v>
      </c>
      <c r="K650" s="2" t="s">
        <v>495</v>
      </c>
      <c r="L650" s="13" t="s">
        <v>496</v>
      </c>
      <c r="M650" s="2" t="s">
        <v>26</v>
      </c>
      <c r="N650" s="11" t="s">
        <v>576</v>
      </c>
      <c r="O650" s="12" t="s">
        <v>53</v>
      </c>
      <c r="P650" s="5" t="str">
        <f>IFERROR(__xludf.DUMMYFUNCTION("TEXTJOIN("" | "",TRUE,IF(OR(D650="""",E650="""",I650="""",J650="""",H650=""""),""ফাঁকা ঘর"",""""),IF(AND(C650&lt;&gt;"""",D650&lt;&gt;"""",C650=D650),""gloss=figurative"",""""),IF(LEN(D650)&lt;15,""figurative ছোট"",""""),IF(AND(I650=""Positive"",REGEXMATCH(H650,""মূর্খ|"&amp;"ভণ্ড|প্রতার|অলস|লোভ|স্বার্থ|অক্ষম|অযোগ্য|বোকা|কৃপণ|হিংস"")),""valence-target অমিল"",""""),IF(COUNTIF($B:$B,B650)&gt;1,""ডুপ্লিকেট"",""""))"),"figurative ছোট")</f>
        <v>figurative ছোট</v>
      </c>
      <c r="Q650" s="5" t="str">
        <f t="shared" si="1"/>
        <v>১ আগে দেখো</v>
      </c>
    </row>
    <row r="651">
      <c r="A651" s="4">
        <v>5944.0</v>
      </c>
      <c r="B651" s="2" t="s">
        <v>2903</v>
      </c>
      <c r="C651" s="2" t="s">
        <v>2904</v>
      </c>
      <c r="D651" s="2" t="s">
        <v>2752</v>
      </c>
      <c r="E651" s="2" t="s">
        <v>2905</v>
      </c>
      <c r="F651" s="2" t="b">
        <v>1</v>
      </c>
      <c r="G651" s="2" t="b">
        <v>0</v>
      </c>
      <c r="H651" s="2" t="s">
        <v>756</v>
      </c>
      <c r="I651" s="2" t="s">
        <v>22</v>
      </c>
      <c r="J651" s="2" t="s">
        <v>1630</v>
      </c>
      <c r="K651" s="2" t="s">
        <v>495</v>
      </c>
      <c r="L651" s="13" t="s">
        <v>496</v>
      </c>
      <c r="M651" s="2" t="s">
        <v>26</v>
      </c>
      <c r="N651" s="11" t="s">
        <v>576</v>
      </c>
      <c r="O651" s="12" t="s">
        <v>53</v>
      </c>
      <c r="P651" s="5" t="str">
        <f>IFERROR(__xludf.DUMMYFUNCTION("TEXTJOIN("" | "",TRUE,IF(OR(D651="""",E651="""",I651="""",J651="""",H651=""""),""ফাঁকা ঘর"",""""),IF(AND(C651&lt;&gt;"""",D651&lt;&gt;"""",C651=D651),""gloss=figurative"",""""),IF(LEN(D651)&lt;15,""figurative ছোট"",""""),IF(AND(I651=""Positive"",REGEXMATCH(H651,""মূর্খ|"&amp;"ভণ্ড|প্রতার|অলস|লোভ|স্বার্থ|অক্ষম|অযোগ্য|বোকা|কৃপণ|হিংস"")),""valence-target অমিল"",""""),IF(COUNTIF($B:$B,B651)&gt;1,""ডুপ্লিকেট"",""""))"),"figurative ছোট")</f>
        <v>figurative ছোট</v>
      </c>
      <c r="Q651" s="5" t="str">
        <f t="shared" si="1"/>
        <v>১ আগে দেখো</v>
      </c>
    </row>
    <row r="652">
      <c r="A652" s="4">
        <v>5946.0</v>
      </c>
      <c r="B652" s="2" t="s">
        <v>2906</v>
      </c>
      <c r="C652" s="2" t="s">
        <v>2907</v>
      </c>
      <c r="D652" s="2" t="s">
        <v>2908</v>
      </c>
      <c r="E652" s="2" t="s">
        <v>2909</v>
      </c>
      <c r="F652" s="2" t="b">
        <v>1</v>
      </c>
      <c r="G652" s="2" t="b">
        <v>0</v>
      </c>
      <c r="H652" s="2" t="s">
        <v>37</v>
      </c>
      <c r="I652" s="2" t="s">
        <v>22</v>
      </c>
      <c r="J652" s="2" t="s">
        <v>2869</v>
      </c>
      <c r="K652" s="2" t="s">
        <v>495</v>
      </c>
      <c r="L652" s="13" t="s">
        <v>496</v>
      </c>
      <c r="M652" s="2" t="s">
        <v>26</v>
      </c>
      <c r="N652" s="11" t="s">
        <v>576</v>
      </c>
      <c r="O652" s="12" t="s">
        <v>53</v>
      </c>
      <c r="P652" s="5" t="str">
        <f>IFERROR(__xludf.DUMMYFUNCTION("TEXTJOIN("" | "",TRUE,IF(OR(D652="""",E652="""",I652="""",J652="""",H652=""""),""ফাঁকা ঘর"",""""),IF(AND(C652&lt;&gt;"""",D652&lt;&gt;"""",C652=D652),""gloss=figurative"",""""),IF(LEN(D652)&lt;15,""figurative ছোট"",""""),IF(AND(I652=""Positive"",REGEXMATCH(H652,""মূর্খ|"&amp;"ভণ্ড|প্রতার|অলস|লোভ|স্বার্থ|অক্ষম|অযোগ্য|বোকা|কৃপণ|হিংস"")),""valence-target অমিল"",""""),IF(COUNTIF($B:$B,B652)&gt;1,""ডুপ্লিকেট"",""""))"),"figurative ছোট")</f>
        <v>figurative ছোট</v>
      </c>
      <c r="Q652" s="5" t="str">
        <f t="shared" si="1"/>
        <v>১ আগে দেখো</v>
      </c>
    </row>
    <row r="653">
      <c r="A653" s="4">
        <v>5948.0</v>
      </c>
      <c r="B653" s="2" t="s">
        <v>2910</v>
      </c>
      <c r="C653" s="2" t="s">
        <v>2911</v>
      </c>
      <c r="D653" s="2" t="s">
        <v>2912</v>
      </c>
      <c r="E653" s="2" t="s">
        <v>2913</v>
      </c>
      <c r="F653" s="2" t="b">
        <v>1</v>
      </c>
      <c r="G653" s="2" t="b">
        <v>0</v>
      </c>
      <c r="H653" s="2" t="s">
        <v>37</v>
      </c>
      <c r="I653" s="2" t="s">
        <v>22</v>
      </c>
      <c r="J653" s="2" t="s">
        <v>2869</v>
      </c>
      <c r="K653" s="2" t="s">
        <v>495</v>
      </c>
      <c r="L653" s="13" t="s">
        <v>496</v>
      </c>
      <c r="M653" s="2" t="s">
        <v>26</v>
      </c>
      <c r="N653" s="11" t="s">
        <v>2914</v>
      </c>
      <c r="O653" s="12" t="s">
        <v>53</v>
      </c>
      <c r="P653" s="5" t="str">
        <f>IFERROR(__xludf.DUMMYFUNCTION("TEXTJOIN("" | "",TRUE,IF(OR(D653="""",E653="""",I653="""",J653="""",H653=""""),""ফাঁকা ঘর"",""""),IF(AND(C653&lt;&gt;"""",D653&lt;&gt;"""",C653=D653),""gloss=figurative"",""""),IF(LEN(D653)&lt;15,""figurative ছোট"",""""),IF(AND(I653=""Positive"",REGEXMATCH(H653,""মূর্খ|"&amp;"ভণ্ড|প্রতার|অলস|লোভ|স্বার্থ|অক্ষম|অযোগ্য|বোকা|কৃপণ|হিংস"")),""valence-target অমিল"",""""),IF(COUNTIF($B:$B,B653)&gt;1,""ডুপ্লিকেট"",""""))"),"figurative ছোট")</f>
        <v>figurative ছোট</v>
      </c>
      <c r="Q653" s="5" t="str">
        <f t="shared" si="1"/>
        <v>১ আগে দেখো</v>
      </c>
    </row>
    <row r="654">
      <c r="A654" s="4">
        <v>5950.0</v>
      </c>
      <c r="B654" s="2" t="s">
        <v>2915</v>
      </c>
      <c r="C654" s="2" t="s">
        <v>2916</v>
      </c>
      <c r="D654" s="2" t="s">
        <v>2917</v>
      </c>
      <c r="E654" s="2" t="s">
        <v>2918</v>
      </c>
      <c r="F654" s="2" t="b">
        <v>1</v>
      </c>
      <c r="G654" s="2" t="b">
        <v>0</v>
      </c>
      <c r="H654" s="2" t="s">
        <v>756</v>
      </c>
      <c r="I654" s="2" t="s">
        <v>22</v>
      </c>
      <c r="J654" s="2" t="s">
        <v>1621</v>
      </c>
      <c r="K654" s="2" t="s">
        <v>495</v>
      </c>
      <c r="L654" s="13" t="s">
        <v>496</v>
      </c>
      <c r="M654" s="2" t="s">
        <v>26</v>
      </c>
      <c r="N654" s="11" t="s">
        <v>576</v>
      </c>
      <c r="O654" s="12" t="s">
        <v>53</v>
      </c>
      <c r="P654" s="5" t="str">
        <f>IFERROR(__xludf.DUMMYFUNCTION("TEXTJOIN("" | "",TRUE,IF(OR(D654="""",E654="""",I654="""",J654="""",H654=""""),""ফাঁকা ঘর"",""""),IF(AND(C654&lt;&gt;"""",D654&lt;&gt;"""",C654=D654),""gloss=figurative"",""""),IF(LEN(D654)&lt;15,""figurative ছোট"",""""),IF(AND(I654=""Positive"",REGEXMATCH(H654,""মূর্খ|"&amp;"ভণ্ড|প্রতার|অলস|লোভ|স্বার্থ|অক্ষম|অযোগ্য|বোকা|কৃপণ|হিংস"")),""valence-target অমিল"",""""),IF(COUNTIF($B:$B,B654)&gt;1,""ডুপ্লিকেট"",""""))"),"figurative ছোট")</f>
        <v>figurative ছোট</v>
      </c>
      <c r="Q654" s="5" t="str">
        <f t="shared" si="1"/>
        <v>১ আগে দেখো</v>
      </c>
    </row>
    <row r="655">
      <c r="A655" s="4">
        <v>5954.0</v>
      </c>
      <c r="B655" s="2" t="s">
        <v>2919</v>
      </c>
      <c r="C655" s="2" t="s">
        <v>2920</v>
      </c>
      <c r="D655" s="2" t="s">
        <v>2921</v>
      </c>
      <c r="E655" s="2" t="s">
        <v>2922</v>
      </c>
      <c r="F655" s="2" t="b">
        <v>1</v>
      </c>
      <c r="G655" s="2" t="b">
        <v>0</v>
      </c>
      <c r="H655" s="2" t="s">
        <v>37</v>
      </c>
      <c r="I655" s="2" t="s">
        <v>49</v>
      </c>
      <c r="J655" s="2" t="s">
        <v>2923</v>
      </c>
      <c r="K655" s="2" t="s">
        <v>495</v>
      </c>
      <c r="L655" s="13" t="s">
        <v>496</v>
      </c>
      <c r="M655" s="2" t="s">
        <v>26</v>
      </c>
      <c r="N655" s="11" t="s">
        <v>2924</v>
      </c>
      <c r="O655" s="12" t="s">
        <v>53</v>
      </c>
      <c r="P655" s="5" t="str">
        <f>IFERROR(__xludf.DUMMYFUNCTION("TEXTJOIN("" | "",TRUE,IF(OR(D655="""",E655="""",I655="""",J655="""",H655=""""),""ফাঁকা ঘর"",""""),IF(AND(C655&lt;&gt;"""",D655&lt;&gt;"""",C655=D655),""gloss=figurative"",""""),IF(LEN(D655)&lt;15,""figurative ছোট"",""""),IF(AND(I655=""Positive"",REGEXMATCH(H655,""মূর্খ|"&amp;"ভণ্ড|প্রতার|অলস|লোভ|স্বার্থ|অক্ষম|অযোগ্য|বোকা|কৃপণ|হিংস"")),""valence-target অমিল"",""""),IF(COUNTIF($B:$B,B655)&gt;1,""ডুপ্লিকেট"",""""))"),"figurative ছোট")</f>
        <v>figurative ছোট</v>
      </c>
      <c r="Q655" s="5" t="str">
        <f t="shared" si="1"/>
        <v>১ আগে দেখো</v>
      </c>
    </row>
    <row r="656">
      <c r="A656" s="4">
        <v>5955.0</v>
      </c>
      <c r="B656" s="2" t="s">
        <v>2925</v>
      </c>
      <c r="C656" s="2" t="s">
        <v>2926</v>
      </c>
      <c r="D656" s="2" t="s">
        <v>2927</v>
      </c>
      <c r="E656" s="2" t="s">
        <v>2928</v>
      </c>
      <c r="F656" s="2" t="b">
        <v>1</v>
      </c>
      <c r="G656" s="2" t="b">
        <v>1</v>
      </c>
      <c r="H656" s="2" t="s">
        <v>1106</v>
      </c>
      <c r="I656" s="2" t="s">
        <v>22</v>
      </c>
      <c r="J656" s="2" t="s">
        <v>1315</v>
      </c>
      <c r="K656" s="2" t="s">
        <v>495</v>
      </c>
      <c r="L656" s="13" t="s">
        <v>496</v>
      </c>
      <c r="M656" s="2" t="s">
        <v>26</v>
      </c>
      <c r="N656" s="11" t="s">
        <v>576</v>
      </c>
      <c r="O656" s="12" t="s">
        <v>53</v>
      </c>
      <c r="P656" s="5" t="str">
        <f>IFERROR(__xludf.DUMMYFUNCTION("TEXTJOIN("" | "",TRUE,IF(OR(D656="""",E656="""",I656="""",J656="""",H656=""""),""ফাঁকা ঘর"",""""),IF(AND(C656&lt;&gt;"""",D656&lt;&gt;"""",C656=D656),""gloss=figurative"",""""),IF(LEN(D656)&lt;15,""figurative ছোট"",""""),IF(AND(I656=""Positive"",REGEXMATCH(H656,""মূর্খ|"&amp;"ভণ্ড|প্রতার|অলস|লোভ|স্বার্থ|অক্ষম|অযোগ্য|বোকা|কৃপণ|হিংস"")),""valence-target অমিল"",""""),IF(COUNTIF($B:$B,B656)&gt;1,""ডুপ্লিকেট"",""""))"),"figurative ছোট")</f>
        <v>figurative ছোট</v>
      </c>
      <c r="Q656" s="5" t="str">
        <f t="shared" si="1"/>
        <v>১ আগে দেখো</v>
      </c>
    </row>
    <row r="657">
      <c r="A657" s="4">
        <v>5956.0</v>
      </c>
      <c r="B657" s="2" t="s">
        <v>2929</v>
      </c>
      <c r="C657" s="2" t="s">
        <v>2930</v>
      </c>
      <c r="D657" s="2" t="s">
        <v>2931</v>
      </c>
      <c r="E657" s="2" t="s">
        <v>2932</v>
      </c>
      <c r="F657" s="2" t="b">
        <v>1</v>
      </c>
      <c r="G657" s="2" t="b">
        <v>0</v>
      </c>
      <c r="H657" s="2" t="s">
        <v>37</v>
      </c>
      <c r="I657" s="2" t="s">
        <v>22</v>
      </c>
      <c r="J657" s="2" t="s">
        <v>447</v>
      </c>
      <c r="K657" s="2" t="s">
        <v>495</v>
      </c>
      <c r="L657" s="13" t="s">
        <v>496</v>
      </c>
      <c r="M657" s="2" t="s">
        <v>26</v>
      </c>
      <c r="N657" s="11" t="s">
        <v>576</v>
      </c>
      <c r="O657" s="12" t="s">
        <v>53</v>
      </c>
      <c r="P657" s="5" t="str">
        <f>IFERROR(__xludf.DUMMYFUNCTION("TEXTJOIN("" | "",TRUE,IF(OR(D657="""",E657="""",I657="""",J657="""",H657=""""),""ফাঁকা ঘর"",""""),IF(AND(C657&lt;&gt;"""",D657&lt;&gt;"""",C657=D657),""gloss=figurative"",""""),IF(LEN(D657)&lt;15,""figurative ছোট"",""""),IF(AND(I657=""Positive"",REGEXMATCH(H657,""মূর্খ|"&amp;"ভণ্ড|প্রতার|অলস|লোভ|স্বার্থ|অক্ষম|অযোগ্য|বোকা|কৃপণ|হিংস"")),""valence-target অমিল"",""""),IF(COUNTIF($B:$B,B657)&gt;1,""ডুপ্লিকেট"",""""))"),"figurative ছোট")</f>
        <v>figurative ছোট</v>
      </c>
      <c r="Q657" s="5" t="str">
        <f t="shared" si="1"/>
        <v>১ আগে দেখো</v>
      </c>
    </row>
    <row r="658">
      <c r="A658" s="4">
        <v>5958.0</v>
      </c>
      <c r="B658" s="2" t="s">
        <v>2933</v>
      </c>
      <c r="C658" s="2" t="s">
        <v>2934</v>
      </c>
      <c r="D658" s="2" t="s">
        <v>2935</v>
      </c>
      <c r="E658" s="2" t="s">
        <v>2936</v>
      </c>
      <c r="F658" s="2" t="b">
        <v>1</v>
      </c>
      <c r="G658" s="2" t="b">
        <v>0</v>
      </c>
      <c r="H658" s="2" t="s">
        <v>37</v>
      </c>
      <c r="I658" s="2" t="s">
        <v>22</v>
      </c>
      <c r="J658" s="2" t="s">
        <v>2937</v>
      </c>
      <c r="K658" s="2" t="s">
        <v>495</v>
      </c>
      <c r="L658" s="13" t="s">
        <v>496</v>
      </c>
      <c r="M658" s="2" t="s">
        <v>26</v>
      </c>
      <c r="N658" s="11" t="s">
        <v>576</v>
      </c>
      <c r="O658" s="12" t="s">
        <v>53</v>
      </c>
      <c r="P658" s="5" t="str">
        <f>IFERROR(__xludf.DUMMYFUNCTION("TEXTJOIN("" | "",TRUE,IF(OR(D658="""",E658="""",I658="""",J658="""",H658=""""),""ফাঁকা ঘর"",""""),IF(AND(C658&lt;&gt;"""",D658&lt;&gt;"""",C658=D658),""gloss=figurative"",""""),IF(LEN(D658)&lt;15,""figurative ছোট"",""""),IF(AND(I658=""Positive"",REGEXMATCH(H658,""মূর্খ|"&amp;"ভণ্ড|প্রতার|অলস|লোভ|স্বার্থ|অক্ষম|অযোগ্য|বোকা|কৃপণ|হিংস"")),""valence-target অমিল"",""""),IF(COUNTIF($B:$B,B658)&gt;1,""ডুপ্লিকেট"",""""))"),"figurative ছোট")</f>
        <v>figurative ছোট</v>
      </c>
      <c r="Q658" s="5" t="str">
        <f t="shared" si="1"/>
        <v>১ আগে দেখো</v>
      </c>
    </row>
    <row r="659">
      <c r="A659" s="4">
        <v>5964.0</v>
      </c>
      <c r="B659" s="2" t="s">
        <v>2938</v>
      </c>
      <c r="C659" s="2" t="s">
        <v>2939</v>
      </c>
      <c r="D659" s="2" t="s">
        <v>2940</v>
      </c>
      <c r="E659" s="2" t="s">
        <v>2941</v>
      </c>
      <c r="F659" s="2" t="b">
        <v>1</v>
      </c>
      <c r="G659" s="2" t="b">
        <v>0</v>
      </c>
      <c r="H659" s="2" t="s">
        <v>37</v>
      </c>
      <c r="I659" s="2" t="s">
        <v>22</v>
      </c>
      <c r="J659" s="2" t="s">
        <v>674</v>
      </c>
      <c r="K659" s="2" t="s">
        <v>495</v>
      </c>
      <c r="L659" s="13" t="s">
        <v>496</v>
      </c>
      <c r="M659" s="2" t="s">
        <v>26</v>
      </c>
      <c r="N659" s="11" t="s">
        <v>2942</v>
      </c>
      <c r="O659" s="12" t="s">
        <v>53</v>
      </c>
      <c r="P659" s="5" t="str">
        <f>IFERROR(__xludf.DUMMYFUNCTION("TEXTJOIN("" | "",TRUE,IF(OR(D659="""",E659="""",I659="""",J659="""",H659=""""),""ফাঁকা ঘর"",""""),IF(AND(C659&lt;&gt;"""",D659&lt;&gt;"""",C659=D659),""gloss=figurative"",""""),IF(LEN(D659)&lt;15,""figurative ছোট"",""""),IF(AND(I659=""Positive"",REGEXMATCH(H659,""মূর্খ|"&amp;"ভণ্ড|প্রতার|অলস|লোভ|স্বার্থ|অক্ষম|অযোগ্য|বোকা|কৃপণ|হিংস"")),""valence-target অমিল"",""""),IF(COUNTIF($B:$B,B659)&gt;1,""ডুপ্লিকেট"",""""))"),"figurative ছোট")</f>
        <v>figurative ছোট</v>
      </c>
      <c r="Q659" s="5" t="str">
        <f t="shared" si="1"/>
        <v>১ আগে দেখো</v>
      </c>
    </row>
    <row r="660">
      <c r="A660" s="4">
        <v>5965.0</v>
      </c>
      <c r="B660" s="2" t="s">
        <v>2943</v>
      </c>
      <c r="C660" s="2" t="s">
        <v>2944</v>
      </c>
      <c r="D660" s="2" t="s">
        <v>2945</v>
      </c>
      <c r="E660" s="2" t="s">
        <v>2946</v>
      </c>
      <c r="F660" s="2" t="b">
        <v>1</v>
      </c>
      <c r="G660" s="2" t="b">
        <v>0</v>
      </c>
      <c r="H660" s="2" t="s">
        <v>37</v>
      </c>
      <c r="I660" s="2" t="s">
        <v>22</v>
      </c>
      <c r="J660" s="2" t="s">
        <v>674</v>
      </c>
      <c r="K660" s="2" t="s">
        <v>495</v>
      </c>
      <c r="L660" s="13" t="s">
        <v>496</v>
      </c>
      <c r="M660" s="2" t="s">
        <v>26</v>
      </c>
      <c r="N660" s="11" t="s">
        <v>2947</v>
      </c>
      <c r="O660" s="12" t="s">
        <v>53</v>
      </c>
      <c r="P660" s="5" t="str">
        <f>IFERROR(__xludf.DUMMYFUNCTION("TEXTJOIN("" | "",TRUE,IF(OR(D660="""",E660="""",I660="""",J660="""",H660=""""),""ফাঁকা ঘর"",""""),IF(AND(C660&lt;&gt;"""",D660&lt;&gt;"""",C660=D660),""gloss=figurative"",""""),IF(LEN(D660)&lt;15,""figurative ছোট"",""""),IF(AND(I660=""Positive"",REGEXMATCH(H660,""মূর্খ|"&amp;"ভণ্ড|প্রতার|অলস|লোভ|স্বার্থ|অক্ষম|অযোগ্য|বোকা|কৃপণ|হিংস"")),""valence-target অমিল"",""""),IF(COUNTIF($B:$B,B660)&gt;1,""ডুপ্লিকেট"",""""))"),"figurative ছোট")</f>
        <v>figurative ছোট</v>
      </c>
      <c r="Q660" s="5" t="str">
        <f t="shared" si="1"/>
        <v>১ আগে দেখো</v>
      </c>
    </row>
    <row r="661">
      <c r="A661" s="4">
        <v>5969.0</v>
      </c>
      <c r="B661" s="2" t="s">
        <v>2948</v>
      </c>
      <c r="C661" s="2" t="s">
        <v>2949</v>
      </c>
      <c r="D661" s="2" t="s">
        <v>2950</v>
      </c>
      <c r="E661" s="2" t="s">
        <v>2951</v>
      </c>
      <c r="F661" s="2" t="b">
        <v>1</v>
      </c>
      <c r="G661" s="2" t="b">
        <v>0</v>
      </c>
      <c r="H661" s="2" t="s">
        <v>37</v>
      </c>
      <c r="I661" s="2" t="s">
        <v>49</v>
      </c>
      <c r="J661" s="2" t="s">
        <v>1008</v>
      </c>
      <c r="K661" s="2" t="s">
        <v>495</v>
      </c>
      <c r="L661" s="13" t="s">
        <v>496</v>
      </c>
      <c r="M661" s="2" t="s">
        <v>26</v>
      </c>
      <c r="N661" s="11" t="s">
        <v>576</v>
      </c>
      <c r="O661" s="12" t="s">
        <v>53</v>
      </c>
      <c r="P661" s="5" t="str">
        <f>IFERROR(__xludf.DUMMYFUNCTION("TEXTJOIN("" | "",TRUE,IF(OR(D661="""",E661="""",I661="""",J661="""",H661=""""),""ফাঁকা ঘর"",""""),IF(AND(C661&lt;&gt;"""",D661&lt;&gt;"""",C661=D661),""gloss=figurative"",""""),IF(LEN(D661)&lt;15,""figurative ছোট"",""""),IF(AND(I661=""Positive"",REGEXMATCH(H661,""মূর্খ|"&amp;"ভণ্ড|প্রতার|অলস|লোভ|স্বার্থ|অক্ষম|অযোগ্য|বোকা|কৃপণ|হিংস"")),""valence-target অমিল"",""""),IF(COUNTIF($B:$B,B661)&gt;1,""ডুপ্লিকেট"",""""))"),"figurative ছোট")</f>
        <v>figurative ছোট</v>
      </c>
      <c r="Q661" s="5" t="str">
        <f t="shared" si="1"/>
        <v>১ আগে দেখো</v>
      </c>
    </row>
    <row r="662">
      <c r="A662" s="4">
        <v>5973.0</v>
      </c>
      <c r="B662" s="2" t="s">
        <v>2952</v>
      </c>
      <c r="C662" s="2" t="s">
        <v>2953</v>
      </c>
      <c r="D662" s="2" t="s">
        <v>2954</v>
      </c>
      <c r="E662" s="2" t="s">
        <v>2955</v>
      </c>
      <c r="F662" s="2" t="b">
        <v>1</v>
      </c>
      <c r="G662" s="2" t="b">
        <v>0</v>
      </c>
      <c r="H662" s="2" t="s">
        <v>1188</v>
      </c>
      <c r="I662" s="2" t="s">
        <v>22</v>
      </c>
      <c r="J662" s="2" t="s">
        <v>729</v>
      </c>
      <c r="K662" s="2" t="s">
        <v>495</v>
      </c>
      <c r="L662" s="13" t="s">
        <v>496</v>
      </c>
      <c r="M662" s="2" t="s">
        <v>26</v>
      </c>
      <c r="N662" s="11" t="s">
        <v>576</v>
      </c>
      <c r="O662" s="12" t="s">
        <v>53</v>
      </c>
      <c r="P662" s="5" t="str">
        <f>IFERROR(__xludf.DUMMYFUNCTION("TEXTJOIN("" | "",TRUE,IF(OR(D662="""",E662="""",I662="""",J662="""",H662=""""),""ফাঁকা ঘর"",""""),IF(AND(C662&lt;&gt;"""",D662&lt;&gt;"""",C662=D662),""gloss=figurative"",""""),IF(LEN(D662)&lt;15,""figurative ছোট"",""""),IF(AND(I662=""Positive"",REGEXMATCH(H662,""মূর্খ|"&amp;"ভণ্ড|প্রতার|অলস|লোভ|স্বার্থ|অক্ষম|অযোগ্য|বোকা|কৃপণ|হিংস"")),""valence-target অমিল"",""""),IF(COUNTIF($B:$B,B662)&gt;1,""ডুপ্লিকেট"",""""))"),"figurative ছোট")</f>
        <v>figurative ছোট</v>
      </c>
      <c r="Q662" s="5" t="str">
        <f t="shared" si="1"/>
        <v>১ আগে দেখো</v>
      </c>
    </row>
    <row r="663">
      <c r="A663" s="4">
        <v>5976.0</v>
      </c>
      <c r="B663" s="2" t="s">
        <v>2956</v>
      </c>
      <c r="C663" s="2" t="s">
        <v>2956</v>
      </c>
      <c r="D663" s="2" t="s">
        <v>2957</v>
      </c>
      <c r="E663" s="2" t="s">
        <v>2958</v>
      </c>
      <c r="F663" s="2" t="b">
        <v>1</v>
      </c>
      <c r="G663" s="2" t="b">
        <v>0</v>
      </c>
      <c r="H663" s="2" t="s">
        <v>1334</v>
      </c>
      <c r="I663" s="2" t="s">
        <v>22</v>
      </c>
      <c r="J663" s="2" t="s">
        <v>820</v>
      </c>
      <c r="K663" s="2" t="s">
        <v>495</v>
      </c>
      <c r="L663" s="13" t="s">
        <v>496</v>
      </c>
      <c r="M663" s="2" t="s">
        <v>26</v>
      </c>
      <c r="N663" s="11" t="s">
        <v>576</v>
      </c>
      <c r="O663" s="12" t="s">
        <v>53</v>
      </c>
      <c r="P663" s="5" t="str">
        <f>IFERROR(__xludf.DUMMYFUNCTION("TEXTJOIN("" | "",TRUE,IF(OR(D663="""",E663="""",I663="""",J663="""",H663=""""),""ফাঁকা ঘর"",""""),IF(AND(C663&lt;&gt;"""",D663&lt;&gt;"""",C663=D663),""gloss=figurative"",""""),IF(LEN(D663)&lt;15,""figurative ছোট"",""""),IF(AND(I663=""Positive"",REGEXMATCH(H663,""মূর্খ|"&amp;"ভণ্ড|প্রতার|অলস|লোভ|স্বার্থ|অক্ষম|অযোগ্য|বোকা|কৃপণ|হিংস"")),""valence-target অমিল"",""""),IF(COUNTIF($B:$B,B663)&gt;1,""ডুপ্লিকেট"",""""))"),"figurative ছোট")</f>
        <v>figurative ছোট</v>
      </c>
      <c r="Q663" s="5" t="str">
        <f t="shared" si="1"/>
        <v>১ আগে দেখো</v>
      </c>
    </row>
    <row r="664">
      <c r="A664" s="4">
        <v>5979.0</v>
      </c>
      <c r="B664" s="2" t="s">
        <v>2959</v>
      </c>
      <c r="C664" s="2" t="s">
        <v>2960</v>
      </c>
      <c r="D664" s="2" t="s">
        <v>2961</v>
      </c>
      <c r="E664" s="2" t="s">
        <v>2962</v>
      </c>
      <c r="F664" s="2" t="b">
        <v>1</v>
      </c>
      <c r="G664" s="2" t="b">
        <v>0</v>
      </c>
      <c r="H664" s="2" t="s">
        <v>37</v>
      </c>
      <c r="I664" s="2" t="s">
        <v>22</v>
      </c>
      <c r="J664" s="2" t="s">
        <v>1013</v>
      </c>
      <c r="K664" s="2" t="s">
        <v>495</v>
      </c>
      <c r="L664" s="13" t="s">
        <v>496</v>
      </c>
      <c r="M664" s="2" t="s">
        <v>26</v>
      </c>
      <c r="N664" s="11" t="s">
        <v>576</v>
      </c>
      <c r="O664" s="12" t="s">
        <v>53</v>
      </c>
      <c r="P664" s="5" t="str">
        <f>IFERROR(__xludf.DUMMYFUNCTION("TEXTJOIN("" | "",TRUE,IF(OR(D664="""",E664="""",I664="""",J664="""",H664=""""),""ফাঁকা ঘর"",""""),IF(AND(C664&lt;&gt;"""",D664&lt;&gt;"""",C664=D664),""gloss=figurative"",""""),IF(LEN(D664)&lt;15,""figurative ছোট"",""""),IF(AND(I664=""Positive"",REGEXMATCH(H664,""মূর্খ|"&amp;"ভণ্ড|প্রতার|অলস|লোভ|স্বার্থ|অক্ষম|অযোগ্য|বোকা|কৃপণ|হিংস"")),""valence-target অমিল"",""""),IF(COUNTIF($B:$B,B664)&gt;1,""ডুপ্লিকেট"",""""))"),"figurative ছোট")</f>
        <v>figurative ছোট</v>
      </c>
      <c r="Q664" s="5" t="str">
        <f t="shared" si="1"/>
        <v>১ আগে দেখো</v>
      </c>
    </row>
    <row r="665">
      <c r="A665" s="4">
        <v>5980.0</v>
      </c>
      <c r="B665" s="2" t="s">
        <v>2963</v>
      </c>
      <c r="C665" s="2" t="s">
        <v>2963</v>
      </c>
      <c r="D665" s="2" t="s">
        <v>2964</v>
      </c>
      <c r="E665" s="2" t="s">
        <v>2965</v>
      </c>
      <c r="F665" s="2" t="b">
        <v>1</v>
      </c>
      <c r="G665" s="2" t="b">
        <v>0</v>
      </c>
      <c r="H665" s="2" t="s">
        <v>37</v>
      </c>
      <c r="I665" s="2" t="s">
        <v>49</v>
      </c>
      <c r="J665" s="2" t="s">
        <v>1060</v>
      </c>
      <c r="K665" s="2" t="s">
        <v>495</v>
      </c>
      <c r="L665" s="13" t="s">
        <v>496</v>
      </c>
      <c r="M665" s="2" t="s">
        <v>26</v>
      </c>
      <c r="N665" s="11" t="s">
        <v>576</v>
      </c>
      <c r="O665" s="12" t="s">
        <v>53</v>
      </c>
      <c r="P665" s="5" t="str">
        <f>IFERROR(__xludf.DUMMYFUNCTION("TEXTJOIN("" | "",TRUE,IF(OR(D665="""",E665="""",I665="""",J665="""",H665=""""),""ফাঁকা ঘর"",""""),IF(AND(C665&lt;&gt;"""",D665&lt;&gt;"""",C665=D665),""gloss=figurative"",""""),IF(LEN(D665)&lt;15,""figurative ছোট"",""""),IF(AND(I665=""Positive"",REGEXMATCH(H665,""মূর্খ|"&amp;"ভণ্ড|প্রতার|অলস|লোভ|স্বার্থ|অক্ষম|অযোগ্য|বোকা|কৃপণ|হিংস"")),""valence-target অমিল"",""""),IF(COUNTIF($B:$B,B665)&gt;1,""ডুপ্লিকেট"",""""))"),"figurative ছোট")</f>
        <v>figurative ছোট</v>
      </c>
      <c r="Q665" s="5" t="str">
        <f t="shared" si="1"/>
        <v>১ আগে দেখো</v>
      </c>
    </row>
    <row r="666">
      <c r="A666" s="4">
        <v>5985.0</v>
      </c>
      <c r="B666" s="2" t="s">
        <v>2966</v>
      </c>
      <c r="C666" s="2" t="s">
        <v>2967</v>
      </c>
      <c r="D666" s="2" t="s">
        <v>2968</v>
      </c>
      <c r="E666" s="2" t="s">
        <v>2969</v>
      </c>
      <c r="F666" s="2" t="b">
        <v>1</v>
      </c>
      <c r="G666" s="2" t="b">
        <v>0</v>
      </c>
      <c r="H666" s="2" t="s">
        <v>37</v>
      </c>
      <c r="I666" s="2" t="s">
        <v>22</v>
      </c>
      <c r="J666" s="2" t="s">
        <v>1060</v>
      </c>
      <c r="K666" s="2" t="s">
        <v>495</v>
      </c>
      <c r="L666" s="13" t="s">
        <v>496</v>
      </c>
      <c r="M666" s="2" t="s">
        <v>26</v>
      </c>
      <c r="N666" s="11" t="s">
        <v>576</v>
      </c>
      <c r="O666" s="12" t="s">
        <v>53</v>
      </c>
      <c r="P666" s="5" t="str">
        <f>IFERROR(__xludf.DUMMYFUNCTION("TEXTJOIN("" | "",TRUE,IF(OR(D666="""",E666="""",I666="""",J666="""",H666=""""),""ফাঁকা ঘর"",""""),IF(AND(C666&lt;&gt;"""",D666&lt;&gt;"""",C666=D666),""gloss=figurative"",""""),IF(LEN(D666)&lt;15,""figurative ছোট"",""""),IF(AND(I666=""Positive"",REGEXMATCH(H666,""মূর্খ|"&amp;"ভণ্ড|প্রতার|অলস|লোভ|স্বার্থ|অক্ষম|অযোগ্য|বোকা|কৃপণ|হিংস"")),""valence-target অমিল"",""""),IF(COUNTIF($B:$B,B666)&gt;1,""ডুপ্লিকেট"",""""))"),"figurative ছোট")</f>
        <v>figurative ছোট</v>
      </c>
      <c r="Q666" s="5" t="str">
        <f t="shared" si="1"/>
        <v>১ আগে দেখো</v>
      </c>
    </row>
    <row r="667">
      <c r="A667" s="4">
        <v>5986.0</v>
      </c>
      <c r="B667" s="2" t="s">
        <v>2970</v>
      </c>
      <c r="C667" s="2" t="s">
        <v>2971</v>
      </c>
      <c r="D667" s="2" t="s">
        <v>2972</v>
      </c>
      <c r="E667" s="2" t="s">
        <v>2973</v>
      </c>
      <c r="F667" s="2" t="b">
        <v>1</v>
      </c>
      <c r="G667" s="2" t="b">
        <v>0</v>
      </c>
      <c r="H667" s="2" t="s">
        <v>37</v>
      </c>
      <c r="I667" s="2" t="s">
        <v>49</v>
      </c>
      <c r="J667" s="2" t="s">
        <v>581</v>
      </c>
      <c r="K667" s="2" t="s">
        <v>495</v>
      </c>
      <c r="L667" s="13" t="s">
        <v>496</v>
      </c>
      <c r="M667" s="2" t="s">
        <v>26</v>
      </c>
      <c r="N667" s="11" t="s">
        <v>576</v>
      </c>
      <c r="O667" s="12" t="s">
        <v>53</v>
      </c>
      <c r="P667" s="5" t="str">
        <f>IFERROR(__xludf.DUMMYFUNCTION("TEXTJOIN("" | "",TRUE,IF(OR(D667="""",E667="""",I667="""",J667="""",H667=""""),""ফাঁকা ঘর"",""""),IF(AND(C667&lt;&gt;"""",D667&lt;&gt;"""",C667=D667),""gloss=figurative"",""""),IF(LEN(D667)&lt;15,""figurative ছোট"",""""),IF(AND(I667=""Positive"",REGEXMATCH(H667,""মূর্খ|"&amp;"ভণ্ড|প্রতার|অলস|লোভ|স্বার্থ|অক্ষম|অযোগ্য|বোকা|কৃপণ|হিংস"")),""valence-target অমিল"",""""),IF(COUNTIF($B:$B,B667)&gt;1,""ডুপ্লিকেট"",""""))"),"figurative ছোট")</f>
        <v>figurative ছোট</v>
      </c>
      <c r="Q667" s="5" t="str">
        <f t="shared" si="1"/>
        <v>১ আগে দেখো</v>
      </c>
    </row>
    <row r="668">
      <c r="A668" s="4">
        <v>5988.0</v>
      </c>
      <c r="B668" s="2" t="s">
        <v>2974</v>
      </c>
      <c r="C668" s="2" t="s">
        <v>2975</v>
      </c>
      <c r="D668" s="2" t="s">
        <v>2976</v>
      </c>
      <c r="E668" s="2" t="s">
        <v>2977</v>
      </c>
      <c r="F668" s="2" t="b">
        <v>1</v>
      </c>
      <c r="G668" s="2" t="b">
        <v>0</v>
      </c>
      <c r="H668" s="2" t="s">
        <v>37</v>
      </c>
      <c r="I668" s="2" t="s">
        <v>22</v>
      </c>
      <c r="J668" s="2" t="s">
        <v>1060</v>
      </c>
      <c r="K668" s="2" t="s">
        <v>495</v>
      </c>
      <c r="L668" s="13" t="s">
        <v>496</v>
      </c>
      <c r="M668" s="2" t="s">
        <v>26</v>
      </c>
      <c r="N668" s="11" t="s">
        <v>576</v>
      </c>
      <c r="O668" s="12" t="s">
        <v>53</v>
      </c>
      <c r="P668" s="5" t="str">
        <f>IFERROR(__xludf.DUMMYFUNCTION("TEXTJOIN("" | "",TRUE,IF(OR(D668="""",E668="""",I668="""",J668="""",H668=""""),""ফাঁকা ঘর"",""""),IF(AND(C668&lt;&gt;"""",D668&lt;&gt;"""",C668=D668),""gloss=figurative"",""""),IF(LEN(D668)&lt;15,""figurative ছোট"",""""),IF(AND(I668=""Positive"",REGEXMATCH(H668,""মূর্খ|"&amp;"ভণ্ড|প্রতার|অলস|লোভ|স্বার্থ|অক্ষম|অযোগ্য|বোকা|কৃপণ|হিংস"")),""valence-target অমিল"",""""),IF(COUNTIF($B:$B,B668)&gt;1,""ডুপ্লিকেট"",""""))"),"figurative ছোট")</f>
        <v>figurative ছোট</v>
      </c>
      <c r="Q668" s="5" t="str">
        <f t="shared" si="1"/>
        <v>১ আগে দেখো</v>
      </c>
    </row>
    <row r="669">
      <c r="A669" s="4">
        <v>5989.0</v>
      </c>
      <c r="B669" s="2" t="s">
        <v>2978</v>
      </c>
      <c r="C669" s="2" t="s">
        <v>2979</v>
      </c>
      <c r="D669" s="2" t="s">
        <v>2980</v>
      </c>
      <c r="E669" s="2" t="s">
        <v>2981</v>
      </c>
      <c r="F669" s="2" t="b">
        <v>1</v>
      </c>
      <c r="G669" s="2" t="b">
        <v>0</v>
      </c>
      <c r="H669" s="2" t="s">
        <v>37</v>
      </c>
      <c r="I669" s="2" t="s">
        <v>49</v>
      </c>
      <c r="J669" s="2" t="s">
        <v>1060</v>
      </c>
      <c r="K669" s="2" t="s">
        <v>495</v>
      </c>
      <c r="L669" s="13" t="s">
        <v>496</v>
      </c>
      <c r="M669" s="2" t="s">
        <v>26</v>
      </c>
      <c r="N669" s="11" t="s">
        <v>576</v>
      </c>
      <c r="O669" s="12" t="s">
        <v>53</v>
      </c>
      <c r="P669" s="5" t="str">
        <f>IFERROR(__xludf.DUMMYFUNCTION("TEXTJOIN("" | "",TRUE,IF(OR(D669="""",E669="""",I669="""",J669="""",H669=""""),""ফাঁকা ঘর"",""""),IF(AND(C669&lt;&gt;"""",D669&lt;&gt;"""",C669=D669),""gloss=figurative"",""""),IF(LEN(D669)&lt;15,""figurative ছোট"",""""),IF(AND(I669=""Positive"",REGEXMATCH(H669,""মূর্খ|"&amp;"ভণ্ড|প্রতার|অলস|লোভ|স্বার্থ|অক্ষম|অযোগ্য|বোকা|কৃপণ|হিংস"")),""valence-target অমিল"",""""),IF(COUNTIF($B:$B,B669)&gt;1,""ডুপ্লিকেট"",""""))"),"figurative ছোট")</f>
        <v>figurative ছোট</v>
      </c>
      <c r="Q669" s="5" t="str">
        <f t="shared" si="1"/>
        <v>১ আগে দেখো</v>
      </c>
    </row>
    <row r="670">
      <c r="A670" s="4">
        <v>5991.0</v>
      </c>
      <c r="B670" s="2" t="s">
        <v>2982</v>
      </c>
      <c r="C670" s="2" t="s">
        <v>2983</v>
      </c>
      <c r="D670" s="2" t="s">
        <v>2984</v>
      </c>
      <c r="E670" s="2" t="s">
        <v>2985</v>
      </c>
      <c r="F670" s="2" t="b">
        <v>1</v>
      </c>
      <c r="G670" s="2" t="b">
        <v>0</v>
      </c>
      <c r="H670" s="2" t="s">
        <v>37</v>
      </c>
      <c r="I670" s="2" t="s">
        <v>32</v>
      </c>
      <c r="J670" s="2" t="s">
        <v>1060</v>
      </c>
      <c r="K670" s="2" t="s">
        <v>495</v>
      </c>
      <c r="L670" s="13" t="s">
        <v>496</v>
      </c>
      <c r="M670" s="2" t="s">
        <v>26</v>
      </c>
      <c r="N670" s="11" t="s">
        <v>576</v>
      </c>
      <c r="O670" s="12" t="s">
        <v>53</v>
      </c>
      <c r="P670" s="5" t="str">
        <f>IFERROR(__xludf.DUMMYFUNCTION("TEXTJOIN("" | "",TRUE,IF(OR(D670="""",E670="""",I670="""",J670="""",H670=""""),""ফাঁকা ঘর"",""""),IF(AND(C670&lt;&gt;"""",D670&lt;&gt;"""",C670=D670),""gloss=figurative"",""""),IF(LEN(D670)&lt;15,""figurative ছোট"",""""),IF(AND(I670=""Positive"",REGEXMATCH(H670,""মূর্খ|"&amp;"ভণ্ড|প্রতার|অলস|লোভ|স্বার্থ|অক্ষম|অযোগ্য|বোকা|কৃপণ|হিংস"")),""valence-target অমিল"",""""),IF(COUNTIF($B:$B,B670)&gt;1,""ডুপ্লিকেট"",""""))"),"figurative ছোট")</f>
        <v>figurative ছোট</v>
      </c>
      <c r="Q670" s="5" t="str">
        <f t="shared" si="1"/>
        <v>১ আগে দেখো</v>
      </c>
    </row>
    <row r="671">
      <c r="A671" s="4">
        <v>5992.0</v>
      </c>
      <c r="B671" s="2" t="s">
        <v>2986</v>
      </c>
      <c r="C671" s="2" t="s">
        <v>2987</v>
      </c>
      <c r="D671" s="2" t="s">
        <v>2988</v>
      </c>
      <c r="E671" s="2" t="s">
        <v>2989</v>
      </c>
      <c r="F671" s="2" t="b">
        <v>1</v>
      </c>
      <c r="G671" s="2" t="b">
        <v>0</v>
      </c>
      <c r="H671" s="2" t="s">
        <v>37</v>
      </c>
      <c r="I671" s="2" t="s">
        <v>22</v>
      </c>
      <c r="J671" s="2" t="s">
        <v>1038</v>
      </c>
      <c r="K671" s="2" t="s">
        <v>495</v>
      </c>
      <c r="L671" s="13" t="s">
        <v>496</v>
      </c>
      <c r="M671" s="2" t="s">
        <v>26</v>
      </c>
      <c r="N671" s="11" t="s">
        <v>576</v>
      </c>
      <c r="O671" s="12" t="s">
        <v>53</v>
      </c>
      <c r="P671" s="5" t="str">
        <f>IFERROR(__xludf.DUMMYFUNCTION("TEXTJOIN("" | "",TRUE,IF(OR(D671="""",E671="""",I671="""",J671="""",H671=""""),""ফাঁকা ঘর"",""""),IF(AND(C671&lt;&gt;"""",D671&lt;&gt;"""",C671=D671),""gloss=figurative"",""""),IF(LEN(D671)&lt;15,""figurative ছোট"",""""),IF(AND(I671=""Positive"",REGEXMATCH(H671,""মূর্খ|"&amp;"ভণ্ড|প্রতার|অলস|লোভ|স্বার্থ|অক্ষম|অযোগ্য|বোকা|কৃপণ|হিংস"")),""valence-target অমিল"",""""),IF(COUNTIF($B:$B,B671)&gt;1,""ডুপ্লিকেট"",""""))"),"figurative ছোট")</f>
        <v>figurative ছোট</v>
      </c>
      <c r="Q671" s="5" t="str">
        <f t="shared" si="1"/>
        <v>১ আগে দেখো</v>
      </c>
    </row>
    <row r="672">
      <c r="A672" s="4">
        <v>5994.0</v>
      </c>
      <c r="B672" s="2" t="s">
        <v>2990</v>
      </c>
      <c r="C672" s="2" t="s">
        <v>2991</v>
      </c>
      <c r="D672" s="2" t="s">
        <v>2992</v>
      </c>
      <c r="E672" s="2" t="s">
        <v>2993</v>
      </c>
      <c r="F672" s="2" t="b">
        <v>1</v>
      </c>
      <c r="G672" s="2" t="b">
        <v>0</v>
      </c>
      <c r="H672" s="2" t="s">
        <v>1334</v>
      </c>
      <c r="I672" s="2" t="s">
        <v>22</v>
      </c>
      <c r="J672" s="2" t="s">
        <v>820</v>
      </c>
      <c r="K672" s="2" t="s">
        <v>495</v>
      </c>
      <c r="L672" s="13" t="s">
        <v>496</v>
      </c>
      <c r="M672" s="2" t="s">
        <v>26</v>
      </c>
      <c r="N672" s="11" t="s">
        <v>576</v>
      </c>
      <c r="O672" s="12" t="s">
        <v>53</v>
      </c>
      <c r="P672" s="5" t="str">
        <f>IFERROR(__xludf.DUMMYFUNCTION("TEXTJOIN("" | "",TRUE,IF(OR(D672="""",E672="""",I672="""",J672="""",H672=""""),""ফাঁকা ঘর"",""""),IF(AND(C672&lt;&gt;"""",D672&lt;&gt;"""",C672=D672),""gloss=figurative"",""""),IF(LEN(D672)&lt;15,""figurative ছোট"",""""),IF(AND(I672=""Positive"",REGEXMATCH(H672,""মূর্খ|"&amp;"ভণ্ড|প্রতার|অলস|লোভ|স্বার্থ|অক্ষম|অযোগ্য|বোকা|কৃপণ|হিংস"")),""valence-target অমিল"",""""),IF(COUNTIF($B:$B,B672)&gt;1,""ডুপ্লিকেট"",""""))"),"figurative ছোট")</f>
        <v>figurative ছোট</v>
      </c>
      <c r="Q672" s="5" t="str">
        <f t="shared" si="1"/>
        <v>১ আগে দেখো</v>
      </c>
    </row>
    <row r="673">
      <c r="A673" s="4">
        <v>5995.0</v>
      </c>
      <c r="B673" s="2" t="s">
        <v>2994</v>
      </c>
      <c r="C673" s="2" t="s">
        <v>2995</v>
      </c>
      <c r="D673" s="2" t="s">
        <v>2996</v>
      </c>
      <c r="E673" s="2" t="s">
        <v>2997</v>
      </c>
      <c r="F673" s="2" t="b">
        <v>1</v>
      </c>
      <c r="G673" s="2" t="b">
        <v>0</v>
      </c>
      <c r="H673" s="2" t="s">
        <v>37</v>
      </c>
      <c r="I673" s="2" t="s">
        <v>49</v>
      </c>
      <c r="J673" s="2" t="s">
        <v>891</v>
      </c>
      <c r="K673" s="2" t="s">
        <v>495</v>
      </c>
      <c r="L673" s="13" t="s">
        <v>496</v>
      </c>
      <c r="M673" s="2" t="s">
        <v>26</v>
      </c>
      <c r="N673" s="11" t="s">
        <v>576</v>
      </c>
      <c r="O673" s="12" t="s">
        <v>53</v>
      </c>
      <c r="P673" s="5" t="str">
        <f>IFERROR(__xludf.DUMMYFUNCTION("TEXTJOIN("" | "",TRUE,IF(OR(D673="""",E673="""",I673="""",J673="""",H673=""""),""ফাঁকা ঘর"",""""),IF(AND(C673&lt;&gt;"""",D673&lt;&gt;"""",C673=D673),""gloss=figurative"",""""),IF(LEN(D673)&lt;15,""figurative ছোট"",""""),IF(AND(I673=""Positive"",REGEXMATCH(H673,""মূর্খ|"&amp;"ভণ্ড|প্রতার|অলস|লোভ|স্বার্থ|অক্ষম|অযোগ্য|বোকা|কৃপণ|হিংস"")),""valence-target অমিল"",""""),IF(COUNTIF($B:$B,B673)&gt;1,""ডুপ্লিকেট"",""""))"),"figurative ছোট")</f>
        <v>figurative ছোট</v>
      </c>
      <c r="Q673" s="5" t="str">
        <f t="shared" si="1"/>
        <v>১ আগে দেখো</v>
      </c>
    </row>
    <row r="674">
      <c r="A674" s="4">
        <v>5996.0</v>
      </c>
      <c r="B674" s="2" t="s">
        <v>2998</v>
      </c>
      <c r="C674" s="2" t="s">
        <v>2998</v>
      </c>
      <c r="D674" s="2" t="s">
        <v>2684</v>
      </c>
      <c r="E674" s="2" t="s">
        <v>2999</v>
      </c>
      <c r="F674" s="2" t="b">
        <v>1</v>
      </c>
      <c r="G674" s="2" t="b">
        <v>0</v>
      </c>
      <c r="H674" s="2" t="s">
        <v>1334</v>
      </c>
      <c r="I674" s="2" t="s">
        <v>22</v>
      </c>
      <c r="J674" s="2" t="s">
        <v>820</v>
      </c>
      <c r="K674" s="2" t="s">
        <v>495</v>
      </c>
      <c r="L674" s="13" t="s">
        <v>496</v>
      </c>
      <c r="M674" s="2" t="s">
        <v>26</v>
      </c>
      <c r="N674" s="11" t="s">
        <v>576</v>
      </c>
      <c r="O674" s="12" t="s">
        <v>53</v>
      </c>
      <c r="P674" s="5" t="str">
        <f>IFERROR(__xludf.DUMMYFUNCTION("TEXTJOIN("" | "",TRUE,IF(OR(D674="""",E674="""",I674="""",J674="""",H674=""""),""ফাঁকা ঘর"",""""),IF(AND(C674&lt;&gt;"""",D674&lt;&gt;"""",C674=D674),""gloss=figurative"",""""),IF(LEN(D674)&lt;15,""figurative ছোট"",""""),IF(AND(I674=""Positive"",REGEXMATCH(H674,""মূর্খ|"&amp;"ভণ্ড|প্রতার|অলস|লোভ|স্বার্থ|অক্ষম|অযোগ্য|বোকা|কৃপণ|হিংস"")),""valence-target অমিল"",""""),IF(COUNTIF($B:$B,B674)&gt;1,""ডুপ্লিকেট"",""""))"),"figurative ছোট")</f>
        <v>figurative ছোট</v>
      </c>
      <c r="Q674" s="5" t="str">
        <f t="shared" si="1"/>
        <v>১ আগে দেখো</v>
      </c>
    </row>
    <row r="675">
      <c r="A675" s="4">
        <v>6004.0</v>
      </c>
      <c r="B675" s="2" t="s">
        <v>3000</v>
      </c>
      <c r="C675" s="2" t="s">
        <v>3001</v>
      </c>
      <c r="D675" s="2" t="s">
        <v>3002</v>
      </c>
      <c r="E675" s="2" t="s">
        <v>3003</v>
      </c>
      <c r="F675" s="2" t="b">
        <v>1</v>
      </c>
      <c r="G675" s="2" t="b">
        <v>0</v>
      </c>
      <c r="H675" s="2" t="s">
        <v>37</v>
      </c>
      <c r="I675" s="2" t="s">
        <v>49</v>
      </c>
      <c r="J675" s="2" t="s">
        <v>3004</v>
      </c>
      <c r="K675" s="2" t="s">
        <v>495</v>
      </c>
      <c r="L675" s="13" t="s">
        <v>496</v>
      </c>
      <c r="M675" s="2" t="s">
        <v>26</v>
      </c>
      <c r="N675" s="11" t="s">
        <v>3005</v>
      </c>
      <c r="O675" s="12" t="s">
        <v>53</v>
      </c>
      <c r="P675" s="5" t="str">
        <f>IFERROR(__xludf.DUMMYFUNCTION("TEXTJOIN("" | "",TRUE,IF(OR(D675="""",E675="""",I675="""",J675="""",H675=""""),""ফাঁকা ঘর"",""""),IF(AND(C675&lt;&gt;"""",D675&lt;&gt;"""",C675=D675),""gloss=figurative"",""""),IF(LEN(D675)&lt;15,""figurative ছোট"",""""),IF(AND(I675=""Positive"",REGEXMATCH(H675,""মূর্খ|"&amp;"ভণ্ড|প্রতার|অলস|লোভ|স্বার্থ|অক্ষম|অযোগ্য|বোকা|কৃপণ|হিংস"")),""valence-target অমিল"",""""),IF(COUNTIF($B:$B,B675)&gt;1,""ডুপ্লিকেট"",""""))"),"figurative ছোট")</f>
        <v>figurative ছোট</v>
      </c>
      <c r="Q675" s="5" t="str">
        <f t="shared" si="1"/>
        <v>১ আগে দেখো</v>
      </c>
    </row>
    <row r="676">
      <c r="A676" s="4">
        <v>6007.0</v>
      </c>
      <c r="B676" s="2" t="s">
        <v>3006</v>
      </c>
      <c r="C676" s="2" t="s">
        <v>3007</v>
      </c>
      <c r="D676" s="2" t="s">
        <v>3008</v>
      </c>
      <c r="E676" s="2" t="s">
        <v>3009</v>
      </c>
      <c r="F676" s="2" t="b">
        <v>1</v>
      </c>
      <c r="G676" s="2" t="b">
        <v>0</v>
      </c>
      <c r="H676" s="2" t="s">
        <v>37</v>
      </c>
      <c r="I676" s="2" t="s">
        <v>32</v>
      </c>
      <c r="J676" s="2" t="s">
        <v>739</v>
      </c>
      <c r="K676" s="2" t="s">
        <v>495</v>
      </c>
      <c r="L676" s="13" t="s">
        <v>496</v>
      </c>
      <c r="M676" s="2" t="s">
        <v>26</v>
      </c>
      <c r="N676" s="11" t="s">
        <v>576</v>
      </c>
      <c r="O676" s="12" t="s">
        <v>53</v>
      </c>
      <c r="P676" s="5" t="str">
        <f>IFERROR(__xludf.DUMMYFUNCTION("TEXTJOIN("" | "",TRUE,IF(OR(D676="""",E676="""",I676="""",J676="""",H676=""""),""ফাঁকা ঘর"",""""),IF(AND(C676&lt;&gt;"""",D676&lt;&gt;"""",C676=D676),""gloss=figurative"",""""),IF(LEN(D676)&lt;15,""figurative ছোট"",""""),IF(AND(I676=""Positive"",REGEXMATCH(H676,""মূর্খ|"&amp;"ভণ্ড|প্রতার|অলস|লোভ|স্বার্থ|অক্ষম|অযোগ্য|বোকা|কৃপণ|হিংস"")),""valence-target অমিল"",""""),IF(COUNTIF($B:$B,B676)&gt;1,""ডুপ্লিকেট"",""""))"),"figurative ছোট")</f>
        <v>figurative ছোট</v>
      </c>
      <c r="Q676" s="5" t="str">
        <f t="shared" si="1"/>
        <v>১ আগে দেখো</v>
      </c>
    </row>
    <row r="677">
      <c r="A677" s="4">
        <v>6010.0</v>
      </c>
      <c r="B677" s="2" t="s">
        <v>3010</v>
      </c>
      <c r="C677" s="2" t="s">
        <v>3010</v>
      </c>
      <c r="D677" s="2" t="s">
        <v>3011</v>
      </c>
      <c r="E677" s="2" t="s">
        <v>3012</v>
      </c>
      <c r="F677" s="2" t="b">
        <v>1</v>
      </c>
      <c r="G677" s="2" t="b">
        <v>1</v>
      </c>
      <c r="H677" s="2" t="s">
        <v>1106</v>
      </c>
      <c r="I677" s="2" t="s">
        <v>32</v>
      </c>
      <c r="J677" s="2" t="s">
        <v>3013</v>
      </c>
      <c r="K677" s="2" t="s">
        <v>495</v>
      </c>
      <c r="L677" s="13" t="s">
        <v>496</v>
      </c>
      <c r="M677" s="2" t="s">
        <v>26</v>
      </c>
      <c r="N677" s="11" t="s">
        <v>576</v>
      </c>
      <c r="O677" s="12" t="s">
        <v>53</v>
      </c>
      <c r="P677" s="5" t="str">
        <f>IFERROR(__xludf.DUMMYFUNCTION("TEXTJOIN("" | "",TRUE,IF(OR(D677="""",E677="""",I677="""",J677="""",H677=""""),""ফাঁকা ঘর"",""""),IF(AND(C677&lt;&gt;"""",D677&lt;&gt;"""",C677=D677),""gloss=figurative"",""""),IF(LEN(D677)&lt;15,""figurative ছোট"",""""),IF(AND(I677=""Positive"",REGEXMATCH(H677,""মূর্খ|"&amp;"ভণ্ড|প্রতার|অলস|লোভ|স্বার্থ|অক্ষম|অযোগ্য|বোকা|কৃপণ|হিংস"")),""valence-target অমিল"",""""),IF(COUNTIF($B:$B,B677)&gt;1,""ডুপ্লিকেট"",""""))"),"figurative ছোট")</f>
        <v>figurative ছোট</v>
      </c>
      <c r="Q677" s="5" t="str">
        <f t="shared" si="1"/>
        <v>১ আগে দেখো</v>
      </c>
    </row>
    <row r="678">
      <c r="A678" s="4">
        <v>6011.0</v>
      </c>
      <c r="B678" s="2" t="s">
        <v>3014</v>
      </c>
      <c r="C678" s="2" t="s">
        <v>3014</v>
      </c>
      <c r="D678" s="2" t="s">
        <v>3015</v>
      </c>
      <c r="E678" s="2" t="s">
        <v>3016</v>
      </c>
      <c r="F678" s="2" t="b">
        <v>1</v>
      </c>
      <c r="G678" s="2" t="b">
        <v>0</v>
      </c>
      <c r="H678" s="2" t="s">
        <v>37</v>
      </c>
      <c r="I678" s="2" t="s">
        <v>22</v>
      </c>
      <c r="J678" s="2" t="s">
        <v>3017</v>
      </c>
      <c r="K678" s="2" t="s">
        <v>495</v>
      </c>
      <c r="L678" s="13" t="s">
        <v>496</v>
      </c>
      <c r="M678" s="2" t="s">
        <v>26</v>
      </c>
      <c r="N678" s="11" t="s">
        <v>576</v>
      </c>
      <c r="O678" s="12" t="s">
        <v>53</v>
      </c>
      <c r="P678" s="5" t="str">
        <f>IFERROR(__xludf.DUMMYFUNCTION("TEXTJOIN("" | "",TRUE,IF(OR(D678="""",E678="""",I678="""",J678="""",H678=""""),""ফাঁকা ঘর"",""""),IF(AND(C678&lt;&gt;"""",D678&lt;&gt;"""",C678=D678),""gloss=figurative"",""""),IF(LEN(D678)&lt;15,""figurative ছোট"",""""),IF(AND(I678=""Positive"",REGEXMATCH(H678,""মূর্খ|"&amp;"ভণ্ড|প্রতার|অলস|লোভ|স্বার্থ|অক্ষম|অযোগ্য|বোকা|কৃপণ|হিংস"")),""valence-target অমিল"",""""),IF(COUNTIF($B:$B,B678)&gt;1,""ডুপ্লিকেট"",""""))"),"figurative ছোট")</f>
        <v>figurative ছোট</v>
      </c>
      <c r="Q678" s="5" t="str">
        <f t="shared" si="1"/>
        <v>১ আগে দেখো</v>
      </c>
    </row>
    <row r="679">
      <c r="A679" s="4">
        <v>6012.0</v>
      </c>
      <c r="B679" s="2" t="s">
        <v>3018</v>
      </c>
      <c r="C679" s="2" t="s">
        <v>3018</v>
      </c>
      <c r="D679" s="2" t="s">
        <v>3019</v>
      </c>
      <c r="E679" s="2" t="s">
        <v>3020</v>
      </c>
      <c r="F679" s="2" t="b">
        <v>1</v>
      </c>
      <c r="G679" s="2" t="b">
        <v>0</v>
      </c>
      <c r="H679" s="2" t="s">
        <v>37</v>
      </c>
      <c r="I679" s="2" t="s">
        <v>32</v>
      </c>
      <c r="J679" s="2" t="s">
        <v>1510</v>
      </c>
      <c r="K679" s="2" t="s">
        <v>495</v>
      </c>
      <c r="L679" s="13" t="s">
        <v>496</v>
      </c>
      <c r="M679" s="2" t="s">
        <v>26</v>
      </c>
      <c r="N679" s="11" t="s">
        <v>576</v>
      </c>
      <c r="O679" s="12" t="s">
        <v>53</v>
      </c>
      <c r="P679" s="5" t="str">
        <f>IFERROR(__xludf.DUMMYFUNCTION("TEXTJOIN("" | "",TRUE,IF(OR(D679="""",E679="""",I679="""",J679="""",H679=""""),""ফাঁকা ঘর"",""""),IF(AND(C679&lt;&gt;"""",D679&lt;&gt;"""",C679=D679),""gloss=figurative"",""""),IF(LEN(D679)&lt;15,""figurative ছোট"",""""),IF(AND(I679=""Positive"",REGEXMATCH(H679,""মূর্খ|"&amp;"ভণ্ড|প্রতার|অলস|লোভ|স্বার্থ|অক্ষম|অযোগ্য|বোকা|কৃপণ|হিংস"")),""valence-target অমিল"",""""),IF(COUNTIF($B:$B,B679)&gt;1,""ডুপ্লিকেট"",""""))"),"figurative ছোট")</f>
        <v>figurative ছোট</v>
      </c>
      <c r="Q679" s="5" t="str">
        <f t="shared" si="1"/>
        <v>১ আগে দেখো</v>
      </c>
    </row>
    <row r="680">
      <c r="A680" s="4">
        <v>6013.0</v>
      </c>
      <c r="B680" s="2" t="s">
        <v>3021</v>
      </c>
      <c r="C680" s="2" t="s">
        <v>3021</v>
      </c>
      <c r="D680" s="2" t="s">
        <v>3022</v>
      </c>
      <c r="E680" s="2" t="s">
        <v>3023</v>
      </c>
      <c r="F680" s="2" t="b">
        <v>1</v>
      </c>
      <c r="G680" s="2" t="b">
        <v>0</v>
      </c>
      <c r="H680" s="2" t="s">
        <v>37</v>
      </c>
      <c r="I680" s="2" t="s">
        <v>22</v>
      </c>
      <c r="J680" s="2" t="s">
        <v>1895</v>
      </c>
      <c r="K680" s="2" t="s">
        <v>495</v>
      </c>
      <c r="L680" s="13" t="s">
        <v>496</v>
      </c>
      <c r="M680" s="2" t="s">
        <v>26</v>
      </c>
      <c r="N680" s="11" t="s">
        <v>576</v>
      </c>
      <c r="O680" s="12" t="s">
        <v>53</v>
      </c>
      <c r="P680" s="5" t="str">
        <f>IFERROR(__xludf.DUMMYFUNCTION("TEXTJOIN("" | "",TRUE,IF(OR(D680="""",E680="""",I680="""",J680="""",H680=""""),""ফাঁকা ঘর"",""""),IF(AND(C680&lt;&gt;"""",D680&lt;&gt;"""",C680=D680),""gloss=figurative"",""""),IF(LEN(D680)&lt;15,""figurative ছোট"",""""),IF(AND(I680=""Positive"",REGEXMATCH(H680,""মূর্খ|"&amp;"ভণ্ড|প্রতার|অলস|লোভ|স্বার্থ|অক্ষম|অযোগ্য|বোকা|কৃপণ|হিংস"")),""valence-target অমিল"",""""),IF(COUNTIF($B:$B,B680)&gt;1,""ডুপ্লিকেট"",""""))"),"figurative ছোট")</f>
        <v>figurative ছোট</v>
      </c>
      <c r="Q680" s="5" t="str">
        <f t="shared" si="1"/>
        <v>১ আগে দেখো</v>
      </c>
    </row>
    <row r="681">
      <c r="A681" s="4">
        <v>6014.0</v>
      </c>
      <c r="B681" s="2" t="s">
        <v>3024</v>
      </c>
      <c r="C681" s="2" t="s">
        <v>3024</v>
      </c>
      <c r="D681" s="2" t="s">
        <v>3025</v>
      </c>
      <c r="E681" s="2" t="s">
        <v>3026</v>
      </c>
      <c r="F681" s="2" t="b">
        <v>1</v>
      </c>
      <c r="G681" s="2" t="b">
        <v>0</v>
      </c>
      <c r="H681" s="2" t="s">
        <v>37</v>
      </c>
      <c r="I681" s="2" t="s">
        <v>22</v>
      </c>
      <c r="J681" s="2" t="s">
        <v>1895</v>
      </c>
      <c r="K681" s="2" t="s">
        <v>495</v>
      </c>
      <c r="L681" s="13" t="s">
        <v>496</v>
      </c>
      <c r="M681" s="2" t="s">
        <v>26</v>
      </c>
      <c r="N681" s="11" t="s">
        <v>576</v>
      </c>
      <c r="O681" s="12" t="s">
        <v>53</v>
      </c>
      <c r="P681" s="5" t="str">
        <f>IFERROR(__xludf.DUMMYFUNCTION("TEXTJOIN("" | "",TRUE,IF(OR(D681="""",E681="""",I681="""",J681="""",H681=""""),""ফাঁকা ঘর"",""""),IF(AND(C681&lt;&gt;"""",D681&lt;&gt;"""",C681=D681),""gloss=figurative"",""""),IF(LEN(D681)&lt;15,""figurative ছোট"",""""),IF(AND(I681=""Positive"",REGEXMATCH(H681,""মূর্খ|"&amp;"ভণ্ড|প্রতার|অলস|লোভ|স্বার্থ|অক্ষম|অযোগ্য|বোকা|কৃপণ|হিংস"")),""valence-target অমিল"",""""),IF(COUNTIF($B:$B,B681)&gt;1,""ডুপ্লিকেট"",""""))"),"figurative ছোট")</f>
        <v>figurative ছোট</v>
      </c>
      <c r="Q681" s="5" t="str">
        <f t="shared" si="1"/>
        <v>১ আগে দেখো</v>
      </c>
    </row>
    <row r="682">
      <c r="A682" s="4">
        <v>6015.0</v>
      </c>
      <c r="B682" s="2" t="s">
        <v>3027</v>
      </c>
      <c r="C682" s="2" t="s">
        <v>3027</v>
      </c>
      <c r="D682" s="2" t="s">
        <v>1837</v>
      </c>
      <c r="E682" s="2" t="s">
        <v>3028</v>
      </c>
      <c r="F682" s="2" t="b">
        <v>1</v>
      </c>
      <c r="G682" s="2" t="b">
        <v>0</v>
      </c>
      <c r="H682" s="2" t="s">
        <v>37</v>
      </c>
      <c r="I682" s="2" t="s">
        <v>49</v>
      </c>
      <c r="J682" s="2" t="s">
        <v>300</v>
      </c>
      <c r="K682" s="2" t="s">
        <v>495</v>
      </c>
      <c r="L682" s="13" t="s">
        <v>496</v>
      </c>
      <c r="M682" s="2" t="s">
        <v>26</v>
      </c>
      <c r="N682" s="11" t="s">
        <v>576</v>
      </c>
      <c r="O682" s="12" t="s">
        <v>53</v>
      </c>
      <c r="P682" s="5" t="str">
        <f>IFERROR(__xludf.DUMMYFUNCTION("TEXTJOIN("" | "",TRUE,IF(OR(D682="""",E682="""",I682="""",J682="""",H682=""""),""ফাঁকা ঘর"",""""),IF(AND(C682&lt;&gt;"""",D682&lt;&gt;"""",C682=D682),""gloss=figurative"",""""),IF(LEN(D682)&lt;15,""figurative ছোট"",""""),IF(AND(I682=""Positive"",REGEXMATCH(H682,""মূর্খ|"&amp;"ভণ্ড|প্রতার|অলস|লোভ|স্বার্থ|অক্ষম|অযোগ্য|বোকা|কৃপণ|হিংস"")),""valence-target অমিল"",""""),IF(COUNTIF($B:$B,B682)&gt;1,""ডুপ্লিকেট"",""""))"),"figurative ছোট")</f>
        <v>figurative ছোট</v>
      </c>
      <c r="Q682" s="5" t="str">
        <f t="shared" si="1"/>
        <v>১ আগে দেখো</v>
      </c>
    </row>
    <row r="683">
      <c r="A683" s="4">
        <v>6021.0</v>
      </c>
      <c r="B683" s="2" t="s">
        <v>3029</v>
      </c>
      <c r="C683" s="2" t="s">
        <v>3029</v>
      </c>
      <c r="D683" s="2" t="s">
        <v>3030</v>
      </c>
      <c r="E683" s="2" t="s">
        <v>3031</v>
      </c>
      <c r="F683" s="2" t="b">
        <v>1</v>
      </c>
      <c r="G683" s="2" t="b">
        <v>0</v>
      </c>
      <c r="H683" s="2" t="s">
        <v>37</v>
      </c>
      <c r="I683" s="2" t="s">
        <v>22</v>
      </c>
      <c r="J683" s="2" t="s">
        <v>3032</v>
      </c>
      <c r="K683" s="2" t="s">
        <v>495</v>
      </c>
      <c r="L683" s="13" t="s">
        <v>496</v>
      </c>
      <c r="M683" s="2" t="s">
        <v>26</v>
      </c>
      <c r="N683" s="11" t="s">
        <v>576</v>
      </c>
      <c r="O683" s="12" t="s">
        <v>53</v>
      </c>
      <c r="P683" s="5" t="str">
        <f>IFERROR(__xludf.DUMMYFUNCTION("TEXTJOIN("" | "",TRUE,IF(OR(D683="""",E683="""",I683="""",J683="""",H683=""""),""ফাঁকা ঘর"",""""),IF(AND(C683&lt;&gt;"""",D683&lt;&gt;"""",C683=D683),""gloss=figurative"",""""),IF(LEN(D683)&lt;15,""figurative ছোট"",""""),IF(AND(I683=""Positive"",REGEXMATCH(H683,""মূর্খ|"&amp;"ভণ্ড|প্রতার|অলস|লোভ|স্বার্থ|অক্ষম|অযোগ্য|বোকা|কৃপণ|হিংস"")),""valence-target অমিল"",""""),IF(COUNTIF($B:$B,B683)&gt;1,""ডুপ্লিকেট"",""""))"),"figurative ছোট")</f>
        <v>figurative ছোট</v>
      </c>
      <c r="Q683" s="5" t="str">
        <f t="shared" si="1"/>
        <v>১ আগে দেখো</v>
      </c>
    </row>
    <row r="684">
      <c r="A684" s="4">
        <v>6022.0</v>
      </c>
      <c r="B684" s="2" t="s">
        <v>3033</v>
      </c>
      <c r="C684" s="2" t="s">
        <v>3033</v>
      </c>
      <c r="D684" s="2" t="s">
        <v>3034</v>
      </c>
      <c r="E684" s="2" t="s">
        <v>3035</v>
      </c>
      <c r="F684" s="2" t="b">
        <v>1</v>
      </c>
      <c r="G684" s="2" t="b">
        <v>0</v>
      </c>
      <c r="H684" s="2" t="s">
        <v>37</v>
      </c>
      <c r="I684" s="2" t="s">
        <v>49</v>
      </c>
      <c r="J684" s="2" t="s">
        <v>528</v>
      </c>
      <c r="K684" s="2" t="s">
        <v>495</v>
      </c>
      <c r="L684" s="13" t="s">
        <v>496</v>
      </c>
      <c r="M684" s="2" t="s">
        <v>26</v>
      </c>
      <c r="N684" s="11" t="s">
        <v>576</v>
      </c>
      <c r="O684" s="12" t="s">
        <v>53</v>
      </c>
      <c r="P684" s="5" t="str">
        <f>IFERROR(__xludf.DUMMYFUNCTION("TEXTJOIN("" | "",TRUE,IF(OR(D684="""",E684="""",I684="""",J684="""",H684=""""),""ফাঁকা ঘর"",""""),IF(AND(C684&lt;&gt;"""",D684&lt;&gt;"""",C684=D684),""gloss=figurative"",""""),IF(LEN(D684)&lt;15,""figurative ছোট"",""""),IF(AND(I684=""Positive"",REGEXMATCH(H684,""মূর্খ|"&amp;"ভণ্ড|প্রতার|অলস|লোভ|স্বার্থ|অক্ষম|অযোগ্য|বোকা|কৃপণ|হিংস"")),""valence-target অমিল"",""""),IF(COUNTIF($B:$B,B684)&gt;1,""ডুপ্লিকেট"",""""))"),"figurative ছোট")</f>
        <v>figurative ছোট</v>
      </c>
      <c r="Q684" s="5" t="str">
        <f t="shared" si="1"/>
        <v>১ আগে দেখো</v>
      </c>
    </row>
    <row r="685">
      <c r="A685" s="4">
        <v>6023.0</v>
      </c>
      <c r="B685" s="2" t="s">
        <v>3036</v>
      </c>
      <c r="C685" s="2" t="s">
        <v>3037</v>
      </c>
      <c r="D685" s="2" t="s">
        <v>3038</v>
      </c>
      <c r="E685" s="2" t="s">
        <v>3039</v>
      </c>
      <c r="F685" s="2" t="b">
        <v>1</v>
      </c>
      <c r="G685" s="2" t="b">
        <v>1</v>
      </c>
      <c r="H685" s="2" t="s">
        <v>1106</v>
      </c>
      <c r="I685" s="2" t="s">
        <v>49</v>
      </c>
      <c r="J685" s="2" t="s">
        <v>1259</v>
      </c>
      <c r="K685" s="2" t="s">
        <v>495</v>
      </c>
      <c r="L685" s="13" t="s">
        <v>496</v>
      </c>
      <c r="M685" s="2" t="s">
        <v>26</v>
      </c>
      <c r="N685" s="11" t="s">
        <v>576</v>
      </c>
      <c r="O685" s="12" t="s">
        <v>53</v>
      </c>
      <c r="P685" s="5" t="str">
        <f>IFERROR(__xludf.DUMMYFUNCTION("TEXTJOIN("" | "",TRUE,IF(OR(D685="""",E685="""",I685="""",J685="""",H685=""""),""ফাঁকা ঘর"",""""),IF(AND(C685&lt;&gt;"""",D685&lt;&gt;"""",C685=D685),""gloss=figurative"",""""),IF(LEN(D685)&lt;15,""figurative ছোট"",""""),IF(AND(I685=""Positive"",REGEXMATCH(H685,""মূর্খ|"&amp;"ভণ্ড|প্রতার|অলস|লোভ|স্বার্থ|অক্ষম|অযোগ্য|বোকা|কৃপণ|হিংস"")),""valence-target অমিল"",""""),IF(COUNTIF($B:$B,B685)&gt;1,""ডুপ্লিকেট"",""""))"),"figurative ছোট")</f>
        <v>figurative ছোট</v>
      </c>
      <c r="Q685" s="5" t="str">
        <f t="shared" si="1"/>
        <v>১ আগে দেখো</v>
      </c>
    </row>
    <row r="686">
      <c r="A686" s="4">
        <v>6024.0</v>
      </c>
      <c r="B686" s="2" t="s">
        <v>3040</v>
      </c>
      <c r="C686" s="2" t="s">
        <v>3041</v>
      </c>
      <c r="D686" s="2" t="s">
        <v>1493</v>
      </c>
      <c r="E686" s="2" t="s">
        <v>3042</v>
      </c>
      <c r="F686" s="2" t="b">
        <v>1</v>
      </c>
      <c r="G686" s="2" t="b">
        <v>0</v>
      </c>
      <c r="H686" s="2" t="s">
        <v>37</v>
      </c>
      <c r="I686" s="2" t="s">
        <v>22</v>
      </c>
      <c r="J686" s="2" t="s">
        <v>830</v>
      </c>
      <c r="K686" s="2" t="s">
        <v>495</v>
      </c>
      <c r="L686" s="13" t="s">
        <v>496</v>
      </c>
      <c r="M686" s="2" t="s">
        <v>26</v>
      </c>
      <c r="N686" s="11" t="s">
        <v>576</v>
      </c>
      <c r="O686" s="12" t="s">
        <v>53</v>
      </c>
      <c r="P686" s="5" t="str">
        <f>IFERROR(__xludf.DUMMYFUNCTION("TEXTJOIN("" | "",TRUE,IF(OR(D686="""",E686="""",I686="""",J686="""",H686=""""),""ফাঁকা ঘর"",""""),IF(AND(C686&lt;&gt;"""",D686&lt;&gt;"""",C686=D686),""gloss=figurative"",""""),IF(LEN(D686)&lt;15,""figurative ছোট"",""""),IF(AND(I686=""Positive"",REGEXMATCH(H686,""মূর্খ|"&amp;"ভণ্ড|প্রতার|অলস|লোভ|স্বার্থ|অক্ষম|অযোগ্য|বোকা|কৃপণ|হিংস"")),""valence-target অমিল"",""""),IF(COUNTIF($B:$B,B686)&gt;1,""ডুপ্লিকেট"",""""))"),"figurative ছোট")</f>
        <v>figurative ছোট</v>
      </c>
      <c r="Q686" s="5" t="str">
        <f t="shared" si="1"/>
        <v>১ আগে দেখো</v>
      </c>
    </row>
    <row r="687">
      <c r="A687" s="4">
        <v>6025.0</v>
      </c>
      <c r="B687" s="2" t="s">
        <v>3043</v>
      </c>
      <c r="C687" s="2" t="s">
        <v>3044</v>
      </c>
      <c r="D687" s="2" t="s">
        <v>3045</v>
      </c>
      <c r="E687" s="2" t="s">
        <v>3046</v>
      </c>
      <c r="F687" s="2" t="b">
        <v>1</v>
      </c>
      <c r="G687" s="2" t="b">
        <v>0</v>
      </c>
      <c r="H687" s="2" t="s">
        <v>37</v>
      </c>
      <c r="I687" s="2" t="s">
        <v>22</v>
      </c>
      <c r="J687" s="2" t="s">
        <v>1656</v>
      </c>
      <c r="K687" s="2" t="s">
        <v>495</v>
      </c>
      <c r="L687" s="13" t="s">
        <v>496</v>
      </c>
      <c r="M687" s="2" t="s">
        <v>26</v>
      </c>
      <c r="N687" s="11" t="s">
        <v>3047</v>
      </c>
      <c r="O687" s="12" t="s">
        <v>53</v>
      </c>
      <c r="P687" s="5" t="str">
        <f>IFERROR(__xludf.DUMMYFUNCTION("TEXTJOIN("" | "",TRUE,IF(OR(D687="""",E687="""",I687="""",J687="""",H687=""""),""ফাঁকা ঘর"",""""),IF(AND(C687&lt;&gt;"""",D687&lt;&gt;"""",C687=D687),""gloss=figurative"",""""),IF(LEN(D687)&lt;15,""figurative ছোট"",""""),IF(AND(I687=""Positive"",REGEXMATCH(H687,""মূর্খ|"&amp;"ভণ্ড|প্রতার|অলস|লোভ|স্বার্থ|অক্ষম|অযোগ্য|বোকা|কৃপণ|হিংস"")),""valence-target অমিল"",""""),IF(COUNTIF($B:$B,B687)&gt;1,""ডুপ্লিকেট"",""""))"),"figurative ছোট")</f>
        <v>figurative ছোট</v>
      </c>
      <c r="Q687" s="5" t="str">
        <f t="shared" si="1"/>
        <v>১ আগে দেখো</v>
      </c>
    </row>
    <row r="688">
      <c r="A688" s="4">
        <v>6026.0</v>
      </c>
      <c r="B688" s="2" t="s">
        <v>3048</v>
      </c>
      <c r="C688" s="2" t="s">
        <v>3049</v>
      </c>
      <c r="D688" s="2" t="s">
        <v>1013</v>
      </c>
      <c r="E688" s="2" t="s">
        <v>3050</v>
      </c>
      <c r="F688" s="2" t="b">
        <v>1</v>
      </c>
      <c r="G688" s="2" t="b">
        <v>0</v>
      </c>
      <c r="H688" s="2" t="s">
        <v>37</v>
      </c>
      <c r="I688" s="2" t="s">
        <v>22</v>
      </c>
      <c r="J688" s="2" t="s">
        <v>1013</v>
      </c>
      <c r="K688" s="2" t="s">
        <v>495</v>
      </c>
      <c r="L688" s="13" t="s">
        <v>496</v>
      </c>
      <c r="M688" s="2" t="s">
        <v>26</v>
      </c>
      <c r="N688" s="11" t="s">
        <v>3051</v>
      </c>
      <c r="O688" s="12" t="s">
        <v>53</v>
      </c>
      <c r="P688" s="5" t="str">
        <f>IFERROR(__xludf.DUMMYFUNCTION("TEXTJOIN("" | "",TRUE,IF(OR(D688="""",E688="""",I688="""",J688="""",H688=""""),""ফাঁকা ঘর"",""""),IF(AND(C688&lt;&gt;"""",D688&lt;&gt;"""",C688=D688),""gloss=figurative"",""""),IF(LEN(D688)&lt;15,""figurative ছোট"",""""),IF(AND(I688=""Positive"",REGEXMATCH(H688,""মূর্খ|"&amp;"ভণ্ড|প্রতার|অলস|লোভ|স্বার্থ|অক্ষম|অযোগ্য|বোকা|কৃপণ|হিংস"")),""valence-target অমিল"",""""),IF(COUNTIF($B:$B,B688)&gt;1,""ডুপ্লিকেট"",""""))"),"figurative ছোট")</f>
        <v>figurative ছোট</v>
      </c>
      <c r="Q688" s="5" t="str">
        <f t="shared" si="1"/>
        <v>১ আগে দেখো</v>
      </c>
    </row>
    <row r="689">
      <c r="A689" s="4">
        <v>6038.0</v>
      </c>
      <c r="B689" s="2" t="s">
        <v>3052</v>
      </c>
      <c r="C689" s="2" t="s">
        <v>3053</v>
      </c>
      <c r="D689" s="2" t="s">
        <v>3054</v>
      </c>
      <c r="E689" s="2" t="s">
        <v>3055</v>
      </c>
      <c r="F689" s="2" t="b">
        <v>1</v>
      </c>
      <c r="G689" s="2" t="b">
        <v>0</v>
      </c>
      <c r="H689" s="2" t="s">
        <v>37</v>
      </c>
      <c r="I689" s="2" t="s">
        <v>22</v>
      </c>
      <c r="J689" s="2" t="s">
        <v>1027</v>
      </c>
      <c r="K689" s="2" t="s">
        <v>495</v>
      </c>
      <c r="L689" s="13" t="s">
        <v>496</v>
      </c>
      <c r="M689" s="2" t="s">
        <v>26</v>
      </c>
      <c r="N689" s="11" t="s">
        <v>3056</v>
      </c>
      <c r="O689" s="12" t="s">
        <v>53</v>
      </c>
      <c r="P689" s="5" t="str">
        <f>IFERROR(__xludf.DUMMYFUNCTION("TEXTJOIN("" | "",TRUE,IF(OR(D689="""",E689="""",I689="""",J689="""",H689=""""),""ফাঁকা ঘর"",""""),IF(AND(C689&lt;&gt;"""",D689&lt;&gt;"""",C689=D689),""gloss=figurative"",""""),IF(LEN(D689)&lt;15,""figurative ছোট"",""""),IF(AND(I689=""Positive"",REGEXMATCH(H689,""মূর্খ|"&amp;"ভণ্ড|প্রতার|অলস|লোভ|স্বার্থ|অক্ষম|অযোগ্য|বোকা|কৃপণ|হিংস"")),""valence-target অমিল"",""""),IF(COUNTIF($B:$B,B689)&gt;1,""ডুপ্লিকেট"",""""))"),"figurative ছোট")</f>
        <v>figurative ছোট</v>
      </c>
      <c r="Q689" s="5" t="str">
        <f t="shared" si="1"/>
        <v>১ আগে দেখো</v>
      </c>
    </row>
    <row r="690">
      <c r="A690" s="4">
        <v>6040.0</v>
      </c>
      <c r="B690" s="2" t="s">
        <v>3057</v>
      </c>
      <c r="C690" s="2" t="s">
        <v>3058</v>
      </c>
      <c r="D690" s="2" t="s">
        <v>3059</v>
      </c>
      <c r="E690" s="2" t="s">
        <v>3060</v>
      </c>
      <c r="F690" s="2" t="b">
        <v>1</v>
      </c>
      <c r="G690" s="2" t="b">
        <v>0</v>
      </c>
      <c r="H690" s="2" t="s">
        <v>37</v>
      </c>
      <c r="I690" s="2" t="s">
        <v>22</v>
      </c>
      <c r="J690" s="2" t="s">
        <v>750</v>
      </c>
      <c r="K690" s="2" t="s">
        <v>495</v>
      </c>
      <c r="L690" s="13" t="s">
        <v>496</v>
      </c>
      <c r="M690" s="2" t="s">
        <v>26</v>
      </c>
      <c r="N690" s="11" t="s">
        <v>3061</v>
      </c>
      <c r="O690" s="12" t="s">
        <v>53</v>
      </c>
      <c r="P690" s="5" t="str">
        <f>IFERROR(__xludf.DUMMYFUNCTION("TEXTJOIN("" | "",TRUE,IF(OR(D690="""",E690="""",I690="""",J690="""",H690=""""),""ফাঁকা ঘর"",""""),IF(AND(C690&lt;&gt;"""",D690&lt;&gt;"""",C690=D690),""gloss=figurative"",""""),IF(LEN(D690)&lt;15,""figurative ছোট"",""""),IF(AND(I690=""Positive"",REGEXMATCH(H690,""মূর্খ|"&amp;"ভণ্ড|প্রতার|অলস|লোভ|স্বার্থ|অক্ষম|অযোগ্য|বোকা|কৃপণ|হিংস"")),""valence-target অমিল"",""""),IF(COUNTIF($B:$B,B690)&gt;1,""ডুপ্লিকেট"",""""))"),"figurative ছোট")</f>
        <v>figurative ছোট</v>
      </c>
      <c r="Q690" s="5" t="str">
        <f t="shared" si="1"/>
        <v>১ আগে দেখো</v>
      </c>
    </row>
    <row r="691">
      <c r="A691" s="4">
        <v>6041.0</v>
      </c>
      <c r="B691" s="2" t="s">
        <v>3062</v>
      </c>
      <c r="C691" s="2" t="s">
        <v>3063</v>
      </c>
      <c r="D691" s="2" t="s">
        <v>3064</v>
      </c>
      <c r="E691" s="2" t="s">
        <v>3065</v>
      </c>
      <c r="F691" s="2" t="b">
        <v>1</v>
      </c>
      <c r="G691" s="2" t="b">
        <v>0</v>
      </c>
      <c r="H691" s="2" t="s">
        <v>37</v>
      </c>
      <c r="I691" s="2" t="s">
        <v>22</v>
      </c>
      <c r="J691" s="2" t="s">
        <v>750</v>
      </c>
      <c r="K691" s="2" t="s">
        <v>495</v>
      </c>
      <c r="L691" s="13" t="s">
        <v>496</v>
      </c>
      <c r="M691" s="2" t="s">
        <v>26</v>
      </c>
      <c r="N691" s="11" t="s">
        <v>3066</v>
      </c>
      <c r="O691" s="12" t="s">
        <v>53</v>
      </c>
      <c r="P691" s="5" t="str">
        <f>IFERROR(__xludf.DUMMYFUNCTION("TEXTJOIN("" | "",TRUE,IF(OR(D691="""",E691="""",I691="""",J691="""",H691=""""),""ফাঁকা ঘর"",""""),IF(AND(C691&lt;&gt;"""",D691&lt;&gt;"""",C691=D691),""gloss=figurative"",""""),IF(LEN(D691)&lt;15,""figurative ছোট"",""""),IF(AND(I691=""Positive"",REGEXMATCH(H691,""মূর্খ|"&amp;"ভণ্ড|প্রতার|অলস|লোভ|স্বার্থ|অক্ষম|অযোগ্য|বোকা|কৃপণ|হিংস"")),""valence-target অমিল"",""""),IF(COUNTIF($B:$B,B691)&gt;1,""ডুপ্লিকেট"",""""))"),"figurative ছোট")</f>
        <v>figurative ছোট</v>
      </c>
      <c r="Q691" s="5" t="str">
        <f t="shared" si="1"/>
        <v>১ আগে দেখো</v>
      </c>
    </row>
    <row r="692">
      <c r="A692" s="4">
        <v>6043.0</v>
      </c>
      <c r="B692" s="2" t="s">
        <v>3067</v>
      </c>
      <c r="C692" s="2" t="s">
        <v>3068</v>
      </c>
      <c r="D692" s="2" t="s">
        <v>3069</v>
      </c>
      <c r="E692" s="2" t="s">
        <v>3070</v>
      </c>
      <c r="F692" s="2" t="b">
        <v>1</v>
      </c>
      <c r="G692" s="2" t="b">
        <v>1</v>
      </c>
      <c r="H692" s="2" t="s">
        <v>1211</v>
      </c>
      <c r="I692" s="2" t="s">
        <v>22</v>
      </c>
      <c r="J692" s="2" t="s">
        <v>1471</v>
      </c>
      <c r="K692" s="2" t="s">
        <v>495</v>
      </c>
      <c r="L692" s="13" t="s">
        <v>496</v>
      </c>
      <c r="M692" s="2" t="s">
        <v>26</v>
      </c>
      <c r="N692" s="11" t="s">
        <v>3071</v>
      </c>
      <c r="O692" s="12" t="s">
        <v>53</v>
      </c>
      <c r="P692" s="5" t="str">
        <f>IFERROR(__xludf.DUMMYFUNCTION("TEXTJOIN("" | "",TRUE,IF(OR(D692="""",E692="""",I692="""",J692="""",H692=""""),""ফাঁকা ঘর"",""""),IF(AND(C692&lt;&gt;"""",D692&lt;&gt;"""",C692=D692),""gloss=figurative"",""""),IF(LEN(D692)&lt;15,""figurative ছোট"",""""),IF(AND(I692=""Positive"",REGEXMATCH(H692,""মূর্খ|"&amp;"ভণ্ড|প্রতার|অলস|লোভ|স্বার্থ|অক্ষম|অযোগ্য|বোকা|কৃপণ|হিংস"")),""valence-target অমিল"",""""),IF(COUNTIF($B:$B,B692)&gt;1,""ডুপ্লিকেট"",""""))"),"figurative ছোট")</f>
        <v>figurative ছোট</v>
      </c>
      <c r="Q692" s="5" t="str">
        <f t="shared" si="1"/>
        <v>১ আগে দেখো</v>
      </c>
    </row>
    <row r="693">
      <c r="A693" s="4">
        <v>6044.0</v>
      </c>
      <c r="B693" s="2" t="s">
        <v>3072</v>
      </c>
      <c r="C693" s="2" t="s">
        <v>3073</v>
      </c>
      <c r="D693" s="2" t="s">
        <v>3074</v>
      </c>
      <c r="E693" s="2" t="s">
        <v>3075</v>
      </c>
      <c r="F693" s="2" t="b">
        <v>1</v>
      </c>
      <c r="G693" s="2" t="b">
        <v>0</v>
      </c>
      <c r="H693" s="2" t="s">
        <v>37</v>
      </c>
      <c r="I693" s="2" t="s">
        <v>32</v>
      </c>
      <c r="J693" s="2" t="s">
        <v>739</v>
      </c>
      <c r="K693" s="2" t="s">
        <v>495</v>
      </c>
      <c r="L693" s="13" t="s">
        <v>496</v>
      </c>
      <c r="M693" s="2" t="s">
        <v>26</v>
      </c>
      <c r="N693" s="11" t="s">
        <v>576</v>
      </c>
      <c r="O693" s="12" t="s">
        <v>53</v>
      </c>
      <c r="P693" s="5" t="str">
        <f>IFERROR(__xludf.DUMMYFUNCTION("TEXTJOIN("" | "",TRUE,IF(OR(D693="""",E693="""",I693="""",J693="""",H693=""""),""ফাঁকা ঘর"",""""),IF(AND(C693&lt;&gt;"""",D693&lt;&gt;"""",C693=D693),""gloss=figurative"",""""),IF(LEN(D693)&lt;15,""figurative ছোট"",""""),IF(AND(I693=""Positive"",REGEXMATCH(H693,""মূর্খ|"&amp;"ভণ্ড|প্রতার|অলস|লোভ|স্বার্থ|অক্ষম|অযোগ্য|বোকা|কৃপণ|হিংস"")),""valence-target অমিল"",""""),IF(COUNTIF($B:$B,B693)&gt;1,""ডুপ্লিকেট"",""""))"),"figurative ছোট")</f>
        <v>figurative ছোট</v>
      </c>
      <c r="Q693" s="5" t="str">
        <f t="shared" si="1"/>
        <v>১ আগে দেখো</v>
      </c>
    </row>
    <row r="694">
      <c r="A694" s="4">
        <v>6045.0</v>
      </c>
      <c r="B694" s="2" t="s">
        <v>3076</v>
      </c>
      <c r="C694" s="2" t="s">
        <v>3077</v>
      </c>
      <c r="D694" s="2" t="s">
        <v>2544</v>
      </c>
      <c r="E694" s="2" t="s">
        <v>3078</v>
      </c>
      <c r="F694" s="2" t="b">
        <v>1</v>
      </c>
      <c r="G694" s="2" t="b">
        <v>1</v>
      </c>
      <c r="H694" s="2" t="s">
        <v>3079</v>
      </c>
      <c r="I694" s="2" t="s">
        <v>22</v>
      </c>
      <c r="J694" s="2" t="s">
        <v>739</v>
      </c>
      <c r="K694" s="2" t="s">
        <v>495</v>
      </c>
      <c r="L694" s="13" t="s">
        <v>496</v>
      </c>
      <c r="M694" s="2" t="s">
        <v>26</v>
      </c>
      <c r="N694" s="11" t="s">
        <v>576</v>
      </c>
      <c r="O694" s="12" t="s">
        <v>53</v>
      </c>
      <c r="P694" s="5" t="str">
        <f>IFERROR(__xludf.DUMMYFUNCTION("TEXTJOIN("" | "",TRUE,IF(OR(D694="""",E694="""",I694="""",J694="""",H694=""""),""ফাঁকা ঘর"",""""),IF(AND(C694&lt;&gt;"""",D694&lt;&gt;"""",C694=D694),""gloss=figurative"",""""),IF(LEN(D694)&lt;15,""figurative ছোট"",""""),IF(AND(I694=""Positive"",REGEXMATCH(H694,""মূর্খ|"&amp;"ভণ্ড|প্রতার|অলস|লোভ|স্বার্থ|অক্ষম|অযোগ্য|বোকা|কৃপণ|হিংস"")),""valence-target অমিল"",""""),IF(COUNTIF($B:$B,B694)&gt;1,""ডুপ্লিকেট"",""""))"),"figurative ছোট")</f>
        <v>figurative ছোট</v>
      </c>
      <c r="Q694" s="5" t="str">
        <f t="shared" si="1"/>
        <v>১ আগে দেখো</v>
      </c>
    </row>
    <row r="695">
      <c r="A695" s="4">
        <v>6047.0</v>
      </c>
      <c r="B695" s="2" t="s">
        <v>3080</v>
      </c>
      <c r="C695" s="2" t="s">
        <v>3081</v>
      </c>
      <c r="D695" s="2" t="s">
        <v>939</v>
      </c>
      <c r="E695" s="2" t="s">
        <v>3082</v>
      </c>
      <c r="F695" s="2" t="b">
        <v>1</v>
      </c>
      <c r="G695" s="2" t="b">
        <v>0</v>
      </c>
      <c r="H695" s="2" t="s">
        <v>37</v>
      </c>
      <c r="I695" s="2" t="s">
        <v>49</v>
      </c>
      <c r="J695" s="2" t="s">
        <v>739</v>
      </c>
      <c r="K695" s="2" t="s">
        <v>495</v>
      </c>
      <c r="L695" s="13" t="s">
        <v>496</v>
      </c>
      <c r="M695" s="2" t="s">
        <v>26</v>
      </c>
      <c r="N695" s="11" t="s">
        <v>3083</v>
      </c>
      <c r="O695" s="12" t="s">
        <v>53</v>
      </c>
      <c r="P695" s="5" t="str">
        <f>IFERROR(__xludf.DUMMYFUNCTION("TEXTJOIN("" | "",TRUE,IF(OR(D695="""",E695="""",I695="""",J695="""",H695=""""),""ফাঁকা ঘর"",""""),IF(AND(C695&lt;&gt;"""",D695&lt;&gt;"""",C695=D695),""gloss=figurative"",""""),IF(LEN(D695)&lt;15,""figurative ছোট"",""""),IF(AND(I695=""Positive"",REGEXMATCH(H695,""মূর্খ|"&amp;"ভণ্ড|প্রতার|অলস|লোভ|স্বার্থ|অক্ষম|অযোগ্য|বোকা|কৃপণ|হিংস"")),""valence-target অমিল"",""""),IF(COUNTIF($B:$B,B695)&gt;1,""ডুপ্লিকেট"",""""))"),"figurative ছোট")</f>
        <v>figurative ছোট</v>
      </c>
      <c r="Q695" s="5" t="str">
        <f t="shared" si="1"/>
        <v>১ আগে দেখো</v>
      </c>
    </row>
    <row r="696">
      <c r="A696" s="4">
        <v>6048.0</v>
      </c>
      <c r="B696" s="2" t="s">
        <v>3084</v>
      </c>
      <c r="C696" s="2" t="s">
        <v>3085</v>
      </c>
      <c r="D696" s="2" t="s">
        <v>3086</v>
      </c>
      <c r="E696" s="2" t="s">
        <v>3087</v>
      </c>
      <c r="F696" s="2" t="b">
        <v>1</v>
      </c>
      <c r="G696" s="2" t="b">
        <v>0</v>
      </c>
      <c r="H696" s="2" t="s">
        <v>37</v>
      </c>
      <c r="I696" s="2" t="s">
        <v>49</v>
      </c>
      <c r="J696" s="2" t="s">
        <v>739</v>
      </c>
      <c r="K696" s="2" t="s">
        <v>495</v>
      </c>
      <c r="L696" s="13" t="s">
        <v>496</v>
      </c>
      <c r="M696" s="2" t="s">
        <v>26</v>
      </c>
      <c r="N696" s="11" t="s">
        <v>576</v>
      </c>
      <c r="O696" s="12" t="s">
        <v>53</v>
      </c>
      <c r="P696" s="5" t="str">
        <f>IFERROR(__xludf.DUMMYFUNCTION("TEXTJOIN("" | "",TRUE,IF(OR(D696="""",E696="""",I696="""",J696="""",H696=""""),""ফাঁকা ঘর"",""""),IF(AND(C696&lt;&gt;"""",D696&lt;&gt;"""",C696=D696),""gloss=figurative"",""""),IF(LEN(D696)&lt;15,""figurative ছোট"",""""),IF(AND(I696=""Positive"",REGEXMATCH(H696,""মূর্খ|"&amp;"ভণ্ড|প্রতার|অলস|লোভ|স্বার্থ|অক্ষম|অযোগ্য|বোকা|কৃপণ|হিংস"")),""valence-target অমিল"",""""),IF(COUNTIF($B:$B,B696)&gt;1,""ডুপ্লিকেট"",""""))"),"figurative ছোট")</f>
        <v>figurative ছোট</v>
      </c>
      <c r="Q696" s="5" t="str">
        <f t="shared" si="1"/>
        <v>১ আগে দেখো</v>
      </c>
    </row>
    <row r="697">
      <c r="A697" s="4">
        <v>6050.0</v>
      </c>
      <c r="B697" s="2" t="s">
        <v>3088</v>
      </c>
      <c r="C697" s="2" t="s">
        <v>3089</v>
      </c>
      <c r="D697" s="2" t="s">
        <v>3090</v>
      </c>
      <c r="E697" s="2" t="s">
        <v>3091</v>
      </c>
      <c r="F697" s="2" t="b">
        <v>1</v>
      </c>
      <c r="G697" s="2" t="b">
        <v>0</v>
      </c>
      <c r="H697" s="2" t="s">
        <v>37</v>
      </c>
      <c r="I697" s="2" t="s">
        <v>49</v>
      </c>
      <c r="J697" s="2" t="s">
        <v>1259</v>
      </c>
      <c r="K697" s="2" t="s">
        <v>495</v>
      </c>
      <c r="L697" s="13" t="s">
        <v>496</v>
      </c>
      <c r="M697" s="2" t="s">
        <v>26</v>
      </c>
      <c r="N697" s="11" t="s">
        <v>576</v>
      </c>
      <c r="O697" s="12" t="s">
        <v>53</v>
      </c>
      <c r="P697" s="5" t="str">
        <f>IFERROR(__xludf.DUMMYFUNCTION("TEXTJOIN("" | "",TRUE,IF(OR(D697="""",E697="""",I697="""",J697="""",H697=""""),""ফাঁকা ঘর"",""""),IF(AND(C697&lt;&gt;"""",D697&lt;&gt;"""",C697=D697),""gloss=figurative"",""""),IF(LEN(D697)&lt;15,""figurative ছোট"",""""),IF(AND(I697=""Positive"",REGEXMATCH(H697,""মূর্খ|"&amp;"ভণ্ড|প্রতার|অলস|লোভ|স্বার্থ|অক্ষম|অযোগ্য|বোকা|কৃপণ|হিংস"")),""valence-target অমিল"",""""),IF(COUNTIF($B:$B,B697)&gt;1,""ডুপ্লিকেট"",""""))"),"figurative ছোট")</f>
        <v>figurative ছোট</v>
      </c>
      <c r="Q697" s="5" t="str">
        <f t="shared" si="1"/>
        <v>১ আগে দেখো</v>
      </c>
    </row>
    <row r="698">
      <c r="A698" s="4">
        <v>6054.0</v>
      </c>
      <c r="B698" s="2" t="s">
        <v>3092</v>
      </c>
      <c r="C698" s="2" t="s">
        <v>3093</v>
      </c>
      <c r="D698" s="2" t="s">
        <v>3094</v>
      </c>
      <c r="E698" s="2" t="s">
        <v>3095</v>
      </c>
      <c r="F698" s="2" t="b">
        <v>1</v>
      </c>
      <c r="G698" s="2" t="b">
        <v>0</v>
      </c>
      <c r="H698" s="2" t="s">
        <v>37</v>
      </c>
      <c r="I698" s="2" t="s">
        <v>49</v>
      </c>
      <c r="J698" s="2" t="s">
        <v>208</v>
      </c>
      <c r="K698" s="2" t="s">
        <v>495</v>
      </c>
      <c r="L698" s="13" t="s">
        <v>496</v>
      </c>
      <c r="M698" s="2" t="s">
        <v>26</v>
      </c>
      <c r="N698" s="11" t="s">
        <v>576</v>
      </c>
      <c r="O698" s="12" t="s">
        <v>53</v>
      </c>
      <c r="P698" s="5" t="str">
        <f>IFERROR(__xludf.DUMMYFUNCTION("TEXTJOIN("" | "",TRUE,IF(OR(D698="""",E698="""",I698="""",J698="""",H698=""""),""ফাঁকা ঘর"",""""),IF(AND(C698&lt;&gt;"""",D698&lt;&gt;"""",C698=D698),""gloss=figurative"",""""),IF(LEN(D698)&lt;15,""figurative ছোট"",""""),IF(AND(I698=""Positive"",REGEXMATCH(H698,""মূর্খ|"&amp;"ভণ্ড|প্রতার|অলস|লোভ|স্বার্থ|অক্ষম|অযোগ্য|বোকা|কৃপণ|হিংস"")),""valence-target অমিল"",""""),IF(COUNTIF($B:$B,B698)&gt;1,""ডুপ্লিকেট"",""""))"),"figurative ছোট")</f>
        <v>figurative ছোট</v>
      </c>
      <c r="Q698" s="5" t="str">
        <f t="shared" si="1"/>
        <v>১ আগে দেখো</v>
      </c>
    </row>
    <row r="699">
      <c r="A699" s="4">
        <v>6055.0</v>
      </c>
      <c r="B699" s="2" t="s">
        <v>3096</v>
      </c>
      <c r="C699" s="2" t="s">
        <v>3097</v>
      </c>
      <c r="D699" s="2" t="s">
        <v>3098</v>
      </c>
      <c r="E699" s="2" t="s">
        <v>3099</v>
      </c>
      <c r="F699" s="2" t="b">
        <v>1</v>
      </c>
      <c r="G699" s="2" t="b">
        <v>0</v>
      </c>
      <c r="H699" s="2" t="s">
        <v>1484</v>
      </c>
      <c r="I699" s="2" t="s">
        <v>22</v>
      </c>
      <c r="J699" s="2" t="s">
        <v>1740</v>
      </c>
      <c r="K699" s="2" t="s">
        <v>495</v>
      </c>
      <c r="L699" s="13" t="s">
        <v>496</v>
      </c>
      <c r="M699" s="2" t="s">
        <v>26</v>
      </c>
      <c r="N699" s="11" t="s">
        <v>576</v>
      </c>
      <c r="O699" s="12" t="s">
        <v>53</v>
      </c>
      <c r="P699" s="5" t="str">
        <f>IFERROR(__xludf.DUMMYFUNCTION("TEXTJOIN("" | "",TRUE,IF(OR(D699="""",E699="""",I699="""",J699="""",H699=""""),""ফাঁকা ঘর"",""""),IF(AND(C699&lt;&gt;"""",D699&lt;&gt;"""",C699=D699),""gloss=figurative"",""""),IF(LEN(D699)&lt;15,""figurative ছোট"",""""),IF(AND(I699=""Positive"",REGEXMATCH(H699,""মূর্খ|"&amp;"ভণ্ড|প্রতার|অলস|লোভ|স্বার্থ|অক্ষম|অযোগ্য|বোকা|কৃপণ|হিংস"")),""valence-target অমিল"",""""),IF(COUNTIF($B:$B,B699)&gt;1,""ডুপ্লিকেট"",""""))"),"figurative ছোট")</f>
        <v>figurative ছোট</v>
      </c>
      <c r="Q699" s="5" t="str">
        <f t="shared" si="1"/>
        <v>১ আগে দেখো</v>
      </c>
    </row>
    <row r="700">
      <c r="A700" s="4">
        <v>6056.0</v>
      </c>
      <c r="B700" s="2" t="s">
        <v>3100</v>
      </c>
      <c r="C700" s="2" t="s">
        <v>3101</v>
      </c>
      <c r="D700" s="2" t="s">
        <v>3102</v>
      </c>
      <c r="E700" s="2" t="s">
        <v>3103</v>
      </c>
      <c r="F700" s="2" t="b">
        <v>1</v>
      </c>
      <c r="G700" s="2" t="b">
        <v>0</v>
      </c>
      <c r="H700" s="2" t="s">
        <v>37</v>
      </c>
      <c r="I700" s="2" t="s">
        <v>22</v>
      </c>
      <c r="J700" s="2" t="s">
        <v>830</v>
      </c>
      <c r="K700" s="2" t="s">
        <v>495</v>
      </c>
      <c r="L700" s="13" t="s">
        <v>496</v>
      </c>
      <c r="M700" s="2" t="s">
        <v>26</v>
      </c>
      <c r="N700" s="11" t="s">
        <v>576</v>
      </c>
      <c r="O700" s="12" t="s">
        <v>53</v>
      </c>
      <c r="P700" s="5" t="str">
        <f>IFERROR(__xludf.DUMMYFUNCTION("TEXTJOIN("" | "",TRUE,IF(OR(D700="""",E700="""",I700="""",J700="""",H700=""""),""ফাঁকা ঘর"",""""),IF(AND(C700&lt;&gt;"""",D700&lt;&gt;"""",C700=D700),""gloss=figurative"",""""),IF(LEN(D700)&lt;15,""figurative ছোট"",""""),IF(AND(I700=""Positive"",REGEXMATCH(H700,""মূর্খ|"&amp;"ভণ্ড|প্রতার|অলস|লোভ|স্বার্থ|অক্ষম|অযোগ্য|বোকা|কৃপণ|হিংস"")),""valence-target অমিল"",""""),IF(COUNTIF($B:$B,B700)&gt;1,""ডুপ্লিকেট"",""""))"),"figurative ছোট")</f>
        <v>figurative ছোট</v>
      </c>
      <c r="Q700" s="5" t="str">
        <f t="shared" si="1"/>
        <v>১ আগে দেখো</v>
      </c>
    </row>
    <row r="701">
      <c r="A701" s="4">
        <v>6058.0</v>
      </c>
      <c r="B701" s="2" t="s">
        <v>3104</v>
      </c>
      <c r="C701" s="2" t="s">
        <v>2987</v>
      </c>
      <c r="D701" s="2" t="s">
        <v>3105</v>
      </c>
      <c r="E701" s="2" t="s">
        <v>3106</v>
      </c>
      <c r="F701" s="2" t="b">
        <v>1</v>
      </c>
      <c r="G701" s="2" t="b">
        <v>0</v>
      </c>
      <c r="H701" s="2" t="s">
        <v>37</v>
      </c>
      <c r="I701" s="2" t="s">
        <v>22</v>
      </c>
      <c r="J701" s="2" t="s">
        <v>1038</v>
      </c>
      <c r="K701" s="2" t="s">
        <v>495</v>
      </c>
      <c r="L701" s="13" t="s">
        <v>496</v>
      </c>
      <c r="M701" s="2" t="s">
        <v>26</v>
      </c>
      <c r="N701" s="11" t="s">
        <v>3107</v>
      </c>
      <c r="O701" s="12" t="s">
        <v>53</v>
      </c>
      <c r="P701" s="5" t="str">
        <f>IFERROR(__xludf.DUMMYFUNCTION("TEXTJOIN("" | "",TRUE,IF(OR(D701="""",E701="""",I701="""",J701="""",H701=""""),""ফাঁকা ঘর"",""""),IF(AND(C701&lt;&gt;"""",D701&lt;&gt;"""",C701=D701),""gloss=figurative"",""""),IF(LEN(D701)&lt;15,""figurative ছোট"",""""),IF(AND(I701=""Positive"",REGEXMATCH(H701,""মূর্খ|"&amp;"ভণ্ড|প্রতার|অলস|লোভ|স্বার্থ|অক্ষম|অযোগ্য|বোকা|কৃপণ|হিংস"")),""valence-target অমিল"",""""),IF(COUNTIF($B:$B,B701)&gt;1,""ডুপ্লিকেট"",""""))"),"figurative ছোট")</f>
        <v>figurative ছোট</v>
      </c>
      <c r="Q701" s="5" t="str">
        <f t="shared" si="1"/>
        <v>১ আগে দেখো</v>
      </c>
    </row>
    <row r="702">
      <c r="A702" s="4">
        <v>6059.0</v>
      </c>
      <c r="B702" s="2" t="s">
        <v>3108</v>
      </c>
      <c r="C702" s="2" t="s">
        <v>3109</v>
      </c>
      <c r="D702" s="2" t="s">
        <v>1146</v>
      </c>
      <c r="E702" s="2" t="s">
        <v>3110</v>
      </c>
      <c r="F702" s="2" t="b">
        <v>1</v>
      </c>
      <c r="G702" s="2" t="b">
        <v>0</v>
      </c>
      <c r="H702" s="2" t="s">
        <v>37</v>
      </c>
      <c r="I702" s="2" t="s">
        <v>22</v>
      </c>
      <c r="J702" s="2" t="s">
        <v>3111</v>
      </c>
      <c r="K702" s="2" t="s">
        <v>495</v>
      </c>
      <c r="L702" s="13" t="s">
        <v>496</v>
      </c>
      <c r="M702" s="2" t="s">
        <v>26</v>
      </c>
      <c r="N702" s="11" t="s">
        <v>3112</v>
      </c>
      <c r="O702" s="12" t="s">
        <v>53</v>
      </c>
      <c r="P702" s="5" t="str">
        <f>IFERROR(__xludf.DUMMYFUNCTION("TEXTJOIN("" | "",TRUE,IF(OR(D702="""",E702="""",I702="""",J702="""",H702=""""),""ফাঁকা ঘর"",""""),IF(AND(C702&lt;&gt;"""",D702&lt;&gt;"""",C702=D702),""gloss=figurative"",""""),IF(LEN(D702)&lt;15,""figurative ছোট"",""""),IF(AND(I702=""Positive"",REGEXMATCH(H702,""মূর্খ|"&amp;"ভণ্ড|প্রতার|অলস|লোভ|স্বার্থ|অক্ষম|অযোগ্য|বোকা|কৃপণ|হিংস"")),""valence-target অমিল"",""""),IF(COUNTIF($B:$B,B702)&gt;1,""ডুপ্লিকেট"",""""))"),"figurative ছোট")</f>
        <v>figurative ছোট</v>
      </c>
      <c r="Q702" s="5" t="str">
        <f t="shared" si="1"/>
        <v>১ আগে দেখো</v>
      </c>
    </row>
    <row r="703">
      <c r="A703" s="4">
        <v>6063.0</v>
      </c>
      <c r="B703" s="2" t="s">
        <v>3113</v>
      </c>
      <c r="C703" s="2" t="s">
        <v>3114</v>
      </c>
      <c r="D703" s="2" t="s">
        <v>3115</v>
      </c>
      <c r="E703" s="2" t="s">
        <v>3116</v>
      </c>
      <c r="F703" s="2" t="b">
        <v>1</v>
      </c>
      <c r="G703" s="2" t="b">
        <v>0</v>
      </c>
      <c r="H703" s="2" t="s">
        <v>37</v>
      </c>
      <c r="I703" s="2" t="s">
        <v>22</v>
      </c>
      <c r="J703" s="2" t="s">
        <v>2490</v>
      </c>
      <c r="K703" s="2" t="s">
        <v>495</v>
      </c>
      <c r="L703" s="13" t="s">
        <v>496</v>
      </c>
      <c r="M703" s="2" t="s">
        <v>26</v>
      </c>
      <c r="N703" s="11" t="s">
        <v>3117</v>
      </c>
      <c r="O703" s="12" t="s">
        <v>53</v>
      </c>
      <c r="P703" s="5" t="str">
        <f>IFERROR(__xludf.DUMMYFUNCTION("TEXTJOIN("" | "",TRUE,IF(OR(D703="""",E703="""",I703="""",J703="""",H703=""""),""ফাঁকা ঘর"",""""),IF(AND(C703&lt;&gt;"""",D703&lt;&gt;"""",C703=D703),""gloss=figurative"",""""),IF(LEN(D703)&lt;15,""figurative ছোট"",""""),IF(AND(I703=""Positive"",REGEXMATCH(H703,""মূর্খ|"&amp;"ভণ্ড|প্রতার|অলস|লোভ|স্বার্থ|অক্ষম|অযোগ্য|বোকা|কৃপণ|হিংস"")),""valence-target অমিল"",""""),IF(COUNTIF($B:$B,B703)&gt;1,""ডুপ্লিকেট"",""""))"),"figurative ছোট")</f>
        <v>figurative ছোট</v>
      </c>
      <c r="Q703" s="5" t="str">
        <f t="shared" si="1"/>
        <v>১ আগে দেখো</v>
      </c>
    </row>
    <row r="704">
      <c r="A704" s="4">
        <v>6064.0</v>
      </c>
      <c r="B704" s="2" t="s">
        <v>3118</v>
      </c>
      <c r="C704" s="2" t="s">
        <v>3119</v>
      </c>
      <c r="D704" s="2" t="s">
        <v>3120</v>
      </c>
      <c r="E704" s="2" t="s">
        <v>3121</v>
      </c>
      <c r="F704" s="2" t="b">
        <v>1</v>
      </c>
      <c r="G704" s="2" t="b">
        <v>0</v>
      </c>
      <c r="H704" s="2" t="s">
        <v>37</v>
      </c>
      <c r="I704" s="2" t="s">
        <v>22</v>
      </c>
      <c r="J704" s="2" t="s">
        <v>2490</v>
      </c>
      <c r="K704" s="2" t="s">
        <v>495</v>
      </c>
      <c r="L704" s="13" t="s">
        <v>496</v>
      </c>
      <c r="M704" s="2" t="s">
        <v>26</v>
      </c>
      <c r="N704" s="11" t="s">
        <v>3122</v>
      </c>
      <c r="O704" s="12" t="s">
        <v>53</v>
      </c>
      <c r="P704" s="5" t="str">
        <f>IFERROR(__xludf.DUMMYFUNCTION("TEXTJOIN("" | "",TRUE,IF(OR(D704="""",E704="""",I704="""",J704="""",H704=""""),""ফাঁকা ঘর"",""""),IF(AND(C704&lt;&gt;"""",D704&lt;&gt;"""",C704=D704),""gloss=figurative"",""""),IF(LEN(D704)&lt;15,""figurative ছোট"",""""),IF(AND(I704=""Positive"",REGEXMATCH(H704,""মূর্খ|"&amp;"ভণ্ড|প্রতার|অলস|লোভ|স্বার্থ|অক্ষম|অযোগ্য|বোকা|কৃপণ|হিংস"")),""valence-target অমিল"",""""),IF(COUNTIF($B:$B,B704)&gt;1,""ডুপ্লিকেট"",""""))"),"figurative ছোট")</f>
        <v>figurative ছোট</v>
      </c>
      <c r="Q704" s="5" t="str">
        <f t="shared" si="1"/>
        <v>১ আগে দেখো</v>
      </c>
    </row>
    <row r="705">
      <c r="A705" s="4">
        <v>6066.0</v>
      </c>
      <c r="B705" s="2" t="s">
        <v>3123</v>
      </c>
      <c r="C705" s="2" t="s">
        <v>3124</v>
      </c>
      <c r="D705" s="2" t="s">
        <v>3125</v>
      </c>
      <c r="E705" s="2" t="s">
        <v>3126</v>
      </c>
      <c r="F705" s="2" t="b">
        <v>1</v>
      </c>
      <c r="G705" s="2" t="b">
        <v>0</v>
      </c>
      <c r="H705" s="2" t="s">
        <v>37</v>
      </c>
      <c r="I705" s="2" t="s">
        <v>22</v>
      </c>
      <c r="J705" s="2" t="s">
        <v>3127</v>
      </c>
      <c r="K705" s="2" t="s">
        <v>495</v>
      </c>
      <c r="L705" s="13" t="s">
        <v>496</v>
      </c>
      <c r="M705" s="2" t="s">
        <v>26</v>
      </c>
      <c r="N705" s="11" t="s">
        <v>3128</v>
      </c>
      <c r="O705" s="12" t="s">
        <v>53</v>
      </c>
      <c r="P705" s="5" t="str">
        <f>IFERROR(__xludf.DUMMYFUNCTION("TEXTJOIN("" | "",TRUE,IF(OR(D705="""",E705="""",I705="""",J705="""",H705=""""),""ফাঁকা ঘর"",""""),IF(AND(C705&lt;&gt;"""",D705&lt;&gt;"""",C705=D705),""gloss=figurative"",""""),IF(LEN(D705)&lt;15,""figurative ছোট"",""""),IF(AND(I705=""Positive"",REGEXMATCH(H705,""মূর্খ|"&amp;"ভণ্ড|প্রতার|অলস|লোভ|স্বার্থ|অক্ষম|অযোগ্য|বোকা|কৃপণ|হিংস"")),""valence-target অমিল"",""""),IF(COUNTIF($B:$B,B705)&gt;1,""ডুপ্লিকেট"",""""))"),"figurative ছোট")</f>
        <v>figurative ছোট</v>
      </c>
      <c r="Q705" s="5" t="str">
        <f t="shared" si="1"/>
        <v>১ আগে দেখো</v>
      </c>
    </row>
    <row r="706">
      <c r="A706" s="4">
        <v>6067.0</v>
      </c>
      <c r="B706" s="2" t="s">
        <v>3129</v>
      </c>
      <c r="C706" s="2" t="s">
        <v>3130</v>
      </c>
      <c r="D706" s="2" t="s">
        <v>3131</v>
      </c>
      <c r="E706" s="2" t="s">
        <v>3132</v>
      </c>
      <c r="F706" s="2" t="b">
        <v>1</v>
      </c>
      <c r="G706" s="2" t="b">
        <v>0</v>
      </c>
      <c r="H706" s="2" t="s">
        <v>37</v>
      </c>
      <c r="I706" s="2" t="s">
        <v>22</v>
      </c>
      <c r="J706" s="2" t="s">
        <v>1117</v>
      </c>
      <c r="K706" s="2" t="s">
        <v>495</v>
      </c>
      <c r="L706" s="13" t="s">
        <v>496</v>
      </c>
      <c r="M706" s="2" t="s">
        <v>26</v>
      </c>
      <c r="N706" s="11" t="s">
        <v>3128</v>
      </c>
      <c r="O706" s="12" t="s">
        <v>53</v>
      </c>
      <c r="P706" s="5" t="str">
        <f>IFERROR(__xludf.DUMMYFUNCTION("TEXTJOIN("" | "",TRUE,IF(OR(D706="""",E706="""",I706="""",J706="""",H706=""""),""ফাঁকা ঘর"",""""),IF(AND(C706&lt;&gt;"""",D706&lt;&gt;"""",C706=D706),""gloss=figurative"",""""),IF(LEN(D706)&lt;15,""figurative ছোট"",""""),IF(AND(I706=""Positive"",REGEXMATCH(H706,""মূর্খ|"&amp;"ভণ্ড|প্রতার|অলস|লোভ|স্বার্থ|অক্ষম|অযোগ্য|বোকা|কৃপণ|হিংস"")),""valence-target অমিল"",""""),IF(COUNTIF($B:$B,B706)&gt;1,""ডুপ্লিকেট"",""""))"),"figurative ছোট")</f>
        <v>figurative ছোট</v>
      </c>
      <c r="Q706" s="5" t="str">
        <f t="shared" si="1"/>
        <v>১ আগে দেখো</v>
      </c>
    </row>
    <row r="707">
      <c r="A707" s="4">
        <v>6069.0</v>
      </c>
      <c r="B707" s="2" t="s">
        <v>3133</v>
      </c>
      <c r="C707" s="2" t="s">
        <v>3134</v>
      </c>
      <c r="D707" s="2" t="s">
        <v>3135</v>
      </c>
      <c r="E707" s="2" t="s">
        <v>3136</v>
      </c>
      <c r="F707" s="2" t="b">
        <v>1</v>
      </c>
      <c r="G707" s="2" t="b">
        <v>0</v>
      </c>
      <c r="H707" s="2" t="s">
        <v>37</v>
      </c>
      <c r="I707" s="2" t="s">
        <v>22</v>
      </c>
      <c r="J707" s="2" t="s">
        <v>616</v>
      </c>
      <c r="K707" s="2" t="s">
        <v>495</v>
      </c>
      <c r="L707" s="13" t="s">
        <v>496</v>
      </c>
      <c r="M707" s="2" t="s">
        <v>26</v>
      </c>
      <c r="N707" s="11" t="s">
        <v>576</v>
      </c>
      <c r="O707" s="12" t="s">
        <v>53</v>
      </c>
      <c r="P707" s="5" t="str">
        <f>IFERROR(__xludf.DUMMYFUNCTION("TEXTJOIN("" | "",TRUE,IF(OR(D707="""",E707="""",I707="""",J707="""",H707=""""),""ফাঁকা ঘর"",""""),IF(AND(C707&lt;&gt;"""",D707&lt;&gt;"""",C707=D707),""gloss=figurative"",""""),IF(LEN(D707)&lt;15,""figurative ছোট"",""""),IF(AND(I707=""Positive"",REGEXMATCH(H707,""মূর্খ|"&amp;"ভণ্ড|প্রতার|অলস|লোভ|স্বার্থ|অক্ষম|অযোগ্য|বোকা|কৃপণ|হিংস"")),""valence-target অমিল"",""""),IF(COUNTIF($B:$B,B707)&gt;1,""ডুপ্লিকেট"",""""))"),"figurative ছোট")</f>
        <v>figurative ছোট</v>
      </c>
      <c r="Q707" s="5" t="str">
        <f t="shared" si="1"/>
        <v>১ আগে দেখো</v>
      </c>
    </row>
    <row r="708">
      <c r="A708" s="4">
        <v>6070.0</v>
      </c>
      <c r="B708" s="2" t="s">
        <v>3137</v>
      </c>
      <c r="C708" s="2" t="s">
        <v>3138</v>
      </c>
      <c r="D708" s="2" t="s">
        <v>2742</v>
      </c>
      <c r="E708" s="2" t="s">
        <v>3139</v>
      </c>
      <c r="F708" s="2" t="b">
        <v>1</v>
      </c>
      <c r="G708" s="2" t="b">
        <v>0</v>
      </c>
      <c r="H708" s="2" t="s">
        <v>37</v>
      </c>
      <c r="I708" s="2" t="s">
        <v>49</v>
      </c>
      <c r="J708" s="2" t="s">
        <v>2742</v>
      </c>
      <c r="K708" s="2" t="s">
        <v>495</v>
      </c>
      <c r="L708" s="13" t="s">
        <v>496</v>
      </c>
      <c r="M708" s="2" t="s">
        <v>26</v>
      </c>
      <c r="N708" s="11" t="s">
        <v>3140</v>
      </c>
      <c r="O708" s="12" t="s">
        <v>53</v>
      </c>
      <c r="P708" s="5" t="str">
        <f>IFERROR(__xludf.DUMMYFUNCTION("TEXTJOIN("" | "",TRUE,IF(OR(D708="""",E708="""",I708="""",J708="""",H708=""""),""ফাঁকা ঘর"",""""),IF(AND(C708&lt;&gt;"""",D708&lt;&gt;"""",C708=D708),""gloss=figurative"",""""),IF(LEN(D708)&lt;15,""figurative ছোট"",""""),IF(AND(I708=""Positive"",REGEXMATCH(H708,""মূর্খ|"&amp;"ভণ্ড|প্রতার|অলস|লোভ|স্বার্থ|অক্ষম|অযোগ্য|বোকা|কৃপণ|হিংস"")),""valence-target অমিল"",""""),IF(COUNTIF($B:$B,B708)&gt;1,""ডুপ্লিকেট"",""""))"),"figurative ছোট")</f>
        <v>figurative ছোট</v>
      </c>
      <c r="Q708" s="5" t="str">
        <f t="shared" si="1"/>
        <v>১ আগে দেখো</v>
      </c>
    </row>
    <row r="709">
      <c r="A709" s="4">
        <v>6071.0</v>
      </c>
      <c r="B709" s="2" t="s">
        <v>3141</v>
      </c>
      <c r="C709" s="2" t="s">
        <v>3142</v>
      </c>
      <c r="D709" s="2" t="s">
        <v>3143</v>
      </c>
      <c r="E709" s="2" t="s">
        <v>3144</v>
      </c>
      <c r="F709" s="2" t="b">
        <v>1</v>
      </c>
      <c r="G709" s="2" t="b">
        <v>0</v>
      </c>
      <c r="H709" s="2" t="s">
        <v>37</v>
      </c>
      <c r="I709" s="2" t="s">
        <v>49</v>
      </c>
      <c r="J709" s="2" t="s">
        <v>2742</v>
      </c>
      <c r="K709" s="2" t="s">
        <v>495</v>
      </c>
      <c r="L709" s="13" t="s">
        <v>496</v>
      </c>
      <c r="M709" s="2" t="s">
        <v>26</v>
      </c>
      <c r="N709" s="11" t="s">
        <v>3145</v>
      </c>
      <c r="O709" s="12" t="s">
        <v>53</v>
      </c>
      <c r="P709" s="5" t="str">
        <f>IFERROR(__xludf.DUMMYFUNCTION("TEXTJOIN("" | "",TRUE,IF(OR(D709="""",E709="""",I709="""",J709="""",H709=""""),""ফাঁকা ঘর"",""""),IF(AND(C709&lt;&gt;"""",D709&lt;&gt;"""",C709=D709),""gloss=figurative"",""""),IF(LEN(D709)&lt;15,""figurative ছোট"",""""),IF(AND(I709=""Positive"",REGEXMATCH(H709,""মূর্খ|"&amp;"ভণ্ড|প্রতার|অলস|লোভ|স্বার্থ|অক্ষম|অযোগ্য|বোকা|কৃপণ|হিংস"")),""valence-target অমিল"",""""),IF(COUNTIF($B:$B,B709)&gt;1,""ডুপ্লিকেট"",""""))"),"figurative ছোট")</f>
        <v>figurative ছোট</v>
      </c>
      <c r="Q709" s="5" t="str">
        <f t="shared" si="1"/>
        <v>১ আগে দেখো</v>
      </c>
    </row>
    <row r="710">
      <c r="A710" s="4">
        <v>6072.0</v>
      </c>
      <c r="B710" s="2" t="s">
        <v>3146</v>
      </c>
      <c r="C710" s="2" t="s">
        <v>3147</v>
      </c>
      <c r="D710" s="2" t="s">
        <v>3148</v>
      </c>
      <c r="E710" s="2" t="s">
        <v>3149</v>
      </c>
      <c r="F710" s="2" t="b">
        <v>1</v>
      </c>
      <c r="G710" s="2" t="b">
        <v>0</v>
      </c>
      <c r="H710" s="2" t="s">
        <v>37</v>
      </c>
      <c r="I710" s="2" t="s">
        <v>49</v>
      </c>
      <c r="J710" s="2" t="s">
        <v>3150</v>
      </c>
      <c r="K710" s="2" t="s">
        <v>495</v>
      </c>
      <c r="L710" s="13" t="s">
        <v>496</v>
      </c>
      <c r="M710" s="2" t="s">
        <v>26</v>
      </c>
      <c r="N710" s="11" t="s">
        <v>3151</v>
      </c>
      <c r="O710" s="12" t="s">
        <v>53</v>
      </c>
      <c r="P710" s="5" t="str">
        <f>IFERROR(__xludf.DUMMYFUNCTION("TEXTJOIN("" | "",TRUE,IF(OR(D710="""",E710="""",I710="""",J710="""",H710=""""),""ফাঁকা ঘর"",""""),IF(AND(C710&lt;&gt;"""",D710&lt;&gt;"""",C710=D710),""gloss=figurative"",""""),IF(LEN(D710)&lt;15,""figurative ছোট"",""""),IF(AND(I710=""Positive"",REGEXMATCH(H710,""মূর্খ|"&amp;"ভণ্ড|প্রতার|অলস|লোভ|স্বার্থ|অক্ষম|অযোগ্য|বোকা|কৃপণ|হিংস"")),""valence-target অমিল"",""""),IF(COUNTIF($B:$B,B710)&gt;1,""ডুপ্লিকেট"",""""))"),"figurative ছোট")</f>
        <v>figurative ছোট</v>
      </c>
      <c r="Q710" s="5" t="str">
        <f t="shared" si="1"/>
        <v>১ আগে দেখো</v>
      </c>
    </row>
    <row r="711">
      <c r="A711" s="4">
        <v>6073.0</v>
      </c>
      <c r="B711" s="2" t="s">
        <v>3152</v>
      </c>
      <c r="C711" s="2" t="s">
        <v>3153</v>
      </c>
      <c r="D711" s="2" t="s">
        <v>3154</v>
      </c>
      <c r="E711" s="2" t="s">
        <v>3155</v>
      </c>
      <c r="F711" s="2" t="b">
        <v>1</v>
      </c>
      <c r="G711" s="2" t="b">
        <v>0</v>
      </c>
      <c r="H711" s="2" t="s">
        <v>37</v>
      </c>
      <c r="I711" s="2" t="s">
        <v>49</v>
      </c>
      <c r="J711" s="2" t="s">
        <v>3156</v>
      </c>
      <c r="K711" s="2" t="s">
        <v>495</v>
      </c>
      <c r="L711" s="13" t="s">
        <v>496</v>
      </c>
      <c r="M711" s="2" t="s">
        <v>26</v>
      </c>
      <c r="N711" s="11" t="s">
        <v>3157</v>
      </c>
      <c r="O711" s="12" t="s">
        <v>53</v>
      </c>
      <c r="P711" s="5" t="str">
        <f>IFERROR(__xludf.DUMMYFUNCTION("TEXTJOIN("" | "",TRUE,IF(OR(D711="""",E711="""",I711="""",J711="""",H711=""""),""ফাঁকা ঘর"",""""),IF(AND(C711&lt;&gt;"""",D711&lt;&gt;"""",C711=D711),""gloss=figurative"",""""),IF(LEN(D711)&lt;15,""figurative ছোট"",""""),IF(AND(I711=""Positive"",REGEXMATCH(H711,""মূর্খ|"&amp;"ভণ্ড|প্রতার|অলস|লোভ|স্বার্থ|অক্ষম|অযোগ্য|বোকা|কৃপণ|হিংস"")),""valence-target অমিল"",""""),IF(COUNTIF($B:$B,B711)&gt;1,""ডুপ্লিকেট"",""""))"),"figurative ছোট")</f>
        <v>figurative ছোট</v>
      </c>
      <c r="Q711" s="5" t="str">
        <f t="shared" si="1"/>
        <v>১ আগে দেখো</v>
      </c>
    </row>
    <row r="712">
      <c r="A712" s="4">
        <v>6076.0</v>
      </c>
      <c r="B712" s="2" t="s">
        <v>3158</v>
      </c>
      <c r="C712" s="2" t="s">
        <v>3158</v>
      </c>
      <c r="D712" s="2" t="s">
        <v>3159</v>
      </c>
      <c r="E712" s="2" t="s">
        <v>3160</v>
      </c>
      <c r="F712" s="2" t="b">
        <v>1</v>
      </c>
      <c r="G712" s="2" t="b">
        <v>0</v>
      </c>
      <c r="H712" s="2" t="s">
        <v>3161</v>
      </c>
      <c r="I712" s="2" t="s">
        <v>22</v>
      </c>
      <c r="J712" s="2" t="s">
        <v>601</v>
      </c>
      <c r="K712" s="2" t="s">
        <v>495</v>
      </c>
      <c r="L712" s="13" t="s">
        <v>496</v>
      </c>
      <c r="M712" s="2" t="s">
        <v>26</v>
      </c>
      <c r="N712" s="11" t="s">
        <v>576</v>
      </c>
      <c r="O712" s="12" t="s">
        <v>53</v>
      </c>
      <c r="P712" s="5" t="str">
        <f>IFERROR(__xludf.DUMMYFUNCTION("TEXTJOIN("" | "",TRUE,IF(OR(D712="""",E712="""",I712="""",J712="""",H712=""""),""ফাঁকা ঘর"",""""),IF(AND(C712&lt;&gt;"""",D712&lt;&gt;"""",C712=D712),""gloss=figurative"",""""),IF(LEN(D712)&lt;15,""figurative ছোট"",""""),IF(AND(I712=""Positive"",REGEXMATCH(H712,""মূর্খ|"&amp;"ভণ্ড|প্রতার|অলস|লোভ|স্বার্থ|অক্ষম|অযোগ্য|বোকা|কৃপণ|হিংস"")),""valence-target অমিল"",""""),IF(COUNTIF($B:$B,B712)&gt;1,""ডুপ্লিকেট"",""""))"),"figurative ছোট")</f>
        <v>figurative ছোট</v>
      </c>
      <c r="Q712" s="5" t="str">
        <f t="shared" si="1"/>
        <v>১ আগে দেখো</v>
      </c>
    </row>
    <row r="713">
      <c r="A713" s="4">
        <v>6077.0</v>
      </c>
      <c r="B713" s="2" t="s">
        <v>3162</v>
      </c>
      <c r="C713" s="2" t="s">
        <v>3163</v>
      </c>
      <c r="D713" s="2" t="s">
        <v>1635</v>
      </c>
      <c r="E713" s="2" t="s">
        <v>3164</v>
      </c>
      <c r="F713" s="2" t="b">
        <v>1</v>
      </c>
      <c r="G713" s="2" t="b">
        <v>0</v>
      </c>
      <c r="H713" s="2" t="s">
        <v>37</v>
      </c>
      <c r="I713" s="2" t="s">
        <v>22</v>
      </c>
      <c r="J713" s="2" t="s">
        <v>3165</v>
      </c>
      <c r="K713" s="2" t="s">
        <v>495</v>
      </c>
      <c r="L713" s="13" t="s">
        <v>496</v>
      </c>
      <c r="M713" s="2" t="s">
        <v>26</v>
      </c>
      <c r="N713" s="11" t="s">
        <v>3166</v>
      </c>
      <c r="O713" s="12" t="s">
        <v>53</v>
      </c>
      <c r="P713" s="5" t="str">
        <f>IFERROR(__xludf.DUMMYFUNCTION("TEXTJOIN("" | "",TRUE,IF(OR(D713="""",E713="""",I713="""",J713="""",H713=""""),""ফাঁকা ঘর"",""""),IF(AND(C713&lt;&gt;"""",D713&lt;&gt;"""",C713=D713),""gloss=figurative"",""""),IF(LEN(D713)&lt;15,""figurative ছোট"",""""),IF(AND(I713=""Positive"",REGEXMATCH(H713,""মূর্খ|"&amp;"ভণ্ড|প্রতার|অলস|লোভ|স্বার্থ|অক্ষম|অযোগ্য|বোকা|কৃপণ|হিংস"")),""valence-target অমিল"",""""),IF(COUNTIF($B:$B,B713)&gt;1,""ডুপ্লিকেট"",""""))"),"figurative ছোট")</f>
        <v>figurative ছোট</v>
      </c>
      <c r="Q713" s="5" t="str">
        <f t="shared" si="1"/>
        <v>১ আগে দেখো</v>
      </c>
    </row>
    <row r="714">
      <c r="A714" s="4">
        <v>6078.0</v>
      </c>
      <c r="B714" s="2" t="s">
        <v>3167</v>
      </c>
      <c r="C714" s="2" t="s">
        <v>3168</v>
      </c>
      <c r="D714" s="2" t="s">
        <v>2396</v>
      </c>
      <c r="E714" s="2" t="s">
        <v>3169</v>
      </c>
      <c r="F714" s="2" t="b">
        <v>1</v>
      </c>
      <c r="G714" s="2" t="b">
        <v>0</v>
      </c>
      <c r="H714" s="2" t="s">
        <v>37</v>
      </c>
      <c r="I714" s="2" t="s">
        <v>22</v>
      </c>
      <c r="J714" s="2" t="s">
        <v>855</v>
      </c>
      <c r="K714" s="2" t="s">
        <v>495</v>
      </c>
      <c r="L714" s="13" t="s">
        <v>496</v>
      </c>
      <c r="M714" s="2" t="s">
        <v>26</v>
      </c>
      <c r="N714" s="11" t="s">
        <v>3170</v>
      </c>
      <c r="O714" s="12" t="s">
        <v>53</v>
      </c>
      <c r="P714" s="5" t="str">
        <f>IFERROR(__xludf.DUMMYFUNCTION("TEXTJOIN("" | "",TRUE,IF(OR(D714="""",E714="""",I714="""",J714="""",H714=""""),""ফাঁকা ঘর"",""""),IF(AND(C714&lt;&gt;"""",D714&lt;&gt;"""",C714=D714),""gloss=figurative"",""""),IF(LEN(D714)&lt;15,""figurative ছোট"",""""),IF(AND(I714=""Positive"",REGEXMATCH(H714,""মূর্খ|"&amp;"ভণ্ড|প্রতার|অলস|লোভ|স্বার্থ|অক্ষম|অযোগ্য|বোকা|কৃপণ|হিংস"")),""valence-target অমিল"",""""),IF(COUNTIF($B:$B,B714)&gt;1,""ডুপ্লিকেট"",""""))"),"figurative ছোট")</f>
        <v>figurative ছোট</v>
      </c>
      <c r="Q714" s="5" t="str">
        <f t="shared" si="1"/>
        <v>১ আগে দেখো</v>
      </c>
    </row>
    <row r="715">
      <c r="A715" s="4">
        <v>6080.0</v>
      </c>
      <c r="B715" s="2" t="s">
        <v>3171</v>
      </c>
      <c r="C715" s="2" t="s">
        <v>3172</v>
      </c>
      <c r="D715" s="2" t="s">
        <v>742</v>
      </c>
      <c r="E715" s="2" t="s">
        <v>3173</v>
      </c>
      <c r="F715" s="2" t="b">
        <v>1</v>
      </c>
      <c r="G715" s="2" t="b">
        <v>0</v>
      </c>
      <c r="H715" s="2" t="s">
        <v>989</v>
      </c>
      <c r="I715" s="2" t="s">
        <v>22</v>
      </c>
      <c r="J715" s="2" t="s">
        <v>990</v>
      </c>
      <c r="K715" s="2" t="s">
        <v>495</v>
      </c>
      <c r="L715" s="13" t="s">
        <v>496</v>
      </c>
      <c r="M715" s="2" t="s">
        <v>26</v>
      </c>
      <c r="N715" s="11" t="s">
        <v>576</v>
      </c>
      <c r="O715" s="12" t="s">
        <v>53</v>
      </c>
      <c r="P715" s="5" t="str">
        <f>IFERROR(__xludf.DUMMYFUNCTION("TEXTJOIN("" | "",TRUE,IF(OR(D715="""",E715="""",I715="""",J715="""",H715=""""),""ফাঁকা ঘর"",""""),IF(AND(C715&lt;&gt;"""",D715&lt;&gt;"""",C715=D715),""gloss=figurative"",""""),IF(LEN(D715)&lt;15,""figurative ছোট"",""""),IF(AND(I715=""Positive"",REGEXMATCH(H715,""মূর্খ|"&amp;"ভণ্ড|প্রতার|অলস|লোভ|স্বার্থ|অক্ষম|অযোগ্য|বোকা|কৃপণ|হিংস"")),""valence-target অমিল"",""""),IF(COUNTIF($B:$B,B715)&gt;1,""ডুপ্লিকেট"",""""))"),"figurative ছোট")</f>
        <v>figurative ছোট</v>
      </c>
      <c r="Q715" s="5" t="str">
        <f t="shared" si="1"/>
        <v>১ আগে দেখো</v>
      </c>
    </row>
    <row r="716">
      <c r="A716" s="4">
        <v>6081.0</v>
      </c>
      <c r="B716" s="2" t="s">
        <v>3174</v>
      </c>
      <c r="C716" s="2" t="s">
        <v>3174</v>
      </c>
      <c r="D716" s="2" t="s">
        <v>3175</v>
      </c>
      <c r="E716" s="2" t="s">
        <v>3176</v>
      </c>
      <c r="F716" s="2" t="b">
        <v>1</v>
      </c>
      <c r="G716" s="2" t="b">
        <v>0</v>
      </c>
      <c r="H716" s="2" t="s">
        <v>37</v>
      </c>
      <c r="I716" s="2" t="s">
        <v>49</v>
      </c>
      <c r="J716" s="2" t="s">
        <v>2249</v>
      </c>
      <c r="K716" s="2" t="s">
        <v>495</v>
      </c>
      <c r="L716" s="13" t="s">
        <v>496</v>
      </c>
      <c r="M716" s="2" t="s">
        <v>26</v>
      </c>
      <c r="N716" s="11" t="s">
        <v>576</v>
      </c>
      <c r="O716" s="12" t="s">
        <v>53</v>
      </c>
      <c r="P716" s="5" t="str">
        <f>IFERROR(__xludf.DUMMYFUNCTION("TEXTJOIN("" | "",TRUE,IF(OR(D716="""",E716="""",I716="""",J716="""",H716=""""),""ফাঁকা ঘর"",""""),IF(AND(C716&lt;&gt;"""",D716&lt;&gt;"""",C716=D716),""gloss=figurative"",""""),IF(LEN(D716)&lt;15,""figurative ছোট"",""""),IF(AND(I716=""Positive"",REGEXMATCH(H716,""মূর্খ|"&amp;"ভণ্ড|প্রতার|অলস|লোভ|স্বার্থ|অক্ষম|অযোগ্য|বোকা|কৃপণ|হিংস"")),""valence-target অমিল"",""""),IF(COUNTIF($B:$B,B716)&gt;1,""ডুপ্লিকেট"",""""))"),"figurative ছোট")</f>
        <v>figurative ছোট</v>
      </c>
      <c r="Q716" s="5" t="str">
        <f t="shared" si="1"/>
        <v>১ আগে দেখো</v>
      </c>
    </row>
    <row r="717">
      <c r="A717" s="4">
        <v>6084.0</v>
      </c>
      <c r="B717" s="2" t="s">
        <v>3177</v>
      </c>
      <c r="C717" s="2" t="s">
        <v>3178</v>
      </c>
      <c r="D717" s="2" t="s">
        <v>3179</v>
      </c>
      <c r="E717" s="2" t="s">
        <v>3180</v>
      </c>
      <c r="F717" s="2" t="b">
        <v>1</v>
      </c>
      <c r="G717" s="2" t="b">
        <v>0</v>
      </c>
      <c r="H717" s="2" t="s">
        <v>37</v>
      </c>
      <c r="I717" s="2" t="s">
        <v>32</v>
      </c>
      <c r="J717" s="2" t="s">
        <v>3181</v>
      </c>
      <c r="K717" s="2" t="s">
        <v>495</v>
      </c>
      <c r="L717" s="13" t="s">
        <v>496</v>
      </c>
      <c r="M717" s="2" t="s">
        <v>26</v>
      </c>
      <c r="N717" s="11" t="s">
        <v>3182</v>
      </c>
      <c r="O717" s="12" t="s">
        <v>53</v>
      </c>
      <c r="P717" s="5" t="str">
        <f>IFERROR(__xludf.DUMMYFUNCTION("TEXTJOIN("" | "",TRUE,IF(OR(D717="""",E717="""",I717="""",J717="""",H717=""""),""ফাঁকা ঘর"",""""),IF(AND(C717&lt;&gt;"""",D717&lt;&gt;"""",C717=D717),""gloss=figurative"",""""),IF(LEN(D717)&lt;15,""figurative ছোট"",""""),IF(AND(I717=""Positive"",REGEXMATCH(H717,""মূর্খ|"&amp;"ভণ্ড|প্রতার|অলস|লোভ|স্বার্থ|অক্ষম|অযোগ্য|বোকা|কৃপণ|হিংস"")),""valence-target অমিল"",""""),IF(COUNTIF($B:$B,B717)&gt;1,""ডুপ্লিকেট"",""""))"),"figurative ছোট")</f>
        <v>figurative ছোট</v>
      </c>
      <c r="Q717" s="5" t="str">
        <f t="shared" si="1"/>
        <v>১ আগে দেখো</v>
      </c>
    </row>
    <row r="718">
      <c r="A718" s="4">
        <v>6085.0</v>
      </c>
      <c r="B718" s="2" t="s">
        <v>3183</v>
      </c>
      <c r="C718" s="2" t="s">
        <v>3184</v>
      </c>
      <c r="D718" s="2" t="s">
        <v>3185</v>
      </c>
      <c r="E718" s="2" t="s">
        <v>3186</v>
      </c>
      <c r="F718" s="2" t="b">
        <v>1</v>
      </c>
      <c r="G718" s="2" t="b">
        <v>1</v>
      </c>
      <c r="H718" s="2" t="s">
        <v>1982</v>
      </c>
      <c r="I718" s="2" t="s">
        <v>22</v>
      </c>
      <c r="J718" s="2" t="s">
        <v>1315</v>
      </c>
      <c r="K718" s="2" t="s">
        <v>495</v>
      </c>
      <c r="L718" s="13" t="s">
        <v>496</v>
      </c>
      <c r="M718" s="2" t="s">
        <v>26</v>
      </c>
      <c r="N718" s="11" t="s">
        <v>576</v>
      </c>
      <c r="O718" s="12" t="s">
        <v>53</v>
      </c>
      <c r="P718" s="5" t="str">
        <f>IFERROR(__xludf.DUMMYFUNCTION("TEXTJOIN("" | "",TRUE,IF(OR(D718="""",E718="""",I718="""",J718="""",H718=""""),""ফাঁকা ঘর"",""""),IF(AND(C718&lt;&gt;"""",D718&lt;&gt;"""",C718=D718),""gloss=figurative"",""""),IF(LEN(D718)&lt;15,""figurative ছোট"",""""),IF(AND(I718=""Positive"",REGEXMATCH(H718,""মূর্খ|"&amp;"ভণ্ড|প্রতার|অলস|লোভ|স্বার্থ|অক্ষম|অযোগ্য|বোকা|কৃপণ|হিংস"")),""valence-target অমিল"",""""),IF(COUNTIF($B:$B,B718)&gt;1,""ডুপ্লিকেট"",""""))"),"figurative ছোট")</f>
        <v>figurative ছোট</v>
      </c>
      <c r="Q718" s="5" t="str">
        <f t="shared" si="1"/>
        <v>১ আগে দেখো</v>
      </c>
    </row>
    <row r="719">
      <c r="A719" s="4">
        <v>6087.0</v>
      </c>
      <c r="B719" s="2" t="s">
        <v>3187</v>
      </c>
      <c r="C719" s="2" t="s">
        <v>3188</v>
      </c>
      <c r="D719" s="2" t="s">
        <v>3189</v>
      </c>
      <c r="E719" s="2" t="s">
        <v>3190</v>
      </c>
      <c r="F719" s="2" t="b">
        <v>1</v>
      </c>
      <c r="G719" s="2" t="b">
        <v>1</v>
      </c>
      <c r="H719" s="2" t="s">
        <v>1106</v>
      </c>
      <c r="I719" s="2" t="s">
        <v>22</v>
      </c>
      <c r="J719" s="2" t="s">
        <v>723</v>
      </c>
      <c r="K719" s="2" t="s">
        <v>495</v>
      </c>
      <c r="L719" s="13" t="s">
        <v>496</v>
      </c>
      <c r="M719" s="2" t="s">
        <v>26</v>
      </c>
      <c r="N719" s="11" t="s">
        <v>576</v>
      </c>
      <c r="O719" s="12" t="s">
        <v>53</v>
      </c>
      <c r="P719" s="5" t="str">
        <f>IFERROR(__xludf.DUMMYFUNCTION("TEXTJOIN("" | "",TRUE,IF(OR(D719="""",E719="""",I719="""",J719="""",H719=""""),""ফাঁকা ঘর"",""""),IF(AND(C719&lt;&gt;"""",D719&lt;&gt;"""",C719=D719),""gloss=figurative"",""""),IF(LEN(D719)&lt;15,""figurative ছোট"",""""),IF(AND(I719=""Positive"",REGEXMATCH(H719,""মূর্খ|"&amp;"ভণ্ড|প্রতার|অলস|লোভ|স্বার্থ|অক্ষম|অযোগ্য|বোকা|কৃপণ|হিংস"")),""valence-target অমিল"",""""),IF(COUNTIF($B:$B,B719)&gt;1,""ডুপ্লিকেট"",""""))"),"figurative ছোট")</f>
        <v>figurative ছোট</v>
      </c>
      <c r="Q719" s="5" t="str">
        <f t="shared" si="1"/>
        <v>১ আগে দেখো</v>
      </c>
    </row>
    <row r="720">
      <c r="A720" s="4">
        <v>6088.0</v>
      </c>
      <c r="B720" s="2" t="s">
        <v>3191</v>
      </c>
      <c r="C720" s="2" t="s">
        <v>3192</v>
      </c>
      <c r="D720" s="2" t="s">
        <v>3193</v>
      </c>
      <c r="E720" s="2" t="s">
        <v>3194</v>
      </c>
      <c r="F720" s="2" t="b">
        <v>1</v>
      </c>
      <c r="G720" s="2" t="b">
        <v>0</v>
      </c>
      <c r="H720" s="2" t="s">
        <v>37</v>
      </c>
      <c r="I720" s="2" t="s">
        <v>22</v>
      </c>
      <c r="J720" s="2" t="s">
        <v>723</v>
      </c>
      <c r="K720" s="2" t="s">
        <v>495</v>
      </c>
      <c r="L720" s="13" t="s">
        <v>496</v>
      </c>
      <c r="M720" s="2" t="s">
        <v>26</v>
      </c>
      <c r="N720" s="11" t="s">
        <v>576</v>
      </c>
      <c r="O720" s="12" t="s">
        <v>53</v>
      </c>
      <c r="P720" s="5" t="str">
        <f>IFERROR(__xludf.DUMMYFUNCTION("TEXTJOIN("" | "",TRUE,IF(OR(D720="""",E720="""",I720="""",J720="""",H720=""""),""ফাঁকা ঘর"",""""),IF(AND(C720&lt;&gt;"""",D720&lt;&gt;"""",C720=D720),""gloss=figurative"",""""),IF(LEN(D720)&lt;15,""figurative ছোট"",""""),IF(AND(I720=""Positive"",REGEXMATCH(H720,""মূর্খ|"&amp;"ভণ্ড|প্রতার|অলস|লোভ|স্বার্থ|অক্ষম|অযোগ্য|বোকা|কৃপণ|হিংস"")),""valence-target অমিল"",""""),IF(COUNTIF($B:$B,B720)&gt;1,""ডুপ্লিকেট"",""""))"),"figurative ছোট")</f>
        <v>figurative ছোট</v>
      </c>
      <c r="Q720" s="5" t="str">
        <f t="shared" si="1"/>
        <v>১ আগে দেখো</v>
      </c>
    </row>
    <row r="721">
      <c r="A721" s="4">
        <v>6090.0</v>
      </c>
      <c r="B721" s="2" t="s">
        <v>3195</v>
      </c>
      <c r="C721" s="2" t="s">
        <v>3196</v>
      </c>
      <c r="D721" s="2" t="s">
        <v>3197</v>
      </c>
      <c r="E721" s="2" t="s">
        <v>3198</v>
      </c>
      <c r="F721" s="2" t="b">
        <v>1</v>
      </c>
      <c r="G721" s="2" t="b">
        <v>0</v>
      </c>
      <c r="H721" s="2" t="s">
        <v>37</v>
      </c>
      <c r="I721" s="2" t="s">
        <v>32</v>
      </c>
      <c r="J721" s="2" t="s">
        <v>2160</v>
      </c>
      <c r="K721" s="2" t="s">
        <v>495</v>
      </c>
      <c r="L721" s="13" t="s">
        <v>496</v>
      </c>
      <c r="M721" s="2" t="s">
        <v>26</v>
      </c>
      <c r="N721" s="11" t="s">
        <v>3199</v>
      </c>
      <c r="O721" s="12" t="s">
        <v>53</v>
      </c>
      <c r="P721" s="5" t="str">
        <f>IFERROR(__xludf.DUMMYFUNCTION("TEXTJOIN("" | "",TRUE,IF(OR(D721="""",E721="""",I721="""",J721="""",H721=""""),""ফাঁকা ঘর"",""""),IF(AND(C721&lt;&gt;"""",D721&lt;&gt;"""",C721=D721),""gloss=figurative"",""""),IF(LEN(D721)&lt;15,""figurative ছোট"",""""),IF(AND(I721=""Positive"",REGEXMATCH(H721,""মূর্খ|"&amp;"ভণ্ড|প্রতার|অলস|লোভ|স্বার্থ|অক্ষম|অযোগ্য|বোকা|কৃপণ|হিংস"")),""valence-target অমিল"",""""),IF(COUNTIF($B:$B,B721)&gt;1,""ডুপ্লিকেট"",""""))"),"figurative ছোট")</f>
        <v>figurative ছোট</v>
      </c>
      <c r="Q721" s="5" t="str">
        <f t="shared" si="1"/>
        <v>১ আগে দেখো</v>
      </c>
    </row>
    <row r="722">
      <c r="A722" s="4">
        <v>6091.0</v>
      </c>
      <c r="B722" s="2" t="s">
        <v>3200</v>
      </c>
      <c r="C722" s="2" t="s">
        <v>3201</v>
      </c>
      <c r="D722" s="2" t="s">
        <v>3202</v>
      </c>
      <c r="E722" s="2" t="s">
        <v>3203</v>
      </c>
      <c r="F722" s="2" t="b">
        <v>1</v>
      </c>
      <c r="G722" s="2" t="b">
        <v>0</v>
      </c>
      <c r="H722" s="2" t="s">
        <v>37</v>
      </c>
      <c r="I722" s="2" t="s">
        <v>32</v>
      </c>
      <c r="J722" s="2" t="s">
        <v>2160</v>
      </c>
      <c r="K722" s="2" t="s">
        <v>495</v>
      </c>
      <c r="L722" s="13" t="s">
        <v>496</v>
      </c>
      <c r="M722" s="2" t="s">
        <v>26</v>
      </c>
      <c r="N722" s="11" t="s">
        <v>3204</v>
      </c>
      <c r="O722" s="12" t="s">
        <v>53</v>
      </c>
      <c r="P722" s="5" t="str">
        <f>IFERROR(__xludf.DUMMYFUNCTION("TEXTJOIN("" | "",TRUE,IF(OR(D722="""",E722="""",I722="""",J722="""",H722=""""),""ফাঁকা ঘর"",""""),IF(AND(C722&lt;&gt;"""",D722&lt;&gt;"""",C722=D722),""gloss=figurative"",""""),IF(LEN(D722)&lt;15,""figurative ছোট"",""""),IF(AND(I722=""Positive"",REGEXMATCH(H722,""মূর্খ|"&amp;"ভণ্ড|প্রতার|অলস|লোভ|স্বার্থ|অক্ষম|অযোগ্য|বোকা|কৃপণ|হিংস"")),""valence-target অমিল"",""""),IF(COUNTIF($B:$B,B722)&gt;1,""ডুপ্লিকেট"",""""))"),"figurative ছোট")</f>
        <v>figurative ছোট</v>
      </c>
      <c r="Q722" s="5" t="str">
        <f t="shared" si="1"/>
        <v>১ আগে দেখো</v>
      </c>
    </row>
    <row r="723">
      <c r="A723" s="4">
        <v>6092.0</v>
      </c>
      <c r="B723" s="2" t="s">
        <v>3205</v>
      </c>
      <c r="C723" s="2" t="s">
        <v>3205</v>
      </c>
      <c r="D723" s="2" t="s">
        <v>3206</v>
      </c>
      <c r="E723" s="2" t="s">
        <v>3207</v>
      </c>
      <c r="F723" s="2" t="b">
        <v>1</v>
      </c>
      <c r="G723" s="2" t="b">
        <v>0</v>
      </c>
      <c r="H723" s="2" t="s">
        <v>37</v>
      </c>
      <c r="I723" s="2" t="s">
        <v>32</v>
      </c>
      <c r="J723" s="2" t="s">
        <v>3208</v>
      </c>
      <c r="K723" s="2" t="s">
        <v>495</v>
      </c>
      <c r="L723" s="13" t="s">
        <v>496</v>
      </c>
      <c r="M723" s="2" t="s">
        <v>26</v>
      </c>
      <c r="N723" s="11" t="s">
        <v>576</v>
      </c>
      <c r="O723" s="12" t="s">
        <v>53</v>
      </c>
      <c r="P723" s="5" t="str">
        <f>IFERROR(__xludf.DUMMYFUNCTION("TEXTJOIN("" | "",TRUE,IF(OR(D723="""",E723="""",I723="""",J723="""",H723=""""),""ফাঁকা ঘর"",""""),IF(AND(C723&lt;&gt;"""",D723&lt;&gt;"""",C723=D723),""gloss=figurative"",""""),IF(LEN(D723)&lt;15,""figurative ছোট"",""""),IF(AND(I723=""Positive"",REGEXMATCH(H723,""মূর্খ|"&amp;"ভণ্ড|প্রতার|অলস|লোভ|স্বার্থ|অক্ষম|অযোগ্য|বোকা|কৃপণ|হিংস"")),""valence-target অমিল"",""""),IF(COUNTIF($B:$B,B723)&gt;1,""ডুপ্লিকেট"",""""))"),"figurative ছোট")</f>
        <v>figurative ছোট</v>
      </c>
      <c r="Q723" s="5" t="str">
        <f t="shared" si="1"/>
        <v>১ আগে দেখো</v>
      </c>
    </row>
    <row r="724">
      <c r="A724" s="4">
        <v>6095.0</v>
      </c>
      <c r="B724" s="2" t="s">
        <v>3209</v>
      </c>
      <c r="C724" s="2" t="s">
        <v>3209</v>
      </c>
      <c r="D724" s="2" t="s">
        <v>3210</v>
      </c>
      <c r="E724" s="2" t="s">
        <v>3211</v>
      </c>
      <c r="F724" s="2" t="b">
        <v>1</v>
      </c>
      <c r="G724" s="2" t="b">
        <v>0</v>
      </c>
      <c r="H724" s="2" t="s">
        <v>37</v>
      </c>
      <c r="I724" s="2" t="s">
        <v>22</v>
      </c>
      <c r="J724" s="2" t="s">
        <v>616</v>
      </c>
      <c r="K724" s="2" t="s">
        <v>495</v>
      </c>
      <c r="L724" s="13" t="s">
        <v>496</v>
      </c>
      <c r="M724" s="2" t="s">
        <v>26</v>
      </c>
      <c r="N724" s="11" t="s">
        <v>576</v>
      </c>
      <c r="O724" s="12" t="s">
        <v>53</v>
      </c>
      <c r="P724" s="5" t="str">
        <f>IFERROR(__xludf.DUMMYFUNCTION("TEXTJOIN("" | "",TRUE,IF(OR(D724="""",E724="""",I724="""",J724="""",H724=""""),""ফাঁকা ঘর"",""""),IF(AND(C724&lt;&gt;"""",D724&lt;&gt;"""",C724=D724),""gloss=figurative"",""""),IF(LEN(D724)&lt;15,""figurative ছোট"",""""),IF(AND(I724=""Positive"",REGEXMATCH(H724,""মূর্খ|"&amp;"ভণ্ড|প্রতার|অলস|লোভ|স্বার্থ|অক্ষম|অযোগ্য|বোকা|কৃপণ|হিংস"")),""valence-target অমিল"",""""),IF(COUNTIF($B:$B,B724)&gt;1,""ডুপ্লিকেট"",""""))"),"figurative ছোট")</f>
        <v>figurative ছোট</v>
      </c>
      <c r="Q724" s="5" t="str">
        <f t="shared" si="1"/>
        <v>১ আগে দেখো</v>
      </c>
    </row>
    <row r="725">
      <c r="A725" s="4">
        <v>6096.0</v>
      </c>
      <c r="B725" s="2" t="s">
        <v>3212</v>
      </c>
      <c r="C725" s="2" t="s">
        <v>3213</v>
      </c>
      <c r="D725" s="2" t="s">
        <v>3214</v>
      </c>
      <c r="E725" s="2" t="s">
        <v>3215</v>
      </c>
      <c r="F725" s="2" t="b">
        <v>1</v>
      </c>
      <c r="G725" s="2" t="b">
        <v>0</v>
      </c>
      <c r="H725" s="2" t="s">
        <v>37</v>
      </c>
      <c r="I725" s="2" t="s">
        <v>22</v>
      </c>
      <c r="J725" s="2" t="s">
        <v>2869</v>
      </c>
      <c r="K725" s="2" t="s">
        <v>495</v>
      </c>
      <c r="L725" s="13" t="s">
        <v>496</v>
      </c>
      <c r="M725" s="2" t="s">
        <v>26</v>
      </c>
      <c r="N725" s="11" t="s">
        <v>576</v>
      </c>
      <c r="O725" s="12" t="s">
        <v>53</v>
      </c>
      <c r="P725" s="5" t="str">
        <f>IFERROR(__xludf.DUMMYFUNCTION("TEXTJOIN("" | "",TRUE,IF(OR(D725="""",E725="""",I725="""",J725="""",H725=""""),""ফাঁকা ঘর"",""""),IF(AND(C725&lt;&gt;"""",D725&lt;&gt;"""",C725=D725),""gloss=figurative"",""""),IF(LEN(D725)&lt;15,""figurative ছোট"",""""),IF(AND(I725=""Positive"",REGEXMATCH(H725,""মূর্খ|"&amp;"ভণ্ড|প্রতার|অলস|লোভ|স্বার্থ|অক্ষম|অযোগ্য|বোকা|কৃপণ|হিংস"")),""valence-target অমিল"",""""),IF(COUNTIF($B:$B,B725)&gt;1,""ডুপ্লিকেট"",""""))"),"figurative ছোট")</f>
        <v>figurative ছোট</v>
      </c>
      <c r="Q725" s="5" t="str">
        <f t="shared" si="1"/>
        <v>১ আগে দেখো</v>
      </c>
    </row>
    <row r="726">
      <c r="A726" s="4">
        <v>6097.0</v>
      </c>
      <c r="B726" s="2" t="s">
        <v>3216</v>
      </c>
      <c r="C726" s="2" t="s">
        <v>3217</v>
      </c>
      <c r="D726" s="2" t="s">
        <v>1518</v>
      </c>
      <c r="E726" s="2" t="s">
        <v>3218</v>
      </c>
      <c r="F726" s="2" t="b">
        <v>1</v>
      </c>
      <c r="G726" s="2" t="b">
        <v>0</v>
      </c>
      <c r="H726" s="2" t="s">
        <v>37</v>
      </c>
      <c r="I726" s="2" t="s">
        <v>32</v>
      </c>
      <c r="J726" s="2" t="s">
        <v>1518</v>
      </c>
      <c r="K726" s="2" t="s">
        <v>495</v>
      </c>
      <c r="L726" s="13" t="s">
        <v>496</v>
      </c>
      <c r="M726" s="2" t="s">
        <v>26</v>
      </c>
      <c r="N726" s="11" t="s">
        <v>576</v>
      </c>
      <c r="O726" s="12" t="s">
        <v>53</v>
      </c>
      <c r="P726" s="5" t="str">
        <f>IFERROR(__xludf.DUMMYFUNCTION("TEXTJOIN("" | "",TRUE,IF(OR(D726="""",E726="""",I726="""",J726="""",H726=""""),""ফাঁকা ঘর"",""""),IF(AND(C726&lt;&gt;"""",D726&lt;&gt;"""",C726=D726),""gloss=figurative"",""""),IF(LEN(D726)&lt;15,""figurative ছোট"",""""),IF(AND(I726=""Positive"",REGEXMATCH(H726,""মূর্খ|"&amp;"ভণ্ড|প্রতার|অলস|লোভ|স্বার্থ|অক্ষম|অযোগ্য|বোকা|কৃপণ|হিংস"")),""valence-target অমিল"",""""),IF(COUNTIF($B:$B,B726)&gt;1,""ডুপ্লিকেট"",""""))"),"figurative ছোট")</f>
        <v>figurative ছোট</v>
      </c>
      <c r="Q726" s="5" t="str">
        <f t="shared" si="1"/>
        <v>১ আগে দেখো</v>
      </c>
    </row>
    <row r="727">
      <c r="A727" s="4">
        <v>6099.0</v>
      </c>
      <c r="B727" s="2" t="s">
        <v>3219</v>
      </c>
      <c r="C727" s="2" t="s">
        <v>3219</v>
      </c>
      <c r="D727" s="2" t="s">
        <v>3220</v>
      </c>
      <c r="E727" s="2" t="s">
        <v>3221</v>
      </c>
      <c r="F727" s="2" t="b">
        <v>1</v>
      </c>
      <c r="G727" s="2" t="b">
        <v>0</v>
      </c>
      <c r="H727" s="2" t="s">
        <v>37</v>
      </c>
      <c r="I727" s="2" t="s">
        <v>32</v>
      </c>
      <c r="J727" s="2" t="s">
        <v>3222</v>
      </c>
      <c r="K727" s="2" t="s">
        <v>495</v>
      </c>
      <c r="L727" s="13" t="s">
        <v>496</v>
      </c>
      <c r="M727" s="2" t="s">
        <v>26</v>
      </c>
      <c r="N727" s="11" t="s">
        <v>576</v>
      </c>
      <c r="O727" s="12" t="s">
        <v>53</v>
      </c>
      <c r="P727" s="5" t="str">
        <f>IFERROR(__xludf.DUMMYFUNCTION("TEXTJOIN("" | "",TRUE,IF(OR(D727="""",E727="""",I727="""",J727="""",H727=""""),""ফাঁকা ঘর"",""""),IF(AND(C727&lt;&gt;"""",D727&lt;&gt;"""",C727=D727),""gloss=figurative"",""""),IF(LEN(D727)&lt;15,""figurative ছোট"",""""),IF(AND(I727=""Positive"",REGEXMATCH(H727,""মূর্খ|"&amp;"ভণ্ড|প্রতার|অলস|লোভ|স্বার্থ|অক্ষম|অযোগ্য|বোকা|কৃপণ|হিংস"")),""valence-target অমিল"",""""),IF(COUNTIF($B:$B,B727)&gt;1,""ডুপ্লিকেট"",""""))"),"figurative ছোট")</f>
        <v>figurative ছোট</v>
      </c>
      <c r="Q727" s="5" t="str">
        <f t="shared" si="1"/>
        <v>১ আগে দেখো</v>
      </c>
    </row>
    <row r="728">
      <c r="A728" s="4">
        <v>6100.0</v>
      </c>
      <c r="B728" s="2" t="s">
        <v>3223</v>
      </c>
      <c r="C728" s="2" t="s">
        <v>3224</v>
      </c>
      <c r="D728" s="2" t="s">
        <v>3225</v>
      </c>
      <c r="E728" s="2" t="s">
        <v>3226</v>
      </c>
      <c r="F728" s="2" t="b">
        <v>1</v>
      </c>
      <c r="G728" s="2" t="b">
        <v>0</v>
      </c>
      <c r="H728" s="2" t="s">
        <v>37</v>
      </c>
      <c r="I728" s="2" t="s">
        <v>32</v>
      </c>
      <c r="J728" s="2" t="s">
        <v>739</v>
      </c>
      <c r="K728" s="2" t="s">
        <v>495</v>
      </c>
      <c r="L728" s="13" t="s">
        <v>496</v>
      </c>
      <c r="M728" s="2" t="s">
        <v>26</v>
      </c>
      <c r="N728" s="11" t="s">
        <v>576</v>
      </c>
      <c r="O728" s="12" t="s">
        <v>53</v>
      </c>
      <c r="P728" s="5" t="str">
        <f>IFERROR(__xludf.DUMMYFUNCTION("TEXTJOIN("" | "",TRUE,IF(OR(D728="""",E728="""",I728="""",J728="""",H728=""""),""ফাঁকা ঘর"",""""),IF(AND(C728&lt;&gt;"""",D728&lt;&gt;"""",C728=D728),""gloss=figurative"",""""),IF(LEN(D728)&lt;15,""figurative ছোট"",""""),IF(AND(I728=""Positive"",REGEXMATCH(H728,""মূর্খ|"&amp;"ভণ্ড|প্রতার|অলস|লোভ|স্বার্থ|অক্ষম|অযোগ্য|বোকা|কৃপণ|হিংস"")),""valence-target অমিল"",""""),IF(COUNTIF($B:$B,B728)&gt;1,""ডুপ্লিকেট"",""""))"),"figurative ছোট")</f>
        <v>figurative ছোট</v>
      </c>
      <c r="Q728" s="5" t="str">
        <f t="shared" si="1"/>
        <v>১ আগে দেখো</v>
      </c>
    </row>
    <row r="729">
      <c r="A729" s="4">
        <v>6101.0</v>
      </c>
      <c r="B729" s="2" t="s">
        <v>3227</v>
      </c>
      <c r="C729" s="2" t="s">
        <v>3228</v>
      </c>
      <c r="D729" s="2" t="s">
        <v>3229</v>
      </c>
      <c r="E729" s="2" t="s">
        <v>3230</v>
      </c>
      <c r="F729" s="2" t="b">
        <v>1</v>
      </c>
      <c r="G729" s="2" t="b">
        <v>0</v>
      </c>
      <c r="H729" s="2" t="s">
        <v>37</v>
      </c>
      <c r="I729" s="2" t="s">
        <v>22</v>
      </c>
      <c r="J729" s="2" t="s">
        <v>3231</v>
      </c>
      <c r="K729" s="2" t="s">
        <v>495</v>
      </c>
      <c r="L729" s="13" t="s">
        <v>496</v>
      </c>
      <c r="M729" s="2" t="s">
        <v>26</v>
      </c>
      <c r="N729" s="11" t="s">
        <v>576</v>
      </c>
      <c r="O729" s="12" t="s">
        <v>53</v>
      </c>
      <c r="P729" s="5" t="str">
        <f>IFERROR(__xludf.DUMMYFUNCTION("TEXTJOIN("" | "",TRUE,IF(OR(D729="""",E729="""",I729="""",J729="""",H729=""""),""ফাঁকা ঘর"",""""),IF(AND(C729&lt;&gt;"""",D729&lt;&gt;"""",C729=D729),""gloss=figurative"",""""),IF(LEN(D729)&lt;15,""figurative ছোট"",""""),IF(AND(I729=""Positive"",REGEXMATCH(H729,""মূর্খ|"&amp;"ভণ্ড|প্রতার|অলস|লোভ|স্বার্থ|অক্ষম|অযোগ্য|বোকা|কৃপণ|হিংস"")),""valence-target অমিল"",""""),IF(COUNTIF($B:$B,B729)&gt;1,""ডুপ্লিকেট"",""""))"),"figurative ছোট")</f>
        <v>figurative ছোট</v>
      </c>
      <c r="Q729" s="5" t="str">
        <f t="shared" si="1"/>
        <v>১ আগে দেখো</v>
      </c>
    </row>
    <row r="730">
      <c r="A730" s="4">
        <v>6102.0</v>
      </c>
      <c r="B730" s="2" t="s">
        <v>3232</v>
      </c>
      <c r="C730" s="2" t="s">
        <v>3233</v>
      </c>
      <c r="D730" s="2" t="s">
        <v>3234</v>
      </c>
      <c r="E730" s="2" t="s">
        <v>3235</v>
      </c>
      <c r="F730" s="2" t="b">
        <v>1</v>
      </c>
      <c r="G730" s="2" t="b">
        <v>0</v>
      </c>
      <c r="H730" s="2" t="s">
        <v>37</v>
      </c>
      <c r="I730" s="2" t="s">
        <v>22</v>
      </c>
      <c r="J730" s="2" t="s">
        <v>3111</v>
      </c>
      <c r="K730" s="2" t="s">
        <v>495</v>
      </c>
      <c r="L730" s="13" t="s">
        <v>496</v>
      </c>
      <c r="M730" s="2" t="s">
        <v>26</v>
      </c>
      <c r="N730" s="11" t="s">
        <v>576</v>
      </c>
      <c r="O730" s="12" t="s">
        <v>53</v>
      </c>
      <c r="P730" s="5" t="str">
        <f>IFERROR(__xludf.DUMMYFUNCTION("TEXTJOIN("" | "",TRUE,IF(OR(D730="""",E730="""",I730="""",J730="""",H730=""""),""ফাঁকা ঘর"",""""),IF(AND(C730&lt;&gt;"""",D730&lt;&gt;"""",C730=D730),""gloss=figurative"",""""),IF(LEN(D730)&lt;15,""figurative ছোট"",""""),IF(AND(I730=""Positive"",REGEXMATCH(H730,""মূর্খ|"&amp;"ভণ্ড|প্রতার|অলস|লোভ|স্বার্থ|অক্ষম|অযোগ্য|বোকা|কৃপণ|হিংস"")),""valence-target অমিল"",""""),IF(COUNTIF($B:$B,B730)&gt;1,""ডুপ্লিকেট"",""""))"),"figurative ছোট")</f>
        <v>figurative ছোট</v>
      </c>
      <c r="Q730" s="5" t="str">
        <f t="shared" si="1"/>
        <v>১ আগে দেখো</v>
      </c>
    </row>
    <row r="731">
      <c r="A731" s="4">
        <v>6103.0</v>
      </c>
      <c r="B731" s="2" t="s">
        <v>3236</v>
      </c>
      <c r="C731" s="2" t="s">
        <v>3237</v>
      </c>
      <c r="D731" s="2" t="s">
        <v>3238</v>
      </c>
      <c r="E731" s="2" t="s">
        <v>3239</v>
      </c>
      <c r="F731" s="2" t="b">
        <v>1</v>
      </c>
      <c r="G731" s="2" t="b">
        <v>0</v>
      </c>
      <c r="H731" s="2" t="s">
        <v>37</v>
      </c>
      <c r="I731" s="2" t="s">
        <v>49</v>
      </c>
      <c r="J731" s="2" t="s">
        <v>2732</v>
      </c>
      <c r="K731" s="2" t="s">
        <v>495</v>
      </c>
      <c r="L731" s="13" t="s">
        <v>496</v>
      </c>
      <c r="M731" s="2" t="s">
        <v>26</v>
      </c>
      <c r="N731" s="11" t="s">
        <v>3240</v>
      </c>
      <c r="O731" s="12" t="s">
        <v>53</v>
      </c>
      <c r="P731" s="5" t="str">
        <f>IFERROR(__xludf.DUMMYFUNCTION("TEXTJOIN("" | "",TRUE,IF(OR(D731="""",E731="""",I731="""",J731="""",H731=""""),""ফাঁকা ঘর"",""""),IF(AND(C731&lt;&gt;"""",D731&lt;&gt;"""",C731=D731),""gloss=figurative"",""""),IF(LEN(D731)&lt;15,""figurative ছোট"",""""),IF(AND(I731=""Positive"",REGEXMATCH(H731,""মূর্খ|"&amp;"ভণ্ড|প্রতার|অলস|লোভ|স্বার্থ|অক্ষম|অযোগ্য|বোকা|কৃপণ|হিংস"")),""valence-target অমিল"",""""),IF(COUNTIF($B:$B,B731)&gt;1,""ডুপ্লিকেট"",""""))"),"figurative ছোট")</f>
        <v>figurative ছোট</v>
      </c>
      <c r="Q731" s="5" t="str">
        <f t="shared" si="1"/>
        <v>১ আগে দেখো</v>
      </c>
    </row>
    <row r="732">
      <c r="A732" s="4">
        <v>6104.0</v>
      </c>
      <c r="B732" s="2" t="s">
        <v>3241</v>
      </c>
      <c r="C732" s="2" t="s">
        <v>3242</v>
      </c>
      <c r="D732" s="2" t="s">
        <v>3243</v>
      </c>
      <c r="E732" s="2" t="s">
        <v>3244</v>
      </c>
      <c r="F732" s="2" t="b">
        <v>1</v>
      </c>
      <c r="G732" s="2" t="b">
        <v>0</v>
      </c>
      <c r="H732" s="2" t="s">
        <v>37</v>
      </c>
      <c r="I732" s="2" t="s">
        <v>49</v>
      </c>
      <c r="J732" s="2" t="s">
        <v>3245</v>
      </c>
      <c r="K732" s="2" t="s">
        <v>495</v>
      </c>
      <c r="L732" s="13" t="s">
        <v>496</v>
      </c>
      <c r="M732" s="2" t="s">
        <v>26</v>
      </c>
      <c r="N732" s="11" t="s">
        <v>3240</v>
      </c>
      <c r="O732" s="12" t="s">
        <v>53</v>
      </c>
      <c r="P732" s="5" t="str">
        <f>IFERROR(__xludf.DUMMYFUNCTION("TEXTJOIN("" | "",TRUE,IF(OR(D732="""",E732="""",I732="""",J732="""",H732=""""),""ফাঁকা ঘর"",""""),IF(AND(C732&lt;&gt;"""",D732&lt;&gt;"""",C732=D732),""gloss=figurative"",""""),IF(LEN(D732)&lt;15,""figurative ছোট"",""""),IF(AND(I732=""Positive"",REGEXMATCH(H732,""মূর্খ|"&amp;"ভণ্ড|প্রতার|অলস|লোভ|স্বার্থ|অক্ষম|অযোগ্য|বোকা|কৃপণ|হিংস"")),""valence-target অমিল"",""""),IF(COUNTIF($B:$B,B732)&gt;1,""ডুপ্লিকেট"",""""))"),"figurative ছোট")</f>
        <v>figurative ছোট</v>
      </c>
      <c r="Q732" s="5" t="str">
        <f t="shared" si="1"/>
        <v>১ আগে দেখো</v>
      </c>
    </row>
    <row r="733">
      <c r="A733" s="4">
        <v>6105.0</v>
      </c>
      <c r="B733" s="2" t="s">
        <v>3246</v>
      </c>
      <c r="C733" s="2" t="s">
        <v>3247</v>
      </c>
      <c r="D733" s="2" t="s">
        <v>3248</v>
      </c>
      <c r="E733" s="2" t="s">
        <v>3249</v>
      </c>
      <c r="F733" s="2" t="b">
        <v>1</v>
      </c>
      <c r="G733" s="2" t="b">
        <v>0</v>
      </c>
      <c r="H733" s="2" t="s">
        <v>37</v>
      </c>
      <c r="I733" s="2" t="s">
        <v>22</v>
      </c>
      <c r="J733" s="2" t="s">
        <v>2869</v>
      </c>
      <c r="K733" s="2" t="s">
        <v>495</v>
      </c>
      <c r="L733" s="13" t="s">
        <v>496</v>
      </c>
      <c r="M733" s="2" t="s">
        <v>26</v>
      </c>
      <c r="N733" s="11" t="s">
        <v>576</v>
      </c>
      <c r="O733" s="12" t="s">
        <v>53</v>
      </c>
      <c r="P733" s="5" t="str">
        <f>IFERROR(__xludf.DUMMYFUNCTION("TEXTJOIN("" | "",TRUE,IF(OR(D733="""",E733="""",I733="""",J733="""",H733=""""),""ফাঁকা ঘর"",""""),IF(AND(C733&lt;&gt;"""",D733&lt;&gt;"""",C733=D733),""gloss=figurative"",""""),IF(LEN(D733)&lt;15,""figurative ছোট"",""""),IF(AND(I733=""Positive"",REGEXMATCH(H733,""মূর্খ|"&amp;"ভণ্ড|প্রতার|অলস|লোভ|স্বার্থ|অক্ষম|অযোগ্য|বোকা|কৃপণ|হিংস"")),""valence-target অমিল"",""""),IF(COUNTIF($B:$B,B733)&gt;1,""ডুপ্লিকেট"",""""))"),"figurative ছোট")</f>
        <v>figurative ছোট</v>
      </c>
      <c r="Q733" s="5" t="str">
        <f t="shared" si="1"/>
        <v>১ আগে দেখো</v>
      </c>
    </row>
    <row r="734">
      <c r="A734" s="4">
        <v>6107.0</v>
      </c>
      <c r="B734" s="2" t="s">
        <v>3250</v>
      </c>
      <c r="C734" s="2" t="s">
        <v>3251</v>
      </c>
      <c r="D734" s="2" t="s">
        <v>3252</v>
      </c>
      <c r="E734" s="2" t="s">
        <v>3253</v>
      </c>
      <c r="F734" s="2" t="b">
        <v>1</v>
      </c>
      <c r="G734" s="2" t="b">
        <v>0</v>
      </c>
      <c r="H734" s="2" t="s">
        <v>37</v>
      </c>
      <c r="I734" s="2" t="s">
        <v>22</v>
      </c>
      <c r="J734" s="2" t="s">
        <v>2602</v>
      </c>
      <c r="K734" s="2" t="s">
        <v>495</v>
      </c>
      <c r="L734" s="13" t="s">
        <v>496</v>
      </c>
      <c r="M734" s="2" t="s">
        <v>26</v>
      </c>
      <c r="N734" s="11" t="s">
        <v>3254</v>
      </c>
      <c r="O734" s="12" t="s">
        <v>53</v>
      </c>
      <c r="P734" s="5" t="str">
        <f>IFERROR(__xludf.DUMMYFUNCTION("TEXTJOIN("" | "",TRUE,IF(OR(D734="""",E734="""",I734="""",J734="""",H734=""""),""ফাঁকা ঘর"",""""),IF(AND(C734&lt;&gt;"""",D734&lt;&gt;"""",C734=D734),""gloss=figurative"",""""),IF(LEN(D734)&lt;15,""figurative ছোট"",""""),IF(AND(I734=""Positive"",REGEXMATCH(H734,""মূর্খ|"&amp;"ভণ্ড|প্রতার|অলস|লোভ|স্বার্থ|অক্ষম|অযোগ্য|বোকা|কৃপণ|হিংস"")),""valence-target অমিল"",""""),IF(COUNTIF($B:$B,B734)&gt;1,""ডুপ্লিকেট"",""""))"),"figurative ছোট")</f>
        <v>figurative ছোট</v>
      </c>
      <c r="Q734" s="5" t="str">
        <f t="shared" si="1"/>
        <v>১ আগে দেখো</v>
      </c>
    </row>
    <row r="735">
      <c r="A735" s="4">
        <v>6109.0</v>
      </c>
      <c r="B735" s="2" t="s">
        <v>3255</v>
      </c>
      <c r="C735" s="2" t="s">
        <v>3256</v>
      </c>
      <c r="D735" s="2" t="s">
        <v>3257</v>
      </c>
      <c r="E735" s="2" t="s">
        <v>3258</v>
      </c>
      <c r="F735" s="2" t="b">
        <v>1</v>
      </c>
      <c r="G735" s="2" t="b">
        <v>0</v>
      </c>
      <c r="H735" s="2" t="s">
        <v>37</v>
      </c>
      <c r="I735" s="2" t="s">
        <v>32</v>
      </c>
      <c r="J735" s="2" t="s">
        <v>3259</v>
      </c>
      <c r="K735" s="2" t="s">
        <v>495</v>
      </c>
      <c r="L735" s="13" t="s">
        <v>496</v>
      </c>
      <c r="M735" s="2" t="s">
        <v>26</v>
      </c>
      <c r="N735" s="11" t="s">
        <v>576</v>
      </c>
      <c r="O735" s="12" t="s">
        <v>53</v>
      </c>
      <c r="P735" s="5" t="str">
        <f>IFERROR(__xludf.DUMMYFUNCTION("TEXTJOIN("" | "",TRUE,IF(OR(D735="""",E735="""",I735="""",J735="""",H735=""""),""ফাঁকা ঘর"",""""),IF(AND(C735&lt;&gt;"""",D735&lt;&gt;"""",C735=D735),""gloss=figurative"",""""),IF(LEN(D735)&lt;15,""figurative ছোট"",""""),IF(AND(I735=""Positive"",REGEXMATCH(H735,""মূর্খ|"&amp;"ভণ্ড|প্রতার|অলস|লোভ|স্বার্থ|অক্ষম|অযোগ্য|বোকা|কৃপণ|হিংস"")),""valence-target অমিল"",""""),IF(COUNTIF($B:$B,B735)&gt;1,""ডুপ্লিকেট"",""""))"),"figurative ছোট")</f>
        <v>figurative ছোট</v>
      </c>
      <c r="Q735" s="5" t="str">
        <f t="shared" si="1"/>
        <v>১ আগে দেখো</v>
      </c>
    </row>
    <row r="736">
      <c r="A736" s="4">
        <v>6111.0</v>
      </c>
      <c r="B736" s="2" t="s">
        <v>3260</v>
      </c>
      <c r="C736" s="2" t="s">
        <v>3261</v>
      </c>
      <c r="D736" s="2" t="s">
        <v>3262</v>
      </c>
      <c r="E736" s="2" t="s">
        <v>3263</v>
      </c>
      <c r="F736" s="2" t="b">
        <v>1</v>
      </c>
      <c r="G736" s="2" t="b">
        <v>0</v>
      </c>
      <c r="H736" s="2" t="s">
        <v>37</v>
      </c>
      <c r="I736" s="2" t="s">
        <v>49</v>
      </c>
      <c r="J736" s="2" t="s">
        <v>3262</v>
      </c>
      <c r="K736" s="2" t="s">
        <v>495</v>
      </c>
      <c r="L736" s="13" t="s">
        <v>496</v>
      </c>
      <c r="M736" s="2" t="s">
        <v>26</v>
      </c>
      <c r="N736" s="11" t="s">
        <v>3264</v>
      </c>
      <c r="O736" s="12" t="s">
        <v>53</v>
      </c>
      <c r="P736" s="5" t="str">
        <f>IFERROR(__xludf.DUMMYFUNCTION("TEXTJOIN("" | "",TRUE,IF(OR(D736="""",E736="""",I736="""",J736="""",H736=""""),""ফাঁকা ঘর"",""""),IF(AND(C736&lt;&gt;"""",D736&lt;&gt;"""",C736=D736),""gloss=figurative"",""""),IF(LEN(D736)&lt;15,""figurative ছোট"",""""),IF(AND(I736=""Positive"",REGEXMATCH(H736,""মূর্খ|"&amp;"ভণ্ড|প্রতার|অলস|লোভ|স্বার্থ|অক্ষম|অযোগ্য|বোকা|কৃপণ|হিংস"")),""valence-target অমিল"",""""),IF(COUNTIF($B:$B,B736)&gt;1,""ডুপ্লিকেট"",""""))"),"figurative ছোট")</f>
        <v>figurative ছোট</v>
      </c>
      <c r="Q736" s="5" t="str">
        <f t="shared" si="1"/>
        <v>১ আগে দেখো</v>
      </c>
    </row>
    <row r="737">
      <c r="A737" s="4">
        <v>6113.0</v>
      </c>
      <c r="B737" s="2" t="s">
        <v>3265</v>
      </c>
      <c r="C737" s="2" t="s">
        <v>3266</v>
      </c>
      <c r="D737" s="2" t="s">
        <v>3267</v>
      </c>
      <c r="E737" s="2" t="s">
        <v>3268</v>
      </c>
      <c r="F737" s="2" t="b">
        <v>1</v>
      </c>
      <c r="G737" s="2" t="b">
        <v>0</v>
      </c>
      <c r="H737" s="2" t="s">
        <v>37</v>
      </c>
      <c r="I737" s="2" t="s">
        <v>49</v>
      </c>
      <c r="J737" s="2" t="s">
        <v>1008</v>
      </c>
      <c r="K737" s="2" t="s">
        <v>495</v>
      </c>
      <c r="L737" s="13" t="s">
        <v>496</v>
      </c>
      <c r="M737" s="2" t="s">
        <v>26</v>
      </c>
      <c r="N737" s="11" t="s">
        <v>3269</v>
      </c>
      <c r="O737" s="12" t="s">
        <v>53</v>
      </c>
      <c r="P737" s="5" t="str">
        <f>IFERROR(__xludf.DUMMYFUNCTION("TEXTJOIN("" | "",TRUE,IF(OR(D737="""",E737="""",I737="""",J737="""",H737=""""),""ফাঁকা ঘর"",""""),IF(AND(C737&lt;&gt;"""",D737&lt;&gt;"""",C737=D737),""gloss=figurative"",""""),IF(LEN(D737)&lt;15,""figurative ছোট"",""""),IF(AND(I737=""Positive"",REGEXMATCH(H737,""মূর্খ|"&amp;"ভণ্ড|প্রতার|অলস|লোভ|স্বার্থ|অক্ষম|অযোগ্য|বোকা|কৃপণ|হিংস"")),""valence-target অমিল"",""""),IF(COUNTIF($B:$B,B737)&gt;1,""ডুপ্লিকেট"",""""))"),"figurative ছোট")</f>
        <v>figurative ছোট</v>
      </c>
      <c r="Q737" s="5" t="str">
        <f t="shared" si="1"/>
        <v>১ আগে দেখো</v>
      </c>
    </row>
    <row r="738">
      <c r="A738" s="4">
        <v>6114.0</v>
      </c>
      <c r="B738" s="2" t="s">
        <v>3270</v>
      </c>
      <c r="C738" s="2" t="s">
        <v>3271</v>
      </c>
      <c r="D738" s="2" t="s">
        <v>3272</v>
      </c>
      <c r="E738" s="2" t="s">
        <v>3273</v>
      </c>
      <c r="F738" s="2" t="b">
        <v>1</v>
      </c>
      <c r="G738" s="2" t="b">
        <v>0</v>
      </c>
      <c r="H738" s="2" t="s">
        <v>37</v>
      </c>
      <c r="I738" s="2" t="s">
        <v>49</v>
      </c>
      <c r="J738" s="2" t="s">
        <v>581</v>
      </c>
      <c r="K738" s="2" t="s">
        <v>495</v>
      </c>
      <c r="L738" s="13" t="s">
        <v>496</v>
      </c>
      <c r="M738" s="2" t="s">
        <v>26</v>
      </c>
      <c r="N738" s="11" t="s">
        <v>576</v>
      </c>
      <c r="O738" s="12" t="s">
        <v>53</v>
      </c>
      <c r="P738" s="5" t="str">
        <f>IFERROR(__xludf.DUMMYFUNCTION("TEXTJOIN("" | "",TRUE,IF(OR(D738="""",E738="""",I738="""",J738="""",H738=""""),""ফাঁকা ঘর"",""""),IF(AND(C738&lt;&gt;"""",D738&lt;&gt;"""",C738=D738),""gloss=figurative"",""""),IF(LEN(D738)&lt;15,""figurative ছোট"",""""),IF(AND(I738=""Positive"",REGEXMATCH(H738,""মূর্খ|"&amp;"ভণ্ড|প্রতার|অলস|লোভ|স্বার্থ|অক্ষম|অযোগ্য|বোকা|কৃপণ|হিংস"")),""valence-target অমিল"",""""),IF(COUNTIF($B:$B,B738)&gt;1,""ডুপ্লিকেট"",""""))"),"figurative ছোট")</f>
        <v>figurative ছোট</v>
      </c>
      <c r="Q738" s="5" t="str">
        <f t="shared" si="1"/>
        <v>১ আগে দেখো</v>
      </c>
    </row>
    <row r="739">
      <c r="A739" s="4">
        <v>6117.0</v>
      </c>
      <c r="B739" s="2" t="s">
        <v>3274</v>
      </c>
      <c r="C739" s="2" t="s">
        <v>3275</v>
      </c>
      <c r="D739" s="2" t="s">
        <v>3276</v>
      </c>
      <c r="E739" s="2" t="s">
        <v>3277</v>
      </c>
      <c r="F739" s="2" t="b">
        <v>1</v>
      </c>
      <c r="G739" s="2" t="b">
        <v>0</v>
      </c>
      <c r="H739" s="2" t="s">
        <v>37</v>
      </c>
      <c r="I739" s="2" t="s">
        <v>22</v>
      </c>
      <c r="J739" s="2" t="s">
        <v>447</v>
      </c>
      <c r="K739" s="2" t="s">
        <v>495</v>
      </c>
      <c r="L739" s="13" t="s">
        <v>496</v>
      </c>
      <c r="M739" s="2" t="s">
        <v>26</v>
      </c>
      <c r="N739" s="11" t="s">
        <v>576</v>
      </c>
      <c r="O739" s="12" t="s">
        <v>53</v>
      </c>
      <c r="P739" s="5" t="str">
        <f>IFERROR(__xludf.DUMMYFUNCTION("TEXTJOIN("" | "",TRUE,IF(OR(D739="""",E739="""",I739="""",J739="""",H739=""""),""ফাঁকা ঘর"",""""),IF(AND(C739&lt;&gt;"""",D739&lt;&gt;"""",C739=D739),""gloss=figurative"",""""),IF(LEN(D739)&lt;15,""figurative ছোট"",""""),IF(AND(I739=""Positive"",REGEXMATCH(H739,""মূর্খ|"&amp;"ভণ্ড|প্রতার|অলস|লোভ|স্বার্থ|অক্ষম|অযোগ্য|বোকা|কৃপণ|হিংস"")),""valence-target অমিল"",""""),IF(COUNTIF($B:$B,B739)&gt;1,""ডুপ্লিকেট"",""""))"),"figurative ছোট")</f>
        <v>figurative ছোট</v>
      </c>
      <c r="Q739" s="5" t="str">
        <f t="shared" si="1"/>
        <v>১ আগে দেখো</v>
      </c>
    </row>
    <row r="740">
      <c r="A740" s="4">
        <v>6118.0</v>
      </c>
      <c r="B740" s="2" t="s">
        <v>3278</v>
      </c>
      <c r="C740" s="2" t="s">
        <v>3279</v>
      </c>
      <c r="D740" s="2" t="s">
        <v>3280</v>
      </c>
      <c r="E740" s="2" t="s">
        <v>3281</v>
      </c>
      <c r="F740" s="2" t="b">
        <v>1</v>
      </c>
      <c r="G740" s="2" t="b">
        <v>0</v>
      </c>
      <c r="H740" s="2" t="s">
        <v>37</v>
      </c>
      <c r="I740" s="2" t="s">
        <v>22</v>
      </c>
      <c r="J740" s="2" t="s">
        <v>1603</v>
      </c>
      <c r="K740" s="2" t="s">
        <v>495</v>
      </c>
      <c r="L740" s="13" t="s">
        <v>496</v>
      </c>
      <c r="M740" s="2" t="s">
        <v>26</v>
      </c>
      <c r="N740" s="11" t="s">
        <v>576</v>
      </c>
      <c r="O740" s="12" t="s">
        <v>53</v>
      </c>
      <c r="P740" s="5" t="str">
        <f>IFERROR(__xludf.DUMMYFUNCTION("TEXTJOIN("" | "",TRUE,IF(OR(D740="""",E740="""",I740="""",J740="""",H740=""""),""ফাঁকা ঘর"",""""),IF(AND(C740&lt;&gt;"""",D740&lt;&gt;"""",C740=D740),""gloss=figurative"",""""),IF(LEN(D740)&lt;15,""figurative ছোট"",""""),IF(AND(I740=""Positive"",REGEXMATCH(H740,""মূর্খ|"&amp;"ভণ্ড|প্রতার|অলস|লোভ|স্বার্থ|অক্ষম|অযোগ্য|বোকা|কৃপণ|হিংস"")),""valence-target অমিল"",""""),IF(COUNTIF($B:$B,B740)&gt;1,""ডুপ্লিকেট"",""""))"),"figurative ছোট")</f>
        <v>figurative ছোট</v>
      </c>
      <c r="Q740" s="5" t="str">
        <f t="shared" si="1"/>
        <v>১ আগে দেখো</v>
      </c>
    </row>
    <row r="741">
      <c r="A741" s="4">
        <v>6119.0</v>
      </c>
      <c r="B741" s="2" t="s">
        <v>3282</v>
      </c>
      <c r="C741" s="2" t="s">
        <v>3283</v>
      </c>
      <c r="D741" s="2" t="s">
        <v>3284</v>
      </c>
      <c r="E741" s="2" t="s">
        <v>3285</v>
      </c>
      <c r="F741" s="2" t="b">
        <v>1</v>
      </c>
      <c r="G741" s="2" t="b">
        <v>0</v>
      </c>
      <c r="H741" s="2" t="s">
        <v>37</v>
      </c>
      <c r="I741" s="2" t="s">
        <v>49</v>
      </c>
      <c r="J741" s="2" t="s">
        <v>225</v>
      </c>
      <c r="K741" s="2" t="s">
        <v>495</v>
      </c>
      <c r="L741" s="13" t="s">
        <v>496</v>
      </c>
      <c r="M741" s="2" t="s">
        <v>26</v>
      </c>
      <c r="N741" s="11" t="s">
        <v>576</v>
      </c>
      <c r="O741" s="12" t="s">
        <v>53</v>
      </c>
      <c r="P741" s="5" t="str">
        <f>IFERROR(__xludf.DUMMYFUNCTION("TEXTJOIN("" | "",TRUE,IF(OR(D741="""",E741="""",I741="""",J741="""",H741=""""),""ফাঁকা ঘর"",""""),IF(AND(C741&lt;&gt;"""",D741&lt;&gt;"""",C741=D741),""gloss=figurative"",""""),IF(LEN(D741)&lt;15,""figurative ছোট"",""""),IF(AND(I741=""Positive"",REGEXMATCH(H741,""মূর্খ|"&amp;"ভণ্ড|প্রতার|অলস|লোভ|স্বার্থ|অক্ষম|অযোগ্য|বোকা|কৃপণ|হিংস"")),""valence-target অমিল"",""""),IF(COUNTIF($B:$B,B741)&gt;1,""ডুপ্লিকেট"",""""))"),"figurative ছোট")</f>
        <v>figurative ছোট</v>
      </c>
      <c r="Q741" s="5" t="str">
        <f t="shared" si="1"/>
        <v>১ আগে দেখো</v>
      </c>
    </row>
    <row r="742">
      <c r="A742" s="4">
        <v>6120.0</v>
      </c>
      <c r="B742" s="2" t="s">
        <v>3286</v>
      </c>
      <c r="C742" s="2" t="s">
        <v>3287</v>
      </c>
      <c r="D742" s="2" t="s">
        <v>3288</v>
      </c>
      <c r="E742" s="2" t="s">
        <v>3289</v>
      </c>
      <c r="F742" s="2" t="b">
        <v>1</v>
      </c>
      <c r="G742" s="2" t="b">
        <v>0</v>
      </c>
      <c r="H742" s="2" t="s">
        <v>37</v>
      </c>
      <c r="I742" s="2" t="s">
        <v>49</v>
      </c>
      <c r="J742" s="2" t="s">
        <v>2206</v>
      </c>
      <c r="K742" s="2" t="s">
        <v>495</v>
      </c>
      <c r="L742" s="13" t="s">
        <v>496</v>
      </c>
      <c r="M742" s="2" t="s">
        <v>26</v>
      </c>
      <c r="N742" s="11" t="s">
        <v>576</v>
      </c>
      <c r="O742" s="12" t="s">
        <v>53</v>
      </c>
      <c r="P742" s="5" t="str">
        <f>IFERROR(__xludf.DUMMYFUNCTION("TEXTJOIN("" | "",TRUE,IF(OR(D742="""",E742="""",I742="""",J742="""",H742=""""),""ফাঁকা ঘর"",""""),IF(AND(C742&lt;&gt;"""",D742&lt;&gt;"""",C742=D742),""gloss=figurative"",""""),IF(LEN(D742)&lt;15,""figurative ছোট"",""""),IF(AND(I742=""Positive"",REGEXMATCH(H742,""মূর্খ|"&amp;"ভণ্ড|প্রতার|অলস|লোভ|স্বার্থ|অক্ষম|অযোগ্য|বোকা|কৃপণ|হিংস"")),""valence-target অমিল"",""""),IF(COUNTIF($B:$B,B742)&gt;1,""ডুপ্লিকেট"",""""))"),"figurative ছোট")</f>
        <v>figurative ছোট</v>
      </c>
      <c r="Q742" s="5" t="str">
        <f t="shared" si="1"/>
        <v>১ আগে দেখো</v>
      </c>
    </row>
    <row r="743">
      <c r="A743" s="4">
        <v>6121.0</v>
      </c>
      <c r="B743" s="2" t="s">
        <v>3290</v>
      </c>
      <c r="C743" s="2" t="s">
        <v>3291</v>
      </c>
      <c r="D743" s="2" t="s">
        <v>3292</v>
      </c>
      <c r="E743" s="2" t="s">
        <v>3293</v>
      </c>
      <c r="F743" s="2" t="b">
        <v>1</v>
      </c>
      <c r="G743" s="2" t="b">
        <v>0</v>
      </c>
      <c r="H743" s="2" t="s">
        <v>37</v>
      </c>
      <c r="I743" s="2" t="s">
        <v>49</v>
      </c>
      <c r="J743" s="2" t="s">
        <v>2732</v>
      </c>
      <c r="K743" s="2" t="s">
        <v>495</v>
      </c>
      <c r="L743" s="13" t="s">
        <v>496</v>
      </c>
      <c r="M743" s="2" t="s">
        <v>26</v>
      </c>
      <c r="N743" s="11" t="s">
        <v>576</v>
      </c>
      <c r="O743" s="12" t="s">
        <v>53</v>
      </c>
      <c r="P743" s="5" t="str">
        <f>IFERROR(__xludf.DUMMYFUNCTION("TEXTJOIN("" | "",TRUE,IF(OR(D743="""",E743="""",I743="""",J743="""",H743=""""),""ফাঁকা ঘর"",""""),IF(AND(C743&lt;&gt;"""",D743&lt;&gt;"""",C743=D743),""gloss=figurative"",""""),IF(LEN(D743)&lt;15,""figurative ছোট"",""""),IF(AND(I743=""Positive"",REGEXMATCH(H743,""মূর্খ|"&amp;"ভণ্ড|প্রতার|অলস|লোভ|স্বার্থ|অক্ষম|অযোগ্য|বোকা|কৃপণ|হিংস"")),""valence-target অমিল"",""""),IF(COUNTIF($B:$B,B743)&gt;1,""ডুপ্লিকেট"",""""))"),"figurative ছোট")</f>
        <v>figurative ছোট</v>
      </c>
      <c r="Q743" s="5" t="str">
        <f t="shared" si="1"/>
        <v>১ আগে দেখো</v>
      </c>
    </row>
    <row r="744">
      <c r="A744" s="4">
        <v>6125.0</v>
      </c>
      <c r="B744" s="2" t="s">
        <v>3294</v>
      </c>
      <c r="C744" s="2" t="s">
        <v>3295</v>
      </c>
      <c r="D744" s="2" t="s">
        <v>3296</v>
      </c>
      <c r="E744" s="2" t="s">
        <v>3297</v>
      </c>
      <c r="F744" s="2" t="b">
        <v>1</v>
      </c>
      <c r="G744" s="2" t="b">
        <v>0</v>
      </c>
      <c r="H744" s="2" t="s">
        <v>37</v>
      </c>
      <c r="I744" s="2" t="s">
        <v>49</v>
      </c>
      <c r="J744" s="2" t="s">
        <v>1803</v>
      </c>
      <c r="K744" s="2" t="s">
        <v>495</v>
      </c>
      <c r="L744" s="13" t="s">
        <v>496</v>
      </c>
      <c r="M744" s="2" t="s">
        <v>26</v>
      </c>
      <c r="N744" s="11" t="s">
        <v>576</v>
      </c>
      <c r="O744" s="12" t="s">
        <v>53</v>
      </c>
      <c r="P744" s="5" t="str">
        <f>IFERROR(__xludf.DUMMYFUNCTION("TEXTJOIN("" | "",TRUE,IF(OR(D744="""",E744="""",I744="""",J744="""",H744=""""),""ফাঁকা ঘর"",""""),IF(AND(C744&lt;&gt;"""",D744&lt;&gt;"""",C744=D744),""gloss=figurative"",""""),IF(LEN(D744)&lt;15,""figurative ছোট"",""""),IF(AND(I744=""Positive"",REGEXMATCH(H744,""মূর্খ|"&amp;"ভণ্ড|প্রতার|অলস|লোভ|স্বার্থ|অক্ষম|অযোগ্য|বোকা|কৃপণ|হিংস"")),""valence-target অমিল"",""""),IF(COUNTIF($B:$B,B744)&gt;1,""ডুপ্লিকেট"",""""))"),"figurative ছোট")</f>
        <v>figurative ছোট</v>
      </c>
      <c r="Q744" s="5" t="str">
        <f t="shared" si="1"/>
        <v>১ আগে দেখো</v>
      </c>
    </row>
    <row r="745">
      <c r="A745" s="4">
        <v>6126.0</v>
      </c>
      <c r="B745" s="2" t="s">
        <v>3298</v>
      </c>
      <c r="C745" s="2" t="s">
        <v>3299</v>
      </c>
      <c r="D745" s="2" t="s">
        <v>3300</v>
      </c>
      <c r="E745" s="2" t="s">
        <v>3301</v>
      </c>
      <c r="F745" s="2" t="b">
        <v>1</v>
      </c>
      <c r="G745" s="2" t="b">
        <v>0</v>
      </c>
      <c r="H745" s="2" t="s">
        <v>37</v>
      </c>
      <c r="I745" s="2" t="s">
        <v>49</v>
      </c>
      <c r="J745" s="2" t="s">
        <v>1175</v>
      </c>
      <c r="K745" s="2" t="s">
        <v>495</v>
      </c>
      <c r="L745" s="13" t="s">
        <v>496</v>
      </c>
      <c r="M745" s="2" t="s">
        <v>26</v>
      </c>
      <c r="N745" s="11" t="s">
        <v>576</v>
      </c>
      <c r="O745" s="12" t="s">
        <v>53</v>
      </c>
      <c r="P745" s="5" t="str">
        <f>IFERROR(__xludf.DUMMYFUNCTION("TEXTJOIN("" | "",TRUE,IF(OR(D745="""",E745="""",I745="""",J745="""",H745=""""),""ফাঁকা ঘর"",""""),IF(AND(C745&lt;&gt;"""",D745&lt;&gt;"""",C745=D745),""gloss=figurative"",""""),IF(LEN(D745)&lt;15,""figurative ছোট"",""""),IF(AND(I745=""Positive"",REGEXMATCH(H745,""মূর্খ|"&amp;"ভণ্ড|প্রতার|অলস|লোভ|স্বার্থ|অক্ষম|অযোগ্য|বোকা|কৃপণ|হিংস"")),""valence-target অমিল"",""""),IF(COUNTIF($B:$B,B745)&gt;1,""ডুপ্লিকেট"",""""))"),"figurative ছোট")</f>
        <v>figurative ছোট</v>
      </c>
      <c r="Q745" s="5" t="str">
        <f t="shared" si="1"/>
        <v>১ আগে দেখো</v>
      </c>
    </row>
    <row r="746">
      <c r="A746" s="4">
        <v>6129.0</v>
      </c>
      <c r="B746" s="2" t="s">
        <v>3302</v>
      </c>
      <c r="C746" s="2" t="s">
        <v>3303</v>
      </c>
      <c r="D746" s="2" t="s">
        <v>3304</v>
      </c>
      <c r="E746" s="2" t="s">
        <v>3305</v>
      </c>
      <c r="F746" s="2" t="b">
        <v>1</v>
      </c>
      <c r="G746" s="2" t="b">
        <v>0</v>
      </c>
      <c r="H746" s="2" t="s">
        <v>37</v>
      </c>
      <c r="I746" s="2" t="s">
        <v>32</v>
      </c>
      <c r="J746" s="2" t="s">
        <v>3306</v>
      </c>
      <c r="K746" s="2" t="s">
        <v>495</v>
      </c>
      <c r="L746" s="13" t="s">
        <v>496</v>
      </c>
      <c r="M746" s="2" t="s">
        <v>26</v>
      </c>
      <c r="N746" s="11" t="s">
        <v>576</v>
      </c>
      <c r="O746" s="12" t="s">
        <v>53</v>
      </c>
      <c r="P746" s="5" t="str">
        <f>IFERROR(__xludf.DUMMYFUNCTION("TEXTJOIN("" | "",TRUE,IF(OR(D746="""",E746="""",I746="""",J746="""",H746=""""),""ফাঁকা ঘর"",""""),IF(AND(C746&lt;&gt;"""",D746&lt;&gt;"""",C746=D746),""gloss=figurative"",""""),IF(LEN(D746)&lt;15,""figurative ছোট"",""""),IF(AND(I746=""Positive"",REGEXMATCH(H746,""মূর্খ|"&amp;"ভণ্ড|প্রতার|অলস|লোভ|স্বার্থ|অক্ষম|অযোগ্য|বোকা|কৃপণ|হিংস"")),""valence-target অমিল"",""""),IF(COUNTIF($B:$B,B746)&gt;1,""ডুপ্লিকেট"",""""))"),"figurative ছোট")</f>
        <v>figurative ছোট</v>
      </c>
      <c r="Q746" s="5" t="str">
        <f t="shared" si="1"/>
        <v>১ আগে দেখো</v>
      </c>
    </row>
    <row r="747">
      <c r="A747" s="4">
        <v>6130.0</v>
      </c>
      <c r="B747" s="2" t="s">
        <v>3307</v>
      </c>
      <c r="C747" s="2" t="s">
        <v>3308</v>
      </c>
      <c r="D747" s="2" t="s">
        <v>3309</v>
      </c>
      <c r="E747" s="2" t="s">
        <v>3310</v>
      </c>
      <c r="F747" s="2" t="b">
        <v>1</v>
      </c>
      <c r="G747" s="2" t="b">
        <v>0</v>
      </c>
      <c r="H747" s="2" t="s">
        <v>37</v>
      </c>
      <c r="I747" s="2" t="s">
        <v>49</v>
      </c>
      <c r="J747" s="2" t="s">
        <v>762</v>
      </c>
      <c r="K747" s="2" t="s">
        <v>495</v>
      </c>
      <c r="L747" s="13" t="s">
        <v>496</v>
      </c>
      <c r="M747" s="2" t="s">
        <v>26</v>
      </c>
      <c r="N747" s="11" t="s">
        <v>576</v>
      </c>
      <c r="O747" s="12" t="s">
        <v>53</v>
      </c>
      <c r="P747" s="5" t="str">
        <f>IFERROR(__xludf.DUMMYFUNCTION("TEXTJOIN("" | "",TRUE,IF(OR(D747="""",E747="""",I747="""",J747="""",H747=""""),""ফাঁকা ঘর"",""""),IF(AND(C747&lt;&gt;"""",D747&lt;&gt;"""",C747=D747),""gloss=figurative"",""""),IF(LEN(D747)&lt;15,""figurative ছোট"",""""),IF(AND(I747=""Positive"",REGEXMATCH(H747,""মূর্খ|"&amp;"ভণ্ড|প্রতার|অলস|লোভ|স্বার্থ|অক্ষম|অযোগ্য|বোকা|কৃপণ|হিংস"")),""valence-target অমিল"",""""),IF(COUNTIF($B:$B,B747)&gt;1,""ডুপ্লিকেট"",""""))"),"figurative ছোট")</f>
        <v>figurative ছোট</v>
      </c>
      <c r="Q747" s="5" t="str">
        <f t="shared" si="1"/>
        <v>১ আগে দেখো</v>
      </c>
    </row>
    <row r="748">
      <c r="A748" s="4">
        <v>6131.0</v>
      </c>
      <c r="B748" s="2" t="s">
        <v>3311</v>
      </c>
      <c r="C748" s="2" t="s">
        <v>3312</v>
      </c>
      <c r="D748" s="2" t="s">
        <v>3313</v>
      </c>
      <c r="E748" s="2" t="s">
        <v>3314</v>
      </c>
      <c r="F748" s="2" t="b">
        <v>1</v>
      </c>
      <c r="G748" s="2" t="b">
        <v>0</v>
      </c>
      <c r="H748" s="2" t="s">
        <v>37</v>
      </c>
      <c r="I748" s="2" t="s">
        <v>32</v>
      </c>
      <c r="J748" s="2" t="s">
        <v>1454</v>
      </c>
      <c r="K748" s="2" t="s">
        <v>495</v>
      </c>
      <c r="L748" s="13" t="s">
        <v>496</v>
      </c>
      <c r="M748" s="2" t="s">
        <v>26</v>
      </c>
      <c r="N748" s="11" t="s">
        <v>576</v>
      </c>
      <c r="O748" s="12" t="s">
        <v>53</v>
      </c>
      <c r="P748" s="5" t="str">
        <f>IFERROR(__xludf.DUMMYFUNCTION("TEXTJOIN("" | "",TRUE,IF(OR(D748="""",E748="""",I748="""",J748="""",H748=""""),""ফাঁকা ঘর"",""""),IF(AND(C748&lt;&gt;"""",D748&lt;&gt;"""",C748=D748),""gloss=figurative"",""""),IF(LEN(D748)&lt;15,""figurative ছোট"",""""),IF(AND(I748=""Positive"",REGEXMATCH(H748,""মূর্খ|"&amp;"ভণ্ড|প্রতার|অলস|লোভ|স্বার্থ|অক্ষম|অযোগ্য|বোকা|কৃপণ|হিংস"")),""valence-target অমিল"",""""),IF(COUNTIF($B:$B,B748)&gt;1,""ডুপ্লিকেট"",""""))"),"figurative ছোট")</f>
        <v>figurative ছোট</v>
      </c>
      <c r="Q748" s="5" t="str">
        <f t="shared" si="1"/>
        <v>১ আগে দেখো</v>
      </c>
    </row>
    <row r="749">
      <c r="A749" s="4">
        <v>6135.0</v>
      </c>
      <c r="B749" s="2" t="s">
        <v>3315</v>
      </c>
      <c r="C749" s="2" t="s">
        <v>3316</v>
      </c>
      <c r="D749" s="2" t="s">
        <v>3317</v>
      </c>
      <c r="E749" s="2" t="s">
        <v>3318</v>
      </c>
      <c r="F749" s="2" t="b">
        <v>1</v>
      </c>
      <c r="G749" s="2" t="b">
        <v>0</v>
      </c>
      <c r="H749" s="2" t="s">
        <v>37</v>
      </c>
      <c r="I749" s="2" t="s">
        <v>49</v>
      </c>
      <c r="J749" s="2" t="s">
        <v>762</v>
      </c>
      <c r="K749" s="2" t="s">
        <v>495</v>
      </c>
      <c r="L749" s="13" t="s">
        <v>496</v>
      </c>
      <c r="M749" s="2" t="s">
        <v>26</v>
      </c>
      <c r="N749" s="11" t="s">
        <v>576</v>
      </c>
      <c r="O749" s="12" t="s">
        <v>53</v>
      </c>
      <c r="P749" s="5" t="str">
        <f>IFERROR(__xludf.DUMMYFUNCTION("TEXTJOIN("" | "",TRUE,IF(OR(D749="""",E749="""",I749="""",J749="""",H749=""""),""ফাঁকা ঘর"",""""),IF(AND(C749&lt;&gt;"""",D749&lt;&gt;"""",C749=D749),""gloss=figurative"",""""),IF(LEN(D749)&lt;15,""figurative ছোট"",""""),IF(AND(I749=""Positive"",REGEXMATCH(H749,""মূর্খ|"&amp;"ভণ্ড|প্রতার|অলস|লোভ|স্বার্থ|অক্ষম|অযোগ্য|বোকা|কৃপণ|হিংস"")),""valence-target অমিল"",""""),IF(COUNTIF($B:$B,B749)&gt;1,""ডুপ্লিকেট"",""""))"),"figurative ছোট")</f>
        <v>figurative ছোট</v>
      </c>
      <c r="Q749" s="5" t="str">
        <f t="shared" si="1"/>
        <v>১ আগে দেখো</v>
      </c>
    </row>
    <row r="750">
      <c r="A750" s="4">
        <v>6136.0</v>
      </c>
      <c r="B750" s="2" t="s">
        <v>3319</v>
      </c>
      <c r="C750" s="2" t="s">
        <v>3320</v>
      </c>
      <c r="D750" s="2" t="s">
        <v>3321</v>
      </c>
      <c r="E750" s="2" t="s">
        <v>3322</v>
      </c>
      <c r="F750" s="2" t="b">
        <v>1</v>
      </c>
      <c r="G750" s="2" t="b">
        <v>0</v>
      </c>
      <c r="H750" s="2" t="s">
        <v>37</v>
      </c>
      <c r="I750" s="2" t="s">
        <v>22</v>
      </c>
      <c r="J750" s="2" t="s">
        <v>581</v>
      </c>
      <c r="K750" s="2" t="s">
        <v>495</v>
      </c>
      <c r="L750" s="13" t="s">
        <v>496</v>
      </c>
      <c r="M750" s="2" t="s">
        <v>26</v>
      </c>
      <c r="N750" s="11" t="s">
        <v>576</v>
      </c>
      <c r="O750" s="12" t="s">
        <v>53</v>
      </c>
      <c r="P750" s="5" t="str">
        <f>IFERROR(__xludf.DUMMYFUNCTION("TEXTJOIN("" | "",TRUE,IF(OR(D750="""",E750="""",I750="""",J750="""",H750=""""),""ফাঁকা ঘর"",""""),IF(AND(C750&lt;&gt;"""",D750&lt;&gt;"""",C750=D750),""gloss=figurative"",""""),IF(LEN(D750)&lt;15,""figurative ছোট"",""""),IF(AND(I750=""Positive"",REGEXMATCH(H750,""মূর্খ|"&amp;"ভণ্ড|প্রতার|অলস|লোভ|স্বার্থ|অক্ষম|অযোগ্য|বোকা|কৃপণ|হিংস"")),""valence-target অমিল"",""""),IF(COUNTIF($B:$B,B750)&gt;1,""ডুপ্লিকেট"",""""))"),"figurative ছোট")</f>
        <v>figurative ছোট</v>
      </c>
      <c r="Q750" s="5" t="str">
        <f t="shared" si="1"/>
        <v>১ আগে দেখো</v>
      </c>
    </row>
    <row r="751">
      <c r="A751" s="4">
        <v>6138.0</v>
      </c>
      <c r="B751" s="2" t="s">
        <v>3323</v>
      </c>
      <c r="C751" s="2" t="s">
        <v>3324</v>
      </c>
      <c r="D751" s="2" t="s">
        <v>3325</v>
      </c>
      <c r="E751" s="2" t="s">
        <v>3326</v>
      </c>
      <c r="F751" s="2" t="b">
        <v>1</v>
      </c>
      <c r="G751" s="2" t="b">
        <v>1</v>
      </c>
      <c r="H751" s="2" t="s">
        <v>1106</v>
      </c>
      <c r="I751" s="2" t="s">
        <v>32</v>
      </c>
      <c r="J751" s="2" t="s">
        <v>3327</v>
      </c>
      <c r="K751" s="2" t="s">
        <v>495</v>
      </c>
      <c r="L751" s="13" t="s">
        <v>496</v>
      </c>
      <c r="M751" s="2" t="s">
        <v>26</v>
      </c>
      <c r="N751" s="11" t="s">
        <v>3328</v>
      </c>
      <c r="O751" s="12" t="s">
        <v>53</v>
      </c>
      <c r="P751" s="5" t="str">
        <f>IFERROR(__xludf.DUMMYFUNCTION("TEXTJOIN("" | "",TRUE,IF(OR(D751="""",E751="""",I751="""",J751="""",H751=""""),""ফাঁকা ঘর"",""""),IF(AND(C751&lt;&gt;"""",D751&lt;&gt;"""",C751=D751),""gloss=figurative"",""""),IF(LEN(D751)&lt;15,""figurative ছোট"",""""),IF(AND(I751=""Positive"",REGEXMATCH(H751,""মূর্খ|"&amp;"ভণ্ড|প্রতার|অলস|লোভ|স্বার্থ|অক্ষম|অযোগ্য|বোকা|কৃপণ|হিংস"")),""valence-target অমিল"",""""),IF(COUNTIF($B:$B,B751)&gt;1,""ডুপ্লিকেট"",""""))"),"figurative ছোট")</f>
        <v>figurative ছোট</v>
      </c>
      <c r="Q751" s="5" t="str">
        <f t="shared" si="1"/>
        <v>১ আগে দেখো</v>
      </c>
    </row>
    <row r="752">
      <c r="A752" s="4">
        <v>6139.0</v>
      </c>
      <c r="B752" s="2" t="s">
        <v>3329</v>
      </c>
      <c r="C752" s="2" t="s">
        <v>3330</v>
      </c>
      <c r="D752" s="2" t="s">
        <v>3331</v>
      </c>
      <c r="E752" s="2" t="s">
        <v>3332</v>
      </c>
      <c r="F752" s="2" t="b">
        <v>1</v>
      </c>
      <c r="G752" s="2" t="b">
        <v>1</v>
      </c>
      <c r="H752" s="2" t="s">
        <v>1106</v>
      </c>
      <c r="I752" s="2" t="s">
        <v>32</v>
      </c>
      <c r="J752" s="2" t="s">
        <v>3327</v>
      </c>
      <c r="K752" s="2" t="s">
        <v>495</v>
      </c>
      <c r="L752" s="13" t="s">
        <v>496</v>
      </c>
      <c r="M752" s="2" t="s">
        <v>26</v>
      </c>
      <c r="N752" s="11" t="s">
        <v>3328</v>
      </c>
      <c r="O752" s="12" t="s">
        <v>53</v>
      </c>
      <c r="P752" s="5" t="str">
        <f>IFERROR(__xludf.DUMMYFUNCTION("TEXTJOIN("" | "",TRUE,IF(OR(D752="""",E752="""",I752="""",J752="""",H752=""""),""ফাঁকা ঘর"",""""),IF(AND(C752&lt;&gt;"""",D752&lt;&gt;"""",C752=D752),""gloss=figurative"",""""),IF(LEN(D752)&lt;15,""figurative ছোট"",""""),IF(AND(I752=""Positive"",REGEXMATCH(H752,""মূর্খ|"&amp;"ভণ্ড|প্রতার|অলস|লোভ|স্বার্থ|অক্ষম|অযোগ্য|বোকা|কৃপণ|হিংস"")),""valence-target অমিল"",""""),IF(COUNTIF($B:$B,B752)&gt;1,""ডুপ্লিকেট"",""""))"),"figurative ছোট")</f>
        <v>figurative ছোট</v>
      </c>
      <c r="Q752" s="5" t="str">
        <f t="shared" si="1"/>
        <v>১ আগে দেখো</v>
      </c>
    </row>
    <row r="753">
      <c r="A753" s="4">
        <v>6142.0</v>
      </c>
      <c r="B753" s="2" t="s">
        <v>3333</v>
      </c>
      <c r="C753" s="2" t="s">
        <v>3334</v>
      </c>
      <c r="D753" s="2" t="s">
        <v>3335</v>
      </c>
      <c r="E753" s="2" t="s">
        <v>3336</v>
      </c>
      <c r="F753" s="2" t="b">
        <v>1</v>
      </c>
      <c r="G753" s="2" t="b">
        <v>0</v>
      </c>
      <c r="H753" s="2" t="s">
        <v>37</v>
      </c>
      <c r="I753" s="2" t="s">
        <v>22</v>
      </c>
      <c r="J753" s="2" t="s">
        <v>3337</v>
      </c>
      <c r="K753" s="2" t="s">
        <v>495</v>
      </c>
      <c r="L753" s="13" t="s">
        <v>496</v>
      </c>
      <c r="M753" s="2" t="s">
        <v>26</v>
      </c>
      <c r="N753" s="11" t="s">
        <v>576</v>
      </c>
      <c r="O753" s="12" t="s">
        <v>53</v>
      </c>
      <c r="P753" s="5" t="str">
        <f>IFERROR(__xludf.DUMMYFUNCTION("TEXTJOIN("" | "",TRUE,IF(OR(D753="""",E753="""",I753="""",J753="""",H753=""""),""ফাঁকা ঘর"",""""),IF(AND(C753&lt;&gt;"""",D753&lt;&gt;"""",C753=D753),""gloss=figurative"",""""),IF(LEN(D753)&lt;15,""figurative ছোট"",""""),IF(AND(I753=""Positive"",REGEXMATCH(H753,""মূর্খ|"&amp;"ভণ্ড|প্রতার|অলস|লোভ|স্বার্থ|অক্ষম|অযোগ্য|বোকা|কৃপণ|হিংস"")),""valence-target অমিল"",""""),IF(COUNTIF($B:$B,B753)&gt;1,""ডুপ্লিকেট"",""""))"),"figurative ছোট")</f>
        <v>figurative ছোট</v>
      </c>
      <c r="Q753" s="5" t="str">
        <f t="shared" si="1"/>
        <v>১ আগে দেখো</v>
      </c>
    </row>
    <row r="754">
      <c r="A754" s="4">
        <v>6145.0</v>
      </c>
      <c r="B754" s="2" t="s">
        <v>3338</v>
      </c>
      <c r="C754" s="2" t="s">
        <v>3339</v>
      </c>
      <c r="D754" s="2" t="s">
        <v>964</v>
      </c>
      <c r="E754" s="2" t="s">
        <v>3340</v>
      </c>
      <c r="F754" s="2" t="b">
        <v>1</v>
      </c>
      <c r="G754" s="2" t="b">
        <v>0</v>
      </c>
      <c r="H754" s="2" t="s">
        <v>1284</v>
      </c>
      <c r="I754" s="2" t="s">
        <v>49</v>
      </c>
      <c r="J754" s="2" t="s">
        <v>964</v>
      </c>
      <c r="K754" s="2" t="s">
        <v>495</v>
      </c>
      <c r="L754" s="13" t="s">
        <v>496</v>
      </c>
      <c r="M754" s="2" t="s">
        <v>26</v>
      </c>
      <c r="N754" s="11" t="s">
        <v>3341</v>
      </c>
      <c r="O754" s="12" t="s">
        <v>53</v>
      </c>
      <c r="P754" s="5" t="str">
        <f>IFERROR(__xludf.DUMMYFUNCTION("TEXTJOIN("" | "",TRUE,IF(OR(D754="""",E754="""",I754="""",J754="""",H754=""""),""ফাঁকা ঘর"",""""),IF(AND(C754&lt;&gt;"""",D754&lt;&gt;"""",C754=D754),""gloss=figurative"",""""),IF(LEN(D754)&lt;15,""figurative ছোট"",""""),IF(AND(I754=""Positive"",REGEXMATCH(H754,""মূর্খ|"&amp;"ভণ্ড|প্রতার|অলস|লোভ|স্বার্থ|অক্ষম|অযোগ্য|বোকা|কৃপণ|হিংস"")),""valence-target অমিল"",""""),IF(COUNTIF($B:$B,B754)&gt;1,""ডুপ্লিকেট"",""""))"),"figurative ছোট")</f>
        <v>figurative ছোট</v>
      </c>
      <c r="Q754" s="5" t="str">
        <f t="shared" si="1"/>
        <v>১ আগে দেখো</v>
      </c>
    </row>
    <row r="755">
      <c r="A755" s="4">
        <v>6146.0</v>
      </c>
      <c r="B755" s="2" t="s">
        <v>3342</v>
      </c>
      <c r="C755" s="2" t="s">
        <v>3343</v>
      </c>
      <c r="D755" s="2" t="s">
        <v>3344</v>
      </c>
      <c r="E755" s="2" t="s">
        <v>3345</v>
      </c>
      <c r="F755" s="2" t="b">
        <v>1</v>
      </c>
      <c r="G755" s="2" t="b">
        <v>0</v>
      </c>
      <c r="H755" s="2" t="s">
        <v>37</v>
      </c>
      <c r="I755" s="2" t="s">
        <v>22</v>
      </c>
      <c r="J755" s="2" t="s">
        <v>3346</v>
      </c>
      <c r="K755" s="2" t="s">
        <v>495</v>
      </c>
      <c r="L755" s="13" t="s">
        <v>496</v>
      </c>
      <c r="M755" s="2" t="s">
        <v>26</v>
      </c>
      <c r="N755" s="11" t="s">
        <v>3347</v>
      </c>
      <c r="O755" s="12" t="s">
        <v>53</v>
      </c>
      <c r="P755" s="5" t="str">
        <f>IFERROR(__xludf.DUMMYFUNCTION("TEXTJOIN("" | "",TRUE,IF(OR(D755="""",E755="""",I755="""",J755="""",H755=""""),""ফাঁকা ঘর"",""""),IF(AND(C755&lt;&gt;"""",D755&lt;&gt;"""",C755=D755),""gloss=figurative"",""""),IF(LEN(D755)&lt;15,""figurative ছোট"",""""),IF(AND(I755=""Positive"",REGEXMATCH(H755,""মূর্খ|"&amp;"ভণ্ড|প্রতার|অলস|লোভ|স্বার্থ|অক্ষম|অযোগ্য|বোকা|কৃপণ|হিংস"")),""valence-target অমিল"",""""),IF(COUNTIF($B:$B,B755)&gt;1,""ডুপ্লিকেট"",""""))"),"figurative ছোট")</f>
        <v>figurative ছোট</v>
      </c>
      <c r="Q755" s="5" t="str">
        <f t="shared" si="1"/>
        <v>১ আগে দেখো</v>
      </c>
    </row>
    <row r="756">
      <c r="A756" s="4">
        <v>6147.0</v>
      </c>
      <c r="B756" s="2" t="s">
        <v>3348</v>
      </c>
      <c r="C756" s="2" t="s">
        <v>3349</v>
      </c>
      <c r="D756" s="2" t="s">
        <v>771</v>
      </c>
      <c r="E756" s="2" t="s">
        <v>3350</v>
      </c>
      <c r="F756" s="2" t="b">
        <v>1</v>
      </c>
      <c r="G756" s="2" t="b">
        <v>0</v>
      </c>
      <c r="H756" s="2" t="s">
        <v>37</v>
      </c>
      <c r="I756" s="2" t="s">
        <v>22</v>
      </c>
      <c r="J756" s="2" t="s">
        <v>947</v>
      </c>
      <c r="K756" s="2" t="s">
        <v>495</v>
      </c>
      <c r="L756" s="13" t="s">
        <v>496</v>
      </c>
      <c r="M756" s="2" t="s">
        <v>26</v>
      </c>
      <c r="N756" s="11" t="s">
        <v>3351</v>
      </c>
      <c r="O756" s="12" t="s">
        <v>53</v>
      </c>
      <c r="P756" s="5" t="str">
        <f>IFERROR(__xludf.DUMMYFUNCTION("TEXTJOIN("" | "",TRUE,IF(OR(D756="""",E756="""",I756="""",J756="""",H756=""""),""ফাঁকা ঘর"",""""),IF(AND(C756&lt;&gt;"""",D756&lt;&gt;"""",C756=D756),""gloss=figurative"",""""),IF(LEN(D756)&lt;15,""figurative ছোট"",""""),IF(AND(I756=""Positive"",REGEXMATCH(H756,""মূর্খ|"&amp;"ভণ্ড|প্রতার|অলস|লোভ|স্বার্থ|অক্ষম|অযোগ্য|বোকা|কৃপণ|হিংস"")),""valence-target অমিল"",""""),IF(COUNTIF($B:$B,B756)&gt;1,""ডুপ্লিকেট"",""""))"),"figurative ছোট")</f>
        <v>figurative ছোট</v>
      </c>
      <c r="Q756" s="5" t="str">
        <f t="shared" si="1"/>
        <v>১ আগে দেখো</v>
      </c>
    </row>
    <row r="757">
      <c r="A757" s="4">
        <v>6149.0</v>
      </c>
      <c r="B757" s="2" t="s">
        <v>3352</v>
      </c>
      <c r="C757" s="2" t="s">
        <v>3353</v>
      </c>
      <c r="D757" s="2" t="s">
        <v>3354</v>
      </c>
      <c r="E757" s="2" t="s">
        <v>3355</v>
      </c>
      <c r="F757" s="2" t="b">
        <v>1</v>
      </c>
      <c r="G757" s="2" t="b">
        <v>0</v>
      </c>
      <c r="H757" s="2" t="s">
        <v>37</v>
      </c>
      <c r="I757" s="2" t="s">
        <v>22</v>
      </c>
      <c r="J757" s="2" t="s">
        <v>3356</v>
      </c>
      <c r="K757" s="2" t="s">
        <v>495</v>
      </c>
      <c r="L757" s="13" t="s">
        <v>496</v>
      </c>
      <c r="M757" s="2" t="s">
        <v>26</v>
      </c>
      <c r="N757" s="11" t="s">
        <v>3357</v>
      </c>
      <c r="O757" s="12" t="s">
        <v>53</v>
      </c>
      <c r="P757" s="5" t="str">
        <f>IFERROR(__xludf.DUMMYFUNCTION("TEXTJOIN("" | "",TRUE,IF(OR(D757="""",E757="""",I757="""",J757="""",H757=""""),""ফাঁকা ঘর"",""""),IF(AND(C757&lt;&gt;"""",D757&lt;&gt;"""",C757=D757),""gloss=figurative"",""""),IF(LEN(D757)&lt;15,""figurative ছোট"",""""),IF(AND(I757=""Positive"",REGEXMATCH(H757,""মূর্খ|"&amp;"ভণ্ড|প্রতার|অলস|লোভ|স্বার্থ|অক্ষম|অযোগ্য|বোকা|কৃপণ|হিংস"")),""valence-target অমিল"",""""),IF(COUNTIF($B:$B,B757)&gt;1,""ডুপ্লিকেট"",""""))"),"figurative ছোট")</f>
        <v>figurative ছোট</v>
      </c>
      <c r="Q757" s="5" t="str">
        <f t="shared" si="1"/>
        <v>১ আগে দেখো</v>
      </c>
    </row>
    <row r="758">
      <c r="A758" s="4">
        <v>6150.0</v>
      </c>
      <c r="B758" s="2" t="s">
        <v>3358</v>
      </c>
      <c r="C758" s="2" t="s">
        <v>3359</v>
      </c>
      <c r="D758" s="2" t="s">
        <v>3360</v>
      </c>
      <c r="E758" s="2" t="s">
        <v>3361</v>
      </c>
      <c r="F758" s="2" t="b">
        <v>1</v>
      </c>
      <c r="G758" s="2" t="b">
        <v>0</v>
      </c>
      <c r="H758" s="2" t="s">
        <v>37</v>
      </c>
      <c r="I758" s="2" t="s">
        <v>22</v>
      </c>
      <c r="J758" s="2" t="s">
        <v>3356</v>
      </c>
      <c r="K758" s="2" t="s">
        <v>495</v>
      </c>
      <c r="L758" s="13" t="s">
        <v>496</v>
      </c>
      <c r="M758" s="2" t="s">
        <v>26</v>
      </c>
      <c r="N758" s="11" t="s">
        <v>3357</v>
      </c>
      <c r="O758" s="12" t="s">
        <v>53</v>
      </c>
      <c r="P758" s="5" t="str">
        <f>IFERROR(__xludf.DUMMYFUNCTION("TEXTJOIN("" | "",TRUE,IF(OR(D758="""",E758="""",I758="""",J758="""",H758=""""),""ফাঁকা ঘর"",""""),IF(AND(C758&lt;&gt;"""",D758&lt;&gt;"""",C758=D758),""gloss=figurative"",""""),IF(LEN(D758)&lt;15,""figurative ছোট"",""""),IF(AND(I758=""Positive"",REGEXMATCH(H758,""মূর্খ|"&amp;"ভণ্ড|প্রতার|অলস|লোভ|স্বার্থ|অক্ষম|অযোগ্য|বোকা|কৃপণ|হিংস"")),""valence-target অমিল"",""""),IF(COUNTIF($B:$B,B758)&gt;1,""ডুপ্লিকেট"",""""))"),"figurative ছোট")</f>
        <v>figurative ছোট</v>
      </c>
      <c r="Q758" s="5" t="str">
        <f t="shared" si="1"/>
        <v>১ আগে দেখো</v>
      </c>
    </row>
    <row r="759">
      <c r="A759" s="4">
        <v>6152.0</v>
      </c>
      <c r="B759" s="2" t="s">
        <v>3362</v>
      </c>
      <c r="C759" s="2" t="s">
        <v>3363</v>
      </c>
      <c r="D759" s="2" t="s">
        <v>3364</v>
      </c>
      <c r="E759" s="2" t="s">
        <v>3365</v>
      </c>
      <c r="F759" s="2" t="b">
        <v>1</v>
      </c>
      <c r="G759" s="2" t="b">
        <v>0</v>
      </c>
      <c r="H759" s="2" t="s">
        <v>37</v>
      </c>
      <c r="I759" s="2" t="s">
        <v>49</v>
      </c>
      <c r="J759" s="2" t="s">
        <v>708</v>
      </c>
      <c r="K759" s="2" t="s">
        <v>495</v>
      </c>
      <c r="L759" s="13" t="s">
        <v>496</v>
      </c>
      <c r="M759" s="2" t="s">
        <v>26</v>
      </c>
      <c r="N759" s="11" t="s">
        <v>3366</v>
      </c>
      <c r="O759" s="12" t="s">
        <v>53</v>
      </c>
      <c r="P759" s="5" t="str">
        <f>IFERROR(__xludf.DUMMYFUNCTION("TEXTJOIN("" | "",TRUE,IF(OR(D759="""",E759="""",I759="""",J759="""",H759=""""),""ফাঁকা ঘর"",""""),IF(AND(C759&lt;&gt;"""",D759&lt;&gt;"""",C759=D759),""gloss=figurative"",""""),IF(LEN(D759)&lt;15,""figurative ছোট"",""""),IF(AND(I759=""Positive"",REGEXMATCH(H759,""মূর্খ|"&amp;"ভণ্ড|প্রতার|অলস|লোভ|স্বার্থ|অক্ষম|অযোগ্য|বোকা|কৃপণ|হিংস"")),""valence-target অমিল"",""""),IF(COUNTIF($B:$B,B759)&gt;1,""ডুপ্লিকেট"",""""))"),"figurative ছোট")</f>
        <v>figurative ছোট</v>
      </c>
      <c r="Q759" s="5" t="str">
        <f t="shared" si="1"/>
        <v>১ আগে দেখো</v>
      </c>
    </row>
    <row r="760">
      <c r="A760" s="4">
        <v>6154.0</v>
      </c>
      <c r="B760" s="2" t="s">
        <v>3367</v>
      </c>
      <c r="C760" s="2" t="s">
        <v>3367</v>
      </c>
      <c r="D760" s="2" t="s">
        <v>3368</v>
      </c>
      <c r="E760" s="2" t="s">
        <v>3369</v>
      </c>
      <c r="F760" s="2" t="b">
        <v>1</v>
      </c>
      <c r="G760" s="2" t="b">
        <v>0</v>
      </c>
      <c r="H760" s="2" t="s">
        <v>37</v>
      </c>
      <c r="I760" s="2" t="s">
        <v>22</v>
      </c>
      <c r="J760" s="2" t="s">
        <v>1471</v>
      </c>
      <c r="K760" s="2" t="s">
        <v>495</v>
      </c>
      <c r="L760" s="13" t="s">
        <v>496</v>
      </c>
      <c r="M760" s="2" t="s">
        <v>26</v>
      </c>
      <c r="N760" s="11" t="s">
        <v>576</v>
      </c>
      <c r="O760" s="12" t="s">
        <v>53</v>
      </c>
      <c r="P760" s="5" t="str">
        <f>IFERROR(__xludf.DUMMYFUNCTION("TEXTJOIN("" | "",TRUE,IF(OR(D760="""",E760="""",I760="""",J760="""",H760=""""),""ফাঁকা ঘর"",""""),IF(AND(C760&lt;&gt;"""",D760&lt;&gt;"""",C760=D760),""gloss=figurative"",""""),IF(LEN(D760)&lt;15,""figurative ছোট"",""""),IF(AND(I760=""Positive"",REGEXMATCH(H760,""মূর্খ|"&amp;"ভণ্ড|প্রতার|অলস|লোভ|স্বার্থ|অক্ষম|অযোগ্য|বোকা|কৃপণ|হিংস"")),""valence-target অমিল"",""""),IF(COUNTIF($B:$B,B760)&gt;1,""ডুপ্লিকেট"",""""))"),"figurative ছোট")</f>
        <v>figurative ছোট</v>
      </c>
      <c r="Q760" s="5" t="str">
        <f t="shared" si="1"/>
        <v>১ আগে দেখো</v>
      </c>
    </row>
    <row r="761">
      <c r="A761" s="4">
        <v>6155.0</v>
      </c>
      <c r="B761" s="2" t="s">
        <v>3370</v>
      </c>
      <c r="C761" s="2" t="s">
        <v>3371</v>
      </c>
      <c r="D761" s="2" t="s">
        <v>2243</v>
      </c>
      <c r="E761" s="2" t="s">
        <v>3372</v>
      </c>
      <c r="F761" s="2" t="b">
        <v>1</v>
      </c>
      <c r="G761" s="2" t="b">
        <v>0</v>
      </c>
      <c r="H761" s="2" t="s">
        <v>2243</v>
      </c>
      <c r="I761" s="2" t="s">
        <v>22</v>
      </c>
      <c r="J761" s="2" t="s">
        <v>820</v>
      </c>
      <c r="K761" s="2" t="s">
        <v>495</v>
      </c>
      <c r="L761" s="13" t="s">
        <v>496</v>
      </c>
      <c r="M761" s="2" t="s">
        <v>26</v>
      </c>
      <c r="N761" s="11" t="s">
        <v>576</v>
      </c>
      <c r="O761" s="12" t="s">
        <v>53</v>
      </c>
      <c r="P761" s="5" t="str">
        <f>IFERROR(__xludf.DUMMYFUNCTION("TEXTJOIN("" | "",TRUE,IF(OR(D761="""",E761="""",I761="""",J761="""",H761=""""),""ফাঁকা ঘর"",""""),IF(AND(C761&lt;&gt;"""",D761&lt;&gt;"""",C761=D761),""gloss=figurative"",""""),IF(LEN(D761)&lt;15,""figurative ছোট"",""""),IF(AND(I761=""Positive"",REGEXMATCH(H761,""মূর্খ|"&amp;"ভণ্ড|প্রতার|অলস|লোভ|স্বার্থ|অক্ষম|অযোগ্য|বোকা|কৃপণ|হিংস"")),""valence-target অমিল"",""""),IF(COUNTIF($B:$B,B761)&gt;1,""ডুপ্লিকেট"",""""))"),"figurative ছোট")</f>
        <v>figurative ছোট</v>
      </c>
      <c r="Q761" s="5" t="str">
        <f t="shared" si="1"/>
        <v>১ আগে দেখো</v>
      </c>
    </row>
    <row r="762">
      <c r="A762" s="4">
        <v>6156.0</v>
      </c>
      <c r="B762" s="2" t="s">
        <v>3373</v>
      </c>
      <c r="C762" s="2" t="s">
        <v>3374</v>
      </c>
      <c r="D762" s="2" t="s">
        <v>3375</v>
      </c>
      <c r="E762" s="2" t="s">
        <v>3376</v>
      </c>
      <c r="F762" s="2" t="b">
        <v>1</v>
      </c>
      <c r="G762" s="2" t="b">
        <v>0</v>
      </c>
      <c r="H762" s="2" t="s">
        <v>1334</v>
      </c>
      <c r="I762" s="2" t="s">
        <v>22</v>
      </c>
      <c r="J762" s="2" t="s">
        <v>820</v>
      </c>
      <c r="K762" s="2" t="s">
        <v>495</v>
      </c>
      <c r="L762" s="13" t="s">
        <v>496</v>
      </c>
      <c r="M762" s="2" t="s">
        <v>26</v>
      </c>
      <c r="N762" s="11" t="s">
        <v>576</v>
      </c>
      <c r="O762" s="12" t="s">
        <v>53</v>
      </c>
      <c r="P762" s="5" t="str">
        <f>IFERROR(__xludf.DUMMYFUNCTION("TEXTJOIN("" | "",TRUE,IF(OR(D762="""",E762="""",I762="""",J762="""",H762=""""),""ফাঁকা ঘর"",""""),IF(AND(C762&lt;&gt;"""",D762&lt;&gt;"""",C762=D762),""gloss=figurative"",""""),IF(LEN(D762)&lt;15,""figurative ছোট"",""""),IF(AND(I762=""Positive"",REGEXMATCH(H762,""মূর্খ|"&amp;"ভণ্ড|প্রতার|অলস|লোভ|স্বার্থ|অক্ষম|অযোগ্য|বোকা|কৃপণ|হিংস"")),""valence-target অমিল"",""""),IF(COUNTIF($B:$B,B762)&gt;1,""ডুপ্লিকেট"",""""))"),"figurative ছোট")</f>
        <v>figurative ছোট</v>
      </c>
      <c r="Q762" s="5" t="str">
        <f t="shared" si="1"/>
        <v>১ আগে দেখো</v>
      </c>
    </row>
    <row r="763">
      <c r="A763" s="4">
        <v>6157.0</v>
      </c>
      <c r="B763" s="2" t="s">
        <v>3377</v>
      </c>
      <c r="C763" s="2" t="s">
        <v>3378</v>
      </c>
      <c r="D763" s="2" t="s">
        <v>3379</v>
      </c>
      <c r="E763" s="2" t="s">
        <v>3380</v>
      </c>
      <c r="F763" s="2" t="b">
        <v>1</v>
      </c>
      <c r="G763" s="2" t="b">
        <v>0</v>
      </c>
      <c r="H763" s="2" t="s">
        <v>3379</v>
      </c>
      <c r="I763" s="2" t="s">
        <v>22</v>
      </c>
      <c r="J763" s="2" t="s">
        <v>1895</v>
      </c>
      <c r="K763" s="2" t="s">
        <v>495</v>
      </c>
      <c r="L763" s="13" t="s">
        <v>496</v>
      </c>
      <c r="M763" s="2" t="s">
        <v>26</v>
      </c>
      <c r="N763" s="11" t="s">
        <v>576</v>
      </c>
      <c r="O763" s="12" t="s">
        <v>53</v>
      </c>
      <c r="P763" s="5" t="str">
        <f>IFERROR(__xludf.DUMMYFUNCTION("TEXTJOIN("" | "",TRUE,IF(OR(D763="""",E763="""",I763="""",J763="""",H763=""""),""ফাঁকা ঘর"",""""),IF(AND(C763&lt;&gt;"""",D763&lt;&gt;"""",C763=D763),""gloss=figurative"",""""),IF(LEN(D763)&lt;15,""figurative ছোট"",""""),IF(AND(I763=""Positive"",REGEXMATCH(H763,""মূর্খ|"&amp;"ভণ্ড|প্রতার|অলস|লোভ|স্বার্থ|অক্ষম|অযোগ্য|বোকা|কৃপণ|হিংস"")),""valence-target অমিল"",""""),IF(COUNTIF($B:$B,B763)&gt;1,""ডুপ্লিকেট"",""""))"),"figurative ছোট")</f>
        <v>figurative ছোট</v>
      </c>
      <c r="Q763" s="5" t="str">
        <f t="shared" si="1"/>
        <v>১ আগে দেখো</v>
      </c>
    </row>
    <row r="764">
      <c r="A764" s="4">
        <v>6158.0</v>
      </c>
      <c r="B764" s="2" t="s">
        <v>3381</v>
      </c>
      <c r="C764" s="2" t="s">
        <v>3382</v>
      </c>
      <c r="D764" s="2" t="s">
        <v>3383</v>
      </c>
      <c r="E764" s="2" t="s">
        <v>3384</v>
      </c>
      <c r="F764" s="2" t="b">
        <v>1</v>
      </c>
      <c r="G764" s="2" t="b">
        <v>0</v>
      </c>
      <c r="H764" s="2" t="s">
        <v>37</v>
      </c>
      <c r="I764" s="2" t="s">
        <v>32</v>
      </c>
      <c r="J764" s="2" t="s">
        <v>1598</v>
      </c>
      <c r="K764" s="2" t="s">
        <v>495</v>
      </c>
      <c r="L764" s="13" t="s">
        <v>496</v>
      </c>
      <c r="M764" s="2" t="s">
        <v>26</v>
      </c>
      <c r="N764" s="11" t="s">
        <v>576</v>
      </c>
      <c r="O764" s="12" t="s">
        <v>53</v>
      </c>
      <c r="P764" s="5" t="str">
        <f>IFERROR(__xludf.DUMMYFUNCTION("TEXTJOIN("" | "",TRUE,IF(OR(D764="""",E764="""",I764="""",J764="""",H764=""""),""ফাঁকা ঘর"",""""),IF(AND(C764&lt;&gt;"""",D764&lt;&gt;"""",C764=D764),""gloss=figurative"",""""),IF(LEN(D764)&lt;15,""figurative ছোট"",""""),IF(AND(I764=""Positive"",REGEXMATCH(H764,""মূর্খ|"&amp;"ভণ্ড|প্রতার|অলস|লোভ|স্বার্থ|অক্ষম|অযোগ্য|বোকা|কৃপণ|হিংস"")),""valence-target অমিল"",""""),IF(COUNTIF($B:$B,B764)&gt;1,""ডুপ্লিকেট"",""""))"),"figurative ছোট")</f>
        <v>figurative ছোট</v>
      </c>
      <c r="Q764" s="5" t="str">
        <f t="shared" si="1"/>
        <v>১ আগে দেখো</v>
      </c>
    </row>
    <row r="765">
      <c r="A765" s="4">
        <v>6159.0</v>
      </c>
      <c r="B765" s="2" t="s">
        <v>3385</v>
      </c>
      <c r="C765" s="2" t="s">
        <v>3386</v>
      </c>
      <c r="D765" s="2" t="s">
        <v>3387</v>
      </c>
      <c r="E765" s="2" t="s">
        <v>3388</v>
      </c>
      <c r="F765" s="2" t="b">
        <v>1</v>
      </c>
      <c r="G765" s="2" t="b">
        <v>0</v>
      </c>
      <c r="H765" s="2" t="s">
        <v>37</v>
      </c>
      <c r="I765" s="2" t="s">
        <v>22</v>
      </c>
      <c r="J765" s="2" t="s">
        <v>842</v>
      </c>
      <c r="K765" s="2" t="s">
        <v>495</v>
      </c>
      <c r="L765" s="13" t="s">
        <v>496</v>
      </c>
      <c r="M765" s="2" t="s">
        <v>26</v>
      </c>
      <c r="N765" s="11" t="s">
        <v>576</v>
      </c>
      <c r="O765" s="12" t="s">
        <v>53</v>
      </c>
      <c r="P765" s="5" t="str">
        <f>IFERROR(__xludf.DUMMYFUNCTION("TEXTJOIN("" | "",TRUE,IF(OR(D765="""",E765="""",I765="""",J765="""",H765=""""),""ফাঁকা ঘর"",""""),IF(AND(C765&lt;&gt;"""",D765&lt;&gt;"""",C765=D765),""gloss=figurative"",""""),IF(LEN(D765)&lt;15,""figurative ছোট"",""""),IF(AND(I765=""Positive"",REGEXMATCH(H765,""মূর্খ|"&amp;"ভণ্ড|প্রতার|অলস|লোভ|স্বার্থ|অক্ষম|অযোগ্য|বোকা|কৃপণ|হিংস"")),""valence-target অমিল"",""""),IF(COUNTIF($B:$B,B765)&gt;1,""ডুপ্লিকেট"",""""))"),"figurative ছোট")</f>
        <v>figurative ছোট</v>
      </c>
      <c r="Q765" s="5" t="str">
        <f t="shared" si="1"/>
        <v>১ আগে দেখো</v>
      </c>
    </row>
    <row r="766">
      <c r="A766" s="4">
        <v>6160.0</v>
      </c>
      <c r="B766" s="2" t="s">
        <v>3389</v>
      </c>
      <c r="C766" s="2" t="s">
        <v>3390</v>
      </c>
      <c r="D766" s="2" t="s">
        <v>3346</v>
      </c>
      <c r="E766" s="2" t="s">
        <v>3391</v>
      </c>
      <c r="F766" s="2" t="b">
        <v>1</v>
      </c>
      <c r="G766" s="2" t="b">
        <v>0</v>
      </c>
      <c r="H766" s="2" t="s">
        <v>3379</v>
      </c>
      <c r="I766" s="2" t="s">
        <v>22</v>
      </c>
      <c r="J766" s="2" t="s">
        <v>3346</v>
      </c>
      <c r="K766" s="2" t="s">
        <v>495</v>
      </c>
      <c r="L766" s="13" t="s">
        <v>496</v>
      </c>
      <c r="M766" s="2" t="s">
        <v>26</v>
      </c>
      <c r="N766" s="11" t="s">
        <v>576</v>
      </c>
      <c r="O766" s="12" t="s">
        <v>53</v>
      </c>
      <c r="P766" s="5" t="str">
        <f>IFERROR(__xludf.DUMMYFUNCTION("TEXTJOIN("" | "",TRUE,IF(OR(D766="""",E766="""",I766="""",J766="""",H766=""""),""ফাঁকা ঘর"",""""),IF(AND(C766&lt;&gt;"""",D766&lt;&gt;"""",C766=D766),""gloss=figurative"",""""),IF(LEN(D766)&lt;15,""figurative ছোট"",""""),IF(AND(I766=""Positive"",REGEXMATCH(H766,""মূর্খ|"&amp;"ভণ্ড|প্রতার|অলস|লোভ|স্বার্থ|অক্ষম|অযোগ্য|বোকা|কৃপণ|হিংস"")),""valence-target অমিল"",""""),IF(COUNTIF($B:$B,B766)&gt;1,""ডুপ্লিকেট"",""""))"),"figurative ছোট")</f>
        <v>figurative ছোট</v>
      </c>
      <c r="Q766" s="5" t="str">
        <f t="shared" si="1"/>
        <v>১ আগে দেখো</v>
      </c>
    </row>
    <row r="767">
      <c r="A767" s="4">
        <v>6161.0</v>
      </c>
      <c r="B767" s="2" t="s">
        <v>3392</v>
      </c>
      <c r="C767" s="2" t="s">
        <v>3393</v>
      </c>
      <c r="D767" s="2" t="s">
        <v>3394</v>
      </c>
      <c r="E767" s="2" t="s">
        <v>3395</v>
      </c>
      <c r="F767" s="2" t="b">
        <v>1</v>
      </c>
      <c r="G767" s="2" t="b">
        <v>0</v>
      </c>
      <c r="H767" s="2" t="s">
        <v>37</v>
      </c>
      <c r="I767" s="2" t="s">
        <v>22</v>
      </c>
      <c r="J767" s="2" t="s">
        <v>2667</v>
      </c>
      <c r="K767" s="2" t="s">
        <v>495</v>
      </c>
      <c r="L767" s="13" t="s">
        <v>496</v>
      </c>
      <c r="M767" s="2" t="s">
        <v>26</v>
      </c>
      <c r="N767" s="11" t="s">
        <v>576</v>
      </c>
      <c r="O767" s="12" t="s">
        <v>53</v>
      </c>
      <c r="P767" s="5" t="str">
        <f>IFERROR(__xludf.DUMMYFUNCTION("TEXTJOIN("" | "",TRUE,IF(OR(D767="""",E767="""",I767="""",J767="""",H767=""""),""ফাঁকা ঘর"",""""),IF(AND(C767&lt;&gt;"""",D767&lt;&gt;"""",C767=D767),""gloss=figurative"",""""),IF(LEN(D767)&lt;15,""figurative ছোট"",""""),IF(AND(I767=""Positive"",REGEXMATCH(H767,""মূর্খ|"&amp;"ভণ্ড|প্রতার|অলস|লোভ|স্বার্থ|অক্ষম|অযোগ্য|বোকা|কৃপণ|হিংস"")),""valence-target অমিল"",""""),IF(COUNTIF($B:$B,B767)&gt;1,""ডুপ্লিকেট"",""""))"),"figurative ছোট")</f>
        <v>figurative ছোট</v>
      </c>
      <c r="Q767" s="5" t="str">
        <f t="shared" si="1"/>
        <v>১ আগে দেখো</v>
      </c>
    </row>
    <row r="768">
      <c r="A768" s="4">
        <v>6162.0</v>
      </c>
      <c r="B768" s="2" t="s">
        <v>3396</v>
      </c>
      <c r="C768" s="2" t="s">
        <v>3396</v>
      </c>
      <c r="D768" s="2" t="s">
        <v>3397</v>
      </c>
      <c r="E768" s="2" t="s">
        <v>3398</v>
      </c>
      <c r="F768" s="2" t="b">
        <v>1</v>
      </c>
      <c r="G768" s="2" t="b">
        <v>0</v>
      </c>
      <c r="H768" s="2" t="s">
        <v>37</v>
      </c>
      <c r="I768" s="2" t="s">
        <v>49</v>
      </c>
      <c r="J768" s="2" t="s">
        <v>2742</v>
      </c>
      <c r="K768" s="2" t="s">
        <v>495</v>
      </c>
      <c r="L768" s="13" t="s">
        <v>496</v>
      </c>
      <c r="M768" s="2" t="s">
        <v>26</v>
      </c>
      <c r="N768" s="11" t="s">
        <v>576</v>
      </c>
      <c r="O768" s="12" t="s">
        <v>53</v>
      </c>
      <c r="P768" s="5" t="str">
        <f>IFERROR(__xludf.DUMMYFUNCTION("TEXTJOIN("" | "",TRUE,IF(OR(D768="""",E768="""",I768="""",J768="""",H768=""""),""ফাঁকা ঘর"",""""),IF(AND(C768&lt;&gt;"""",D768&lt;&gt;"""",C768=D768),""gloss=figurative"",""""),IF(LEN(D768)&lt;15,""figurative ছোট"",""""),IF(AND(I768=""Positive"",REGEXMATCH(H768,""মূর্খ|"&amp;"ভণ্ড|প্রতার|অলস|লোভ|স্বার্থ|অক্ষম|অযোগ্য|বোকা|কৃপণ|হিংস"")),""valence-target অমিল"",""""),IF(COUNTIF($B:$B,B768)&gt;1,""ডুপ্লিকেট"",""""))"),"figurative ছোট")</f>
        <v>figurative ছোট</v>
      </c>
      <c r="Q768" s="5" t="str">
        <f t="shared" si="1"/>
        <v>১ আগে দেখো</v>
      </c>
    </row>
    <row r="769">
      <c r="A769" s="4">
        <v>6163.0</v>
      </c>
      <c r="B769" s="2" t="s">
        <v>3399</v>
      </c>
      <c r="C769" s="2" t="s">
        <v>3400</v>
      </c>
      <c r="D769" s="2" t="s">
        <v>3401</v>
      </c>
      <c r="E769" s="2" t="s">
        <v>3402</v>
      </c>
      <c r="F769" s="2" t="b">
        <v>1</v>
      </c>
      <c r="G769" s="2" t="b">
        <v>0</v>
      </c>
      <c r="H769" s="2" t="s">
        <v>37</v>
      </c>
      <c r="I769" s="2" t="s">
        <v>22</v>
      </c>
      <c r="J769" s="2" t="s">
        <v>1008</v>
      </c>
      <c r="K769" s="2" t="s">
        <v>495</v>
      </c>
      <c r="L769" s="13" t="s">
        <v>496</v>
      </c>
      <c r="M769" s="2" t="s">
        <v>26</v>
      </c>
      <c r="N769" s="11" t="s">
        <v>576</v>
      </c>
      <c r="O769" s="12" t="s">
        <v>53</v>
      </c>
      <c r="P769" s="5" t="str">
        <f>IFERROR(__xludf.DUMMYFUNCTION("TEXTJOIN("" | "",TRUE,IF(OR(D769="""",E769="""",I769="""",J769="""",H769=""""),""ফাঁকা ঘর"",""""),IF(AND(C769&lt;&gt;"""",D769&lt;&gt;"""",C769=D769),""gloss=figurative"",""""),IF(LEN(D769)&lt;15,""figurative ছোট"",""""),IF(AND(I769=""Positive"",REGEXMATCH(H769,""মূর্খ|"&amp;"ভণ্ড|প্রতার|অলস|লোভ|স্বার্থ|অক্ষম|অযোগ্য|বোকা|কৃপণ|হিংস"")),""valence-target অমিল"",""""),IF(COUNTIF($B:$B,B769)&gt;1,""ডুপ্লিকেট"",""""))"),"figurative ছোট")</f>
        <v>figurative ছোট</v>
      </c>
      <c r="Q769" s="5" t="str">
        <f t="shared" si="1"/>
        <v>১ আগে দেখো</v>
      </c>
    </row>
    <row r="770">
      <c r="A770" s="4">
        <v>6164.0</v>
      </c>
      <c r="B770" s="2" t="s">
        <v>3403</v>
      </c>
      <c r="C770" s="2" t="s">
        <v>3404</v>
      </c>
      <c r="D770" s="2" t="s">
        <v>3405</v>
      </c>
      <c r="E770" s="2" t="s">
        <v>3406</v>
      </c>
      <c r="F770" s="2" t="b">
        <v>1</v>
      </c>
      <c r="G770" s="2" t="b">
        <v>0</v>
      </c>
      <c r="H770" s="2" t="s">
        <v>3407</v>
      </c>
      <c r="I770" s="2" t="s">
        <v>22</v>
      </c>
      <c r="J770" s="2" t="s">
        <v>447</v>
      </c>
      <c r="K770" s="2" t="s">
        <v>495</v>
      </c>
      <c r="L770" s="13" t="s">
        <v>496</v>
      </c>
      <c r="M770" s="2" t="s">
        <v>26</v>
      </c>
      <c r="N770" s="11" t="s">
        <v>576</v>
      </c>
      <c r="O770" s="12" t="s">
        <v>53</v>
      </c>
      <c r="P770" s="5" t="str">
        <f>IFERROR(__xludf.DUMMYFUNCTION("TEXTJOIN("" | "",TRUE,IF(OR(D770="""",E770="""",I770="""",J770="""",H770=""""),""ফাঁকা ঘর"",""""),IF(AND(C770&lt;&gt;"""",D770&lt;&gt;"""",C770=D770),""gloss=figurative"",""""),IF(LEN(D770)&lt;15,""figurative ছোট"",""""),IF(AND(I770=""Positive"",REGEXMATCH(H770,""মূর্খ|"&amp;"ভণ্ড|প্রতার|অলস|লোভ|স্বার্থ|অক্ষম|অযোগ্য|বোকা|কৃপণ|হিংস"")),""valence-target অমিল"",""""),IF(COUNTIF($B:$B,B770)&gt;1,""ডুপ্লিকেট"",""""))"),"figurative ছোট")</f>
        <v>figurative ছোট</v>
      </c>
      <c r="Q770" s="5" t="str">
        <f t="shared" si="1"/>
        <v>১ আগে দেখো</v>
      </c>
    </row>
    <row r="771">
      <c r="A771" s="4">
        <v>6165.0</v>
      </c>
      <c r="B771" s="2" t="s">
        <v>3408</v>
      </c>
      <c r="C771" s="2" t="s">
        <v>3409</v>
      </c>
      <c r="D771" s="2" t="s">
        <v>3410</v>
      </c>
      <c r="E771" s="2" t="s">
        <v>3411</v>
      </c>
      <c r="F771" s="2" t="b">
        <v>1</v>
      </c>
      <c r="G771" s="2" t="b">
        <v>0</v>
      </c>
      <c r="H771" s="2" t="s">
        <v>37</v>
      </c>
      <c r="I771" s="2" t="s">
        <v>49</v>
      </c>
      <c r="J771" s="2" t="s">
        <v>3410</v>
      </c>
      <c r="K771" s="2" t="s">
        <v>495</v>
      </c>
      <c r="L771" s="13" t="s">
        <v>496</v>
      </c>
      <c r="M771" s="2" t="s">
        <v>26</v>
      </c>
      <c r="N771" s="11" t="s">
        <v>576</v>
      </c>
      <c r="O771" s="12" t="s">
        <v>53</v>
      </c>
      <c r="P771" s="5" t="str">
        <f>IFERROR(__xludf.DUMMYFUNCTION("TEXTJOIN("" | "",TRUE,IF(OR(D771="""",E771="""",I771="""",J771="""",H771=""""),""ফাঁকা ঘর"",""""),IF(AND(C771&lt;&gt;"""",D771&lt;&gt;"""",C771=D771),""gloss=figurative"",""""),IF(LEN(D771)&lt;15,""figurative ছোট"",""""),IF(AND(I771=""Positive"",REGEXMATCH(H771,""মূর্খ|"&amp;"ভণ্ড|প্রতার|অলস|লোভ|স্বার্থ|অক্ষম|অযোগ্য|বোকা|কৃপণ|হিংস"")),""valence-target অমিল"",""""),IF(COUNTIF($B:$B,B771)&gt;1,""ডুপ্লিকেট"",""""))"),"figurative ছোট")</f>
        <v>figurative ছোট</v>
      </c>
      <c r="Q771" s="5" t="str">
        <f t="shared" si="1"/>
        <v>১ আগে দেখো</v>
      </c>
    </row>
    <row r="772">
      <c r="A772" s="4">
        <v>6166.0</v>
      </c>
      <c r="B772" s="2" t="s">
        <v>3412</v>
      </c>
      <c r="C772" s="2" t="s">
        <v>3413</v>
      </c>
      <c r="D772" s="2" t="s">
        <v>3414</v>
      </c>
      <c r="E772" s="2" t="s">
        <v>3415</v>
      </c>
      <c r="F772" s="2" t="b">
        <v>1</v>
      </c>
      <c r="G772" s="2" t="b">
        <v>0</v>
      </c>
      <c r="H772" s="2" t="s">
        <v>37</v>
      </c>
      <c r="I772" s="2" t="s">
        <v>49</v>
      </c>
      <c r="J772" s="2" t="s">
        <v>3416</v>
      </c>
      <c r="K772" s="2" t="s">
        <v>495</v>
      </c>
      <c r="L772" s="13" t="s">
        <v>496</v>
      </c>
      <c r="M772" s="2" t="s">
        <v>26</v>
      </c>
      <c r="N772" s="11" t="s">
        <v>576</v>
      </c>
      <c r="O772" s="12" t="s">
        <v>53</v>
      </c>
      <c r="P772" s="5" t="str">
        <f>IFERROR(__xludf.DUMMYFUNCTION("TEXTJOIN("" | "",TRUE,IF(OR(D772="""",E772="""",I772="""",J772="""",H772=""""),""ফাঁকা ঘর"",""""),IF(AND(C772&lt;&gt;"""",D772&lt;&gt;"""",C772=D772),""gloss=figurative"",""""),IF(LEN(D772)&lt;15,""figurative ছোট"",""""),IF(AND(I772=""Positive"",REGEXMATCH(H772,""মূর্খ|"&amp;"ভণ্ড|প্রতার|অলস|লোভ|স্বার্থ|অক্ষম|অযোগ্য|বোকা|কৃপণ|হিংস"")),""valence-target অমিল"",""""),IF(COUNTIF($B:$B,B772)&gt;1,""ডুপ্লিকেট"",""""))"),"figurative ছোট")</f>
        <v>figurative ছোট</v>
      </c>
      <c r="Q772" s="5" t="str">
        <f t="shared" si="1"/>
        <v>১ আগে দেখো</v>
      </c>
    </row>
    <row r="773">
      <c r="A773" s="4">
        <v>6168.0</v>
      </c>
      <c r="B773" s="2" t="s">
        <v>3417</v>
      </c>
      <c r="C773" s="2" t="s">
        <v>3418</v>
      </c>
      <c r="D773" s="2" t="s">
        <v>3419</v>
      </c>
      <c r="E773" s="2" t="s">
        <v>3420</v>
      </c>
      <c r="F773" s="2" t="b">
        <v>1</v>
      </c>
      <c r="G773" s="2" t="b">
        <v>0</v>
      </c>
      <c r="H773" s="2" t="s">
        <v>37</v>
      </c>
      <c r="I773" s="2" t="s">
        <v>49</v>
      </c>
      <c r="J773" s="2" t="s">
        <v>3410</v>
      </c>
      <c r="K773" s="2" t="s">
        <v>495</v>
      </c>
      <c r="L773" s="13" t="s">
        <v>496</v>
      </c>
      <c r="M773" s="2" t="s">
        <v>26</v>
      </c>
      <c r="N773" s="11" t="s">
        <v>576</v>
      </c>
      <c r="O773" s="12" t="s">
        <v>53</v>
      </c>
      <c r="P773" s="5" t="str">
        <f>IFERROR(__xludf.DUMMYFUNCTION("TEXTJOIN("" | "",TRUE,IF(OR(D773="""",E773="""",I773="""",J773="""",H773=""""),""ফাঁকা ঘর"",""""),IF(AND(C773&lt;&gt;"""",D773&lt;&gt;"""",C773=D773),""gloss=figurative"",""""),IF(LEN(D773)&lt;15,""figurative ছোট"",""""),IF(AND(I773=""Positive"",REGEXMATCH(H773,""মূর্খ|"&amp;"ভণ্ড|প্রতার|অলস|লোভ|স্বার্থ|অক্ষম|অযোগ্য|বোকা|কৃপণ|হিংস"")),""valence-target অমিল"",""""),IF(COUNTIF($B:$B,B773)&gt;1,""ডুপ্লিকেট"",""""))"),"figurative ছোট")</f>
        <v>figurative ছোট</v>
      </c>
      <c r="Q773" s="5" t="str">
        <f t="shared" si="1"/>
        <v>১ আগে দেখো</v>
      </c>
    </row>
    <row r="774">
      <c r="A774" s="4">
        <v>6169.0</v>
      </c>
      <c r="B774" s="2" t="s">
        <v>3421</v>
      </c>
      <c r="C774" s="2" t="s">
        <v>3422</v>
      </c>
      <c r="D774" s="2" t="s">
        <v>3423</v>
      </c>
      <c r="E774" s="2" t="s">
        <v>3424</v>
      </c>
      <c r="F774" s="2" t="b">
        <v>1</v>
      </c>
      <c r="G774" s="2" t="b">
        <v>0</v>
      </c>
      <c r="H774" s="2" t="s">
        <v>37</v>
      </c>
      <c r="I774" s="2" t="s">
        <v>32</v>
      </c>
      <c r="J774" s="2" t="s">
        <v>964</v>
      </c>
      <c r="K774" s="2" t="s">
        <v>495</v>
      </c>
      <c r="L774" s="13" t="s">
        <v>496</v>
      </c>
      <c r="M774" s="2" t="s">
        <v>26</v>
      </c>
      <c r="N774" s="11" t="s">
        <v>576</v>
      </c>
      <c r="O774" s="12" t="s">
        <v>53</v>
      </c>
      <c r="P774" s="5" t="str">
        <f>IFERROR(__xludf.DUMMYFUNCTION("TEXTJOIN("" | "",TRUE,IF(OR(D774="""",E774="""",I774="""",J774="""",H774=""""),""ফাঁকা ঘর"",""""),IF(AND(C774&lt;&gt;"""",D774&lt;&gt;"""",C774=D774),""gloss=figurative"",""""),IF(LEN(D774)&lt;15,""figurative ছোট"",""""),IF(AND(I774=""Positive"",REGEXMATCH(H774,""মূর্খ|"&amp;"ভণ্ড|প্রতার|অলস|লোভ|স্বার্থ|অক্ষম|অযোগ্য|বোকা|কৃপণ|হিংস"")),""valence-target অমিল"",""""),IF(COUNTIF($B:$B,B774)&gt;1,""ডুপ্লিকেট"",""""))"),"figurative ছোট")</f>
        <v>figurative ছোট</v>
      </c>
      <c r="Q774" s="5" t="str">
        <f t="shared" si="1"/>
        <v>১ আগে দেখো</v>
      </c>
    </row>
    <row r="775">
      <c r="A775" s="4">
        <v>6170.0</v>
      </c>
      <c r="B775" s="2" t="s">
        <v>3425</v>
      </c>
      <c r="C775" s="2" t="s">
        <v>3426</v>
      </c>
      <c r="D775" s="2" t="s">
        <v>3427</v>
      </c>
      <c r="E775" s="2" t="s">
        <v>3428</v>
      </c>
      <c r="F775" s="2" t="b">
        <v>1</v>
      </c>
      <c r="G775" s="2" t="b">
        <v>0</v>
      </c>
      <c r="H775" s="2" t="s">
        <v>37</v>
      </c>
      <c r="I775" s="2" t="s">
        <v>22</v>
      </c>
      <c r="J775" s="2" t="s">
        <v>836</v>
      </c>
      <c r="K775" s="2" t="s">
        <v>495</v>
      </c>
      <c r="L775" s="13" t="s">
        <v>496</v>
      </c>
      <c r="M775" s="2" t="s">
        <v>26</v>
      </c>
      <c r="N775" s="11" t="s">
        <v>576</v>
      </c>
      <c r="O775" s="12" t="s">
        <v>53</v>
      </c>
      <c r="P775" s="5" t="str">
        <f>IFERROR(__xludf.DUMMYFUNCTION("TEXTJOIN("" | "",TRUE,IF(OR(D775="""",E775="""",I775="""",J775="""",H775=""""),""ফাঁকা ঘর"",""""),IF(AND(C775&lt;&gt;"""",D775&lt;&gt;"""",C775=D775),""gloss=figurative"",""""),IF(LEN(D775)&lt;15,""figurative ছোট"",""""),IF(AND(I775=""Positive"",REGEXMATCH(H775,""মূর্খ|"&amp;"ভণ্ড|প্রতার|অলস|লোভ|স্বার্থ|অক্ষম|অযোগ্য|বোকা|কৃপণ|হিংস"")),""valence-target অমিল"",""""),IF(COUNTIF($B:$B,B775)&gt;1,""ডুপ্লিকেট"",""""))"),"figurative ছোট")</f>
        <v>figurative ছোট</v>
      </c>
      <c r="Q775" s="5" t="str">
        <f t="shared" si="1"/>
        <v>১ আগে দেখো</v>
      </c>
    </row>
    <row r="776">
      <c r="A776" s="4">
        <v>6172.0</v>
      </c>
      <c r="B776" s="2" t="s">
        <v>3429</v>
      </c>
      <c r="C776" s="2" t="s">
        <v>3430</v>
      </c>
      <c r="D776" s="2" t="s">
        <v>3431</v>
      </c>
      <c r="E776" s="2" t="s">
        <v>3432</v>
      </c>
      <c r="F776" s="2" t="b">
        <v>1</v>
      </c>
      <c r="G776" s="2" t="b">
        <v>0</v>
      </c>
      <c r="H776" s="2" t="s">
        <v>854</v>
      </c>
      <c r="I776" s="2" t="s">
        <v>22</v>
      </c>
      <c r="J776" s="2" t="s">
        <v>855</v>
      </c>
      <c r="K776" s="2" t="s">
        <v>495</v>
      </c>
      <c r="L776" s="13" t="s">
        <v>496</v>
      </c>
      <c r="M776" s="2" t="s">
        <v>26</v>
      </c>
      <c r="N776" s="11" t="s">
        <v>576</v>
      </c>
      <c r="O776" s="12" t="s">
        <v>53</v>
      </c>
      <c r="P776" s="5" t="str">
        <f>IFERROR(__xludf.DUMMYFUNCTION("TEXTJOIN("" | "",TRUE,IF(OR(D776="""",E776="""",I776="""",J776="""",H776=""""),""ফাঁকা ঘর"",""""),IF(AND(C776&lt;&gt;"""",D776&lt;&gt;"""",C776=D776),""gloss=figurative"",""""),IF(LEN(D776)&lt;15,""figurative ছোট"",""""),IF(AND(I776=""Positive"",REGEXMATCH(H776,""মূর্খ|"&amp;"ভণ্ড|প্রতার|অলস|লোভ|স্বার্থ|অক্ষম|অযোগ্য|বোকা|কৃপণ|হিংস"")),""valence-target অমিল"",""""),IF(COUNTIF($B:$B,B776)&gt;1,""ডুপ্লিকেট"",""""))"),"figurative ছোট")</f>
        <v>figurative ছোট</v>
      </c>
      <c r="Q776" s="5" t="str">
        <f t="shared" si="1"/>
        <v>১ আগে দেখো</v>
      </c>
    </row>
    <row r="777">
      <c r="A777" s="4">
        <v>6173.0</v>
      </c>
      <c r="B777" s="2" t="s">
        <v>3433</v>
      </c>
      <c r="C777" s="2" t="s">
        <v>3433</v>
      </c>
      <c r="D777" s="2" t="s">
        <v>590</v>
      </c>
      <c r="E777" s="2" t="s">
        <v>3434</v>
      </c>
      <c r="F777" s="2" t="b">
        <v>1</v>
      </c>
      <c r="G777" s="2" t="b">
        <v>0</v>
      </c>
      <c r="H777" s="2" t="s">
        <v>37</v>
      </c>
      <c r="I777" s="2" t="s">
        <v>22</v>
      </c>
      <c r="J777" s="2" t="s">
        <v>590</v>
      </c>
      <c r="K777" s="2" t="s">
        <v>495</v>
      </c>
      <c r="L777" s="13" t="s">
        <v>496</v>
      </c>
      <c r="M777" s="2" t="s">
        <v>26</v>
      </c>
      <c r="N777" s="11" t="s">
        <v>576</v>
      </c>
      <c r="O777" s="12" t="s">
        <v>53</v>
      </c>
      <c r="P777" s="5" t="str">
        <f>IFERROR(__xludf.DUMMYFUNCTION("TEXTJOIN("" | "",TRUE,IF(OR(D777="""",E777="""",I777="""",J777="""",H777=""""),""ফাঁকা ঘর"",""""),IF(AND(C777&lt;&gt;"""",D777&lt;&gt;"""",C777=D777),""gloss=figurative"",""""),IF(LEN(D777)&lt;15,""figurative ছোট"",""""),IF(AND(I777=""Positive"",REGEXMATCH(H777,""মূর্খ|"&amp;"ভণ্ড|প্রতার|অলস|লোভ|স্বার্থ|অক্ষম|অযোগ্য|বোকা|কৃপণ|হিংস"")),""valence-target অমিল"",""""),IF(COUNTIF($B:$B,B777)&gt;1,""ডুপ্লিকেট"",""""))"),"figurative ছোট")</f>
        <v>figurative ছোট</v>
      </c>
      <c r="Q777" s="5" t="str">
        <f t="shared" si="1"/>
        <v>১ আগে দেখো</v>
      </c>
    </row>
    <row r="778">
      <c r="A778" s="4">
        <v>6174.0</v>
      </c>
      <c r="B778" s="2" t="s">
        <v>3435</v>
      </c>
      <c r="C778" s="2" t="s">
        <v>3435</v>
      </c>
      <c r="D778" s="2" t="s">
        <v>590</v>
      </c>
      <c r="E778" s="2" t="s">
        <v>3436</v>
      </c>
      <c r="F778" s="2" t="b">
        <v>1</v>
      </c>
      <c r="G778" s="2" t="b">
        <v>0</v>
      </c>
      <c r="H778" s="2" t="s">
        <v>37</v>
      </c>
      <c r="I778" s="2" t="s">
        <v>22</v>
      </c>
      <c r="J778" s="2" t="s">
        <v>590</v>
      </c>
      <c r="K778" s="2" t="s">
        <v>495</v>
      </c>
      <c r="L778" s="13" t="s">
        <v>496</v>
      </c>
      <c r="M778" s="2" t="s">
        <v>26</v>
      </c>
      <c r="N778" s="11" t="s">
        <v>576</v>
      </c>
      <c r="O778" s="12" t="s">
        <v>53</v>
      </c>
      <c r="P778" s="5" t="str">
        <f>IFERROR(__xludf.DUMMYFUNCTION("TEXTJOIN("" | "",TRUE,IF(OR(D778="""",E778="""",I778="""",J778="""",H778=""""),""ফাঁকা ঘর"",""""),IF(AND(C778&lt;&gt;"""",D778&lt;&gt;"""",C778=D778),""gloss=figurative"",""""),IF(LEN(D778)&lt;15,""figurative ছোট"",""""),IF(AND(I778=""Positive"",REGEXMATCH(H778,""মূর্খ|"&amp;"ভণ্ড|প্রতার|অলস|লোভ|স্বার্থ|অক্ষম|অযোগ্য|বোকা|কৃপণ|হিংস"")),""valence-target অমিল"",""""),IF(COUNTIF($B:$B,B778)&gt;1,""ডুপ্লিকেট"",""""))"),"figurative ছোট")</f>
        <v>figurative ছোট</v>
      </c>
      <c r="Q778" s="5" t="str">
        <f t="shared" si="1"/>
        <v>১ আগে দেখো</v>
      </c>
    </row>
    <row r="779">
      <c r="A779" s="4">
        <v>6175.0</v>
      </c>
      <c r="B779" s="2" t="s">
        <v>3437</v>
      </c>
      <c r="C779" s="2" t="s">
        <v>3438</v>
      </c>
      <c r="D779" s="2" t="s">
        <v>590</v>
      </c>
      <c r="E779" s="2" t="s">
        <v>3439</v>
      </c>
      <c r="F779" s="2" t="b">
        <v>1</v>
      </c>
      <c r="G779" s="2" t="b">
        <v>0</v>
      </c>
      <c r="H779" s="2" t="s">
        <v>37</v>
      </c>
      <c r="I779" s="2" t="s">
        <v>22</v>
      </c>
      <c r="J779" s="2" t="s">
        <v>590</v>
      </c>
      <c r="K779" s="2" t="s">
        <v>495</v>
      </c>
      <c r="L779" s="13" t="s">
        <v>496</v>
      </c>
      <c r="M779" s="2" t="s">
        <v>26</v>
      </c>
      <c r="N779" s="11" t="s">
        <v>3440</v>
      </c>
      <c r="O779" s="12" t="s">
        <v>53</v>
      </c>
      <c r="P779" s="5" t="str">
        <f>IFERROR(__xludf.DUMMYFUNCTION("TEXTJOIN("" | "",TRUE,IF(OR(D779="""",E779="""",I779="""",J779="""",H779=""""),""ফাঁকা ঘর"",""""),IF(AND(C779&lt;&gt;"""",D779&lt;&gt;"""",C779=D779),""gloss=figurative"",""""),IF(LEN(D779)&lt;15,""figurative ছোট"",""""),IF(AND(I779=""Positive"",REGEXMATCH(H779,""মূর্খ|"&amp;"ভণ্ড|প্রতার|অলস|লোভ|স্বার্থ|অক্ষম|অযোগ্য|বোকা|কৃপণ|হিংস"")),""valence-target অমিল"",""""),IF(COUNTIF($B:$B,B779)&gt;1,""ডুপ্লিকেট"",""""))"),"figurative ছোট")</f>
        <v>figurative ছোট</v>
      </c>
      <c r="Q779" s="5" t="str">
        <f t="shared" si="1"/>
        <v>১ আগে দেখো</v>
      </c>
    </row>
    <row r="780">
      <c r="A780" s="4">
        <v>6176.0</v>
      </c>
      <c r="B780" s="2" t="s">
        <v>3441</v>
      </c>
      <c r="C780" s="2" t="s">
        <v>3442</v>
      </c>
      <c r="D780" s="2" t="s">
        <v>3443</v>
      </c>
      <c r="E780" s="2" t="s">
        <v>3444</v>
      </c>
      <c r="F780" s="2" t="b">
        <v>1</v>
      </c>
      <c r="G780" s="2" t="b">
        <v>0</v>
      </c>
      <c r="H780" s="2" t="s">
        <v>37</v>
      </c>
      <c r="I780" s="2" t="s">
        <v>22</v>
      </c>
      <c r="J780" s="2" t="s">
        <v>1656</v>
      </c>
      <c r="K780" s="2" t="s">
        <v>495</v>
      </c>
      <c r="L780" s="13" t="s">
        <v>496</v>
      </c>
      <c r="M780" s="2" t="s">
        <v>26</v>
      </c>
      <c r="N780" s="11" t="s">
        <v>3445</v>
      </c>
      <c r="O780" s="12" t="s">
        <v>53</v>
      </c>
      <c r="P780" s="5" t="str">
        <f>IFERROR(__xludf.DUMMYFUNCTION("TEXTJOIN("" | "",TRUE,IF(OR(D780="""",E780="""",I780="""",J780="""",H780=""""),""ফাঁকা ঘর"",""""),IF(AND(C780&lt;&gt;"""",D780&lt;&gt;"""",C780=D780),""gloss=figurative"",""""),IF(LEN(D780)&lt;15,""figurative ছোট"",""""),IF(AND(I780=""Positive"",REGEXMATCH(H780,""মূর্খ|"&amp;"ভণ্ড|প্রতার|অলস|লোভ|স্বার্থ|অক্ষম|অযোগ্য|বোকা|কৃপণ|হিংস"")),""valence-target অমিল"",""""),IF(COUNTIF($B:$B,B780)&gt;1,""ডুপ্লিকেট"",""""))"),"figurative ছোট")</f>
        <v>figurative ছোট</v>
      </c>
      <c r="Q780" s="5" t="str">
        <f t="shared" si="1"/>
        <v>১ আগে দেখো</v>
      </c>
    </row>
    <row r="781">
      <c r="A781" s="4">
        <v>6177.0</v>
      </c>
      <c r="B781" s="2" t="s">
        <v>3446</v>
      </c>
      <c r="C781" s="2" t="s">
        <v>3446</v>
      </c>
      <c r="D781" s="2" t="s">
        <v>3447</v>
      </c>
      <c r="E781" s="2" t="s">
        <v>3448</v>
      </c>
      <c r="F781" s="2" t="b">
        <v>1</v>
      </c>
      <c r="G781" s="2" t="b">
        <v>0</v>
      </c>
      <c r="H781" s="2" t="s">
        <v>37</v>
      </c>
      <c r="I781" s="2" t="s">
        <v>22</v>
      </c>
      <c r="J781" s="2" t="s">
        <v>1656</v>
      </c>
      <c r="K781" s="2" t="s">
        <v>495</v>
      </c>
      <c r="L781" s="13" t="s">
        <v>496</v>
      </c>
      <c r="M781" s="2" t="s">
        <v>26</v>
      </c>
      <c r="N781" s="11" t="s">
        <v>576</v>
      </c>
      <c r="O781" s="12" t="s">
        <v>53</v>
      </c>
      <c r="P781" s="5" t="str">
        <f>IFERROR(__xludf.DUMMYFUNCTION("TEXTJOIN("" | "",TRUE,IF(OR(D781="""",E781="""",I781="""",J781="""",H781=""""),""ফাঁকা ঘর"",""""),IF(AND(C781&lt;&gt;"""",D781&lt;&gt;"""",C781=D781),""gloss=figurative"",""""),IF(LEN(D781)&lt;15,""figurative ছোট"",""""),IF(AND(I781=""Positive"",REGEXMATCH(H781,""মূর্খ|"&amp;"ভণ্ড|প্রতার|অলস|লোভ|স্বার্থ|অক্ষম|অযোগ্য|বোকা|কৃপণ|হিংস"")),""valence-target অমিল"",""""),IF(COUNTIF($B:$B,B781)&gt;1,""ডুপ্লিকেট"",""""))"),"figurative ছোট")</f>
        <v>figurative ছোট</v>
      </c>
      <c r="Q781" s="5" t="str">
        <f t="shared" si="1"/>
        <v>১ আগে দেখো</v>
      </c>
    </row>
    <row r="782">
      <c r="A782" s="4">
        <v>6178.0</v>
      </c>
      <c r="B782" s="2" t="s">
        <v>3449</v>
      </c>
      <c r="C782" s="2" t="s">
        <v>3449</v>
      </c>
      <c r="D782" s="2" t="s">
        <v>3450</v>
      </c>
      <c r="E782" s="2" t="s">
        <v>3451</v>
      </c>
      <c r="F782" s="2" t="b">
        <v>1</v>
      </c>
      <c r="G782" s="2" t="b">
        <v>0</v>
      </c>
      <c r="H782" s="2" t="s">
        <v>37</v>
      </c>
      <c r="I782" s="2" t="s">
        <v>22</v>
      </c>
      <c r="J782" s="2" t="s">
        <v>616</v>
      </c>
      <c r="K782" s="2" t="s">
        <v>495</v>
      </c>
      <c r="L782" s="13" t="s">
        <v>496</v>
      </c>
      <c r="M782" s="2" t="s">
        <v>26</v>
      </c>
      <c r="N782" s="11" t="s">
        <v>576</v>
      </c>
      <c r="O782" s="12" t="s">
        <v>53</v>
      </c>
      <c r="P782" s="5" t="str">
        <f>IFERROR(__xludf.DUMMYFUNCTION("TEXTJOIN("" | "",TRUE,IF(OR(D782="""",E782="""",I782="""",J782="""",H782=""""),""ফাঁকা ঘর"",""""),IF(AND(C782&lt;&gt;"""",D782&lt;&gt;"""",C782=D782),""gloss=figurative"",""""),IF(LEN(D782)&lt;15,""figurative ছোট"",""""),IF(AND(I782=""Positive"",REGEXMATCH(H782,""মূর্খ|"&amp;"ভণ্ড|প্রতার|অলস|লোভ|স্বার্থ|অক্ষম|অযোগ্য|বোকা|কৃপণ|হিংস"")),""valence-target অমিল"",""""),IF(COUNTIF($B:$B,B782)&gt;1,""ডুপ্লিকেট"",""""))"),"figurative ছোট")</f>
        <v>figurative ছোট</v>
      </c>
      <c r="Q782" s="5" t="str">
        <f t="shared" si="1"/>
        <v>১ আগে দেখো</v>
      </c>
    </row>
    <row r="783">
      <c r="A783" s="4">
        <v>6179.0</v>
      </c>
      <c r="B783" s="2" t="s">
        <v>3452</v>
      </c>
      <c r="C783" s="2" t="s">
        <v>3452</v>
      </c>
      <c r="D783" s="2" t="s">
        <v>1397</v>
      </c>
      <c r="E783" s="2" t="s">
        <v>3453</v>
      </c>
      <c r="F783" s="2" t="b">
        <v>1</v>
      </c>
      <c r="G783" s="2" t="b">
        <v>0</v>
      </c>
      <c r="H783" s="2" t="s">
        <v>37</v>
      </c>
      <c r="I783" s="2" t="s">
        <v>22</v>
      </c>
      <c r="J783" s="2" t="s">
        <v>1397</v>
      </c>
      <c r="K783" s="2" t="s">
        <v>495</v>
      </c>
      <c r="L783" s="13" t="s">
        <v>496</v>
      </c>
      <c r="M783" s="2" t="s">
        <v>26</v>
      </c>
      <c r="N783" s="11" t="s">
        <v>576</v>
      </c>
      <c r="O783" s="12" t="s">
        <v>53</v>
      </c>
      <c r="P783" s="5" t="str">
        <f>IFERROR(__xludf.DUMMYFUNCTION("TEXTJOIN("" | "",TRUE,IF(OR(D783="""",E783="""",I783="""",J783="""",H783=""""),""ফাঁকা ঘর"",""""),IF(AND(C783&lt;&gt;"""",D783&lt;&gt;"""",C783=D783),""gloss=figurative"",""""),IF(LEN(D783)&lt;15,""figurative ছোট"",""""),IF(AND(I783=""Positive"",REGEXMATCH(H783,""মূর্খ|"&amp;"ভণ্ড|প্রতার|অলস|লোভ|স্বার্থ|অক্ষম|অযোগ্য|বোকা|কৃপণ|হিংস"")),""valence-target অমিল"",""""),IF(COUNTIF($B:$B,B783)&gt;1,""ডুপ্লিকেট"",""""))"),"figurative ছোট")</f>
        <v>figurative ছোট</v>
      </c>
      <c r="Q783" s="5" t="str">
        <f t="shared" si="1"/>
        <v>১ আগে দেখো</v>
      </c>
    </row>
    <row r="784">
      <c r="A784" s="4">
        <v>6181.0</v>
      </c>
      <c r="B784" s="2" t="s">
        <v>3454</v>
      </c>
      <c r="C784" s="2" t="s">
        <v>3455</v>
      </c>
      <c r="D784" s="2" t="s">
        <v>3456</v>
      </c>
      <c r="E784" s="2" t="s">
        <v>3457</v>
      </c>
      <c r="F784" s="2" t="b">
        <v>1</v>
      </c>
      <c r="G784" s="2" t="b">
        <v>0</v>
      </c>
      <c r="H784" s="2" t="s">
        <v>37</v>
      </c>
      <c r="I784" s="2" t="s">
        <v>49</v>
      </c>
      <c r="J784" s="2" t="s">
        <v>1765</v>
      </c>
      <c r="K784" s="2" t="s">
        <v>495</v>
      </c>
      <c r="L784" s="13" t="s">
        <v>496</v>
      </c>
      <c r="M784" s="2" t="s">
        <v>26</v>
      </c>
      <c r="N784" s="11" t="s">
        <v>3458</v>
      </c>
      <c r="O784" s="12" t="s">
        <v>53</v>
      </c>
      <c r="P784" s="5" t="str">
        <f>IFERROR(__xludf.DUMMYFUNCTION("TEXTJOIN("" | "",TRUE,IF(OR(D784="""",E784="""",I784="""",J784="""",H784=""""),""ফাঁকা ঘর"",""""),IF(AND(C784&lt;&gt;"""",D784&lt;&gt;"""",C784=D784),""gloss=figurative"",""""),IF(LEN(D784)&lt;15,""figurative ছোট"",""""),IF(AND(I784=""Positive"",REGEXMATCH(H784,""মূর্খ|"&amp;"ভণ্ড|প্রতার|অলস|লোভ|স্বার্থ|অক্ষম|অযোগ্য|বোকা|কৃপণ|হিংস"")),""valence-target অমিল"",""""),IF(COUNTIF($B:$B,B784)&gt;1,""ডুপ্লিকেট"",""""))"),"figurative ছোট")</f>
        <v>figurative ছোট</v>
      </c>
      <c r="Q784" s="5" t="str">
        <f t="shared" si="1"/>
        <v>১ আগে দেখো</v>
      </c>
    </row>
    <row r="785">
      <c r="A785" s="4">
        <v>6182.0</v>
      </c>
      <c r="B785" s="2" t="s">
        <v>3459</v>
      </c>
      <c r="C785" s="2" t="s">
        <v>3460</v>
      </c>
      <c r="D785" s="2" t="s">
        <v>3461</v>
      </c>
      <c r="E785" s="2" t="s">
        <v>3462</v>
      </c>
      <c r="F785" s="2" t="b">
        <v>1</v>
      </c>
      <c r="G785" s="2" t="b">
        <v>0</v>
      </c>
      <c r="H785" s="2" t="s">
        <v>37</v>
      </c>
      <c r="I785" s="2" t="s">
        <v>49</v>
      </c>
      <c r="J785" s="2" t="s">
        <v>2386</v>
      </c>
      <c r="K785" s="2" t="s">
        <v>495</v>
      </c>
      <c r="L785" s="13" t="s">
        <v>496</v>
      </c>
      <c r="M785" s="2" t="s">
        <v>26</v>
      </c>
      <c r="N785" s="11" t="s">
        <v>3463</v>
      </c>
      <c r="O785" s="12" t="s">
        <v>53</v>
      </c>
      <c r="P785" s="5" t="str">
        <f>IFERROR(__xludf.DUMMYFUNCTION("TEXTJOIN("" | "",TRUE,IF(OR(D785="""",E785="""",I785="""",J785="""",H785=""""),""ফাঁকা ঘর"",""""),IF(AND(C785&lt;&gt;"""",D785&lt;&gt;"""",C785=D785),""gloss=figurative"",""""),IF(LEN(D785)&lt;15,""figurative ছোট"",""""),IF(AND(I785=""Positive"",REGEXMATCH(H785,""মূর্খ|"&amp;"ভণ্ড|প্রতার|অলস|লোভ|স্বার্থ|অক্ষম|অযোগ্য|বোকা|কৃপণ|হিংস"")),""valence-target অমিল"",""""),IF(COUNTIF($B:$B,B785)&gt;1,""ডুপ্লিকেট"",""""))"),"figurative ছোট")</f>
        <v>figurative ছোট</v>
      </c>
      <c r="Q785" s="5" t="str">
        <f t="shared" si="1"/>
        <v>১ আগে দেখো</v>
      </c>
    </row>
    <row r="786">
      <c r="A786" s="4">
        <v>6183.0</v>
      </c>
      <c r="B786" s="2" t="s">
        <v>3464</v>
      </c>
      <c r="C786" s="2" t="s">
        <v>3465</v>
      </c>
      <c r="D786" s="2" t="s">
        <v>1980</v>
      </c>
      <c r="E786" s="2" t="s">
        <v>3466</v>
      </c>
      <c r="F786" s="2" t="b">
        <v>1</v>
      </c>
      <c r="G786" s="2" t="b">
        <v>0</v>
      </c>
      <c r="H786" s="2" t="s">
        <v>37</v>
      </c>
      <c r="I786" s="2" t="s">
        <v>22</v>
      </c>
      <c r="J786" s="2" t="s">
        <v>820</v>
      </c>
      <c r="K786" s="2" t="s">
        <v>495</v>
      </c>
      <c r="L786" s="13" t="s">
        <v>496</v>
      </c>
      <c r="M786" s="2" t="s">
        <v>26</v>
      </c>
      <c r="N786" s="11" t="s">
        <v>576</v>
      </c>
      <c r="O786" s="12" t="s">
        <v>53</v>
      </c>
      <c r="P786" s="5" t="str">
        <f>IFERROR(__xludf.DUMMYFUNCTION("TEXTJOIN("" | "",TRUE,IF(OR(D786="""",E786="""",I786="""",J786="""",H786=""""),""ফাঁকা ঘর"",""""),IF(AND(C786&lt;&gt;"""",D786&lt;&gt;"""",C786=D786),""gloss=figurative"",""""),IF(LEN(D786)&lt;15,""figurative ছোট"",""""),IF(AND(I786=""Positive"",REGEXMATCH(H786,""মূর্খ|"&amp;"ভণ্ড|প্রতার|অলস|লোভ|স্বার্থ|অক্ষম|অযোগ্য|বোকা|কৃপণ|হিংস"")),""valence-target অমিল"",""""),IF(COUNTIF($B:$B,B786)&gt;1,""ডুপ্লিকেট"",""""))"),"figurative ছোট")</f>
        <v>figurative ছোট</v>
      </c>
      <c r="Q786" s="5" t="str">
        <f t="shared" si="1"/>
        <v>১ আগে দেখো</v>
      </c>
    </row>
    <row r="787">
      <c r="A787" s="4">
        <v>6184.0</v>
      </c>
      <c r="B787" s="2" t="s">
        <v>3467</v>
      </c>
      <c r="C787" s="2" t="s">
        <v>3468</v>
      </c>
      <c r="D787" s="2" t="s">
        <v>3469</v>
      </c>
      <c r="E787" s="2" t="s">
        <v>3470</v>
      </c>
      <c r="F787" s="2" t="b">
        <v>1</v>
      </c>
      <c r="G787" s="2" t="b">
        <v>0</v>
      </c>
      <c r="H787" s="2" t="s">
        <v>37</v>
      </c>
      <c r="I787" s="2" t="s">
        <v>22</v>
      </c>
      <c r="J787" s="2" t="s">
        <v>43</v>
      </c>
      <c r="K787" s="2" t="s">
        <v>495</v>
      </c>
      <c r="L787" s="13" t="s">
        <v>496</v>
      </c>
      <c r="M787" s="2" t="s">
        <v>26</v>
      </c>
      <c r="N787" s="11" t="s">
        <v>576</v>
      </c>
      <c r="O787" s="12" t="s">
        <v>53</v>
      </c>
      <c r="P787" s="5" t="str">
        <f>IFERROR(__xludf.DUMMYFUNCTION("TEXTJOIN("" | "",TRUE,IF(OR(D787="""",E787="""",I787="""",J787="""",H787=""""),""ফাঁকা ঘর"",""""),IF(AND(C787&lt;&gt;"""",D787&lt;&gt;"""",C787=D787),""gloss=figurative"",""""),IF(LEN(D787)&lt;15,""figurative ছোট"",""""),IF(AND(I787=""Positive"",REGEXMATCH(H787,""মূর্খ|"&amp;"ভণ্ড|প্রতার|অলস|লোভ|স্বার্থ|অক্ষম|অযোগ্য|বোকা|কৃপণ|হিংস"")),""valence-target অমিল"",""""),IF(COUNTIF($B:$B,B787)&gt;1,""ডুপ্লিকেট"",""""))"),"figurative ছোট")</f>
        <v>figurative ছোট</v>
      </c>
      <c r="Q787" s="5" t="str">
        <f t="shared" si="1"/>
        <v>১ আগে দেখো</v>
      </c>
    </row>
    <row r="788">
      <c r="A788" s="4">
        <v>6185.0</v>
      </c>
      <c r="B788" s="2" t="s">
        <v>3471</v>
      </c>
      <c r="C788" s="2" t="s">
        <v>3472</v>
      </c>
      <c r="D788" s="2" t="s">
        <v>3473</v>
      </c>
      <c r="E788" s="2" t="s">
        <v>3474</v>
      </c>
      <c r="F788" s="2" t="b">
        <v>1</v>
      </c>
      <c r="G788" s="2" t="b">
        <v>0</v>
      </c>
      <c r="H788" s="2" t="s">
        <v>37</v>
      </c>
      <c r="I788" s="2" t="s">
        <v>32</v>
      </c>
      <c r="J788" s="2" t="s">
        <v>3475</v>
      </c>
      <c r="K788" s="2" t="s">
        <v>495</v>
      </c>
      <c r="L788" s="13" t="s">
        <v>496</v>
      </c>
      <c r="M788" s="2" t="s">
        <v>26</v>
      </c>
      <c r="N788" s="11" t="s">
        <v>576</v>
      </c>
      <c r="O788" s="12" t="s">
        <v>53</v>
      </c>
      <c r="P788" s="5" t="str">
        <f>IFERROR(__xludf.DUMMYFUNCTION("TEXTJOIN("" | "",TRUE,IF(OR(D788="""",E788="""",I788="""",J788="""",H788=""""),""ফাঁকা ঘর"",""""),IF(AND(C788&lt;&gt;"""",D788&lt;&gt;"""",C788=D788),""gloss=figurative"",""""),IF(LEN(D788)&lt;15,""figurative ছোট"",""""),IF(AND(I788=""Positive"",REGEXMATCH(H788,""মূর্খ|"&amp;"ভণ্ড|প্রতার|অলস|লোভ|স্বার্থ|অক্ষম|অযোগ্য|বোকা|কৃপণ|হিংস"")),""valence-target অমিল"",""""),IF(COUNTIF($B:$B,B788)&gt;1,""ডুপ্লিকেট"",""""))"),"figurative ছোট")</f>
        <v>figurative ছোট</v>
      </c>
      <c r="Q788" s="5" t="str">
        <f t="shared" si="1"/>
        <v>১ আগে দেখো</v>
      </c>
    </row>
    <row r="789">
      <c r="A789" s="4">
        <v>6186.0</v>
      </c>
      <c r="B789" s="2" t="s">
        <v>3476</v>
      </c>
      <c r="C789" s="2" t="s">
        <v>3477</v>
      </c>
      <c r="D789" s="2" t="s">
        <v>3478</v>
      </c>
      <c r="E789" s="2" t="s">
        <v>3479</v>
      </c>
      <c r="F789" s="2" t="b">
        <v>1</v>
      </c>
      <c r="G789" s="2" t="b">
        <v>0</v>
      </c>
      <c r="H789" s="2" t="s">
        <v>37</v>
      </c>
      <c r="I789" s="2" t="s">
        <v>22</v>
      </c>
      <c r="J789" s="2" t="s">
        <v>3480</v>
      </c>
      <c r="K789" s="2" t="s">
        <v>495</v>
      </c>
      <c r="L789" s="13" t="s">
        <v>496</v>
      </c>
      <c r="M789" s="2" t="s">
        <v>26</v>
      </c>
      <c r="N789" s="11" t="s">
        <v>576</v>
      </c>
      <c r="O789" s="12" t="s">
        <v>53</v>
      </c>
      <c r="P789" s="5" t="str">
        <f>IFERROR(__xludf.DUMMYFUNCTION("TEXTJOIN("" | "",TRUE,IF(OR(D789="""",E789="""",I789="""",J789="""",H789=""""),""ফাঁকা ঘর"",""""),IF(AND(C789&lt;&gt;"""",D789&lt;&gt;"""",C789=D789),""gloss=figurative"",""""),IF(LEN(D789)&lt;15,""figurative ছোট"",""""),IF(AND(I789=""Positive"",REGEXMATCH(H789,""মূর্খ|"&amp;"ভণ্ড|প্রতার|অলস|লোভ|স্বার্থ|অক্ষম|অযোগ্য|বোকা|কৃপণ|হিংস"")),""valence-target অমিল"",""""),IF(COUNTIF($B:$B,B789)&gt;1,""ডুপ্লিকেট"",""""))"),"figurative ছোট")</f>
        <v>figurative ছোট</v>
      </c>
      <c r="Q789" s="5" t="str">
        <f t="shared" si="1"/>
        <v>১ আগে দেখো</v>
      </c>
    </row>
    <row r="790">
      <c r="A790" s="4">
        <v>6188.0</v>
      </c>
      <c r="B790" s="2" t="s">
        <v>3481</v>
      </c>
      <c r="C790" s="2" t="s">
        <v>3482</v>
      </c>
      <c r="D790" s="2" t="s">
        <v>842</v>
      </c>
      <c r="E790" s="2" t="s">
        <v>3483</v>
      </c>
      <c r="F790" s="2" t="b">
        <v>1</v>
      </c>
      <c r="G790" s="2" t="b">
        <v>0</v>
      </c>
      <c r="H790" s="2" t="s">
        <v>37</v>
      </c>
      <c r="I790" s="2" t="s">
        <v>22</v>
      </c>
      <c r="J790" s="2" t="s">
        <v>842</v>
      </c>
      <c r="K790" s="2" t="s">
        <v>495</v>
      </c>
      <c r="L790" s="13" t="s">
        <v>496</v>
      </c>
      <c r="M790" s="2" t="s">
        <v>26</v>
      </c>
      <c r="N790" s="11" t="s">
        <v>576</v>
      </c>
      <c r="O790" s="12" t="s">
        <v>53</v>
      </c>
      <c r="P790" s="5" t="str">
        <f>IFERROR(__xludf.DUMMYFUNCTION("TEXTJOIN("" | "",TRUE,IF(OR(D790="""",E790="""",I790="""",J790="""",H790=""""),""ফাঁকা ঘর"",""""),IF(AND(C790&lt;&gt;"""",D790&lt;&gt;"""",C790=D790),""gloss=figurative"",""""),IF(LEN(D790)&lt;15,""figurative ছোট"",""""),IF(AND(I790=""Positive"",REGEXMATCH(H790,""মূর্খ|"&amp;"ভণ্ড|প্রতার|অলস|লোভ|স্বার্থ|অক্ষম|অযোগ্য|বোকা|কৃপণ|হিংস"")),""valence-target অমিল"",""""),IF(COUNTIF($B:$B,B790)&gt;1,""ডুপ্লিকেট"",""""))"),"figurative ছোট")</f>
        <v>figurative ছোট</v>
      </c>
      <c r="Q790" s="5" t="str">
        <f t="shared" si="1"/>
        <v>১ আগে দেখো</v>
      </c>
    </row>
    <row r="791">
      <c r="A791" s="4">
        <v>6189.0</v>
      </c>
      <c r="B791" s="2" t="s">
        <v>3484</v>
      </c>
      <c r="C791" s="2" t="s">
        <v>3484</v>
      </c>
      <c r="D791" s="2" t="s">
        <v>3098</v>
      </c>
      <c r="E791" s="2" t="s">
        <v>3485</v>
      </c>
      <c r="F791" s="2" t="b">
        <v>1</v>
      </c>
      <c r="G791" s="2" t="b">
        <v>0</v>
      </c>
      <c r="H791" s="2" t="s">
        <v>1484</v>
      </c>
      <c r="I791" s="2" t="s">
        <v>22</v>
      </c>
      <c r="J791" s="2" t="s">
        <v>1740</v>
      </c>
      <c r="K791" s="2" t="s">
        <v>495</v>
      </c>
      <c r="L791" s="13" t="s">
        <v>496</v>
      </c>
      <c r="M791" s="2" t="s">
        <v>26</v>
      </c>
      <c r="N791" s="11" t="s">
        <v>576</v>
      </c>
      <c r="O791" s="12" t="s">
        <v>53</v>
      </c>
      <c r="P791" s="5" t="str">
        <f>IFERROR(__xludf.DUMMYFUNCTION("TEXTJOIN("" | "",TRUE,IF(OR(D791="""",E791="""",I791="""",J791="""",H791=""""),""ফাঁকা ঘর"",""""),IF(AND(C791&lt;&gt;"""",D791&lt;&gt;"""",C791=D791),""gloss=figurative"",""""),IF(LEN(D791)&lt;15,""figurative ছোট"",""""),IF(AND(I791=""Positive"",REGEXMATCH(H791,""মূর্খ|"&amp;"ভণ্ড|প্রতার|অলস|লোভ|স্বার্থ|অক্ষম|অযোগ্য|বোকা|কৃপণ|হিংস"")),""valence-target অমিল"",""""),IF(COUNTIF($B:$B,B791)&gt;1,""ডুপ্লিকেট"",""""))"),"figurative ছোট")</f>
        <v>figurative ছোট</v>
      </c>
      <c r="Q791" s="5" t="str">
        <f t="shared" si="1"/>
        <v>১ আগে দেখো</v>
      </c>
    </row>
    <row r="792">
      <c r="A792" s="4">
        <v>6190.0</v>
      </c>
      <c r="B792" s="2" t="s">
        <v>3486</v>
      </c>
      <c r="C792" s="2" t="s">
        <v>3486</v>
      </c>
      <c r="D792" s="2" t="s">
        <v>3487</v>
      </c>
      <c r="E792" s="2" t="s">
        <v>3488</v>
      </c>
      <c r="F792" s="2" t="b">
        <v>1</v>
      </c>
      <c r="G792" s="2" t="b">
        <v>0</v>
      </c>
      <c r="H792" s="2" t="s">
        <v>37</v>
      </c>
      <c r="I792" s="2" t="s">
        <v>22</v>
      </c>
      <c r="J792" s="2" t="s">
        <v>3489</v>
      </c>
      <c r="K792" s="2" t="s">
        <v>495</v>
      </c>
      <c r="L792" s="13" t="s">
        <v>496</v>
      </c>
      <c r="M792" s="2" t="s">
        <v>26</v>
      </c>
      <c r="N792" s="11" t="s">
        <v>576</v>
      </c>
      <c r="O792" s="12" t="s">
        <v>53</v>
      </c>
      <c r="P792" s="5" t="str">
        <f>IFERROR(__xludf.DUMMYFUNCTION("TEXTJOIN("" | "",TRUE,IF(OR(D792="""",E792="""",I792="""",J792="""",H792=""""),""ফাঁকা ঘর"",""""),IF(AND(C792&lt;&gt;"""",D792&lt;&gt;"""",C792=D792),""gloss=figurative"",""""),IF(LEN(D792)&lt;15,""figurative ছোট"",""""),IF(AND(I792=""Positive"",REGEXMATCH(H792,""মূর্খ|"&amp;"ভণ্ড|প্রতার|অলস|লোভ|স্বার্থ|অক্ষম|অযোগ্য|বোকা|কৃপণ|হিংস"")),""valence-target অমিল"",""""),IF(COUNTIF($B:$B,B792)&gt;1,""ডুপ্লিকেট"",""""))"),"figurative ছোট")</f>
        <v>figurative ছোট</v>
      </c>
      <c r="Q792" s="5" t="str">
        <f t="shared" si="1"/>
        <v>১ আগে দেখো</v>
      </c>
    </row>
    <row r="793">
      <c r="A793" s="4">
        <v>6191.0</v>
      </c>
      <c r="B793" s="2" t="s">
        <v>3490</v>
      </c>
      <c r="C793" s="2" t="s">
        <v>3491</v>
      </c>
      <c r="D793" s="2" t="s">
        <v>3492</v>
      </c>
      <c r="E793" s="2" t="s">
        <v>3493</v>
      </c>
      <c r="F793" s="2" t="b">
        <v>1</v>
      </c>
      <c r="G793" s="2" t="b">
        <v>0</v>
      </c>
      <c r="H793" s="2" t="s">
        <v>2243</v>
      </c>
      <c r="I793" s="2" t="s">
        <v>22</v>
      </c>
      <c r="J793" s="2" t="s">
        <v>2857</v>
      </c>
      <c r="K793" s="2" t="s">
        <v>495</v>
      </c>
      <c r="L793" s="13" t="s">
        <v>496</v>
      </c>
      <c r="M793" s="2" t="s">
        <v>26</v>
      </c>
      <c r="N793" s="11" t="s">
        <v>576</v>
      </c>
      <c r="O793" s="12" t="s">
        <v>53</v>
      </c>
      <c r="P793" s="5" t="str">
        <f>IFERROR(__xludf.DUMMYFUNCTION("TEXTJOIN("" | "",TRUE,IF(OR(D793="""",E793="""",I793="""",J793="""",H793=""""),""ফাঁকা ঘর"",""""),IF(AND(C793&lt;&gt;"""",D793&lt;&gt;"""",C793=D793),""gloss=figurative"",""""),IF(LEN(D793)&lt;15,""figurative ছোট"",""""),IF(AND(I793=""Positive"",REGEXMATCH(H793,""মূর্খ|"&amp;"ভণ্ড|প্রতার|অলস|লোভ|স্বার্থ|অক্ষম|অযোগ্য|বোকা|কৃপণ|হিংস"")),""valence-target অমিল"",""""),IF(COUNTIF($B:$B,B793)&gt;1,""ডুপ্লিকেট"",""""))"),"figurative ছোট")</f>
        <v>figurative ছোট</v>
      </c>
      <c r="Q793" s="5" t="str">
        <f t="shared" si="1"/>
        <v>১ আগে দেখো</v>
      </c>
    </row>
    <row r="794">
      <c r="A794" s="4">
        <v>6193.0</v>
      </c>
      <c r="B794" s="2" t="s">
        <v>3494</v>
      </c>
      <c r="C794" s="2" t="s">
        <v>3495</v>
      </c>
      <c r="D794" s="2" t="s">
        <v>3245</v>
      </c>
      <c r="E794" s="2" t="s">
        <v>3496</v>
      </c>
      <c r="F794" s="2" t="b">
        <v>1</v>
      </c>
      <c r="G794" s="2" t="b">
        <v>0</v>
      </c>
      <c r="H794" s="2" t="s">
        <v>37</v>
      </c>
      <c r="I794" s="2" t="s">
        <v>49</v>
      </c>
      <c r="J794" s="2" t="s">
        <v>3245</v>
      </c>
      <c r="K794" s="2" t="s">
        <v>495</v>
      </c>
      <c r="L794" s="13" t="s">
        <v>496</v>
      </c>
      <c r="M794" s="2" t="s">
        <v>26</v>
      </c>
      <c r="N794" s="11" t="s">
        <v>576</v>
      </c>
      <c r="O794" s="12" t="s">
        <v>53</v>
      </c>
      <c r="P794" s="5" t="str">
        <f>IFERROR(__xludf.DUMMYFUNCTION("TEXTJOIN("" | "",TRUE,IF(OR(D794="""",E794="""",I794="""",J794="""",H794=""""),""ফাঁকা ঘর"",""""),IF(AND(C794&lt;&gt;"""",D794&lt;&gt;"""",C794=D794),""gloss=figurative"",""""),IF(LEN(D794)&lt;15,""figurative ছোট"",""""),IF(AND(I794=""Positive"",REGEXMATCH(H794,""মূর্খ|"&amp;"ভণ্ড|প্রতার|অলস|লোভ|স্বার্থ|অক্ষম|অযোগ্য|বোকা|কৃপণ|হিংস"")),""valence-target অমিল"",""""),IF(COUNTIF($B:$B,B794)&gt;1,""ডুপ্লিকেট"",""""))"),"figurative ছোট")</f>
        <v>figurative ছোট</v>
      </c>
      <c r="Q794" s="5" t="str">
        <f t="shared" si="1"/>
        <v>১ আগে দেখো</v>
      </c>
    </row>
    <row r="795">
      <c r="A795" s="4">
        <v>6194.0</v>
      </c>
      <c r="B795" s="2" t="s">
        <v>3497</v>
      </c>
      <c r="C795" s="2" t="s">
        <v>3498</v>
      </c>
      <c r="D795" s="2" t="s">
        <v>3499</v>
      </c>
      <c r="E795" s="2" t="s">
        <v>3500</v>
      </c>
      <c r="F795" s="2" t="b">
        <v>1</v>
      </c>
      <c r="G795" s="2" t="b">
        <v>0</v>
      </c>
      <c r="H795" s="2" t="s">
        <v>37</v>
      </c>
      <c r="I795" s="2" t="s">
        <v>22</v>
      </c>
      <c r="J795" s="2" t="s">
        <v>3501</v>
      </c>
      <c r="K795" s="2" t="s">
        <v>495</v>
      </c>
      <c r="L795" s="13" t="s">
        <v>496</v>
      </c>
      <c r="M795" s="2" t="s">
        <v>26</v>
      </c>
      <c r="N795" s="11" t="s">
        <v>576</v>
      </c>
      <c r="O795" s="12" t="s">
        <v>53</v>
      </c>
      <c r="P795" s="5" t="str">
        <f>IFERROR(__xludf.DUMMYFUNCTION("TEXTJOIN("" | "",TRUE,IF(OR(D795="""",E795="""",I795="""",J795="""",H795=""""),""ফাঁকা ঘর"",""""),IF(AND(C795&lt;&gt;"""",D795&lt;&gt;"""",C795=D795),""gloss=figurative"",""""),IF(LEN(D795)&lt;15,""figurative ছোট"",""""),IF(AND(I795=""Positive"",REGEXMATCH(H795,""মূর্খ|"&amp;"ভণ্ড|প্রতার|অলস|লোভ|স্বার্থ|অক্ষম|অযোগ্য|বোকা|কৃপণ|হিংস"")),""valence-target অমিল"",""""),IF(COUNTIF($B:$B,B795)&gt;1,""ডুপ্লিকেট"",""""))"),"figurative ছোট")</f>
        <v>figurative ছোট</v>
      </c>
      <c r="Q795" s="5" t="str">
        <f t="shared" si="1"/>
        <v>১ আগে দেখো</v>
      </c>
    </row>
    <row r="796">
      <c r="A796" s="4">
        <v>6197.0</v>
      </c>
      <c r="B796" s="2" t="s">
        <v>3502</v>
      </c>
      <c r="C796" s="2" t="s">
        <v>3503</v>
      </c>
      <c r="D796" s="2" t="s">
        <v>3504</v>
      </c>
      <c r="E796" s="2" t="s">
        <v>3505</v>
      </c>
      <c r="F796" s="2" t="b">
        <v>1</v>
      </c>
      <c r="G796" s="2" t="b">
        <v>0</v>
      </c>
      <c r="H796" s="2" t="s">
        <v>37</v>
      </c>
      <c r="I796" s="2" t="s">
        <v>32</v>
      </c>
      <c r="J796" s="2" t="s">
        <v>3506</v>
      </c>
      <c r="K796" s="2" t="s">
        <v>495</v>
      </c>
      <c r="L796" s="13" t="s">
        <v>496</v>
      </c>
      <c r="M796" s="2" t="s">
        <v>26</v>
      </c>
      <c r="N796" s="11" t="s">
        <v>576</v>
      </c>
      <c r="O796" s="12" t="s">
        <v>53</v>
      </c>
      <c r="P796" s="5" t="str">
        <f>IFERROR(__xludf.DUMMYFUNCTION("TEXTJOIN("" | "",TRUE,IF(OR(D796="""",E796="""",I796="""",J796="""",H796=""""),""ফাঁকা ঘর"",""""),IF(AND(C796&lt;&gt;"""",D796&lt;&gt;"""",C796=D796),""gloss=figurative"",""""),IF(LEN(D796)&lt;15,""figurative ছোট"",""""),IF(AND(I796=""Positive"",REGEXMATCH(H796,""মূর্খ|"&amp;"ভণ্ড|প্রতার|অলস|লোভ|স্বার্থ|অক্ষম|অযোগ্য|বোকা|কৃপণ|হিংস"")),""valence-target অমিল"",""""),IF(COUNTIF($B:$B,B796)&gt;1,""ডুপ্লিকেট"",""""))"),"figurative ছোট")</f>
        <v>figurative ছোট</v>
      </c>
      <c r="Q796" s="5" t="str">
        <f t="shared" si="1"/>
        <v>১ আগে দেখো</v>
      </c>
    </row>
    <row r="797">
      <c r="A797" s="4">
        <v>6201.0</v>
      </c>
      <c r="B797" s="2" t="s">
        <v>3507</v>
      </c>
      <c r="C797" s="2" t="s">
        <v>3507</v>
      </c>
      <c r="D797" s="2" t="s">
        <v>1445</v>
      </c>
      <c r="E797" s="2" t="s">
        <v>3508</v>
      </c>
      <c r="F797" s="2" t="b">
        <v>1</v>
      </c>
      <c r="G797" s="2" t="b">
        <v>0</v>
      </c>
      <c r="H797" s="2" t="s">
        <v>37</v>
      </c>
      <c r="I797" s="2" t="s">
        <v>22</v>
      </c>
      <c r="J797" s="2" t="s">
        <v>1002</v>
      </c>
      <c r="K797" s="2" t="s">
        <v>495</v>
      </c>
      <c r="L797" s="13" t="s">
        <v>496</v>
      </c>
      <c r="M797" s="2" t="s">
        <v>26</v>
      </c>
      <c r="N797" s="11" t="s">
        <v>576</v>
      </c>
      <c r="O797" s="12" t="s">
        <v>53</v>
      </c>
      <c r="P797" s="5" t="str">
        <f>IFERROR(__xludf.DUMMYFUNCTION("TEXTJOIN("" | "",TRUE,IF(OR(D797="""",E797="""",I797="""",J797="""",H797=""""),""ফাঁকা ঘর"",""""),IF(AND(C797&lt;&gt;"""",D797&lt;&gt;"""",C797=D797),""gloss=figurative"",""""),IF(LEN(D797)&lt;15,""figurative ছোট"",""""),IF(AND(I797=""Positive"",REGEXMATCH(H797,""মূর্খ|"&amp;"ভণ্ড|প্রতার|অলস|লোভ|স্বার্থ|অক্ষম|অযোগ্য|বোকা|কৃপণ|হিংস"")),""valence-target অমিল"",""""),IF(COUNTIF($B:$B,B797)&gt;1,""ডুপ্লিকেট"",""""))"),"figurative ছোট")</f>
        <v>figurative ছোট</v>
      </c>
      <c r="Q797" s="5" t="str">
        <f t="shared" si="1"/>
        <v>১ আগে দেখো</v>
      </c>
    </row>
    <row r="798">
      <c r="A798" s="4">
        <v>6203.0</v>
      </c>
      <c r="B798" s="2" t="s">
        <v>3509</v>
      </c>
      <c r="C798" s="2" t="s">
        <v>3510</v>
      </c>
      <c r="D798" s="2" t="s">
        <v>3511</v>
      </c>
      <c r="E798" s="2" t="s">
        <v>3512</v>
      </c>
      <c r="F798" s="2" t="b">
        <v>1</v>
      </c>
      <c r="G798" s="2" t="b">
        <v>0</v>
      </c>
      <c r="H798" s="2" t="s">
        <v>37</v>
      </c>
      <c r="I798" s="2" t="s">
        <v>22</v>
      </c>
      <c r="J798" s="2" t="s">
        <v>3513</v>
      </c>
      <c r="K798" s="2" t="s">
        <v>495</v>
      </c>
      <c r="L798" s="13" t="s">
        <v>496</v>
      </c>
      <c r="M798" s="2" t="s">
        <v>26</v>
      </c>
      <c r="N798" s="11" t="s">
        <v>576</v>
      </c>
      <c r="O798" s="12" t="s">
        <v>53</v>
      </c>
      <c r="P798" s="5" t="str">
        <f>IFERROR(__xludf.DUMMYFUNCTION("TEXTJOIN("" | "",TRUE,IF(OR(D798="""",E798="""",I798="""",J798="""",H798=""""),""ফাঁকা ঘর"",""""),IF(AND(C798&lt;&gt;"""",D798&lt;&gt;"""",C798=D798),""gloss=figurative"",""""),IF(LEN(D798)&lt;15,""figurative ছোট"",""""),IF(AND(I798=""Positive"",REGEXMATCH(H798,""মূর্খ|"&amp;"ভণ্ড|প্রতার|অলস|লোভ|স্বার্থ|অক্ষম|অযোগ্য|বোকা|কৃপণ|হিংস"")),""valence-target অমিল"",""""),IF(COUNTIF($B:$B,B798)&gt;1,""ডুপ্লিকেট"",""""))"),"figurative ছোট")</f>
        <v>figurative ছোট</v>
      </c>
      <c r="Q798" s="5" t="str">
        <f t="shared" si="1"/>
        <v>১ আগে দেখো</v>
      </c>
    </row>
    <row r="799">
      <c r="A799" s="4">
        <v>6205.0</v>
      </c>
      <c r="B799" s="2" t="s">
        <v>3514</v>
      </c>
      <c r="C799" s="2" t="s">
        <v>3515</v>
      </c>
      <c r="D799" s="2" t="s">
        <v>3516</v>
      </c>
      <c r="E799" s="2" t="s">
        <v>3517</v>
      </c>
      <c r="F799" s="2" t="b">
        <v>1</v>
      </c>
      <c r="G799" s="2" t="b">
        <v>0</v>
      </c>
      <c r="H799" s="2" t="s">
        <v>37</v>
      </c>
      <c r="I799" s="2" t="s">
        <v>49</v>
      </c>
      <c r="J799" s="2" t="s">
        <v>2206</v>
      </c>
      <c r="K799" s="2" t="s">
        <v>495</v>
      </c>
      <c r="L799" s="13" t="s">
        <v>496</v>
      </c>
      <c r="M799" s="2" t="s">
        <v>26</v>
      </c>
      <c r="N799" s="11" t="s">
        <v>576</v>
      </c>
      <c r="O799" s="12" t="s">
        <v>53</v>
      </c>
      <c r="P799" s="5" t="str">
        <f>IFERROR(__xludf.DUMMYFUNCTION("TEXTJOIN("" | "",TRUE,IF(OR(D799="""",E799="""",I799="""",J799="""",H799=""""),""ফাঁকা ঘর"",""""),IF(AND(C799&lt;&gt;"""",D799&lt;&gt;"""",C799=D799),""gloss=figurative"",""""),IF(LEN(D799)&lt;15,""figurative ছোট"",""""),IF(AND(I799=""Positive"",REGEXMATCH(H799,""মূর্খ|"&amp;"ভণ্ড|প্রতার|অলস|লোভ|স্বার্থ|অক্ষম|অযোগ্য|বোকা|কৃপণ|হিংস"")),""valence-target অমিল"",""""),IF(COUNTIF($B:$B,B799)&gt;1,""ডুপ্লিকেট"",""""))"),"figurative ছোট")</f>
        <v>figurative ছোট</v>
      </c>
      <c r="Q799" s="5" t="str">
        <f t="shared" si="1"/>
        <v>১ আগে দেখো</v>
      </c>
    </row>
    <row r="800">
      <c r="A800" s="4">
        <v>6206.0</v>
      </c>
      <c r="B800" s="2" t="s">
        <v>3518</v>
      </c>
      <c r="C800" s="2" t="s">
        <v>3518</v>
      </c>
      <c r="D800" s="2" t="s">
        <v>3519</v>
      </c>
      <c r="E800" s="2" t="s">
        <v>3520</v>
      </c>
      <c r="F800" s="2" t="b">
        <v>1</v>
      </c>
      <c r="G800" s="2" t="b">
        <v>0</v>
      </c>
      <c r="H800" s="2" t="s">
        <v>37</v>
      </c>
      <c r="I800" s="2" t="s">
        <v>49</v>
      </c>
      <c r="J800" s="2" t="s">
        <v>1553</v>
      </c>
      <c r="K800" s="2" t="s">
        <v>495</v>
      </c>
      <c r="L800" s="13" t="s">
        <v>496</v>
      </c>
      <c r="M800" s="2" t="s">
        <v>26</v>
      </c>
      <c r="N800" s="11" t="s">
        <v>576</v>
      </c>
      <c r="O800" s="12" t="s">
        <v>53</v>
      </c>
      <c r="P800" s="5" t="str">
        <f>IFERROR(__xludf.DUMMYFUNCTION("TEXTJOIN("" | "",TRUE,IF(OR(D800="""",E800="""",I800="""",J800="""",H800=""""),""ফাঁকা ঘর"",""""),IF(AND(C800&lt;&gt;"""",D800&lt;&gt;"""",C800=D800),""gloss=figurative"",""""),IF(LEN(D800)&lt;15,""figurative ছোট"",""""),IF(AND(I800=""Positive"",REGEXMATCH(H800,""মূর্খ|"&amp;"ভণ্ড|প্রতার|অলস|লোভ|স্বার্থ|অক্ষম|অযোগ্য|বোকা|কৃপণ|হিংস"")),""valence-target অমিল"",""""),IF(COUNTIF($B:$B,B800)&gt;1,""ডুপ্লিকেট"",""""))"),"figurative ছোট")</f>
        <v>figurative ছোট</v>
      </c>
      <c r="Q800" s="5" t="str">
        <f t="shared" si="1"/>
        <v>১ আগে দেখো</v>
      </c>
    </row>
    <row r="801">
      <c r="A801" s="4">
        <v>6208.0</v>
      </c>
      <c r="B801" s="2" t="s">
        <v>3521</v>
      </c>
      <c r="C801" s="2" t="s">
        <v>3522</v>
      </c>
      <c r="D801" s="2" t="s">
        <v>3523</v>
      </c>
      <c r="E801" s="2" t="s">
        <v>3524</v>
      </c>
      <c r="F801" s="2" t="b">
        <v>1</v>
      </c>
      <c r="G801" s="2" t="b">
        <v>0</v>
      </c>
      <c r="H801" s="2" t="s">
        <v>37</v>
      </c>
      <c r="I801" s="2" t="s">
        <v>22</v>
      </c>
      <c r="J801" s="2" t="s">
        <v>848</v>
      </c>
      <c r="K801" s="2" t="s">
        <v>495</v>
      </c>
      <c r="L801" s="13" t="s">
        <v>496</v>
      </c>
      <c r="M801" s="2" t="s">
        <v>26</v>
      </c>
      <c r="N801" s="11" t="s">
        <v>576</v>
      </c>
      <c r="O801" s="12" t="s">
        <v>53</v>
      </c>
      <c r="P801" s="5" t="str">
        <f>IFERROR(__xludf.DUMMYFUNCTION("TEXTJOIN("" | "",TRUE,IF(OR(D801="""",E801="""",I801="""",J801="""",H801=""""),""ফাঁকা ঘর"",""""),IF(AND(C801&lt;&gt;"""",D801&lt;&gt;"""",C801=D801),""gloss=figurative"",""""),IF(LEN(D801)&lt;15,""figurative ছোট"",""""),IF(AND(I801=""Positive"",REGEXMATCH(H801,""মূর্খ|"&amp;"ভণ্ড|প্রতার|অলস|লোভ|স্বার্থ|অক্ষম|অযোগ্য|বোকা|কৃপণ|হিংস"")),""valence-target অমিল"",""""),IF(COUNTIF($B:$B,B801)&gt;1,""ডুপ্লিকেট"",""""))"),"figurative ছোট")</f>
        <v>figurative ছোট</v>
      </c>
      <c r="Q801" s="5" t="str">
        <f t="shared" si="1"/>
        <v>১ আগে দেখো</v>
      </c>
    </row>
    <row r="802">
      <c r="A802" s="4">
        <v>6209.0</v>
      </c>
      <c r="B802" s="2" t="s">
        <v>3525</v>
      </c>
      <c r="C802" s="2" t="s">
        <v>3525</v>
      </c>
      <c r="D802" s="2" t="s">
        <v>3148</v>
      </c>
      <c r="E802" s="2" t="s">
        <v>3526</v>
      </c>
      <c r="F802" s="2" t="b">
        <v>1</v>
      </c>
      <c r="G802" s="2" t="b">
        <v>0</v>
      </c>
      <c r="H802" s="2" t="s">
        <v>37</v>
      </c>
      <c r="I802" s="2" t="s">
        <v>49</v>
      </c>
      <c r="J802" s="2" t="s">
        <v>3150</v>
      </c>
      <c r="K802" s="2" t="s">
        <v>495</v>
      </c>
      <c r="L802" s="13" t="s">
        <v>496</v>
      </c>
      <c r="M802" s="2" t="s">
        <v>26</v>
      </c>
      <c r="N802" s="11" t="s">
        <v>576</v>
      </c>
      <c r="O802" s="12" t="s">
        <v>53</v>
      </c>
      <c r="P802" s="5" t="str">
        <f>IFERROR(__xludf.DUMMYFUNCTION("TEXTJOIN("" | "",TRUE,IF(OR(D802="""",E802="""",I802="""",J802="""",H802=""""),""ফাঁকা ঘর"",""""),IF(AND(C802&lt;&gt;"""",D802&lt;&gt;"""",C802=D802),""gloss=figurative"",""""),IF(LEN(D802)&lt;15,""figurative ছোট"",""""),IF(AND(I802=""Positive"",REGEXMATCH(H802,""মূর্খ|"&amp;"ভণ্ড|প্রতার|অলস|লোভ|স্বার্থ|অক্ষম|অযোগ্য|বোকা|কৃপণ|হিংস"")),""valence-target অমিল"",""""),IF(COUNTIF($B:$B,B802)&gt;1,""ডুপ্লিকেট"",""""))"),"figurative ছোট")</f>
        <v>figurative ছোট</v>
      </c>
      <c r="Q802" s="5" t="str">
        <f t="shared" si="1"/>
        <v>১ আগে দেখো</v>
      </c>
    </row>
    <row r="803">
      <c r="A803" s="4">
        <v>6210.0</v>
      </c>
      <c r="B803" s="2" t="s">
        <v>3527</v>
      </c>
      <c r="C803" s="2" t="s">
        <v>3527</v>
      </c>
      <c r="D803" s="2" t="s">
        <v>3528</v>
      </c>
      <c r="E803" s="2" t="s">
        <v>3529</v>
      </c>
      <c r="F803" s="2" t="b">
        <v>1</v>
      </c>
      <c r="G803" s="2" t="b">
        <v>0</v>
      </c>
      <c r="H803" s="2" t="s">
        <v>1284</v>
      </c>
      <c r="I803" s="2" t="s">
        <v>22</v>
      </c>
      <c r="J803" s="2" t="s">
        <v>1471</v>
      </c>
      <c r="K803" s="2" t="s">
        <v>495</v>
      </c>
      <c r="L803" s="13" t="s">
        <v>496</v>
      </c>
      <c r="M803" s="2" t="s">
        <v>26</v>
      </c>
      <c r="N803" s="11" t="s">
        <v>576</v>
      </c>
      <c r="O803" s="12" t="s">
        <v>53</v>
      </c>
      <c r="P803" s="5" t="str">
        <f>IFERROR(__xludf.DUMMYFUNCTION("TEXTJOIN("" | "",TRUE,IF(OR(D803="""",E803="""",I803="""",J803="""",H803=""""),""ফাঁকা ঘর"",""""),IF(AND(C803&lt;&gt;"""",D803&lt;&gt;"""",C803=D803),""gloss=figurative"",""""),IF(LEN(D803)&lt;15,""figurative ছোট"",""""),IF(AND(I803=""Positive"",REGEXMATCH(H803,""মূর্খ|"&amp;"ভণ্ড|প্রতার|অলস|লোভ|স্বার্থ|অক্ষম|অযোগ্য|বোকা|কৃপণ|হিংস"")),""valence-target অমিল"",""""),IF(COUNTIF($B:$B,B803)&gt;1,""ডুপ্লিকেট"",""""))"),"figurative ছোট")</f>
        <v>figurative ছোট</v>
      </c>
      <c r="Q803" s="5" t="str">
        <f t="shared" si="1"/>
        <v>১ আগে দেখো</v>
      </c>
    </row>
    <row r="804">
      <c r="A804" s="4">
        <v>6211.0</v>
      </c>
      <c r="B804" s="2" t="s">
        <v>3530</v>
      </c>
      <c r="C804" s="2" t="s">
        <v>3530</v>
      </c>
      <c r="D804" s="2" t="s">
        <v>3531</v>
      </c>
      <c r="E804" s="2" t="s">
        <v>3532</v>
      </c>
      <c r="F804" s="2" t="b">
        <v>1</v>
      </c>
      <c r="G804" s="2" t="b">
        <v>0</v>
      </c>
      <c r="H804" s="2" t="s">
        <v>37</v>
      </c>
      <c r="I804" s="2" t="s">
        <v>22</v>
      </c>
      <c r="J804" s="2" t="s">
        <v>947</v>
      </c>
      <c r="K804" s="2" t="s">
        <v>495</v>
      </c>
      <c r="L804" s="13" t="s">
        <v>496</v>
      </c>
      <c r="M804" s="2" t="s">
        <v>26</v>
      </c>
      <c r="N804" s="11" t="s">
        <v>576</v>
      </c>
      <c r="O804" s="12" t="s">
        <v>53</v>
      </c>
      <c r="P804" s="5" t="str">
        <f>IFERROR(__xludf.DUMMYFUNCTION("TEXTJOIN("" | "",TRUE,IF(OR(D804="""",E804="""",I804="""",J804="""",H804=""""),""ফাঁকা ঘর"",""""),IF(AND(C804&lt;&gt;"""",D804&lt;&gt;"""",C804=D804),""gloss=figurative"",""""),IF(LEN(D804)&lt;15,""figurative ছোট"",""""),IF(AND(I804=""Positive"",REGEXMATCH(H804,""মূর্খ|"&amp;"ভণ্ড|প্রতার|অলস|লোভ|স্বার্থ|অক্ষম|অযোগ্য|বোকা|কৃপণ|হিংস"")),""valence-target অমিল"",""""),IF(COUNTIF($B:$B,B804)&gt;1,""ডুপ্লিকেট"",""""))"),"figurative ছোট")</f>
        <v>figurative ছোট</v>
      </c>
      <c r="Q804" s="5" t="str">
        <f t="shared" si="1"/>
        <v>১ আগে দেখো</v>
      </c>
    </row>
    <row r="805">
      <c r="A805" s="4">
        <v>6212.0</v>
      </c>
      <c r="B805" s="2" t="s">
        <v>3533</v>
      </c>
      <c r="C805" s="2" t="s">
        <v>3534</v>
      </c>
      <c r="D805" s="2" t="s">
        <v>2343</v>
      </c>
      <c r="E805" s="2" t="s">
        <v>3535</v>
      </c>
      <c r="F805" s="2" t="b">
        <v>1</v>
      </c>
      <c r="G805" s="2" t="b">
        <v>0</v>
      </c>
      <c r="H805" s="2" t="s">
        <v>37</v>
      </c>
      <c r="I805" s="2" t="s">
        <v>22</v>
      </c>
      <c r="J805" s="2" t="s">
        <v>1656</v>
      </c>
      <c r="K805" s="2" t="s">
        <v>495</v>
      </c>
      <c r="L805" s="13" t="s">
        <v>496</v>
      </c>
      <c r="M805" s="2" t="s">
        <v>26</v>
      </c>
      <c r="N805" s="11" t="s">
        <v>576</v>
      </c>
      <c r="O805" s="12" t="s">
        <v>53</v>
      </c>
      <c r="P805" s="5" t="str">
        <f>IFERROR(__xludf.DUMMYFUNCTION("TEXTJOIN("" | "",TRUE,IF(OR(D805="""",E805="""",I805="""",J805="""",H805=""""),""ফাঁকা ঘর"",""""),IF(AND(C805&lt;&gt;"""",D805&lt;&gt;"""",C805=D805),""gloss=figurative"",""""),IF(LEN(D805)&lt;15,""figurative ছোট"",""""),IF(AND(I805=""Positive"",REGEXMATCH(H805,""মূর্খ|"&amp;"ভণ্ড|প্রতার|অলস|লোভ|স্বার্থ|অক্ষম|অযোগ্য|বোকা|কৃপণ|হিংস"")),""valence-target অমিল"",""""),IF(COUNTIF($B:$B,B805)&gt;1,""ডুপ্লিকেট"",""""))"),"figurative ছোট")</f>
        <v>figurative ছোট</v>
      </c>
      <c r="Q805" s="5" t="str">
        <f t="shared" si="1"/>
        <v>১ আগে দেখো</v>
      </c>
    </row>
    <row r="806">
      <c r="A806" s="4">
        <v>6213.0</v>
      </c>
      <c r="B806" s="2" t="s">
        <v>3536</v>
      </c>
      <c r="C806" s="2" t="s">
        <v>3537</v>
      </c>
      <c r="D806" s="2" t="s">
        <v>3538</v>
      </c>
      <c r="E806" s="2" t="s">
        <v>3539</v>
      </c>
      <c r="F806" s="2" t="b">
        <v>1</v>
      </c>
      <c r="G806" s="2" t="b">
        <v>0</v>
      </c>
      <c r="H806" s="2" t="s">
        <v>37</v>
      </c>
      <c r="I806" s="2" t="s">
        <v>22</v>
      </c>
      <c r="J806" s="2" t="s">
        <v>3111</v>
      </c>
      <c r="K806" s="2" t="s">
        <v>495</v>
      </c>
      <c r="L806" s="13" t="s">
        <v>496</v>
      </c>
      <c r="M806" s="2" t="s">
        <v>26</v>
      </c>
      <c r="N806" s="11" t="s">
        <v>576</v>
      </c>
      <c r="O806" s="12" t="s">
        <v>53</v>
      </c>
      <c r="P806" s="5" t="str">
        <f>IFERROR(__xludf.DUMMYFUNCTION("TEXTJOIN("" | "",TRUE,IF(OR(D806="""",E806="""",I806="""",J806="""",H806=""""),""ফাঁকা ঘর"",""""),IF(AND(C806&lt;&gt;"""",D806&lt;&gt;"""",C806=D806),""gloss=figurative"",""""),IF(LEN(D806)&lt;15,""figurative ছোট"",""""),IF(AND(I806=""Positive"",REGEXMATCH(H806,""মূর্খ|"&amp;"ভণ্ড|প্রতার|অলস|লোভ|স্বার্থ|অক্ষম|অযোগ্য|বোকা|কৃপণ|হিংস"")),""valence-target অমিল"",""""),IF(COUNTIF($B:$B,B806)&gt;1,""ডুপ্লিকেট"",""""))"),"figurative ছোট")</f>
        <v>figurative ছোট</v>
      </c>
      <c r="Q806" s="5" t="str">
        <f t="shared" si="1"/>
        <v>১ আগে দেখো</v>
      </c>
    </row>
    <row r="807">
      <c r="A807" s="4">
        <v>6216.0</v>
      </c>
      <c r="B807" s="2" t="s">
        <v>3540</v>
      </c>
      <c r="C807" s="2" t="s">
        <v>3541</v>
      </c>
      <c r="D807" s="2" t="s">
        <v>3542</v>
      </c>
      <c r="E807" s="2" t="s">
        <v>3543</v>
      </c>
      <c r="F807" s="2" t="b">
        <v>1</v>
      </c>
      <c r="G807" s="2" t="b">
        <v>0</v>
      </c>
      <c r="H807" s="2" t="s">
        <v>37</v>
      </c>
      <c r="I807" s="2" t="s">
        <v>22</v>
      </c>
      <c r="J807" s="2" t="s">
        <v>2064</v>
      </c>
      <c r="K807" s="2" t="s">
        <v>495</v>
      </c>
      <c r="L807" s="13" t="s">
        <v>496</v>
      </c>
      <c r="M807" s="2" t="s">
        <v>26</v>
      </c>
      <c r="N807" s="11" t="s">
        <v>3544</v>
      </c>
      <c r="O807" s="12" t="s">
        <v>53</v>
      </c>
      <c r="P807" s="5" t="str">
        <f>IFERROR(__xludf.DUMMYFUNCTION("TEXTJOIN("" | "",TRUE,IF(OR(D807="""",E807="""",I807="""",J807="""",H807=""""),""ফাঁকা ঘর"",""""),IF(AND(C807&lt;&gt;"""",D807&lt;&gt;"""",C807=D807),""gloss=figurative"",""""),IF(LEN(D807)&lt;15,""figurative ছোট"",""""),IF(AND(I807=""Positive"",REGEXMATCH(H807,""মূর্খ|"&amp;"ভণ্ড|প্রতার|অলস|লোভ|স্বার্থ|অক্ষম|অযোগ্য|বোকা|কৃপণ|হিংস"")),""valence-target অমিল"",""""),IF(COUNTIF($B:$B,B807)&gt;1,""ডুপ্লিকেট"",""""))"),"figurative ছোট")</f>
        <v>figurative ছোট</v>
      </c>
      <c r="Q807" s="5" t="str">
        <f t="shared" si="1"/>
        <v>১ আগে দেখো</v>
      </c>
    </row>
    <row r="808">
      <c r="A808" s="4">
        <v>6217.0</v>
      </c>
      <c r="B808" s="2" t="s">
        <v>3545</v>
      </c>
      <c r="C808" s="2" t="s">
        <v>3546</v>
      </c>
      <c r="D808" s="2" t="s">
        <v>3547</v>
      </c>
      <c r="E808" s="2" t="s">
        <v>3548</v>
      </c>
      <c r="F808" s="2" t="b">
        <v>1</v>
      </c>
      <c r="G808" s="2" t="b">
        <v>0</v>
      </c>
      <c r="H808" s="2" t="s">
        <v>37</v>
      </c>
      <c r="I808" s="2" t="s">
        <v>49</v>
      </c>
      <c r="J808" s="2" t="s">
        <v>3549</v>
      </c>
      <c r="K808" s="2" t="s">
        <v>495</v>
      </c>
      <c r="L808" s="13" t="s">
        <v>496</v>
      </c>
      <c r="M808" s="2" t="s">
        <v>26</v>
      </c>
      <c r="N808" s="11" t="s">
        <v>576</v>
      </c>
      <c r="O808" s="12" t="s">
        <v>53</v>
      </c>
      <c r="P808" s="5" t="str">
        <f>IFERROR(__xludf.DUMMYFUNCTION("TEXTJOIN("" | "",TRUE,IF(OR(D808="""",E808="""",I808="""",J808="""",H808=""""),""ফাঁকা ঘর"",""""),IF(AND(C808&lt;&gt;"""",D808&lt;&gt;"""",C808=D808),""gloss=figurative"",""""),IF(LEN(D808)&lt;15,""figurative ছোট"",""""),IF(AND(I808=""Positive"",REGEXMATCH(H808,""মূর্খ|"&amp;"ভণ্ড|প্রতার|অলস|লোভ|স্বার্থ|অক্ষম|অযোগ্য|বোকা|কৃপণ|হিংস"")),""valence-target অমিল"",""""),IF(COUNTIF($B:$B,B808)&gt;1,""ডুপ্লিকেট"",""""))"),"figurative ছোট")</f>
        <v>figurative ছোট</v>
      </c>
      <c r="Q808" s="5" t="str">
        <f t="shared" si="1"/>
        <v>১ আগে দেখো</v>
      </c>
    </row>
    <row r="809">
      <c r="A809" s="4">
        <v>6218.0</v>
      </c>
      <c r="B809" s="2" t="s">
        <v>3550</v>
      </c>
      <c r="C809" s="2" t="s">
        <v>3550</v>
      </c>
      <c r="D809" s="2" t="s">
        <v>3551</v>
      </c>
      <c r="E809" s="2" t="s">
        <v>3552</v>
      </c>
      <c r="F809" s="2" t="b">
        <v>1</v>
      </c>
      <c r="G809" s="2" t="b">
        <v>0</v>
      </c>
      <c r="H809" s="2" t="s">
        <v>37</v>
      </c>
      <c r="I809" s="2" t="s">
        <v>22</v>
      </c>
      <c r="J809" s="2" t="s">
        <v>1117</v>
      </c>
      <c r="K809" s="2" t="s">
        <v>495</v>
      </c>
      <c r="L809" s="13" t="s">
        <v>496</v>
      </c>
      <c r="M809" s="2" t="s">
        <v>26</v>
      </c>
      <c r="N809" s="11" t="s">
        <v>576</v>
      </c>
      <c r="O809" s="12" t="s">
        <v>53</v>
      </c>
      <c r="P809" s="5" t="str">
        <f>IFERROR(__xludf.DUMMYFUNCTION("TEXTJOIN("" | "",TRUE,IF(OR(D809="""",E809="""",I809="""",J809="""",H809=""""),""ফাঁকা ঘর"",""""),IF(AND(C809&lt;&gt;"""",D809&lt;&gt;"""",C809=D809),""gloss=figurative"",""""),IF(LEN(D809)&lt;15,""figurative ছোট"",""""),IF(AND(I809=""Positive"",REGEXMATCH(H809,""মূর্খ|"&amp;"ভণ্ড|প্রতার|অলস|লোভ|স্বার্থ|অক্ষম|অযোগ্য|বোকা|কৃপণ|হিংস"")),""valence-target অমিল"",""""),IF(COUNTIF($B:$B,B809)&gt;1,""ডুপ্লিকেট"",""""))"),"figurative ছোট")</f>
        <v>figurative ছোট</v>
      </c>
      <c r="Q809" s="5" t="str">
        <f t="shared" si="1"/>
        <v>১ আগে দেখো</v>
      </c>
    </row>
    <row r="810">
      <c r="A810" s="4">
        <v>6219.0</v>
      </c>
      <c r="B810" s="2" t="s">
        <v>3553</v>
      </c>
      <c r="C810" s="2" t="s">
        <v>3554</v>
      </c>
      <c r="D810" s="2" t="s">
        <v>1209</v>
      </c>
      <c r="E810" s="2" t="s">
        <v>3555</v>
      </c>
      <c r="F810" s="2" t="b">
        <v>1</v>
      </c>
      <c r="G810" s="2" t="b">
        <v>1</v>
      </c>
      <c r="H810" s="2" t="s">
        <v>1211</v>
      </c>
      <c r="I810" s="2" t="s">
        <v>49</v>
      </c>
      <c r="J810" s="2" t="s">
        <v>1798</v>
      </c>
      <c r="K810" s="2" t="s">
        <v>495</v>
      </c>
      <c r="L810" s="13" t="s">
        <v>496</v>
      </c>
      <c r="M810" s="2" t="s">
        <v>26</v>
      </c>
      <c r="N810" s="11" t="s">
        <v>576</v>
      </c>
      <c r="O810" s="12" t="s">
        <v>53</v>
      </c>
      <c r="P810" s="5" t="str">
        <f>IFERROR(__xludf.DUMMYFUNCTION("TEXTJOIN("" | "",TRUE,IF(OR(D810="""",E810="""",I810="""",J810="""",H810=""""),""ফাঁকা ঘর"",""""),IF(AND(C810&lt;&gt;"""",D810&lt;&gt;"""",C810=D810),""gloss=figurative"",""""),IF(LEN(D810)&lt;15,""figurative ছোট"",""""),IF(AND(I810=""Positive"",REGEXMATCH(H810,""মূর্খ|"&amp;"ভণ্ড|প্রতার|অলস|লোভ|স্বার্থ|অক্ষম|অযোগ্য|বোকা|কৃপণ|হিংস"")),""valence-target অমিল"",""""),IF(COUNTIF($B:$B,B810)&gt;1,""ডুপ্লিকেট"",""""))"),"figurative ছোট")</f>
        <v>figurative ছোট</v>
      </c>
      <c r="Q810" s="5" t="str">
        <f t="shared" si="1"/>
        <v>১ আগে দেখো</v>
      </c>
    </row>
    <row r="811">
      <c r="A811" s="4">
        <v>6220.0</v>
      </c>
      <c r="B811" s="2" t="s">
        <v>3556</v>
      </c>
      <c r="C811" s="2" t="s">
        <v>3557</v>
      </c>
      <c r="D811" s="2" t="s">
        <v>3558</v>
      </c>
      <c r="E811" s="2" t="s">
        <v>3559</v>
      </c>
      <c r="F811" s="2" t="b">
        <v>1</v>
      </c>
      <c r="G811" s="2" t="b">
        <v>0</v>
      </c>
      <c r="H811" s="2" t="s">
        <v>37</v>
      </c>
      <c r="I811" s="2" t="s">
        <v>49</v>
      </c>
      <c r="J811" s="2" t="s">
        <v>1239</v>
      </c>
      <c r="K811" s="2" t="s">
        <v>495</v>
      </c>
      <c r="L811" s="13" t="s">
        <v>496</v>
      </c>
      <c r="M811" s="2" t="s">
        <v>26</v>
      </c>
      <c r="N811" s="11" t="s">
        <v>576</v>
      </c>
      <c r="O811" s="12" t="s">
        <v>53</v>
      </c>
      <c r="P811" s="5" t="str">
        <f>IFERROR(__xludf.DUMMYFUNCTION("TEXTJOIN("" | "",TRUE,IF(OR(D811="""",E811="""",I811="""",J811="""",H811=""""),""ফাঁকা ঘর"",""""),IF(AND(C811&lt;&gt;"""",D811&lt;&gt;"""",C811=D811),""gloss=figurative"",""""),IF(LEN(D811)&lt;15,""figurative ছোট"",""""),IF(AND(I811=""Positive"",REGEXMATCH(H811,""মূর্খ|"&amp;"ভণ্ড|প্রতার|অলস|লোভ|স্বার্থ|অক্ষম|অযোগ্য|বোকা|কৃপণ|হিংস"")),""valence-target অমিল"",""""),IF(COUNTIF($B:$B,B811)&gt;1,""ডুপ্লিকেট"",""""))"),"figurative ছোট")</f>
        <v>figurative ছোট</v>
      </c>
      <c r="Q811" s="5" t="str">
        <f t="shared" si="1"/>
        <v>১ আগে দেখো</v>
      </c>
    </row>
    <row r="812">
      <c r="A812" s="4">
        <v>6221.0</v>
      </c>
      <c r="B812" s="2" t="s">
        <v>3560</v>
      </c>
      <c r="C812" s="2" t="s">
        <v>3561</v>
      </c>
      <c r="D812" s="2" t="s">
        <v>3562</v>
      </c>
      <c r="E812" s="2" t="s">
        <v>3563</v>
      </c>
      <c r="F812" s="2" t="b">
        <v>1</v>
      </c>
      <c r="G812" s="2" t="b">
        <v>0</v>
      </c>
      <c r="H812" s="2" t="s">
        <v>37</v>
      </c>
      <c r="I812" s="2" t="s">
        <v>49</v>
      </c>
      <c r="J812" s="2" t="s">
        <v>2732</v>
      </c>
      <c r="K812" s="2" t="s">
        <v>495</v>
      </c>
      <c r="L812" s="13" t="s">
        <v>496</v>
      </c>
      <c r="M812" s="2" t="s">
        <v>26</v>
      </c>
      <c r="N812" s="11" t="s">
        <v>576</v>
      </c>
      <c r="O812" s="12" t="s">
        <v>53</v>
      </c>
      <c r="P812" s="5" t="str">
        <f>IFERROR(__xludf.DUMMYFUNCTION("TEXTJOIN("" | "",TRUE,IF(OR(D812="""",E812="""",I812="""",J812="""",H812=""""),""ফাঁকা ঘর"",""""),IF(AND(C812&lt;&gt;"""",D812&lt;&gt;"""",C812=D812),""gloss=figurative"",""""),IF(LEN(D812)&lt;15,""figurative ছোট"",""""),IF(AND(I812=""Positive"",REGEXMATCH(H812,""মূর্খ|"&amp;"ভণ্ড|প্রতার|অলস|লোভ|স্বার্থ|অক্ষম|অযোগ্য|বোকা|কৃপণ|হিংস"")),""valence-target অমিল"",""""),IF(COUNTIF($B:$B,B812)&gt;1,""ডুপ্লিকেট"",""""))"),"figurative ছোট")</f>
        <v>figurative ছোট</v>
      </c>
      <c r="Q812" s="5" t="str">
        <f t="shared" si="1"/>
        <v>১ আগে দেখো</v>
      </c>
    </row>
    <row r="813">
      <c r="A813" s="4">
        <v>6223.0</v>
      </c>
      <c r="B813" s="2" t="s">
        <v>3564</v>
      </c>
      <c r="C813" s="2" t="s">
        <v>3565</v>
      </c>
      <c r="D813" s="2" t="s">
        <v>2681</v>
      </c>
      <c r="E813" s="2" t="s">
        <v>3566</v>
      </c>
      <c r="F813" s="2" t="b">
        <v>1</v>
      </c>
      <c r="G813" s="2" t="b">
        <v>1</v>
      </c>
      <c r="H813" s="2" t="s">
        <v>1982</v>
      </c>
      <c r="I813" s="2" t="s">
        <v>49</v>
      </c>
      <c r="J813" s="2" t="s">
        <v>1259</v>
      </c>
      <c r="K813" s="2" t="s">
        <v>495</v>
      </c>
      <c r="L813" s="13" t="s">
        <v>496</v>
      </c>
      <c r="M813" s="2" t="s">
        <v>26</v>
      </c>
      <c r="N813" s="11" t="s">
        <v>576</v>
      </c>
      <c r="O813" s="12" t="s">
        <v>53</v>
      </c>
      <c r="P813" s="5" t="str">
        <f>IFERROR(__xludf.DUMMYFUNCTION("TEXTJOIN("" | "",TRUE,IF(OR(D813="""",E813="""",I813="""",J813="""",H813=""""),""ফাঁকা ঘর"",""""),IF(AND(C813&lt;&gt;"""",D813&lt;&gt;"""",C813=D813),""gloss=figurative"",""""),IF(LEN(D813)&lt;15,""figurative ছোট"",""""),IF(AND(I813=""Positive"",REGEXMATCH(H813,""মূর্খ|"&amp;"ভণ্ড|প্রতার|অলস|লোভ|স্বার্থ|অক্ষম|অযোগ্য|বোকা|কৃপণ|হিংস"")),""valence-target অমিল"",""""),IF(COUNTIF($B:$B,B813)&gt;1,""ডুপ্লিকেট"",""""))"),"figurative ছোট")</f>
        <v>figurative ছোট</v>
      </c>
      <c r="Q813" s="5" t="str">
        <f t="shared" si="1"/>
        <v>১ আগে দেখো</v>
      </c>
    </row>
    <row r="814">
      <c r="A814" s="4">
        <v>6224.0</v>
      </c>
      <c r="B814" s="2" t="s">
        <v>3567</v>
      </c>
      <c r="C814" s="2" t="s">
        <v>3567</v>
      </c>
      <c r="D814" s="2" t="s">
        <v>3568</v>
      </c>
      <c r="E814" s="2" t="s">
        <v>3569</v>
      </c>
      <c r="F814" s="2" t="b">
        <v>1</v>
      </c>
      <c r="G814" s="2" t="b">
        <v>0</v>
      </c>
      <c r="H814" s="2" t="s">
        <v>37</v>
      </c>
      <c r="I814" s="2" t="s">
        <v>32</v>
      </c>
      <c r="J814" s="2" t="s">
        <v>3570</v>
      </c>
      <c r="K814" s="2" t="s">
        <v>495</v>
      </c>
      <c r="L814" s="13" t="s">
        <v>496</v>
      </c>
      <c r="M814" s="2" t="s">
        <v>26</v>
      </c>
      <c r="N814" s="11" t="s">
        <v>576</v>
      </c>
      <c r="O814" s="12" t="s">
        <v>53</v>
      </c>
      <c r="P814" s="5" t="str">
        <f>IFERROR(__xludf.DUMMYFUNCTION("TEXTJOIN("" | "",TRUE,IF(OR(D814="""",E814="""",I814="""",J814="""",H814=""""),""ফাঁকা ঘর"",""""),IF(AND(C814&lt;&gt;"""",D814&lt;&gt;"""",C814=D814),""gloss=figurative"",""""),IF(LEN(D814)&lt;15,""figurative ছোট"",""""),IF(AND(I814=""Positive"",REGEXMATCH(H814,""মূর্খ|"&amp;"ভণ্ড|প্রতার|অলস|লোভ|স্বার্থ|অক্ষম|অযোগ্য|বোকা|কৃপণ|হিংস"")),""valence-target অমিল"",""""),IF(COUNTIF($B:$B,B814)&gt;1,""ডুপ্লিকেট"",""""))"),"figurative ছোট")</f>
        <v>figurative ছোট</v>
      </c>
      <c r="Q814" s="5" t="str">
        <f t="shared" si="1"/>
        <v>১ আগে দেখো</v>
      </c>
    </row>
    <row r="815">
      <c r="A815" s="4">
        <v>6225.0</v>
      </c>
      <c r="B815" s="2" t="s">
        <v>3571</v>
      </c>
      <c r="C815" s="2" t="s">
        <v>3572</v>
      </c>
      <c r="D815" s="2" t="s">
        <v>1990</v>
      </c>
      <c r="E815" s="2" t="s">
        <v>3573</v>
      </c>
      <c r="F815" s="2" t="b">
        <v>1</v>
      </c>
      <c r="G815" s="2" t="b">
        <v>0</v>
      </c>
      <c r="H815" s="2" t="s">
        <v>37</v>
      </c>
      <c r="I815" s="2" t="s">
        <v>32</v>
      </c>
      <c r="J815" s="2" t="s">
        <v>1387</v>
      </c>
      <c r="K815" s="2" t="s">
        <v>495</v>
      </c>
      <c r="L815" s="13" t="s">
        <v>496</v>
      </c>
      <c r="M815" s="2" t="s">
        <v>26</v>
      </c>
      <c r="N815" s="11" t="s">
        <v>576</v>
      </c>
      <c r="O815" s="12" t="s">
        <v>53</v>
      </c>
      <c r="P815" s="5" t="str">
        <f>IFERROR(__xludf.DUMMYFUNCTION("TEXTJOIN("" | "",TRUE,IF(OR(D815="""",E815="""",I815="""",J815="""",H815=""""),""ফাঁকা ঘর"",""""),IF(AND(C815&lt;&gt;"""",D815&lt;&gt;"""",C815=D815),""gloss=figurative"",""""),IF(LEN(D815)&lt;15,""figurative ছোট"",""""),IF(AND(I815=""Positive"",REGEXMATCH(H815,""মূর্খ|"&amp;"ভণ্ড|প্রতার|অলস|লোভ|স্বার্থ|অক্ষম|অযোগ্য|বোকা|কৃপণ|হিংস"")),""valence-target অমিল"",""""),IF(COUNTIF($B:$B,B815)&gt;1,""ডুপ্লিকেট"",""""))"),"figurative ছোট")</f>
        <v>figurative ছোট</v>
      </c>
      <c r="Q815" s="5" t="str">
        <f t="shared" si="1"/>
        <v>১ আগে দেখো</v>
      </c>
    </row>
    <row r="816">
      <c r="A816" s="4">
        <v>6226.0</v>
      </c>
      <c r="B816" s="2" t="s">
        <v>3574</v>
      </c>
      <c r="C816" s="2" t="s">
        <v>3575</v>
      </c>
      <c r="D816" s="2" t="s">
        <v>2243</v>
      </c>
      <c r="E816" s="2" t="s">
        <v>3576</v>
      </c>
      <c r="F816" s="2" t="b">
        <v>1</v>
      </c>
      <c r="G816" s="2" t="b">
        <v>0</v>
      </c>
      <c r="H816" s="2" t="s">
        <v>2243</v>
      </c>
      <c r="I816" s="2" t="s">
        <v>22</v>
      </c>
      <c r="J816" s="2" t="s">
        <v>820</v>
      </c>
      <c r="K816" s="2" t="s">
        <v>495</v>
      </c>
      <c r="L816" s="13" t="s">
        <v>496</v>
      </c>
      <c r="M816" s="2" t="s">
        <v>26</v>
      </c>
      <c r="N816" s="11" t="s">
        <v>576</v>
      </c>
      <c r="O816" s="12" t="s">
        <v>53</v>
      </c>
      <c r="P816" s="5" t="str">
        <f>IFERROR(__xludf.DUMMYFUNCTION("TEXTJOIN("" | "",TRUE,IF(OR(D816="""",E816="""",I816="""",J816="""",H816=""""),""ফাঁকা ঘর"",""""),IF(AND(C816&lt;&gt;"""",D816&lt;&gt;"""",C816=D816),""gloss=figurative"",""""),IF(LEN(D816)&lt;15,""figurative ছোট"",""""),IF(AND(I816=""Positive"",REGEXMATCH(H816,""মূর্খ|"&amp;"ভণ্ড|প্রতার|অলস|লোভ|স্বার্থ|অক্ষম|অযোগ্য|বোকা|কৃপণ|হিংস"")),""valence-target অমিল"",""""),IF(COUNTIF($B:$B,B816)&gt;1,""ডুপ্লিকেট"",""""))"),"figurative ছোট")</f>
        <v>figurative ছোট</v>
      </c>
      <c r="Q816" s="5" t="str">
        <f t="shared" si="1"/>
        <v>১ আগে দেখো</v>
      </c>
    </row>
    <row r="817">
      <c r="A817" s="4">
        <v>6229.0</v>
      </c>
      <c r="B817" s="2" t="s">
        <v>3577</v>
      </c>
      <c r="C817" s="2" t="s">
        <v>3578</v>
      </c>
      <c r="D817" s="2" t="s">
        <v>3579</v>
      </c>
      <c r="E817" s="2" t="s">
        <v>3580</v>
      </c>
      <c r="F817" s="2" t="b">
        <v>1</v>
      </c>
      <c r="G817" s="2" t="b">
        <v>0</v>
      </c>
      <c r="H817" s="2" t="s">
        <v>37</v>
      </c>
      <c r="I817" s="2" t="s">
        <v>49</v>
      </c>
      <c r="J817" s="2" t="s">
        <v>2440</v>
      </c>
      <c r="K817" s="2" t="s">
        <v>495</v>
      </c>
      <c r="L817" s="13" t="s">
        <v>496</v>
      </c>
      <c r="M817" s="2" t="s">
        <v>26</v>
      </c>
      <c r="N817" s="11" t="s">
        <v>576</v>
      </c>
      <c r="O817" s="12" t="s">
        <v>53</v>
      </c>
      <c r="P817" s="5" t="str">
        <f>IFERROR(__xludf.DUMMYFUNCTION("TEXTJOIN("" | "",TRUE,IF(OR(D817="""",E817="""",I817="""",J817="""",H817=""""),""ফাঁকা ঘর"",""""),IF(AND(C817&lt;&gt;"""",D817&lt;&gt;"""",C817=D817),""gloss=figurative"",""""),IF(LEN(D817)&lt;15,""figurative ছোট"",""""),IF(AND(I817=""Positive"",REGEXMATCH(H817,""মূর্খ|"&amp;"ভণ্ড|প্রতার|অলস|লোভ|স্বার্থ|অক্ষম|অযোগ্য|বোকা|কৃপণ|হিংস"")),""valence-target অমিল"",""""),IF(COUNTIF($B:$B,B817)&gt;1,""ডুপ্লিকেট"",""""))"),"figurative ছোট")</f>
        <v>figurative ছোট</v>
      </c>
      <c r="Q817" s="5" t="str">
        <f t="shared" si="1"/>
        <v>১ আগে দেখো</v>
      </c>
    </row>
    <row r="818">
      <c r="A818" s="4">
        <v>6230.0</v>
      </c>
      <c r="B818" s="2" t="s">
        <v>3581</v>
      </c>
      <c r="C818" s="2" t="s">
        <v>3582</v>
      </c>
      <c r="D818" s="2" t="s">
        <v>3583</v>
      </c>
      <c r="E818" s="2" t="s">
        <v>3584</v>
      </c>
      <c r="F818" s="2" t="b">
        <v>1</v>
      </c>
      <c r="G818" s="2" t="b">
        <v>0</v>
      </c>
      <c r="H818" s="2" t="s">
        <v>37</v>
      </c>
      <c r="I818" s="2" t="s">
        <v>49</v>
      </c>
      <c r="J818" s="2" t="s">
        <v>3585</v>
      </c>
      <c r="K818" s="2" t="s">
        <v>495</v>
      </c>
      <c r="L818" s="13" t="s">
        <v>496</v>
      </c>
      <c r="M818" s="2" t="s">
        <v>26</v>
      </c>
      <c r="N818" s="11" t="s">
        <v>576</v>
      </c>
      <c r="O818" s="12" t="s">
        <v>53</v>
      </c>
      <c r="P818" s="5" t="str">
        <f>IFERROR(__xludf.DUMMYFUNCTION("TEXTJOIN("" | "",TRUE,IF(OR(D818="""",E818="""",I818="""",J818="""",H818=""""),""ফাঁকা ঘর"",""""),IF(AND(C818&lt;&gt;"""",D818&lt;&gt;"""",C818=D818),""gloss=figurative"",""""),IF(LEN(D818)&lt;15,""figurative ছোট"",""""),IF(AND(I818=""Positive"",REGEXMATCH(H818,""মূর্খ|"&amp;"ভণ্ড|প্রতার|অলস|লোভ|স্বার্থ|অক্ষম|অযোগ্য|বোকা|কৃপণ|হিংস"")),""valence-target অমিল"",""""),IF(COUNTIF($B:$B,B818)&gt;1,""ডুপ্লিকেট"",""""))"),"figurative ছোট")</f>
        <v>figurative ছোট</v>
      </c>
      <c r="Q818" s="5" t="str">
        <f t="shared" si="1"/>
        <v>১ আগে দেখো</v>
      </c>
    </row>
    <row r="819">
      <c r="A819" s="4">
        <v>6231.0</v>
      </c>
      <c r="B819" s="2" t="s">
        <v>3586</v>
      </c>
      <c r="C819" s="2" t="s">
        <v>3587</v>
      </c>
      <c r="D819" s="2" t="s">
        <v>2234</v>
      </c>
      <c r="E819" s="2" t="s">
        <v>3588</v>
      </c>
      <c r="F819" s="2" t="b">
        <v>1</v>
      </c>
      <c r="G819" s="2" t="b">
        <v>0</v>
      </c>
      <c r="H819" s="2" t="s">
        <v>37</v>
      </c>
      <c r="I819" s="2" t="s">
        <v>49</v>
      </c>
      <c r="J819" s="2" t="s">
        <v>2234</v>
      </c>
      <c r="K819" s="2" t="s">
        <v>495</v>
      </c>
      <c r="L819" s="13" t="s">
        <v>496</v>
      </c>
      <c r="M819" s="2" t="s">
        <v>26</v>
      </c>
      <c r="N819" s="11" t="s">
        <v>576</v>
      </c>
      <c r="O819" s="12" t="s">
        <v>53</v>
      </c>
      <c r="P819" s="5" t="str">
        <f>IFERROR(__xludf.DUMMYFUNCTION("TEXTJOIN("" | "",TRUE,IF(OR(D819="""",E819="""",I819="""",J819="""",H819=""""),""ফাঁকা ঘর"",""""),IF(AND(C819&lt;&gt;"""",D819&lt;&gt;"""",C819=D819),""gloss=figurative"",""""),IF(LEN(D819)&lt;15,""figurative ছোট"",""""),IF(AND(I819=""Positive"",REGEXMATCH(H819,""মূর্খ|"&amp;"ভণ্ড|প্রতার|অলস|লোভ|স্বার্থ|অক্ষম|অযোগ্য|বোকা|কৃপণ|হিংস"")),""valence-target অমিল"",""""),IF(COUNTIF($B:$B,B819)&gt;1,""ডুপ্লিকেট"",""""))"),"figurative ছোট")</f>
        <v>figurative ছোট</v>
      </c>
      <c r="Q819" s="5" t="str">
        <f t="shared" si="1"/>
        <v>১ আগে দেখো</v>
      </c>
    </row>
    <row r="820">
      <c r="A820" s="4">
        <v>6232.0</v>
      </c>
      <c r="B820" s="2" t="s">
        <v>3589</v>
      </c>
      <c r="C820" s="2" t="s">
        <v>3590</v>
      </c>
      <c r="D820" s="2" t="s">
        <v>3591</v>
      </c>
      <c r="E820" s="2" t="s">
        <v>3592</v>
      </c>
      <c r="F820" s="2" t="b">
        <v>1</v>
      </c>
      <c r="G820" s="2" t="b">
        <v>0</v>
      </c>
      <c r="H820" s="2" t="s">
        <v>37</v>
      </c>
      <c r="I820" s="2" t="s">
        <v>49</v>
      </c>
      <c r="J820" s="2" t="s">
        <v>447</v>
      </c>
      <c r="K820" s="2" t="s">
        <v>495</v>
      </c>
      <c r="L820" s="13" t="s">
        <v>496</v>
      </c>
      <c r="M820" s="2" t="s">
        <v>26</v>
      </c>
      <c r="N820" s="11" t="s">
        <v>576</v>
      </c>
      <c r="O820" s="12" t="s">
        <v>53</v>
      </c>
      <c r="P820" s="5" t="str">
        <f>IFERROR(__xludf.DUMMYFUNCTION("TEXTJOIN("" | "",TRUE,IF(OR(D820="""",E820="""",I820="""",J820="""",H820=""""),""ফাঁকা ঘর"",""""),IF(AND(C820&lt;&gt;"""",D820&lt;&gt;"""",C820=D820),""gloss=figurative"",""""),IF(LEN(D820)&lt;15,""figurative ছোট"",""""),IF(AND(I820=""Positive"",REGEXMATCH(H820,""মূর্খ|"&amp;"ভণ্ড|প্রতার|অলস|লোভ|স্বার্থ|অক্ষম|অযোগ্য|বোকা|কৃপণ|হিংস"")),""valence-target অমিল"",""""),IF(COUNTIF($B:$B,B820)&gt;1,""ডুপ্লিকেট"",""""))"),"figurative ছোট")</f>
        <v>figurative ছোট</v>
      </c>
      <c r="Q820" s="5" t="str">
        <f t="shared" si="1"/>
        <v>১ আগে দেখো</v>
      </c>
    </row>
    <row r="821">
      <c r="A821" s="4">
        <v>6233.0</v>
      </c>
      <c r="B821" s="2" t="s">
        <v>3593</v>
      </c>
      <c r="C821" s="2" t="s">
        <v>3594</v>
      </c>
      <c r="D821" s="2" t="s">
        <v>3595</v>
      </c>
      <c r="E821" s="2" t="s">
        <v>3596</v>
      </c>
      <c r="F821" s="2" t="b">
        <v>1</v>
      </c>
      <c r="G821" s="2" t="b">
        <v>0</v>
      </c>
      <c r="H821" s="2" t="s">
        <v>37</v>
      </c>
      <c r="I821" s="2" t="s">
        <v>49</v>
      </c>
      <c r="J821" s="2" t="s">
        <v>1249</v>
      </c>
      <c r="K821" s="2" t="s">
        <v>495</v>
      </c>
      <c r="L821" s="13" t="s">
        <v>496</v>
      </c>
      <c r="M821" s="2" t="s">
        <v>26</v>
      </c>
      <c r="N821" s="11" t="s">
        <v>576</v>
      </c>
      <c r="O821" s="12" t="s">
        <v>53</v>
      </c>
      <c r="P821" s="5" t="str">
        <f>IFERROR(__xludf.DUMMYFUNCTION("TEXTJOIN("" | "",TRUE,IF(OR(D821="""",E821="""",I821="""",J821="""",H821=""""),""ফাঁকা ঘর"",""""),IF(AND(C821&lt;&gt;"""",D821&lt;&gt;"""",C821=D821),""gloss=figurative"",""""),IF(LEN(D821)&lt;15,""figurative ছোট"",""""),IF(AND(I821=""Positive"",REGEXMATCH(H821,""মূর্খ|"&amp;"ভণ্ড|প্রতার|অলস|লোভ|স্বার্থ|অক্ষম|অযোগ্য|বোকা|কৃপণ|হিংস"")),""valence-target অমিল"",""""),IF(COUNTIF($B:$B,B821)&gt;1,""ডুপ্লিকেট"",""""))"),"figurative ছোট")</f>
        <v>figurative ছোট</v>
      </c>
      <c r="Q821" s="5" t="str">
        <f t="shared" si="1"/>
        <v>১ আগে দেখো</v>
      </c>
    </row>
    <row r="822">
      <c r="A822" s="4">
        <v>6234.0</v>
      </c>
      <c r="B822" s="2" t="s">
        <v>3597</v>
      </c>
      <c r="C822" s="2" t="s">
        <v>3598</v>
      </c>
      <c r="D822" s="2" t="s">
        <v>3599</v>
      </c>
      <c r="E822" s="2" t="s">
        <v>3600</v>
      </c>
      <c r="F822" s="2" t="b">
        <v>1</v>
      </c>
      <c r="G822" s="2" t="b">
        <v>0</v>
      </c>
      <c r="H822" s="2" t="s">
        <v>37</v>
      </c>
      <c r="I822" s="2" t="s">
        <v>22</v>
      </c>
      <c r="J822" s="2" t="s">
        <v>1561</v>
      </c>
      <c r="K822" s="2" t="s">
        <v>495</v>
      </c>
      <c r="L822" s="13" t="s">
        <v>496</v>
      </c>
      <c r="M822" s="2" t="s">
        <v>26</v>
      </c>
      <c r="N822" s="11" t="s">
        <v>3601</v>
      </c>
      <c r="O822" s="12" t="s">
        <v>53</v>
      </c>
      <c r="P822" s="5" t="str">
        <f>IFERROR(__xludf.DUMMYFUNCTION("TEXTJOIN("" | "",TRUE,IF(OR(D822="""",E822="""",I822="""",J822="""",H822=""""),""ফাঁকা ঘর"",""""),IF(AND(C822&lt;&gt;"""",D822&lt;&gt;"""",C822=D822),""gloss=figurative"",""""),IF(LEN(D822)&lt;15,""figurative ছোট"",""""),IF(AND(I822=""Positive"",REGEXMATCH(H822,""মূর্খ|"&amp;"ভণ্ড|প্রতার|অলস|লোভ|স্বার্থ|অক্ষম|অযোগ্য|বোকা|কৃপণ|হিংস"")),""valence-target অমিল"",""""),IF(COUNTIF($B:$B,B822)&gt;1,""ডুপ্লিকেট"",""""))"),"figurative ছোট")</f>
        <v>figurative ছোট</v>
      </c>
      <c r="Q822" s="5" t="str">
        <f t="shared" si="1"/>
        <v>১ আগে দেখো</v>
      </c>
    </row>
    <row r="823">
      <c r="A823" s="4">
        <v>6235.0</v>
      </c>
      <c r="B823" s="2" t="s">
        <v>3602</v>
      </c>
      <c r="C823" s="2" t="s">
        <v>3603</v>
      </c>
      <c r="D823" s="2" t="s">
        <v>3604</v>
      </c>
      <c r="E823" s="2" t="s">
        <v>3605</v>
      </c>
      <c r="F823" s="2" t="b">
        <v>1</v>
      </c>
      <c r="G823" s="2" t="b">
        <v>0</v>
      </c>
      <c r="H823" s="2" t="s">
        <v>37</v>
      </c>
      <c r="I823" s="2" t="s">
        <v>22</v>
      </c>
      <c r="J823" s="2" t="s">
        <v>1561</v>
      </c>
      <c r="K823" s="2" t="s">
        <v>495</v>
      </c>
      <c r="L823" s="13" t="s">
        <v>496</v>
      </c>
      <c r="M823" s="2" t="s">
        <v>26</v>
      </c>
      <c r="N823" s="11" t="s">
        <v>3606</v>
      </c>
      <c r="O823" s="12" t="s">
        <v>53</v>
      </c>
      <c r="P823" s="5" t="str">
        <f>IFERROR(__xludf.DUMMYFUNCTION("TEXTJOIN("" | "",TRUE,IF(OR(D823="""",E823="""",I823="""",J823="""",H823=""""),""ফাঁকা ঘর"",""""),IF(AND(C823&lt;&gt;"""",D823&lt;&gt;"""",C823=D823),""gloss=figurative"",""""),IF(LEN(D823)&lt;15,""figurative ছোট"",""""),IF(AND(I823=""Positive"",REGEXMATCH(H823,""মূর্খ|"&amp;"ভণ্ড|প্রতার|অলস|লোভ|স্বার্থ|অক্ষম|অযোগ্য|বোকা|কৃপণ|হিংস"")),""valence-target অমিল"",""""),IF(COUNTIF($B:$B,B823)&gt;1,""ডুপ্লিকেট"",""""))"),"figurative ছোট")</f>
        <v>figurative ছোট</v>
      </c>
      <c r="Q823" s="5" t="str">
        <f t="shared" si="1"/>
        <v>১ আগে দেখো</v>
      </c>
    </row>
    <row r="824">
      <c r="A824" s="4">
        <v>6236.0</v>
      </c>
      <c r="B824" s="2" t="s">
        <v>3607</v>
      </c>
      <c r="C824" s="2" t="s">
        <v>3608</v>
      </c>
      <c r="D824" s="2" t="s">
        <v>3609</v>
      </c>
      <c r="E824" s="2" t="s">
        <v>3610</v>
      </c>
      <c r="F824" s="2" t="b">
        <v>1</v>
      </c>
      <c r="G824" s="2" t="b">
        <v>0</v>
      </c>
      <c r="H824" s="2" t="s">
        <v>37</v>
      </c>
      <c r="I824" s="2" t="s">
        <v>49</v>
      </c>
      <c r="J824" s="2" t="s">
        <v>2206</v>
      </c>
      <c r="K824" s="2" t="s">
        <v>495</v>
      </c>
      <c r="L824" s="13" t="s">
        <v>496</v>
      </c>
      <c r="M824" s="2" t="s">
        <v>26</v>
      </c>
      <c r="N824" s="11" t="s">
        <v>576</v>
      </c>
      <c r="O824" s="12" t="s">
        <v>53</v>
      </c>
      <c r="P824" s="5" t="str">
        <f>IFERROR(__xludf.DUMMYFUNCTION("TEXTJOIN("" | "",TRUE,IF(OR(D824="""",E824="""",I824="""",J824="""",H824=""""),""ফাঁকা ঘর"",""""),IF(AND(C824&lt;&gt;"""",D824&lt;&gt;"""",C824=D824),""gloss=figurative"",""""),IF(LEN(D824)&lt;15,""figurative ছোট"",""""),IF(AND(I824=""Positive"",REGEXMATCH(H824,""মূর্খ|"&amp;"ভণ্ড|প্রতার|অলস|লোভ|স্বার্থ|অক্ষম|অযোগ্য|বোকা|কৃপণ|হিংস"")),""valence-target অমিল"",""""),IF(COUNTIF($B:$B,B824)&gt;1,""ডুপ্লিকেট"",""""))"),"figurative ছোট")</f>
        <v>figurative ছোট</v>
      </c>
      <c r="Q824" s="5" t="str">
        <f t="shared" si="1"/>
        <v>১ আগে দেখো</v>
      </c>
    </row>
    <row r="825">
      <c r="A825" s="4">
        <v>6237.0</v>
      </c>
      <c r="B825" s="2" t="s">
        <v>3611</v>
      </c>
      <c r="C825" s="2" t="s">
        <v>3612</v>
      </c>
      <c r="D825" s="2" t="s">
        <v>3613</v>
      </c>
      <c r="E825" s="2" t="s">
        <v>3614</v>
      </c>
      <c r="F825" s="2" t="b">
        <v>1</v>
      </c>
      <c r="G825" s="2" t="b">
        <v>0</v>
      </c>
      <c r="H825" s="2" t="s">
        <v>37</v>
      </c>
      <c r="I825" s="2" t="s">
        <v>32</v>
      </c>
      <c r="J825" s="2" t="s">
        <v>3615</v>
      </c>
      <c r="K825" s="2" t="s">
        <v>495</v>
      </c>
      <c r="L825" s="13" t="s">
        <v>496</v>
      </c>
      <c r="M825" s="2" t="s">
        <v>26</v>
      </c>
      <c r="N825" s="11" t="s">
        <v>576</v>
      </c>
      <c r="O825" s="12" t="s">
        <v>53</v>
      </c>
      <c r="P825" s="5" t="str">
        <f>IFERROR(__xludf.DUMMYFUNCTION("TEXTJOIN("" | "",TRUE,IF(OR(D825="""",E825="""",I825="""",J825="""",H825=""""),""ফাঁকা ঘর"",""""),IF(AND(C825&lt;&gt;"""",D825&lt;&gt;"""",C825=D825),""gloss=figurative"",""""),IF(LEN(D825)&lt;15,""figurative ছোট"",""""),IF(AND(I825=""Positive"",REGEXMATCH(H825,""মূর্খ|"&amp;"ভণ্ড|প্রতার|অলস|লোভ|স্বার্থ|অক্ষম|অযোগ্য|বোকা|কৃপণ|হিংস"")),""valence-target অমিল"",""""),IF(COUNTIF($B:$B,B825)&gt;1,""ডুপ্লিকেট"",""""))"),"figurative ছোট")</f>
        <v>figurative ছোট</v>
      </c>
      <c r="Q825" s="5" t="str">
        <f t="shared" si="1"/>
        <v>১ আগে দেখো</v>
      </c>
    </row>
    <row r="826">
      <c r="A826" s="4">
        <v>6238.0</v>
      </c>
      <c r="B826" s="2" t="s">
        <v>3616</v>
      </c>
      <c r="C826" s="2" t="s">
        <v>3617</v>
      </c>
      <c r="D826" s="2" t="s">
        <v>3618</v>
      </c>
      <c r="E826" s="2" t="s">
        <v>3619</v>
      </c>
      <c r="F826" s="2" t="b">
        <v>1</v>
      </c>
      <c r="G826" s="2" t="b">
        <v>0</v>
      </c>
      <c r="H826" s="2" t="s">
        <v>37</v>
      </c>
      <c r="I826" s="2" t="s">
        <v>49</v>
      </c>
      <c r="J826" s="2" t="s">
        <v>3615</v>
      </c>
      <c r="K826" s="2" t="s">
        <v>495</v>
      </c>
      <c r="L826" s="13" t="s">
        <v>496</v>
      </c>
      <c r="M826" s="2" t="s">
        <v>26</v>
      </c>
      <c r="N826" s="11" t="s">
        <v>576</v>
      </c>
      <c r="O826" s="12" t="s">
        <v>53</v>
      </c>
      <c r="P826" s="5" t="str">
        <f>IFERROR(__xludf.DUMMYFUNCTION("TEXTJOIN("" | "",TRUE,IF(OR(D826="""",E826="""",I826="""",J826="""",H826=""""),""ফাঁকা ঘর"",""""),IF(AND(C826&lt;&gt;"""",D826&lt;&gt;"""",C826=D826),""gloss=figurative"",""""),IF(LEN(D826)&lt;15,""figurative ছোট"",""""),IF(AND(I826=""Positive"",REGEXMATCH(H826,""মূর্খ|"&amp;"ভণ্ড|প্রতার|অলস|লোভ|স্বার্থ|অক্ষম|অযোগ্য|বোকা|কৃপণ|হিংস"")),""valence-target অমিল"",""""),IF(COUNTIF($B:$B,B826)&gt;1,""ডুপ্লিকেট"",""""))"),"figurative ছোট")</f>
        <v>figurative ছোট</v>
      </c>
      <c r="Q826" s="5" t="str">
        <f t="shared" si="1"/>
        <v>১ আগে দেখো</v>
      </c>
    </row>
    <row r="827">
      <c r="A827" s="4">
        <v>6239.0</v>
      </c>
      <c r="B827" s="2" t="s">
        <v>3620</v>
      </c>
      <c r="C827" s="2" t="s">
        <v>3621</v>
      </c>
      <c r="D827" s="2" t="s">
        <v>3622</v>
      </c>
      <c r="E827" s="2" t="s">
        <v>3623</v>
      </c>
      <c r="F827" s="2" t="b">
        <v>1</v>
      </c>
      <c r="G827" s="2" t="b">
        <v>0</v>
      </c>
      <c r="H827" s="2" t="s">
        <v>37</v>
      </c>
      <c r="I827" s="2" t="s">
        <v>32</v>
      </c>
      <c r="J827" s="2" t="s">
        <v>739</v>
      </c>
      <c r="K827" s="2" t="s">
        <v>495</v>
      </c>
      <c r="L827" s="13" t="s">
        <v>496</v>
      </c>
      <c r="M827" s="2" t="s">
        <v>26</v>
      </c>
      <c r="N827" s="11" t="s">
        <v>576</v>
      </c>
      <c r="O827" s="12" t="s">
        <v>53</v>
      </c>
      <c r="P827" s="5" t="str">
        <f>IFERROR(__xludf.DUMMYFUNCTION("TEXTJOIN("" | "",TRUE,IF(OR(D827="""",E827="""",I827="""",J827="""",H827=""""),""ফাঁকা ঘর"",""""),IF(AND(C827&lt;&gt;"""",D827&lt;&gt;"""",C827=D827),""gloss=figurative"",""""),IF(LEN(D827)&lt;15,""figurative ছোট"",""""),IF(AND(I827=""Positive"",REGEXMATCH(H827,""মূর্খ|"&amp;"ভণ্ড|প্রতার|অলস|লোভ|স্বার্থ|অক্ষম|অযোগ্য|বোকা|কৃপণ|হিংস"")),""valence-target অমিল"",""""),IF(COUNTIF($B:$B,B827)&gt;1,""ডুপ্লিকেট"",""""))"),"figurative ছোট")</f>
        <v>figurative ছোট</v>
      </c>
      <c r="Q827" s="5" t="str">
        <f t="shared" si="1"/>
        <v>১ আগে দেখো</v>
      </c>
    </row>
    <row r="828">
      <c r="A828" s="4">
        <v>6240.0</v>
      </c>
      <c r="B828" s="2" t="s">
        <v>3624</v>
      </c>
      <c r="C828" s="2" t="s">
        <v>3625</v>
      </c>
      <c r="D828" s="2" t="s">
        <v>3626</v>
      </c>
      <c r="E828" s="2" t="s">
        <v>3627</v>
      </c>
      <c r="F828" s="2" t="b">
        <v>1</v>
      </c>
      <c r="G828" s="2" t="b">
        <v>0</v>
      </c>
      <c r="H828" s="2" t="s">
        <v>37</v>
      </c>
      <c r="I828" s="2" t="s">
        <v>22</v>
      </c>
      <c r="J828" s="2" t="s">
        <v>723</v>
      </c>
      <c r="K828" s="2" t="s">
        <v>495</v>
      </c>
      <c r="L828" s="13" t="s">
        <v>496</v>
      </c>
      <c r="M828" s="2" t="s">
        <v>26</v>
      </c>
      <c r="N828" s="11" t="s">
        <v>576</v>
      </c>
      <c r="O828" s="12" t="s">
        <v>53</v>
      </c>
      <c r="P828" s="5" t="str">
        <f>IFERROR(__xludf.DUMMYFUNCTION("TEXTJOIN("" | "",TRUE,IF(OR(D828="""",E828="""",I828="""",J828="""",H828=""""),""ফাঁকা ঘর"",""""),IF(AND(C828&lt;&gt;"""",D828&lt;&gt;"""",C828=D828),""gloss=figurative"",""""),IF(LEN(D828)&lt;15,""figurative ছোট"",""""),IF(AND(I828=""Positive"",REGEXMATCH(H828,""মূর্খ|"&amp;"ভণ্ড|প্রতার|অলস|লোভ|স্বার্থ|অক্ষম|অযোগ্য|বোকা|কৃপণ|হিংস"")),""valence-target অমিল"",""""),IF(COUNTIF($B:$B,B828)&gt;1,""ডুপ্লিকেট"",""""))"),"figurative ছোট")</f>
        <v>figurative ছোট</v>
      </c>
      <c r="Q828" s="5" t="str">
        <f t="shared" si="1"/>
        <v>১ আগে দেখো</v>
      </c>
    </row>
    <row r="829">
      <c r="A829" s="4">
        <v>6241.0</v>
      </c>
      <c r="B829" s="2" t="s">
        <v>3628</v>
      </c>
      <c r="C829" s="2" t="s">
        <v>3629</v>
      </c>
      <c r="D829" s="2" t="s">
        <v>3630</v>
      </c>
      <c r="E829" s="2" t="s">
        <v>3631</v>
      </c>
      <c r="F829" s="2" t="b">
        <v>1</v>
      </c>
      <c r="G829" s="2" t="b">
        <v>0</v>
      </c>
      <c r="H829" s="2" t="s">
        <v>37</v>
      </c>
      <c r="I829" s="2" t="s">
        <v>22</v>
      </c>
      <c r="J829" s="2" t="s">
        <v>723</v>
      </c>
      <c r="K829" s="2" t="s">
        <v>495</v>
      </c>
      <c r="L829" s="13" t="s">
        <v>496</v>
      </c>
      <c r="M829" s="2" t="s">
        <v>26</v>
      </c>
      <c r="N829" s="11" t="s">
        <v>576</v>
      </c>
      <c r="O829" s="12" t="s">
        <v>53</v>
      </c>
      <c r="P829" s="5" t="str">
        <f>IFERROR(__xludf.DUMMYFUNCTION("TEXTJOIN("" | "",TRUE,IF(OR(D829="""",E829="""",I829="""",J829="""",H829=""""),""ফাঁকা ঘর"",""""),IF(AND(C829&lt;&gt;"""",D829&lt;&gt;"""",C829=D829),""gloss=figurative"",""""),IF(LEN(D829)&lt;15,""figurative ছোট"",""""),IF(AND(I829=""Positive"",REGEXMATCH(H829,""মূর্খ|"&amp;"ভণ্ড|প্রতার|অলস|লোভ|স্বার্থ|অক্ষম|অযোগ্য|বোকা|কৃপণ|হিংস"")),""valence-target অমিল"",""""),IF(COUNTIF($B:$B,B829)&gt;1,""ডুপ্লিকেট"",""""))"),"figurative ছোট")</f>
        <v>figurative ছোট</v>
      </c>
      <c r="Q829" s="5" t="str">
        <f t="shared" si="1"/>
        <v>১ আগে দেখো</v>
      </c>
    </row>
    <row r="830">
      <c r="A830" s="4">
        <v>6242.0</v>
      </c>
      <c r="B830" s="2" t="s">
        <v>3632</v>
      </c>
      <c r="C830" s="2" t="s">
        <v>3633</v>
      </c>
      <c r="D830" s="2" t="s">
        <v>3634</v>
      </c>
      <c r="E830" s="2" t="s">
        <v>3635</v>
      </c>
      <c r="F830" s="2" t="b">
        <v>1</v>
      </c>
      <c r="G830" s="2" t="b">
        <v>0</v>
      </c>
      <c r="H830" s="2" t="s">
        <v>1284</v>
      </c>
      <c r="I830" s="2" t="s">
        <v>22</v>
      </c>
      <c r="J830" s="2" t="s">
        <v>723</v>
      </c>
      <c r="K830" s="2" t="s">
        <v>495</v>
      </c>
      <c r="L830" s="13" t="s">
        <v>496</v>
      </c>
      <c r="M830" s="2" t="s">
        <v>26</v>
      </c>
      <c r="N830" s="11" t="s">
        <v>576</v>
      </c>
      <c r="O830" s="12" t="s">
        <v>53</v>
      </c>
      <c r="P830" s="5" t="str">
        <f>IFERROR(__xludf.DUMMYFUNCTION("TEXTJOIN("" | "",TRUE,IF(OR(D830="""",E830="""",I830="""",J830="""",H830=""""),""ফাঁকা ঘর"",""""),IF(AND(C830&lt;&gt;"""",D830&lt;&gt;"""",C830=D830),""gloss=figurative"",""""),IF(LEN(D830)&lt;15,""figurative ছোট"",""""),IF(AND(I830=""Positive"",REGEXMATCH(H830,""মূর্খ|"&amp;"ভণ্ড|প্রতার|অলস|লোভ|স্বার্থ|অক্ষম|অযোগ্য|বোকা|কৃপণ|হিংস"")),""valence-target অমিল"",""""),IF(COUNTIF($B:$B,B830)&gt;1,""ডুপ্লিকেট"",""""))"),"figurative ছোট")</f>
        <v>figurative ছোট</v>
      </c>
      <c r="Q830" s="5" t="str">
        <f t="shared" si="1"/>
        <v>১ আগে দেখো</v>
      </c>
    </row>
    <row r="831">
      <c r="A831" s="4">
        <v>6245.0</v>
      </c>
      <c r="B831" s="2" t="s">
        <v>3636</v>
      </c>
      <c r="C831" s="2" t="s">
        <v>3637</v>
      </c>
      <c r="D831" s="2" t="s">
        <v>1980</v>
      </c>
      <c r="E831" s="2" t="s">
        <v>3638</v>
      </c>
      <c r="F831" s="2" t="b">
        <v>1</v>
      </c>
      <c r="G831" s="2" t="b">
        <v>0</v>
      </c>
      <c r="H831" s="2" t="s">
        <v>37</v>
      </c>
      <c r="I831" s="2" t="s">
        <v>22</v>
      </c>
      <c r="J831" s="2" t="s">
        <v>820</v>
      </c>
      <c r="K831" s="2" t="s">
        <v>495</v>
      </c>
      <c r="L831" s="13" t="s">
        <v>496</v>
      </c>
      <c r="M831" s="2" t="s">
        <v>26</v>
      </c>
      <c r="N831" s="11" t="s">
        <v>576</v>
      </c>
      <c r="O831" s="12" t="s">
        <v>53</v>
      </c>
      <c r="P831" s="5" t="str">
        <f>IFERROR(__xludf.DUMMYFUNCTION("TEXTJOIN("" | "",TRUE,IF(OR(D831="""",E831="""",I831="""",J831="""",H831=""""),""ফাঁকা ঘর"",""""),IF(AND(C831&lt;&gt;"""",D831&lt;&gt;"""",C831=D831),""gloss=figurative"",""""),IF(LEN(D831)&lt;15,""figurative ছোট"",""""),IF(AND(I831=""Positive"",REGEXMATCH(H831,""মূর্খ|"&amp;"ভণ্ড|প্রতার|অলস|লোভ|স্বার্থ|অক্ষম|অযোগ্য|বোকা|কৃপণ|হিংস"")),""valence-target অমিল"",""""),IF(COUNTIF($B:$B,B831)&gt;1,""ডুপ্লিকেট"",""""))"),"figurative ছোট")</f>
        <v>figurative ছোট</v>
      </c>
      <c r="Q831" s="5" t="str">
        <f t="shared" si="1"/>
        <v>১ আগে দেখো</v>
      </c>
    </row>
    <row r="832">
      <c r="A832" s="4">
        <v>6246.0</v>
      </c>
      <c r="B832" s="2" t="s">
        <v>3639</v>
      </c>
      <c r="C832" s="2" t="s">
        <v>3640</v>
      </c>
      <c r="D832" s="2" t="s">
        <v>3641</v>
      </c>
      <c r="E832" s="2" t="s">
        <v>3642</v>
      </c>
      <c r="F832" s="2" t="b">
        <v>1</v>
      </c>
      <c r="G832" s="2" t="b">
        <v>0</v>
      </c>
      <c r="H832" s="2" t="s">
        <v>37</v>
      </c>
      <c r="I832" s="2" t="s">
        <v>22</v>
      </c>
      <c r="J832" s="2" t="s">
        <v>3643</v>
      </c>
      <c r="K832" s="2" t="s">
        <v>495</v>
      </c>
      <c r="L832" s="13" t="s">
        <v>496</v>
      </c>
      <c r="M832" s="2" t="s">
        <v>26</v>
      </c>
      <c r="N832" s="11" t="s">
        <v>576</v>
      </c>
      <c r="O832" s="12" t="s">
        <v>53</v>
      </c>
      <c r="P832" s="5" t="str">
        <f>IFERROR(__xludf.DUMMYFUNCTION("TEXTJOIN("" | "",TRUE,IF(OR(D832="""",E832="""",I832="""",J832="""",H832=""""),""ফাঁকা ঘর"",""""),IF(AND(C832&lt;&gt;"""",D832&lt;&gt;"""",C832=D832),""gloss=figurative"",""""),IF(LEN(D832)&lt;15,""figurative ছোট"",""""),IF(AND(I832=""Positive"",REGEXMATCH(H832,""মূর্খ|"&amp;"ভণ্ড|প্রতার|অলস|লোভ|স্বার্থ|অক্ষম|অযোগ্য|বোকা|কৃপণ|হিংস"")),""valence-target অমিল"",""""),IF(COUNTIF($B:$B,B832)&gt;1,""ডুপ্লিকেট"",""""))"),"figurative ছোট")</f>
        <v>figurative ছোট</v>
      </c>
      <c r="Q832" s="5" t="str">
        <f t="shared" si="1"/>
        <v>১ আগে দেখো</v>
      </c>
    </row>
    <row r="833">
      <c r="A833" s="4">
        <v>6247.0</v>
      </c>
      <c r="B833" s="2" t="s">
        <v>3644</v>
      </c>
      <c r="C833" s="2" t="s">
        <v>3645</v>
      </c>
      <c r="D833" s="2" t="s">
        <v>3646</v>
      </c>
      <c r="E833" s="2" t="s">
        <v>3647</v>
      </c>
      <c r="F833" s="2" t="b">
        <v>1</v>
      </c>
      <c r="G833" s="2" t="b">
        <v>0</v>
      </c>
      <c r="H833" s="2" t="s">
        <v>37</v>
      </c>
      <c r="I833" s="2" t="s">
        <v>22</v>
      </c>
      <c r="J833" s="2" t="s">
        <v>2624</v>
      </c>
      <c r="K833" s="2" t="s">
        <v>495</v>
      </c>
      <c r="L833" s="13" t="s">
        <v>496</v>
      </c>
      <c r="M833" s="2" t="s">
        <v>26</v>
      </c>
      <c r="N833" s="11" t="s">
        <v>576</v>
      </c>
      <c r="O833" s="12" t="s">
        <v>53</v>
      </c>
      <c r="P833" s="5" t="str">
        <f>IFERROR(__xludf.DUMMYFUNCTION("TEXTJOIN("" | "",TRUE,IF(OR(D833="""",E833="""",I833="""",J833="""",H833=""""),""ফাঁকা ঘর"",""""),IF(AND(C833&lt;&gt;"""",D833&lt;&gt;"""",C833=D833),""gloss=figurative"",""""),IF(LEN(D833)&lt;15,""figurative ছোট"",""""),IF(AND(I833=""Positive"",REGEXMATCH(H833,""মূর্খ|"&amp;"ভণ্ড|প্রতার|অলস|লোভ|স্বার্থ|অক্ষম|অযোগ্য|বোকা|কৃপণ|হিংস"")),""valence-target অমিল"",""""),IF(COUNTIF($B:$B,B833)&gt;1,""ডুপ্লিকেট"",""""))"),"figurative ছোট")</f>
        <v>figurative ছোট</v>
      </c>
      <c r="Q833" s="5" t="str">
        <f t="shared" si="1"/>
        <v>১ আগে দেখো</v>
      </c>
    </row>
    <row r="834">
      <c r="A834" s="4">
        <v>6248.0</v>
      </c>
      <c r="B834" s="2" t="s">
        <v>3648</v>
      </c>
      <c r="C834" s="2" t="s">
        <v>3649</v>
      </c>
      <c r="D834" s="2" t="s">
        <v>1254</v>
      </c>
      <c r="E834" s="2" t="s">
        <v>3650</v>
      </c>
      <c r="F834" s="2" t="b">
        <v>1</v>
      </c>
      <c r="G834" s="2" t="b">
        <v>0</v>
      </c>
      <c r="H834" s="2" t="s">
        <v>37</v>
      </c>
      <c r="I834" s="2" t="s">
        <v>49</v>
      </c>
      <c r="J834" s="2" t="s">
        <v>1254</v>
      </c>
      <c r="K834" s="2" t="s">
        <v>495</v>
      </c>
      <c r="L834" s="13" t="s">
        <v>496</v>
      </c>
      <c r="M834" s="2" t="s">
        <v>26</v>
      </c>
      <c r="N834" s="11" t="s">
        <v>576</v>
      </c>
      <c r="O834" s="12" t="s">
        <v>53</v>
      </c>
      <c r="P834" s="5" t="str">
        <f>IFERROR(__xludf.DUMMYFUNCTION("TEXTJOIN("" | "",TRUE,IF(OR(D834="""",E834="""",I834="""",J834="""",H834=""""),""ফাঁকা ঘর"",""""),IF(AND(C834&lt;&gt;"""",D834&lt;&gt;"""",C834=D834),""gloss=figurative"",""""),IF(LEN(D834)&lt;15,""figurative ছোট"",""""),IF(AND(I834=""Positive"",REGEXMATCH(H834,""মূর্খ|"&amp;"ভণ্ড|প্রতার|অলস|লোভ|স্বার্থ|অক্ষম|অযোগ্য|বোকা|কৃপণ|হিংস"")),""valence-target অমিল"",""""),IF(COUNTIF($B:$B,B834)&gt;1,""ডুপ্লিকেট"",""""))"),"figurative ছোট")</f>
        <v>figurative ছোট</v>
      </c>
      <c r="Q834" s="5" t="str">
        <f t="shared" si="1"/>
        <v>১ আগে দেখো</v>
      </c>
    </row>
    <row r="835">
      <c r="A835" s="4">
        <v>6249.0</v>
      </c>
      <c r="B835" s="2" t="s">
        <v>3651</v>
      </c>
      <c r="C835" s="2" t="s">
        <v>3652</v>
      </c>
      <c r="D835" s="2" t="s">
        <v>3653</v>
      </c>
      <c r="E835" s="2" t="s">
        <v>3654</v>
      </c>
      <c r="F835" s="2" t="b">
        <v>1</v>
      </c>
      <c r="G835" s="2" t="b">
        <v>0</v>
      </c>
      <c r="H835" s="2" t="s">
        <v>37</v>
      </c>
      <c r="I835" s="2" t="s">
        <v>49</v>
      </c>
      <c r="J835" s="2" t="s">
        <v>830</v>
      </c>
      <c r="K835" s="2" t="s">
        <v>495</v>
      </c>
      <c r="L835" s="13" t="s">
        <v>496</v>
      </c>
      <c r="M835" s="2" t="s">
        <v>26</v>
      </c>
      <c r="N835" s="11" t="s">
        <v>576</v>
      </c>
      <c r="O835" s="12" t="s">
        <v>53</v>
      </c>
      <c r="P835" s="5" t="str">
        <f>IFERROR(__xludf.DUMMYFUNCTION("TEXTJOIN("" | "",TRUE,IF(OR(D835="""",E835="""",I835="""",J835="""",H835=""""),""ফাঁকা ঘর"",""""),IF(AND(C835&lt;&gt;"""",D835&lt;&gt;"""",C835=D835),""gloss=figurative"",""""),IF(LEN(D835)&lt;15,""figurative ছোট"",""""),IF(AND(I835=""Positive"",REGEXMATCH(H835,""মূর্খ|"&amp;"ভণ্ড|প্রতার|অলস|লোভ|স্বার্থ|অক্ষম|অযোগ্য|বোকা|কৃপণ|হিংস"")),""valence-target অমিল"",""""),IF(COUNTIF($B:$B,B835)&gt;1,""ডুপ্লিকেট"",""""))"),"figurative ছোট")</f>
        <v>figurative ছোট</v>
      </c>
      <c r="Q835" s="5" t="str">
        <f t="shared" si="1"/>
        <v>১ আগে দেখো</v>
      </c>
    </row>
    <row r="836">
      <c r="A836" s="4">
        <v>6250.0</v>
      </c>
      <c r="B836" s="2" t="s">
        <v>3655</v>
      </c>
      <c r="C836" s="2" t="s">
        <v>3656</v>
      </c>
      <c r="D836" s="2" t="s">
        <v>3657</v>
      </c>
      <c r="E836" s="2" t="s">
        <v>3658</v>
      </c>
      <c r="F836" s="2" t="b">
        <v>1</v>
      </c>
      <c r="G836" s="2" t="b">
        <v>0</v>
      </c>
      <c r="H836" s="2" t="s">
        <v>37</v>
      </c>
      <c r="I836" s="2" t="s">
        <v>49</v>
      </c>
      <c r="J836" s="2" t="s">
        <v>708</v>
      </c>
      <c r="K836" s="2" t="s">
        <v>495</v>
      </c>
      <c r="L836" s="13" t="s">
        <v>496</v>
      </c>
      <c r="M836" s="2" t="s">
        <v>26</v>
      </c>
      <c r="N836" s="11" t="s">
        <v>576</v>
      </c>
      <c r="O836" s="12" t="s">
        <v>53</v>
      </c>
      <c r="P836" s="5" t="str">
        <f>IFERROR(__xludf.DUMMYFUNCTION("TEXTJOIN("" | "",TRUE,IF(OR(D836="""",E836="""",I836="""",J836="""",H836=""""),""ফাঁকা ঘর"",""""),IF(AND(C836&lt;&gt;"""",D836&lt;&gt;"""",C836=D836),""gloss=figurative"",""""),IF(LEN(D836)&lt;15,""figurative ছোট"",""""),IF(AND(I836=""Positive"",REGEXMATCH(H836,""মূর্খ|"&amp;"ভণ্ড|প্রতার|অলস|লোভ|স্বার্থ|অক্ষম|অযোগ্য|বোকা|কৃপণ|হিংস"")),""valence-target অমিল"",""""),IF(COUNTIF($B:$B,B836)&gt;1,""ডুপ্লিকেট"",""""))"),"figurative ছোট")</f>
        <v>figurative ছোট</v>
      </c>
      <c r="Q836" s="5" t="str">
        <f t="shared" si="1"/>
        <v>১ আগে দেখো</v>
      </c>
    </row>
    <row r="837">
      <c r="A837" s="4">
        <v>6253.0</v>
      </c>
      <c r="B837" s="2" t="s">
        <v>3659</v>
      </c>
      <c r="C837" s="2" t="s">
        <v>3660</v>
      </c>
      <c r="D837" s="2" t="s">
        <v>3661</v>
      </c>
      <c r="E837" s="2" t="s">
        <v>3662</v>
      </c>
      <c r="F837" s="2" t="b">
        <v>1</v>
      </c>
      <c r="G837" s="2" t="b">
        <v>0</v>
      </c>
      <c r="H837" s="2" t="s">
        <v>37</v>
      </c>
      <c r="I837" s="2" t="s">
        <v>22</v>
      </c>
      <c r="J837" s="2" t="s">
        <v>3661</v>
      </c>
      <c r="K837" s="2" t="s">
        <v>495</v>
      </c>
      <c r="L837" s="13" t="s">
        <v>496</v>
      </c>
      <c r="M837" s="2" t="s">
        <v>26</v>
      </c>
      <c r="N837" s="11" t="s">
        <v>576</v>
      </c>
      <c r="O837" s="12" t="s">
        <v>53</v>
      </c>
      <c r="P837" s="5" t="str">
        <f>IFERROR(__xludf.DUMMYFUNCTION("TEXTJOIN("" | "",TRUE,IF(OR(D837="""",E837="""",I837="""",J837="""",H837=""""),""ফাঁকা ঘর"",""""),IF(AND(C837&lt;&gt;"""",D837&lt;&gt;"""",C837=D837),""gloss=figurative"",""""),IF(LEN(D837)&lt;15,""figurative ছোট"",""""),IF(AND(I837=""Positive"",REGEXMATCH(H837,""মূর্খ|"&amp;"ভণ্ড|প্রতার|অলস|লোভ|স্বার্থ|অক্ষম|অযোগ্য|বোকা|কৃপণ|হিংস"")),""valence-target অমিল"",""""),IF(COUNTIF($B:$B,B837)&gt;1,""ডুপ্লিকেট"",""""))"),"figurative ছোট")</f>
        <v>figurative ছোট</v>
      </c>
      <c r="Q837" s="5" t="str">
        <f t="shared" si="1"/>
        <v>১ আগে দেখো</v>
      </c>
    </row>
    <row r="838">
      <c r="A838" s="4">
        <v>6254.0</v>
      </c>
      <c r="B838" s="2" t="s">
        <v>3663</v>
      </c>
      <c r="C838" s="2" t="s">
        <v>3664</v>
      </c>
      <c r="D838" s="2" t="s">
        <v>2243</v>
      </c>
      <c r="E838" s="2" t="s">
        <v>3665</v>
      </c>
      <c r="F838" s="2" t="b">
        <v>1</v>
      </c>
      <c r="G838" s="2" t="b">
        <v>0</v>
      </c>
      <c r="H838" s="2" t="s">
        <v>2243</v>
      </c>
      <c r="I838" s="2" t="s">
        <v>22</v>
      </c>
      <c r="J838" s="2" t="s">
        <v>820</v>
      </c>
      <c r="K838" s="2" t="s">
        <v>495</v>
      </c>
      <c r="L838" s="13" t="s">
        <v>496</v>
      </c>
      <c r="M838" s="2" t="s">
        <v>26</v>
      </c>
      <c r="N838" s="11" t="s">
        <v>576</v>
      </c>
      <c r="O838" s="12" t="s">
        <v>53</v>
      </c>
      <c r="P838" s="5" t="str">
        <f>IFERROR(__xludf.DUMMYFUNCTION("TEXTJOIN("" | "",TRUE,IF(OR(D838="""",E838="""",I838="""",J838="""",H838=""""),""ফাঁকা ঘর"",""""),IF(AND(C838&lt;&gt;"""",D838&lt;&gt;"""",C838=D838),""gloss=figurative"",""""),IF(LEN(D838)&lt;15,""figurative ছোট"",""""),IF(AND(I838=""Positive"",REGEXMATCH(H838,""মূর্খ|"&amp;"ভণ্ড|প্রতার|অলস|লোভ|স্বার্থ|অক্ষম|অযোগ্য|বোকা|কৃপণ|হিংস"")),""valence-target অমিল"",""""),IF(COUNTIF($B:$B,B838)&gt;1,""ডুপ্লিকেট"",""""))"),"figurative ছোট")</f>
        <v>figurative ছোট</v>
      </c>
      <c r="Q838" s="5" t="str">
        <f t="shared" si="1"/>
        <v>১ আগে দেখো</v>
      </c>
    </row>
    <row r="839">
      <c r="A839" s="4">
        <v>6258.0</v>
      </c>
      <c r="B839" s="2" t="s">
        <v>3666</v>
      </c>
      <c r="C839" s="2" t="s">
        <v>3667</v>
      </c>
      <c r="D839" s="2" t="s">
        <v>3668</v>
      </c>
      <c r="E839" s="2" t="s">
        <v>3669</v>
      </c>
      <c r="F839" s="2" t="b">
        <v>1</v>
      </c>
      <c r="G839" s="2" t="b">
        <v>0</v>
      </c>
      <c r="H839" s="2" t="s">
        <v>37</v>
      </c>
      <c r="I839" s="2" t="s">
        <v>22</v>
      </c>
      <c r="J839" s="2" t="s">
        <v>1038</v>
      </c>
      <c r="K839" s="2" t="s">
        <v>495</v>
      </c>
      <c r="L839" s="13" t="s">
        <v>496</v>
      </c>
      <c r="M839" s="2" t="s">
        <v>26</v>
      </c>
      <c r="N839" s="11" t="s">
        <v>576</v>
      </c>
      <c r="O839" s="12" t="s">
        <v>53</v>
      </c>
      <c r="P839" s="5" t="str">
        <f>IFERROR(__xludf.DUMMYFUNCTION("TEXTJOIN("" | "",TRUE,IF(OR(D839="""",E839="""",I839="""",J839="""",H839=""""),""ফাঁকা ঘর"",""""),IF(AND(C839&lt;&gt;"""",D839&lt;&gt;"""",C839=D839),""gloss=figurative"",""""),IF(LEN(D839)&lt;15,""figurative ছোট"",""""),IF(AND(I839=""Positive"",REGEXMATCH(H839,""মূর্খ|"&amp;"ভণ্ড|প্রতার|অলস|লোভ|স্বার্থ|অক্ষম|অযোগ্য|বোকা|কৃপণ|হিংস"")),""valence-target অমিল"",""""),IF(COUNTIF($B:$B,B839)&gt;1,""ডুপ্লিকেট"",""""))"),"figurative ছোট")</f>
        <v>figurative ছোট</v>
      </c>
      <c r="Q839" s="5" t="str">
        <f t="shared" si="1"/>
        <v>১ আগে দেখো</v>
      </c>
    </row>
    <row r="840">
      <c r="A840" s="4">
        <v>6259.0</v>
      </c>
      <c r="B840" s="2" t="s">
        <v>3670</v>
      </c>
      <c r="C840" s="2" t="s">
        <v>3671</v>
      </c>
      <c r="D840" s="2" t="s">
        <v>2273</v>
      </c>
      <c r="E840" s="2" t="s">
        <v>3672</v>
      </c>
      <c r="F840" s="2" t="b">
        <v>1</v>
      </c>
      <c r="G840" s="2" t="b">
        <v>0</v>
      </c>
      <c r="H840" s="2" t="s">
        <v>37</v>
      </c>
      <c r="I840" s="2" t="s">
        <v>49</v>
      </c>
      <c r="J840" s="2" t="s">
        <v>2273</v>
      </c>
      <c r="K840" s="2" t="s">
        <v>495</v>
      </c>
      <c r="L840" s="13" t="s">
        <v>496</v>
      </c>
      <c r="M840" s="2" t="s">
        <v>26</v>
      </c>
      <c r="N840" s="11" t="s">
        <v>576</v>
      </c>
      <c r="O840" s="12" t="s">
        <v>53</v>
      </c>
      <c r="P840" s="5" t="str">
        <f>IFERROR(__xludf.DUMMYFUNCTION("TEXTJOIN("" | "",TRUE,IF(OR(D840="""",E840="""",I840="""",J840="""",H840=""""),""ফাঁকা ঘর"",""""),IF(AND(C840&lt;&gt;"""",D840&lt;&gt;"""",C840=D840),""gloss=figurative"",""""),IF(LEN(D840)&lt;15,""figurative ছোট"",""""),IF(AND(I840=""Positive"",REGEXMATCH(H840,""মূর্খ|"&amp;"ভণ্ড|প্রতার|অলস|লোভ|স্বার্থ|অক্ষম|অযোগ্য|বোকা|কৃপণ|হিংস"")),""valence-target অমিল"",""""),IF(COUNTIF($B:$B,B840)&gt;1,""ডুপ্লিকেট"",""""))"),"figurative ছোট")</f>
        <v>figurative ছোট</v>
      </c>
      <c r="Q840" s="5" t="str">
        <f t="shared" si="1"/>
        <v>১ আগে দেখো</v>
      </c>
    </row>
    <row r="841">
      <c r="A841" s="4">
        <v>6260.0</v>
      </c>
      <c r="B841" s="2" t="s">
        <v>3673</v>
      </c>
      <c r="C841" s="2" t="s">
        <v>3674</v>
      </c>
      <c r="D841" s="2" t="s">
        <v>3653</v>
      </c>
      <c r="E841" s="2" t="s">
        <v>3675</v>
      </c>
      <c r="F841" s="2" t="b">
        <v>1</v>
      </c>
      <c r="G841" s="2" t="b">
        <v>0</v>
      </c>
      <c r="H841" s="2" t="s">
        <v>37</v>
      </c>
      <c r="I841" s="2" t="s">
        <v>49</v>
      </c>
      <c r="J841" s="2" t="s">
        <v>830</v>
      </c>
      <c r="K841" s="2" t="s">
        <v>495</v>
      </c>
      <c r="L841" s="13" t="s">
        <v>496</v>
      </c>
      <c r="M841" s="2" t="s">
        <v>26</v>
      </c>
      <c r="N841" s="11" t="s">
        <v>576</v>
      </c>
      <c r="O841" s="12" t="s">
        <v>53</v>
      </c>
      <c r="P841" s="5" t="str">
        <f>IFERROR(__xludf.DUMMYFUNCTION("TEXTJOIN("" | "",TRUE,IF(OR(D841="""",E841="""",I841="""",J841="""",H841=""""),""ফাঁকা ঘর"",""""),IF(AND(C841&lt;&gt;"""",D841&lt;&gt;"""",C841=D841),""gloss=figurative"",""""),IF(LEN(D841)&lt;15,""figurative ছোট"",""""),IF(AND(I841=""Positive"",REGEXMATCH(H841,""মূর্খ|"&amp;"ভণ্ড|প্রতার|অলস|লোভ|স্বার্থ|অক্ষম|অযোগ্য|বোকা|কৃপণ|হিংস"")),""valence-target অমিল"",""""),IF(COUNTIF($B:$B,B841)&gt;1,""ডুপ্লিকেট"",""""))"),"figurative ছোট")</f>
        <v>figurative ছোট</v>
      </c>
      <c r="Q841" s="5" t="str">
        <f t="shared" si="1"/>
        <v>১ আগে দেখো</v>
      </c>
    </row>
    <row r="842">
      <c r="A842" s="4">
        <v>6261.0</v>
      </c>
      <c r="B842" s="2" t="s">
        <v>3676</v>
      </c>
      <c r="C842" s="2" t="s">
        <v>3677</v>
      </c>
      <c r="D842" s="2" t="s">
        <v>3678</v>
      </c>
      <c r="E842" s="2" t="s">
        <v>3679</v>
      </c>
      <c r="F842" s="2" t="b">
        <v>1</v>
      </c>
      <c r="G842" s="2" t="b">
        <v>0</v>
      </c>
      <c r="H842" s="2" t="s">
        <v>37</v>
      </c>
      <c r="I842" s="2" t="s">
        <v>49</v>
      </c>
      <c r="J842" s="2" t="s">
        <v>3680</v>
      </c>
      <c r="K842" s="2" t="s">
        <v>495</v>
      </c>
      <c r="L842" s="13" t="s">
        <v>496</v>
      </c>
      <c r="M842" s="2" t="s">
        <v>26</v>
      </c>
      <c r="N842" s="11" t="s">
        <v>576</v>
      </c>
      <c r="O842" s="12" t="s">
        <v>53</v>
      </c>
      <c r="P842" s="5" t="str">
        <f>IFERROR(__xludf.DUMMYFUNCTION("TEXTJOIN("" | "",TRUE,IF(OR(D842="""",E842="""",I842="""",J842="""",H842=""""),""ফাঁকা ঘর"",""""),IF(AND(C842&lt;&gt;"""",D842&lt;&gt;"""",C842=D842),""gloss=figurative"",""""),IF(LEN(D842)&lt;15,""figurative ছোট"",""""),IF(AND(I842=""Positive"",REGEXMATCH(H842,""মূর্খ|"&amp;"ভণ্ড|প্রতার|অলস|লোভ|স্বার্থ|অক্ষম|অযোগ্য|বোকা|কৃপণ|হিংস"")),""valence-target অমিল"",""""),IF(COUNTIF($B:$B,B842)&gt;1,""ডুপ্লিকেট"",""""))"),"figurative ছোট")</f>
        <v>figurative ছোট</v>
      </c>
      <c r="Q842" s="5" t="str">
        <f t="shared" si="1"/>
        <v>১ আগে দেখো</v>
      </c>
    </row>
    <row r="843">
      <c r="A843" s="4">
        <v>6262.0</v>
      </c>
      <c r="B843" s="2" t="s">
        <v>3681</v>
      </c>
      <c r="C843" s="2" t="s">
        <v>3681</v>
      </c>
      <c r="D843" s="2" t="s">
        <v>3682</v>
      </c>
      <c r="E843" s="2" t="s">
        <v>3683</v>
      </c>
      <c r="F843" s="2" t="b">
        <v>1</v>
      </c>
      <c r="G843" s="2" t="b">
        <v>0</v>
      </c>
      <c r="H843" s="2" t="s">
        <v>37</v>
      </c>
      <c r="I843" s="2" t="s">
        <v>49</v>
      </c>
      <c r="J843" s="2" t="s">
        <v>3684</v>
      </c>
      <c r="K843" s="2" t="s">
        <v>495</v>
      </c>
      <c r="L843" s="13" t="s">
        <v>496</v>
      </c>
      <c r="M843" s="2" t="s">
        <v>26</v>
      </c>
      <c r="N843" s="11" t="s">
        <v>576</v>
      </c>
      <c r="O843" s="12" t="s">
        <v>53</v>
      </c>
      <c r="P843" s="5" t="str">
        <f>IFERROR(__xludf.DUMMYFUNCTION("TEXTJOIN("" | "",TRUE,IF(OR(D843="""",E843="""",I843="""",J843="""",H843=""""),""ফাঁকা ঘর"",""""),IF(AND(C843&lt;&gt;"""",D843&lt;&gt;"""",C843=D843),""gloss=figurative"",""""),IF(LEN(D843)&lt;15,""figurative ছোট"",""""),IF(AND(I843=""Positive"",REGEXMATCH(H843,""মূর্খ|"&amp;"ভণ্ড|প্রতার|অলস|লোভ|স্বার্থ|অক্ষম|অযোগ্য|বোকা|কৃপণ|হিংস"")),""valence-target অমিল"",""""),IF(COUNTIF($B:$B,B843)&gt;1,""ডুপ্লিকেট"",""""))"),"figurative ছোট")</f>
        <v>figurative ছোট</v>
      </c>
      <c r="Q843" s="5" t="str">
        <f t="shared" si="1"/>
        <v>১ আগে দেখো</v>
      </c>
    </row>
    <row r="844">
      <c r="A844" s="4">
        <v>6263.0</v>
      </c>
      <c r="B844" s="2" t="s">
        <v>3685</v>
      </c>
      <c r="C844" s="2" t="s">
        <v>3685</v>
      </c>
      <c r="D844" s="2" t="s">
        <v>3686</v>
      </c>
      <c r="E844" s="2" t="s">
        <v>3687</v>
      </c>
      <c r="F844" s="2" t="b">
        <v>1</v>
      </c>
      <c r="G844" s="2" t="b">
        <v>1</v>
      </c>
      <c r="H844" s="2" t="s">
        <v>1106</v>
      </c>
      <c r="I844" s="2" t="s">
        <v>22</v>
      </c>
      <c r="J844" s="2" t="s">
        <v>1315</v>
      </c>
      <c r="K844" s="2" t="s">
        <v>495</v>
      </c>
      <c r="L844" s="13" t="s">
        <v>496</v>
      </c>
      <c r="M844" s="2" t="s">
        <v>26</v>
      </c>
      <c r="N844" s="11" t="s">
        <v>576</v>
      </c>
      <c r="O844" s="12" t="s">
        <v>53</v>
      </c>
      <c r="P844" s="5" t="str">
        <f>IFERROR(__xludf.DUMMYFUNCTION("TEXTJOIN("" | "",TRUE,IF(OR(D844="""",E844="""",I844="""",J844="""",H844=""""),""ফাঁকা ঘর"",""""),IF(AND(C844&lt;&gt;"""",D844&lt;&gt;"""",C844=D844),""gloss=figurative"",""""),IF(LEN(D844)&lt;15,""figurative ছোট"",""""),IF(AND(I844=""Positive"",REGEXMATCH(H844,""মূর্খ|"&amp;"ভণ্ড|প্রতার|অলস|লোভ|স্বার্থ|অক্ষম|অযোগ্য|বোকা|কৃপণ|হিংস"")),""valence-target অমিল"",""""),IF(COUNTIF($B:$B,B844)&gt;1,""ডুপ্লিকেট"",""""))"),"figurative ছোট")</f>
        <v>figurative ছোট</v>
      </c>
      <c r="Q844" s="5" t="str">
        <f t="shared" si="1"/>
        <v>১ আগে দেখো</v>
      </c>
    </row>
    <row r="845">
      <c r="A845" s="4">
        <v>6264.0</v>
      </c>
      <c r="B845" s="2" t="s">
        <v>3688</v>
      </c>
      <c r="C845" s="2" t="s">
        <v>3688</v>
      </c>
      <c r="D845" s="2" t="s">
        <v>3689</v>
      </c>
      <c r="E845" s="2" t="s">
        <v>3690</v>
      </c>
      <c r="F845" s="2" t="b">
        <v>1</v>
      </c>
      <c r="G845" s="2" t="b">
        <v>0</v>
      </c>
      <c r="H845" s="2" t="s">
        <v>37</v>
      </c>
      <c r="I845" s="2" t="s">
        <v>22</v>
      </c>
      <c r="J845" s="2" t="s">
        <v>225</v>
      </c>
      <c r="K845" s="2" t="s">
        <v>495</v>
      </c>
      <c r="L845" s="13" t="s">
        <v>496</v>
      </c>
      <c r="M845" s="2" t="s">
        <v>26</v>
      </c>
      <c r="N845" s="11" t="s">
        <v>576</v>
      </c>
      <c r="O845" s="12" t="s">
        <v>53</v>
      </c>
      <c r="P845" s="5" t="str">
        <f>IFERROR(__xludf.DUMMYFUNCTION("TEXTJOIN("" | "",TRUE,IF(OR(D845="""",E845="""",I845="""",J845="""",H845=""""),""ফাঁকা ঘর"",""""),IF(AND(C845&lt;&gt;"""",D845&lt;&gt;"""",C845=D845),""gloss=figurative"",""""),IF(LEN(D845)&lt;15,""figurative ছোট"",""""),IF(AND(I845=""Positive"",REGEXMATCH(H845,""মূর্খ|"&amp;"ভণ্ড|প্রতার|অলস|লোভ|স্বার্থ|অক্ষম|অযোগ্য|বোকা|কৃপণ|হিংস"")),""valence-target অমিল"",""""),IF(COUNTIF($B:$B,B845)&gt;1,""ডুপ্লিকেট"",""""))"),"figurative ছোট")</f>
        <v>figurative ছোট</v>
      </c>
      <c r="Q845" s="5" t="str">
        <f t="shared" si="1"/>
        <v>১ আগে দেখো</v>
      </c>
    </row>
    <row r="846">
      <c r="A846" s="4">
        <v>6265.0</v>
      </c>
      <c r="B846" s="2" t="s">
        <v>3691</v>
      </c>
      <c r="C846" s="2" t="s">
        <v>3691</v>
      </c>
      <c r="D846" s="2" t="s">
        <v>3692</v>
      </c>
      <c r="E846" s="2" t="s">
        <v>3693</v>
      </c>
      <c r="F846" s="2" t="b">
        <v>1</v>
      </c>
      <c r="G846" s="2" t="b">
        <v>0</v>
      </c>
      <c r="H846" s="2" t="s">
        <v>37</v>
      </c>
      <c r="I846" s="2" t="s">
        <v>22</v>
      </c>
      <c r="J846" s="2" t="s">
        <v>3694</v>
      </c>
      <c r="K846" s="2" t="s">
        <v>495</v>
      </c>
      <c r="L846" s="13" t="s">
        <v>496</v>
      </c>
      <c r="M846" s="2" t="s">
        <v>26</v>
      </c>
      <c r="N846" s="11" t="s">
        <v>576</v>
      </c>
      <c r="O846" s="12" t="s">
        <v>53</v>
      </c>
      <c r="P846" s="5" t="str">
        <f>IFERROR(__xludf.DUMMYFUNCTION("TEXTJOIN("" | "",TRUE,IF(OR(D846="""",E846="""",I846="""",J846="""",H846=""""),""ফাঁকা ঘর"",""""),IF(AND(C846&lt;&gt;"""",D846&lt;&gt;"""",C846=D846),""gloss=figurative"",""""),IF(LEN(D846)&lt;15,""figurative ছোট"",""""),IF(AND(I846=""Positive"",REGEXMATCH(H846,""মূর্খ|"&amp;"ভণ্ড|প্রতার|অলস|লোভ|স্বার্থ|অক্ষম|অযোগ্য|বোকা|কৃপণ|হিংস"")),""valence-target অমিল"",""""),IF(COUNTIF($B:$B,B846)&gt;1,""ডুপ্লিকেট"",""""))"),"figurative ছোট")</f>
        <v>figurative ছোট</v>
      </c>
      <c r="Q846" s="5" t="str">
        <f t="shared" si="1"/>
        <v>১ আগে দেখো</v>
      </c>
    </row>
    <row r="847">
      <c r="A847" s="4">
        <v>6266.0</v>
      </c>
      <c r="B847" s="2" t="s">
        <v>3695</v>
      </c>
      <c r="C847" s="2" t="s">
        <v>3696</v>
      </c>
      <c r="D847" s="2" t="s">
        <v>3697</v>
      </c>
      <c r="E847" s="2" t="s">
        <v>3698</v>
      </c>
      <c r="F847" s="2" t="b">
        <v>1</v>
      </c>
      <c r="G847" s="2" t="b">
        <v>0</v>
      </c>
      <c r="H847" s="2" t="s">
        <v>37</v>
      </c>
      <c r="I847" s="2" t="s">
        <v>22</v>
      </c>
      <c r="J847" s="2" t="s">
        <v>1603</v>
      </c>
      <c r="K847" s="2" t="s">
        <v>495</v>
      </c>
      <c r="L847" s="13" t="s">
        <v>496</v>
      </c>
      <c r="M847" s="2" t="s">
        <v>26</v>
      </c>
      <c r="N847" s="11" t="s">
        <v>576</v>
      </c>
      <c r="O847" s="12" t="s">
        <v>53</v>
      </c>
      <c r="P847" s="5" t="str">
        <f>IFERROR(__xludf.DUMMYFUNCTION("TEXTJOIN("" | "",TRUE,IF(OR(D847="""",E847="""",I847="""",J847="""",H847=""""),""ফাঁকা ঘর"",""""),IF(AND(C847&lt;&gt;"""",D847&lt;&gt;"""",C847=D847),""gloss=figurative"",""""),IF(LEN(D847)&lt;15,""figurative ছোট"",""""),IF(AND(I847=""Positive"",REGEXMATCH(H847,""মূর্খ|"&amp;"ভণ্ড|প্রতার|অলস|লোভ|স্বার্থ|অক্ষম|অযোগ্য|বোকা|কৃপণ|হিংস"")),""valence-target অমিল"",""""),IF(COUNTIF($B:$B,B847)&gt;1,""ডুপ্লিকেট"",""""))"),"figurative ছোট")</f>
        <v>figurative ছোট</v>
      </c>
      <c r="Q847" s="5" t="str">
        <f t="shared" si="1"/>
        <v>১ আগে দেখো</v>
      </c>
    </row>
    <row r="848">
      <c r="A848" s="4">
        <v>6268.0</v>
      </c>
      <c r="B848" s="2" t="s">
        <v>3699</v>
      </c>
      <c r="C848" s="2" t="s">
        <v>3700</v>
      </c>
      <c r="D848" s="2" t="s">
        <v>3701</v>
      </c>
      <c r="E848" s="2" t="s">
        <v>3702</v>
      </c>
      <c r="F848" s="2" t="b">
        <v>1</v>
      </c>
      <c r="G848" s="2" t="b">
        <v>0</v>
      </c>
      <c r="H848" s="2" t="s">
        <v>37</v>
      </c>
      <c r="I848" s="2" t="s">
        <v>49</v>
      </c>
      <c r="J848" s="2" t="s">
        <v>3701</v>
      </c>
      <c r="K848" s="2" t="s">
        <v>495</v>
      </c>
      <c r="L848" s="13" t="s">
        <v>496</v>
      </c>
      <c r="M848" s="2" t="s">
        <v>26</v>
      </c>
      <c r="N848" s="11" t="s">
        <v>576</v>
      </c>
      <c r="O848" s="12" t="s">
        <v>53</v>
      </c>
      <c r="P848" s="5" t="str">
        <f>IFERROR(__xludf.DUMMYFUNCTION("TEXTJOIN("" | "",TRUE,IF(OR(D848="""",E848="""",I848="""",J848="""",H848=""""),""ফাঁকা ঘর"",""""),IF(AND(C848&lt;&gt;"""",D848&lt;&gt;"""",C848=D848),""gloss=figurative"",""""),IF(LEN(D848)&lt;15,""figurative ছোট"",""""),IF(AND(I848=""Positive"",REGEXMATCH(H848,""মূর্খ|"&amp;"ভণ্ড|প্রতার|অলস|লোভ|স্বার্থ|অক্ষম|অযোগ্য|বোকা|কৃপণ|হিংস"")),""valence-target অমিল"",""""),IF(COUNTIF($B:$B,B848)&gt;1,""ডুপ্লিকেট"",""""))"),"figurative ছোট")</f>
        <v>figurative ছোট</v>
      </c>
      <c r="Q848" s="5" t="str">
        <f t="shared" si="1"/>
        <v>১ আগে দেখো</v>
      </c>
    </row>
    <row r="849">
      <c r="A849" s="4">
        <v>6269.0</v>
      </c>
      <c r="B849" s="2" t="s">
        <v>3703</v>
      </c>
      <c r="C849" s="2" t="s">
        <v>3703</v>
      </c>
      <c r="D849" s="2" t="s">
        <v>3704</v>
      </c>
      <c r="E849" s="2" t="s">
        <v>3705</v>
      </c>
      <c r="F849" s="2" t="b">
        <v>1</v>
      </c>
      <c r="G849" s="2" t="b">
        <v>0</v>
      </c>
      <c r="H849" s="2" t="s">
        <v>37</v>
      </c>
      <c r="I849" s="2" t="s">
        <v>22</v>
      </c>
      <c r="J849" s="2" t="s">
        <v>820</v>
      </c>
      <c r="K849" s="2" t="s">
        <v>495</v>
      </c>
      <c r="L849" s="13" t="s">
        <v>496</v>
      </c>
      <c r="M849" s="2" t="s">
        <v>26</v>
      </c>
      <c r="N849" s="11" t="s">
        <v>576</v>
      </c>
      <c r="O849" s="12" t="s">
        <v>53</v>
      </c>
      <c r="P849" s="5" t="str">
        <f>IFERROR(__xludf.DUMMYFUNCTION("TEXTJOIN("" | "",TRUE,IF(OR(D849="""",E849="""",I849="""",J849="""",H849=""""),""ফাঁকা ঘর"",""""),IF(AND(C849&lt;&gt;"""",D849&lt;&gt;"""",C849=D849),""gloss=figurative"",""""),IF(LEN(D849)&lt;15,""figurative ছোট"",""""),IF(AND(I849=""Positive"",REGEXMATCH(H849,""মূর্খ|"&amp;"ভণ্ড|প্রতার|অলস|লোভ|স্বার্থ|অক্ষম|অযোগ্য|বোকা|কৃপণ|হিংস"")),""valence-target অমিল"",""""),IF(COUNTIF($B:$B,B849)&gt;1,""ডুপ্লিকেট"",""""))"),"figurative ছোট")</f>
        <v>figurative ছোট</v>
      </c>
      <c r="Q849" s="5" t="str">
        <f t="shared" si="1"/>
        <v>১ আগে দেখো</v>
      </c>
    </row>
    <row r="850">
      <c r="A850" s="4">
        <v>6270.0</v>
      </c>
      <c r="B850" s="2" t="s">
        <v>3706</v>
      </c>
      <c r="C850" s="2" t="s">
        <v>3707</v>
      </c>
      <c r="D850" s="2" t="s">
        <v>3708</v>
      </c>
      <c r="E850" s="2" t="s">
        <v>3709</v>
      </c>
      <c r="F850" s="2" t="b">
        <v>1</v>
      </c>
      <c r="G850" s="2" t="b">
        <v>0</v>
      </c>
      <c r="H850" s="2" t="s">
        <v>37</v>
      </c>
      <c r="I850" s="2" t="s">
        <v>22</v>
      </c>
      <c r="J850" s="2" t="s">
        <v>3710</v>
      </c>
      <c r="K850" s="2" t="s">
        <v>495</v>
      </c>
      <c r="L850" s="13" t="s">
        <v>496</v>
      </c>
      <c r="M850" s="2" t="s">
        <v>26</v>
      </c>
      <c r="N850" s="11" t="s">
        <v>576</v>
      </c>
      <c r="O850" s="12" t="s">
        <v>53</v>
      </c>
      <c r="P850" s="5" t="str">
        <f>IFERROR(__xludf.DUMMYFUNCTION("TEXTJOIN("" | "",TRUE,IF(OR(D850="""",E850="""",I850="""",J850="""",H850=""""),""ফাঁকা ঘর"",""""),IF(AND(C850&lt;&gt;"""",D850&lt;&gt;"""",C850=D850),""gloss=figurative"",""""),IF(LEN(D850)&lt;15,""figurative ছোট"",""""),IF(AND(I850=""Positive"",REGEXMATCH(H850,""মূর্খ|"&amp;"ভণ্ড|প্রতার|অলস|লোভ|স্বার্থ|অক্ষম|অযোগ্য|বোকা|কৃপণ|হিংস"")),""valence-target অমিল"",""""),IF(COUNTIF($B:$B,B850)&gt;1,""ডুপ্লিকেট"",""""))"),"figurative ছোট")</f>
        <v>figurative ছোট</v>
      </c>
      <c r="Q850" s="5" t="str">
        <f t="shared" si="1"/>
        <v>১ আগে দেখো</v>
      </c>
    </row>
    <row r="851">
      <c r="A851" s="4">
        <v>6276.0</v>
      </c>
      <c r="B851" s="2" t="s">
        <v>3711</v>
      </c>
      <c r="C851" s="2" t="s">
        <v>3711</v>
      </c>
      <c r="D851" s="2" t="s">
        <v>3712</v>
      </c>
      <c r="E851" s="2" t="s">
        <v>3713</v>
      </c>
      <c r="F851" s="2" t="b">
        <v>1</v>
      </c>
      <c r="G851" s="2" t="b">
        <v>0</v>
      </c>
      <c r="H851" s="2" t="s">
        <v>37</v>
      </c>
      <c r="I851" s="2" t="s">
        <v>22</v>
      </c>
      <c r="J851" s="2" t="s">
        <v>1895</v>
      </c>
      <c r="K851" s="2" t="s">
        <v>495</v>
      </c>
      <c r="L851" s="13" t="s">
        <v>496</v>
      </c>
      <c r="M851" s="2" t="s">
        <v>26</v>
      </c>
      <c r="N851" s="11" t="s">
        <v>576</v>
      </c>
      <c r="O851" s="12" t="s">
        <v>53</v>
      </c>
      <c r="P851" s="5" t="str">
        <f>IFERROR(__xludf.DUMMYFUNCTION("TEXTJOIN("" | "",TRUE,IF(OR(D851="""",E851="""",I851="""",J851="""",H851=""""),""ফাঁকা ঘর"",""""),IF(AND(C851&lt;&gt;"""",D851&lt;&gt;"""",C851=D851),""gloss=figurative"",""""),IF(LEN(D851)&lt;15,""figurative ছোট"",""""),IF(AND(I851=""Positive"",REGEXMATCH(H851,""মূর্খ|"&amp;"ভণ্ড|প্রতার|অলস|লোভ|স্বার্থ|অক্ষম|অযোগ্য|বোকা|কৃপণ|হিংস"")),""valence-target অমিল"",""""),IF(COUNTIF($B:$B,B851)&gt;1,""ডুপ্লিকেট"",""""))"),"figurative ছোট")</f>
        <v>figurative ছোট</v>
      </c>
      <c r="Q851" s="5" t="str">
        <f t="shared" si="1"/>
        <v>১ আগে দেখো</v>
      </c>
    </row>
    <row r="852">
      <c r="A852" s="4">
        <v>6277.0</v>
      </c>
      <c r="B852" s="2" t="s">
        <v>3714</v>
      </c>
      <c r="C852" s="2" t="s">
        <v>3715</v>
      </c>
      <c r="D852" s="2" t="s">
        <v>3716</v>
      </c>
      <c r="E852" s="2" t="s">
        <v>3717</v>
      </c>
      <c r="F852" s="2" t="b">
        <v>1</v>
      </c>
      <c r="G852" s="2" t="b">
        <v>0</v>
      </c>
      <c r="H852" s="2" t="s">
        <v>37</v>
      </c>
      <c r="I852" s="2" t="s">
        <v>22</v>
      </c>
      <c r="J852" s="2" t="s">
        <v>3716</v>
      </c>
      <c r="K852" s="2" t="s">
        <v>495</v>
      </c>
      <c r="L852" s="13" t="s">
        <v>496</v>
      </c>
      <c r="M852" s="2" t="s">
        <v>26</v>
      </c>
      <c r="N852" s="11" t="s">
        <v>576</v>
      </c>
      <c r="O852" s="12" t="s">
        <v>53</v>
      </c>
      <c r="P852" s="5" t="str">
        <f>IFERROR(__xludf.DUMMYFUNCTION("TEXTJOIN("" | "",TRUE,IF(OR(D852="""",E852="""",I852="""",J852="""",H852=""""),""ফাঁকা ঘর"",""""),IF(AND(C852&lt;&gt;"""",D852&lt;&gt;"""",C852=D852),""gloss=figurative"",""""),IF(LEN(D852)&lt;15,""figurative ছোট"",""""),IF(AND(I852=""Positive"",REGEXMATCH(H852,""মূর্খ|"&amp;"ভণ্ড|প্রতার|অলস|লোভ|স্বার্থ|অক্ষম|অযোগ্য|বোকা|কৃপণ|হিংস"")),""valence-target অমিল"",""""),IF(COUNTIF($B:$B,B852)&gt;1,""ডুপ্লিকেট"",""""))"),"figurative ছোট")</f>
        <v>figurative ছোট</v>
      </c>
      <c r="Q852" s="5" t="str">
        <f t="shared" si="1"/>
        <v>১ আগে দেখো</v>
      </c>
    </row>
    <row r="853">
      <c r="A853" s="4">
        <v>6278.0</v>
      </c>
      <c r="B853" s="2" t="s">
        <v>3718</v>
      </c>
      <c r="C853" s="2" t="s">
        <v>3718</v>
      </c>
      <c r="D853" s="2" t="s">
        <v>3719</v>
      </c>
      <c r="E853" s="2" t="s">
        <v>3720</v>
      </c>
      <c r="F853" s="2" t="b">
        <v>1</v>
      </c>
      <c r="G853" s="2" t="b">
        <v>0</v>
      </c>
      <c r="H853" s="2" t="s">
        <v>37</v>
      </c>
      <c r="I853" s="2" t="s">
        <v>22</v>
      </c>
      <c r="J853" s="2" t="s">
        <v>3719</v>
      </c>
      <c r="K853" s="2" t="s">
        <v>495</v>
      </c>
      <c r="L853" s="13" t="s">
        <v>496</v>
      </c>
      <c r="M853" s="2" t="s">
        <v>26</v>
      </c>
      <c r="N853" s="11" t="s">
        <v>576</v>
      </c>
      <c r="O853" s="12" t="s">
        <v>53</v>
      </c>
      <c r="P853" s="5" t="str">
        <f>IFERROR(__xludf.DUMMYFUNCTION("TEXTJOIN("" | "",TRUE,IF(OR(D853="""",E853="""",I853="""",J853="""",H853=""""),""ফাঁকা ঘর"",""""),IF(AND(C853&lt;&gt;"""",D853&lt;&gt;"""",C853=D853),""gloss=figurative"",""""),IF(LEN(D853)&lt;15,""figurative ছোট"",""""),IF(AND(I853=""Positive"",REGEXMATCH(H853,""মূর্খ|"&amp;"ভণ্ড|প্রতার|অলস|লোভ|স্বার্থ|অক্ষম|অযোগ্য|বোকা|কৃপণ|হিংস"")),""valence-target অমিল"",""""),IF(COUNTIF($B:$B,B853)&gt;1,""ডুপ্লিকেট"",""""))"),"figurative ছোট")</f>
        <v>figurative ছোট</v>
      </c>
      <c r="Q853" s="5" t="str">
        <f t="shared" si="1"/>
        <v>১ আগে দেখো</v>
      </c>
    </row>
    <row r="854">
      <c r="A854" s="4">
        <v>6281.0</v>
      </c>
      <c r="B854" s="2" t="s">
        <v>3721</v>
      </c>
      <c r="C854" s="2" t="s">
        <v>3722</v>
      </c>
      <c r="D854" s="2" t="s">
        <v>3723</v>
      </c>
      <c r="E854" s="2" t="s">
        <v>3724</v>
      </c>
      <c r="F854" s="2" t="b">
        <v>1</v>
      </c>
      <c r="G854" s="2" t="b">
        <v>0</v>
      </c>
      <c r="H854" s="2" t="s">
        <v>37</v>
      </c>
      <c r="I854" s="2" t="s">
        <v>32</v>
      </c>
      <c r="J854" s="2" t="s">
        <v>1060</v>
      </c>
      <c r="K854" s="2" t="s">
        <v>495</v>
      </c>
      <c r="L854" s="13" t="s">
        <v>496</v>
      </c>
      <c r="M854" s="2" t="s">
        <v>26</v>
      </c>
      <c r="N854" s="11" t="s">
        <v>3725</v>
      </c>
      <c r="O854" s="12" t="s">
        <v>53</v>
      </c>
      <c r="P854" s="5" t="str">
        <f>IFERROR(__xludf.DUMMYFUNCTION("TEXTJOIN("" | "",TRUE,IF(OR(D854="""",E854="""",I854="""",J854="""",H854=""""),""ফাঁকা ঘর"",""""),IF(AND(C854&lt;&gt;"""",D854&lt;&gt;"""",C854=D854),""gloss=figurative"",""""),IF(LEN(D854)&lt;15,""figurative ছোট"",""""),IF(AND(I854=""Positive"",REGEXMATCH(H854,""মূর্খ|"&amp;"ভণ্ড|প্রতার|অলস|লোভ|স্বার্থ|অক্ষম|অযোগ্য|বোকা|কৃপণ|হিংস"")),""valence-target অমিল"",""""),IF(COUNTIF($B:$B,B854)&gt;1,""ডুপ্লিকেট"",""""))"),"figurative ছোট")</f>
        <v>figurative ছোট</v>
      </c>
      <c r="Q854" s="5" t="str">
        <f t="shared" si="1"/>
        <v>১ আগে দেখো</v>
      </c>
    </row>
    <row r="855">
      <c r="A855" s="4">
        <v>6282.0</v>
      </c>
      <c r="B855" s="2" t="s">
        <v>3726</v>
      </c>
      <c r="C855" s="2" t="s">
        <v>3727</v>
      </c>
      <c r="D855" s="2" t="s">
        <v>3728</v>
      </c>
      <c r="E855" s="2" t="s">
        <v>3729</v>
      </c>
      <c r="F855" s="2" t="b">
        <v>1</v>
      </c>
      <c r="G855" s="2" t="b">
        <v>0</v>
      </c>
      <c r="H855" s="2" t="s">
        <v>37</v>
      </c>
      <c r="I855" s="2" t="s">
        <v>22</v>
      </c>
      <c r="J855" s="2" t="s">
        <v>2732</v>
      </c>
      <c r="K855" s="2" t="s">
        <v>495</v>
      </c>
      <c r="L855" s="13" t="s">
        <v>496</v>
      </c>
      <c r="M855" s="2" t="s">
        <v>26</v>
      </c>
      <c r="N855" s="11" t="s">
        <v>3730</v>
      </c>
      <c r="O855" s="12" t="s">
        <v>53</v>
      </c>
      <c r="P855" s="5" t="str">
        <f>IFERROR(__xludf.DUMMYFUNCTION("TEXTJOIN("" | "",TRUE,IF(OR(D855="""",E855="""",I855="""",J855="""",H855=""""),""ফাঁকা ঘর"",""""),IF(AND(C855&lt;&gt;"""",D855&lt;&gt;"""",C855=D855),""gloss=figurative"",""""),IF(LEN(D855)&lt;15,""figurative ছোট"",""""),IF(AND(I855=""Positive"",REGEXMATCH(H855,""মূর্খ|"&amp;"ভণ্ড|প্রতার|অলস|লোভ|স্বার্থ|অক্ষম|অযোগ্য|বোকা|কৃপণ|হিংস"")),""valence-target অমিল"",""""),IF(COUNTIF($B:$B,B855)&gt;1,""ডুপ্লিকেট"",""""))"),"ডুপ্লিকেট")</f>
        <v>ডুপ্লিকেট</v>
      </c>
      <c r="Q855" s="5" t="str">
        <f t="shared" si="1"/>
        <v>১ আগে দেখো</v>
      </c>
    </row>
    <row r="856">
      <c r="A856" s="4">
        <v>6283.0</v>
      </c>
      <c r="B856" s="2" t="s">
        <v>3726</v>
      </c>
      <c r="C856" s="2" t="s">
        <v>3731</v>
      </c>
      <c r="D856" s="2" t="s">
        <v>3732</v>
      </c>
      <c r="E856" s="2" t="s">
        <v>3733</v>
      </c>
      <c r="F856" s="2" t="b">
        <v>1</v>
      </c>
      <c r="G856" s="2" t="b">
        <v>0</v>
      </c>
      <c r="H856" s="2" t="s">
        <v>37</v>
      </c>
      <c r="I856" s="2" t="s">
        <v>22</v>
      </c>
      <c r="J856" s="2" t="s">
        <v>2732</v>
      </c>
      <c r="K856" s="2" t="s">
        <v>495</v>
      </c>
      <c r="L856" s="13" t="s">
        <v>496</v>
      </c>
      <c r="M856" s="2" t="s">
        <v>26</v>
      </c>
      <c r="N856" s="11" t="s">
        <v>3734</v>
      </c>
      <c r="O856" s="12" t="s">
        <v>53</v>
      </c>
      <c r="P856" s="5" t="str">
        <f>IFERROR(__xludf.DUMMYFUNCTION("TEXTJOIN("" | "",TRUE,IF(OR(D856="""",E856="""",I856="""",J856="""",H856=""""),""ফাঁকা ঘর"",""""),IF(AND(C856&lt;&gt;"""",D856&lt;&gt;"""",C856=D856),""gloss=figurative"",""""),IF(LEN(D856)&lt;15,""figurative ছোট"",""""),IF(AND(I856=""Positive"",REGEXMATCH(H856,""মূর্খ|"&amp;"ভণ্ড|প্রতার|অলস|লোভ|স্বার্থ|অক্ষম|অযোগ্য|বোকা|কৃপণ|হিংস"")),""valence-target অমিল"",""""),IF(COUNTIF($B:$B,B856)&gt;1,""ডুপ্লিকেট"",""""))"),"figurative ছোট | ডুপ্লিকেট")</f>
        <v>figurative ছোট | ডুপ্লিকেট</v>
      </c>
      <c r="Q856" s="5" t="str">
        <f t="shared" si="1"/>
        <v>১ আগে দেখো</v>
      </c>
    </row>
    <row r="857">
      <c r="A857" s="4">
        <v>6284.0</v>
      </c>
      <c r="B857" s="2" t="s">
        <v>3735</v>
      </c>
      <c r="C857" s="2" t="s">
        <v>3736</v>
      </c>
      <c r="D857" s="2" t="s">
        <v>3737</v>
      </c>
      <c r="E857" s="2" t="s">
        <v>3738</v>
      </c>
      <c r="F857" s="2" t="b">
        <v>1</v>
      </c>
      <c r="G857" s="2" t="b">
        <v>0</v>
      </c>
      <c r="H857" s="2" t="s">
        <v>37</v>
      </c>
      <c r="I857" s="2" t="s">
        <v>32</v>
      </c>
      <c r="J857" s="2" t="s">
        <v>1060</v>
      </c>
      <c r="K857" s="2" t="s">
        <v>495</v>
      </c>
      <c r="L857" s="13" t="s">
        <v>496</v>
      </c>
      <c r="M857" s="2" t="s">
        <v>26</v>
      </c>
      <c r="N857" s="11" t="s">
        <v>3739</v>
      </c>
      <c r="O857" s="12" t="s">
        <v>53</v>
      </c>
      <c r="P857" s="5" t="str">
        <f>IFERROR(__xludf.DUMMYFUNCTION("TEXTJOIN("" | "",TRUE,IF(OR(D857="""",E857="""",I857="""",J857="""",H857=""""),""ফাঁকা ঘর"",""""),IF(AND(C857&lt;&gt;"""",D857&lt;&gt;"""",C857=D857),""gloss=figurative"",""""),IF(LEN(D857)&lt;15,""figurative ছোট"",""""),IF(AND(I857=""Positive"",REGEXMATCH(H857,""মূর্খ|"&amp;"ভণ্ড|প্রতার|অলস|লোভ|স্বার্থ|অক্ষম|অযোগ্য|বোকা|কৃপণ|হিংস"")),""valence-target অমিল"",""""),IF(COUNTIF($B:$B,B857)&gt;1,""ডুপ্লিকেট"",""""))"),"figurative ছোট")</f>
        <v>figurative ছোট</v>
      </c>
      <c r="Q857" s="5" t="str">
        <f t="shared" si="1"/>
        <v>১ আগে দেখো</v>
      </c>
    </row>
    <row r="858">
      <c r="A858" s="4">
        <v>6285.0</v>
      </c>
      <c r="B858" s="2" t="s">
        <v>3740</v>
      </c>
      <c r="C858" s="2" t="s">
        <v>3741</v>
      </c>
      <c r="D858" s="2" t="s">
        <v>3742</v>
      </c>
      <c r="E858" s="2" t="s">
        <v>3743</v>
      </c>
      <c r="F858" s="2" t="b">
        <v>1</v>
      </c>
      <c r="G858" s="2" t="b">
        <v>0</v>
      </c>
      <c r="H858" s="2" t="s">
        <v>37</v>
      </c>
      <c r="I858" s="2" t="s">
        <v>32</v>
      </c>
      <c r="J858" s="2" t="s">
        <v>1060</v>
      </c>
      <c r="K858" s="2" t="s">
        <v>495</v>
      </c>
      <c r="L858" s="13" t="s">
        <v>496</v>
      </c>
      <c r="M858" s="2" t="s">
        <v>26</v>
      </c>
      <c r="N858" s="11" t="s">
        <v>3744</v>
      </c>
      <c r="O858" s="12" t="s">
        <v>53</v>
      </c>
      <c r="P858" s="5" t="str">
        <f>IFERROR(__xludf.DUMMYFUNCTION("TEXTJOIN("" | "",TRUE,IF(OR(D858="""",E858="""",I858="""",J858="""",H858=""""),""ফাঁকা ঘর"",""""),IF(AND(C858&lt;&gt;"""",D858&lt;&gt;"""",C858=D858),""gloss=figurative"",""""),IF(LEN(D858)&lt;15,""figurative ছোট"",""""),IF(AND(I858=""Positive"",REGEXMATCH(H858,""মূর্খ|"&amp;"ভণ্ড|প্রতার|অলস|লোভ|স্বার্থ|অক্ষম|অযোগ্য|বোকা|কৃপণ|হিংস"")),""valence-target অমিল"",""""),IF(COUNTIF($B:$B,B858)&gt;1,""ডুপ্লিকেট"",""""))"),"figurative ছোট")</f>
        <v>figurative ছোট</v>
      </c>
      <c r="Q858" s="5" t="str">
        <f t="shared" si="1"/>
        <v>১ আগে দেখো</v>
      </c>
    </row>
    <row r="859">
      <c r="A859" s="4">
        <v>6286.0</v>
      </c>
      <c r="B859" s="2" t="s">
        <v>3745</v>
      </c>
      <c r="C859" s="2" t="s">
        <v>3746</v>
      </c>
      <c r="D859" s="2" t="s">
        <v>3747</v>
      </c>
      <c r="E859" s="2" t="s">
        <v>3748</v>
      </c>
      <c r="F859" s="2" t="b">
        <v>1</v>
      </c>
      <c r="G859" s="2" t="b">
        <v>0</v>
      </c>
      <c r="H859" s="2" t="s">
        <v>37</v>
      </c>
      <c r="I859" s="2" t="s">
        <v>32</v>
      </c>
      <c r="J859" s="2" t="s">
        <v>1060</v>
      </c>
      <c r="K859" s="2" t="s">
        <v>495</v>
      </c>
      <c r="L859" s="13" t="s">
        <v>496</v>
      </c>
      <c r="M859" s="2" t="s">
        <v>26</v>
      </c>
      <c r="N859" s="11" t="s">
        <v>3744</v>
      </c>
      <c r="O859" s="12" t="s">
        <v>53</v>
      </c>
      <c r="P859" s="5" t="str">
        <f>IFERROR(__xludf.DUMMYFUNCTION("TEXTJOIN("" | "",TRUE,IF(OR(D859="""",E859="""",I859="""",J859="""",H859=""""),""ফাঁকা ঘর"",""""),IF(AND(C859&lt;&gt;"""",D859&lt;&gt;"""",C859=D859),""gloss=figurative"",""""),IF(LEN(D859)&lt;15,""figurative ছোট"",""""),IF(AND(I859=""Positive"",REGEXMATCH(H859,""মূর্খ|"&amp;"ভণ্ড|প্রতার|অলস|লোভ|স্বার্থ|অক্ষম|অযোগ্য|বোকা|কৃপণ|হিংস"")),""valence-target অমিল"",""""),IF(COUNTIF($B:$B,B859)&gt;1,""ডুপ্লিকেট"",""""))"),"figurative ছোট")</f>
        <v>figurative ছোট</v>
      </c>
      <c r="Q859" s="5" t="str">
        <f t="shared" si="1"/>
        <v>১ আগে দেখো</v>
      </c>
    </row>
    <row r="860">
      <c r="A860" s="4">
        <v>6287.0</v>
      </c>
      <c r="B860" s="2" t="s">
        <v>3749</v>
      </c>
      <c r="C860" s="2" t="s">
        <v>3750</v>
      </c>
      <c r="D860" s="2" t="s">
        <v>1397</v>
      </c>
      <c r="E860" s="2" t="s">
        <v>3751</v>
      </c>
      <c r="F860" s="2" t="b">
        <v>1</v>
      </c>
      <c r="G860" s="2" t="b">
        <v>0</v>
      </c>
      <c r="H860" s="2" t="s">
        <v>37</v>
      </c>
      <c r="I860" s="2" t="s">
        <v>22</v>
      </c>
      <c r="J860" s="2" t="s">
        <v>1859</v>
      </c>
      <c r="K860" s="2" t="s">
        <v>495</v>
      </c>
      <c r="L860" s="13" t="s">
        <v>496</v>
      </c>
      <c r="M860" s="2" t="s">
        <v>26</v>
      </c>
      <c r="N860" s="11" t="s">
        <v>576</v>
      </c>
      <c r="O860" s="12" t="s">
        <v>53</v>
      </c>
      <c r="P860" s="5" t="str">
        <f>IFERROR(__xludf.DUMMYFUNCTION("TEXTJOIN("" | "",TRUE,IF(OR(D860="""",E860="""",I860="""",J860="""",H860=""""),""ফাঁকা ঘর"",""""),IF(AND(C860&lt;&gt;"""",D860&lt;&gt;"""",C860=D860),""gloss=figurative"",""""),IF(LEN(D860)&lt;15,""figurative ছোট"",""""),IF(AND(I860=""Positive"",REGEXMATCH(H860,""মূর্খ|"&amp;"ভণ্ড|প্রতার|অলস|লোভ|স্বার্থ|অক্ষম|অযোগ্য|বোকা|কৃপণ|হিংস"")),""valence-target অমিল"",""""),IF(COUNTIF($B:$B,B860)&gt;1,""ডুপ্লিকেট"",""""))"),"figurative ছোট")</f>
        <v>figurative ছোট</v>
      </c>
      <c r="Q860" s="5" t="str">
        <f t="shared" si="1"/>
        <v>১ আগে দেখো</v>
      </c>
    </row>
    <row r="861">
      <c r="A861" s="4">
        <v>6288.0</v>
      </c>
      <c r="B861" s="2" t="s">
        <v>3752</v>
      </c>
      <c r="C861" s="2" t="s">
        <v>3752</v>
      </c>
      <c r="D861" s="2" t="s">
        <v>3753</v>
      </c>
      <c r="E861" s="2" t="s">
        <v>3754</v>
      </c>
      <c r="F861" s="2" t="b">
        <v>1</v>
      </c>
      <c r="G861" s="2" t="b">
        <v>0</v>
      </c>
      <c r="H861" s="2" t="s">
        <v>37</v>
      </c>
      <c r="I861" s="2" t="s">
        <v>22</v>
      </c>
      <c r="J861" s="2" t="s">
        <v>1510</v>
      </c>
      <c r="K861" s="2" t="s">
        <v>495</v>
      </c>
      <c r="L861" s="13" t="s">
        <v>496</v>
      </c>
      <c r="M861" s="2" t="s">
        <v>26</v>
      </c>
      <c r="N861" s="11" t="s">
        <v>576</v>
      </c>
      <c r="O861" s="12" t="s">
        <v>53</v>
      </c>
      <c r="P861" s="5" t="str">
        <f>IFERROR(__xludf.DUMMYFUNCTION("TEXTJOIN("" | "",TRUE,IF(OR(D861="""",E861="""",I861="""",J861="""",H861=""""),""ফাঁকা ঘর"",""""),IF(AND(C861&lt;&gt;"""",D861&lt;&gt;"""",C861=D861),""gloss=figurative"",""""),IF(LEN(D861)&lt;15,""figurative ছোট"",""""),IF(AND(I861=""Positive"",REGEXMATCH(H861,""মূর্খ|"&amp;"ভণ্ড|প্রতার|অলস|লোভ|স্বার্থ|অক্ষম|অযোগ্য|বোকা|কৃপণ|হিংস"")),""valence-target অমিল"",""""),IF(COUNTIF($B:$B,B861)&gt;1,""ডুপ্লিকেট"",""""))"),"figurative ছোট")</f>
        <v>figurative ছোট</v>
      </c>
      <c r="Q861" s="5" t="str">
        <f t="shared" si="1"/>
        <v>১ আগে দেখো</v>
      </c>
    </row>
    <row r="862">
      <c r="A862" s="4">
        <v>6289.0</v>
      </c>
      <c r="B862" s="2" t="s">
        <v>3755</v>
      </c>
      <c r="C862" s="2" t="s">
        <v>3756</v>
      </c>
      <c r="D862" s="2" t="s">
        <v>3757</v>
      </c>
      <c r="E862" s="2" t="s">
        <v>3758</v>
      </c>
      <c r="F862" s="2" t="b">
        <v>1</v>
      </c>
      <c r="G862" s="2" t="b">
        <v>0</v>
      </c>
      <c r="H862" s="2" t="s">
        <v>37</v>
      </c>
      <c r="I862" s="2" t="s">
        <v>49</v>
      </c>
      <c r="J862" s="2" t="s">
        <v>1510</v>
      </c>
      <c r="K862" s="2" t="s">
        <v>495</v>
      </c>
      <c r="L862" s="13" t="s">
        <v>496</v>
      </c>
      <c r="M862" s="2" t="s">
        <v>26</v>
      </c>
      <c r="N862" s="11" t="s">
        <v>576</v>
      </c>
      <c r="O862" s="12" t="s">
        <v>53</v>
      </c>
      <c r="P862" s="5" t="str">
        <f>IFERROR(__xludf.DUMMYFUNCTION("TEXTJOIN("" | "",TRUE,IF(OR(D862="""",E862="""",I862="""",J862="""",H862=""""),""ফাঁকা ঘর"",""""),IF(AND(C862&lt;&gt;"""",D862&lt;&gt;"""",C862=D862),""gloss=figurative"",""""),IF(LEN(D862)&lt;15,""figurative ছোট"",""""),IF(AND(I862=""Positive"",REGEXMATCH(H862,""মূর্খ|"&amp;"ভণ্ড|প্রতার|অলস|লোভ|স্বার্থ|অক্ষম|অযোগ্য|বোকা|কৃপণ|হিংস"")),""valence-target অমিল"",""""),IF(COUNTIF($B:$B,B862)&gt;1,""ডুপ্লিকেট"",""""))"),"figurative ছোট")</f>
        <v>figurative ছোট</v>
      </c>
      <c r="Q862" s="5" t="str">
        <f t="shared" si="1"/>
        <v>১ আগে দেখো</v>
      </c>
    </row>
    <row r="863">
      <c r="A863" s="4">
        <v>6290.0</v>
      </c>
      <c r="B863" s="2" t="s">
        <v>3759</v>
      </c>
      <c r="C863" s="2" t="s">
        <v>3760</v>
      </c>
      <c r="D863" s="2" t="s">
        <v>3761</v>
      </c>
      <c r="E863" s="2" t="s">
        <v>3762</v>
      </c>
      <c r="F863" s="2" t="b">
        <v>1</v>
      </c>
      <c r="G863" s="2" t="b">
        <v>1</v>
      </c>
      <c r="H863" s="2" t="s">
        <v>1982</v>
      </c>
      <c r="I863" s="2" t="s">
        <v>49</v>
      </c>
      <c r="J863" s="2" t="s">
        <v>868</v>
      </c>
      <c r="K863" s="2" t="s">
        <v>495</v>
      </c>
      <c r="L863" s="13" t="s">
        <v>496</v>
      </c>
      <c r="M863" s="2" t="s">
        <v>26</v>
      </c>
      <c r="N863" s="11" t="s">
        <v>576</v>
      </c>
      <c r="O863" s="12" t="s">
        <v>53</v>
      </c>
      <c r="P863" s="5" t="str">
        <f>IFERROR(__xludf.DUMMYFUNCTION("TEXTJOIN("" | "",TRUE,IF(OR(D863="""",E863="""",I863="""",J863="""",H863=""""),""ফাঁকা ঘর"",""""),IF(AND(C863&lt;&gt;"""",D863&lt;&gt;"""",C863=D863),""gloss=figurative"",""""),IF(LEN(D863)&lt;15,""figurative ছোট"",""""),IF(AND(I863=""Positive"",REGEXMATCH(H863,""মূর্খ|"&amp;"ভণ্ড|প্রতার|অলস|লোভ|স্বার্থ|অক্ষম|অযোগ্য|বোকা|কৃপণ|হিংস"")),""valence-target অমিল"",""""),IF(COUNTIF($B:$B,B863)&gt;1,""ডুপ্লিকেট"",""""))"),"figurative ছোট")</f>
        <v>figurative ছোট</v>
      </c>
      <c r="Q863" s="5" t="str">
        <f t="shared" si="1"/>
        <v>১ আগে দেখো</v>
      </c>
    </row>
    <row r="864">
      <c r="A864" s="4">
        <v>6291.0</v>
      </c>
      <c r="B864" s="2" t="s">
        <v>3763</v>
      </c>
      <c r="C864" s="2" t="s">
        <v>3764</v>
      </c>
      <c r="D864" s="2" t="s">
        <v>3765</v>
      </c>
      <c r="E864" s="2" t="s">
        <v>3766</v>
      </c>
      <c r="F864" s="2" t="b">
        <v>1</v>
      </c>
      <c r="G864" s="2" t="b">
        <v>0</v>
      </c>
      <c r="H864" s="2" t="s">
        <v>37</v>
      </c>
      <c r="I864" s="2" t="s">
        <v>22</v>
      </c>
      <c r="J864" s="2" t="s">
        <v>3765</v>
      </c>
      <c r="K864" s="2" t="s">
        <v>495</v>
      </c>
      <c r="L864" s="13" t="s">
        <v>496</v>
      </c>
      <c r="M864" s="2" t="s">
        <v>26</v>
      </c>
      <c r="N864" s="11" t="s">
        <v>576</v>
      </c>
      <c r="O864" s="12" t="s">
        <v>53</v>
      </c>
      <c r="P864" s="5" t="str">
        <f>IFERROR(__xludf.DUMMYFUNCTION("TEXTJOIN("" | "",TRUE,IF(OR(D864="""",E864="""",I864="""",J864="""",H864=""""),""ফাঁকা ঘর"",""""),IF(AND(C864&lt;&gt;"""",D864&lt;&gt;"""",C864=D864),""gloss=figurative"",""""),IF(LEN(D864)&lt;15,""figurative ছোট"",""""),IF(AND(I864=""Positive"",REGEXMATCH(H864,""মূর্খ|"&amp;"ভণ্ড|প্রতার|অলস|লোভ|স্বার্থ|অক্ষম|অযোগ্য|বোকা|কৃপণ|হিংস"")),""valence-target অমিল"",""""),IF(COUNTIF($B:$B,B864)&gt;1,""ডুপ্লিকেট"",""""))"),"figurative ছোট")</f>
        <v>figurative ছোট</v>
      </c>
      <c r="Q864" s="5" t="str">
        <f t="shared" si="1"/>
        <v>১ আগে দেখো</v>
      </c>
    </row>
    <row r="865">
      <c r="A865" s="4">
        <v>6292.0</v>
      </c>
      <c r="B865" s="2" t="s">
        <v>3767</v>
      </c>
      <c r="C865" s="2" t="s">
        <v>3768</v>
      </c>
      <c r="D865" s="2" t="s">
        <v>3769</v>
      </c>
      <c r="E865" s="2" t="s">
        <v>3770</v>
      </c>
      <c r="F865" s="2" t="b">
        <v>1</v>
      </c>
      <c r="G865" s="2" t="b">
        <v>0</v>
      </c>
      <c r="H865" s="2" t="s">
        <v>37</v>
      </c>
      <c r="I865" s="2" t="s">
        <v>22</v>
      </c>
      <c r="J865" s="2" t="s">
        <v>1510</v>
      </c>
      <c r="K865" s="2" t="s">
        <v>495</v>
      </c>
      <c r="L865" s="13" t="s">
        <v>496</v>
      </c>
      <c r="M865" s="2" t="s">
        <v>26</v>
      </c>
      <c r="N865" s="11" t="s">
        <v>576</v>
      </c>
      <c r="O865" s="12" t="s">
        <v>53</v>
      </c>
      <c r="P865" s="5" t="str">
        <f>IFERROR(__xludf.DUMMYFUNCTION("TEXTJOIN("" | "",TRUE,IF(OR(D865="""",E865="""",I865="""",J865="""",H865=""""),""ফাঁকা ঘর"",""""),IF(AND(C865&lt;&gt;"""",D865&lt;&gt;"""",C865=D865),""gloss=figurative"",""""),IF(LEN(D865)&lt;15,""figurative ছোট"",""""),IF(AND(I865=""Positive"",REGEXMATCH(H865,""মূর্খ|"&amp;"ভণ্ড|প্রতার|অলস|লোভ|স্বার্থ|অক্ষম|অযোগ্য|বোকা|কৃপণ|হিংস"")),""valence-target অমিল"",""""),IF(COUNTIF($B:$B,B865)&gt;1,""ডুপ্লিকেট"",""""))"),"figurative ছোট")</f>
        <v>figurative ছোট</v>
      </c>
      <c r="Q865" s="5" t="str">
        <f t="shared" si="1"/>
        <v>১ আগে দেখো</v>
      </c>
    </row>
    <row r="866">
      <c r="A866" s="4">
        <v>6294.0</v>
      </c>
      <c r="B866" s="2" t="s">
        <v>3771</v>
      </c>
      <c r="C866" s="2" t="s">
        <v>3772</v>
      </c>
      <c r="D866" s="2" t="s">
        <v>3773</v>
      </c>
      <c r="E866" s="2" t="s">
        <v>3774</v>
      </c>
      <c r="F866" s="2" t="b">
        <v>1</v>
      </c>
      <c r="G866" s="2" t="b">
        <v>1</v>
      </c>
      <c r="H866" s="2" t="s">
        <v>1106</v>
      </c>
      <c r="I866" s="2" t="s">
        <v>22</v>
      </c>
      <c r="J866" s="2" t="s">
        <v>1038</v>
      </c>
      <c r="K866" s="2" t="s">
        <v>495</v>
      </c>
      <c r="L866" s="13" t="s">
        <v>496</v>
      </c>
      <c r="M866" s="2" t="s">
        <v>26</v>
      </c>
      <c r="N866" s="11" t="s">
        <v>576</v>
      </c>
      <c r="O866" s="12" t="s">
        <v>53</v>
      </c>
      <c r="P866" s="5" t="str">
        <f>IFERROR(__xludf.DUMMYFUNCTION("TEXTJOIN("" | "",TRUE,IF(OR(D866="""",E866="""",I866="""",J866="""",H866=""""),""ফাঁকা ঘর"",""""),IF(AND(C866&lt;&gt;"""",D866&lt;&gt;"""",C866=D866),""gloss=figurative"",""""),IF(LEN(D866)&lt;15,""figurative ছোট"",""""),IF(AND(I866=""Positive"",REGEXMATCH(H866,""মূর্খ|"&amp;"ভণ্ড|প্রতার|অলস|লোভ|স্বার্থ|অক্ষম|অযোগ্য|বোকা|কৃপণ|হিংস"")),""valence-target অমিল"",""""),IF(COUNTIF($B:$B,B866)&gt;1,""ডুপ্লিকেট"",""""))"),"figurative ছোট")</f>
        <v>figurative ছোট</v>
      </c>
      <c r="Q866" s="5" t="str">
        <f t="shared" si="1"/>
        <v>১ আগে দেখো</v>
      </c>
    </row>
    <row r="867">
      <c r="A867" s="4">
        <v>6295.0</v>
      </c>
      <c r="B867" s="2" t="s">
        <v>3775</v>
      </c>
      <c r="C867" s="2" t="s">
        <v>3776</v>
      </c>
      <c r="D867" s="2" t="s">
        <v>3777</v>
      </c>
      <c r="E867" s="2" t="s">
        <v>3778</v>
      </c>
      <c r="F867" s="2" t="b">
        <v>1</v>
      </c>
      <c r="G867" s="2" t="b">
        <v>0</v>
      </c>
      <c r="H867" s="2" t="s">
        <v>37</v>
      </c>
      <c r="I867" s="2" t="s">
        <v>49</v>
      </c>
      <c r="J867" s="2" t="s">
        <v>1770</v>
      </c>
      <c r="K867" s="2" t="s">
        <v>495</v>
      </c>
      <c r="L867" s="13" t="s">
        <v>496</v>
      </c>
      <c r="M867" s="2" t="s">
        <v>26</v>
      </c>
      <c r="N867" s="11" t="s">
        <v>576</v>
      </c>
      <c r="O867" s="12" t="s">
        <v>53</v>
      </c>
      <c r="P867" s="5" t="str">
        <f>IFERROR(__xludf.DUMMYFUNCTION("TEXTJOIN("" | "",TRUE,IF(OR(D867="""",E867="""",I867="""",J867="""",H867=""""),""ফাঁকা ঘর"",""""),IF(AND(C867&lt;&gt;"""",D867&lt;&gt;"""",C867=D867),""gloss=figurative"",""""),IF(LEN(D867)&lt;15,""figurative ছোট"",""""),IF(AND(I867=""Positive"",REGEXMATCH(H867,""মূর্খ|"&amp;"ভণ্ড|প্রতার|অলস|লোভ|স্বার্থ|অক্ষম|অযোগ্য|বোকা|কৃপণ|হিংস"")),""valence-target অমিল"",""""),IF(COUNTIF($B:$B,B867)&gt;1,""ডুপ্লিকেট"",""""))"),"figurative ছোট")</f>
        <v>figurative ছোট</v>
      </c>
      <c r="Q867" s="5" t="str">
        <f t="shared" si="1"/>
        <v>১ আগে দেখো</v>
      </c>
    </row>
    <row r="868">
      <c r="A868" s="4">
        <v>6296.0</v>
      </c>
      <c r="B868" s="2" t="s">
        <v>3779</v>
      </c>
      <c r="C868" s="2" t="s">
        <v>3780</v>
      </c>
      <c r="D868" s="2" t="s">
        <v>3781</v>
      </c>
      <c r="E868" s="2" t="s">
        <v>3782</v>
      </c>
      <c r="F868" s="2" t="b">
        <v>1</v>
      </c>
      <c r="G868" s="2" t="b">
        <v>0</v>
      </c>
      <c r="H868" s="2" t="s">
        <v>37</v>
      </c>
      <c r="I868" s="2" t="s">
        <v>32</v>
      </c>
      <c r="J868" s="2" t="s">
        <v>3783</v>
      </c>
      <c r="K868" s="2" t="s">
        <v>495</v>
      </c>
      <c r="L868" s="13" t="s">
        <v>496</v>
      </c>
      <c r="M868" s="2" t="s">
        <v>26</v>
      </c>
      <c r="N868" s="11" t="s">
        <v>3784</v>
      </c>
      <c r="O868" s="12" t="s">
        <v>53</v>
      </c>
      <c r="P868" s="5" t="str">
        <f>IFERROR(__xludf.DUMMYFUNCTION("TEXTJOIN("" | "",TRUE,IF(OR(D868="""",E868="""",I868="""",J868="""",H868=""""),""ফাঁকা ঘর"",""""),IF(AND(C868&lt;&gt;"""",D868&lt;&gt;"""",C868=D868),""gloss=figurative"",""""),IF(LEN(D868)&lt;15,""figurative ছোট"",""""),IF(AND(I868=""Positive"",REGEXMATCH(H868,""মূর্খ|"&amp;"ভণ্ড|প্রতার|অলস|লোভ|স্বার্থ|অক্ষম|অযোগ্য|বোকা|কৃপণ|হিংস"")),""valence-target অমিল"",""""),IF(COUNTIF($B:$B,B868)&gt;1,""ডুপ্লিকেট"",""""))"),"figurative ছোট | ডুপ্লিকেট")</f>
        <v>figurative ছোট | ডুপ্লিকেট</v>
      </c>
      <c r="Q868" s="5" t="str">
        <f t="shared" si="1"/>
        <v>১ আগে দেখো</v>
      </c>
    </row>
    <row r="869">
      <c r="A869" s="4">
        <v>6297.0</v>
      </c>
      <c r="B869" s="2" t="s">
        <v>3779</v>
      </c>
      <c r="C869" s="2" t="s">
        <v>3785</v>
      </c>
      <c r="D869" s="2" t="s">
        <v>3786</v>
      </c>
      <c r="E869" s="2" t="s">
        <v>3787</v>
      </c>
      <c r="F869" s="2" t="b">
        <v>1</v>
      </c>
      <c r="G869" s="2" t="b">
        <v>0</v>
      </c>
      <c r="H869" s="2" t="s">
        <v>37</v>
      </c>
      <c r="I869" s="2" t="s">
        <v>32</v>
      </c>
      <c r="J869" s="2" t="s">
        <v>3783</v>
      </c>
      <c r="K869" s="2" t="s">
        <v>495</v>
      </c>
      <c r="L869" s="13" t="s">
        <v>496</v>
      </c>
      <c r="M869" s="2" t="s">
        <v>26</v>
      </c>
      <c r="N869" s="11" t="s">
        <v>3788</v>
      </c>
      <c r="O869" s="12" t="s">
        <v>53</v>
      </c>
      <c r="P869" s="5" t="str">
        <f>IFERROR(__xludf.DUMMYFUNCTION("TEXTJOIN("" | "",TRUE,IF(OR(D869="""",E869="""",I869="""",J869="""",H869=""""),""ফাঁকা ঘর"",""""),IF(AND(C869&lt;&gt;"""",D869&lt;&gt;"""",C869=D869),""gloss=figurative"",""""),IF(LEN(D869)&lt;15,""figurative ছোট"",""""),IF(AND(I869=""Positive"",REGEXMATCH(H869,""মূর্খ|"&amp;"ভণ্ড|প্রতার|অলস|লোভ|স্বার্থ|অক্ষম|অযোগ্য|বোকা|কৃপণ|হিংস"")),""valence-target অমিল"",""""),IF(COUNTIF($B:$B,B869)&gt;1,""ডুপ্লিকেট"",""""))"),"ডুপ্লিকেট")</f>
        <v>ডুপ্লিকেট</v>
      </c>
      <c r="Q869" s="5" t="str">
        <f t="shared" si="1"/>
        <v>১ আগে দেখো</v>
      </c>
    </row>
    <row r="870">
      <c r="A870" s="4">
        <v>6298.0</v>
      </c>
      <c r="B870" s="2" t="s">
        <v>3789</v>
      </c>
      <c r="C870" s="2" t="s">
        <v>3790</v>
      </c>
      <c r="D870" s="2" t="s">
        <v>3781</v>
      </c>
      <c r="E870" s="2" t="s">
        <v>3791</v>
      </c>
      <c r="F870" s="2" t="b">
        <v>1</v>
      </c>
      <c r="G870" s="2" t="b">
        <v>0</v>
      </c>
      <c r="H870" s="2" t="s">
        <v>37</v>
      </c>
      <c r="I870" s="2" t="s">
        <v>32</v>
      </c>
      <c r="J870" s="2" t="s">
        <v>3783</v>
      </c>
      <c r="K870" s="2" t="s">
        <v>495</v>
      </c>
      <c r="L870" s="13" t="s">
        <v>496</v>
      </c>
      <c r="M870" s="2" t="s">
        <v>26</v>
      </c>
      <c r="N870" s="11" t="s">
        <v>576</v>
      </c>
      <c r="O870" s="12" t="s">
        <v>53</v>
      </c>
      <c r="P870" s="5" t="str">
        <f>IFERROR(__xludf.DUMMYFUNCTION("TEXTJOIN("" | "",TRUE,IF(OR(D870="""",E870="""",I870="""",J870="""",H870=""""),""ফাঁকা ঘর"",""""),IF(AND(C870&lt;&gt;"""",D870&lt;&gt;"""",C870=D870),""gloss=figurative"",""""),IF(LEN(D870)&lt;15,""figurative ছোট"",""""),IF(AND(I870=""Positive"",REGEXMATCH(H870,""মূর্খ|"&amp;"ভণ্ড|প্রতার|অলস|লোভ|স্বার্থ|অক্ষম|অযোগ্য|বোকা|কৃপণ|হিংস"")),""valence-target অমিল"",""""),IF(COUNTIF($B:$B,B870)&gt;1,""ডুপ্লিকেট"",""""))"),"figurative ছোট")</f>
        <v>figurative ছোট</v>
      </c>
      <c r="Q870" s="5" t="str">
        <f t="shared" si="1"/>
        <v>১ আগে দেখো</v>
      </c>
    </row>
    <row r="871">
      <c r="A871" s="4">
        <v>6300.0</v>
      </c>
      <c r="B871" s="2" t="s">
        <v>3792</v>
      </c>
      <c r="C871" s="2" t="s">
        <v>3793</v>
      </c>
      <c r="D871" s="2" t="s">
        <v>614</v>
      </c>
      <c r="E871" s="2" t="s">
        <v>3794</v>
      </c>
      <c r="F871" s="2" t="b">
        <v>1</v>
      </c>
      <c r="G871" s="2" t="b">
        <v>0</v>
      </c>
      <c r="H871" s="2" t="s">
        <v>37</v>
      </c>
      <c r="I871" s="2" t="s">
        <v>22</v>
      </c>
      <c r="J871" s="2" t="s">
        <v>1656</v>
      </c>
      <c r="K871" s="2" t="s">
        <v>495</v>
      </c>
      <c r="L871" s="13" t="s">
        <v>496</v>
      </c>
      <c r="M871" s="2" t="s">
        <v>26</v>
      </c>
      <c r="N871" s="11" t="s">
        <v>576</v>
      </c>
      <c r="O871" s="12" t="s">
        <v>53</v>
      </c>
      <c r="P871" s="5" t="str">
        <f>IFERROR(__xludf.DUMMYFUNCTION("TEXTJOIN("" | "",TRUE,IF(OR(D871="""",E871="""",I871="""",J871="""",H871=""""),""ফাঁকা ঘর"",""""),IF(AND(C871&lt;&gt;"""",D871&lt;&gt;"""",C871=D871),""gloss=figurative"",""""),IF(LEN(D871)&lt;15,""figurative ছোট"",""""),IF(AND(I871=""Positive"",REGEXMATCH(H871,""মূর্খ|"&amp;"ভণ্ড|প্রতার|অলস|লোভ|স্বার্থ|অক্ষম|অযোগ্য|বোকা|কৃপণ|হিংস"")),""valence-target অমিল"",""""),IF(COUNTIF($B:$B,B871)&gt;1,""ডুপ্লিকেট"",""""))"),"figurative ছোট")</f>
        <v>figurative ছোট</v>
      </c>
      <c r="Q871" s="5" t="str">
        <f t="shared" si="1"/>
        <v>১ আগে দেখো</v>
      </c>
    </row>
    <row r="872">
      <c r="A872" s="4">
        <v>6301.0</v>
      </c>
      <c r="B872" s="2" t="s">
        <v>3795</v>
      </c>
      <c r="C872" s="2" t="s">
        <v>3534</v>
      </c>
      <c r="D872" s="2" t="s">
        <v>2343</v>
      </c>
      <c r="E872" s="2" t="s">
        <v>3535</v>
      </c>
      <c r="F872" s="2" t="b">
        <v>1</v>
      </c>
      <c r="G872" s="2" t="b">
        <v>0</v>
      </c>
      <c r="H872" s="2" t="s">
        <v>37</v>
      </c>
      <c r="I872" s="2" t="s">
        <v>22</v>
      </c>
      <c r="J872" s="2" t="s">
        <v>1656</v>
      </c>
      <c r="K872" s="2" t="s">
        <v>495</v>
      </c>
      <c r="L872" s="13" t="s">
        <v>496</v>
      </c>
      <c r="M872" s="2" t="s">
        <v>26</v>
      </c>
      <c r="N872" s="11" t="s">
        <v>576</v>
      </c>
      <c r="O872" s="12" t="s">
        <v>53</v>
      </c>
      <c r="P872" s="5" t="str">
        <f>IFERROR(__xludf.DUMMYFUNCTION("TEXTJOIN("" | "",TRUE,IF(OR(D872="""",E872="""",I872="""",J872="""",H872=""""),""ফাঁকা ঘর"",""""),IF(AND(C872&lt;&gt;"""",D872&lt;&gt;"""",C872=D872),""gloss=figurative"",""""),IF(LEN(D872)&lt;15,""figurative ছোট"",""""),IF(AND(I872=""Positive"",REGEXMATCH(H872,""মূর্খ|"&amp;"ভণ্ড|প্রতার|অলস|লোভ|স্বার্থ|অক্ষম|অযোগ্য|বোকা|কৃপণ|হিংস"")),""valence-target অমিল"",""""),IF(COUNTIF($B:$B,B872)&gt;1,""ডুপ্লিকেট"",""""))"),"figurative ছোট")</f>
        <v>figurative ছোট</v>
      </c>
      <c r="Q872" s="5" t="str">
        <f t="shared" si="1"/>
        <v>১ আগে দেখো</v>
      </c>
    </row>
    <row r="873">
      <c r="A873" s="4">
        <v>6303.0</v>
      </c>
      <c r="B873" s="2" t="s">
        <v>3796</v>
      </c>
      <c r="C873" s="2" t="s">
        <v>3797</v>
      </c>
      <c r="D873" s="2" t="s">
        <v>590</v>
      </c>
      <c r="E873" s="2" t="s">
        <v>3798</v>
      </c>
      <c r="F873" s="2" t="b">
        <v>1</v>
      </c>
      <c r="G873" s="2" t="b">
        <v>0</v>
      </c>
      <c r="H873" s="2" t="s">
        <v>37</v>
      </c>
      <c r="I873" s="2" t="s">
        <v>49</v>
      </c>
      <c r="J873" s="2" t="s">
        <v>590</v>
      </c>
      <c r="K873" s="2" t="s">
        <v>495</v>
      </c>
      <c r="L873" s="13" t="s">
        <v>496</v>
      </c>
      <c r="M873" s="2" t="s">
        <v>26</v>
      </c>
      <c r="N873" s="11" t="s">
        <v>3799</v>
      </c>
      <c r="O873" s="12" t="s">
        <v>53</v>
      </c>
      <c r="P873" s="5" t="str">
        <f>IFERROR(__xludf.DUMMYFUNCTION("TEXTJOIN("" | "",TRUE,IF(OR(D873="""",E873="""",I873="""",J873="""",H873=""""),""ফাঁকা ঘর"",""""),IF(AND(C873&lt;&gt;"""",D873&lt;&gt;"""",C873=D873),""gloss=figurative"",""""),IF(LEN(D873)&lt;15,""figurative ছোট"",""""),IF(AND(I873=""Positive"",REGEXMATCH(H873,""মূর্খ|"&amp;"ভণ্ড|প্রতার|অলস|লোভ|স্বার্থ|অক্ষম|অযোগ্য|বোকা|কৃপণ|হিংস"")),""valence-target অমিল"",""""),IF(COUNTIF($B:$B,B873)&gt;1,""ডুপ্লিকেট"",""""))"),"figurative ছোট")</f>
        <v>figurative ছোট</v>
      </c>
      <c r="Q873" s="5" t="str">
        <f t="shared" si="1"/>
        <v>১ আগে দেখো</v>
      </c>
    </row>
    <row r="874">
      <c r="A874" s="4">
        <v>6304.0</v>
      </c>
      <c r="B874" s="2" t="s">
        <v>3800</v>
      </c>
      <c r="C874" s="2" t="s">
        <v>3801</v>
      </c>
      <c r="D874" s="2" t="s">
        <v>939</v>
      </c>
      <c r="E874" s="2" t="s">
        <v>3802</v>
      </c>
      <c r="F874" s="2" t="b">
        <v>1</v>
      </c>
      <c r="G874" s="2" t="b">
        <v>0</v>
      </c>
      <c r="H874" s="2" t="s">
        <v>37</v>
      </c>
      <c r="I874" s="2" t="s">
        <v>49</v>
      </c>
      <c r="J874" s="2" t="s">
        <v>590</v>
      </c>
      <c r="K874" s="2" t="s">
        <v>495</v>
      </c>
      <c r="L874" s="13" t="s">
        <v>496</v>
      </c>
      <c r="M874" s="2" t="s">
        <v>26</v>
      </c>
      <c r="N874" s="11" t="s">
        <v>3803</v>
      </c>
      <c r="O874" s="12" t="s">
        <v>53</v>
      </c>
      <c r="P874" s="5" t="str">
        <f>IFERROR(__xludf.DUMMYFUNCTION("TEXTJOIN("" | "",TRUE,IF(OR(D874="""",E874="""",I874="""",J874="""",H874=""""),""ফাঁকা ঘর"",""""),IF(AND(C874&lt;&gt;"""",D874&lt;&gt;"""",C874=D874),""gloss=figurative"",""""),IF(LEN(D874)&lt;15,""figurative ছোট"",""""),IF(AND(I874=""Positive"",REGEXMATCH(H874,""মূর্খ|"&amp;"ভণ্ড|প্রতার|অলস|লোভ|স্বার্থ|অক্ষম|অযোগ্য|বোকা|কৃপণ|হিংস"")),""valence-target অমিল"",""""),IF(COUNTIF($B:$B,B874)&gt;1,""ডুপ্লিকেট"",""""))"),"figurative ছোট")</f>
        <v>figurative ছোট</v>
      </c>
      <c r="Q874" s="5" t="str">
        <f t="shared" si="1"/>
        <v>১ আগে দেখো</v>
      </c>
    </row>
    <row r="875">
      <c r="A875" s="4">
        <v>6305.0</v>
      </c>
      <c r="B875" s="2" t="s">
        <v>3804</v>
      </c>
      <c r="C875" s="2" t="s">
        <v>3805</v>
      </c>
      <c r="D875" s="2" t="s">
        <v>3346</v>
      </c>
      <c r="E875" s="2" t="s">
        <v>3806</v>
      </c>
      <c r="F875" s="2" t="b">
        <v>1</v>
      </c>
      <c r="G875" s="2" t="b">
        <v>0</v>
      </c>
      <c r="H875" s="2" t="s">
        <v>3807</v>
      </c>
      <c r="I875" s="2" t="s">
        <v>22</v>
      </c>
      <c r="J875" s="2" t="s">
        <v>3346</v>
      </c>
      <c r="K875" s="2" t="s">
        <v>495</v>
      </c>
      <c r="L875" s="13" t="s">
        <v>496</v>
      </c>
      <c r="M875" s="2" t="s">
        <v>26</v>
      </c>
      <c r="N875" s="11" t="s">
        <v>576</v>
      </c>
      <c r="O875" s="12" t="s">
        <v>53</v>
      </c>
      <c r="P875" s="5" t="str">
        <f>IFERROR(__xludf.DUMMYFUNCTION("TEXTJOIN("" | "",TRUE,IF(OR(D875="""",E875="""",I875="""",J875="""",H875=""""),""ফাঁকা ঘর"",""""),IF(AND(C875&lt;&gt;"""",D875&lt;&gt;"""",C875=D875),""gloss=figurative"",""""),IF(LEN(D875)&lt;15,""figurative ছোট"",""""),IF(AND(I875=""Positive"",REGEXMATCH(H875,""মূর্খ|"&amp;"ভণ্ড|প্রতার|অলস|লোভ|স্বার্থ|অক্ষম|অযোগ্য|বোকা|কৃপণ|হিংস"")),""valence-target অমিল"",""""),IF(COUNTIF($B:$B,B875)&gt;1,""ডুপ্লিকেট"",""""))"),"figurative ছোট")</f>
        <v>figurative ছোট</v>
      </c>
      <c r="Q875" s="5" t="str">
        <f t="shared" si="1"/>
        <v>১ আগে দেখো</v>
      </c>
    </row>
    <row r="876">
      <c r="A876" s="4">
        <v>6308.0</v>
      </c>
      <c r="B876" s="2" t="s">
        <v>3808</v>
      </c>
      <c r="C876" s="2" t="s">
        <v>3809</v>
      </c>
      <c r="D876" s="2" t="s">
        <v>3810</v>
      </c>
      <c r="E876" s="2" t="s">
        <v>3811</v>
      </c>
      <c r="F876" s="2" t="b">
        <v>1</v>
      </c>
      <c r="G876" s="2" t="b">
        <v>0</v>
      </c>
      <c r="H876" s="2" t="s">
        <v>37</v>
      </c>
      <c r="I876" s="2" t="s">
        <v>49</v>
      </c>
      <c r="J876" s="2" t="s">
        <v>3506</v>
      </c>
      <c r="K876" s="2" t="s">
        <v>495</v>
      </c>
      <c r="L876" s="13" t="s">
        <v>496</v>
      </c>
      <c r="M876" s="2" t="s">
        <v>26</v>
      </c>
      <c r="N876" s="11" t="s">
        <v>3812</v>
      </c>
      <c r="O876" s="12" t="s">
        <v>53</v>
      </c>
      <c r="P876" s="5" t="str">
        <f>IFERROR(__xludf.DUMMYFUNCTION("TEXTJOIN("" | "",TRUE,IF(OR(D876="""",E876="""",I876="""",J876="""",H876=""""),""ফাঁকা ঘর"",""""),IF(AND(C876&lt;&gt;"""",D876&lt;&gt;"""",C876=D876),""gloss=figurative"",""""),IF(LEN(D876)&lt;15,""figurative ছোট"",""""),IF(AND(I876=""Positive"",REGEXMATCH(H876,""মূর্খ|"&amp;"ভণ্ড|প্রতার|অলস|লোভ|স্বার্থ|অক্ষম|অযোগ্য|বোকা|কৃপণ|হিংস"")),""valence-target অমিল"",""""),IF(COUNTIF($B:$B,B876)&gt;1,""ডুপ্লিকেট"",""""))"),"figurative ছোট")</f>
        <v>figurative ছোট</v>
      </c>
      <c r="Q876" s="5" t="str">
        <f t="shared" si="1"/>
        <v>১ আগে দেখো</v>
      </c>
    </row>
    <row r="877">
      <c r="A877" s="4">
        <v>6309.0</v>
      </c>
      <c r="B877" s="2" t="s">
        <v>3813</v>
      </c>
      <c r="C877" s="2" t="s">
        <v>3814</v>
      </c>
      <c r="D877" s="2" t="s">
        <v>3815</v>
      </c>
      <c r="E877" s="2" t="s">
        <v>3816</v>
      </c>
      <c r="F877" s="2" t="b">
        <v>1</v>
      </c>
      <c r="G877" s="2" t="b">
        <v>0</v>
      </c>
      <c r="H877" s="2" t="s">
        <v>37</v>
      </c>
      <c r="I877" s="2" t="s">
        <v>49</v>
      </c>
      <c r="J877" s="2" t="s">
        <v>3506</v>
      </c>
      <c r="K877" s="2" t="s">
        <v>495</v>
      </c>
      <c r="L877" s="13" t="s">
        <v>496</v>
      </c>
      <c r="M877" s="2" t="s">
        <v>26</v>
      </c>
      <c r="N877" s="11" t="s">
        <v>3812</v>
      </c>
      <c r="O877" s="12" t="s">
        <v>53</v>
      </c>
      <c r="P877" s="5" t="str">
        <f>IFERROR(__xludf.DUMMYFUNCTION("TEXTJOIN("" | "",TRUE,IF(OR(D877="""",E877="""",I877="""",J877="""",H877=""""),""ফাঁকা ঘর"",""""),IF(AND(C877&lt;&gt;"""",D877&lt;&gt;"""",C877=D877),""gloss=figurative"",""""),IF(LEN(D877)&lt;15,""figurative ছোট"",""""),IF(AND(I877=""Positive"",REGEXMATCH(H877,""মূর্খ|"&amp;"ভণ্ড|প্রতার|অলস|লোভ|স্বার্থ|অক্ষম|অযোগ্য|বোকা|কৃপণ|হিংস"")),""valence-target অমিল"",""""),IF(COUNTIF($B:$B,B877)&gt;1,""ডুপ্লিকেট"",""""))"),"figurative ছোট")</f>
        <v>figurative ছোট</v>
      </c>
      <c r="Q877" s="5" t="str">
        <f t="shared" si="1"/>
        <v>১ আগে দেখো</v>
      </c>
    </row>
    <row r="878">
      <c r="A878" s="4">
        <v>6311.0</v>
      </c>
      <c r="B878" s="2" t="s">
        <v>3817</v>
      </c>
      <c r="C878" s="2" t="s">
        <v>3818</v>
      </c>
      <c r="D878" s="2" t="s">
        <v>3819</v>
      </c>
      <c r="E878" s="2" t="s">
        <v>3820</v>
      </c>
      <c r="F878" s="2" t="b">
        <v>1</v>
      </c>
      <c r="G878" s="2" t="b">
        <v>0</v>
      </c>
      <c r="H878" s="2" t="s">
        <v>37</v>
      </c>
      <c r="I878" s="2" t="s">
        <v>49</v>
      </c>
      <c r="J878" s="2" t="s">
        <v>2165</v>
      </c>
      <c r="K878" s="2" t="s">
        <v>495</v>
      </c>
      <c r="L878" s="13" t="s">
        <v>496</v>
      </c>
      <c r="M878" s="2" t="s">
        <v>26</v>
      </c>
      <c r="N878" s="11" t="s">
        <v>576</v>
      </c>
      <c r="O878" s="12" t="s">
        <v>53</v>
      </c>
      <c r="P878" s="5" t="str">
        <f>IFERROR(__xludf.DUMMYFUNCTION("TEXTJOIN("" | "",TRUE,IF(OR(D878="""",E878="""",I878="""",J878="""",H878=""""),""ফাঁকা ঘর"",""""),IF(AND(C878&lt;&gt;"""",D878&lt;&gt;"""",C878=D878),""gloss=figurative"",""""),IF(LEN(D878)&lt;15,""figurative ছোট"",""""),IF(AND(I878=""Positive"",REGEXMATCH(H878,""মূর্খ|"&amp;"ভণ্ড|প্রতার|অলস|লোভ|স্বার্থ|অক্ষম|অযোগ্য|বোকা|কৃপণ|হিংস"")),""valence-target অমিল"",""""),IF(COUNTIF($B:$B,B878)&gt;1,""ডুপ্লিকেট"",""""))"),"figurative ছোট")</f>
        <v>figurative ছোট</v>
      </c>
      <c r="Q878" s="5" t="str">
        <f t="shared" si="1"/>
        <v>১ আগে দেখো</v>
      </c>
    </row>
    <row r="879">
      <c r="A879" s="4">
        <v>6312.0</v>
      </c>
      <c r="B879" s="2" t="s">
        <v>3821</v>
      </c>
      <c r="C879" s="2" t="s">
        <v>3821</v>
      </c>
      <c r="D879" s="2" t="s">
        <v>3822</v>
      </c>
      <c r="E879" s="2" t="s">
        <v>3823</v>
      </c>
      <c r="F879" s="2" t="b">
        <v>1</v>
      </c>
      <c r="G879" s="2" t="b">
        <v>0</v>
      </c>
      <c r="H879" s="2" t="s">
        <v>37</v>
      </c>
      <c r="I879" s="2" t="s">
        <v>22</v>
      </c>
      <c r="J879" s="2" t="s">
        <v>766</v>
      </c>
      <c r="K879" s="2" t="s">
        <v>495</v>
      </c>
      <c r="L879" s="13" t="s">
        <v>496</v>
      </c>
      <c r="M879" s="2" t="s">
        <v>26</v>
      </c>
      <c r="N879" s="11" t="s">
        <v>576</v>
      </c>
      <c r="O879" s="12" t="s">
        <v>53</v>
      </c>
      <c r="P879" s="5" t="str">
        <f>IFERROR(__xludf.DUMMYFUNCTION("TEXTJOIN("" | "",TRUE,IF(OR(D879="""",E879="""",I879="""",J879="""",H879=""""),""ফাঁকা ঘর"",""""),IF(AND(C879&lt;&gt;"""",D879&lt;&gt;"""",C879=D879),""gloss=figurative"",""""),IF(LEN(D879)&lt;15,""figurative ছোট"",""""),IF(AND(I879=""Positive"",REGEXMATCH(H879,""মূর্খ|"&amp;"ভণ্ড|প্রতার|অলস|লোভ|স্বার্থ|অক্ষম|অযোগ্য|বোকা|কৃপণ|হিংস"")),""valence-target অমিল"",""""),IF(COUNTIF($B:$B,B879)&gt;1,""ডুপ্লিকেট"",""""))"),"figurative ছোট")</f>
        <v>figurative ছোট</v>
      </c>
      <c r="Q879" s="5" t="str">
        <f t="shared" si="1"/>
        <v>১ আগে দেখো</v>
      </c>
    </row>
    <row r="880">
      <c r="A880" s="4">
        <v>6313.0</v>
      </c>
      <c r="B880" s="2" t="s">
        <v>3824</v>
      </c>
      <c r="C880" s="2" t="s">
        <v>3825</v>
      </c>
      <c r="D880" s="2" t="s">
        <v>3826</v>
      </c>
      <c r="E880" s="2" t="s">
        <v>3827</v>
      </c>
      <c r="F880" s="2" t="b">
        <v>1</v>
      </c>
      <c r="G880" s="2" t="b">
        <v>0</v>
      </c>
      <c r="H880" s="2" t="s">
        <v>37</v>
      </c>
      <c r="I880" s="2" t="s">
        <v>49</v>
      </c>
      <c r="J880" s="2" t="s">
        <v>176</v>
      </c>
      <c r="K880" s="2" t="s">
        <v>495</v>
      </c>
      <c r="L880" s="13" t="s">
        <v>496</v>
      </c>
      <c r="M880" s="2" t="s">
        <v>26</v>
      </c>
      <c r="N880" s="11" t="s">
        <v>576</v>
      </c>
      <c r="O880" s="12" t="s">
        <v>53</v>
      </c>
      <c r="P880" s="5" t="str">
        <f>IFERROR(__xludf.DUMMYFUNCTION("TEXTJOIN("" | "",TRUE,IF(OR(D880="""",E880="""",I880="""",J880="""",H880=""""),""ফাঁকা ঘর"",""""),IF(AND(C880&lt;&gt;"""",D880&lt;&gt;"""",C880=D880),""gloss=figurative"",""""),IF(LEN(D880)&lt;15,""figurative ছোট"",""""),IF(AND(I880=""Positive"",REGEXMATCH(H880,""মূর্খ|"&amp;"ভণ্ড|প্রতার|অলস|লোভ|স্বার্থ|অক্ষম|অযোগ্য|বোকা|কৃপণ|হিংস"")),""valence-target অমিল"",""""),IF(COUNTIF($B:$B,B880)&gt;1,""ডুপ্লিকেট"",""""))"),"figurative ছোট")</f>
        <v>figurative ছোট</v>
      </c>
      <c r="Q880" s="5" t="str">
        <f t="shared" si="1"/>
        <v>১ আগে দেখো</v>
      </c>
    </row>
    <row r="881">
      <c r="A881" s="4">
        <v>6314.0</v>
      </c>
      <c r="B881" s="2" t="s">
        <v>3828</v>
      </c>
      <c r="C881" s="2" t="s">
        <v>3829</v>
      </c>
      <c r="D881" s="2" t="s">
        <v>2869</v>
      </c>
      <c r="E881" s="2" t="s">
        <v>3830</v>
      </c>
      <c r="F881" s="2" t="b">
        <v>1</v>
      </c>
      <c r="G881" s="2" t="b">
        <v>0</v>
      </c>
      <c r="H881" s="2" t="s">
        <v>37</v>
      </c>
      <c r="I881" s="2" t="s">
        <v>22</v>
      </c>
      <c r="J881" s="2" t="s">
        <v>2869</v>
      </c>
      <c r="K881" s="2" t="s">
        <v>495</v>
      </c>
      <c r="L881" s="13" t="s">
        <v>496</v>
      </c>
      <c r="M881" s="2" t="s">
        <v>26</v>
      </c>
      <c r="N881" s="11" t="s">
        <v>576</v>
      </c>
      <c r="O881" s="12" t="s">
        <v>53</v>
      </c>
      <c r="P881" s="5" t="str">
        <f>IFERROR(__xludf.DUMMYFUNCTION("TEXTJOIN("" | "",TRUE,IF(OR(D881="""",E881="""",I881="""",J881="""",H881=""""),""ফাঁকা ঘর"",""""),IF(AND(C881&lt;&gt;"""",D881&lt;&gt;"""",C881=D881),""gloss=figurative"",""""),IF(LEN(D881)&lt;15,""figurative ছোট"",""""),IF(AND(I881=""Positive"",REGEXMATCH(H881,""মূর্খ|"&amp;"ভণ্ড|প্রতার|অলস|লোভ|স্বার্থ|অক্ষম|অযোগ্য|বোকা|কৃপণ|হিংস"")),""valence-target অমিল"",""""),IF(COUNTIF($B:$B,B881)&gt;1,""ডুপ্লিকেট"",""""))"),"figurative ছোট")</f>
        <v>figurative ছোট</v>
      </c>
      <c r="Q881" s="5" t="str">
        <f t="shared" si="1"/>
        <v>১ আগে দেখো</v>
      </c>
    </row>
    <row r="882">
      <c r="A882" s="4">
        <v>6315.0</v>
      </c>
      <c r="B882" s="2" t="s">
        <v>3831</v>
      </c>
      <c r="C882" s="2" t="s">
        <v>3831</v>
      </c>
      <c r="D882" s="2" t="s">
        <v>1429</v>
      </c>
      <c r="E882" s="2" t="s">
        <v>3832</v>
      </c>
      <c r="F882" s="2" t="b">
        <v>1</v>
      </c>
      <c r="G882" s="2" t="b">
        <v>0</v>
      </c>
      <c r="H882" s="2" t="s">
        <v>37</v>
      </c>
      <c r="I882" s="2" t="s">
        <v>22</v>
      </c>
      <c r="J882" s="2" t="s">
        <v>978</v>
      </c>
      <c r="K882" s="2" t="s">
        <v>495</v>
      </c>
      <c r="L882" s="13" t="s">
        <v>496</v>
      </c>
      <c r="M882" s="2" t="s">
        <v>26</v>
      </c>
      <c r="N882" s="11" t="s">
        <v>576</v>
      </c>
      <c r="O882" s="12" t="s">
        <v>53</v>
      </c>
      <c r="P882" s="5" t="str">
        <f>IFERROR(__xludf.DUMMYFUNCTION("TEXTJOIN("" | "",TRUE,IF(OR(D882="""",E882="""",I882="""",J882="""",H882=""""),""ফাঁকা ঘর"",""""),IF(AND(C882&lt;&gt;"""",D882&lt;&gt;"""",C882=D882),""gloss=figurative"",""""),IF(LEN(D882)&lt;15,""figurative ছোট"",""""),IF(AND(I882=""Positive"",REGEXMATCH(H882,""মূর্খ|"&amp;"ভণ্ড|প্রতার|অলস|লোভ|স্বার্থ|অক্ষম|অযোগ্য|বোকা|কৃপণ|হিংস"")),""valence-target অমিল"",""""),IF(COUNTIF($B:$B,B882)&gt;1,""ডুপ্লিকেট"",""""))"),"figurative ছোট")</f>
        <v>figurative ছোট</v>
      </c>
      <c r="Q882" s="5" t="str">
        <f t="shared" si="1"/>
        <v>১ আগে দেখো</v>
      </c>
    </row>
    <row r="883">
      <c r="A883" s="4">
        <v>6318.0</v>
      </c>
      <c r="B883" s="2" t="s">
        <v>3833</v>
      </c>
      <c r="C883" s="2" t="s">
        <v>3834</v>
      </c>
      <c r="D883" s="2" t="s">
        <v>1387</v>
      </c>
      <c r="E883" s="2" t="s">
        <v>3835</v>
      </c>
      <c r="F883" s="2" t="b">
        <v>1</v>
      </c>
      <c r="G883" s="2" t="b">
        <v>0</v>
      </c>
      <c r="H883" s="2" t="s">
        <v>37</v>
      </c>
      <c r="I883" s="2" t="s">
        <v>49</v>
      </c>
      <c r="J883" s="2" t="s">
        <v>1387</v>
      </c>
      <c r="K883" s="2" t="s">
        <v>495</v>
      </c>
      <c r="L883" s="13" t="s">
        <v>496</v>
      </c>
      <c r="M883" s="2" t="s">
        <v>26</v>
      </c>
      <c r="N883" s="11" t="s">
        <v>576</v>
      </c>
      <c r="O883" s="12" t="s">
        <v>53</v>
      </c>
      <c r="P883" s="5" t="str">
        <f>IFERROR(__xludf.DUMMYFUNCTION("TEXTJOIN("" | "",TRUE,IF(OR(D883="""",E883="""",I883="""",J883="""",H883=""""),""ফাঁকা ঘর"",""""),IF(AND(C883&lt;&gt;"""",D883&lt;&gt;"""",C883=D883),""gloss=figurative"",""""),IF(LEN(D883)&lt;15,""figurative ছোট"",""""),IF(AND(I883=""Positive"",REGEXMATCH(H883,""মূর্খ|"&amp;"ভণ্ড|প্রতার|অলস|লোভ|স্বার্থ|অক্ষম|অযোগ্য|বোকা|কৃপণ|হিংস"")),""valence-target অমিল"",""""),IF(COUNTIF($B:$B,B883)&gt;1,""ডুপ্লিকেট"",""""))"),"figurative ছোট")</f>
        <v>figurative ছোট</v>
      </c>
      <c r="Q883" s="5" t="str">
        <f t="shared" si="1"/>
        <v>১ আগে দেখো</v>
      </c>
    </row>
    <row r="884">
      <c r="A884" s="4">
        <v>6320.0</v>
      </c>
      <c r="B884" s="2" t="s">
        <v>3836</v>
      </c>
      <c r="C884" s="2" t="s">
        <v>3837</v>
      </c>
      <c r="D884" s="2" t="s">
        <v>2433</v>
      </c>
      <c r="E884" s="2" t="s">
        <v>3838</v>
      </c>
      <c r="F884" s="2" t="b">
        <v>1</v>
      </c>
      <c r="G884" s="2" t="b">
        <v>0</v>
      </c>
      <c r="H884" s="2" t="s">
        <v>37</v>
      </c>
      <c r="I884" s="2" t="s">
        <v>22</v>
      </c>
      <c r="J884" s="2" t="s">
        <v>2343</v>
      </c>
      <c r="K884" s="2" t="s">
        <v>495</v>
      </c>
      <c r="L884" s="13" t="s">
        <v>496</v>
      </c>
      <c r="M884" s="2" t="s">
        <v>26</v>
      </c>
      <c r="N884" s="11" t="s">
        <v>576</v>
      </c>
      <c r="O884" s="12" t="s">
        <v>53</v>
      </c>
      <c r="P884" s="5" t="str">
        <f>IFERROR(__xludf.DUMMYFUNCTION("TEXTJOIN("" | "",TRUE,IF(OR(D884="""",E884="""",I884="""",J884="""",H884=""""),""ফাঁকা ঘর"",""""),IF(AND(C884&lt;&gt;"""",D884&lt;&gt;"""",C884=D884),""gloss=figurative"",""""),IF(LEN(D884)&lt;15,""figurative ছোট"",""""),IF(AND(I884=""Positive"",REGEXMATCH(H884,""মূর্খ|"&amp;"ভণ্ড|প্রতার|অলস|লোভ|স্বার্থ|অক্ষম|অযোগ্য|বোকা|কৃপণ|হিংস"")),""valence-target অমিল"",""""),IF(COUNTIF($B:$B,B884)&gt;1,""ডুপ্লিকেট"",""""))"),"figurative ছোট")</f>
        <v>figurative ছোট</v>
      </c>
      <c r="Q884" s="5" t="str">
        <f t="shared" si="1"/>
        <v>১ আগে দেখো</v>
      </c>
    </row>
    <row r="885">
      <c r="A885" s="4">
        <v>6321.0</v>
      </c>
      <c r="B885" s="2" t="s">
        <v>3839</v>
      </c>
      <c r="C885" s="2" t="s">
        <v>3840</v>
      </c>
      <c r="D885" s="2" t="s">
        <v>674</v>
      </c>
      <c r="E885" s="2" t="s">
        <v>3841</v>
      </c>
      <c r="F885" s="2" t="b">
        <v>1</v>
      </c>
      <c r="G885" s="2" t="b">
        <v>0</v>
      </c>
      <c r="H885" s="2" t="s">
        <v>37</v>
      </c>
      <c r="I885" s="2" t="s">
        <v>22</v>
      </c>
      <c r="J885" s="2" t="s">
        <v>674</v>
      </c>
      <c r="K885" s="2" t="s">
        <v>495</v>
      </c>
      <c r="L885" s="13" t="s">
        <v>496</v>
      </c>
      <c r="M885" s="2" t="s">
        <v>26</v>
      </c>
      <c r="N885" s="11" t="s">
        <v>576</v>
      </c>
      <c r="O885" s="12" t="s">
        <v>53</v>
      </c>
      <c r="P885" s="5" t="str">
        <f>IFERROR(__xludf.DUMMYFUNCTION("TEXTJOIN("" | "",TRUE,IF(OR(D885="""",E885="""",I885="""",J885="""",H885=""""),""ফাঁকা ঘর"",""""),IF(AND(C885&lt;&gt;"""",D885&lt;&gt;"""",C885=D885),""gloss=figurative"",""""),IF(LEN(D885)&lt;15,""figurative ছোট"",""""),IF(AND(I885=""Positive"",REGEXMATCH(H885,""মূর্খ|"&amp;"ভণ্ড|প্রতার|অলস|লোভ|স্বার্থ|অক্ষম|অযোগ্য|বোকা|কৃপণ|হিংস"")),""valence-target অমিল"",""""),IF(COUNTIF($B:$B,B885)&gt;1,""ডুপ্লিকেট"",""""))"),"figurative ছোট")</f>
        <v>figurative ছোট</v>
      </c>
      <c r="Q885" s="5" t="str">
        <f t="shared" si="1"/>
        <v>১ আগে দেখো</v>
      </c>
    </row>
    <row r="886">
      <c r="A886" s="4">
        <v>6322.0</v>
      </c>
      <c r="B886" s="2" t="s">
        <v>3842</v>
      </c>
      <c r="C886" s="2" t="s">
        <v>3843</v>
      </c>
      <c r="D886" s="2" t="s">
        <v>3844</v>
      </c>
      <c r="E886" s="2" t="s">
        <v>3845</v>
      </c>
      <c r="F886" s="2" t="b">
        <v>1</v>
      </c>
      <c r="G886" s="2" t="b">
        <v>0</v>
      </c>
      <c r="H886" s="2" t="s">
        <v>37</v>
      </c>
      <c r="I886" s="2" t="s">
        <v>49</v>
      </c>
      <c r="J886" s="2" t="s">
        <v>2732</v>
      </c>
      <c r="K886" s="2" t="s">
        <v>495</v>
      </c>
      <c r="L886" s="13" t="s">
        <v>496</v>
      </c>
      <c r="M886" s="2" t="s">
        <v>26</v>
      </c>
      <c r="N886" s="11" t="s">
        <v>576</v>
      </c>
      <c r="O886" s="12" t="s">
        <v>53</v>
      </c>
      <c r="P886" s="5" t="str">
        <f>IFERROR(__xludf.DUMMYFUNCTION("TEXTJOIN("" | "",TRUE,IF(OR(D886="""",E886="""",I886="""",J886="""",H886=""""),""ফাঁকা ঘর"",""""),IF(AND(C886&lt;&gt;"""",D886&lt;&gt;"""",C886=D886),""gloss=figurative"",""""),IF(LEN(D886)&lt;15,""figurative ছোট"",""""),IF(AND(I886=""Positive"",REGEXMATCH(H886,""মূর্খ|"&amp;"ভণ্ড|প্রতার|অলস|লোভ|স্বার্থ|অক্ষম|অযোগ্য|বোকা|কৃপণ|হিংস"")),""valence-target অমিল"",""""),IF(COUNTIF($B:$B,B886)&gt;1,""ডুপ্লিকেট"",""""))"),"figurative ছোট")</f>
        <v>figurative ছোট</v>
      </c>
      <c r="Q886" s="5" t="str">
        <f t="shared" si="1"/>
        <v>১ আগে দেখো</v>
      </c>
    </row>
    <row r="887">
      <c r="A887" s="4">
        <v>6324.0</v>
      </c>
      <c r="B887" s="2" t="s">
        <v>3846</v>
      </c>
      <c r="C887" s="2" t="s">
        <v>3847</v>
      </c>
      <c r="D887" s="2" t="s">
        <v>3848</v>
      </c>
      <c r="E887" s="2" t="s">
        <v>3849</v>
      </c>
      <c r="F887" s="2" t="b">
        <v>1</v>
      </c>
      <c r="G887" s="2" t="b">
        <v>0</v>
      </c>
      <c r="H887" s="2" t="s">
        <v>37</v>
      </c>
      <c r="I887" s="2" t="s">
        <v>49</v>
      </c>
      <c r="J887" s="2" t="s">
        <v>3489</v>
      </c>
      <c r="K887" s="2" t="s">
        <v>495</v>
      </c>
      <c r="L887" s="13" t="s">
        <v>496</v>
      </c>
      <c r="M887" s="2" t="s">
        <v>26</v>
      </c>
      <c r="N887" s="11" t="s">
        <v>576</v>
      </c>
      <c r="O887" s="12" t="s">
        <v>53</v>
      </c>
      <c r="P887" s="5" t="str">
        <f>IFERROR(__xludf.DUMMYFUNCTION("TEXTJOIN("" | "",TRUE,IF(OR(D887="""",E887="""",I887="""",J887="""",H887=""""),""ফাঁকা ঘর"",""""),IF(AND(C887&lt;&gt;"""",D887&lt;&gt;"""",C887=D887),""gloss=figurative"",""""),IF(LEN(D887)&lt;15,""figurative ছোট"",""""),IF(AND(I887=""Positive"",REGEXMATCH(H887,""মূর্খ|"&amp;"ভণ্ড|প্রতার|অলস|লোভ|স্বার্থ|অক্ষম|অযোগ্য|বোকা|কৃপণ|হিংস"")),""valence-target অমিল"",""""),IF(COUNTIF($B:$B,B887)&gt;1,""ডুপ্লিকেট"",""""))"),"figurative ছোট")</f>
        <v>figurative ছোট</v>
      </c>
      <c r="Q887" s="5" t="str">
        <f t="shared" si="1"/>
        <v>১ আগে দেখো</v>
      </c>
    </row>
    <row r="888">
      <c r="A888" s="4">
        <v>6325.0</v>
      </c>
      <c r="B888" s="2" t="s">
        <v>3850</v>
      </c>
      <c r="C888" s="2" t="s">
        <v>3851</v>
      </c>
      <c r="D888" s="2" t="s">
        <v>3852</v>
      </c>
      <c r="E888" s="2" t="s">
        <v>3853</v>
      </c>
      <c r="F888" s="2" t="b">
        <v>1</v>
      </c>
      <c r="G888" s="2" t="b">
        <v>0</v>
      </c>
      <c r="H888" s="2" t="s">
        <v>37</v>
      </c>
      <c r="I888" s="2" t="s">
        <v>49</v>
      </c>
      <c r="J888" s="2" t="s">
        <v>708</v>
      </c>
      <c r="K888" s="2" t="s">
        <v>495</v>
      </c>
      <c r="L888" s="13" t="s">
        <v>496</v>
      </c>
      <c r="M888" s="2" t="s">
        <v>26</v>
      </c>
      <c r="N888" s="11" t="s">
        <v>576</v>
      </c>
      <c r="O888" s="12" t="s">
        <v>53</v>
      </c>
      <c r="P888" s="5" t="str">
        <f>IFERROR(__xludf.DUMMYFUNCTION("TEXTJOIN("" | "",TRUE,IF(OR(D888="""",E888="""",I888="""",J888="""",H888=""""),""ফাঁকা ঘর"",""""),IF(AND(C888&lt;&gt;"""",D888&lt;&gt;"""",C888=D888),""gloss=figurative"",""""),IF(LEN(D888)&lt;15,""figurative ছোট"",""""),IF(AND(I888=""Positive"",REGEXMATCH(H888,""মূর্খ|"&amp;"ভণ্ড|প্রতার|অলস|লোভ|স্বার্থ|অক্ষম|অযোগ্য|বোকা|কৃপণ|হিংস"")),""valence-target অমিল"",""""),IF(COUNTIF($B:$B,B888)&gt;1,""ডুপ্লিকেট"",""""))"),"figurative ছোট")</f>
        <v>figurative ছোট</v>
      </c>
      <c r="Q888" s="5" t="str">
        <f t="shared" si="1"/>
        <v>১ আগে দেখো</v>
      </c>
    </row>
    <row r="889">
      <c r="A889" s="4">
        <v>6326.0</v>
      </c>
      <c r="B889" s="2" t="s">
        <v>3854</v>
      </c>
      <c r="C889" s="2" t="s">
        <v>3855</v>
      </c>
      <c r="D889" s="2" t="s">
        <v>3856</v>
      </c>
      <c r="E889" s="2" t="s">
        <v>3857</v>
      </c>
      <c r="F889" s="2" t="b">
        <v>1</v>
      </c>
      <c r="G889" s="2" t="b">
        <v>0</v>
      </c>
      <c r="H889" s="2" t="s">
        <v>37</v>
      </c>
      <c r="I889" s="2" t="s">
        <v>32</v>
      </c>
      <c r="J889" s="2" t="s">
        <v>891</v>
      </c>
      <c r="K889" s="2" t="s">
        <v>495</v>
      </c>
      <c r="L889" s="13" t="s">
        <v>496</v>
      </c>
      <c r="M889" s="2" t="s">
        <v>26</v>
      </c>
      <c r="N889" s="11" t="s">
        <v>576</v>
      </c>
      <c r="O889" s="12" t="s">
        <v>53</v>
      </c>
      <c r="P889" s="5" t="str">
        <f>IFERROR(__xludf.DUMMYFUNCTION("TEXTJOIN("" | "",TRUE,IF(OR(D889="""",E889="""",I889="""",J889="""",H889=""""),""ফাঁকা ঘর"",""""),IF(AND(C889&lt;&gt;"""",D889&lt;&gt;"""",C889=D889),""gloss=figurative"",""""),IF(LEN(D889)&lt;15,""figurative ছোট"",""""),IF(AND(I889=""Positive"",REGEXMATCH(H889,""মূর্খ|"&amp;"ভণ্ড|প্রতার|অলস|লোভ|স্বার্থ|অক্ষম|অযোগ্য|বোকা|কৃপণ|হিংস"")),""valence-target অমিল"",""""),IF(COUNTIF($B:$B,B889)&gt;1,""ডুপ্লিকেট"",""""))"),"figurative ছোট")</f>
        <v>figurative ছোট</v>
      </c>
      <c r="Q889" s="5" t="str">
        <f t="shared" si="1"/>
        <v>১ আগে দেখো</v>
      </c>
    </row>
    <row r="890">
      <c r="A890" s="4">
        <v>6327.0</v>
      </c>
      <c r="B890" s="2" t="s">
        <v>3858</v>
      </c>
      <c r="C890" s="2" t="s">
        <v>3859</v>
      </c>
      <c r="D890" s="2" t="s">
        <v>1018</v>
      </c>
      <c r="E890" s="2" t="s">
        <v>3860</v>
      </c>
      <c r="F890" s="2" t="b">
        <v>1</v>
      </c>
      <c r="G890" s="2" t="b">
        <v>0</v>
      </c>
      <c r="H890" s="2" t="s">
        <v>37</v>
      </c>
      <c r="I890" s="2" t="s">
        <v>49</v>
      </c>
      <c r="J890" s="2" t="s">
        <v>1018</v>
      </c>
      <c r="K890" s="2" t="s">
        <v>495</v>
      </c>
      <c r="L890" s="13" t="s">
        <v>496</v>
      </c>
      <c r="M890" s="2" t="s">
        <v>26</v>
      </c>
      <c r="N890" s="11" t="s">
        <v>576</v>
      </c>
      <c r="O890" s="12" t="s">
        <v>53</v>
      </c>
      <c r="P890" s="5" t="str">
        <f>IFERROR(__xludf.DUMMYFUNCTION("TEXTJOIN("" | "",TRUE,IF(OR(D890="""",E890="""",I890="""",J890="""",H890=""""),""ফাঁকা ঘর"",""""),IF(AND(C890&lt;&gt;"""",D890&lt;&gt;"""",C890=D890),""gloss=figurative"",""""),IF(LEN(D890)&lt;15,""figurative ছোট"",""""),IF(AND(I890=""Positive"",REGEXMATCH(H890,""মূর্খ|"&amp;"ভণ্ড|প্রতার|অলস|লোভ|স্বার্থ|অক্ষম|অযোগ্য|বোকা|কৃপণ|হিংস"")),""valence-target অমিল"",""""),IF(COUNTIF($B:$B,B890)&gt;1,""ডুপ্লিকেট"",""""))"),"figurative ছোট")</f>
        <v>figurative ছোট</v>
      </c>
      <c r="Q890" s="5" t="str">
        <f t="shared" si="1"/>
        <v>১ আগে দেখো</v>
      </c>
    </row>
    <row r="891">
      <c r="A891" s="4">
        <v>6328.0</v>
      </c>
      <c r="B891" s="2" t="s">
        <v>3861</v>
      </c>
      <c r="C891" s="2" t="s">
        <v>3862</v>
      </c>
      <c r="D891" s="2" t="s">
        <v>3863</v>
      </c>
      <c r="E891" s="2" t="s">
        <v>3864</v>
      </c>
      <c r="F891" s="2" t="b">
        <v>1</v>
      </c>
      <c r="G891" s="2" t="b">
        <v>0</v>
      </c>
      <c r="H891" s="2" t="s">
        <v>37</v>
      </c>
      <c r="I891" s="2" t="s">
        <v>49</v>
      </c>
      <c r="J891" s="2" t="s">
        <v>208</v>
      </c>
      <c r="K891" s="2" t="s">
        <v>495</v>
      </c>
      <c r="L891" s="13" t="s">
        <v>496</v>
      </c>
      <c r="M891" s="2" t="s">
        <v>26</v>
      </c>
      <c r="N891" s="11" t="s">
        <v>576</v>
      </c>
      <c r="O891" s="12" t="s">
        <v>53</v>
      </c>
      <c r="P891" s="5" t="str">
        <f>IFERROR(__xludf.DUMMYFUNCTION("TEXTJOIN("" | "",TRUE,IF(OR(D891="""",E891="""",I891="""",J891="""",H891=""""),""ফাঁকা ঘর"",""""),IF(AND(C891&lt;&gt;"""",D891&lt;&gt;"""",C891=D891),""gloss=figurative"",""""),IF(LEN(D891)&lt;15,""figurative ছোট"",""""),IF(AND(I891=""Positive"",REGEXMATCH(H891,""মূর্খ|"&amp;"ভণ্ড|প্রতার|অলস|লোভ|স্বার্থ|অক্ষম|অযোগ্য|বোকা|কৃপণ|হিংস"")),""valence-target অমিল"",""""),IF(COUNTIF($B:$B,B891)&gt;1,""ডুপ্লিকেট"",""""))"),"figurative ছোট")</f>
        <v>figurative ছোট</v>
      </c>
      <c r="Q891" s="5" t="str">
        <f t="shared" si="1"/>
        <v>১ আগে দেখো</v>
      </c>
    </row>
    <row r="892">
      <c r="A892" s="4">
        <v>6329.0</v>
      </c>
      <c r="B892" s="2" t="s">
        <v>3865</v>
      </c>
      <c r="C892" s="2" t="s">
        <v>3866</v>
      </c>
      <c r="D892" s="2" t="s">
        <v>3867</v>
      </c>
      <c r="E892" s="2" t="s">
        <v>3868</v>
      </c>
      <c r="F892" s="2" t="b">
        <v>1</v>
      </c>
      <c r="G892" s="2" t="b">
        <v>0</v>
      </c>
      <c r="H892" s="2" t="s">
        <v>37</v>
      </c>
      <c r="I892" s="2" t="s">
        <v>22</v>
      </c>
      <c r="J892" s="2" t="s">
        <v>3869</v>
      </c>
      <c r="K892" s="2" t="s">
        <v>495</v>
      </c>
      <c r="L892" s="13" t="s">
        <v>496</v>
      </c>
      <c r="M892" s="2" t="s">
        <v>26</v>
      </c>
      <c r="N892" s="11" t="s">
        <v>576</v>
      </c>
      <c r="O892" s="12" t="s">
        <v>53</v>
      </c>
      <c r="P892" s="5" t="str">
        <f>IFERROR(__xludf.DUMMYFUNCTION("TEXTJOIN("" | "",TRUE,IF(OR(D892="""",E892="""",I892="""",J892="""",H892=""""),""ফাঁকা ঘর"",""""),IF(AND(C892&lt;&gt;"""",D892&lt;&gt;"""",C892=D892),""gloss=figurative"",""""),IF(LEN(D892)&lt;15,""figurative ছোট"",""""),IF(AND(I892=""Positive"",REGEXMATCH(H892,""মূর্খ|"&amp;"ভণ্ড|প্রতার|অলস|লোভ|স্বার্থ|অক্ষম|অযোগ্য|বোকা|কৃপণ|হিংস"")),""valence-target অমিল"",""""),IF(COUNTIF($B:$B,B892)&gt;1,""ডুপ্লিকেট"",""""))"),"figurative ছোট")</f>
        <v>figurative ছোট</v>
      </c>
      <c r="Q892" s="5" t="str">
        <f t="shared" si="1"/>
        <v>১ আগে দেখো</v>
      </c>
    </row>
    <row r="893">
      <c r="A893" s="4">
        <v>6331.0</v>
      </c>
      <c r="B893" s="2" t="s">
        <v>3870</v>
      </c>
      <c r="C893" s="2" t="s">
        <v>3870</v>
      </c>
      <c r="D893" s="2" t="s">
        <v>3871</v>
      </c>
      <c r="E893" s="2" t="s">
        <v>3872</v>
      </c>
      <c r="F893" s="2" t="b">
        <v>1</v>
      </c>
      <c r="G893" s="2" t="b">
        <v>0</v>
      </c>
      <c r="H893" s="2" t="s">
        <v>37</v>
      </c>
      <c r="I893" s="2" t="s">
        <v>22</v>
      </c>
      <c r="J893" s="2" t="s">
        <v>3873</v>
      </c>
      <c r="K893" s="2" t="s">
        <v>495</v>
      </c>
      <c r="L893" s="13" t="s">
        <v>496</v>
      </c>
      <c r="M893" s="2" t="s">
        <v>26</v>
      </c>
      <c r="N893" s="11" t="s">
        <v>576</v>
      </c>
      <c r="O893" s="12" t="s">
        <v>53</v>
      </c>
      <c r="P893" s="5" t="str">
        <f>IFERROR(__xludf.DUMMYFUNCTION("TEXTJOIN("" | "",TRUE,IF(OR(D893="""",E893="""",I893="""",J893="""",H893=""""),""ফাঁকা ঘর"",""""),IF(AND(C893&lt;&gt;"""",D893&lt;&gt;"""",C893=D893),""gloss=figurative"",""""),IF(LEN(D893)&lt;15,""figurative ছোট"",""""),IF(AND(I893=""Positive"",REGEXMATCH(H893,""মূর্খ|"&amp;"ভণ্ড|প্রতার|অলস|লোভ|স্বার্থ|অক্ষম|অযোগ্য|বোকা|কৃপণ|হিংস"")),""valence-target অমিল"",""""),IF(COUNTIF($B:$B,B893)&gt;1,""ডুপ্লিকেট"",""""))"),"figurative ছোট")</f>
        <v>figurative ছোট</v>
      </c>
      <c r="Q893" s="5" t="str">
        <f t="shared" si="1"/>
        <v>১ আগে দেখো</v>
      </c>
    </row>
    <row r="894">
      <c r="A894" s="4">
        <v>6332.0</v>
      </c>
      <c r="B894" s="2" t="s">
        <v>3874</v>
      </c>
      <c r="C894" s="2" t="s">
        <v>3875</v>
      </c>
      <c r="D894" s="2" t="s">
        <v>3876</v>
      </c>
      <c r="E894" s="2" t="s">
        <v>3877</v>
      </c>
      <c r="F894" s="2" t="b">
        <v>1</v>
      </c>
      <c r="G894" s="2" t="b">
        <v>0</v>
      </c>
      <c r="H894" s="2" t="s">
        <v>37</v>
      </c>
      <c r="I894" s="2" t="s">
        <v>22</v>
      </c>
      <c r="J894" s="2" t="s">
        <v>646</v>
      </c>
      <c r="K894" s="2" t="s">
        <v>495</v>
      </c>
      <c r="L894" s="13" t="s">
        <v>496</v>
      </c>
      <c r="M894" s="2" t="s">
        <v>26</v>
      </c>
      <c r="N894" s="11" t="s">
        <v>576</v>
      </c>
      <c r="O894" s="12" t="s">
        <v>53</v>
      </c>
      <c r="P894" s="5" t="str">
        <f>IFERROR(__xludf.DUMMYFUNCTION("TEXTJOIN("" | "",TRUE,IF(OR(D894="""",E894="""",I894="""",J894="""",H894=""""),""ফাঁকা ঘর"",""""),IF(AND(C894&lt;&gt;"""",D894&lt;&gt;"""",C894=D894),""gloss=figurative"",""""),IF(LEN(D894)&lt;15,""figurative ছোট"",""""),IF(AND(I894=""Positive"",REGEXMATCH(H894,""মূর্খ|"&amp;"ভণ্ড|প্রতার|অলস|লোভ|স্বার্থ|অক্ষম|অযোগ্য|বোকা|কৃপণ|হিংস"")),""valence-target অমিল"",""""),IF(COUNTIF($B:$B,B894)&gt;1,""ডুপ্লিকেট"",""""))"),"figurative ছোট")</f>
        <v>figurative ছোট</v>
      </c>
      <c r="Q894" s="5" t="str">
        <f t="shared" si="1"/>
        <v>১ আগে দেখো</v>
      </c>
    </row>
    <row r="895">
      <c r="A895" s="4">
        <v>6334.0</v>
      </c>
      <c r="B895" s="2" t="s">
        <v>3878</v>
      </c>
      <c r="C895" s="2" t="s">
        <v>3879</v>
      </c>
      <c r="D895" s="2" t="s">
        <v>3880</v>
      </c>
      <c r="E895" s="2" t="s">
        <v>3881</v>
      </c>
      <c r="F895" s="2" t="b">
        <v>1</v>
      </c>
      <c r="G895" s="2" t="b">
        <v>1</v>
      </c>
      <c r="H895" s="2" t="s">
        <v>3882</v>
      </c>
      <c r="I895" s="2" t="s">
        <v>49</v>
      </c>
      <c r="J895" s="2" t="s">
        <v>1443</v>
      </c>
      <c r="K895" s="2" t="s">
        <v>495</v>
      </c>
      <c r="L895" s="13" t="s">
        <v>496</v>
      </c>
      <c r="M895" s="2" t="s">
        <v>26</v>
      </c>
      <c r="N895" s="11" t="s">
        <v>3883</v>
      </c>
      <c r="O895" s="12" t="s">
        <v>53</v>
      </c>
      <c r="P895" s="5" t="str">
        <f>IFERROR(__xludf.DUMMYFUNCTION("TEXTJOIN("" | "",TRUE,IF(OR(D895="""",E895="""",I895="""",J895="""",H895=""""),""ফাঁকা ঘর"",""""),IF(AND(C895&lt;&gt;"""",D895&lt;&gt;"""",C895=D895),""gloss=figurative"",""""),IF(LEN(D895)&lt;15,""figurative ছোট"",""""),IF(AND(I895=""Positive"",REGEXMATCH(H895,""মূর্খ|"&amp;"ভণ্ড|প্রতার|অলস|লোভ|স্বার্থ|অক্ষম|অযোগ্য|বোকা|কৃপণ|হিংস"")),""valence-target অমিল"",""""),IF(COUNTIF($B:$B,B895)&gt;1,""ডুপ্লিকেট"",""""))"),"figurative ছোট")</f>
        <v>figurative ছোট</v>
      </c>
      <c r="Q895" s="5" t="str">
        <f t="shared" si="1"/>
        <v>১ আগে দেখো</v>
      </c>
    </row>
    <row r="896">
      <c r="A896" s="4">
        <v>6335.0</v>
      </c>
      <c r="B896" s="2" t="s">
        <v>3884</v>
      </c>
      <c r="C896" s="2" t="s">
        <v>3885</v>
      </c>
      <c r="D896" s="2" t="s">
        <v>2370</v>
      </c>
      <c r="E896" s="2" t="s">
        <v>3886</v>
      </c>
      <c r="F896" s="2" t="b">
        <v>1</v>
      </c>
      <c r="G896" s="2" t="b">
        <v>1</v>
      </c>
      <c r="H896" s="2" t="s">
        <v>3887</v>
      </c>
      <c r="I896" s="2" t="s">
        <v>49</v>
      </c>
      <c r="J896" s="2" t="s">
        <v>1310</v>
      </c>
      <c r="K896" s="2" t="s">
        <v>495</v>
      </c>
      <c r="L896" s="13" t="s">
        <v>496</v>
      </c>
      <c r="M896" s="2" t="s">
        <v>26</v>
      </c>
      <c r="N896" s="11" t="s">
        <v>576</v>
      </c>
      <c r="O896" s="12" t="s">
        <v>53</v>
      </c>
      <c r="P896" s="5" t="str">
        <f>IFERROR(__xludf.DUMMYFUNCTION("TEXTJOIN("" | "",TRUE,IF(OR(D896="""",E896="""",I896="""",J896="""",H896=""""),""ফাঁকা ঘর"",""""),IF(AND(C896&lt;&gt;"""",D896&lt;&gt;"""",C896=D896),""gloss=figurative"",""""),IF(LEN(D896)&lt;15,""figurative ছোট"",""""),IF(AND(I896=""Positive"",REGEXMATCH(H896,""মূর্খ|"&amp;"ভণ্ড|প্রতার|অলস|লোভ|স্বার্থ|অক্ষম|অযোগ্য|বোকা|কৃপণ|হিংস"")),""valence-target অমিল"",""""),IF(COUNTIF($B:$B,B896)&gt;1,""ডুপ্লিকেট"",""""))"),"figurative ছোট")</f>
        <v>figurative ছোট</v>
      </c>
      <c r="Q896" s="5" t="str">
        <f t="shared" si="1"/>
        <v>১ আগে দেখো</v>
      </c>
    </row>
    <row r="897">
      <c r="A897" s="4">
        <v>6338.0</v>
      </c>
      <c r="B897" s="2" t="s">
        <v>3888</v>
      </c>
      <c r="C897" s="2" t="s">
        <v>3889</v>
      </c>
      <c r="D897" s="2" t="s">
        <v>3890</v>
      </c>
      <c r="E897" s="2" t="s">
        <v>3891</v>
      </c>
      <c r="F897" s="2" t="b">
        <v>1</v>
      </c>
      <c r="G897" s="2" t="b">
        <v>1</v>
      </c>
      <c r="H897" s="2" t="s">
        <v>1982</v>
      </c>
      <c r="I897" s="2" t="s">
        <v>22</v>
      </c>
      <c r="J897" s="2" t="s">
        <v>836</v>
      </c>
      <c r="K897" s="2" t="s">
        <v>495</v>
      </c>
      <c r="L897" s="13" t="s">
        <v>496</v>
      </c>
      <c r="M897" s="2" t="s">
        <v>26</v>
      </c>
      <c r="N897" s="11" t="s">
        <v>3892</v>
      </c>
      <c r="O897" s="12" t="s">
        <v>53</v>
      </c>
      <c r="P897" s="5" t="str">
        <f>IFERROR(__xludf.DUMMYFUNCTION("TEXTJOIN("" | "",TRUE,IF(OR(D897="""",E897="""",I897="""",J897="""",H897=""""),""ফাঁকা ঘর"",""""),IF(AND(C897&lt;&gt;"""",D897&lt;&gt;"""",C897=D897),""gloss=figurative"",""""),IF(LEN(D897)&lt;15,""figurative ছোট"",""""),IF(AND(I897=""Positive"",REGEXMATCH(H897,""মূর্খ|"&amp;"ভণ্ড|প্রতার|অলস|লোভ|স্বার্থ|অক্ষম|অযোগ্য|বোকা|কৃপণ|হিংস"")),""valence-target অমিল"",""""),IF(COUNTIF($B:$B,B897)&gt;1,""ডুপ্লিকেট"",""""))"),"figurative ছোট")</f>
        <v>figurative ছোট</v>
      </c>
      <c r="Q897" s="5" t="str">
        <f t="shared" si="1"/>
        <v>১ আগে দেখো</v>
      </c>
    </row>
    <row r="898">
      <c r="A898" s="4">
        <v>6340.0</v>
      </c>
      <c r="B898" s="2" t="s">
        <v>3893</v>
      </c>
      <c r="C898" s="2" t="s">
        <v>3894</v>
      </c>
      <c r="D898" s="2" t="s">
        <v>1920</v>
      </c>
      <c r="E898" s="2" t="s">
        <v>3895</v>
      </c>
      <c r="F898" s="2" t="b">
        <v>1</v>
      </c>
      <c r="G898" s="2" t="b">
        <v>0</v>
      </c>
      <c r="H898" s="2" t="s">
        <v>37</v>
      </c>
      <c r="I898" s="2" t="s">
        <v>32</v>
      </c>
      <c r="J898" s="2" t="s">
        <v>1518</v>
      </c>
      <c r="K898" s="2" t="s">
        <v>495</v>
      </c>
      <c r="L898" s="13" t="s">
        <v>496</v>
      </c>
      <c r="M898" s="2" t="s">
        <v>26</v>
      </c>
      <c r="N898" s="11" t="s">
        <v>576</v>
      </c>
      <c r="O898" s="12" t="s">
        <v>53</v>
      </c>
      <c r="P898" s="5" t="str">
        <f>IFERROR(__xludf.DUMMYFUNCTION("TEXTJOIN("" | "",TRUE,IF(OR(D898="""",E898="""",I898="""",J898="""",H898=""""),""ফাঁকা ঘর"",""""),IF(AND(C898&lt;&gt;"""",D898&lt;&gt;"""",C898=D898),""gloss=figurative"",""""),IF(LEN(D898)&lt;15,""figurative ছোট"",""""),IF(AND(I898=""Positive"",REGEXMATCH(H898,""মূর্খ|"&amp;"ভণ্ড|প্রতার|অলস|লোভ|স্বার্থ|অক্ষম|অযোগ্য|বোকা|কৃপণ|হিংস"")),""valence-target অমিল"",""""),IF(COUNTIF($B:$B,B898)&gt;1,""ডুপ্লিকেট"",""""))"),"figurative ছোট")</f>
        <v>figurative ছোট</v>
      </c>
      <c r="Q898" s="5" t="str">
        <f t="shared" si="1"/>
        <v>১ আগে দেখো</v>
      </c>
    </row>
    <row r="899">
      <c r="A899" s="4">
        <v>6341.0</v>
      </c>
      <c r="B899" s="2" t="s">
        <v>3896</v>
      </c>
      <c r="C899" s="2" t="s">
        <v>3897</v>
      </c>
      <c r="D899" s="2" t="s">
        <v>3898</v>
      </c>
      <c r="E899" s="2" t="s">
        <v>3899</v>
      </c>
      <c r="F899" s="2" t="b">
        <v>1</v>
      </c>
      <c r="G899" s="2" t="b">
        <v>0</v>
      </c>
      <c r="H899" s="2" t="s">
        <v>37</v>
      </c>
      <c r="I899" s="2" t="s">
        <v>49</v>
      </c>
      <c r="J899" s="2" t="s">
        <v>669</v>
      </c>
      <c r="K899" s="2" t="s">
        <v>495</v>
      </c>
      <c r="L899" s="13" t="s">
        <v>496</v>
      </c>
      <c r="M899" s="2" t="s">
        <v>26</v>
      </c>
      <c r="N899" s="11" t="s">
        <v>576</v>
      </c>
      <c r="O899" s="12" t="s">
        <v>53</v>
      </c>
      <c r="P899" s="5" t="str">
        <f>IFERROR(__xludf.DUMMYFUNCTION("TEXTJOIN("" | "",TRUE,IF(OR(D899="""",E899="""",I899="""",J899="""",H899=""""),""ফাঁকা ঘর"",""""),IF(AND(C899&lt;&gt;"""",D899&lt;&gt;"""",C899=D899),""gloss=figurative"",""""),IF(LEN(D899)&lt;15,""figurative ছোট"",""""),IF(AND(I899=""Positive"",REGEXMATCH(H899,""মূর্খ|"&amp;"ভণ্ড|প্রতার|অলস|লোভ|স্বার্থ|অক্ষম|অযোগ্য|বোকা|কৃপণ|হিংস"")),""valence-target অমিল"",""""),IF(COUNTIF($B:$B,B899)&gt;1,""ডুপ্লিকেট"",""""))"),"figurative ছোট")</f>
        <v>figurative ছোট</v>
      </c>
      <c r="Q899" s="5" t="str">
        <f t="shared" si="1"/>
        <v>১ আগে দেখো</v>
      </c>
    </row>
    <row r="900">
      <c r="A900" s="4">
        <v>6342.0</v>
      </c>
      <c r="B900" s="2" t="s">
        <v>3900</v>
      </c>
      <c r="C900" s="2" t="s">
        <v>3900</v>
      </c>
      <c r="D900" s="2" t="s">
        <v>3901</v>
      </c>
      <c r="E900" s="2" t="s">
        <v>3902</v>
      </c>
      <c r="F900" s="2" t="b">
        <v>1</v>
      </c>
      <c r="G900" s="2" t="b">
        <v>0</v>
      </c>
      <c r="H900" s="2" t="s">
        <v>37</v>
      </c>
      <c r="I900" s="2" t="s">
        <v>22</v>
      </c>
      <c r="J900" s="2" t="s">
        <v>842</v>
      </c>
      <c r="K900" s="2" t="s">
        <v>495</v>
      </c>
      <c r="L900" s="13" t="s">
        <v>496</v>
      </c>
      <c r="M900" s="2" t="s">
        <v>26</v>
      </c>
      <c r="N900" s="11" t="s">
        <v>576</v>
      </c>
      <c r="O900" s="12" t="s">
        <v>53</v>
      </c>
      <c r="P900" s="5" t="str">
        <f>IFERROR(__xludf.DUMMYFUNCTION("TEXTJOIN("" | "",TRUE,IF(OR(D900="""",E900="""",I900="""",J900="""",H900=""""),""ফাঁকা ঘর"",""""),IF(AND(C900&lt;&gt;"""",D900&lt;&gt;"""",C900=D900),""gloss=figurative"",""""),IF(LEN(D900)&lt;15,""figurative ছোট"",""""),IF(AND(I900=""Positive"",REGEXMATCH(H900,""মূর্খ|"&amp;"ভণ্ড|প্রতার|অলস|লোভ|স্বার্থ|অক্ষম|অযোগ্য|বোকা|কৃপণ|হিংস"")),""valence-target অমিল"",""""),IF(COUNTIF($B:$B,B900)&gt;1,""ডুপ্লিকেট"",""""))"),"figurative ছোট")</f>
        <v>figurative ছোট</v>
      </c>
      <c r="Q900" s="5" t="str">
        <f t="shared" si="1"/>
        <v>১ আগে দেখো</v>
      </c>
    </row>
    <row r="901">
      <c r="A901" s="4">
        <v>6343.0</v>
      </c>
      <c r="B901" s="2" t="s">
        <v>3903</v>
      </c>
      <c r="C901" s="2" t="s">
        <v>3904</v>
      </c>
      <c r="D901" s="2" t="s">
        <v>3905</v>
      </c>
      <c r="E901" s="2" t="s">
        <v>3906</v>
      </c>
      <c r="F901" s="2" t="b">
        <v>1</v>
      </c>
      <c r="G901" s="2" t="b">
        <v>0</v>
      </c>
      <c r="H901" s="2" t="s">
        <v>37</v>
      </c>
      <c r="I901" s="2" t="s">
        <v>32</v>
      </c>
      <c r="J901" s="2" t="s">
        <v>708</v>
      </c>
      <c r="K901" s="2" t="s">
        <v>495</v>
      </c>
      <c r="L901" s="13" t="s">
        <v>496</v>
      </c>
      <c r="M901" s="2" t="s">
        <v>26</v>
      </c>
      <c r="N901" s="11" t="s">
        <v>3907</v>
      </c>
      <c r="O901" s="12" t="s">
        <v>53</v>
      </c>
      <c r="P901" s="5" t="str">
        <f>IFERROR(__xludf.DUMMYFUNCTION("TEXTJOIN("" | "",TRUE,IF(OR(D901="""",E901="""",I901="""",J901="""",H901=""""),""ফাঁকা ঘর"",""""),IF(AND(C901&lt;&gt;"""",D901&lt;&gt;"""",C901=D901),""gloss=figurative"",""""),IF(LEN(D901)&lt;15,""figurative ছোট"",""""),IF(AND(I901=""Positive"",REGEXMATCH(H901,""মূর্খ|"&amp;"ভণ্ড|প্রতার|অলস|লোভ|স্বার্থ|অক্ষম|অযোগ্য|বোকা|কৃপণ|হিংস"")),""valence-target অমিল"",""""),IF(COUNTIF($B:$B,B901)&gt;1,""ডুপ্লিকেট"",""""))"),"figurative ছোট")</f>
        <v>figurative ছোট</v>
      </c>
      <c r="Q901" s="5" t="str">
        <f t="shared" si="1"/>
        <v>১ আগে দেখো</v>
      </c>
    </row>
    <row r="902">
      <c r="A902" s="4">
        <v>6344.0</v>
      </c>
      <c r="B902" s="2" t="s">
        <v>3908</v>
      </c>
      <c r="C902" s="2" t="s">
        <v>3909</v>
      </c>
      <c r="D902" s="2" t="s">
        <v>3910</v>
      </c>
      <c r="E902" s="2" t="s">
        <v>3911</v>
      </c>
      <c r="F902" s="2" t="b">
        <v>1</v>
      </c>
      <c r="G902" s="2" t="b">
        <v>0</v>
      </c>
      <c r="H902" s="2" t="s">
        <v>37</v>
      </c>
      <c r="I902" s="2" t="s">
        <v>32</v>
      </c>
      <c r="J902" s="2" t="s">
        <v>708</v>
      </c>
      <c r="K902" s="2" t="s">
        <v>495</v>
      </c>
      <c r="L902" s="13" t="s">
        <v>496</v>
      </c>
      <c r="M902" s="2" t="s">
        <v>26</v>
      </c>
      <c r="N902" s="11" t="s">
        <v>3912</v>
      </c>
      <c r="O902" s="12" t="s">
        <v>53</v>
      </c>
      <c r="P902" s="5" t="str">
        <f>IFERROR(__xludf.DUMMYFUNCTION("TEXTJOIN("" | "",TRUE,IF(OR(D902="""",E902="""",I902="""",J902="""",H902=""""),""ফাঁকা ঘর"",""""),IF(AND(C902&lt;&gt;"""",D902&lt;&gt;"""",C902=D902),""gloss=figurative"",""""),IF(LEN(D902)&lt;15,""figurative ছোট"",""""),IF(AND(I902=""Positive"",REGEXMATCH(H902,""মূর্খ|"&amp;"ভণ্ড|প্রতার|অলস|লোভ|স্বার্থ|অক্ষম|অযোগ্য|বোকা|কৃপণ|হিংস"")),""valence-target অমিল"",""""),IF(COUNTIF($B:$B,B902)&gt;1,""ডুপ্লিকেট"",""""))"),"figurative ছোট")</f>
        <v>figurative ছোট</v>
      </c>
      <c r="Q902" s="5" t="str">
        <f t="shared" si="1"/>
        <v>১ আগে দেখো</v>
      </c>
    </row>
    <row r="903">
      <c r="A903" s="4">
        <v>6345.0</v>
      </c>
      <c r="B903" s="2" t="s">
        <v>3913</v>
      </c>
      <c r="C903" s="2" t="s">
        <v>3914</v>
      </c>
      <c r="D903" s="2" t="s">
        <v>3915</v>
      </c>
      <c r="E903" s="2" t="s">
        <v>3916</v>
      </c>
      <c r="F903" s="2" t="b">
        <v>1</v>
      </c>
      <c r="G903" s="2" t="b">
        <v>0</v>
      </c>
      <c r="H903" s="2" t="s">
        <v>37</v>
      </c>
      <c r="I903" s="2" t="s">
        <v>22</v>
      </c>
      <c r="J903" s="2" t="s">
        <v>3917</v>
      </c>
      <c r="K903" s="2" t="s">
        <v>495</v>
      </c>
      <c r="L903" s="13" t="s">
        <v>496</v>
      </c>
      <c r="M903" s="2" t="s">
        <v>26</v>
      </c>
      <c r="N903" s="11" t="s">
        <v>576</v>
      </c>
      <c r="O903" s="12" t="s">
        <v>53</v>
      </c>
      <c r="P903" s="5" t="str">
        <f>IFERROR(__xludf.DUMMYFUNCTION("TEXTJOIN("" | "",TRUE,IF(OR(D903="""",E903="""",I903="""",J903="""",H903=""""),""ফাঁকা ঘর"",""""),IF(AND(C903&lt;&gt;"""",D903&lt;&gt;"""",C903=D903),""gloss=figurative"",""""),IF(LEN(D903)&lt;15,""figurative ছোট"",""""),IF(AND(I903=""Positive"",REGEXMATCH(H903,""মূর্খ|"&amp;"ভণ্ড|প্রতার|অলস|লোভ|স্বার্থ|অক্ষম|অযোগ্য|বোকা|কৃপণ|হিংস"")),""valence-target অমিল"",""""),IF(COUNTIF($B:$B,B903)&gt;1,""ডুপ্লিকেট"",""""))"),"figurative ছোট")</f>
        <v>figurative ছোট</v>
      </c>
      <c r="Q903" s="5" t="str">
        <f t="shared" si="1"/>
        <v>১ আগে দেখো</v>
      </c>
    </row>
    <row r="904">
      <c r="A904" s="4">
        <v>6347.0</v>
      </c>
      <c r="B904" s="2" t="s">
        <v>3918</v>
      </c>
      <c r="C904" s="2" t="s">
        <v>3919</v>
      </c>
      <c r="D904" s="2" t="s">
        <v>3920</v>
      </c>
      <c r="E904" s="2" t="s">
        <v>3921</v>
      </c>
      <c r="F904" s="2" t="b">
        <v>1</v>
      </c>
      <c r="G904" s="2" t="b">
        <v>0</v>
      </c>
      <c r="H904" s="2" t="s">
        <v>37</v>
      </c>
      <c r="I904" s="2" t="s">
        <v>22</v>
      </c>
      <c r="J904" s="2" t="s">
        <v>808</v>
      </c>
      <c r="K904" s="2" t="s">
        <v>495</v>
      </c>
      <c r="L904" s="13" t="s">
        <v>496</v>
      </c>
      <c r="M904" s="2" t="s">
        <v>26</v>
      </c>
      <c r="N904" s="11" t="s">
        <v>576</v>
      </c>
      <c r="O904" s="12" t="s">
        <v>53</v>
      </c>
      <c r="P904" s="5" t="str">
        <f>IFERROR(__xludf.DUMMYFUNCTION("TEXTJOIN("" | "",TRUE,IF(OR(D904="""",E904="""",I904="""",J904="""",H904=""""),""ফাঁকা ঘর"",""""),IF(AND(C904&lt;&gt;"""",D904&lt;&gt;"""",C904=D904),""gloss=figurative"",""""),IF(LEN(D904)&lt;15,""figurative ছোট"",""""),IF(AND(I904=""Positive"",REGEXMATCH(H904,""মূর্খ|"&amp;"ভণ্ড|প্রতার|অলস|লোভ|স্বার্থ|অক্ষম|অযোগ্য|বোকা|কৃপণ|হিংস"")),""valence-target অমিল"",""""),IF(COUNTIF($B:$B,B904)&gt;1,""ডুপ্লিকেট"",""""))"),"figurative ছোট")</f>
        <v>figurative ছোট</v>
      </c>
      <c r="Q904" s="5" t="str">
        <f t="shared" si="1"/>
        <v>১ আগে দেখো</v>
      </c>
    </row>
    <row r="905">
      <c r="A905" s="4">
        <v>6348.0</v>
      </c>
      <c r="B905" s="2" t="s">
        <v>3922</v>
      </c>
      <c r="C905" s="2" t="s">
        <v>3923</v>
      </c>
      <c r="D905" s="2" t="s">
        <v>3924</v>
      </c>
      <c r="E905" s="2" t="s">
        <v>3925</v>
      </c>
      <c r="F905" s="2" t="b">
        <v>1</v>
      </c>
      <c r="G905" s="2" t="b">
        <v>0</v>
      </c>
      <c r="H905" s="2" t="s">
        <v>2243</v>
      </c>
      <c r="I905" s="2" t="s">
        <v>22</v>
      </c>
      <c r="J905" s="2" t="s">
        <v>820</v>
      </c>
      <c r="K905" s="2" t="s">
        <v>495</v>
      </c>
      <c r="L905" s="13" t="s">
        <v>496</v>
      </c>
      <c r="M905" s="2" t="s">
        <v>26</v>
      </c>
      <c r="N905" s="11" t="s">
        <v>576</v>
      </c>
      <c r="O905" s="12" t="s">
        <v>53</v>
      </c>
      <c r="P905" s="5" t="str">
        <f>IFERROR(__xludf.DUMMYFUNCTION("TEXTJOIN("" | "",TRUE,IF(OR(D905="""",E905="""",I905="""",J905="""",H905=""""),""ফাঁকা ঘর"",""""),IF(AND(C905&lt;&gt;"""",D905&lt;&gt;"""",C905=D905),""gloss=figurative"",""""),IF(LEN(D905)&lt;15,""figurative ছোট"",""""),IF(AND(I905=""Positive"",REGEXMATCH(H905,""মূর্খ|"&amp;"ভণ্ড|প্রতার|অলস|লোভ|স্বার্থ|অক্ষম|অযোগ্য|বোকা|কৃপণ|হিংস"")),""valence-target অমিল"",""""),IF(COUNTIF($B:$B,B905)&gt;1,""ডুপ্লিকেট"",""""))"),"figurative ছোট")</f>
        <v>figurative ছোট</v>
      </c>
      <c r="Q905" s="5" t="str">
        <f t="shared" si="1"/>
        <v>১ আগে দেখো</v>
      </c>
    </row>
    <row r="906">
      <c r="A906" s="4">
        <v>6349.0</v>
      </c>
      <c r="B906" s="2" t="s">
        <v>3926</v>
      </c>
      <c r="C906" s="2" t="s">
        <v>3927</v>
      </c>
      <c r="D906" s="2" t="s">
        <v>2869</v>
      </c>
      <c r="E906" s="2" t="s">
        <v>3928</v>
      </c>
      <c r="F906" s="2" t="b">
        <v>1</v>
      </c>
      <c r="G906" s="2" t="b">
        <v>0</v>
      </c>
      <c r="H906" s="2" t="s">
        <v>37</v>
      </c>
      <c r="I906" s="2" t="s">
        <v>22</v>
      </c>
      <c r="J906" s="2" t="s">
        <v>2869</v>
      </c>
      <c r="K906" s="2" t="s">
        <v>495</v>
      </c>
      <c r="L906" s="13" t="s">
        <v>496</v>
      </c>
      <c r="M906" s="2" t="s">
        <v>26</v>
      </c>
      <c r="N906" s="11" t="s">
        <v>576</v>
      </c>
      <c r="O906" s="12" t="s">
        <v>53</v>
      </c>
      <c r="P906" s="5" t="str">
        <f>IFERROR(__xludf.DUMMYFUNCTION("TEXTJOIN("" | "",TRUE,IF(OR(D906="""",E906="""",I906="""",J906="""",H906=""""),""ফাঁকা ঘর"",""""),IF(AND(C906&lt;&gt;"""",D906&lt;&gt;"""",C906=D906),""gloss=figurative"",""""),IF(LEN(D906)&lt;15,""figurative ছোট"",""""),IF(AND(I906=""Positive"",REGEXMATCH(H906,""মূর্খ|"&amp;"ভণ্ড|প্রতার|অলস|লোভ|স্বার্থ|অক্ষম|অযোগ্য|বোকা|কৃপণ|হিংস"")),""valence-target অমিল"",""""),IF(COUNTIF($B:$B,B906)&gt;1,""ডুপ্লিকেট"",""""))"),"figurative ছোট")</f>
        <v>figurative ছোট</v>
      </c>
      <c r="Q906" s="5" t="str">
        <f t="shared" si="1"/>
        <v>১ আগে দেখো</v>
      </c>
    </row>
    <row r="907">
      <c r="A907" s="4">
        <v>6350.0</v>
      </c>
      <c r="B907" s="2" t="s">
        <v>3929</v>
      </c>
      <c r="C907" s="2" t="s">
        <v>3930</v>
      </c>
      <c r="D907" s="2" t="s">
        <v>2869</v>
      </c>
      <c r="E907" s="2" t="s">
        <v>3931</v>
      </c>
      <c r="F907" s="2" t="b">
        <v>1</v>
      </c>
      <c r="G907" s="2" t="b">
        <v>0</v>
      </c>
      <c r="H907" s="2" t="s">
        <v>37</v>
      </c>
      <c r="I907" s="2" t="s">
        <v>22</v>
      </c>
      <c r="J907" s="2" t="s">
        <v>2869</v>
      </c>
      <c r="K907" s="2" t="s">
        <v>495</v>
      </c>
      <c r="L907" s="13" t="s">
        <v>496</v>
      </c>
      <c r="M907" s="2" t="s">
        <v>26</v>
      </c>
      <c r="N907" s="11" t="s">
        <v>576</v>
      </c>
      <c r="O907" s="12" t="s">
        <v>53</v>
      </c>
      <c r="P907" s="5" t="str">
        <f>IFERROR(__xludf.DUMMYFUNCTION("TEXTJOIN("" | "",TRUE,IF(OR(D907="""",E907="""",I907="""",J907="""",H907=""""),""ফাঁকা ঘর"",""""),IF(AND(C907&lt;&gt;"""",D907&lt;&gt;"""",C907=D907),""gloss=figurative"",""""),IF(LEN(D907)&lt;15,""figurative ছোট"",""""),IF(AND(I907=""Positive"",REGEXMATCH(H907,""মূর্খ|"&amp;"ভণ্ড|প্রতার|অলস|লোভ|স্বার্থ|অক্ষম|অযোগ্য|বোকা|কৃপণ|হিংস"")),""valence-target অমিল"",""""),IF(COUNTIF($B:$B,B907)&gt;1,""ডুপ্লিকেট"",""""))"),"figurative ছোট")</f>
        <v>figurative ছোট</v>
      </c>
      <c r="Q907" s="5" t="str">
        <f t="shared" si="1"/>
        <v>১ আগে দেখো</v>
      </c>
    </row>
    <row r="908">
      <c r="A908" s="4">
        <v>6352.0</v>
      </c>
      <c r="B908" s="2" t="s">
        <v>3932</v>
      </c>
      <c r="C908" s="2" t="s">
        <v>3933</v>
      </c>
      <c r="D908" s="2" t="s">
        <v>3934</v>
      </c>
      <c r="E908" s="2" t="s">
        <v>3935</v>
      </c>
      <c r="F908" s="2" t="b">
        <v>1</v>
      </c>
      <c r="G908" s="2" t="b">
        <v>0</v>
      </c>
      <c r="H908" s="2" t="s">
        <v>37</v>
      </c>
      <c r="I908" s="2" t="s">
        <v>22</v>
      </c>
      <c r="J908" s="2" t="s">
        <v>2732</v>
      </c>
      <c r="K908" s="2" t="s">
        <v>495</v>
      </c>
      <c r="L908" s="13" t="s">
        <v>496</v>
      </c>
      <c r="M908" s="2" t="s">
        <v>26</v>
      </c>
      <c r="N908" s="11" t="s">
        <v>3936</v>
      </c>
      <c r="O908" s="12" t="s">
        <v>53</v>
      </c>
      <c r="P908" s="5" t="str">
        <f>IFERROR(__xludf.DUMMYFUNCTION("TEXTJOIN("" | "",TRUE,IF(OR(D908="""",E908="""",I908="""",J908="""",H908=""""),""ফাঁকা ঘর"",""""),IF(AND(C908&lt;&gt;"""",D908&lt;&gt;"""",C908=D908),""gloss=figurative"",""""),IF(LEN(D908)&lt;15,""figurative ছোট"",""""),IF(AND(I908=""Positive"",REGEXMATCH(H908,""মূর্খ|"&amp;"ভণ্ড|প্রতার|অলস|লোভ|স্বার্থ|অক্ষম|অযোগ্য|বোকা|কৃপণ|হিংস"")),""valence-target অমিল"",""""),IF(COUNTIF($B:$B,B908)&gt;1,""ডুপ্লিকেট"",""""))"),"figurative ছোট")</f>
        <v>figurative ছোট</v>
      </c>
      <c r="Q908" s="5" t="str">
        <f t="shared" si="1"/>
        <v>১ আগে দেখো</v>
      </c>
    </row>
    <row r="909">
      <c r="A909" s="4">
        <v>6353.0</v>
      </c>
      <c r="B909" s="2" t="s">
        <v>3937</v>
      </c>
      <c r="C909" s="2" t="s">
        <v>3938</v>
      </c>
      <c r="D909" s="2" t="s">
        <v>3867</v>
      </c>
      <c r="E909" s="2" t="s">
        <v>3939</v>
      </c>
      <c r="F909" s="2" t="b">
        <v>1</v>
      </c>
      <c r="G909" s="2" t="b">
        <v>0</v>
      </c>
      <c r="H909" s="2" t="s">
        <v>37</v>
      </c>
      <c r="I909" s="2" t="s">
        <v>22</v>
      </c>
      <c r="J909" s="2" t="s">
        <v>2732</v>
      </c>
      <c r="K909" s="2" t="s">
        <v>495</v>
      </c>
      <c r="L909" s="13" t="s">
        <v>496</v>
      </c>
      <c r="M909" s="2" t="s">
        <v>26</v>
      </c>
      <c r="N909" s="11" t="s">
        <v>3940</v>
      </c>
      <c r="O909" s="12" t="s">
        <v>53</v>
      </c>
      <c r="P909" s="5" t="str">
        <f>IFERROR(__xludf.DUMMYFUNCTION("TEXTJOIN("" | "",TRUE,IF(OR(D909="""",E909="""",I909="""",J909="""",H909=""""),""ফাঁকা ঘর"",""""),IF(AND(C909&lt;&gt;"""",D909&lt;&gt;"""",C909=D909),""gloss=figurative"",""""),IF(LEN(D909)&lt;15,""figurative ছোট"",""""),IF(AND(I909=""Positive"",REGEXMATCH(H909,""মূর্খ|"&amp;"ভণ্ড|প্রতার|অলস|লোভ|স্বার্থ|অক্ষম|অযোগ্য|বোকা|কৃপণ|হিংস"")),""valence-target অমিল"",""""),IF(COUNTIF($B:$B,B909)&gt;1,""ডুপ্লিকেট"",""""))"),"figurative ছোট")</f>
        <v>figurative ছোট</v>
      </c>
      <c r="Q909" s="5" t="str">
        <f t="shared" si="1"/>
        <v>১ আগে দেখো</v>
      </c>
    </row>
    <row r="910">
      <c r="A910" s="4">
        <v>6354.0</v>
      </c>
      <c r="B910" s="2" t="s">
        <v>3941</v>
      </c>
      <c r="C910" s="2" t="s">
        <v>3941</v>
      </c>
      <c r="D910" s="2" t="s">
        <v>3942</v>
      </c>
      <c r="E910" s="2" t="s">
        <v>3943</v>
      </c>
      <c r="F910" s="2" t="b">
        <v>1</v>
      </c>
      <c r="G910" s="2" t="b">
        <v>0</v>
      </c>
      <c r="H910" s="2" t="s">
        <v>37</v>
      </c>
      <c r="I910" s="2" t="s">
        <v>22</v>
      </c>
      <c r="J910" s="2" t="s">
        <v>750</v>
      </c>
      <c r="K910" s="2" t="s">
        <v>495</v>
      </c>
      <c r="L910" s="13" t="s">
        <v>496</v>
      </c>
      <c r="M910" s="2" t="s">
        <v>26</v>
      </c>
      <c r="N910" s="11" t="s">
        <v>576</v>
      </c>
      <c r="O910" s="12" t="s">
        <v>53</v>
      </c>
      <c r="P910" s="5" t="str">
        <f>IFERROR(__xludf.DUMMYFUNCTION("TEXTJOIN("" | "",TRUE,IF(OR(D910="""",E910="""",I910="""",J910="""",H910=""""),""ফাঁকা ঘর"",""""),IF(AND(C910&lt;&gt;"""",D910&lt;&gt;"""",C910=D910),""gloss=figurative"",""""),IF(LEN(D910)&lt;15,""figurative ছোট"",""""),IF(AND(I910=""Positive"",REGEXMATCH(H910,""মূর্খ|"&amp;"ভণ্ড|প্রতার|অলস|লোভ|স্বার্থ|অক্ষম|অযোগ্য|বোকা|কৃপণ|হিংস"")),""valence-target অমিল"",""""),IF(COUNTIF($B:$B,B910)&gt;1,""ডুপ্লিকেট"",""""))"),"figurative ছোট")</f>
        <v>figurative ছোট</v>
      </c>
      <c r="Q910" s="5" t="str">
        <f t="shared" si="1"/>
        <v>১ আগে দেখো</v>
      </c>
    </row>
    <row r="911">
      <c r="A911" s="4">
        <v>6356.0</v>
      </c>
      <c r="B911" s="2" t="s">
        <v>3944</v>
      </c>
      <c r="C911" s="2" t="s">
        <v>3945</v>
      </c>
      <c r="D911" s="2" t="s">
        <v>3946</v>
      </c>
      <c r="E911" s="2" t="s">
        <v>3947</v>
      </c>
      <c r="F911" s="2" t="b">
        <v>1</v>
      </c>
      <c r="G911" s="2" t="b">
        <v>0</v>
      </c>
      <c r="H911" s="2" t="s">
        <v>37</v>
      </c>
      <c r="I911" s="2" t="s">
        <v>49</v>
      </c>
      <c r="J911" s="2" t="s">
        <v>636</v>
      </c>
      <c r="K911" s="2" t="s">
        <v>495</v>
      </c>
      <c r="L911" s="13" t="s">
        <v>496</v>
      </c>
      <c r="M911" s="2" t="s">
        <v>26</v>
      </c>
      <c r="N911" s="11" t="s">
        <v>3948</v>
      </c>
      <c r="O911" s="12" t="s">
        <v>53</v>
      </c>
      <c r="P911" s="5" t="str">
        <f>IFERROR(__xludf.DUMMYFUNCTION("TEXTJOIN("" | "",TRUE,IF(OR(D911="""",E911="""",I911="""",J911="""",H911=""""),""ফাঁকা ঘর"",""""),IF(AND(C911&lt;&gt;"""",D911&lt;&gt;"""",C911=D911),""gloss=figurative"",""""),IF(LEN(D911)&lt;15,""figurative ছোট"",""""),IF(AND(I911=""Positive"",REGEXMATCH(H911,""মূর্খ|"&amp;"ভণ্ড|প্রতার|অলস|লোভ|স্বার্থ|অক্ষম|অযোগ্য|বোকা|কৃপণ|হিংস"")),""valence-target অমিল"",""""),IF(COUNTIF($B:$B,B911)&gt;1,""ডুপ্লিকেট"",""""))"),"figurative ছোট")</f>
        <v>figurative ছোট</v>
      </c>
      <c r="Q911" s="5" t="str">
        <f t="shared" si="1"/>
        <v>১ আগে দেখো</v>
      </c>
    </row>
    <row r="912">
      <c r="A912" s="4">
        <v>6357.0</v>
      </c>
      <c r="B912" s="2" t="s">
        <v>3949</v>
      </c>
      <c r="C912" s="2" t="s">
        <v>3950</v>
      </c>
      <c r="D912" s="2" t="s">
        <v>3951</v>
      </c>
      <c r="E912" s="2" t="s">
        <v>3952</v>
      </c>
      <c r="F912" s="2" t="b">
        <v>1</v>
      </c>
      <c r="G912" s="2" t="b">
        <v>0</v>
      </c>
      <c r="H912" s="2" t="s">
        <v>37</v>
      </c>
      <c r="I912" s="2" t="s">
        <v>49</v>
      </c>
      <c r="J912" s="2" t="s">
        <v>1813</v>
      </c>
      <c r="K912" s="2" t="s">
        <v>495</v>
      </c>
      <c r="L912" s="13" t="s">
        <v>496</v>
      </c>
      <c r="M912" s="2" t="s">
        <v>26</v>
      </c>
      <c r="N912" s="11" t="s">
        <v>3948</v>
      </c>
      <c r="O912" s="12" t="s">
        <v>53</v>
      </c>
      <c r="P912" s="5" t="str">
        <f>IFERROR(__xludf.DUMMYFUNCTION("TEXTJOIN("" | "",TRUE,IF(OR(D912="""",E912="""",I912="""",J912="""",H912=""""),""ফাঁকা ঘর"",""""),IF(AND(C912&lt;&gt;"""",D912&lt;&gt;"""",C912=D912),""gloss=figurative"",""""),IF(LEN(D912)&lt;15,""figurative ছোট"",""""),IF(AND(I912=""Positive"",REGEXMATCH(H912,""মূর্খ|"&amp;"ভণ্ড|প্রতার|অলস|লোভ|স্বার্থ|অক্ষম|অযোগ্য|বোকা|কৃপণ|হিংস"")),""valence-target অমিল"",""""),IF(COUNTIF($B:$B,B912)&gt;1,""ডুপ্লিকেট"",""""))"),"figurative ছোট")</f>
        <v>figurative ছোট</v>
      </c>
      <c r="Q912" s="5" t="str">
        <f t="shared" si="1"/>
        <v>১ আগে দেখো</v>
      </c>
    </row>
    <row r="913">
      <c r="A913" s="4">
        <v>6358.0</v>
      </c>
      <c r="B913" s="2" t="s">
        <v>3953</v>
      </c>
      <c r="C913" s="2" t="s">
        <v>3954</v>
      </c>
      <c r="D913" s="2" t="s">
        <v>3955</v>
      </c>
      <c r="E913" s="2" t="s">
        <v>3956</v>
      </c>
      <c r="F913" s="2" t="b">
        <v>1</v>
      </c>
      <c r="G913" s="2" t="b">
        <v>0</v>
      </c>
      <c r="H913" s="2" t="s">
        <v>37</v>
      </c>
      <c r="I913" s="2" t="s">
        <v>22</v>
      </c>
      <c r="J913" s="2" t="s">
        <v>1740</v>
      </c>
      <c r="K913" s="2" t="s">
        <v>495</v>
      </c>
      <c r="L913" s="13" t="s">
        <v>496</v>
      </c>
      <c r="M913" s="2" t="s">
        <v>26</v>
      </c>
      <c r="N913" s="11" t="s">
        <v>576</v>
      </c>
      <c r="O913" s="12" t="s">
        <v>53</v>
      </c>
      <c r="P913" s="5" t="str">
        <f>IFERROR(__xludf.DUMMYFUNCTION("TEXTJOIN("" | "",TRUE,IF(OR(D913="""",E913="""",I913="""",J913="""",H913=""""),""ফাঁকা ঘর"",""""),IF(AND(C913&lt;&gt;"""",D913&lt;&gt;"""",C913=D913),""gloss=figurative"",""""),IF(LEN(D913)&lt;15,""figurative ছোট"",""""),IF(AND(I913=""Positive"",REGEXMATCH(H913,""মূর্খ|"&amp;"ভণ্ড|প্রতার|অলস|লোভ|স্বার্থ|অক্ষম|অযোগ্য|বোকা|কৃপণ|হিংস"")),""valence-target অমিল"",""""),IF(COUNTIF($B:$B,B913)&gt;1,""ডুপ্লিকেট"",""""))"),"figurative ছোট")</f>
        <v>figurative ছোট</v>
      </c>
      <c r="Q913" s="5" t="str">
        <f t="shared" si="1"/>
        <v>১ আগে দেখো</v>
      </c>
    </row>
    <row r="914">
      <c r="A914" s="4">
        <v>6359.0</v>
      </c>
      <c r="B914" s="2" t="s">
        <v>3957</v>
      </c>
      <c r="C914" s="2" t="s">
        <v>3958</v>
      </c>
      <c r="D914" s="2" t="s">
        <v>3959</v>
      </c>
      <c r="E914" s="2" t="s">
        <v>3960</v>
      </c>
      <c r="F914" s="2" t="b">
        <v>1</v>
      </c>
      <c r="G914" s="2" t="b">
        <v>0</v>
      </c>
      <c r="H914" s="2" t="s">
        <v>37</v>
      </c>
      <c r="I914" s="2" t="s">
        <v>49</v>
      </c>
      <c r="J914" s="2" t="s">
        <v>3961</v>
      </c>
      <c r="K914" s="2" t="s">
        <v>495</v>
      </c>
      <c r="L914" s="13" t="s">
        <v>496</v>
      </c>
      <c r="M914" s="2" t="s">
        <v>26</v>
      </c>
      <c r="N914" s="11" t="s">
        <v>576</v>
      </c>
      <c r="O914" s="12" t="s">
        <v>53</v>
      </c>
      <c r="P914" s="5" t="str">
        <f>IFERROR(__xludf.DUMMYFUNCTION("TEXTJOIN("" | "",TRUE,IF(OR(D914="""",E914="""",I914="""",J914="""",H914=""""),""ফাঁকা ঘর"",""""),IF(AND(C914&lt;&gt;"""",D914&lt;&gt;"""",C914=D914),""gloss=figurative"",""""),IF(LEN(D914)&lt;15,""figurative ছোট"",""""),IF(AND(I914=""Positive"",REGEXMATCH(H914,""মূর্খ|"&amp;"ভণ্ড|প্রতার|অলস|লোভ|স্বার্থ|অক্ষম|অযোগ্য|বোকা|কৃপণ|হিংস"")),""valence-target অমিল"",""""),IF(COUNTIF($B:$B,B914)&gt;1,""ডুপ্লিকেট"",""""))"),"figurative ছোট")</f>
        <v>figurative ছোট</v>
      </c>
      <c r="Q914" s="5" t="str">
        <f t="shared" si="1"/>
        <v>১ আগে দেখো</v>
      </c>
    </row>
    <row r="915">
      <c r="A915" s="4">
        <v>6361.0</v>
      </c>
      <c r="B915" s="2" t="s">
        <v>3962</v>
      </c>
      <c r="C915" s="2" t="s">
        <v>3963</v>
      </c>
      <c r="D915" s="2" t="s">
        <v>3964</v>
      </c>
      <c r="E915" s="2" t="s">
        <v>3965</v>
      </c>
      <c r="F915" s="2" t="b">
        <v>1</v>
      </c>
      <c r="G915" s="2" t="b">
        <v>1</v>
      </c>
      <c r="H915" s="2" t="s">
        <v>1211</v>
      </c>
      <c r="I915" s="2" t="s">
        <v>22</v>
      </c>
      <c r="J915" s="2" t="s">
        <v>3966</v>
      </c>
      <c r="K915" s="2" t="s">
        <v>495</v>
      </c>
      <c r="L915" s="13" t="s">
        <v>496</v>
      </c>
      <c r="M915" s="2" t="s">
        <v>26</v>
      </c>
      <c r="N915" s="11" t="s">
        <v>3967</v>
      </c>
      <c r="O915" s="12" t="s">
        <v>53</v>
      </c>
      <c r="P915" s="5" t="str">
        <f>IFERROR(__xludf.DUMMYFUNCTION("TEXTJOIN("" | "",TRUE,IF(OR(D915="""",E915="""",I915="""",J915="""",H915=""""),""ফাঁকা ঘর"",""""),IF(AND(C915&lt;&gt;"""",D915&lt;&gt;"""",C915=D915),""gloss=figurative"",""""),IF(LEN(D915)&lt;15,""figurative ছোট"",""""),IF(AND(I915=""Positive"",REGEXMATCH(H915,""মূর্খ|"&amp;"ভণ্ড|প্রতার|অলস|লোভ|স্বার্থ|অক্ষম|অযোগ্য|বোকা|কৃপণ|হিংস"")),""valence-target অমিল"",""""),IF(COUNTIF($B:$B,B915)&gt;1,""ডুপ্লিকেট"",""""))"),"figurative ছোট")</f>
        <v>figurative ছোট</v>
      </c>
      <c r="Q915" s="5" t="str">
        <f t="shared" si="1"/>
        <v>১ আগে দেখো</v>
      </c>
    </row>
    <row r="916">
      <c r="A916" s="4">
        <v>6362.0</v>
      </c>
      <c r="B916" s="2" t="s">
        <v>3968</v>
      </c>
      <c r="C916" s="2" t="s">
        <v>3968</v>
      </c>
      <c r="D916" s="2" t="s">
        <v>3924</v>
      </c>
      <c r="E916" s="2" t="s">
        <v>3969</v>
      </c>
      <c r="F916" s="2" t="b">
        <v>1</v>
      </c>
      <c r="G916" s="2" t="b">
        <v>0</v>
      </c>
      <c r="H916" s="2" t="s">
        <v>2243</v>
      </c>
      <c r="I916" s="2" t="s">
        <v>22</v>
      </c>
      <c r="J916" s="2" t="s">
        <v>820</v>
      </c>
      <c r="K916" s="2" t="s">
        <v>495</v>
      </c>
      <c r="L916" s="13" t="s">
        <v>496</v>
      </c>
      <c r="M916" s="2" t="s">
        <v>26</v>
      </c>
      <c r="N916" s="11" t="s">
        <v>576</v>
      </c>
      <c r="O916" s="12" t="s">
        <v>53</v>
      </c>
      <c r="P916" s="5" t="str">
        <f>IFERROR(__xludf.DUMMYFUNCTION("TEXTJOIN("" | "",TRUE,IF(OR(D916="""",E916="""",I916="""",J916="""",H916=""""),""ফাঁকা ঘর"",""""),IF(AND(C916&lt;&gt;"""",D916&lt;&gt;"""",C916=D916),""gloss=figurative"",""""),IF(LEN(D916)&lt;15,""figurative ছোট"",""""),IF(AND(I916=""Positive"",REGEXMATCH(H916,""মূর্খ|"&amp;"ভণ্ড|প্রতার|অলস|লোভ|স্বার্থ|অক্ষম|অযোগ্য|বোকা|কৃপণ|হিংস"")),""valence-target অমিল"",""""),IF(COUNTIF($B:$B,B916)&gt;1,""ডুপ্লিকেট"",""""))"),"figurative ছোট")</f>
        <v>figurative ছোট</v>
      </c>
      <c r="Q916" s="5" t="str">
        <f t="shared" si="1"/>
        <v>১ আগে দেখো</v>
      </c>
    </row>
    <row r="917">
      <c r="A917" s="4">
        <v>6364.0</v>
      </c>
      <c r="B917" s="2" t="s">
        <v>3970</v>
      </c>
      <c r="C917" s="2" t="s">
        <v>3971</v>
      </c>
      <c r="D917" s="2" t="s">
        <v>3972</v>
      </c>
      <c r="E917" s="2" t="s">
        <v>3973</v>
      </c>
      <c r="F917" s="2" t="b">
        <v>1</v>
      </c>
      <c r="G917" s="2" t="b">
        <v>0</v>
      </c>
      <c r="H917" s="2" t="s">
        <v>37</v>
      </c>
      <c r="I917" s="2" t="s">
        <v>22</v>
      </c>
      <c r="J917" s="2" t="s">
        <v>669</v>
      </c>
      <c r="K917" s="2" t="s">
        <v>495</v>
      </c>
      <c r="L917" s="13" t="s">
        <v>496</v>
      </c>
      <c r="M917" s="2" t="s">
        <v>26</v>
      </c>
      <c r="N917" s="11" t="s">
        <v>3974</v>
      </c>
      <c r="O917" s="12" t="s">
        <v>53</v>
      </c>
      <c r="P917" s="5" t="str">
        <f>IFERROR(__xludf.DUMMYFUNCTION("TEXTJOIN("" | "",TRUE,IF(OR(D917="""",E917="""",I917="""",J917="""",H917=""""),""ফাঁকা ঘর"",""""),IF(AND(C917&lt;&gt;"""",D917&lt;&gt;"""",C917=D917),""gloss=figurative"",""""),IF(LEN(D917)&lt;15,""figurative ছোট"",""""),IF(AND(I917=""Positive"",REGEXMATCH(H917,""মূর্খ|"&amp;"ভণ্ড|প্রতার|অলস|লোভ|স্বার্থ|অক্ষম|অযোগ্য|বোকা|কৃপণ|হিংস"")),""valence-target অমিল"",""""),IF(COUNTIF($B:$B,B917)&gt;1,""ডুপ্লিকেট"",""""))"),"figurative ছোট")</f>
        <v>figurative ছোট</v>
      </c>
      <c r="Q917" s="5" t="str">
        <f t="shared" si="1"/>
        <v>১ আগে দেখো</v>
      </c>
    </row>
    <row r="918">
      <c r="A918" s="4">
        <v>6366.0</v>
      </c>
      <c r="B918" s="2" t="s">
        <v>3975</v>
      </c>
      <c r="C918" s="2" t="s">
        <v>3975</v>
      </c>
      <c r="D918" s="2" t="s">
        <v>3976</v>
      </c>
      <c r="E918" s="2" t="s">
        <v>3977</v>
      </c>
      <c r="F918" s="2" t="b">
        <v>1</v>
      </c>
      <c r="G918" s="2" t="b">
        <v>0</v>
      </c>
      <c r="H918" s="2" t="s">
        <v>37</v>
      </c>
      <c r="I918" s="2" t="s">
        <v>49</v>
      </c>
      <c r="J918" s="2" t="s">
        <v>2249</v>
      </c>
      <c r="K918" s="2" t="s">
        <v>495</v>
      </c>
      <c r="L918" s="13" t="s">
        <v>496</v>
      </c>
      <c r="M918" s="2" t="s">
        <v>26</v>
      </c>
      <c r="N918" s="11" t="s">
        <v>576</v>
      </c>
      <c r="O918" s="12" t="s">
        <v>53</v>
      </c>
      <c r="P918" s="5" t="str">
        <f>IFERROR(__xludf.DUMMYFUNCTION("TEXTJOIN("" | "",TRUE,IF(OR(D918="""",E918="""",I918="""",J918="""",H918=""""),""ফাঁকা ঘর"",""""),IF(AND(C918&lt;&gt;"""",D918&lt;&gt;"""",C918=D918),""gloss=figurative"",""""),IF(LEN(D918)&lt;15,""figurative ছোট"",""""),IF(AND(I918=""Positive"",REGEXMATCH(H918,""মূর্খ|"&amp;"ভণ্ড|প্রতার|অলস|লোভ|স্বার্থ|অক্ষম|অযোগ্য|বোকা|কৃপণ|হিংস"")),""valence-target অমিল"",""""),IF(COUNTIF($B:$B,B918)&gt;1,""ডুপ্লিকেট"",""""))"),"figurative ছোট")</f>
        <v>figurative ছোট</v>
      </c>
      <c r="Q918" s="5" t="str">
        <f t="shared" si="1"/>
        <v>১ আগে দেখো</v>
      </c>
    </row>
    <row r="919">
      <c r="A919" s="4">
        <v>6367.0</v>
      </c>
      <c r="B919" s="2" t="s">
        <v>3978</v>
      </c>
      <c r="C919" s="2" t="s">
        <v>3978</v>
      </c>
      <c r="D919" s="2" t="s">
        <v>2440</v>
      </c>
      <c r="E919" s="2" t="s">
        <v>3979</v>
      </c>
      <c r="F919" s="2" t="b">
        <v>1</v>
      </c>
      <c r="G919" s="2" t="b">
        <v>0</v>
      </c>
      <c r="H919" s="2" t="s">
        <v>37</v>
      </c>
      <c r="I919" s="2" t="s">
        <v>49</v>
      </c>
      <c r="J919" s="2" t="s">
        <v>2440</v>
      </c>
      <c r="K919" s="2" t="s">
        <v>495</v>
      </c>
      <c r="L919" s="13" t="s">
        <v>496</v>
      </c>
      <c r="M919" s="2" t="s">
        <v>26</v>
      </c>
      <c r="N919" s="11" t="s">
        <v>576</v>
      </c>
      <c r="O919" s="12" t="s">
        <v>53</v>
      </c>
      <c r="P919" s="5" t="str">
        <f>IFERROR(__xludf.DUMMYFUNCTION("TEXTJOIN("" | "",TRUE,IF(OR(D919="""",E919="""",I919="""",J919="""",H919=""""),""ফাঁকা ঘর"",""""),IF(AND(C919&lt;&gt;"""",D919&lt;&gt;"""",C919=D919),""gloss=figurative"",""""),IF(LEN(D919)&lt;15,""figurative ছোট"",""""),IF(AND(I919=""Positive"",REGEXMATCH(H919,""মূর্খ|"&amp;"ভণ্ড|প্রতার|অলস|লোভ|স্বার্থ|অক্ষম|অযোগ্য|বোকা|কৃপণ|হিংস"")),""valence-target অমিল"",""""),IF(COUNTIF($B:$B,B919)&gt;1,""ডুপ্লিকেট"",""""))"),"figurative ছোট")</f>
        <v>figurative ছোট</v>
      </c>
      <c r="Q919" s="5" t="str">
        <f t="shared" si="1"/>
        <v>১ আগে দেখো</v>
      </c>
    </row>
    <row r="920">
      <c r="A920" s="4">
        <v>6368.0</v>
      </c>
      <c r="B920" s="2" t="s">
        <v>3980</v>
      </c>
      <c r="C920" s="2" t="s">
        <v>3981</v>
      </c>
      <c r="D920" s="2" t="s">
        <v>3982</v>
      </c>
      <c r="E920" s="2" t="s">
        <v>3983</v>
      </c>
      <c r="F920" s="2" t="b">
        <v>1</v>
      </c>
      <c r="G920" s="2" t="b">
        <v>0</v>
      </c>
      <c r="H920" s="2" t="s">
        <v>37</v>
      </c>
      <c r="I920" s="2" t="s">
        <v>32</v>
      </c>
      <c r="J920" s="2" t="s">
        <v>1510</v>
      </c>
      <c r="K920" s="2" t="s">
        <v>495</v>
      </c>
      <c r="L920" s="13" t="s">
        <v>496</v>
      </c>
      <c r="M920" s="2" t="s">
        <v>26</v>
      </c>
      <c r="N920" s="11" t="s">
        <v>3984</v>
      </c>
      <c r="O920" s="12" t="s">
        <v>53</v>
      </c>
      <c r="P920" s="5" t="str">
        <f>IFERROR(__xludf.DUMMYFUNCTION("TEXTJOIN("" | "",TRUE,IF(OR(D920="""",E920="""",I920="""",J920="""",H920=""""),""ফাঁকা ঘর"",""""),IF(AND(C920&lt;&gt;"""",D920&lt;&gt;"""",C920=D920),""gloss=figurative"",""""),IF(LEN(D920)&lt;15,""figurative ছোট"",""""),IF(AND(I920=""Positive"",REGEXMATCH(H920,""মূর্খ|"&amp;"ভণ্ড|প্রতার|অলস|লোভ|স্বার্থ|অক্ষম|অযোগ্য|বোকা|কৃপণ|হিংস"")),""valence-target অমিল"",""""),IF(COUNTIF($B:$B,B920)&gt;1,""ডুপ্লিকেট"",""""))"),"figurative ছোট")</f>
        <v>figurative ছোট</v>
      </c>
      <c r="Q920" s="5" t="str">
        <f t="shared" si="1"/>
        <v>১ আগে দেখো</v>
      </c>
    </row>
    <row r="921">
      <c r="A921" s="4">
        <v>6369.0</v>
      </c>
      <c r="B921" s="2" t="s">
        <v>3985</v>
      </c>
      <c r="C921" s="2" t="s">
        <v>3986</v>
      </c>
      <c r="D921" s="2" t="s">
        <v>3987</v>
      </c>
      <c r="E921" s="2" t="s">
        <v>3983</v>
      </c>
      <c r="F921" s="2" t="b">
        <v>1</v>
      </c>
      <c r="G921" s="2" t="b">
        <v>0</v>
      </c>
      <c r="H921" s="2" t="s">
        <v>37</v>
      </c>
      <c r="I921" s="2" t="s">
        <v>32</v>
      </c>
      <c r="J921" s="2" t="s">
        <v>1510</v>
      </c>
      <c r="K921" s="2" t="s">
        <v>495</v>
      </c>
      <c r="L921" s="13" t="s">
        <v>496</v>
      </c>
      <c r="M921" s="2" t="s">
        <v>26</v>
      </c>
      <c r="N921" s="11" t="s">
        <v>3988</v>
      </c>
      <c r="O921" s="12" t="s">
        <v>53</v>
      </c>
      <c r="P921" s="5" t="str">
        <f>IFERROR(__xludf.DUMMYFUNCTION("TEXTJOIN("" | "",TRUE,IF(OR(D921="""",E921="""",I921="""",J921="""",H921=""""),""ফাঁকা ঘর"",""""),IF(AND(C921&lt;&gt;"""",D921&lt;&gt;"""",C921=D921),""gloss=figurative"",""""),IF(LEN(D921)&lt;15,""figurative ছোট"",""""),IF(AND(I921=""Positive"",REGEXMATCH(H921,""মূর্খ|"&amp;"ভণ্ড|প্রতার|অলস|লোভ|স্বার্থ|অক্ষম|অযোগ্য|বোকা|কৃপণ|হিংস"")),""valence-target অমিল"",""""),IF(COUNTIF($B:$B,B921)&gt;1,""ডুপ্লিকেট"",""""))"),"figurative ছোট")</f>
        <v>figurative ছোট</v>
      </c>
      <c r="Q921" s="5" t="str">
        <f t="shared" si="1"/>
        <v>১ আগে দেখো</v>
      </c>
    </row>
    <row r="922">
      <c r="A922" s="4">
        <v>6371.0</v>
      </c>
      <c r="B922" s="2" t="s">
        <v>3989</v>
      </c>
      <c r="C922" s="2" t="s">
        <v>3990</v>
      </c>
      <c r="D922" s="2" t="s">
        <v>3991</v>
      </c>
      <c r="E922" s="2" t="s">
        <v>3992</v>
      </c>
      <c r="F922" s="2" t="b">
        <v>1</v>
      </c>
      <c r="G922" s="2" t="b">
        <v>0</v>
      </c>
      <c r="H922" s="2" t="s">
        <v>37</v>
      </c>
      <c r="I922" s="2" t="s">
        <v>49</v>
      </c>
      <c r="J922" s="2" t="s">
        <v>762</v>
      </c>
      <c r="K922" s="2" t="s">
        <v>495</v>
      </c>
      <c r="L922" s="13" t="s">
        <v>496</v>
      </c>
      <c r="M922" s="2" t="s">
        <v>26</v>
      </c>
      <c r="N922" s="11" t="s">
        <v>3993</v>
      </c>
      <c r="O922" s="12" t="s">
        <v>53</v>
      </c>
      <c r="P922" s="5" t="str">
        <f>IFERROR(__xludf.DUMMYFUNCTION("TEXTJOIN("" | "",TRUE,IF(OR(D922="""",E922="""",I922="""",J922="""",H922=""""),""ফাঁকা ঘর"",""""),IF(AND(C922&lt;&gt;"""",D922&lt;&gt;"""",C922=D922),""gloss=figurative"",""""),IF(LEN(D922)&lt;15,""figurative ছোট"",""""),IF(AND(I922=""Positive"",REGEXMATCH(H922,""মূর্খ|"&amp;"ভণ্ড|প্রতার|অলস|লোভ|স্বার্থ|অক্ষম|অযোগ্য|বোকা|কৃপণ|হিংস"")),""valence-target অমিল"",""""),IF(COUNTIF($B:$B,B922)&gt;1,""ডুপ্লিকেট"",""""))"),"figurative ছোট")</f>
        <v>figurative ছোট</v>
      </c>
      <c r="Q922" s="5" t="str">
        <f t="shared" si="1"/>
        <v>১ আগে দেখো</v>
      </c>
    </row>
    <row r="923">
      <c r="A923" s="4">
        <v>6374.0</v>
      </c>
      <c r="B923" s="2" t="s">
        <v>3994</v>
      </c>
      <c r="C923" s="2" t="s">
        <v>3995</v>
      </c>
      <c r="D923" s="2" t="s">
        <v>3996</v>
      </c>
      <c r="E923" s="2" t="s">
        <v>3997</v>
      </c>
      <c r="F923" s="2" t="b">
        <v>1</v>
      </c>
      <c r="G923" s="2" t="b">
        <v>0</v>
      </c>
      <c r="H923" s="2" t="s">
        <v>37</v>
      </c>
      <c r="I923" s="2" t="s">
        <v>22</v>
      </c>
      <c r="J923" s="2" t="s">
        <v>1027</v>
      </c>
      <c r="K923" s="2" t="s">
        <v>495</v>
      </c>
      <c r="L923" s="13" t="s">
        <v>496</v>
      </c>
      <c r="M923" s="2" t="s">
        <v>26</v>
      </c>
      <c r="N923" s="11" t="s">
        <v>3998</v>
      </c>
      <c r="O923" s="12" t="s">
        <v>53</v>
      </c>
      <c r="P923" s="5" t="str">
        <f>IFERROR(__xludf.DUMMYFUNCTION("TEXTJOIN("" | "",TRUE,IF(OR(D923="""",E923="""",I923="""",J923="""",H923=""""),""ফাঁকা ঘর"",""""),IF(AND(C923&lt;&gt;"""",D923&lt;&gt;"""",C923=D923),""gloss=figurative"",""""),IF(LEN(D923)&lt;15,""figurative ছোট"",""""),IF(AND(I923=""Positive"",REGEXMATCH(H923,""মূর্খ|"&amp;"ভণ্ড|প্রতার|অলস|লোভ|স্বার্থ|অক্ষম|অযোগ্য|বোকা|কৃপণ|হিংস"")),""valence-target অমিল"",""""),IF(COUNTIF($B:$B,B923)&gt;1,""ডুপ্লিকেট"",""""))"),"figurative ছোট")</f>
        <v>figurative ছোট</v>
      </c>
      <c r="Q923" s="5" t="str">
        <f t="shared" si="1"/>
        <v>১ আগে দেখো</v>
      </c>
    </row>
    <row r="924">
      <c r="A924" s="4">
        <v>6376.0</v>
      </c>
      <c r="B924" s="2" t="s">
        <v>3999</v>
      </c>
      <c r="C924" s="2" t="s">
        <v>4000</v>
      </c>
      <c r="D924" s="2" t="s">
        <v>4001</v>
      </c>
      <c r="E924" s="2" t="s">
        <v>4002</v>
      </c>
      <c r="F924" s="2" t="b">
        <v>1</v>
      </c>
      <c r="G924" s="2" t="b">
        <v>1</v>
      </c>
      <c r="H924" s="2" t="s">
        <v>1211</v>
      </c>
      <c r="I924" s="2" t="s">
        <v>22</v>
      </c>
      <c r="J924" s="2" t="s">
        <v>1315</v>
      </c>
      <c r="K924" s="2" t="s">
        <v>495</v>
      </c>
      <c r="L924" s="13" t="s">
        <v>496</v>
      </c>
      <c r="M924" s="2" t="s">
        <v>26</v>
      </c>
      <c r="N924" s="11" t="s">
        <v>576</v>
      </c>
      <c r="O924" s="12" t="s">
        <v>53</v>
      </c>
      <c r="P924" s="5" t="str">
        <f>IFERROR(__xludf.DUMMYFUNCTION("TEXTJOIN("" | "",TRUE,IF(OR(D924="""",E924="""",I924="""",J924="""",H924=""""),""ফাঁকা ঘর"",""""),IF(AND(C924&lt;&gt;"""",D924&lt;&gt;"""",C924=D924),""gloss=figurative"",""""),IF(LEN(D924)&lt;15,""figurative ছোট"",""""),IF(AND(I924=""Positive"",REGEXMATCH(H924,""মূর্খ|"&amp;"ভণ্ড|প্রতার|অলস|লোভ|স্বার্থ|অক্ষম|অযোগ্য|বোকা|কৃপণ|হিংস"")),""valence-target অমিল"",""""),IF(COUNTIF($B:$B,B924)&gt;1,""ডুপ্লিকেট"",""""))"),"figurative ছোট")</f>
        <v>figurative ছোট</v>
      </c>
      <c r="Q924" s="5" t="str">
        <f t="shared" si="1"/>
        <v>১ আগে দেখো</v>
      </c>
    </row>
    <row r="925">
      <c r="A925" s="4">
        <v>6378.0</v>
      </c>
      <c r="B925" s="2" t="s">
        <v>4003</v>
      </c>
      <c r="C925" s="2" t="s">
        <v>4003</v>
      </c>
      <c r="D925" s="2" t="s">
        <v>4004</v>
      </c>
      <c r="E925" s="2" t="s">
        <v>4005</v>
      </c>
      <c r="F925" s="2" t="b">
        <v>1</v>
      </c>
      <c r="G925" s="2" t="b">
        <v>0</v>
      </c>
      <c r="H925" s="2" t="s">
        <v>37</v>
      </c>
      <c r="I925" s="2" t="s">
        <v>32</v>
      </c>
      <c r="J925" s="2" t="s">
        <v>1644</v>
      </c>
      <c r="K925" s="2" t="s">
        <v>495</v>
      </c>
      <c r="L925" s="13" t="s">
        <v>496</v>
      </c>
      <c r="M925" s="2" t="s">
        <v>26</v>
      </c>
      <c r="N925" s="11" t="s">
        <v>576</v>
      </c>
      <c r="O925" s="12" t="s">
        <v>53</v>
      </c>
      <c r="P925" s="5" t="str">
        <f>IFERROR(__xludf.DUMMYFUNCTION("TEXTJOIN("" | "",TRUE,IF(OR(D925="""",E925="""",I925="""",J925="""",H925=""""),""ফাঁকা ঘর"",""""),IF(AND(C925&lt;&gt;"""",D925&lt;&gt;"""",C925=D925),""gloss=figurative"",""""),IF(LEN(D925)&lt;15,""figurative ছোট"",""""),IF(AND(I925=""Positive"",REGEXMATCH(H925,""মূর্খ|"&amp;"ভণ্ড|প্রতার|অলস|লোভ|স্বার্থ|অক্ষম|অযোগ্য|বোকা|কৃপণ|হিংস"")),""valence-target অমিল"",""""),IF(COUNTIF($B:$B,B925)&gt;1,""ডুপ্লিকেট"",""""))"),"figurative ছোট")</f>
        <v>figurative ছোট</v>
      </c>
      <c r="Q925" s="5" t="str">
        <f t="shared" si="1"/>
        <v>১ আগে দেখো</v>
      </c>
    </row>
    <row r="926">
      <c r="A926" s="4">
        <v>6380.0</v>
      </c>
      <c r="B926" s="2" t="s">
        <v>4006</v>
      </c>
      <c r="C926" s="2" t="s">
        <v>4007</v>
      </c>
      <c r="D926" s="2" t="s">
        <v>4008</v>
      </c>
      <c r="E926" s="2" t="s">
        <v>4009</v>
      </c>
      <c r="F926" s="2" t="b">
        <v>1</v>
      </c>
      <c r="G926" s="2" t="b">
        <v>0</v>
      </c>
      <c r="H926" s="2" t="s">
        <v>37</v>
      </c>
      <c r="I926" s="2" t="s">
        <v>22</v>
      </c>
      <c r="J926" s="2" t="s">
        <v>3105</v>
      </c>
      <c r="K926" s="2" t="s">
        <v>495</v>
      </c>
      <c r="L926" s="13" t="s">
        <v>496</v>
      </c>
      <c r="M926" s="2" t="s">
        <v>26</v>
      </c>
      <c r="N926" s="11" t="s">
        <v>576</v>
      </c>
      <c r="O926" s="12" t="s">
        <v>53</v>
      </c>
      <c r="P926" s="5" t="str">
        <f>IFERROR(__xludf.DUMMYFUNCTION("TEXTJOIN("" | "",TRUE,IF(OR(D926="""",E926="""",I926="""",J926="""",H926=""""),""ফাঁকা ঘর"",""""),IF(AND(C926&lt;&gt;"""",D926&lt;&gt;"""",C926=D926),""gloss=figurative"",""""),IF(LEN(D926)&lt;15,""figurative ছোট"",""""),IF(AND(I926=""Positive"",REGEXMATCH(H926,""মূর্খ|"&amp;"ভণ্ড|প্রতার|অলস|লোভ|স্বার্থ|অক্ষম|অযোগ্য|বোকা|কৃপণ|হিংস"")),""valence-target অমিল"",""""),IF(COUNTIF($B:$B,B926)&gt;1,""ডুপ্লিকেট"",""""))"),"figurative ছোট")</f>
        <v>figurative ছোট</v>
      </c>
      <c r="Q926" s="5" t="str">
        <f t="shared" si="1"/>
        <v>১ আগে দেখো</v>
      </c>
    </row>
    <row r="927">
      <c r="A927" s="4">
        <v>6381.0</v>
      </c>
      <c r="B927" s="2" t="s">
        <v>27</v>
      </c>
      <c r="C927" s="2" t="s">
        <v>4010</v>
      </c>
      <c r="D927" s="2" t="s">
        <v>4011</v>
      </c>
      <c r="E927" s="2" t="s">
        <v>4012</v>
      </c>
      <c r="F927" s="2" t="b">
        <v>1</v>
      </c>
      <c r="G927" s="2" t="b">
        <v>0</v>
      </c>
      <c r="H927" s="2" t="s">
        <v>37</v>
      </c>
      <c r="I927" s="2" t="s">
        <v>22</v>
      </c>
      <c r="J927" s="2" t="s">
        <v>1146</v>
      </c>
      <c r="K927" s="2" t="s">
        <v>495</v>
      </c>
      <c r="L927" s="13" t="s">
        <v>496</v>
      </c>
      <c r="M927" s="2" t="s">
        <v>26</v>
      </c>
      <c r="N927" s="11" t="s">
        <v>4013</v>
      </c>
      <c r="O927" s="12" t="s">
        <v>53</v>
      </c>
      <c r="P927" s="5" t="str">
        <f>IFERROR(__xludf.DUMMYFUNCTION("TEXTJOIN("" | "",TRUE,IF(OR(D927="""",E927="""",I927="""",J927="""",H927=""""),""ফাঁকা ঘর"",""""),IF(AND(C927&lt;&gt;"""",D927&lt;&gt;"""",C927=D927),""gloss=figurative"",""""),IF(LEN(D927)&lt;15,""figurative ছোট"",""""),IF(AND(I927=""Positive"",REGEXMATCH(H927,""মূর্খ|"&amp;"ভণ্ড|প্রতার|অলস|লোভ|স্বার্থ|অক্ষম|অযোগ্য|বোকা|কৃপণ|হিংস"")),""valence-target অমিল"",""""),IF(COUNTIF($B:$B,B927)&gt;1,""ডুপ্লিকেট"",""""))"),"figurative ছোট | ডুপ্লিকেট")</f>
        <v>figurative ছোট | ডুপ্লিকেট</v>
      </c>
      <c r="Q927" s="5" t="str">
        <f t="shared" si="1"/>
        <v>১ আগে দেখো</v>
      </c>
    </row>
    <row r="928">
      <c r="A928" s="4">
        <v>6382.0</v>
      </c>
      <c r="B928" s="2" t="s">
        <v>4014</v>
      </c>
      <c r="C928" s="2" t="s">
        <v>4014</v>
      </c>
      <c r="D928" s="2" t="s">
        <v>1712</v>
      </c>
      <c r="E928" s="2" t="s">
        <v>4015</v>
      </c>
      <c r="F928" s="2" t="b">
        <v>1</v>
      </c>
      <c r="G928" s="2" t="b">
        <v>0</v>
      </c>
      <c r="H928" s="2" t="s">
        <v>37</v>
      </c>
      <c r="I928" s="2" t="s">
        <v>22</v>
      </c>
      <c r="J928" s="2" t="s">
        <v>1712</v>
      </c>
      <c r="K928" s="2" t="s">
        <v>495</v>
      </c>
      <c r="L928" s="13" t="s">
        <v>496</v>
      </c>
      <c r="M928" s="2" t="s">
        <v>26</v>
      </c>
      <c r="N928" s="11" t="s">
        <v>576</v>
      </c>
      <c r="O928" s="12" t="s">
        <v>53</v>
      </c>
      <c r="P928" s="5" t="str">
        <f>IFERROR(__xludf.DUMMYFUNCTION("TEXTJOIN("" | "",TRUE,IF(OR(D928="""",E928="""",I928="""",J928="""",H928=""""),""ফাঁকা ঘর"",""""),IF(AND(C928&lt;&gt;"""",D928&lt;&gt;"""",C928=D928),""gloss=figurative"",""""),IF(LEN(D928)&lt;15,""figurative ছোট"",""""),IF(AND(I928=""Positive"",REGEXMATCH(H928,""মূর্খ|"&amp;"ভণ্ড|প্রতার|অলস|লোভ|স্বার্থ|অক্ষম|অযোগ্য|বোকা|কৃপণ|হিংস"")),""valence-target অমিল"",""""),IF(COUNTIF($B:$B,B928)&gt;1,""ডুপ্লিকেট"",""""))"),"figurative ছোট")</f>
        <v>figurative ছোট</v>
      </c>
      <c r="Q928" s="5" t="str">
        <f t="shared" si="1"/>
        <v>১ আগে দেখো</v>
      </c>
    </row>
    <row r="929">
      <c r="A929" s="4">
        <v>6383.0</v>
      </c>
      <c r="B929" s="2" t="s">
        <v>4016</v>
      </c>
      <c r="C929" s="2" t="s">
        <v>4017</v>
      </c>
      <c r="D929" s="2" t="s">
        <v>1712</v>
      </c>
      <c r="E929" s="2" t="s">
        <v>4018</v>
      </c>
      <c r="F929" s="2" t="b">
        <v>1</v>
      </c>
      <c r="G929" s="2" t="b">
        <v>0</v>
      </c>
      <c r="H929" s="2" t="s">
        <v>37</v>
      </c>
      <c r="I929" s="2" t="s">
        <v>22</v>
      </c>
      <c r="J929" s="2" t="s">
        <v>1712</v>
      </c>
      <c r="K929" s="2" t="s">
        <v>495</v>
      </c>
      <c r="L929" s="13" t="s">
        <v>496</v>
      </c>
      <c r="M929" s="2" t="s">
        <v>26</v>
      </c>
      <c r="N929" s="11" t="s">
        <v>4019</v>
      </c>
      <c r="O929" s="12" t="s">
        <v>53</v>
      </c>
      <c r="P929" s="5" t="str">
        <f>IFERROR(__xludf.DUMMYFUNCTION("TEXTJOIN("" | "",TRUE,IF(OR(D929="""",E929="""",I929="""",J929="""",H929=""""),""ফাঁকা ঘর"",""""),IF(AND(C929&lt;&gt;"""",D929&lt;&gt;"""",C929=D929),""gloss=figurative"",""""),IF(LEN(D929)&lt;15,""figurative ছোট"",""""),IF(AND(I929=""Positive"",REGEXMATCH(H929,""মূর্খ|"&amp;"ভণ্ড|প্রতার|অলস|লোভ|স্বার্থ|অক্ষম|অযোগ্য|বোকা|কৃপণ|হিংস"")),""valence-target অমিল"",""""),IF(COUNTIF($B:$B,B929)&gt;1,""ডুপ্লিকেট"",""""))"),"figurative ছোট")</f>
        <v>figurative ছোট</v>
      </c>
      <c r="Q929" s="5" t="str">
        <f t="shared" si="1"/>
        <v>১ আগে দেখো</v>
      </c>
    </row>
    <row r="930">
      <c r="A930" s="4">
        <v>6384.0</v>
      </c>
      <c r="B930" s="2" t="s">
        <v>4020</v>
      </c>
      <c r="C930" s="2" t="s">
        <v>4021</v>
      </c>
      <c r="D930" s="2" t="s">
        <v>1717</v>
      </c>
      <c r="E930" s="2" t="s">
        <v>4022</v>
      </c>
      <c r="F930" s="2" t="b">
        <v>1</v>
      </c>
      <c r="G930" s="2" t="b">
        <v>0</v>
      </c>
      <c r="H930" s="2" t="s">
        <v>37</v>
      </c>
      <c r="I930" s="2" t="s">
        <v>22</v>
      </c>
      <c r="J930" s="2" t="s">
        <v>1717</v>
      </c>
      <c r="K930" s="2" t="s">
        <v>495</v>
      </c>
      <c r="L930" s="13" t="s">
        <v>496</v>
      </c>
      <c r="M930" s="2" t="s">
        <v>26</v>
      </c>
      <c r="N930" s="11" t="s">
        <v>4023</v>
      </c>
      <c r="O930" s="12" t="s">
        <v>53</v>
      </c>
      <c r="P930" s="5" t="str">
        <f>IFERROR(__xludf.DUMMYFUNCTION("TEXTJOIN("" | "",TRUE,IF(OR(D930="""",E930="""",I930="""",J930="""",H930=""""),""ফাঁকা ঘর"",""""),IF(AND(C930&lt;&gt;"""",D930&lt;&gt;"""",C930=D930),""gloss=figurative"",""""),IF(LEN(D930)&lt;15,""figurative ছোট"",""""),IF(AND(I930=""Positive"",REGEXMATCH(H930,""মূর্খ|"&amp;"ভণ্ড|প্রতার|অলস|লোভ|স্বার্থ|অক্ষম|অযোগ্য|বোকা|কৃপণ|হিংস"")),""valence-target অমিল"",""""),IF(COUNTIF($B:$B,B930)&gt;1,""ডুপ্লিকেট"",""""))"),"figurative ছোট")</f>
        <v>figurative ছোট</v>
      </c>
      <c r="Q930" s="5" t="str">
        <f t="shared" si="1"/>
        <v>১ আগে দেখো</v>
      </c>
    </row>
    <row r="931">
      <c r="A931" s="4">
        <v>6386.0</v>
      </c>
      <c r="B931" s="2" t="s">
        <v>4024</v>
      </c>
      <c r="C931" s="2" t="s">
        <v>4025</v>
      </c>
      <c r="D931" s="2" t="s">
        <v>4026</v>
      </c>
      <c r="E931" s="2" t="s">
        <v>4027</v>
      </c>
      <c r="F931" s="2" t="b">
        <v>1</v>
      </c>
      <c r="G931" s="2" t="b">
        <v>0</v>
      </c>
      <c r="H931" s="2" t="s">
        <v>37</v>
      </c>
      <c r="I931" s="2" t="s">
        <v>22</v>
      </c>
      <c r="J931" s="2" t="s">
        <v>1644</v>
      </c>
      <c r="K931" s="2" t="s">
        <v>495</v>
      </c>
      <c r="L931" s="13" t="s">
        <v>496</v>
      </c>
      <c r="M931" s="2" t="s">
        <v>26</v>
      </c>
      <c r="N931" s="11" t="s">
        <v>4028</v>
      </c>
      <c r="O931" s="12" t="s">
        <v>53</v>
      </c>
      <c r="P931" s="5" t="str">
        <f>IFERROR(__xludf.DUMMYFUNCTION("TEXTJOIN("" | "",TRUE,IF(OR(D931="""",E931="""",I931="""",J931="""",H931=""""),""ফাঁকা ঘর"",""""),IF(AND(C931&lt;&gt;"""",D931&lt;&gt;"""",C931=D931),""gloss=figurative"",""""),IF(LEN(D931)&lt;15,""figurative ছোট"",""""),IF(AND(I931=""Positive"",REGEXMATCH(H931,""মূর্খ|"&amp;"ভণ্ড|প্রতার|অলস|লোভ|স্বার্থ|অক্ষম|অযোগ্য|বোকা|কৃপণ|হিংস"")),""valence-target অমিল"",""""),IF(COUNTIF($B:$B,B931)&gt;1,""ডুপ্লিকেট"",""""))"),"figurative ছোট")</f>
        <v>figurative ছোট</v>
      </c>
      <c r="Q931" s="5" t="str">
        <f t="shared" si="1"/>
        <v>১ আগে দেখো</v>
      </c>
    </row>
    <row r="932">
      <c r="A932" s="4">
        <v>6388.0</v>
      </c>
      <c r="B932" s="2" t="s">
        <v>4029</v>
      </c>
      <c r="C932" s="2" t="s">
        <v>4029</v>
      </c>
      <c r="D932" s="2" t="s">
        <v>4030</v>
      </c>
      <c r="E932" s="2" t="s">
        <v>4031</v>
      </c>
      <c r="F932" s="2" t="b">
        <v>1</v>
      </c>
      <c r="G932" s="2" t="b">
        <v>0</v>
      </c>
      <c r="H932" s="2" t="s">
        <v>37</v>
      </c>
      <c r="I932" s="2" t="s">
        <v>22</v>
      </c>
      <c r="J932" s="2" t="s">
        <v>1008</v>
      </c>
      <c r="K932" s="2" t="s">
        <v>495</v>
      </c>
      <c r="L932" s="13" t="s">
        <v>496</v>
      </c>
      <c r="M932" s="2" t="s">
        <v>26</v>
      </c>
      <c r="N932" s="11" t="s">
        <v>576</v>
      </c>
      <c r="O932" s="12" t="s">
        <v>53</v>
      </c>
      <c r="P932" s="5" t="str">
        <f>IFERROR(__xludf.DUMMYFUNCTION("TEXTJOIN("" | "",TRUE,IF(OR(D932="""",E932="""",I932="""",J932="""",H932=""""),""ফাঁকা ঘর"",""""),IF(AND(C932&lt;&gt;"""",D932&lt;&gt;"""",C932=D932),""gloss=figurative"",""""),IF(LEN(D932)&lt;15,""figurative ছোট"",""""),IF(AND(I932=""Positive"",REGEXMATCH(H932,""মূর্খ|"&amp;"ভণ্ড|প্রতার|অলস|লোভ|স্বার্থ|অক্ষম|অযোগ্য|বোকা|কৃপণ|হিংস"")),""valence-target অমিল"",""""),IF(COUNTIF($B:$B,B932)&gt;1,""ডুপ্লিকেট"",""""))"),"figurative ছোট")</f>
        <v>figurative ছোট</v>
      </c>
      <c r="Q932" s="5" t="str">
        <f t="shared" si="1"/>
        <v>১ আগে দেখো</v>
      </c>
    </row>
    <row r="933">
      <c r="A933" s="4">
        <v>6389.0</v>
      </c>
      <c r="B933" s="2" t="s">
        <v>4032</v>
      </c>
      <c r="C933" s="2" t="s">
        <v>4033</v>
      </c>
      <c r="D933" s="2" t="s">
        <v>4034</v>
      </c>
      <c r="E933" s="2" t="s">
        <v>4035</v>
      </c>
      <c r="F933" s="2" t="b">
        <v>1</v>
      </c>
      <c r="G933" s="2" t="b">
        <v>0</v>
      </c>
      <c r="H933" s="2" t="s">
        <v>37</v>
      </c>
      <c r="I933" s="2" t="s">
        <v>49</v>
      </c>
      <c r="J933" s="2" t="s">
        <v>1454</v>
      </c>
      <c r="K933" s="2" t="s">
        <v>495</v>
      </c>
      <c r="L933" s="13" t="s">
        <v>496</v>
      </c>
      <c r="M933" s="2" t="s">
        <v>26</v>
      </c>
      <c r="N933" s="11" t="s">
        <v>576</v>
      </c>
      <c r="O933" s="12" t="s">
        <v>53</v>
      </c>
      <c r="P933" s="5" t="str">
        <f>IFERROR(__xludf.DUMMYFUNCTION("TEXTJOIN("" | "",TRUE,IF(OR(D933="""",E933="""",I933="""",J933="""",H933=""""),""ফাঁকা ঘর"",""""),IF(AND(C933&lt;&gt;"""",D933&lt;&gt;"""",C933=D933),""gloss=figurative"",""""),IF(LEN(D933)&lt;15,""figurative ছোট"",""""),IF(AND(I933=""Positive"",REGEXMATCH(H933,""মূর্খ|"&amp;"ভণ্ড|প্রতার|অলস|লোভ|স্বার্থ|অক্ষম|অযোগ্য|বোকা|কৃপণ|হিংস"")),""valence-target অমিল"",""""),IF(COUNTIF($B:$B,B933)&gt;1,""ডুপ্লিকেট"",""""))"),"figurative ছোট")</f>
        <v>figurative ছোট</v>
      </c>
      <c r="Q933" s="5" t="str">
        <f t="shared" si="1"/>
        <v>১ আগে দেখো</v>
      </c>
    </row>
    <row r="934">
      <c r="A934" s="4">
        <v>6391.0</v>
      </c>
      <c r="B934" s="2" t="s">
        <v>4036</v>
      </c>
      <c r="C934" s="2" t="s">
        <v>4036</v>
      </c>
      <c r="D934" s="2" t="s">
        <v>4037</v>
      </c>
      <c r="E934" s="2" t="s">
        <v>4038</v>
      </c>
      <c r="F934" s="2" t="b">
        <v>1</v>
      </c>
      <c r="G934" s="2" t="b">
        <v>0</v>
      </c>
      <c r="H934" s="2" t="s">
        <v>37</v>
      </c>
      <c r="I934" s="2" t="s">
        <v>32</v>
      </c>
      <c r="J934" s="2" t="s">
        <v>4039</v>
      </c>
      <c r="K934" s="2" t="s">
        <v>495</v>
      </c>
      <c r="L934" s="13" t="s">
        <v>496</v>
      </c>
      <c r="M934" s="2" t="s">
        <v>26</v>
      </c>
      <c r="N934" s="11" t="s">
        <v>576</v>
      </c>
      <c r="O934" s="12" t="s">
        <v>53</v>
      </c>
      <c r="P934" s="5" t="str">
        <f>IFERROR(__xludf.DUMMYFUNCTION("TEXTJOIN("" | "",TRUE,IF(OR(D934="""",E934="""",I934="""",J934="""",H934=""""),""ফাঁকা ঘর"",""""),IF(AND(C934&lt;&gt;"""",D934&lt;&gt;"""",C934=D934),""gloss=figurative"",""""),IF(LEN(D934)&lt;15,""figurative ছোট"",""""),IF(AND(I934=""Positive"",REGEXMATCH(H934,""মূর্খ|"&amp;"ভণ্ড|প্রতার|অলস|লোভ|স্বার্থ|অক্ষম|অযোগ্য|বোকা|কৃপণ|হিংস"")),""valence-target অমিল"",""""),IF(COUNTIF($B:$B,B934)&gt;1,""ডুপ্লিকেট"",""""))"),"figurative ছোট")</f>
        <v>figurative ছোট</v>
      </c>
      <c r="Q934" s="5" t="str">
        <f t="shared" si="1"/>
        <v>১ আগে দেখো</v>
      </c>
    </row>
    <row r="935">
      <c r="A935" s="4">
        <v>6392.0</v>
      </c>
      <c r="B935" s="2" t="s">
        <v>4040</v>
      </c>
      <c r="C935" s="2" t="s">
        <v>4041</v>
      </c>
      <c r="D935" s="2" t="s">
        <v>2632</v>
      </c>
      <c r="E935" s="2" t="s">
        <v>4042</v>
      </c>
      <c r="F935" s="2" t="b">
        <v>1</v>
      </c>
      <c r="G935" s="2" t="b">
        <v>0</v>
      </c>
      <c r="H935" s="2" t="s">
        <v>37</v>
      </c>
      <c r="I935" s="2" t="s">
        <v>32</v>
      </c>
      <c r="J935" s="2" t="s">
        <v>2629</v>
      </c>
      <c r="K935" s="2" t="s">
        <v>495</v>
      </c>
      <c r="L935" s="13" t="s">
        <v>496</v>
      </c>
      <c r="M935" s="2" t="s">
        <v>26</v>
      </c>
      <c r="N935" s="11" t="s">
        <v>576</v>
      </c>
      <c r="O935" s="12" t="s">
        <v>53</v>
      </c>
      <c r="P935" s="5" t="str">
        <f>IFERROR(__xludf.DUMMYFUNCTION("TEXTJOIN("" | "",TRUE,IF(OR(D935="""",E935="""",I935="""",J935="""",H935=""""),""ফাঁকা ঘর"",""""),IF(AND(C935&lt;&gt;"""",D935&lt;&gt;"""",C935=D935),""gloss=figurative"",""""),IF(LEN(D935)&lt;15,""figurative ছোট"",""""),IF(AND(I935=""Positive"",REGEXMATCH(H935,""মূর্খ|"&amp;"ভণ্ড|প্রতার|অলস|লোভ|স্বার্থ|অক্ষম|অযোগ্য|বোকা|কৃপণ|হিংস"")),""valence-target অমিল"",""""),IF(COUNTIF($B:$B,B935)&gt;1,""ডুপ্লিকেট"",""""))"),"figurative ছোট")</f>
        <v>figurative ছোট</v>
      </c>
      <c r="Q935" s="5" t="str">
        <f t="shared" si="1"/>
        <v>১ আগে দেখো</v>
      </c>
    </row>
    <row r="936">
      <c r="A936" s="4">
        <v>6393.0</v>
      </c>
      <c r="B936" s="2" t="s">
        <v>4043</v>
      </c>
      <c r="C936" s="2" t="s">
        <v>4044</v>
      </c>
      <c r="D936" s="2" t="s">
        <v>4045</v>
      </c>
      <c r="E936" s="2" t="s">
        <v>4046</v>
      </c>
      <c r="F936" s="2" t="b">
        <v>1</v>
      </c>
      <c r="G936" s="2" t="b">
        <v>1</v>
      </c>
      <c r="H936" s="2" t="s">
        <v>1211</v>
      </c>
      <c r="I936" s="2" t="s">
        <v>22</v>
      </c>
      <c r="J936" s="2" t="s">
        <v>3966</v>
      </c>
      <c r="K936" s="2" t="s">
        <v>495</v>
      </c>
      <c r="L936" s="13" t="s">
        <v>496</v>
      </c>
      <c r="M936" s="2" t="s">
        <v>26</v>
      </c>
      <c r="N936" s="11" t="s">
        <v>576</v>
      </c>
      <c r="O936" s="12" t="s">
        <v>53</v>
      </c>
      <c r="P936" s="5" t="str">
        <f>IFERROR(__xludf.DUMMYFUNCTION("TEXTJOIN("" | "",TRUE,IF(OR(D936="""",E936="""",I936="""",J936="""",H936=""""),""ফাঁকা ঘর"",""""),IF(AND(C936&lt;&gt;"""",D936&lt;&gt;"""",C936=D936),""gloss=figurative"",""""),IF(LEN(D936)&lt;15,""figurative ছোট"",""""),IF(AND(I936=""Positive"",REGEXMATCH(H936,""মূর্খ|"&amp;"ভণ্ড|প্রতার|অলস|লোভ|স্বার্থ|অক্ষম|অযোগ্য|বোকা|কৃপণ|হিংস"")),""valence-target অমিল"",""""),IF(COUNTIF($B:$B,B936)&gt;1,""ডুপ্লিকেট"",""""))"),"figurative ছোট")</f>
        <v>figurative ছোট</v>
      </c>
      <c r="Q936" s="5" t="str">
        <f t="shared" si="1"/>
        <v>১ আগে দেখো</v>
      </c>
    </row>
    <row r="937">
      <c r="A937" s="4">
        <v>6394.0</v>
      </c>
      <c r="B937" s="2" t="s">
        <v>4047</v>
      </c>
      <c r="C937" s="2" t="s">
        <v>4048</v>
      </c>
      <c r="D937" s="2" t="s">
        <v>424</v>
      </c>
      <c r="E937" s="2" t="s">
        <v>4049</v>
      </c>
      <c r="F937" s="2" t="b">
        <v>1</v>
      </c>
      <c r="G937" s="2" t="b">
        <v>0</v>
      </c>
      <c r="H937" s="2" t="s">
        <v>37</v>
      </c>
      <c r="I937" s="2" t="s">
        <v>32</v>
      </c>
      <c r="J937" s="2" t="s">
        <v>424</v>
      </c>
      <c r="K937" s="2" t="s">
        <v>495</v>
      </c>
      <c r="L937" s="13" t="s">
        <v>496</v>
      </c>
      <c r="M937" s="2" t="s">
        <v>26</v>
      </c>
      <c r="N937" s="11" t="s">
        <v>576</v>
      </c>
      <c r="O937" s="12" t="s">
        <v>53</v>
      </c>
      <c r="P937" s="5" t="str">
        <f>IFERROR(__xludf.DUMMYFUNCTION("TEXTJOIN("" | "",TRUE,IF(OR(D937="""",E937="""",I937="""",J937="""",H937=""""),""ফাঁকা ঘর"",""""),IF(AND(C937&lt;&gt;"""",D937&lt;&gt;"""",C937=D937),""gloss=figurative"",""""),IF(LEN(D937)&lt;15,""figurative ছোট"",""""),IF(AND(I937=""Positive"",REGEXMATCH(H937,""মূর্খ|"&amp;"ভণ্ড|প্রতার|অলস|লোভ|স্বার্থ|অক্ষম|অযোগ্য|বোকা|কৃপণ|হিংস"")),""valence-target অমিল"",""""),IF(COUNTIF($B:$B,B937)&gt;1,""ডুপ্লিকেট"",""""))"),"figurative ছোট")</f>
        <v>figurative ছোট</v>
      </c>
      <c r="Q937" s="5" t="str">
        <f t="shared" si="1"/>
        <v>১ আগে দেখো</v>
      </c>
    </row>
    <row r="938">
      <c r="A938" s="4">
        <v>6395.0</v>
      </c>
      <c r="B938" s="2" t="s">
        <v>4050</v>
      </c>
      <c r="C938" s="2" t="s">
        <v>4051</v>
      </c>
      <c r="D938" s="2" t="s">
        <v>4052</v>
      </c>
      <c r="E938" s="2" t="s">
        <v>4053</v>
      </c>
      <c r="F938" s="2" t="b">
        <v>1</v>
      </c>
      <c r="G938" s="2" t="b">
        <v>0</v>
      </c>
      <c r="H938" s="2" t="s">
        <v>37</v>
      </c>
      <c r="I938" s="2" t="s">
        <v>49</v>
      </c>
      <c r="J938" s="2" t="s">
        <v>1454</v>
      </c>
      <c r="K938" s="2" t="s">
        <v>495</v>
      </c>
      <c r="L938" s="13" t="s">
        <v>496</v>
      </c>
      <c r="M938" s="2" t="s">
        <v>26</v>
      </c>
      <c r="N938" s="11" t="s">
        <v>576</v>
      </c>
      <c r="O938" s="12" t="s">
        <v>53</v>
      </c>
      <c r="P938" s="5" t="str">
        <f>IFERROR(__xludf.DUMMYFUNCTION("TEXTJOIN("" | "",TRUE,IF(OR(D938="""",E938="""",I938="""",J938="""",H938=""""),""ফাঁকা ঘর"",""""),IF(AND(C938&lt;&gt;"""",D938&lt;&gt;"""",C938=D938),""gloss=figurative"",""""),IF(LEN(D938)&lt;15,""figurative ছোট"",""""),IF(AND(I938=""Positive"",REGEXMATCH(H938,""মূর্খ|"&amp;"ভণ্ড|প্রতার|অলস|লোভ|স্বার্থ|অক্ষম|অযোগ্য|বোকা|কৃপণ|হিংস"")),""valence-target অমিল"",""""),IF(COUNTIF($B:$B,B938)&gt;1,""ডুপ্লিকেট"",""""))"),"figurative ছোট")</f>
        <v>figurative ছোট</v>
      </c>
      <c r="Q938" s="5" t="str">
        <f t="shared" si="1"/>
        <v>১ আগে দেখো</v>
      </c>
    </row>
    <row r="939">
      <c r="A939" s="4">
        <v>6396.0</v>
      </c>
      <c r="B939" s="2" t="s">
        <v>4054</v>
      </c>
      <c r="C939" s="2" t="s">
        <v>4055</v>
      </c>
      <c r="D939" s="2" t="s">
        <v>739</v>
      </c>
      <c r="E939" s="2" t="s">
        <v>4056</v>
      </c>
      <c r="F939" s="2" t="b">
        <v>1</v>
      </c>
      <c r="G939" s="2" t="b">
        <v>0</v>
      </c>
      <c r="H939" s="2" t="s">
        <v>37</v>
      </c>
      <c r="I939" s="2" t="s">
        <v>32</v>
      </c>
      <c r="J939" s="2" t="s">
        <v>739</v>
      </c>
      <c r="K939" s="2" t="s">
        <v>495</v>
      </c>
      <c r="L939" s="13" t="s">
        <v>496</v>
      </c>
      <c r="M939" s="2" t="s">
        <v>26</v>
      </c>
      <c r="N939" s="11" t="s">
        <v>576</v>
      </c>
      <c r="O939" s="12" t="s">
        <v>53</v>
      </c>
      <c r="P939" s="5" t="str">
        <f>IFERROR(__xludf.DUMMYFUNCTION("TEXTJOIN("" | "",TRUE,IF(OR(D939="""",E939="""",I939="""",J939="""",H939=""""),""ফাঁকা ঘর"",""""),IF(AND(C939&lt;&gt;"""",D939&lt;&gt;"""",C939=D939),""gloss=figurative"",""""),IF(LEN(D939)&lt;15,""figurative ছোট"",""""),IF(AND(I939=""Positive"",REGEXMATCH(H939,""মূর্খ|"&amp;"ভণ্ড|প্রতার|অলস|লোভ|স্বার্থ|অক্ষম|অযোগ্য|বোকা|কৃপণ|হিংস"")),""valence-target অমিল"",""""),IF(COUNTIF($B:$B,B939)&gt;1,""ডুপ্লিকেট"",""""))"),"figurative ছোট")</f>
        <v>figurative ছোট</v>
      </c>
      <c r="Q939" s="5" t="str">
        <f t="shared" si="1"/>
        <v>১ আগে দেখো</v>
      </c>
    </row>
    <row r="940">
      <c r="A940" s="4">
        <v>6397.0</v>
      </c>
      <c r="B940" s="2" t="s">
        <v>4057</v>
      </c>
      <c r="C940" s="2" t="s">
        <v>4058</v>
      </c>
      <c r="D940" s="2" t="s">
        <v>4059</v>
      </c>
      <c r="E940" s="2" t="s">
        <v>4060</v>
      </c>
      <c r="F940" s="2" t="b">
        <v>1</v>
      </c>
      <c r="G940" s="2" t="b">
        <v>0</v>
      </c>
      <c r="H940" s="2" t="s">
        <v>37</v>
      </c>
      <c r="I940" s="2" t="s">
        <v>32</v>
      </c>
      <c r="J940" s="2" t="s">
        <v>1510</v>
      </c>
      <c r="K940" s="2" t="s">
        <v>495</v>
      </c>
      <c r="L940" s="13" t="s">
        <v>496</v>
      </c>
      <c r="M940" s="2" t="s">
        <v>26</v>
      </c>
      <c r="N940" s="11" t="s">
        <v>576</v>
      </c>
      <c r="O940" s="12" t="s">
        <v>53</v>
      </c>
      <c r="P940" s="5" t="str">
        <f>IFERROR(__xludf.DUMMYFUNCTION("TEXTJOIN("" | "",TRUE,IF(OR(D940="""",E940="""",I940="""",J940="""",H940=""""),""ফাঁকা ঘর"",""""),IF(AND(C940&lt;&gt;"""",D940&lt;&gt;"""",C940=D940),""gloss=figurative"",""""),IF(LEN(D940)&lt;15,""figurative ছোট"",""""),IF(AND(I940=""Positive"",REGEXMATCH(H940,""মূর্খ|"&amp;"ভণ্ড|প্রতার|অলস|লোভ|স্বার্থ|অক্ষম|অযোগ্য|বোকা|কৃপণ|হিংস"")),""valence-target অমিল"",""""),IF(COUNTIF($B:$B,B940)&gt;1,""ডুপ্লিকেট"",""""))"),"figurative ছোট")</f>
        <v>figurative ছোট</v>
      </c>
      <c r="Q940" s="5" t="str">
        <f t="shared" si="1"/>
        <v>১ আগে দেখো</v>
      </c>
    </row>
    <row r="941">
      <c r="A941" s="4">
        <v>6398.0</v>
      </c>
      <c r="B941" s="2" t="s">
        <v>4061</v>
      </c>
      <c r="C941" s="2" t="s">
        <v>4062</v>
      </c>
      <c r="D941" s="2" t="s">
        <v>4063</v>
      </c>
      <c r="E941" s="2" t="s">
        <v>4064</v>
      </c>
      <c r="F941" s="2" t="b">
        <v>1</v>
      </c>
      <c r="G941" s="2" t="b">
        <v>0</v>
      </c>
      <c r="H941" s="2" t="s">
        <v>37</v>
      </c>
      <c r="I941" s="2" t="s">
        <v>49</v>
      </c>
      <c r="J941" s="2" t="s">
        <v>708</v>
      </c>
      <c r="K941" s="2" t="s">
        <v>495</v>
      </c>
      <c r="L941" s="13" t="s">
        <v>496</v>
      </c>
      <c r="M941" s="2" t="s">
        <v>26</v>
      </c>
      <c r="N941" s="11" t="s">
        <v>576</v>
      </c>
      <c r="O941" s="12" t="s">
        <v>53</v>
      </c>
      <c r="P941" s="5" t="str">
        <f>IFERROR(__xludf.DUMMYFUNCTION("TEXTJOIN("" | "",TRUE,IF(OR(D941="""",E941="""",I941="""",J941="""",H941=""""),""ফাঁকা ঘর"",""""),IF(AND(C941&lt;&gt;"""",D941&lt;&gt;"""",C941=D941),""gloss=figurative"",""""),IF(LEN(D941)&lt;15,""figurative ছোট"",""""),IF(AND(I941=""Positive"",REGEXMATCH(H941,""মূর্খ|"&amp;"ভণ্ড|প্রতার|অলস|লোভ|স্বার্থ|অক্ষম|অযোগ্য|বোকা|কৃপণ|হিংস"")),""valence-target অমিল"",""""),IF(COUNTIF($B:$B,B941)&gt;1,""ডুপ্লিকেট"",""""))"),"figurative ছোট")</f>
        <v>figurative ছোট</v>
      </c>
      <c r="Q941" s="5" t="str">
        <f t="shared" si="1"/>
        <v>১ আগে দেখো</v>
      </c>
    </row>
    <row r="942">
      <c r="A942" s="4">
        <v>6399.0</v>
      </c>
      <c r="B942" s="2" t="s">
        <v>4065</v>
      </c>
      <c r="C942" s="2" t="s">
        <v>4066</v>
      </c>
      <c r="D942" s="2" t="s">
        <v>4067</v>
      </c>
      <c r="E942" s="2" t="s">
        <v>4068</v>
      </c>
      <c r="F942" s="2" t="b">
        <v>1</v>
      </c>
      <c r="G942" s="2" t="b">
        <v>0</v>
      </c>
      <c r="H942" s="2" t="s">
        <v>37</v>
      </c>
      <c r="I942" s="2" t="s">
        <v>32</v>
      </c>
      <c r="J942" s="2" t="s">
        <v>4067</v>
      </c>
      <c r="K942" s="2" t="s">
        <v>495</v>
      </c>
      <c r="L942" s="13" t="s">
        <v>496</v>
      </c>
      <c r="M942" s="2" t="s">
        <v>26</v>
      </c>
      <c r="N942" s="11" t="s">
        <v>576</v>
      </c>
      <c r="O942" s="12" t="s">
        <v>53</v>
      </c>
      <c r="P942" s="5" t="str">
        <f>IFERROR(__xludf.DUMMYFUNCTION("TEXTJOIN("" | "",TRUE,IF(OR(D942="""",E942="""",I942="""",J942="""",H942=""""),""ফাঁকা ঘর"",""""),IF(AND(C942&lt;&gt;"""",D942&lt;&gt;"""",C942=D942),""gloss=figurative"",""""),IF(LEN(D942)&lt;15,""figurative ছোট"",""""),IF(AND(I942=""Positive"",REGEXMATCH(H942,""মূর্খ|"&amp;"ভণ্ড|প্রতার|অলস|লোভ|স্বার্থ|অক্ষম|অযোগ্য|বোকা|কৃপণ|হিংস"")),""valence-target অমিল"",""""),IF(COUNTIF($B:$B,B942)&gt;1,""ডুপ্লিকেট"",""""))"),"figurative ছোট")</f>
        <v>figurative ছোট</v>
      </c>
      <c r="Q942" s="5" t="str">
        <f t="shared" si="1"/>
        <v>১ আগে দেখো</v>
      </c>
    </row>
    <row r="943">
      <c r="A943" s="4">
        <v>6400.0</v>
      </c>
      <c r="B943" s="2" t="s">
        <v>4069</v>
      </c>
      <c r="C943" s="2" t="s">
        <v>4070</v>
      </c>
      <c r="D943" s="2" t="s">
        <v>4071</v>
      </c>
      <c r="E943" s="2" t="s">
        <v>4072</v>
      </c>
      <c r="F943" s="2" t="b">
        <v>1</v>
      </c>
      <c r="G943" s="2" t="b">
        <v>0</v>
      </c>
      <c r="H943" s="2" t="s">
        <v>37</v>
      </c>
      <c r="I943" s="2" t="s">
        <v>32</v>
      </c>
      <c r="J943" s="2" t="s">
        <v>842</v>
      </c>
      <c r="K943" s="2" t="s">
        <v>495</v>
      </c>
      <c r="L943" s="13" t="s">
        <v>496</v>
      </c>
      <c r="M943" s="2" t="s">
        <v>26</v>
      </c>
      <c r="N943" s="11" t="s">
        <v>576</v>
      </c>
      <c r="O943" s="12" t="s">
        <v>53</v>
      </c>
      <c r="P943" s="5" t="str">
        <f>IFERROR(__xludf.DUMMYFUNCTION("TEXTJOIN("" | "",TRUE,IF(OR(D943="""",E943="""",I943="""",J943="""",H943=""""),""ফাঁকা ঘর"",""""),IF(AND(C943&lt;&gt;"""",D943&lt;&gt;"""",C943=D943),""gloss=figurative"",""""),IF(LEN(D943)&lt;15,""figurative ছোট"",""""),IF(AND(I943=""Positive"",REGEXMATCH(H943,""মূর্খ|"&amp;"ভণ্ড|প্রতার|অলস|লোভ|স্বার্থ|অক্ষম|অযোগ্য|বোকা|কৃপণ|হিংস"")),""valence-target অমিল"",""""),IF(COUNTIF($B:$B,B943)&gt;1,""ডুপ্লিকেট"",""""))"),"figurative ছোট")</f>
        <v>figurative ছোট</v>
      </c>
      <c r="Q943" s="5" t="str">
        <f t="shared" si="1"/>
        <v>১ আগে দেখো</v>
      </c>
    </row>
    <row r="944">
      <c r="A944" s="4">
        <v>6401.0</v>
      </c>
      <c r="B944" s="2" t="s">
        <v>4073</v>
      </c>
      <c r="C944" s="2" t="s">
        <v>4074</v>
      </c>
      <c r="D944" s="2" t="s">
        <v>739</v>
      </c>
      <c r="E944" s="2" t="s">
        <v>4075</v>
      </c>
      <c r="F944" s="2" t="b">
        <v>1</v>
      </c>
      <c r="G944" s="2" t="b">
        <v>0</v>
      </c>
      <c r="H944" s="2" t="s">
        <v>37</v>
      </c>
      <c r="I944" s="2" t="s">
        <v>32</v>
      </c>
      <c r="J944" s="2" t="s">
        <v>739</v>
      </c>
      <c r="K944" s="2" t="s">
        <v>495</v>
      </c>
      <c r="L944" s="13" t="s">
        <v>496</v>
      </c>
      <c r="M944" s="2" t="s">
        <v>26</v>
      </c>
      <c r="N944" s="11" t="s">
        <v>576</v>
      </c>
      <c r="O944" s="12" t="s">
        <v>53</v>
      </c>
      <c r="P944" s="5" t="str">
        <f>IFERROR(__xludf.DUMMYFUNCTION("TEXTJOIN("" | "",TRUE,IF(OR(D944="""",E944="""",I944="""",J944="""",H944=""""),""ফাঁকা ঘর"",""""),IF(AND(C944&lt;&gt;"""",D944&lt;&gt;"""",C944=D944),""gloss=figurative"",""""),IF(LEN(D944)&lt;15,""figurative ছোট"",""""),IF(AND(I944=""Positive"",REGEXMATCH(H944,""মূর্খ|"&amp;"ভণ্ড|প্রতার|অলস|লোভ|স্বার্থ|অক্ষম|অযোগ্য|বোকা|কৃপণ|হিংস"")),""valence-target অমিল"",""""),IF(COUNTIF($B:$B,B944)&gt;1,""ডুপ্লিকেট"",""""))"),"figurative ছোট")</f>
        <v>figurative ছোট</v>
      </c>
      <c r="Q944" s="5" t="str">
        <f t="shared" si="1"/>
        <v>১ আগে দেখো</v>
      </c>
    </row>
    <row r="945">
      <c r="A945" s="4">
        <v>6402.0</v>
      </c>
      <c r="B945" s="2" t="s">
        <v>4076</v>
      </c>
      <c r="C945" s="2" t="s">
        <v>4077</v>
      </c>
      <c r="D945" s="2" t="s">
        <v>1264</v>
      </c>
      <c r="E945" s="2" t="s">
        <v>4078</v>
      </c>
      <c r="F945" s="2" t="b">
        <v>1</v>
      </c>
      <c r="G945" s="2" t="b">
        <v>0</v>
      </c>
      <c r="H945" s="2" t="s">
        <v>37</v>
      </c>
      <c r="I945" s="2" t="s">
        <v>32</v>
      </c>
      <c r="J945" s="2" t="s">
        <v>1264</v>
      </c>
      <c r="K945" s="2" t="s">
        <v>495</v>
      </c>
      <c r="L945" s="13" t="s">
        <v>496</v>
      </c>
      <c r="M945" s="2" t="s">
        <v>26</v>
      </c>
      <c r="N945" s="11" t="s">
        <v>4079</v>
      </c>
      <c r="O945" s="12" t="s">
        <v>53</v>
      </c>
      <c r="P945" s="5" t="str">
        <f>IFERROR(__xludf.DUMMYFUNCTION("TEXTJOIN("" | "",TRUE,IF(OR(D945="""",E945="""",I945="""",J945="""",H945=""""),""ফাঁকা ঘর"",""""),IF(AND(C945&lt;&gt;"""",D945&lt;&gt;"""",C945=D945),""gloss=figurative"",""""),IF(LEN(D945)&lt;15,""figurative ছোট"",""""),IF(AND(I945=""Positive"",REGEXMATCH(H945,""মূর্খ|"&amp;"ভণ্ড|প্রতার|অলস|লোভ|স্বার্থ|অক্ষম|অযোগ্য|বোকা|কৃপণ|হিংস"")),""valence-target অমিল"",""""),IF(COUNTIF($B:$B,B945)&gt;1,""ডুপ্লিকেট"",""""))"),"figurative ছোট")</f>
        <v>figurative ছোট</v>
      </c>
      <c r="Q945" s="5" t="str">
        <f t="shared" si="1"/>
        <v>১ আগে দেখো</v>
      </c>
    </row>
    <row r="946">
      <c r="A946" s="4">
        <v>6403.0</v>
      </c>
      <c r="B946" s="2" t="s">
        <v>4080</v>
      </c>
      <c r="C946" s="2" t="s">
        <v>4081</v>
      </c>
      <c r="D946" s="2" t="s">
        <v>708</v>
      </c>
      <c r="E946" s="2" t="s">
        <v>4082</v>
      </c>
      <c r="F946" s="2" t="b">
        <v>1</v>
      </c>
      <c r="G946" s="2" t="b">
        <v>0</v>
      </c>
      <c r="H946" s="2" t="s">
        <v>37</v>
      </c>
      <c r="I946" s="2" t="s">
        <v>49</v>
      </c>
      <c r="J946" s="2" t="s">
        <v>708</v>
      </c>
      <c r="K946" s="2" t="s">
        <v>495</v>
      </c>
      <c r="L946" s="13" t="s">
        <v>496</v>
      </c>
      <c r="M946" s="2" t="s">
        <v>26</v>
      </c>
      <c r="N946" s="11" t="s">
        <v>576</v>
      </c>
      <c r="O946" s="12" t="s">
        <v>53</v>
      </c>
      <c r="P946" s="5" t="str">
        <f>IFERROR(__xludf.DUMMYFUNCTION("TEXTJOIN("" | "",TRUE,IF(OR(D946="""",E946="""",I946="""",J946="""",H946=""""),""ফাঁকা ঘর"",""""),IF(AND(C946&lt;&gt;"""",D946&lt;&gt;"""",C946=D946),""gloss=figurative"",""""),IF(LEN(D946)&lt;15,""figurative ছোট"",""""),IF(AND(I946=""Positive"",REGEXMATCH(H946,""মূর্খ|"&amp;"ভণ্ড|প্রতার|অলস|লোভ|স্বার্থ|অক্ষম|অযোগ্য|বোকা|কৃপণ|হিংস"")),""valence-target অমিল"",""""),IF(COUNTIF($B:$B,B946)&gt;1,""ডুপ্লিকেট"",""""))"),"figurative ছোট")</f>
        <v>figurative ছোট</v>
      </c>
      <c r="Q946" s="5" t="str">
        <f t="shared" si="1"/>
        <v>১ আগে দেখো</v>
      </c>
    </row>
    <row r="947">
      <c r="A947" s="4">
        <v>6404.0</v>
      </c>
      <c r="B947" s="2" t="s">
        <v>4083</v>
      </c>
      <c r="C947" s="2" t="s">
        <v>4084</v>
      </c>
      <c r="D947" s="2" t="s">
        <v>669</v>
      </c>
      <c r="E947" s="2" t="s">
        <v>4085</v>
      </c>
      <c r="F947" s="2" t="b">
        <v>1</v>
      </c>
      <c r="G947" s="2" t="b">
        <v>0</v>
      </c>
      <c r="H947" s="2" t="s">
        <v>37</v>
      </c>
      <c r="I947" s="2" t="s">
        <v>32</v>
      </c>
      <c r="J947" s="2" t="s">
        <v>669</v>
      </c>
      <c r="K947" s="2" t="s">
        <v>495</v>
      </c>
      <c r="L947" s="13" t="s">
        <v>496</v>
      </c>
      <c r="M947" s="2" t="s">
        <v>26</v>
      </c>
      <c r="N947" s="11" t="s">
        <v>576</v>
      </c>
      <c r="O947" s="12" t="s">
        <v>53</v>
      </c>
      <c r="P947" s="5" t="str">
        <f>IFERROR(__xludf.DUMMYFUNCTION("TEXTJOIN("" | "",TRUE,IF(OR(D947="""",E947="""",I947="""",J947="""",H947=""""),""ফাঁকা ঘর"",""""),IF(AND(C947&lt;&gt;"""",D947&lt;&gt;"""",C947=D947),""gloss=figurative"",""""),IF(LEN(D947)&lt;15,""figurative ছোট"",""""),IF(AND(I947=""Positive"",REGEXMATCH(H947,""মূর্খ|"&amp;"ভণ্ড|প্রতার|অলস|লোভ|স্বার্থ|অক্ষম|অযোগ্য|বোকা|কৃপণ|হিংস"")),""valence-target অমিল"",""""),IF(COUNTIF($B:$B,B947)&gt;1,""ডুপ্লিকেট"",""""))"),"figurative ছোট")</f>
        <v>figurative ছোট</v>
      </c>
      <c r="Q947" s="5" t="str">
        <f t="shared" si="1"/>
        <v>১ আগে দেখো</v>
      </c>
    </row>
    <row r="948">
      <c r="A948" s="4">
        <v>6405.0</v>
      </c>
      <c r="B948" s="2" t="s">
        <v>4086</v>
      </c>
      <c r="C948" s="2" t="s">
        <v>4087</v>
      </c>
      <c r="D948" s="2" t="s">
        <v>4088</v>
      </c>
      <c r="E948" s="2" t="s">
        <v>4089</v>
      </c>
      <c r="F948" s="2" t="b">
        <v>1</v>
      </c>
      <c r="G948" s="2" t="b">
        <v>0</v>
      </c>
      <c r="H948" s="2" t="s">
        <v>37</v>
      </c>
      <c r="I948" s="2" t="s">
        <v>32</v>
      </c>
      <c r="J948" s="2" t="s">
        <v>4088</v>
      </c>
      <c r="K948" s="2" t="s">
        <v>495</v>
      </c>
      <c r="L948" s="13" t="s">
        <v>496</v>
      </c>
      <c r="M948" s="2" t="s">
        <v>26</v>
      </c>
      <c r="N948" s="11" t="s">
        <v>576</v>
      </c>
      <c r="O948" s="12" t="s">
        <v>53</v>
      </c>
      <c r="P948" s="5" t="str">
        <f>IFERROR(__xludf.DUMMYFUNCTION("TEXTJOIN("" | "",TRUE,IF(OR(D948="""",E948="""",I948="""",J948="""",H948=""""),""ফাঁকা ঘর"",""""),IF(AND(C948&lt;&gt;"""",D948&lt;&gt;"""",C948=D948),""gloss=figurative"",""""),IF(LEN(D948)&lt;15,""figurative ছোট"",""""),IF(AND(I948=""Positive"",REGEXMATCH(H948,""মূর্খ|"&amp;"ভণ্ড|প্রতার|অলস|লোভ|স্বার্থ|অক্ষম|অযোগ্য|বোকা|কৃপণ|হিংস"")),""valence-target অমিল"",""""),IF(COUNTIF($B:$B,B948)&gt;1,""ডুপ্লিকেট"",""""))"),"figurative ছোট")</f>
        <v>figurative ছোট</v>
      </c>
      <c r="Q948" s="5" t="str">
        <f t="shared" si="1"/>
        <v>১ আগে দেখো</v>
      </c>
    </row>
    <row r="949">
      <c r="A949" s="4">
        <v>6406.0</v>
      </c>
      <c r="B949" s="2" t="s">
        <v>4090</v>
      </c>
      <c r="C949" s="2" t="s">
        <v>4091</v>
      </c>
      <c r="D949" s="2" t="s">
        <v>708</v>
      </c>
      <c r="E949" s="2" t="s">
        <v>4092</v>
      </c>
      <c r="F949" s="2" t="b">
        <v>1</v>
      </c>
      <c r="G949" s="2" t="b">
        <v>0</v>
      </c>
      <c r="H949" s="2" t="s">
        <v>37</v>
      </c>
      <c r="I949" s="2" t="s">
        <v>49</v>
      </c>
      <c r="J949" s="2" t="s">
        <v>708</v>
      </c>
      <c r="K949" s="2" t="s">
        <v>495</v>
      </c>
      <c r="L949" s="13" t="s">
        <v>496</v>
      </c>
      <c r="M949" s="2" t="s">
        <v>26</v>
      </c>
      <c r="N949" s="11" t="s">
        <v>4093</v>
      </c>
      <c r="O949" s="12" t="s">
        <v>53</v>
      </c>
      <c r="P949" s="5" t="str">
        <f>IFERROR(__xludf.DUMMYFUNCTION("TEXTJOIN("" | "",TRUE,IF(OR(D949="""",E949="""",I949="""",J949="""",H949=""""),""ফাঁকা ঘর"",""""),IF(AND(C949&lt;&gt;"""",D949&lt;&gt;"""",C949=D949),""gloss=figurative"",""""),IF(LEN(D949)&lt;15,""figurative ছোট"",""""),IF(AND(I949=""Positive"",REGEXMATCH(H949,""মূর্খ|"&amp;"ভণ্ড|প্রতার|অলস|লোভ|স্বার্থ|অক্ষম|অযোগ্য|বোকা|কৃপণ|হিংস"")),""valence-target অমিল"",""""),IF(COUNTIF($B:$B,B949)&gt;1,""ডুপ্লিকেট"",""""))"),"figurative ছোট")</f>
        <v>figurative ছোট</v>
      </c>
      <c r="Q949" s="5" t="str">
        <f t="shared" si="1"/>
        <v>১ আগে দেখো</v>
      </c>
    </row>
    <row r="950">
      <c r="A950" s="4">
        <v>6407.0</v>
      </c>
      <c r="B950" s="2" t="s">
        <v>4094</v>
      </c>
      <c r="C950" s="2" t="s">
        <v>4095</v>
      </c>
      <c r="D950" s="2" t="s">
        <v>4096</v>
      </c>
      <c r="E950" s="2" t="s">
        <v>4097</v>
      </c>
      <c r="F950" s="2" t="b">
        <v>1</v>
      </c>
      <c r="G950" s="2" t="b">
        <v>0</v>
      </c>
      <c r="H950" s="2" t="s">
        <v>37</v>
      </c>
      <c r="I950" s="2" t="s">
        <v>49</v>
      </c>
      <c r="J950" s="2" t="s">
        <v>1414</v>
      </c>
      <c r="K950" s="2" t="s">
        <v>495</v>
      </c>
      <c r="L950" s="13" t="s">
        <v>496</v>
      </c>
      <c r="M950" s="2" t="s">
        <v>26</v>
      </c>
      <c r="N950" s="11" t="s">
        <v>576</v>
      </c>
      <c r="O950" s="12" t="s">
        <v>53</v>
      </c>
      <c r="P950" s="5" t="str">
        <f>IFERROR(__xludf.DUMMYFUNCTION("TEXTJOIN("" | "",TRUE,IF(OR(D950="""",E950="""",I950="""",J950="""",H950=""""),""ফাঁকা ঘর"",""""),IF(AND(C950&lt;&gt;"""",D950&lt;&gt;"""",C950=D950),""gloss=figurative"",""""),IF(LEN(D950)&lt;15,""figurative ছোট"",""""),IF(AND(I950=""Positive"",REGEXMATCH(H950,""মূর্খ|"&amp;"ভণ্ড|প্রতার|অলস|লোভ|স্বার্থ|অক্ষম|অযোগ্য|বোকা|কৃপণ|হিংস"")),""valence-target অমিল"",""""),IF(COUNTIF($B:$B,B950)&gt;1,""ডুপ্লিকেট"",""""))"),"figurative ছোট")</f>
        <v>figurative ছোট</v>
      </c>
      <c r="Q950" s="5" t="str">
        <f t="shared" si="1"/>
        <v>১ আগে দেখো</v>
      </c>
    </row>
    <row r="951">
      <c r="A951" s="4">
        <v>6408.0</v>
      </c>
      <c r="B951" s="2" t="s">
        <v>4098</v>
      </c>
      <c r="C951" s="2" t="s">
        <v>4099</v>
      </c>
      <c r="D951" s="2" t="s">
        <v>4100</v>
      </c>
      <c r="E951" s="2" t="s">
        <v>4101</v>
      </c>
      <c r="F951" s="2" t="b">
        <v>1</v>
      </c>
      <c r="G951" s="2" t="b">
        <v>0</v>
      </c>
      <c r="H951" s="2" t="s">
        <v>37</v>
      </c>
      <c r="I951" s="2" t="s">
        <v>32</v>
      </c>
      <c r="J951" s="2" t="s">
        <v>739</v>
      </c>
      <c r="K951" s="2" t="s">
        <v>495</v>
      </c>
      <c r="L951" s="13" t="s">
        <v>496</v>
      </c>
      <c r="M951" s="2" t="s">
        <v>26</v>
      </c>
      <c r="N951" s="11" t="s">
        <v>576</v>
      </c>
      <c r="O951" s="12" t="s">
        <v>53</v>
      </c>
      <c r="P951" s="5" t="str">
        <f>IFERROR(__xludf.DUMMYFUNCTION("TEXTJOIN("" | "",TRUE,IF(OR(D951="""",E951="""",I951="""",J951="""",H951=""""),""ফাঁকা ঘর"",""""),IF(AND(C951&lt;&gt;"""",D951&lt;&gt;"""",C951=D951),""gloss=figurative"",""""),IF(LEN(D951)&lt;15,""figurative ছোট"",""""),IF(AND(I951=""Positive"",REGEXMATCH(H951,""মূর্খ|"&amp;"ভণ্ড|প্রতার|অলস|লোভ|স্বার্থ|অক্ষম|অযোগ্য|বোকা|কৃপণ|হিংস"")),""valence-target অমিল"",""""),IF(COUNTIF($B:$B,B951)&gt;1,""ডুপ্লিকেট"",""""))"),"figurative ছোট")</f>
        <v>figurative ছোট</v>
      </c>
      <c r="Q951" s="5" t="str">
        <f t="shared" si="1"/>
        <v>১ আগে দেখো</v>
      </c>
    </row>
    <row r="952">
      <c r="A952" s="4">
        <v>6409.0</v>
      </c>
      <c r="B952" s="2" t="s">
        <v>4102</v>
      </c>
      <c r="C952" s="2" t="s">
        <v>4102</v>
      </c>
      <c r="D952" s="2" t="s">
        <v>4103</v>
      </c>
      <c r="E952" s="2" t="s">
        <v>4104</v>
      </c>
      <c r="F952" s="2" t="b">
        <v>1</v>
      </c>
      <c r="G952" s="2" t="b">
        <v>0</v>
      </c>
      <c r="H952" s="2" t="s">
        <v>37</v>
      </c>
      <c r="I952" s="2" t="s">
        <v>32</v>
      </c>
      <c r="J952" s="2" t="s">
        <v>3615</v>
      </c>
      <c r="K952" s="2" t="s">
        <v>495</v>
      </c>
      <c r="L952" s="13" t="s">
        <v>496</v>
      </c>
      <c r="M952" s="2" t="s">
        <v>26</v>
      </c>
      <c r="N952" s="11" t="s">
        <v>576</v>
      </c>
      <c r="O952" s="12" t="s">
        <v>53</v>
      </c>
      <c r="P952" s="5" t="str">
        <f>IFERROR(__xludf.DUMMYFUNCTION("TEXTJOIN("" | "",TRUE,IF(OR(D952="""",E952="""",I952="""",J952="""",H952=""""),""ফাঁকা ঘর"",""""),IF(AND(C952&lt;&gt;"""",D952&lt;&gt;"""",C952=D952),""gloss=figurative"",""""),IF(LEN(D952)&lt;15,""figurative ছোট"",""""),IF(AND(I952=""Positive"",REGEXMATCH(H952,""মূর্খ|"&amp;"ভণ্ড|প্রতার|অলস|লোভ|স্বার্থ|অক্ষম|অযোগ্য|বোকা|কৃপণ|হিংস"")),""valence-target অমিল"",""""),IF(COUNTIF($B:$B,B952)&gt;1,""ডুপ্লিকেট"",""""))"),"figurative ছোট")</f>
        <v>figurative ছোট</v>
      </c>
      <c r="Q952" s="5" t="str">
        <f t="shared" si="1"/>
        <v>১ আগে দেখো</v>
      </c>
    </row>
    <row r="953">
      <c r="A953" s="4">
        <v>6411.0</v>
      </c>
      <c r="B953" s="2" t="s">
        <v>4105</v>
      </c>
      <c r="C953" s="2" t="s">
        <v>4106</v>
      </c>
      <c r="D953" s="2" t="s">
        <v>447</v>
      </c>
      <c r="E953" s="2" t="s">
        <v>4107</v>
      </c>
      <c r="F953" s="2" t="b">
        <v>1</v>
      </c>
      <c r="G953" s="2" t="b">
        <v>0</v>
      </c>
      <c r="H953" s="2" t="s">
        <v>37</v>
      </c>
      <c r="I953" s="2" t="s">
        <v>49</v>
      </c>
      <c r="J953" s="2" t="s">
        <v>447</v>
      </c>
      <c r="K953" s="2" t="s">
        <v>495</v>
      </c>
      <c r="L953" s="13" t="s">
        <v>496</v>
      </c>
      <c r="M953" s="2" t="s">
        <v>26</v>
      </c>
      <c r="N953" s="11" t="s">
        <v>576</v>
      </c>
      <c r="O953" s="12" t="s">
        <v>53</v>
      </c>
      <c r="P953" s="5" t="str">
        <f>IFERROR(__xludf.DUMMYFUNCTION("TEXTJOIN("" | "",TRUE,IF(OR(D953="""",E953="""",I953="""",J953="""",H953=""""),""ফাঁকা ঘর"",""""),IF(AND(C953&lt;&gt;"""",D953&lt;&gt;"""",C953=D953),""gloss=figurative"",""""),IF(LEN(D953)&lt;15,""figurative ছোট"",""""),IF(AND(I953=""Positive"",REGEXMATCH(H953,""মূর্খ|"&amp;"ভণ্ড|প্রতার|অলস|লোভ|স্বার্থ|অক্ষম|অযোগ্য|বোকা|কৃপণ|হিংস"")),""valence-target অমিল"",""""),IF(COUNTIF($B:$B,B953)&gt;1,""ডুপ্লিকেট"",""""))"),"figurative ছোট")</f>
        <v>figurative ছোট</v>
      </c>
      <c r="Q953" s="5" t="str">
        <f t="shared" si="1"/>
        <v>১ আগে দেখো</v>
      </c>
    </row>
    <row r="954">
      <c r="A954" s="4">
        <v>6412.0</v>
      </c>
      <c r="B954" s="2" t="s">
        <v>4108</v>
      </c>
      <c r="C954" s="2" t="s">
        <v>4109</v>
      </c>
      <c r="D954" s="2" t="s">
        <v>4110</v>
      </c>
      <c r="E954" s="2" t="s">
        <v>4111</v>
      </c>
      <c r="F954" s="2" t="b">
        <v>1</v>
      </c>
      <c r="G954" s="2" t="b">
        <v>0</v>
      </c>
      <c r="H954" s="2" t="s">
        <v>37</v>
      </c>
      <c r="I954" s="2" t="s">
        <v>49</v>
      </c>
      <c r="J954" s="2" t="s">
        <v>4112</v>
      </c>
      <c r="K954" s="2" t="s">
        <v>495</v>
      </c>
      <c r="L954" s="13" t="s">
        <v>496</v>
      </c>
      <c r="M954" s="2" t="s">
        <v>26</v>
      </c>
      <c r="N954" s="11" t="s">
        <v>576</v>
      </c>
      <c r="O954" s="12" t="s">
        <v>53</v>
      </c>
      <c r="P954" s="5" t="str">
        <f>IFERROR(__xludf.DUMMYFUNCTION("TEXTJOIN("" | "",TRUE,IF(OR(D954="""",E954="""",I954="""",J954="""",H954=""""),""ফাঁকা ঘর"",""""),IF(AND(C954&lt;&gt;"""",D954&lt;&gt;"""",C954=D954),""gloss=figurative"",""""),IF(LEN(D954)&lt;15,""figurative ছোট"",""""),IF(AND(I954=""Positive"",REGEXMATCH(H954,""মূর্খ|"&amp;"ভণ্ড|প্রতার|অলস|লোভ|স্বার্থ|অক্ষম|অযোগ্য|বোকা|কৃপণ|হিংস"")),""valence-target অমিল"",""""),IF(COUNTIF($B:$B,B954)&gt;1,""ডুপ্লিকেট"",""""))"),"figurative ছোট")</f>
        <v>figurative ছোট</v>
      </c>
      <c r="Q954" s="5" t="str">
        <f t="shared" si="1"/>
        <v>১ আগে দেখো</v>
      </c>
    </row>
    <row r="955">
      <c r="A955" s="4">
        <v>6413.0</v>
      </c>
      <c r="B955" s="2" t="s">
        <v>4113</v>
      </c>
      <c r="C955" s="2" t="s">
        <v>4114</v>
      </c>
      <c r="D955" s="2" t="s">
        <v>4115</v>
      </c>
      <c r="E955" s="2" t="s">
        <v>4116</v>
      </c>
      <c r="F955" s="2" t="b">
        <v>1</v>
      </c>
      <c r="G955" s="2" t="b">
        <v>0</v>
      </c>
      <c r="H955" s="2" t="s">
        <v>37</v>
      </c>
      <c r="I955" s="2" t="s">
        <v>22</v>
      </c>
      <c r="J955" s="2" t="s">
        <v>1244</v>
      </c>
      <c r="K955" s="2" t="s">
        <v>495</v>
      </c>
      <c r="L955" s="13" t="s">
        <v>496</v>
      </c>
      <c r="M955" s="2" t="s">
        <v>26</v>
      </c>
      <c r="N955" s="11" t="s">
        <v>576</v>
      </c>
      <c r="O955" s="12" t="s">
        <v>53</v>
      </c>
      <c r="P955" s="5" t="str">
        <f>IFERROR(__xludf.DUMMYFUNCTION("TEXTJOIN("" | "",TRUE,IF(OR(D955="""",E955="""",I955="""",J955="""",H955=""""),""ফাঁকা ঘর"",""""),IF(AND(C955&lt;&gt;"""",D955&lt;&gt;"""",C955=D955),""gloss=figurative"",""""),IF(LEN(D955)&lt;15,""figurative ছোট"",""""),IF(AND(I955=""Positive"",REGEXMATCH(H955,""মূর্খ|"&amp;"ভণ্ড|প্রতার|অলস|লোভ|স্বার্থ|অক্ষম|অযোগ্য|বোকা|কৃপণ|হিংস"")),""valence-target অমিল"",""""),IF(COUNTIF($B:$B,B955)&gt;1,""ডুপ্লিকেট"",""""))"),"figurative ছোট")</f>
        <v>figurative ছোট</v>
      </c>
      <c r="Q955" s="5" t="str">
        <f t="shared" si="1"/>
        <v>১ আগে দেখো</v>
      </c>
    </row>
    <row r="956">
      <c r="A956" s="4">
        <v>6414.0</v>
      </c>
      <c r="B956" s="2" t="s">
        <v>4117</v>
      </c>
      <c r="C956" s="2" t="s">
        <v>4118</v>
      </c>
      <c r="D956" s="2" t="s">
        <v>2557</v>
      </c>
      <c r="E956" s="2" t="s">
        <v>4119</v>
      </c>
      <c r="F956" s="2" t="b">
        <v>1</v>
      </c>
      <c r="G956" s="2" t="b">
        <v>0</v>
      </c>
      <c r="H956" s="2" t="s">
        <v>37</v>
      </c>
      <c r="I956" s="2" t="s">
        <v>32</v>
      </c>
      <c r="J956" s="2" t="s">
        <v>1060</v>
      </c>
      <c r="K956" s="2" t="s">
        <v>495</v>
      </c>
      <c r="L956" s="13" t="s">
        <v>496</v>
      </c>
      <c r="M956" s="2" t="s">
        <v>26</v>
      </c>
      <c r="N956" s="11" t="s">
        <v>576</v>
      </c>
      <c r="O956" s="12" t="s">
        <v>53</v>
      </c>
      <c r="P956" s="5" t="str">
        <f>IFERROR(__xludf.DUMMYFUNCTION("TEXTJOIN("" | "",TRUE,IF(OR(D956="""",E956="""",I956="""",J956="""",H956=""""),""ফাঁকা ঘর"",""""),IF(AND(C956&lt;&gt;"""",D956&lt;&gt;"""",C956=D956),""gloss=figurative"",""""),IF(LEN(D956)&lt;15,""figurative ছোট"",""""),IF(AND(I956=""Positive"",REGEXMATCH(H956,""মূর্খ|"&amp;"ভণ্ড|প্রতার|অলস|লোভ|স্বার্থ|অক্ষম|অযোগ্য|বোকা|কৃপণ|হিংস"")),""valence-target অমিল"",""""),IF(COUNTIF($B:$B,B956)&gt;1,""ডুপ্লিকেট"",""""))"),"figurative ছোট")</f>
        <v>figurative ছোট</v>
      </c>
      <c r="Q956" s="5" t="str">
        <f t="shared" si="1"/>
        <v>১ আগে দেখো</v>
      </c>
    </row>
    <row r="957">
      <c r="A957" s="4">
        <v>6415.0</v>
      </c>
      <c r="B957" s="2" t="s">
        <v>4120</v>
      </c>
      <c r="C957" s="2" t="s">
        <v>4121</v>
      </c>
      <c r="D957" s="2" t="s">
        <v>739</v>
      </c>
      <c r="E957" s="2" t="s">
        <v>4122</v>
      </c>
      <c r="F957" s="2" t="b">
        <v>1</v>
      </c>
      <c r="G957" s="2" t="b">
        <v>0</v>
      </c>
      <c r="H957" s="2" t="s">
        <v>37</v>
      </c>
      <c r="I957" s="2" t="s">
        <v>32</v>
      </c>
      <c r="J957" s="2" t="s">
        <v>739</v>
      </c>
      <c r="K957" s="2" t="s">
        <v>495</v>
      </c>
      <c r="L957" s="13" t="s">
        <v>496</v>
      </c>
      <c r="M957" s="2" t="s">
        <v>26</v>
      </c>
      <c r="N957" s="11" t="s">
        <v>576</v>
      </c>
      <c r="O957" s="12" t="s">
        <v>53</v>
      </c>
      <c r="P957" s="5" t="str">
        <f>IFERROR(__xludf.DUMMYFUNCTION("TEXTJOIN("" | "",TRUE,IF(OR(D957="""",E957="""",I957="""",J957="""",H957=""""),""ফাঁকা ঘর"",""""),IF(AND(C957&lt;&gt;"""",D957&lt;&gt;"""",C957=D957),""gloss=figurative"",""""),IF(LEN(D957)&lt;15,""figurative ছোট"",""""),IF(AND(I957=""Positive"",REGEXMATCH(H957,""মূর্খ|"&amp;"ভণ্ড|প্রতার|অলস|লোভ|স্বার্থ|অক্ষম|অযোগ্য|বোকা|কৃপণ|হিংস"")),""valence-target অমিল"",""""),IF(COUNTIF($B:$B,B957)&gt;1,""ডুপ্লিকেট"",""""))"),"figurative ছোট")</f>
        <v>figurative ছোট</v>
      </c>
      <c r="Q957" s="5" t="str">
        <f t="shared" si="1"/>
        <v>১ আগে দেখো</v>
      </c>
    </row>
    <row r="958">
      <c r="A958" s="4">
        <v>6416.0</v>
      </c>
      <c r="B958" s="2" t="s">
        <v>4123</v>
      </c>
      <c r="C958" s="2" t="s">
        <v>4124</v>
      </c>
      <c r="D958" s="2" t="s">
        <v>2165</v>
      </c>
      <c r="E958" s="2" t="s">
        <v>4125</v>
      </c>
      <c r="F958" s="2" t="b">
        <v>1</v>
      </c>
      <c r="G958" s="2" t="b">
        <v>0</v>
      </c>
      <c r="H958" s="2" t="s">
        <v>37</v>
      </c>
      <c r="I958" s="2" t="s">
        <v>49</v>
      </c>
      <c r="J958" s="2" t="s">
        <v>2165</v>
      </c>
      <c r="K958" s="2" t="s">
        <v>495</v>
      </c>
      <c r="L958" s="13" t="s">
        <v>496</v>
      </c>
      <c r="M958" s="2" t="s">
        <v>26</v>
      </c>
      <c r="N958" s="11" t="s">
        <v>576</v>
      </c>
      <c r="O958" s="12" t="s">
        <v>53</v>
      </c>
      <c r="P958" s="5" t="str">
        <f>IFERROR(__xludf.DUMMYFUNCTION("TEXTJOIN("" | "",TRUE,IF(OR(D958="""",E958="""",I958="""",J958="""",H958=""""),""ফাঁকা ঘর"",""""),IF(AND(C958&lt;&gt;"""",D958&lt;&gt;"""",C958=D958),""gloss=figurative"",""""),IF(LEN(D958)&lt;15,""figurative ছোট"",""""),IF(AND(I958=""Positive"",REGEXMATCH(H958,""মূর্খ|"&amp;"ভণ্ড|প্রতার|অলস|লোভ|স্বার্থ|অক্ষম|অযোগ্য|বোকা|কৃপণ|হিংস"")),""valence-target অমিল"",""""),IF(COUNTIF($B:$B,B958)&gt;1,""ডুপ্লিকেট"",""""))"),"figurative ছোট")</f>
        <v>figurative ছোট</v>
      </c>
      <c r="Q958" s="5" t="str">
        <f t="shared" si="1"/>
        <v>১ আগে দেখো</v>
      </c>
    </row>
    <row r="959">
      <c r="A959" s="4">
        <v>6417.0</v>
      </c>
      <c r="B959" s="2" t="s">
        <v>4126</v>
      </c>
      <c r="C959" s="2" t="s">
        <v>4127</v>
      </c>
      <c r="D959" s="2" t="s">
        <v>1635</v>
      </c>
      <c r="E959" s="2" t="s">
        <v>4128</v>
      </c>
      <c r="F959" s="2" t="b">
        <v>1</v>
      </c>
      <c r="G959" s="2" t="b">
        <v>0</v>
      </c>
      <c r="H959" s="2" t="s">
        <v>37</v>
      </c>
      <c r="I959" s="2" t="s">
        <v>32</v>
      </c>
      <c r="J959" s="2" t="s">
        <v>1454</v>
      </c>
      <c r="K959" s="2" t="s">
        <v>495</v>
      </c>
      <c r="L959" s="13" t="s">
        <v>496</v>
      </c>
      <c r="M959" s="2" t="s">
        <v>26</v>
      </c>
      <c r="N959" s="11" t="s">
        <v>576</v>
      </c>
      <c r="O959" s="12" t="s">
        <v>53</v>
      </c>
      <c r="P959" s="5" t="str">
        <f>IFERROR(__xludf.DUMMYFUNCTION("TEXTJOIN("" | "",TRUE,IF(OR(D959="""",E959="""",I959="""",J959="""",H959=""""),""ফাঁকা ঘর"",""""),IF(AND(C959&lt;&gt;"""",D959&lt;&gt;"""",C959=D959),""gloss=figurative"",""""),IF(LEN(D959)&lt;15,""figurative ছোট"",""""),IF(AND(I959=""Positive"",REGEXMATCH(H959,""মূর্খ|"&amp;"ভণ্ড|প্রতার|অলস|লোভ|স্বার্থ|অক্ষম|অযোগ্য|বোকা|কৃপণ|হিংস"")),""valence-target অমিল"",""""),IF(COUNTIF($B:$B,B959)&gt;1,""ডুপ্লিকেট"",""""))"),"figurative ছোট")</f>
        <v>figurative ছোট</v>
      </c>
      <c r="Q959" s="5" t="str">
        <f t="shared" si="1"/>
        <v>১ আগে দেখো</v>
      </c>
    </row>
    <row r="960">
      <c r="A960" s="4">
        <v>6418.0</v>
      </c>
      <c r="B960" s="2" t="s">
        <v>4129</v>
      </c>
      <c r="C960" s="2" t="s">
        <v>4130</v>
      </c>
      <c r="D960" s="2" t="s">
        <v>1454</v>
      </c>
      <c r="E960" s="2" t="s">
        <v>4131</v>
      </c>
      <c r="F960" s="2" t="b">
        <v>1</v>
      </c>
      <c r="G960" s="2" t="b">
        <v>0</v>
      </c>
      <c r="H960" s="2" t="s">
        <v>37</v>
      </c>
      <c r="I960" s="2" t="s">
        <v>49</v>
      </c>
      <c r="J960" s="2" t="s">
        <v>1454</v>
      </c>
      <c r="K960" s="2" t="s">
        <v>495</v>
      </c>
      <c r="L960" s="13" t="s">
        <v>496</v>
      </c>
      <c r="M960" s="2" t="s">
        <v>26</v>
      </c>
      <c r="N960" s="11" t="s">
        <v>576</v>
      </c>
      <c r="O960" s="12" t="s">
        <v>53</v>
      </c>
      <c r="P960" s="5" t="str">
        <f>IFERROR(__xludf.DUMMYFUNCTION("TEXTJOIN("" | "",TRUE,IF(OR(D960="""",E960="""",I960="""",J960="""",H960=""""),""ফাঁকা ঘর"",""""),IF(AND(C960&lt;&gt;"""",D960&lt;&gt;"""",C960=D960),""gloss=figurative"",""""),IF(LEN(D960)&lt;15,""figurative ছোট"",""""),IF(AND(I960=""Positive"",REGEXMATCH(H960,""মূর্খ|"&amp;"ভণ্ড|প্রতার|অলস|লোভ|স্বার্থ|অক্ষম|অযোগ্য|বোকা|কৃপণ|হিংস"")),""valence-target অমিল"",""""),IF(COUNTIF($B:$B,B960)&gt;1,""ডুপ্লিকেট"",""""))"),"figurative ছোট")</f>
        <v>figurative ছোট</v>
      </c>
      <c r="Q960" s="5" t="str">
        <f t="shared" si="1"/>
        <v>১ আগে দেখো</v>
      </c>
    </row>
    <row r="961">
      <c r="A961" s="4">
        <v>6419.0</v>
      </c>
      <c r="B961" s="2" t="s">
        <v>4132</v>
      </c>
      <c r="C961" s="2" t="s">
        <v>4133</v>
      </c>
      <c r="D961" s="2" t="s">
        <v>447</v>
      </c>
      <c r="E961" s="2" t="s">
        <v>4134</v>
      </c>
      <c r="F961" s="2" t="b">
        <v>1</v>
      </c>
      <c r="G961" s="2" t="b">
        <v>0</v>
      </c>
      <c r="H961" s="2" t="s">
        <v>37</v>
      </c>
      <c r="I961" s="2" t="s">
        <v>32</v>
      </c>
      <c r="J961" s="2" t="s">
        <v>669</v>
      </c>
      <c r="K961" s="2" t="s">
        <v>495</v>
      </c>
      <c r="L961" s="13" t="s">
        <v>496</v>
      </c>
      <c r="M961" s="2" t="s">
        <v>26</v>
      </c>
      <c r="N961" s="11" t="s">
        <v>576</v>
      </c>
      <c r="O961" s="12" t="s">
        <v>53</v>
      </c>
      <c r="P961" s="5" t="str">
        <f>IFERROR(__xludf.DUMMYFUNCTION("TEXTJOIN("" | "",TRUE,IF(OR(D961="""",E961="""",I961="""",J961="""",H961=""""),""ফাঁকা ঘর"",""""),IF(AND(C961&lt;&gt;"""",D961&lt;&gt;"""",C961=D961),""gloss=figurative"",""""),IF(LEN(D961)&lt;15,""figurative ছোট"",""""),IF(AND(I961=""Positive"",REGEXMATCH(H961,""মূর্খ|"&amp;"ভণ্ড|প্রতার|অলস|লোভ|স্বার্থ|অক্ষম|অযোগ্য|বোকা|কৃপণ|হিংস"")),""valence-target অমিল"",""""),IF(COUNTIF($B:$B,B961)&gt;1,""ডুপ্লিকেট"",""""))"),"figurative ছোট")</f>
        <v>figurative ছোট</v>
      </c>
      <c r="Q961" s="5" t="str">
        <f t="shared" si="1"/>
        <v>১ আগে দেখো</v>
      </c>
    </row>
    <row r="962">
      <c r="A962" s="4">
        <v>6420.0</v>
      </c>
      <c r="B962" s="2" t="s">
        <v>4135</v>
      </c>
      <c r="C962" s="2" t="s">
        <v>4136</v>
      </c>
      <c r="D962" s="2" t="s">
        <v>4137</v>
      </c>
      <c r="E962" s="2" t="s">
        <v>4138</v>
      </c>
      <c r="F962" s="2" t="b">
        <v>1</v>
      </c>
      <c r="G962" s="2" t="b">
        <v>0</v>
      </c>
      <c r="H962" s="2" t="s">
        <v>37</v>
      </c>
      <c r="I962" s="2" t="s">
        <v>49</v>
      </c>
      <c r="J962" s="2" t="s">
        <v>300</v>
      </c>
      <c r="K962" s="2" t="s">
        <v>495</v>
      </c>
      <c r="L962" s="13" t="s">
        <v>496</v>
      </c>
      <c r="M962" s="2" t="s">
        <v>26</v>
      </c>
      <c r="N962" s="11" t="s">
        <v>576</v>
      </c>
      <c r="O962" s="12" t="s">
        <v>53</v>
      </c>
      <c r="P962" s="5" t="str">
        <f>IFERROR(__xludf.DUMMYFUNCTION("TEXTJOIN("" | "",TRUE,IF(OR(D962="""",E962="""",I962="""",J962="""",H962=""""),""ফাঁকা ঘর"",""""),IF(AND(C962&lt;&gt;"""",D962&lt;&gt;"""",C962=D962),""gloss=figurative"",""""),IF(LEN(D962)&lt;15,""figurative ছোট"",""""),IF(AND(I962=""Positive"",REGEXMATCH(H962,""মূর্খ|"&amp;"ভণ্ড|প্রতার|অলস|লোভ|স্বার্থ|অক্ষম|অযোগ্য|বোকা|কৃপণ|হিংস"")),""valence-target অমিল"",""""),IF(COUNTIF($B:$B,B962)&gt;1,""ডুপ্লিকেট"",""""))"),"figurative ছোট")</f>
        <v>figurative ছোট</v>
      </c>
      <c r="Q962" s="5" t="str">
        <f t="shared" si="1"/>
        <v>১ আগে দেখো</v>
      </c>
    </row>
    <row r="963">
      <c r="A963" s="4">
        <v>6422.0</v>
      </c>
      <c r="B963" s="2" t="s">
        <v>4139</v>
      </c>
      <c r="C963" s="2" t="s">
        <v>4139</v>
      </c>
      <c r="D963" s="2" t="s">
        <v>3111</v>
      </c>
      <c r="E963" s="2" t="s">
        <v>4140</v>
      </c>
      <c r="F963" s="2" t="b">
        <v>1</v>
      </c>
      <c r="G963" s="2" t="b">
        <v>0</v>
      </c>
      <c r="H963" s="2" t="s">
        <v>37</v>
      </c>
      <c r="I963" s="2" t="s">
        <v>22</v>
      </c>
      <c r="J963" s="2" t="s">
        <v>3111</v>
      </c>
      <c r="K963" s="2" t="s">
        <v>495</v>
      </c>
      <c r="L963" s="13" t="s">
        <v>496</v>
      </c>
      <c r="M963" s="2" t="s">
        <v>26</v>
      </c>
      <c r="N963" s="11" t="s">
        <v>576</v>
      </c>
      <c r="O963" s="12" t="s">
        <v>53</v>
      </c>
      <c r="P963" s="5" t="str">
        <f>IFERROR(__xludf.DUMMYFUNCTION("TEXTJOIN("" | "",TRUE,IF(OR(D963="""",E963="""",I963="""",J963="""",H963=""""),""ফাঁকা ঘর"",""""),IF(AND(C963&lt;&gt;"""",D963&lt;&gt;"""",C963=D963),""gloss=figurative"",""""),IF(LEN(D963)&lt;15,""figurative ছোট"",""""),IF(AND(I963=""Positive"",REGEXMATCH(H963,""মূর্খ|"&amp;"ভণ্ড|প্রতার|অলস|লোভ|স্বার্থ|অক্ষম|অযোগ্য|বোকা|কৃপণ|হিংস"")),""valence-target অমিল"",""""),IF(COUNTIF($B:$B,B963)&gt;1,""ডুপ্লিকেট"",""""))"),"figurative ছোট")</f>
        <v>figurative ছোট</v>
      </c>
      <c r="Q963" s="5" t="str">
        <f t="shared" si="1"/>
        <v>১ আগে দেখো</v>
      </c>
    </row>
    <row r="964">
      <c r="A964" s="4">
        <v>6423.0</v>
      </c>
      <c r="B964" s="2" t="s">
        <v>4141</v>
      </c>
      <c r="C964" s="2" t="s">
        <v>4141</v>
      </c>
      <c r="D964" s="2" t="s">
        <v>2140</v>
      </c>
      <c r="E964" s="2" t="s">
        <v>4142</v>
      </c>
      <c r="F964" s="2" t="b">
        <v>1</v>
      </c>
      <c r="G964" s="2" t="b">
        <v>0</v>
      </c>
      <c r="H964" s="2" t="s">
        <v>37</v>
      </c>
      <c r="I964" s="2" t="s">
        <v>49</v>
      </c>
      <c r="J964" s="2" t="s">
        <v>2140</v>
      </c>
      <c r="K964" s="2" t="s">
        <v>495</v>
      </c>
      <c r="L964" s="13" t="s">
        <v>496</v>
      </c>
      <c r="M964" s="2" t="s">
        <v>26</v>
      </c>
      <c r="N964" s="11" t="s">
        <v>576</v>
      </c>
      <c r="O964" s="12" t="s">
        <v>53</v>
      </c>
      <c r="P964" s="5" t="str">
        <f>IFERROR(__xludf.DUMMYFUNCTION("TEXTJOIN("" | "",TRUE,IF(OR(D964="""",E964="""",I964="""",J964="""",H964=""""),""ফাঁকা ঘর"",""""),IF(AND(C964&lt;&gt;"""",D964&lt;&gt;"""",C964=D964),""gloss=figurative"",""""),IF(LEN(D964)&lt;15,""figurative ছোট"",""""),IF(AND(I964=""Positive"",REGEXMATCH(H964,""মূর্খ|"&amp;"ভণ্ড|প্রতার|অলস|লোভ|স্বার্থ|অক্ষম|অযোগ্য|বোকা|কৃপণ|হিংস"")),""valence-target অমিল"",""""),IF(COUNTIF($B:$B,B964)&gt;1,""ডুপ্লিকেট"",""""))"),"figurative ছোট")</f>
        <v>figurative ছোট</v>
      </c>
      <c r="Q964" s="5" t="str">
        <f t="shared" si="1"/>
        <v>১ আগে দেখো</v>
      </c>
    </row>
    <row r="965">
      <c r="A965" s="4">
        <v>6424.0</v>
      </c>
      <c r="B965" s="2" t="s">
        <v>4143</v>
      </c>
      <c r="C965" s="2" t="s">
        <v>4144</v>
      </c>
      <c r="D965" s="2" t="s">
        <v>4145</v>
      </c>
      <c r="E965" s="2" t="s">
        <v>4146</v>
      </c>
      <c r="F965" s="2" t="b">
        <v>1</v>
      </c>
      <c r="G965" s="2" t="b">
        <v>0</v>
      </c>
      <c r="H965" s="2" t="s">
        <v>37</v>
      </c>
      <c r="I965" s="2" t="s">
        <v>49</v>
      </c>
      <c r="J965" s="2" t="s">
        <v>2165</v>
      </c>
      <c r="K965" s="2" t="s">
        <v>495</v>
      </c>
      <c r="L965" s="13" t="s">
        <v>496</v>
      </c>
      <c r="M965" s="2" t="s">
        <v>26</v>
      </c>
      <c r="N965" s="11" t="s">
        <v>576</v>
      </c>
      <c r="O965" s="12" t="s">
        <v>53</v>
      </c>
      <c r="P965" s="5" t="str">
        <f>IFERROR(__xludf.DUMMYFUNCTION("TEXTJOIN("" | "",TRUE,IF(OR(D965="""",E965="""",I965="""",J965="""",H965=""""),""ফাঁকা ঘর"",""""),IF(AND(C965&lt;&gt;"""",D965&lt;&gt;"""",C965=D965),""gloss=figurative"",""""),IF(LEN(D965)&lt;15,""figurative ছোট"",""""),IF(AND(I965=""Positive"",REGEXMATCH(H965,""মূর্খ|"&amp;"ভণ্ড|প্রতার|অলস|লোভ|স্বার্থ|অক্ষম|অযোগ্য|বোকা|কৃপণ|হিংস"")),""valence-target অমিল"",""""),IF(COUNTIF($B:$B,B965)&gt;1,""ডুপ্লিকেট"",""""))"),"figurative ছোট")</f>
        <v>figurative ছোট</v>
      </c>
      <c r="Q965" s="5" t="str">
        <f t="shared" si="1"/>
        <v>১ আগে দেখো</v>
      </c>
    </row>
    <row r="966">
      <c r="A966" s="4">
        <v>6425.0</v>
      </c>
      <c r="B966" s="2" t="s">
        <v>4147</v>
      </c>
      <c r="C966" s="2" t="s">
        <v>4148</v>
      </c>
      <c r="D966" s="2" t="s">
        <v>4149</v>
      </c>
      <c r="E966" s="2" t="s">
        <v>4150</v>
      </c>
      <c r="F966" s="2" t="b">
        <v>1</v>
      </c>
      <c r="G966" s="2" t="b">
        <v>0</v>
      </c>
      <c r="H966" s="2" t="s">
        <v>37</v>
      </c>
      <c r="I966" s="2" t="s">
        <v>49</v>
      </c>
      <c r="J966" s="2" t="s">
        <v>2165</v>
      </c>
      <c r="K966" s="2" t="s">
        <v>495</v>
      </c>
      <c r="L966" s="13" t="s">
        <v>496</v>
      </c>
      <c r="M966" s="2" t="s">
        <v>26</v>
      </c>
      <c r="N966" s="11" t="s">
        <v>576</v>
      </c>
      <c r="O966" s="12" t="s">
        <v>53</v>
      </c>
      <c r="P966" s="5" t="str">
        <f>IFERROR(__xludf.DUMMYFUNCTION("TEXTJOIN("" | "",TRUE,IF(OR(D966="""",E966="""",I966="""",J966="""",H966=""""),""ফাঁকা ঘর"",""""),IF(AND(C966&lt;&gt;"""",D966&lt;&gt;"""",C966=D966),""gloss=figurative"",""""),IF(LEN(D966)&lt;15,""figurative ছোট"",""""),IF(AND(I966=""Positive"",REGEXMATCH(H966,""মূর্খ|"&amp;"ভণ্ড|প্রতার|অলস|লোভ|স্বার্থ|অক্ষম|অযোগ্য|বোকা|কৃপণ|হিংস"")),""valence-target অমিল"",""""),IF(COUNTIF($B:$B,B966)&gt;1,""ডুপ্লিকেট"",""""))"),"figurative ছোট")</f>
        <v>figurative ছোট</v>
      </c>
      <c r="Q966" s="5" t="str">
        <f t="shared" si="1"/>
        <v>১ আগে দেখো</v>
      </c>
    </row>
    <row r="967">
      <c r="A967" s="4">
        <v>6427.0</v>
      </c>
      <c r="B967" s="2" t="s">
        <v>4151</v>
      </c>
      <c r="C967" s="2" t="s">
        <v>4151</v>
      </c>
      <c r="D967" s="2" t="s">
        <v>4152</v>
      </c>
      <c r="E967" s="2" t="s">
        <v>4153</v>
      </c>
      <c r="F967" s="2" t="b">
        <v>1</v>
      </c>
      <c r="G967" s="2" t="b">
        <v>0</v>
      </c>
      <c r="H967" s="2" t="s">
        <v>37</v>
      </c>
      <c r="I967" s="2" t="s">
        <v>22</v>
      </c>
      <c r="J967" s="2" t="s">
        <v>2165</v>
      </c>
      <c r="K967" s="2" t="s">
        <v>495</v>
      </c>
      <c r="L967" s="13" t="s">
        <v>496</v>
      </c>
      <c r="M967" s="2" t="s">
        <v>26</v>
      </c>
      <c r="N967" s="11" t="s">
        <v>576</v>
      </c>
      <c r="O967" s="12" t="s">
        <v>53</v>
      </c>
      <c r="P967" s="5" t="str">
        <f>IFERROR(__xludf.DUMMYFUNCTION("TEXTJOIN("" | "",TRUE,IF(OR(D967="""",E967="""",I967="""",J967="""",H967=""""),""ফাঁকা ঘর"",""""),IF(AND(C967&lt;&gt;"""",D967&lt;&gt;"""",C967=D967),""gloss=figurative"",""""),IF(LEN(D967)&lt;15,""figurative ছোট"",""""),IF(AND(I967=""Positive"",REGEXMATCH(H967,""মূর্খ|"&amp;"ভণ্ড|প্রতার|অলস|লোভ|স্বার্থ|অক্ষম|অযোগ্য|বোকা|কৃপণ|হিংস"")),""valence-target অমিল"",""""),IF(COUNTIF($B:$B,B967)&gt;1,""ডুপ্লিকেট"",""""))"),"figurative ছোট")</f>
        <v>figurative ছোট</v>
      </c>
      <c r="Q967" s="5" t="str">
        <f t="shared" si="1"/>
        <v>১ আগে দেখো</v>
      </c>
    </row>
    <row r="968">
      <c r="A968" s="4">
        <v>6428.0</v>
      </c>
      <c r="B968" s="2" t="s">
        <v>4154</v>
      </c>
      <c r="C968" s="2" t="s">
        <v>4154</v>
      </c>
      <c r="D968" s="2" t="s">
        <v>4155</v>
      </c>
      <c r="E968" s="2" t="s">
        <v>4156</v>
      </c>
      <c r="F968" s="2" t="b">
        <v>1</v>
      </c>
      <c r="G968" s="2" t="b">
        <v>0</v>
      </c>
      <c r="H968" s="2" t="s">
        <v>37</v>
      </c>
      <c r="I968" s="2" t="s">
        <v>22</v>
      </c>
      <c r="J968" s="2" t="s">
        <v>1765</v>
      </c>
      <c r="K968" s="2" t="s">
        <v>495</v>
      </c>
      <c r="L968" s="13" t="s">
        <v>496</v>
      </c>
      <c r="M968" s="2" t="s">
        <v>26</v>
      </c>
      <c r="N968" s="11" t="s">
        <v>576</v>
      </c>
      <c r="O968" s="12" t="s">
        <v>53</v>
      </c>
      <c r="P968" s="5" t="str">
        <f>IFERROR(__xludf.DUMMYFUNCTION("TEXTJOIN("" | "",TRUE,IF(OR(D968="""",E968="""",I968="""",J968="""",H968=""""),""ফাঁকা ঘর"",""""),IF(AND(C968&lt;&gt;"""",D968&lt;&gt;"""",C968=D968),""gloss=figurative"",""""),IF(LEN(D968)&lt;15,""figurative ছোট"",""""),IF(AND(I968=""Positive"",REGEXMATCH(H968,""মূর্খ|"&amp;"ভণ্ড|প্রতার|অলস|লোভ|স্বার্থ|অক্ষম|অযোগ্য|বোকা|কৃপণ|হিংস"")),""valence-target অমিল"",""""),IF(COUNTIF($B:$B,B968)&gt;1,""ডুপ্লিকেট"",""""))"),"figurative ছোট")</f>
        <v>figurative ছোট</v>
      </c>
      <c r="Q968" s="5" t="str">
        <f t="shared" si="1"/>
        <v>১ আগে দেখো</v>
      </c>
    </row>
    <row r="969">
      <c r="A969" s="4">
        <v>6429.0</v>
      </c>
      <c r="B969" s="2" t="s">
        <v>4157</v>
      </c>
      <c r="C969" s="2" t="s">
        <v>4157</v>
      </c>
      <c r="D969" s="2" t="s">
        <v>4158</v>
      </c>
      <c r="E969" s="2" t="s">
        <v>4159</v>
      </c>
      <c r="F969" s="2" t="b">
        <v>1</v>
      </c>
      <c r="G969" s="2" t="b">
        <v>1</v>
      </c>
      <c r="H969" s="2" t="s">
        <v>1211</v>
      </c>
      <c r="I969" s="2" t="s">
        <v>22</v>
      </c>
      <c r="J969" s="2" t="s">
        <v>1315</v>
      </c>
      <c r="K969" s="2" t="s">
        <v>495</v>
      </c>
      <c r="L969" s="13" t="s">
        <v>496</v>
      </c>
      <c r="M969" s="2" t="s">
        <v>26</v>
      </c>
      <c r="N969" s="11" t="s">
        <v>576</v>
      </c>
      <c r="O969" s="12" t="s">
        <v>53</v>
      </c>
      <c r="P969" s="5" t="str">
        <f>IFERROR(__xludf.DUMMYFUNCTION("TEXTJOIN("" | "",TRUE,IF(OR(D969="""",E969="""",I969="""",J969="""",H969=""""),""ফাঁকা ঘর"",""""),IF(AND(C969&lt;&gt;"""",D969&lt;&gt;"""",C969=D969),""gloss=figurative"",""""),IF(LEN(D969)&lt;15,""figurative ছোট"",""""),IF(AND(I969=""Positive"",REGEXMATCH(H969,""মূর্খ|"&amp;"ভণ্ড|প্রতার|অলস|লোভ|স্বার্থ|অক্ষম|অযোগ্য|বোকা|কৃপণ|হিংস"")),""valence-target অমিল"",""""),IF(COUNTIF($B:$B,B969)&gt;1,""ডুপ্লিকেট"",""""))"),"figurative ছোট")</f>
        <v>figurative ছোট</v>
      </c>
      <c r="Q969" s="5" t="str">
        <f t="shared" si="1"/>
        <v>১ আগে দেখো</v>
      </c>
    </row>
    <row r="970">
      <c r="A970" s="4">
        <v>6430.0</v>
      </c>
      <c r="B970" s="2" t="s">
        <v>4160</v>
      </c>
      <c r="C970" s="2" t="s">
        <v>4161</v>
      </c>
      <c r="D970" s="2" t="s">
        <v>565</v>
      </c>
      <c r="E970" s="2" t="s">
        <v>4162</v>
      </c>
      <c r="F970" s="2" t="b">
        <v>1</v>
      </c>
      <c r="G970" s="2" t="b">
        <v>0</v>
      </c>
      <c r="H970" s="2" t="s">
        <v>37</v>
      </c>
      <c r="I970" s="2" t="s">
        <v>49</v>
      </c>
      <c r="J970" s="2" t="s">
        <v>565</v>
      </c>
      <c r="K970" s="2" t="s">
        <v>495</v>
      </c>
      <c r="L970" s="13" t="s">
        <v>496</v>
      </c>
      <c r="M970" s="2" t="s">
        <v>26</v>
      </c>
      <c r="N970" s="11" t="s">
        <v>576</v>
      </c>
      <c r="O970" s="12" t="s">
        <v>53</v>
      </c>
      <c r="P970" s="5" t="str">
        <f>IFERROR(__xludf.DUMMYFUNCTION("TEXTJOIN("" | "",TRUE,IF(OR(D970="""",E970="""",I970="""",J970="""",H970=""""),""ফাঁকা ঘর"",""""),IF(AND(C970&lt;&gt;"""",D970&lt;&gt;"""",C970=D970),""gloss=figurative"",""""),IF(LEN(D970)&lt;15,""figurative ছোট"",""""),IF(AND(I970=""Positive"",REGEXMATCH(H970,""মূর্খ|"&amp;"ভণ্ড|প্রতার|অলস|লোভ|স্বার্থ|অক্ষম|অযোগ্য|বোকা|কৃপণ|হিংস"")),""valence-target অমিল"",""""),IF(COUNTIF($B:$B,B970)&gt;1,""ডুপ্লিকেট"",""""))"),"figurative ছোট")</f>
        <v>figurative ছোট</v>
      </c>
      <c r="Q970" s="5" t="str">
        <f t="shared" si="1"/>
        <v>১ আগে দেখো</v>
      </c>
    </row>
    <row r="971">
      <c r="A971" s="4">
        <v>6432.0</v>
      </c>
      <c r="B971" s="2" t="s">
        <v>4163</v>
      </c>
      <c r="C971" s="2" t="s">
        <v>4164</v>
      </c>
      <c r="D971" s="2" t="s">
        <v>4165</v>
      </c>
      <c r="E971" s="2" t="s">
        <v>4166</v>
      </c>
      <c r="F971" s="2" t="b">
        <v>1</v>
      </c>
      <c r="G971" s="2" t="b">
        <v>1</v>
      </c>
      <c r="H971" s="2" t="s">
        <v>1211</v>
      </c>
      <c r="I971" s="2" t="s">
        <v>32</v>
      </c>
      <c r="J971" s="2" t="s">
        <v>3327</v>
      </c>
      <c r="K971" s="2" t="s">
        <v>495</v>
      </c>
      <c r="L971" s="13" t="s">
        <v>496</v>
      </c>
      <c r="M971" s="2" t="s">
        <v>26</v>
      </c>
      <c r="N971" s="11" t="s">
        <v>576</v>
      </c>
      <c r="O971" s="12" t="s">
        <v>53</v>
      </c>
      <c r="P971" s="5" t="str">
        <f>IFERROR(__xludf.DUMMYFUNCTION("TEXTJOIN("" | "",TRUE,IF(OR(D971="""",E971="""",I971="""",J971="""",H971=""""),""ফাঁকা ঘর"",""""),IF(AND(C971&lt;&gt;"""",D971&lt;&gt;"""",C971=D971),""gloss=figurative"",""""),IF(LEN(D971)&lt;15,""figurative ছোট"",""""),IF(AND(I971=""Positive"",REGEXMATCH(H971,""মূর্খ|"&amp;"ভণ্ড|প্রতার|অলস|লোভ|স্বার্থ|অক্ষম|অযোগ্য|বোকা|কৃপণ|হিংস"")),""valence-target অমিল"",""""),IF(COUNTIF($B:$B,B971)&gt;1,""ডুপ্লিকেট"",""""))"),"figurative ছোট")</f>
        <v>figurative ছোট</v>
      </c>
      <c r="Q971" s="5" t="str">
        <f t="shared" si="1"/>
        <v>১ আগে দেখো</v>
      </c>
    </row>
    <row r="972">
      <c r="A972" s="4">
        <v>6433.0</v>
      </c>
      <c r="B972" s="2" t="s">
        <v>4167</v>
      </c>
      <c r="C972" s="2" t="s">
        <v>4168</v>
      </c>
      <c r="D972" s="2" t="s">
        <v>4169</v>
      </c>
      <c r="E972" s="2" t="s">
        <v>4170</v>
      </c>
      <c r="F972" s="2" t="b">
        <v>1</v>
      </c>
      <c r="G972" s="2" t="b">
        <v>1</v>
      </c>
      <c r="H972" s="2" t="s">
        <v>1211</v>
      </c>
      <c r="I972" s="2" t="s">
        <v>22</v>
      </c>
      <c r="J972" s="2" t="s">
        <v>1315</v>
      </c>
      <c r="K972" s="2" t="s">
        <v>495</v>
      </c>
      <c r="L972" s="13" t="s">
        <v>496</v>
      </c>
      <c r="M972" s="2" t="s">
        <v>26</v>
      </c>
      <c r="N972" s="11" t="s">
        <v>576</v>
      </c>
      <c r="O972" s="12" t="s">
        <v>53</v>
      </c>
      <c r="P972" s="5" t="str">
        <f>IFERROR(__xludf.DUMMYFUNCTION("TEXTJOIN("" | "",TRUE,IF(OR(D972="""",E972="""",I972="""",J972="""",H972=""""),""ফাঁকা ঘর"",""""),IF(AND(C972&lt;&gt;"""",D972&lt;&gt;"""",C972=D972),""gloss=figurative"",""""),IF(LEN(D972)&lt;15,""figurative ছোট"",""""),IF(AND(I972=""Positive"",REGEXMATCH(H972,""মূর্খ|"&amp;"ভণ্ড|প্রতার|অলস|লোভ|স্বার্থ|অক্ষম|অযোগ্য|বোকা|কৃপণ|হিংস"")),""valence-target অমিল"",""""),IF(COUNTIF($B:$B,B972)&gt;1,""ডুপ্লিকেট"",""""))"),"figurative ছোট")</f>
        <v>figurative ছোট</v>
      </c>
      <c r="Q972" s="5" t="str">
        <f t="shared" si="1"/>
        <v>১ আগে দেখো</v>
      </c>
    </row>
    <row r="973">
      <c r="A973" s="4">
        <v>6434.0</v>
      </c>
      <c r="B973" s="2" t="s">
        <v>4171</v>
      </c>
      <c r="C973" s="2" t="s">
        <v>4172</v>
      </c>
      <c r="D973" s="2" t="s">
        <v>4173</v>
      </c>
      <c r="E973" s="2" t="s">
        <v>4174</v>
      </c>
      <c r="F973" s="2" t="b">
        <v>1</v>
      </c>
      <c r="G973" s="2" t="b">
        <v>1</v>
      </c>
      <c r="H973" s="2" t="s">
        <v>1211</v>
      </c>
      <c r="I973" s="2" t="s">
        <v>49</v>
      </c>
      <c r="J973" s="2" t="s">
        <v>340</v>
      </c>
      <c r="K973" s="2" t="s">
        <v>495</v>
      </c>
      <c r="L973" s="13" t="s">
        <v>496</v>
      </c>
      <c r="M973" s="2" t="s">
        <v>26</v>
      </c>
      <c r="N973" s="11" t="s">
        <v>576</v>
      </c>
      <c r="O973" s="12" t="s">
        <v>53</v>
      </c>
      <c r="P973" s="5" t="str">
        <f>IFERROR(__xludf.DUMMYFUNCTION("TEXTJOIN("" | "",TRUE,IF(OR(D973="""",E973="""",I973="""",J973="""",H973=""""),""ফাঁকা ঘর"",""""),IF(AND(C973&lt;&gt;"""",D973&lt;&gt;"""",C973=D973),""gloss=figurative"",""""),IF(LEN(D973)&lt;15,""figurative ছোট"",""""),IF(AND(I973=""Positive"",REGEXMATCH(H973,""মূর্খ|"&amp;"ভণ্ড|প্রতার|অলস|লোভ|স্বার্থ|অক্ষম|অযোগ্য|বোকা|কৃপণ|হিংস"")),""valence-target অমিল"",""""),IF(COUNTIF($B:$B,B973)&gt;1,""ডুপ্লিকেট"",""""))"),"figurative ছোট")</f>
        <v>figurative ছোট</v>
      </c>
      <c r="Q973" s="5" t="str">
        <f t="shared" si="1"/>
        <v>১ আগে দেখো</v>
      </c>
    </row>
    <row r="974">
      <c r="A974" s="4">
        <v>6435.0</v>
      </c>
      <c r="B974" s="2" t="s">
        <v>4175</v>
      </c>
      <c r="C974" s="2" t="s">
        <v>4176</v>
      </c>
      <c r="D974" s="2" t="s">
        <v>4177</v>
      </c>
      <c r="E974" s="2" t="s">
        <v>4178</v>
      </c>
      <c r="F974" s="2" t="b">
        <v>1</v>
      </c>
      <c r="G974" s="2" t="b">
        <v>0</v>
      </c>
      <c r="H974" s="2" t="s">
        <v>37</v>
      </c>
      <c r="I974" s="2" t="s">
        <v>22</v>
      </c>
      <c r="J974" s="2" t="s">
        <v>990</v>
      </c>
      <c r="K974" s="2" t="s">
        <v>495</v>
      </c>
      <c r="L974" s="13" t="s">
        <v>496</v>
      </c>
      <c r="M974" s="2" t="s">
        <v>26</v>
      </c>
      <c r="N974" s="11" t="s">
        <v>576</v>
      </c>
      <c r="O974" s="12" t="s">
        <v>53</v>
      </c>
      <c r="P974" s="5" t="str">
        <f>IFERROR(__xludf.DUMMYFUNCTION("TEXTJOIN("" | "",TRUE,IF(OR(D974="""",E974="""",I974="""",J974="""",H974=""""),""ফাঁকা ঘর"",""""),IF(AND(C974&lt;&gt;"""",D974&lt;&gt;"""",C974=D974),""gloss=figurative"",""""),IF(LEN(D974)&lt;15,""figurative ছোট"",""""),IF(AND(I974=""Positive"",REGEXMATCH(H974,""মূর্খ|"&amp;"ভণ্ড|প্রতার|অলস|লোভ|স্বার্থ|অক্ষম|অযোগ্য|বোকা|কৃপণ|হিংস"")),""valence-target অমিল"",""""),IF(COUNTIF($B:$B,B974)&gt;1,""ডুপ্লিকেট"",""""))"),"figurative ছোট")</f>
        <v>figurative ছোট</v>
      </c>
      <c r="Q974" s="5" t="str">
        <f t="shared" si="1"/>
        <v>১ আগে দেখো</v>
      </c>
    </row>
    <row r="975">
      <c r="A975" s="4">
        <v>6436.0</v>
      </c>
      <c r="B975" s="2" t="s">
        <v>4179</v>
      </c>
      <c r="C975" s="2" t="s">
        <v>4180</v>
      </c>
      <c r="D975" s="2" t="s">
        <v>771</v>
      </c>
      <c r="E975" s="2" t="s">
        <v>4181</v>
      </c>
      <c r="F975" s="2" t="b">
        <v>1</v>
      </c>
      <c r="G975" s="2" t="b">
        <v>0</v>
      </c>
      <c r="H975" s="2" t="s">
        <v>37</v>
      </c>
      <c r="I975" s="2" t="s">
        <v>22</v>
      </c>
      <c r="J975" s="2" t="s">
        <v>947</v>
      </c>
      <c r="K975" s="2" t="s">
        <v>495</v>
      </c>
      <c r="L975" s="13" t="s">
        <v>496</v>
      </c>
      <c r="M975" s="2" t="s">
        <v>26</v>
      </c>
      <c r="N975" s="11" t="s">
        <v>576</v>
      </c>
      <c r="O975" s="12" t="s">
        <v>53</v>
      </c>
      <c r="P975" s="5" t="str">
        <f>IFERROR(__xludf.DUMMYFUNCTION("TEXTJOIN("" | "",TRUE,IF(OR(D975="""",E975="""",I975="""",J975="""",H975=""""),""ফাঁকা ঘর"",""""),IF(AND(C975&lt;&gt;"""",D975&lt;&gt;"""",C975=D975),""gloss=figurative"",""""),IF(LEN(D975)&lt;15,""figurative ছোট"",""""),IF(AND(I975=""Positive"",REGEXMATCH(H975,""মূর্খ|"&amp;"ভণ্ড|প্রতার|অলস|লোভ|স্বার্থ|অক্ষম|অযোগ্য|বোকা|কৃপণ|হিংস"")),""valence-target অমিল"",""""),IF(COUNTIF($B:$B,B975)&gt;1,""ডুপ্লিকেট"",""""))"),"figurative ছোট")</f>
        <v>figurative ছোট</v>
      </c>
      <c r="Q975" s="5" t="str">
        <f t="shared" si="1"/>
        <v>১ আগে দেখো</v>
      </c>
    </row>
    <row r="976">
      <c r="A976" s="4">
        <v>6438.0</v>
      </c>
      <c r="B976" s="2" t="s">
        <v>4182</v>
      </c>
      <c r="C976" s="2" t="s">
        <v>4182</v>
      </c>
      <c r="D976" s="2" t="s">
        <v>4183</v>
      </c>
      <c r="E976" s="2" t="s">
        <v>4184</v>
      </c>
      <c r="F976" s="2" t="b">
        <v>1</v>
      </c>
      <c r="G976" s="2" t="b">
        <v>0</v>
      </c>
      <c r="H976" s="2" t="s">
        <v>37</v>
      </c>
      <c r="I976" s="2" t="s">
        <v>49</v>
      </c>
      <c r="J976" s="2" t="s">
        <v>1239</v>
      </c>
      <c r="K976" s="2" t="s">
        <v>495</v>
      </c>
      <c r="L976" s="13" t="s">
        <v>496</v>
      </c>
      <c r="M976" s="2" t="s">
        <v>26</v>
      </c>
      <c r="N976" s="11" t="s">
        <v>576</v>
      </c>
      <c r="O976" s="12" t="s">
        <v>53</v>
      </c>
      <c r="P976" s="5" t="str">
        <f>IFERROR(__xludf.DUMMYFUNCTION("TEXTJOIN("" | "",TRUE,IF(OR(D976="""",E976="""",I976="""",J976="""",H976=""""),""ফাঁকা ঘর"",""""),IF(AND(C976&lt;&gt;"""",D976&lt;&gt;"""",C976=D976),""gloss=figurative"",""""),IF(LEN(D976)&lt;15,""figurative ছোট"",""""),IF(AND(I976=""Positive"",REGEXMATCH(H976,""মূর্খ|"&amp;"ভণ্ড|প্রতার|অলস|লোভ|স্বার্থ|অক্ষম|অযোগ্য|বোকা|কৃপণ|হিংস"")),""valence-target অমিল"",""""),IF(COUNTIF($B:$B,B976)&gt;1,""ডুপ্লিকেট"",""""))"),"figurative ছোট")</f>
        <v>figurative ছোট</v>
      </c>
      <c r="Q976" s="5" t="str">
        <f t="shared" si="1"/>
        <v>১ আগে দেখো</v>
      </c>
    </row>
    <row r="977">
      <c r="A977" s="4">
        <v>6439.0</v>
      </c>
      <c r="B977" s="2" t="s">
        <v>4185</v>
      </c>
      <c r="C977" s="2" t="s">
        <v>4186</v>
      </c>
      <c r="D977" s="2" t="s">
        <v>4187</v>
      </c>
      <c r="E977" s="2" t="s">
        <v>4188</v>
      </c>
      <c r="F977" s="2" t="b">
        <v>1</v>
      </c>
      <c r="G977" s="2" t="b">
        <v>0</v>
      </c>
      <c r="H977" s="2" t="s">
        <v>37</v>
      </c>
      <c r="I977" s="2" t="s">
        <v>22</v>
      </c>
      <c r="J977" s="2" t="s">
        <v>2624</v>
      </c>
      <c r="K977" s="2" t="s">
        <v>495</v>
      </c>
      <c r="L977" s="13" t="s">
        <v>496</v>
      </c>
      <c r="M977" s="2" t="s">
        <v>26</v>
      </c>
      <c r="N977" s="11" t="s">
        <v>576</v>
      </c>
      <c r="O977" s="12" t="s">
        <v>53</v>
      </c>
      <c r="P977" s="5" t="str">
        <f>IFERROR(__xludf.DUMMYFUNCTION("TEXTJOIN("" | "",TRUE,IF(OR(D977="""",E977="""",I977="""",J977="""",H977=""""),""ফাঁকা ঘর"",""""),IF(AND(C977&lt;&gt;"""",D977&lt;&gt;"""",C977=D977),""gloss=figurative"",""""),IF(LEN(D977)&lt;15,""figurative ছোট"",""""),IF(AND(I977=""Positive"",REGEXMATCH(H977,""মূর্খ|"&amp;"ভণ্ড|প্রতার|অলস|লোভ|স্বার্থ|অক্ষম|অযোগ্য|বোকা|কৃপণ|হিংস"")),""valence-target অমিল"",""""),IF(COUNTIF($B:$B,B977)&gt;1,""ডুপ্লিকেট"",""""))"),"figurative ছোট")</f>
        <v>figurative ছোট</v>
      </c>
      <c r="Q977" s="5" t="str">
        <f t="shared" si="1"/>
        <v>১ আগে দেখো</v>
      </c>
    </row>
    <row r="978">
      <c r="A978" s="4">
        <v>6440.0</v>
      </c>
      <c r="B978" s="2" t="s">
        <v>4189</v>
      </c>
      <c r="C978" s="2" t="s">
        <v>4190</v>
      </c>
      <c r="D978" s="2" t="s">
        <v>4191</v>
      </c>
      <c r="E978" s="2" t="s">
        <v>4192</v>
      </c>
      <c r="F978" s="2" t="b">
        <v>1</v>
      </c>
      <c r="G978" s="2" t="b">
        <v>1</v>
      </c>
      <c r="H978" s="2" t="s">
        <v>1106</v>
      </c>
      <c r="I978" s="2" t="s">
        <v>32</v>
      </c>
      <c r="J978" s="2" t="s">
        <v>3327</v>
      </c>
      <c r="K978" s="2" t="s">
        <v>495</v>
      </c>
      <c r="L978" s="13" t="s">
        <v>496</v>
      </c>
      <c r="M978" s="2" t="s">
        <v>26</v>
      </c>
      <c r="N978" s="11" t="s">
        <v>576</v>
      </c>
      <c r="O978" s="12" t="s">
        <v>53</v>
      </c>
      <c r="P978" s="5" t="str">
        <f>IFERROR(__xludf.DUMMYFUNCTION("TEXTJOIN("" | "",TRUE,IF(OR(D978="""",E978="""",I978="""",J978="""",H978=""""),""ফাঁকা ঘর"",""""),IF(AND(C978&lt;&gt;"""",D978&lt;&gt;"""",C978=D978),""gloss=figurative"",""""),IF(LEN(D978)&lt;15,""figurative ছোট"",""""),IF(AND(I978=""Positive"",REGEXMATCH(H978,""মূর্খ|"&amp;"ভণ্ড|প্রতার|অলস|লোভ|স্বার্থ|অক্ষম|অযোগ্য|বোকা|কৃপণ|হিংস"")),""valence-target অমিল"",""""),IF(COUNTIF($B:$B,B978)&gt;1,""ডুপ্লিকেট"",""""))"),"figurative ছোট")</f>
        <v>figurative ছোট</v>
      </c>
      <c r="Q978" s="5" t="str">
        <f t="shared" si="1"/>
        <v>১ আগে দেখো</v>
      </c>
    </row>
    <row r="979">
      <c r="A979" s="4">
        <v>6441.0</v>
      </c>
      <c r="B979" s="2" t="s">
        <v>4193</v>
      </c>
      <c r="C979" s="2" t="s">
        <v>4194</v>
      </c>
      <c r="D979" s="2" t="s">
        <v>4195</v>
      </c>
      <c r="E979" s="2" t="s">
        <v>4196</v>
      </c>
      <c r="F979" s="2" t="b">
        <v>1</v>
      </c>
      <c r="G979" s="2" t="b">
        <v>1</v>
      </c>
      <c r="H979" s="2" t="s">
        <v>1211</v>
      </c>
      <c r="I979" s="2" t="s">
        <v>32</v>
      </c>
      <c r="J979" s="2" t="s">
        <v>3327</v>
      </c>
      <c r="K979" s="2" t="s">
        <v>495</v>
      </c>
      <c r="L979" s="13" t="s">
        <v>496</v>
      </c>
      <c r="M979" s="2" t="s">
        <v>26</v>
      </c>
      <c r="N979" s="11" t="s">
        <v>576</v>
      </c>
      <c r="O979" s="12" t="s">
        <v>53</v>
      </c>
      <c r="P979" s="5" t="str">
        <f>IFERROR(__xludf.DUMMYFUNCTION("TEXTJOIN("" | "",TRUE,IF(OR(D979="""",E979="""",I979="""",J979="""",H979=""""),""ফাঁকা ঘর"",""""),IF(AND(C979&lt;&gt;"""",D979&lt;&gt;"""",C979=D979),""gloss=figurative"",""""),IF(LEN(D979)&lt;15,""figurative ছোট"",""""),IF(AND(I979=""Positive"",REGEXMATCH(H979,""মূর্খ|"&amp;"ভণ্ড|প্রতার|অলস|লোভ|স্বার্থ|অক্ষম|অযোগ্য|বোকা|কৃপণ|হিংস"")),""valence-target অমিল"",""""),IF(COUNTIF($B:$B,B979)&gt;1,""ডুপ্লিকেট"",""""))"),"figurative ছোট")</f>
        <v>figurative ছোট</v>
      </c>
      <c r="Q979" s="5" t="str">
        <f t="shared" si="1"/>
        <v>১ আগে দেখো</v>
      </c>
    </row>
    <row r="980">
      <c r="A980" s="4">
        <v>6443.0</v>
      </c>
      <c r="B980" s="2" t="s">
        <v>4197</v>
      </c>
      <c r="C980" s="2" t="s">
        <v>4198</v>
      </c>
      <c r="D980" s="2" t="s">
        <v>4199</v>
      </c>
      <c r="E980" s="2" t="s">
        <v>4200</v>
      </c>
      <c r="F980" s="2" t="b">
        <v>1</v>
      </c>
      <c r="G980" s="2" t="b">
        <v>1</v>
      </c>
      <c r="H980" s="2" t="s">
        <v>4201</v>
      </c>
      <c r="I980" s="2" t="s">
        <v>32</v>
      </c>
      <c r="J980" s="2" t="s">
        <v>1239</v>
      </c>
      <c r="K980" s="2" t="s">
        <v>495</v>
      </c>
      <c r="L980" s="13" t="s">
        <v>496</v>
      </c>
      <c r="M980" s="2" t="s">
        <v>26</v>
      </c>
      <c r="N980" s="11" t="s">
        <v>576</v>
      </c>
      <c r="O980" s="12" t="s">
        <v>53</v>
      </c>
      <c r="P980" s="5" t="str">
        <f>IFERROR(__xludf.DUMMYFUNCTION("TEXTJOIN("" | "",TRUE,IF(OR(D980="""",E980="""",I980="""",J980="""",H980=""""),""ফাঁকা ঘর"",""""),IF(AND(C980&lt;&gt;"""",D980&lt;&gt;"""",C980=D980),""gloss=figurative"",""""),IF(LEN(D980)&lt;15,""figurative ছোট"",""""),IF(AND(I980=""Positive"",REGEXMATCH(H980,""মূর্খ|"&amp;"ভণ্ড|প্রতার|অলস|লোভ|স্বার্থ|অক্ষম|অযোগ্য|বোকা|কৃপণ|হিংস"")),""valence-target অমিল"",""""),IF(COUNTIF($B:$B,B980)&gt;1,""ডুপ্লিকেট"",""""))"),"figurative ছোট")</f>
        <v>figurative ছোট</v>
      </c>
      <c r="Q980" s="5" t="str">
        <f t="shared" si="1"/>
        <v>১ আগে দেখো</v>
      </c>
    </row>
    <row r="981">
      <c r="A981" s="4">
        <v>6444.0</v>
      </c>
      <c r="B981" s="2" t="s">
        <v>4202</v>
      </c>
      <c r="C981" s="2" t="s">
        <v>4202</v>
      </c>
      <c r="D981" s="2" t="s">
        <v>640</v>
      </c>
      <c r="E981" s="2" t="s">
        <v>4203</v>
      </c>
      <c r="F981" s="2" t="b">
        <v>1</v>
      </c>
      <c r="G981" s="2" t="b">
        <v>1</v>
      </c>
      <c r="H981" s="2" t="s">
        <v>4201</v>
      </c>
      <c r="I981" s="2" t="s">
        <v>22</v>
      </c>
      <c r="J981" s="2" t="s">
        <v>640</v>
      </c>
      <c r="K981" s="2" t="s">
        <v>495</v>
      </c>
      <c r="L981" s="13" t="s">
        <v>496</v>
      </c>
      <c r="M981" s="2" t="s">
        <v>26</v>
      </c>
      <c r="N981" s="11" t="s">
        <v>576</v>
      </c>
      <c r="O981" s="12" t="s">
        <v>53</v>
      </c>
      <c r="P981" s="5" t="str">
        <f>IFERROR(__xludf.DUMMYFUNCTION("TEXTJOIN("" | "",TRUE,IF(OR(D981="""",E981="""",I981="""",J981="""",H981=""""),""ফাঁকা ঘর"",""""),IF(AND(C981&lt;&gt;"""",D981&lt;&gt;"""",C981=D981),""gloss=figurative"",""""),IF(LEN(D981)&lt;15,""figurative ছোট"",""""),IF(AND(I981=""Positive"",REGEXMATCH(H981,""মূর্খ|"&amp;"ভণ্ড|প্রতার|অলস|লোভ|স্বার্থ|অক্ষম|অযোগ্য|বোকা|কৃপণ|হিংস"")),""valence-target অমিল"",""""),IF(COUNTIF($B:$B,B981)&gt;1,""ডুপ্লিকেট"",""""))"),"figurative ছোট")</f>
        <v>figurative ছোট</v>
      </c>
      <c r="Q981" s="5" t="str">
        <f t="shared" si="1"/>
        <v>১ আগে দেখো</v>
      </c>
    </row>
    <row r="982">
      <c r="A982" s="4">
        <v>6445.0</v>
      </c>
      <c r="B982" s="2" t="s">
        <v>4204</v>
      </c>
      <c r="C982" s="2" t="s">
        <v>4205</v>
      </c>
      <c r="D982" s="2" t="s">
        <v>4206</v>
      </c>
      <c r="E982" s="2" t="s">
        <v>4207</v>
      </c>
      <c r="F982" s="2" t="b">
        <v>1</v>
      </c>
      <c r="G982" s="2" t="b">
        <v>1</v>
      </c>
      <c r="H982" s="2" t="s">
        <v>1065</v>
      </c>
      <c r="I982" s="2" t="s">
        <v>49</v>
      </c>
      <c r="J982" s="2" t="s">
        <v>1798</v>
      </c>
      <c r="K982" s="2" t="s">
        <v>495</v>
      </c>
      <c r="L982" s="13" t="s">
        <v>496</v>
      </c>
      <c r="M982" s="2" t="s">
        <v>26</v>
      </c>
      <c r="N982" s="11" t="s">
        <v>576</v>
      </c>
      <c r="O982" s="12" t="s">
        <v>53</v>
      </c>
      <c r="P982" s="5" t="str">
        <f>IFERROR(__xludf.DUMMYFUNCTION("TEXTJOIN("" | "",TRUE,IF(OR(D982="""",E982="""",I982="""",J982="""",H982=""""),""ফাঁকা ঘর"",""""),IF(AND(C982&lt;&gt;"""",D982&lt;&gt;"""",C982=D982),""gloss=figurative"",""""),IF(LEN(D982)&lt;15,""figurative ছোট"",""""),IF(AND(I982=""Positive"",REGEXMATCH(H982,""মূর্খ|"&amp;"ভণ্ড|প্রতার|অলস|লোভ|স্বার্থ|অক্ষম|অযোগ্য|বোকা|কৃপণ|হিংস"")),""valence-target অমিল"",""""),IF(COUNTIF($B:$B,B982)&gt;1,""ডুপ্লিকেট"",""""))"),"figurative ছোট")</f>
        <v>figurative ছোট</v>
      </c>
      <c r="Q982" s="5" t="str">
        <f t="shared" si="1"/>
        <v>১ আগে দেখো</v>
      </c>
    </row>
    <row r="983">
      <c r="A983" s="4">
        <v>6446.0</v>
      </c>
      <c r="B983" s="2" t="s">
        <v>4208</v>
      </c>
      <c r="C983" s="2" t="s">
        <v>4209</v>
      </c>
      <c r="D983" s="2" t="s">
        <v>4210</v>
      </c>
      <c r="E983" s="2" t="s">
        <v>4211</v>
      </c>
      <c r="F983" s="2" t="b">
        <v>1</v>
      </c>
      <c r="G983" s="2" t="b">
        <v>1</v>
      </c>
      <c r="H983" s="2" t="s">
        <v>2372</v>
      </c>
      <c r="I983" s="2" t="s">
        <v>22</v>
      </c>
      <c r="J983" s="2" t="s">
        <v>2540</v>
      </c>
      <c r="K983" s="2" t="s">
        <v>495</v>
      </c>
      <c r="L983" s="13" t="s">
        <v>496</v>
      </c>
      <c r="M983" s="2" t="s">
        <v>26</v>
      </c>
      <c r="N983" s="11" t="s">
        <v>4212</v>
      </c>
      <c r="O983" s="12" t="s">
        <v>53</v>
      </c>
      <c r="P983" s="5" t="str">
        <f>IFERROR(__xludf.DUMMYFUNCTION("TEXTJOIN("" | "",TRUE,IF(OR(D983="""",E983="""",I983="""",J983="""",H983=""""),""ফাঁকা ঘর"",""""),IF(AND(C983&lt;&gt;"""",D983&lt;&gt;"""",C983=D983),""gloss=figurative"",""""),IF(LEN(D983)&lt;15,""figurative ছোট"",""""),IF(AND(I983=""Positive"",REGEXMATCH(H983,""মূর্খ|"&amp;"ভণ্ড|প্রতার|অলস|লোভ|স্বার্থ|অক্ষম|অযোগ্য|বোকা|কৃপণ|হিংস"")),""valence-target অমিল"",""""),IF(COUNTIF($B:$B,B983)&gt;1,""ডুপ্লিকেট"",""""))"),"figurative ছোট | ডুপ্লিকেট")</f>
        <v>figurative ছোট | ডুপ্লিকেট</v>
      </c>
      <c r="Q983" s="5" t="str">
        <f t="shared" si="1"/>
        <v>১ আগে দেখো</v>
      </c>
    </row>
    <row r="984">
      <c r="A984" s="4">
        <v>6447.0</v>
      </c>
      <c r="B984" s="2" t="s">
        <v>4208</v>
      </c>
      <c r="C984" s="2" t="s">
        <v>4213</v>
      </c>
      <c r="D984" s="2" t="s">
        <v>2671</v>
      </c>
      <c r="E984" s="2" t="s">
        <v>4214</v>
      </c>
      <c r="F984" s="2" t="b">
        <v>1</v>
      </c>
      <c r="G984" s="2" t="b">
        <v>1</v>
      </c>
      <c r="H984" s="2" t="s">
        <v>2372</v>
      </c>
      <c r="I984" s="2" t="s">
        <v>22</v>
      </c>
      <c r="J984" s="2" t="s">
        <v>2540</v>
      </c>
      <c r="K984" s="2" t="s">
        <v>495</v>
      </c>
      <c r="L984" s="13" t="s">
        <v>496</v>
      </c>
      <c r="M984" s="2" t="s">
        <v>26</v>
      </c>
      <c r="N984" s="11" t="s">
        <v>4215</v>
      </c>
      <c r="O984" s="12" t="s">
        <v>53</v>
      </c>
      <c r="P984" s="5" t="str">
        <f>IFERROR(__xludf.DUMMYFUNCTION("TEXTJOIN("" | "",TRUE,IF(OR(D984="""",E984="""",I984="""",J984="""",H984=""""),""ফাঁকা ঘর"",""""),IF(AND(C984&lt;&gt;"""",D984&lt;&gt;"""",C984=D984),""gloss=figurative"",""""),IF(LEN(D984)&lt;15,""figurative ছোট"",""""),IF(AND(I984=""Positive"",REGEXMATCH(H984,""মূর্খ|"&amp;"ভণ্ড|প্রতার|অলস|লোভ|স্বার্থ|অক্ষম|অযোগ্য|বোকা|কৃপণ|হিংস"")),""valence-target অমিল"",""""),IF(COUNTIF($B:$B,B984)&gt;1,""ডুপ্লিকেট"",""""))"),"figurative ছোট | ডুপ্লিকেট")</f>
        <v>figurative ছোট | ডুপ্লিকেট</v>
      </c>
      <c r="Q984" s="5" t="str">
        <f t="shared" si="1"/>
        <v>১ আগে দেখো</v>
      </c>
    </row>
    <row r="985">
      <c r="A985" s="4">
        <v>6448.0</v>
      </c>
      <c r="B985" s="2" t="s">
        <v>4216</v>
      </c>
      <c r="C985" s="2" t="s">
        <v>4217</v>
      </c>
      <c r="D985" s="2" t="s">
        <v>1397</v>
      </c>
      <c r="E985" s="2" t="s">
        <v>4218</v>
      </c>
      <c r="F985" s="2" t="b">
        <v>1</v>
      </c>
      <c r="G985" s="2" t="b">
        <v>1</v>
      </c>
      <c r="H985" s="2" t="s">
        <v>2372</v>
      </c>
      <c r="I985" s="2" t="s">
        <v>22</v>
      </c>
      <c r="J985" s="2" t="s">
        <v>2540</v>
      </c>
      <c r="K985" s="2" t="s">
        <v>495</v>
      </c>
      <c r="L985" s="13" t="s">
        <v>496</v>
      </c>
      <c r="M985" s="2" t="s">
        <v>26</v>
      </c>
      <c r="N985" s="11" t="s">
        <v>576</v>
      </c>
      <c r="O985" s="12" t="s">
        <v>53</v>
      </c>
      <c r="P985" s="5" t="str">
        <f>IFERROR(__xludf.DUMMYFUNCTION("TEXTJOIN("" | "",TRUE,IF(OR(D985="""",E985="""",I985="""",J985="""",H985=""""),""ফাঁকা ঘর"",""""),IF(AND(C985&lt;&gt;"""",D985&lt;&gt;"""",C985=D985),""gloss=figurative"",""""),IF(LEN(D985)&lt;15,""figurative ছোট"",""""),IF(AND(I985=""Positive"",REGEXMATCH(H985,""মূর্খ|"&amp;"ভণ্ড|প্রতার|অলস|লোভ|স্বার্থ|অক্ষম|অযোগ্য|বোকা|কৃপণ|হিংস"")),""valence-target অমিল"",""""),IF(COUNTIF($B:$B,B985)&gt;1,""ডুপ্লিকেট"",""""))"),"figurative ছোট")</f>
        <v>figurative ছোট</v>
      </c>
      <c r="Q985" s="5" t="str">
        <f t="shared" si="1"/>
        <v>১ আগে দেখো</v>
      </c>
    </row>
    <row r="986">
      <c r="A986" s="4">
        <v>6449.0</v>
      </c>
      <c r="B986" s="2" t="s">
        <v>4219</v>
      </c>
      <c r="C986" s="2" t="s">
        <v>4220</v>
      </c>
      <c r="D986" s="2" t="s">
        <v>640</v>
      </c>
      <c r="E986" s="2" t="s">
        <v>4221</v>
      </c>
      <c r="F986" s="2" t="b">
        <v>1</v>
      </c>
      <c r="G986" s="2" t="b">
        <v>1</v>
      </c>
      <c r="H986" s="2" t="s">
        <v>3079</v>
      </c>
      <c r="I986" s="2" t="s">
        <v>22</v>
      </c>
      <c r="J986" s="2" t="s">
        <v>1315</v>
      </c>
      <c r="K986" s="2" t="s">
        <v>495</v>
      </c>
      <c r="L986" s="13" t="s">
        <v>496</v>
      </c>
      <c r="M986" s="2" t="s">
        <v>26</v>
      </c>
      <c r="N986" s="11" t="s">
        <v>576</v>
      </c>
      <c r="O986" s="12" t="s">
        <v>53</v>
      </c>
      <c r="P986" s="5" t="str">
        <f>IFERROR(__xludf.DUMMYFUNCTION("TEXTJOIN("" | "",TRUE,IF(OR(D986="""",E986="""",I986="""",J986="""",H986=""""),""ফাঁকা ঘর"",""""),IF(AND(C986&lt;&gt;"""",D986&lt;&gt;"""",C986=D986),""gloss=figurative"",""""),IF(LEN(D986)&lt;15,""figurative ছোট"",""""),IF(AND(I986=""Positive"",REGEXMATCH(H986,""মূর্খ|"&amp;"ভণ্ড|প্রতার|অলস|লোভ|স্বার্থ|অক্ষম|অযোগ্য|বোকা|কৃপণ|হিংস"")),""valence-target অমিল"",""""),IF(COUNTIF($B:$B,B986)&gt;1,""ডুপ্লিকেট"",""""))"),"figurative ছোট")</f>
        <v>figurative ছোট</v>
      </c>
      <c r="Q986" s="5" t="str">
        <f t="shared" si="1"/>
        <v>১ আগে দেখো</v>
      </c>
    </row>
    <row r="987">
      <c r="A987" s="4">
        <v>6450.0</v>
      </c>
      <c r="B987" s="2" t="s">
        <v>4222</v>
      </c>
      <c r="C987" s="2" t="s">
        <v>4223</v>
      </c>
      <c r="D987" s="2" t="s">
        <v>4224</v>
      </c>
      <c r="E987" s="2" t="s">
        <v>4225</v>
      </c>
      <c r="F987" s="2" t="b">
        <v>1</v>
      </c>
      <c r="G987" s="2" t="b">
        <v>1</v>
      </c>
      <c r="H987" s="2" t="s">
        <v>4226</v>
      </c>
      <c r="I987" s="2" t="s">
        <v>49</v>
      </c>
      <c r="J987" s="2" t="s">
        <v>3327</v>
      </c>
      <c r="K987" s="2" t="s">
        <v>495</v>
      </c>
      <c r="L987" s="13" t="s">
        <v>496</v>
      </c>
      <c r="M987" s="2" t="s">
        <v>26</v>
      </c>
      <c r="N987" s="11" t="s">
        <v>576</v>
      </c>
      <c r="O987" s="12" t="s">
        <v>53</v>
      </c>
      <c r="P987" s="5" t="str">
        <f>IFERROR(__xludf.DUMMYFUNCTION("TEXTJOIN("" | "",TRUE,IF(OR(D987="""",E987="""",I987="""",J987="""",H987=""""),""ফাঁকা ঘর"",""""),IF(AND(C987&lt;&gt;"""",D987&lt;&gt;"""",C987=D987),""gloss=figurative"",""""),IF(LEN(D987)&lt;15,""figurative ছোট"",""""),IF(AND(I987=""Positive"",REGEXMATCH(H987,""মূর্খ|"&amp;"ভণ্ড|প্রতার|অলস|লোভ|স্বার্থ|অক্ষম|অযোগ্য|বোকা|কৃপণ|হিংস"")),""valence-target অমিল"",""""),IF(COUNTIF($B:$B,B987)&gt;1,""ডুপ্লিকেট"",""""))"),"figurative ছোট")</f>
        <v>figurative ছোট</v>
      </c>
      <c r="Q987" s="5" t="str">
        <f t="shared" si="1"/>
        <v>১ আগে দেখো</v>
      </c>
    </row>
    <row r="988">
      <c r="A988" s="4">
        <v>6451.0</v>
      </c>
      <c r="B988" s="2" t="s">
        <v>4227</v>
      </c>
      <c r="C988" s="2" t="s">
        <v>4228</v>
      </c>
      <c r="D988" s="2" t="s">
        <v>640</v>
      </c>
      <c r="E988" s="2" t="s">
        <v>4229</v>
      </c>
      <c r="F988" s="2" t="b">
        <v>1</v>
      </c>
      <c r="G988" s="2" t="b">
        <v>1</v>
      </c>
      <c r="H988" s="2" t="s">
        <v>1106</v>
      </c>
      <c r="I988" s="2" t="s">
        <v>22</v>
      </c>
      <c r="J988" s="2" t="s">
        <v>1315</v>
      </c>
      <c r="K988" s="2" t="s">
        <v>495</v>
      </c>
      <c r="L988" s="13" t="s">
        <v>496</v>
      </c>
      <c r="M988" s="2" t="s">
        <v>26</v>
      </c>
      <c r="N988" s="11" t="s">
        <v>576</v>
      </c>
      <c r="O988" s="12" t="s">
        <v>53</v>
      </c>
      <c r="P988" s="5" t="str">
        <f>IFERROR(__xludf.DUMMYFUNCTION("TEXTJOIN("" | "",TRUE,IF(OR(D988="""",E988="""",I988="""",J988="""",H988=""""),""ফাঁকা ঘর"",""""),IF(AND(C988&lt;&gt;"""",D988&lt;&gt;"""",C988=D988),""gloss=figurative"",""""),IF(LEN(D988)&lt;15,""figurative ছোট"",""""),IF(AND(I988=""Positive"",REGEXMATCH(H988,""মূর্খ|"&amp;"ভণ্ড|প্রতার|অলস|লোভ|স্বার্থ|অক্ষম|অযোগ্য|বোকা|কৃপণ|হিংস"")),""valence-target অমিল"",""""),IF(COUNTIF($B:$B,B988)&gt;1,""ডুপ্লিকেট"",""""))"),"figurative ছোট")</f>
        <v>figurative ছোট</v>
      </c>
      <c r="Q988" s="5" t="str">
        <f t="shared" si="1"/>
        <v>১ আগে দেখো</v>
      </c>
    </row>
    <row r="989">
      <c r="A989" s="4">
        <v>6453.0</v>
      </c>
      <c r="B989" s="2" t="s">
        <v>4230</v>
      </c>
      <c r="C989" s="2" t="s">
        <v>4231</v>
      </c>
      <c r="D989" s="2" t="s">
        <v>4232</v>
      </c>
      <c r="E989" s="2" t="s">
        <v>4233</v>
      </c>
      <c r="F989" s="2" t="b">
        <v>1</v>
      </c>
      <c r="G989" s="2" t="b">
        <v>1</v>
      </c>
      <c r="H989" s="2" t="s">
        <v>1211</v>
      </c>
      <c r="I989" s="2" t="s">
        <v>49</v>
      </c>
      <c r="J989" s="2" t="s">
        <v>1934</v>
      </c>
      <c r="K989" s="2" t="s">
        <v>495</v>
      </c>
      <c r="L989" s="13" t="s">
        <v>496</v>
      </c>
      <c r="M989" s="2" t="s">
        <v>26</v>
      </c>
      <c r="N989" s="11" t="s">
        <v>576</v>
      </c>
      <c r="O989" s="12" t="s">
        <v>53</v>
      </c>
      <c r="P989" s="5" t="str">
        <f>IFERROR(__xludf.DUMMYFUNCTION("TEXTJOIN("" | "",TRUE,IF(OR(D989="""",E989="""",I989="""",J989="""",H989=""""),""ফাঁকা ঘর"",""""),IF(AND(C989&lt;&gt;"""",D989&lt;&gt;"""",C989=D989),""gloss=figurative"",""""),IF(LEN(D989)&lt;15,""figurative ছোট"",""""),IF(AND(I989=""Positive"",REGEXMATCH(H989,""মূর্খ|"&amp;"ভণ্ড|প্রতার|অলস|লোভ|স্বার্থ|অক্ষম|অযোগ্য|বোকা|কৃপণ|হিংস"")),""valence-target অমিল"",""""),IF(COUNTIF($B:$B,B989)&gt;1,""ডুপ্লিকেট"",""""))"),"figurative ছোট")</f>
        <v>figurative ছোট</v>
      </c>
      <c r="Q989" s="5" t="str">
        <f t="shared" si="1"/>
        <v>১ আগে দেখো</v>
      </c>
    </row>
    <row r="990">
      <c r="A990" s="4">
        <v>6456.0</v>
      </c>
      <c r="B990" s="2" t="s">
        <v>4234</v>
      </c>
      <c r="C990" s="2" t="s">
        <v>4235</v>
      </c>
      <c r="D990" s="2" t="s">
        <v>4236</v>
      </c>
      <c r="E990" s="2" t="s">
        <v>4237</v>
      </c>
      <c r="F990" s="2" t="b">
        <v>1</v>
      </c>
      <c r="G990" s="2" t="b">
        <v>0</v>
      </c>
      <c r="H990" s="2" t="s">
        <v>37</v>
      </c>
      <c r="I990" s="2" t="s">
        <v>22</v>
      </c>
      <c r="J990" s="2" t="s">
        <v>3127</v>
      </c>
      <c r="K990" s="2" t="s">
        <v>495</v>
      </c>
      <c r="L990" s="13" t="s">
        <v>496</v>
      </c>
      <c r="M990" s="2" t="s">
        <v>26</v>
      </c>
      <c r="N990" s="11" t="s">
        <v>576</v>
      </c>
      <c r="O990" s="12" t="s">
        <v>53</v>
      </c>
      <c r="P990" s="5" t="str">
        <f>IFERROR(__xludf.DUMMYFUNCTION("TEXTJOIN("" | "",TRUE,IF(OR(D990="""",E990="""",I990="""",J990="""",H990=""""),""ফাঁকা ঘর"",""""),IF(AND(C990&lt;&gt;"""",D990&lt;&gt;"""",C990=D990),""gloss=figurative"",""""),IF(LEN(D990)&lt;15,""figurative ছোট"",""""),IF(AND(I990=""Positive"",REGEXMATCH(H990,""মূর্খ|"&amp;"ভণ্ড|প্রতার|অলস|লোভ|স্বার্থ|অক্ষম|অযোগ্য|বোকা|কৃপণ|হিংস"")),""valence-target অমিল"",""""),IF(COUNTIF($B:$B,B990)&gt;1,""ডুপ্লিকেট"",""""))"),"figurative ছোট")</f>
        <v>figurative ছোট</v>
      </c>
      <c r="Q990" s="5" t="str">
        <f t="shared" si="1"/>
        <v>১ আগে দেখো</v>
      </c>
    </row>
    <row r="991">
      <c r="A991" s="4">
        <v>6457.0</v>
      </c>
      <c r="B991" s="2" t="s">
        <v>4238</v>
      </c>
      <c r="C991" s="2" t="s">
        <v>4239</v>
      </c>
      <c r="D991" s="2" t="s">
        <v>3661</v>
      </c>
      <c r="E991" s="2" t="s">
        <v>4240</v>
      </c>
      <c r="F991" s="2" t="b">
        <v>1</v>
      </c>
      <c r="G991" s="2" t="b">
        <v>0</v>
      </c>
      <c r="H991" s="2" t="s">
        <v>37</v>
      </c>
      <c r="I991" s="2" t="s">
        <v>49</v>
      </c>
      <c r="J991" s="2" t="s">
        <v>1259</v>
      </c>
      <c r="K991" s="2" t="s">
        <v>495</v>
      </c>
      <c r="L991" s="13" t="s">
        <v>496</v>
      </c>
      <c r="M991" s="2" t="s">
        <v>26</v>
      </c>
      <c r="N991" s="11" t="s">
        <v>4241</v>
      </c>
      <c r="O991" s="12" t="s">
        <v>53</v>
      </c>
      <c r="P991" s="5" t="str">
        <f>IFERROR(__xludf.DUMMYFUNCTION("TEXTJOIN("" | "",TRUE,IF(OR(D991="""",E991="""",I991="""",J991="""",H991=""""),""ফাঁকা ঘর"",""""),IF(AND(C991&lt;&gt;"""",D991&lt;&gt;"""",C991=D991),""gloss=figurative"",""""),IF(LEN(D991)&lt;15,""figurative ছোট"",""""),IF(AND(I991=""Positive"",REGEXMATCH(H991,""মূর্খ|"&amp;"ভণ্ড|প্রতার|অলস|লোভ|স্বার্থ|অক্ষম|অযোগ্য|বোকা|কৃপণ|হিংস"")),""valence-target অমিল"",""""),IF(COUNTIF($B:$B,B991)&gt;1,""ডুপ্লিকেট"",""""))"),"figurative ছোট")</f>
        <v>figurative ছোট</v>
      </c>
      <c r="Q991" s="5" t="str">
        <f t="shared" si="1"/>
        <v>১ আগে দেখো</v>
      </c>
    </row>
    <row r="992">
      <c r="A992" s="4">
        <v>6458.0</v>
      </c>
      <c r="B992" s="2" t="s">
        <v>4242</v>
      </c>
      <c r="C992" s="2" t="s">
        <v>4243</v>
      </c>
      <c r="D992" s="2" t="s">
        <v>4244</v>
      </c>
      <c r="E992" s="2" t="s">
        <v>4245</v>
      </c>
      <c r="F992" s="2" t="b">
        <v>1</v>
      </c>
      <c r="G992" s="2" t="b">
        <v>0</v>
      </c>
      <c r="H992" s="2" t="s">
        <v>37</v>
      </c>
      <c r="I992" s="2" t="s">
        <v>49</v>
      </c>
      <c r="J992" s="2" t="s">
        <v>4246</v>
      </c>
      <c r="K992" s="2" t="s">
        <v>495</v>
      </c>
      <c r="L992" s="13" t="s">
        <v>496</v>
      </c>
      <c r="M992" s="2" t="s">
        <v>26</v>
      </c>
      <c r="N992" s="11" t="s">
        <v>4247</v>
      </c>
      <c r="O992" s="12" t="s">
        <v>53</v>
      </c>
      <c r="P992" s="5" t="str">
        <f>IFERROR(__xludf.DUMMYFUNCTION("TEXTJOIN("" | "",TRUE,IF(OR(D992="""",E992="""",I992="""",J992="""",H992=""""),""ফাঁকা ঘর"",""""),IF(AND(C992&lt;&gt;"""",D992&lt;&gt;"""",C992=D992),""gloss=figurative"",""""),IF(LEN(D992)&lt;15,""figurative ছোট"",""""),IF(AND(I992=""Positive"",REGEXMATCH(H992,""মূর্খ|"&amp;"ভণ্ড|প্রতার|অলস|লোভ|স্বার্থ|অক্ষম|অযোগ্য|বোকা|কৃপণ|হিংস"")),""valence-target অমিল"",""""),IF(COUNTIF($B:$B,B992)&gt;1,""ডুপ্লিকেট"",""""))"),"figurative ছোট")</f>
        <v>figurative ছোট</v>
      </c>
      <c r="Q992" s="5" t="str">
        <f t="shared" si="1"/>
        <v>১ আগে দেখো</v>
      </c>
    </row>
    <row r="993">
      <c r="A993" s="4">
        <v>6459.0</v>
      </c>
      <c r="B993" s="2" t="s">
        <v>4248</v>
      </c>
      <c r="C993" s="2" t="s">
        <v>4249</v>
      </c>
      <c r="D993" s="2" t="s">
        <v>4250</v>
      </c>
      <c r="E993" s="2" t="s">
        <v>4251</v>
      </c>
      <c r="F993" s="2" t="b">
        <v>1</v>
      </c>
      <c r="G993" s="2" t="b">
        <v>0</v>
      </c>
      <c r="H993" s="2" t="s">
        <v>37</v>
      </c>
      <c r="I993" s="2" t="s">
        <v>22</v>
      </c>
      <c r="J993" s="2" t="s">
        <v>660</v>
      </c>
      <c r="K993" s="2" t="s">
        <v>495</v>
      </c>
      <c r="L993" s="13" t="s">
        <v>496</v>
      </c>
      <c r="M993" s="2" t="s">
        <v>26</v>
      </c>
      <c r="N993" s="11" t="s">
        <v>576</v>
      </c>
      <c r="O993" s="12" t="s">
        <v>53</v>
      </c>
      <c r="P993" s="5" t="str">
        <f>IFERROR(__xludf.DUMMYFUNCTION("TEXTJOIN("" | "",TRUE,IF(OR(D993="""",E993="""",I993="""",J993="""",H993=""""),""ফাঁকা ঘর"",""""),IF(AND(C993&lt;&gt;"""",D993&lt;&gt;"""",C993=D993),""gloss=figurative"",""""),IF(LEN(D993)&lt;15,""figurative ছোট"",""""),IF(AND(I993=""Positive"",REGEXMATCH(H993,""মূর্খ|"&amp;"ভণ্ড|প্রতার|অলস|লোভ|স্বার্থ|অক্ষম|অযোগ্য|বোকা|কৃপণ|হিংস"")),""valence-target অমিল"",""""),IF(COUNTIF($B:$B,B993)&gt;1,""ডুপ্লিকেট"",""""))"),"figurative ছোট")</f>
        <v>figurative ছোট</v>
      </c>
      <c r="Q993" s="5" t="str">
        <f t="shared" si="1"/>
        <v>১ আগে দেখো</v>
      </c>
    </row>
    <row r="994">
      <c r="A994" s="4">
        <v>6460.0</v>
      </c>
      <c r="B994" s="2" t="s">
        <v>4252</v>
      </c>
      <c r="C994" s="2" t="s">
        <v>4253</v>
      </c>
      <c r="D994" s="2" t="s">
        <v>4254</v>
      </c>
      <c r="E994" s="2" t="s">
        <v>4255</v>
      </c>
      <c r="F994" s="2" t="b">
        <v>1</v>
      </c>
      <c r="G994" s="2" t="b">
        <v>0</v>
      </c>
      <c r="H994" s="2" t="s">
        <v>37</v>
      </c>
      <c r="I994" s="2" t="s">
        <v>22</v>
      </c>
      <c r="J994" s="2" t="s">
        <v>4256</v>
      </c>
      <c r="K994" s="2" t="s">
        <v>495</v>
      </c>
      <c r="L994" s="13" t="s">
        <v>496</v>
      </c>
      <c r="M994" s="2" t="s">
        <v>26</v>
      </c>
      <c r="N994" s="11" t="s">
        <v>576</v>
      </c>
      <c r="O994" s="12" t="s">
        <v>53</v>
      </c>
      <c r="P994" s="5" t="str">
        <f>IFERROR(__xludf.DUMMYFUNCTION("TEXTJOIN("" | "",TRUE,IF(OR(D994="""",E994="""",I994="""",J994="""",H994=""""),""ফাঁকা ঘর"",""""),IF(AND(C994&lt;&gt;"""",D994&lt;&gt;"""",C994=D994),""gloss=figurative"",""""),IF(LEN(D994)&lt;15,""figurative ছোট"",""""),IF(AND(I994=""Positive"",REGEXMATCH(H994,""মূর্খ|"&amp;"ভণ্ড|প্রতার|অলস|লোভ|স্বার্থ|অক্ষম|অযোগ্য|বোকা|কৃপণ|হিংস"")),""valence-target অমিল"",""""),IF(COUNTIF($B:$B,B994)&gt;1,""ডুপ্লিকেট"",""""))"),"figurative ছোট")</f>
        <v>figurative ছোট</v>
      </c>
      <c r="Q994" s="5" t="str">
        <f t="shared" si="1"/>
        <v>১ আগে দেখো</v>
      </c>
    </row>
    <row r="995">
      <c r="A995" s="4">
        <v>6469.0</v>
      </c>
      <c r="B995" s="2" t="s">
        <v>4257</v>
      </c>
      <c r="C995" s="2" t="s">
        <v>4258</v>
      </c>
      <c r="D995" s="2" t="s">
        <v>4259</v>
      </c>
      <c r="E995" s="2" t="s">
        <v>4260</v>
      </c>
      <c r="F995" s="2" t="b">
        <v>1</v>
      </c>
      <c r="G995" s="2" t="b">
        <v>1</v>
      </c>
      <c r="H995" s="2" t="s">
        <v>1106</v>
      </c>
      <c r="I995" s="2" t="s">
        <v>32</v>
      </c>
      <c r="J995" s="2" t="s">
        <v>1859</v>
      </c>
      <c r="K995" s="2" t="s">
        <v>495</v>
      </c>
      <c r="L995" s="13" t="s">
        <v>496</v>
      </c>
      <c r="M995" s="2" t="s">
        <v>26</v>
      </c>
      <c r="N995" s="11" t="s">
        <v>576</v>
      </c>
      <c r="O995" s="12" t="s">
        <v>53</v>
      </c>
      <c r="P995" s="5" t="str">
        <f>IFERROR(__xludf.DUMMYFUNCTION("TEXTJOIN("" | "",TRUE,IF(OR(D995="""",E995="""",I995="""",J995="""",H995=""""),""ফাঁকা ঘর"",""""),IF(AND(C995&lt;&gt;"""",D995&lt;&gt;"""",C995=D995),""gloss=figurative"",""""),IF(LEN(D995)&lt;15,""figurative ছোট"",""""),IF(AND(I995=""Positive"",REGEXMATCH(H995,""মূর্খ|"&amp;"ভণ্ড|প্রতার|অলস|লোভ|স্বার্থ|অক্ষম|অযোগ্য|বোকা|কৃপণ|হিংস"")),""valence-target অমিল"",""""),IF(COUNTIF($B:$B,B995)&gt;1,""ডুপ্লিকেট"",""""))"),"figurative ছোট")</f>
        <v>figurative ছোট</v>
      </c>
      <c r="Q995" s="5" t="str">
        <f t="shared" si="1"/>
        <v>১ আগে দেখো</v>
      </c>
    </row>
    <row r="996">
      <c r="A996" s="4">
        <v>6472.0</v>
      </c>
      <c r="B996" s="2" t="s">
        <v>4261</v>
      </c>
      <c r="C996" s="2" t="s">
        <v>4262</v>
      </c>
      <c r="D996" s="2" t="s">
        <v>4263</v>
      </c>
      <c r="E996" s="2" t="s">
        <v>4264</v>
      </c>
      <c r="F996" s="2" t="b">
        <v>1</v>
      </c>
      <c r="G996" s="2" t="b">
        <v>0</v>
      </c>
      <c r="H996" s="2" t="s">
        <v>37</v>
      </c>
      <c r="I996" s="2" t="s">
        <v>22</v>
      </c>
      <c r="J996" s="2" t="s">
        <v>340</v>
      </c>
      <c r="K996" s="2" t="s">
        <v>495</v>
      </c>
      <c r="L996" s="13" t="s">
        <v>496</v>
      </c>
      <c r="M996" s="2" t="s">
        <v>26</v>
      </c>
      <c r="N996" s="11" t="s">
        <v>576</v>
      </c>
      <c r="O996" s="12" t="s">
        <v>53</v>
      </c>
      <c r="P996" s="5" t="str">
        <f>IFERROR(__xludf.DUMMYFUNCTION("TEXTJOIN("" | "",TRUE,IF(OR(D996="""",E996="""",I996="""",J996="""",H996=""""),""ফাঁকা ঘর"",""""),IF(AND(C996&lt;&gt;"""",D996&lt;&gt;"""",C996=D996),""gloss=figurative"",""""),IF(LEN(D996)&lt;15,""figurative ছোট"",""""),IF(AND(I996=""Positive"",REGEXMATCH(H996,""মূর্খ|"&amp;"ভণ্ড|প্রতার|অলস|লোভ|স্বার্থ|অক্ষম|অযোগ্য|বোকা|কৃপণ|হিংস"")),""valence-target অমিল"",""""),IF(COUNTIF($B:$B,B996)&gt;1,""ডুপ্লিকেট"",""""))"),"figurative ছোট")</f>
        <v>figurative ছোট</v>
      </c>
      <c r="Q996" s="5" t="str">
        <f t="shared" si="1"/>
        <v>১ আগে দেখো</v>
      </c>
    </row>
    <row r="997">
      <c r="A997" s="4">
        <v>6475.0</v>
      </c>
      <c r="B997" s="2" t="s">
        <v>4265</v>
      </c>
      <c r="C997" s="2" t="s">
        <v>4266</v>
      </c>
      <c r="D997" s="2" t="s">
        <v>4267</v>
      </c>
      <c r="E997" s="2" t="s">
        <v>4268</v>
      </c>
      <c r="F997" s="2" t="b">
        <v>1</v>
      </c>
      <c r="G997" s="2" t="b">
        <v>0</v>
      </c>
      <c r="H997" s="2" t="s">
        <v>1612</v>
      </c>
      <c r="I997" s="2" t="s">
        <v>22</v>
      </c>
      <c r="J997" s="2" t="s">
        <v>836</v>
      </c>
      <c r="K997" s="2" t="s">
        <v>495</v>
      </c>
      <c r="L997" s="13" t="s">
        <v>496</v>
      </c>
      <c r="M997" s="2" t="s">
        <v>26</v>
      </c>
      <c r="N997" s="11" t="s">
        <v>576</v>
      </c>
      <c r="O997" s="12" t="s">
        <v>53</v>
      </c>
      <c r="P997" s="5" t="str">
        <f>IFERROR(__xludf.DUMMYFUNCTION("TEXTJOIN("" | "",TRUE,IF(OR(D997="""",E997="""",I997="""",J997="""",H997=""""),""ফাঁকা ঘর"",""""),IF(AND(C997&lt;&gt;"""",D997&lt;&gt;"""",C997=D997),""gloss=figurative"",""""),IF(LEN(D997)&lt;15,""figurative ছোট"",""""),IF(AND(I997=""Positive"",REGEXMATCH(H997,""মূর্খ|"&amp;"ভণ্ড|প্রতার|অলস|লোভ|স্বার্থ|অক্ষম|অযোগ্য|বোকা|কৃপণ|হিংস"")),""valence-target অমিল"",""""),IF(COUNTIF($B:$B,B997)&gt;1,""ডুপ্লিকেট"",""""))"),"figurative ছোট")</f>
        <v>figurative ছোট</v>
      </c>
      <c r="Q997" s="5" t="str">
        <f t="shared" si="1"/>
        <v>১ আগে দেখো</v>
      </c>
    </row>
    <row r="998">
      <c r="A998" s="4">
        <v>6476.0</v>
      </c>
      <c r="B998" s="2" t="s">
        <v>4269</v>
      </c>
      <c r="C998" s="2" t="s">
        <v>4270</v>
      </c>
      <c r="D998" s="2" t="s">
        <v>4271</v>
      </c>
      <c r="E998" s="2" t="s">
        <v>4272</v>
      </c>
      <c r="F998" s="2" t="b">
        <v>1</v>
      </c>
      <c r="G998" s="2" t="b">
        <v>0</v>
      </c>
      <c r="H998" s="2" t="s">
        <v>37</v>
      </c>
      <c r="I998" s="2" t="s">
        <v>22</v>
      </c>
      <c r="J998" s="2" t="s">
        <v>2869</v>
      </c>
      <c r="K998" s="2" t="s">
        <v>495</v>
      </c>
      <c r="L998" s="13" t="s">
        <v>496</v>
      </c>
      <c r="M998" s="2" t="s">
        <v>26</v>
      </c>
      <c r="N998" s="11" t="s">
        <v>576</v>
      </c>
      <c r="O998" s="12" t="s">
        <v>53</v>
      </c>
      <c r="P998" s="5" t="str">
        <f>IFERROR(__xludf.DUMMYFUNCTION("TEXTJOIN("" | "",TRUE,IF(OR(D998="""",E998="""",I998="""",J998="""",H998=""""),""ফাঁকা ঘর"",""""),IF(AND(C998&lt;&gt;"""",D998&lt;&gt;"""",C998=D998),""gloss=figurative"",""""),IF(LEN(D998)&lt;15,""figurative ছোট"",""""),IF(AND(I998=""Positive"",REGEXMATCH(H998,""মূর্খ|"&amp;"ভণ্ড|প্রতার|অলস|লোভ|স্বার্থ|অক্ষম|অযোগ্য|বোকা|কৃপণ|হিংস"")),""valence-target অমিল"",""""),IF(COUNTIF($B:$B,B998)&gt;1,""ডুপ্লিকেট"",""""))"),"figurative ছোট")</f>
        <v>figurative ছোট</v>
      </c>
      <c r="Q998" s="5" t="str">
        <f t="shared" si="1"/>
        <v>১ আগে দেখো</v>
      </c>
    </row>
    <row r="999">
      <c r="A999" s="4">
        <v>6478.0</v>
      </c>
      <c r="B999" s="2" t="s">
        <v>4273</v>
      </c>
      <c r="C999" s="2" t="s">
        <v>4274</v>
      </c>
      <c r="D999" s="2" t="s">
        <v>4275</v>
      </c>
      <c r="E999" s="2" t="s">
        <v>4276</v>
      </c>
      <c r="F999" s="2" t="b">
        <v>1</v>
      </c>
      <c r="G999" s="2" t="b">
        <v>1</v>
      </c>
      <c r="H999" s="2" t="s">
        <v>1106</v>
      </c>
      <c r="I999" s="2" t="s">
        <v>22</v>
      </c>
      <c r="J999" s="2" t="s">
        <v>1775</v>
      </c>
      <c r="K999" s="2" t="s">
        <v>495</v>
      </c>
      <c r="L999" s="13" t="s">
        <v>496</v>
      </c>
      <c r="M999" s="2" t="s">
        <v>26</v>
      </c>
      <c r="N999" s="11" t="s">
        <v>576</v>
      </c>
      <c r="O999" s="12" t="s">
        <v>53</v>
      </c>
      <c r="P999" s="5" t="str">
        <f>IFERROR(__xludf.DUMMYFUNCTION("TEXTJOIN("" | "",TRUE,IF(OR(D999="""",E999="""",I999="""",J999="""",H999=""""),""ফাঁকা ঘর"",""""),IF(AND(C999&lt;&gt;"""",D999&lt;&gt;"""",C999=D999),""gloss=figurative"",""""),IF(LEN(D999)&lt;15,""figurative ছোট"",""""),IF(AND(I999=""Positive"",REGEXMATCH(H999,""মূর্খ|"&amp;"ভণ্ড|প্রতার|অলস|লোভ|স্বার্থ|অক্ষম|অযোগ্য|বোকা|কৃপণ|হিংস"")),""valence-target অমিল"",""""),IF(COUNTIF($B:$B,B999)&gt;1,""ডুপ্লিকেট"",""""))"),"figurative ছোট")</f>
        <v>figurative ছোট</v>
      </c>
      <c r="Q999" s="5" t="str">
        <f t="shared" si="1"/>
        <v>১ আগে দেখো</v>
      </c>
    </row>
    <row r="1000">
      <c r="A1000" s="4">
        <v>6479.0</v>
      </c>
      <c r="B1000" s="2" t="s">
        <v>4277</v>
      </c>
      <c r="C1000" s="2" t="s">
        <v>4278</v>
      </c>
      <c r="D1000" s="2" t="s">
        <v>2210</v>
      </c>
      <c r="E1000" s="2" t="s">
        <v>4279</v>
      </c>
      <c r="F1000" s="2" t="b">
        <v>1</v>
      </c>
      <c r="G1000" s="2" t="b">
        <v>0</v>
      </c>
      <c r="H1000" s="2" t="s">
        <v>37</v>
      </c>
      <c r="I1000" s="2" t="s">
        <v>49</v>
      </c>
      <c r="J1000" s="2" t="s">
        <v>1008</v>
      </c>
      <c r="K1000" s="2" t="s">
        <v>495</v>
      </c>
      <c r="L1000" s="13" t="s">
        <v>496</v>
      </c>
      <c r="M1000" s="2" t="s">
        <v>26</v>
      </c>
      <c r="N1000" s="11" t="s">
        <v>576</v>
      </c>
      <c r="O1000" s="12" t="s">
        <v>53</v>
      </c>
      <c r="P1000" s="5" t="str">
        <f>IFERROR(__xludf.DUMMYFUNCTION("TEXTJOIN("" | "",TRUE,IF(OR(D1000="""",E1000="""",I1000="""",J1000="""",H1000=""""),""ফাঁকা ঘর"",""""),IF(AND(C1000&lt;&gt;"""",D1000&lt;&gt;"""",C1000=D1000),""gloss=figurative"",""""),IF(LEN(D1000)&lt;15,""figurative ছোট"",""""),IF(AND(I1000=""Positive"",REGEXMATCH(H1"&amp;"000,""মূর্খ|ভণ্ড|প্রতার|অলস|লোভ|স্বার্থ|অক্ষম|অযোগ্য|বোকা|কৃপণ|হিংস"")),""valence-target অমিল"",""""),IF(COUNTIF($B:$B,B1000)&gt;1,""ডুপ্লিকেট"",""""))"),"figurative ছোট")</f>
        <v>figurative ছোট</v>
      </c>
      <c r="Q1000" s="5" t="str">
        <f t="shared" si="1"/>
        <v>১ আগে দেখো</v>
      </c>
    </row>
    <row r="1001">
      <c r="A1001" s="4">
        <v>6481.0</v>
      </c>
      <c r="B1001" s="2" t="s">
        <v>4280</v>
      </c>
      <c r="C1001" s="2" t="s">
        <v>4281</v>
      </c>
      <c r="D1001" s="2" t="s">
        <v>4282</v>
      </c>
      <c r="E1001" s="2" t="s">
        <v>4283</v>
      </c>
      <c r="F1001" s="2" t="b">
        <v>1</v>
      </c>
      <c r="G1001" s="2" t="b">
        <v>0</v>
      </c>
      <c r="H1001" s="2" t="s">
        <v>37</v>
      </c>
      <c r="I1001" s="2" t="s">
        <v>22</v>
      </c>
      <c r="J1001" s="2" t="s">
        <v>4284</v>
      </c>
      <c r="K1001" s="2" t="s">
        <v>495</v>
      </c>
      <c r="L1001" s="13" t="s">
        <v>496</v>
      </c>
      <c r="M1001" s="2" t="s">
        <v>26</v>
      </c>
      <c r="N1001" s="11" t="s">
        <v>576</v>
      </c>
      <c r="O1001" s="12" t="s">
        <v>53</v>
      </c>
      <c r="P1001" s="5" t="str">
        <f>IFERROR(__xludf.DUMMYFUNCTION("TEXTJOIN("" | "",TRUE,IF(OR(D1001="""",E1001="""",I1001="""",J1001="""",H1001=""""),""ফাঁকা ঘর"",""""),IF(AND(C1001&lt;&gt;"""",D1001&lt;&gt;"""",C1001=D1001),""gloss=figurative"",""""),IF(LEN(D1001)&lt;15,""figurative ছোট"",""""),IF(AND(I1001=""Positive"",REGEXMATCH(H1"&amp;"001,""মূর্খ|ভণ্ড|প্রতার|অলস|লোভ|স্বার্থ|অক্ষম|অযোগ্য|বোকা|কৃপণ|হিংস"")),""valence-target অমিল"",""""),IF(COUNTIF($B:$B,B1001)&gt;1,""ডুপ্লিকেট"",""""))"),"figurative ছোট")</f>
        <v>figurative ছোট</v>
      </c>
      <c r="Q1001" s="5" t="str">
        <f t="shared" si="1"/>
        <v>১ আগে দেখো</v>
      </c>
    </row>
    <row r="1002">
      <c r="A1002" s="4">
        <v>6483.0</v>
      </c>
      <c r="B1002" s="2" t="s">
        <v>4285</v>
      </c>
      <c r="C1002" s="2" t="s">
        <v>4286</v>
      </c>
      <c r="D1002" s="2" t="s">
        <v>4287</v>
      </c>
      <c r="E1002" s="2" t="s">
        <v>4288</v>
      </c>
      <c r="F1002" s="2" t="b">
        <v>1</v>
      </c>
      <c r="G1002" s="2" t="b">
        <v>0</v>
      </c>
      <c r="H1002" s="2" t="s">
        <v>37</v>
      </c>
      <c r="I1002" s="2" t="s">
        <v>49</v>
      </c>
      <c r="J1002" s="2" t="s">
        <v>1239</v>
      </c>
      <c r="K1002" s="2" t="s">
        <v>495</v>
      </c>
      <c r="L1002" s="13" t="s">
        <v>496</v>
      </c>
      <c r="M1002" s="2" t="s">
        <v>26</v>
      </c>
      <c r="N1002" s="11" t="s">
        <v>576</v>
      </c>
      <c r="O1002" s="12" t="s">
        <v>53</v>
      </c>
      <c r="P1002" s="5" t="str">
        <f>IFERROR(__xludf.DUMMYFUNCTION("TEXTJOIN("" | "",TRUE,IF(OR(D1002="""",E1002="""",I1002="""",J1002="""",H1002=""""),""ফাঁকা ঘর"",""""),IF(AND(C1002&lt;&gt;"""",D1002&lt;&gt;"""",C1002=D1002),""gloss=figurative"",""""),IF(LEN(D1002)&lt;15,""figurative ছোট"",""""),IF(AND(I1002=""Positive"",REGEXMATCH(H1"&amp;"002,""মূর্খ|ভণ্ড|প্রতার|অলস|লোভ|স্বার্থ|অক্ষম|অযোগ্য|বোকা|কৃপণ|হিংস"")),""valence-target অমিল"",""""),IF(COUNTIF($B:$B,B1002)&gt;1,""ডুপ্লিকেট"",""""))"),"figurative ছোট")</f>
        <v>figurative ছোট</v>
      </c>
      <c r="Q1002" s="5" t="str">
        <f t="shared" si="1"/>
        <v>১ আগে দেখো</v>
      </c>
    </row>
    <row r="1003">
      <c r="A1003" s="4">
        <v>6489.0</v>
      </c>
      <c r="B1003" s="2" t="s">
        <v>4289</v>
      </c>
      <c r="C1003" s="2" t="s">
        <v>4290</v>
      </c>
      <c r="D1003" s="2" t="s">
        <v>4291</v>
      </c>
      <c r="E1003" s="2" t="s">
        <v>4292</v>
      </c>
      <c r="F1003" s="2" t="b">
        <v>1</v>
      </c>
      <c r="G1003" s="2" t="b">
        <v>0</v>
      </c>
      <c r="H1003" s="2" t="s">
        <v>37</v>
      </c>
      <c r="I1003" s="2" t="s">
        <v>49</v>
      </c>
      <c r="J1003" s="2" t="s">
        <v>581</v>
      </c>
      <c r="K1003" s="2" t="s">
        <v>495</v>
      </c>
      <c r="L1003" s="13" t="s">
        <v>496</v>
      </c>
      <c r="M1003" s="2" t="s">
        <v>26</v>
      </c>
      <c r="N1003" s="11" t="s">
        <v>576</v>
      </c>
      <c r="O1003" s="12" t="s">
        <v>53</v>
      </c>
      <c r="P1003" s="5" t="str">
        <f>IFERROR(__xludf.DUMMYFUNCTION("TEXTJOIN("" | "",TRUE,IF(OR(D1003="""",E1003="""",I1003="""",J1003="""",H1003=""""),""ফাঁকা ঘর"",""""),IF(AND(C1003&lt;&gt;"""",D1003&lt;&gt;"""",C1003=D1003),""gloss=figurative"",""""),IF(LEN(D1003)&lt;15,""figurative ছোট"",""""),IF(AND(I1003=""Positive"",REGEXMATCH(H1"&amp;"003,""মূর্খ|ভণ্ড|প্রতার|অলস|লোভ|স্বার্থ|অক্ষম|অযোগ্য|বোকা|কৃপণ|হিংস"")),""valence-target অমিল"",""""),IF(COUNTIF($B:$B,B1003)&gt;1,""ডুপ্লিকেট"",""""))"),"figurative ছোট")</f>
        <v>figurative ছোট</v>
      </c>
      <c r="Q1003" s="5" t="str">
        <f t="shared" si="1"/>
        <v>১ আগে দেখো</v>
      </c>
    </row>
    <row r="1004">
      <c r="A1004" s="4">
        <v>6493.0</v>
      </c>
      <c r="B1004" s="2" t="s">
        <v>4293</v>
      </c>
      <c r="C1004" s="2" t="s">
        <v>4294</v>
      </c>
      <c r="D1004" s="2" t="s">
        <v>3585</v>
      </c>
      <c r="E1004" s="2" t="s">
        <v>4295</v>
      </c>
      <c r="F1004" s="2" t="b">
        <v>1</v>
      </c>
      <c r="G1004" s="2" t="b">
        <v>0</v>
      </c>
      <c r="H1004" s="2" t="s">
        <v>37</v>
      </c>
      <c r="I1004" s="2" t="s">
        <v>49</v>
      </c>
      <c r="J1004" s="2" t="s">
        <v>3585</v>
      </c>
      <c r="K1004" s="2" t="s">
        <v>495</v>
      </c>
      <c r="L1004" s="13" t="s">
        <v>496</v>
      </c>
      <c r="M1004" s="2" t="s">
        <v>26</v>
      </c>
      <c r="N1004" s="11" t="s">
        <v>576</v>
      </c>
      <c r="O1004" s="12" t="s">
        <v>53</v>
      </c>
      <c r="P1004" s="5" t="str">
        <f>IFERROR(__xludf.DUMMYFUNCTION("TEXTJOIN("" | "",TRUE,IF(OR(D1004="""",E1004="""",I1004="""",J1004="""",H1004=""""),""ফাঁকা ঘর"",""""),IF(AND(C1004&lt;&gt;"""",D1004&lt;&gt;"""",C1004=D1004),""gloss=figurative"",""""),IF(LEN(D1004)&lt;15,""figurative ছোট"",""""),IF(AND(I1004=""Positive"",REGEXMATCH(H1"&amp;"004,""মূর্খ|ভণ্ড|প্রতার|অলস|লোভ|স্বার্থ|অক্ষম|অযোগ্য|বোকা|কৃপণ|হিংস"")),""valence-target অমিল"",""""),IF(COUNTIF($B:$B,B1004)&gt;1,""ডুপ্লিকেট"",""""))"),"figurative ছোট")</f>
        <v>figurative ছোট</v>
      </c>
      <c r="Q1004" s="5" t="str">
        <f t="shared" si="1"/>
        <v>১ আগে দেখো</v>
      </c>
    </row>
    <row r="1005">
      <c r="A1005" s="4">
        <v>6494.0</v>
      </c>
      <c r="B1005" s="2" t="s">
        <v>4296</v>
      </c>
      <c r="C1005" s="2" t="s">
        <v>4297</v>
      </c>
      <c r="D1005" s="2" t="s">
        <v>4298</v>
      </c>
      <c r="E1005" s="2" t="s">
        <v>4299</v>
      </c>
      <c r="F1005" s="2" t="b">
        <v>1</v>
      </c>
      <c r="G1005" s="2" t="b">
        <v>1</v>
      </c>
      <c r="H1005" s="2" t="s">
        <v>1106</v>
      </c>
      <c r="I1005" s="2" t="s">
        <v>49</v>
      </c>
      <c r="J1005" s="2" t="s">
        <v>1315</v>
      </c>
      <c r="K1005" s="2" t="s">
        <v>495</v>
      </c>
      <c r="L1005" s="13" t="s">
        <v>496</v>
      </c>
      <c r="M1005" s="2" t="s">
        <v>26</v>
      </c>
      <c r="N1005" s="11" t="s">
        <v>576</v>
      </c>
      <c r="O1005" s="12" t="s">
        <v>53</v>
      </c>
      <c r="P1005" s="5" t="str">
        <f>IFERROR(__xludf.DUMMYFUNCTION("TEXTJOIN("" | "",TRUE,IF(OR(D1005="""",E1005="""",I1005="""",J1005="""",H1005=""""),""ফাঁকা ঘর"",""""),IF(AND(C1005&lt;&gt;"""",D1005&lt;&gt;"""",C1005=D1005),""gloss=figurative"",""""),IF(LEN(D1005)&lt;15,""figurative ছোট"",""""),IF(AND(I1005=""Positive"",REGEXMATCH(H1"&amp;"005,""মূর্খ|ভণ্ড|প্রতার|অলস|লোভ|স্বার্থ|অক্ষম|অযোগ্য|বোকা|কৃপণ|হিংস"")),""valence-target অমিল"",""""),IF(COUNTIF($B:$B,B1005)&gt;1,""ডুপ্লিকেট"",""""))"),"figurative ছোট")</f>
        <v>figurative ছোট</v>
      </c>
      <c r="Q1005" s="5" t="str">
        <f t="shared" si="1"/>
        <v>১ আগে দেখো</v>
      </c>
    </row>
    <row r="1006">
      <c r="A1006" s="4">
        <v>6495.0</v>
      </c>
      <c r="B1006" s="2" t="s">
        <v>4300</v>
      </c>
      <c r="C1006" s="2" t="s">
        <v>4301</v>
      </c>
      <c r="D1006" s="2" t="s">
        <v>4302</v>
      </c>
      <c r="E1006" s="2" t="s">
        <v>4303</v>
      </c>
      <c r="F1006" s="2" t="b">
        <v>1</v>
      </c>
      <c r="G1006" s="2" t="b">
        <v>0</v>
      </c>
      <c r="H1006" s="2" t="s">
        <v>37</v>
      </c>
      <c r="I1006" s="2" t="s">
        <v>22</v>
      </c>
      <c r="J1006" s="2" t="s">
        <v>581</v>
      </c>
      <c r="K1006" s="2" t="s">
        <v>495</v>
      </c>
      <c r="L1006" s="13" t="s">
        <v>496</v>
      </c>
      <c r="M1006" s="2" t="s">
        <v>26</v>
      </c>
      <c r="N1006" s="11" t="s">
        <v>576</v>
      </c>
      <c r="O1006" s="12" t="s">
        <v>53</v>
      </c>
      <c r="P1006" s="5" t="str">
        <f>IFERROR(__xludf.DUMMYFUNCTION("TEXTJOIN("" | "",TRUE,IF(OR(D1006="""",E1006="""",I1006="""",J1006="""",H1006=""""),""ফাঁকা ঘর"",""""),IF(AND(C1006&lt;&gt;"""",D1006&lt;&gt;"""",C1006=D1006),""gloss=figurative"",""""),IF(LEN(D1006)&lt;15,""figurative ছোট"",""""),IF(AND(I1006=""Positive"",REGEXMATCH(H1"&amp;"006,""মূর্খ|ভণ্ড|প্রতার|অলস|লোভ|স্বার্থ|অক্ষম|অযোগ্য|বোকা|কৃপণ|হিংস"")),""valence-target অমিল"",""""),IF(COUNTIF($B:$B,B1006)&gt;1,""ডুপ্লিকেট"",""""))"),"figurative ছোট")</f>
        <v>figurative ছোট</v>
      </c>
      <c r="Q1006" s="5" t="str">
        <f t="shared" si="1"/>
        <v>১ আগে দেখো</v>
      </c>
    </row>
    <row r="1007">
      <c r="A1007" s="4">
        <v>6496.0</v>
      </c>
      <c r="B1007" s="2" t="s">
        <v>4304</v>
      </c>
      <c r="C1007" s="2" t="s">
        <v>4305</v>
      </c>
      <c r="D1007" s="2" t="s">
        <v>4306</v>
      </c>
      <c r="E1007" s="2" t="s">
        <v>4307</v>
      </c>
      <c r="F1007" s="2" t="b">
        <v>1</v>
      </c>
      <c r="G1007" s="2" t="b">
        <v>0</v>
      </c>
      <c r="H1007" s="2" t="s">
        <v>37</v>
      </c>
      <c r="I1007" s="2" t="s">
        <v>22</v>
      </c>
      <c r="J1007" s="2" t="s">
        <v>4308</v>
      </c>
      <c r="K1007" s="2" t="s">
        <v>495</v>
      </c>
      <c r="L1007" s="13" t="s">
        <v>496</v>
      </c>
      <c r="M1007" s="2" t="s">
        <v>26</v>
      </c>
      <c r="N1007" s="11" t="s">
        <v>576</v>
      </c>
      <c r="O1007" s="12" t="s">
        <v>53</v>
      </c>
      <c r="P1007" s="5" t="str">
        <f>IFERROR(__xludf.DUMMYFUNCTION("TEXTJOIN("" | "",TRUE,IF(OR(D1007="""",E1007="""",I1007="""",J1007="""",H1007=""""),""ফাঁকা ঘর"",""""),IF(AND(C1007&lt;&gt;"""",D1007&lt;&gt;"""",C1007=D1007),""gloss=figurative"",""""),IF(LEN(D1007)&lt;15,""figurative ছোট"",""""),IF(AND(I1007=""Positive"",REGEXMATCH(H1"&amp;"007,""মূর্খ|ভণ্ড|প্রতার|অলস|লোভ|স্বার্থ|অক্ষম|অযোগ্য|বোকা|কৃপণ|হিংস"")),""valence-target অমিল"",""""),IF(COUNTIF($B:$B,B1007)&gt;1,""ডুপ্লিকেট"",""""))"),"figurative ছোট")</f>
        <v>figurative ছোট</v>
      </c>
      <c r="Q1007" s="5" t="str">
        <f t="shared" si="1"/>
        <v>১ আগে দেখো</v>
      </c>
    </row>
    <row r="1008">
      <c r="A1008" s="4">
        <v>6497.0</v>
      </c>
      <c r="B1008" s="2" t="s">
        <v>4309</v>
      </c>
      <c r="C1008" s="2" t="s">
        <v>4310</v>
      </c>
      <c r="D1008" s="2" t="s">
        <v>4311</v>
      </c>
      <c r="E1008" s="2" t="s">
        <v>4312</v>
      </c>
      <c r="F1008" s="2" t="b">
        <v>1</v>
      </c>
      <c r="G1008" s="2" t="b">
        <v>0</v>
      </c>
      <c r="H1008" s="2" t="s">
        <v>37</v>
      </c>
      <c r="I1008" s="2" t="s">
        <v>22</v>
      </c>
      <c r="J1008" s="2" t="s">
        <v>4308</v>
      </c>
      <c r="K1008" s="2" t="s">
        <v>495</v>
      </c>
      <c r="L1008" s="13" t="s">
        <v>496</v>
      </c>
      <c r="M1008" s="2" t="s">
        <v>26</v>
      </c>
      <c r="N1008" s="11" t="s">
        <v>576</v>
      </c>
      <c r="O1008" s="12" t="s">
        <v>53</v>
      </c>
      <c r="P1008" s="5" t="str">
        <f>IFERROR(__xludf.DUMMYFUNCTION("TEXTJOIN("" | "",TRUE,IF(OR(D1008="""",E1008="""",I1008="""",J1008="""",H1008=""""),""ফাঁকা ঘর"",""""),IF(AND(C1008&lt;&gt;"""",D1008&lt;&gt;"""",C1008=D1008),""gloss=figurative"",""""),IF(LEN(D1008)&lt;15,""figurative ছোট"",""""),IF(AND(I1008=""Positive"",REGEXMATCH(H1"&amp;"008,""মূর্খ|ভণ্ড|প্রতার|অলস|লোভ|স্বার্থ|অক্ষম|অযোগ্য|বোকা|কৃপণ|হিংস"")),""valence-target অমিল"",""""),IF(COUNTIF($B:$B,B1008)&gt;1,""ডুপ্লিকেট"",""""))"),"figurative ছোট")</f>
        <v>figurative ছোট</v>
      </c>
      <c r="Q1008" s="5" t="str">
        <f t="shared" si="1"/>
        <v>১ আগে দেখো</v>
      </c>
    </row>
    <row r="1009">
      <c r="A1009" s="4">
        <v>6498.0</v>
      </c>
      <c r="B1009" s="2" t="s">
        <v>4313</v>
      </c>
      <c r="C1009" s="2" t="s">
        <v>4313</v>
      </c>
      <c r="D1009" s="2" t="s">
        <v>4314</v>
      </c>
      <c r="E1009" s="2" t="s">
        <v>4315</v>
      </c>
      <c r="F1009" s="2" t="b">
        <v>1</v>
      </c>
      <c r="G1009" s="2" t="b">
        <v>0</v>
      </c>
      <c r="H1009" s="2" t="s">
        <v>1334</v>
      </c>
      <c r="I1009" s="2" t="s">
        <v>22</v>
      </c>
      <c r="J1009" s="2" t="s">
        <v>447</v>
      </c>
      <c r="K1009" s="2" t="s">
        <v>495</v>
      </c>
      <c r="L1009" s="13" t="s">
        <v>496</v>
      </c>
      <c r="M1009" s="2" t="s">
        <v>26</v>
      </c>
      <c r="N1009" s="11" t="s">
        <v>576</v>
      </c>
      <c r="O1009" s="12" t="s">
        <v>53</v>
      </c>
      <c r="P1009" s="5" t="str">
        <f>IFERROR(__xludf.DUMMYFUNCTION("TEXTJOIN("" | "",TRUE,IF(OR(D1009="""",E1009="""",I1009="""",J1009="""",H1009=""""),""ফাঁকা ঘর"",""""),IF(AND(C1009&lt;&gt;"""",D1009&lt;&gt;"""",C1009=D1009),""gloss=figurative"",""""),IF(LEN(D1009)&lt;15,""figurative ছোট"",""""),IF(AND(I1009=""Positive"",REGEXMATCH(H1"&amp;"009,""মূর্খ|ভণ্ড|প্রতার|অলস|লোভ|স্বার্থ|অক্ষম|অযোগ্য|বোকা|কৃপণ|হিংস"")),""valence-target অমিল"",""""),IF(COUNTIF($B:$B,B1009)&gt;1,""ডুপ্লিকেট"",""""))"),"figurative ছোট")</f>
        <v>figurative ছোট</v>
      </c>
      <c r="Q1009" s="5" t="str">
        <f t="shared" si="1"/>
        <v>১ আগে দেখো</v>
      </c>
    </row>
    <row r="1010">
      <c r="A1010" s="4">
        <v>6500.0</v>
      </c>
      <c r="B1010" s="2" t="s">
        <v>4316</v>
      </c>
      <c r="C1010" s="2" t="s">
        <v>4317</v>
      </c>
      <c r="D1010" s="2" t="s">
        <v>4318</v>
      </c>
      <c r="E1010" s="2" t="s">
        <v>4319</v>
      </c>
      <c r="F1010" s="2" t="b">
        <v>1</v>
      </c>
      <c r="G1010" s="2" t="b">
        <v>0</v>
      </c>
      <c r="H1010" s="2" t="s">
        <v>37</v>
      </c>
      <c r="I1010" s="2" t="s">
        <v>32</v>
      </c>
      <c r="J1010" s="2" t="s">
        <v>830</v>
      </c>
      <c r="K1010" s="2" t="s">
        <v>495</v>
      </c>
      <c r="L1010" s="13" t="s">
        <v>496</v>
      </c>
      <c r="M1010" s="2" t="s">
        <v>26</v>
      </c>
      <c r="N1010" s="11" t="s">
        <v>4320</v>
      </c>
      <c r="O1010" s="12" t="s">
        <v>53</v>
      </c>
      <c r="P1010" s="5" t="str">
        <f>IFERROR(__xludf.DUMMYFUNCTION("TEXTJOIN("" | "",TRUE,IF(OR(D1010="""",E1010="""",I1010="""",J1010="""",H1010=""""),""ফাঁকা ঘর"",""""),IF(AND(C1010&lt;&gt;"""",D1010&lt;&gt;"""",C1010=D1010),""gloss=figurative"",""""),IF(LEN(D1010)&lt;15,""figurative ছোট"",""""),IF(AND(I1010=""Positive"",REGEXMATCH(H1"&amp;"010,""মূর্খ|ভণ্ড|প্রতার|অলস|লোভ|স্বার্থ|অক্ষম|অযোগ্য|বোকা|কৃপণ|হিংস"")),""valence-target অমিল"",""""),IF(COUNTIF($B:$B,B1010)&gt;1,""ডুপ্লিকেট"",""""))"),"figurative ছোট")</f>
        <v>figurative ছোট</v>
      </c>
      <c r="Q1010" s="5" t="str">
        <f t="shared" si="1"/>
        <v>১ আগে দেখো</v>
      </c>
    </row>
    <row r="1011">
      <c r="A1011" s="4">
        <v>6502.0</v>
      </c>
      <c r="B1011" s="2" t="s">
        <v>4321</v>
      </c>
      <c r="C1011" s="2" t="s">
        <v>4322</v>
      </c>
      <c r="D1011" s="2" t="s">
        <v>2243</v>
      </c>
      <c r="E1011" s="2" t="s">
        <v>4323</v>
      </c>
      <c r="F1011" s="2" t="b">
        <v>1</v>
      </c>
      <c r="G1011" s="2" t="b">
        <v>0</v>
      </c>
      <c r="H1011" s="2" t="s">
        <v>2243</v>
      </c>
      <c r="I1011" s="2" t="s">
        <v>22</v>
      </c>
      <c r="J1011" s="2" t="s">
        <v>820</v>
      </c>
      <c r="K1011" s="2" t="s">
        <v>495</v>
      </c>
      <c r="L1011" s="13" t="s">
        <v>496</v>
      </c>
      <c r="M1011" s="2" t="s">
        <v>26</v>
      </c>
      <c r="N1011" s="11" t="s">
        <v>576</v>
      </c>
      <c r="O1011" s="12" t="s">
        <v>53</v>
      </c>
      <c r="P1011" s="5" t="str">
        <f>IFERROR(__xludf.DUMMYFUNCTION("TEXTJOIN("" | "",TRUE,IF(OR(D1011="""",E1011="""",I1011="""",J1011="""",H1011=""""),""ফাঁকা ঘর"",""""),IF(AND(C1011&lt;&gt;"""",D1011&lt;&gt;"""",C1011=D1011),""gloss=figurative"",""""),IF(LEN(D1011)&lt;15,""figurative ছোট"",""""),IF(AND(I1011=""Positive"",REGEXMATCH(H1"&amp;"011,""মূর্খ|ভণ্ড|প্রতার|অলস|লোভ|স্বার্থ|অক্ষম|অযোগ্য|বোকা|কৃপণ|হিংস"")),""valence-target অমিল"",""""),IF(COUNTIF($B:$B,B1011)&gt;1,""ডুপ্লিকেট"",""""))"),"figurative ছোট")</f>
        <v>figurative ছোট</v>
      </c>
      <c r="Q1011" s="5" t="str">
        <f t="shared" si="1"/>
        <v>১ আগে দেখো</v>
      </c>
    </row>
    <row r="1012">
      <c r="A1012" s="4">
        <v>6503.0</v>
      </c>
      <c r="B1012" s="2" t="s">
        <v>4324</v>
      </c>
      <c r="C1012" s="2" t="s">
        <v>4325</v>
      </c>
      <c r="D1012" s="2" t="s">
        <v>4326</v>
      </c>
      <c r="E1012" s="2" t="s">
        <v>4327</v>
      </c>
      <c r="F1012" s="2" t="b">
        <v>1</v>
      </c>
      <c r="G1012" s="2" t="b">
        <v>0</v>
      </c>
      <c r="H1012" s="2" t="s">
        <v>37</v>
      </c>
      <c r="I1012" s="2" t="s">
        <v>49</v>
      </c>
      <c r="J1012" s="2" t="s">
        <v>581</v>
      </c>
      <c r="K1012" s="2" t="s">
        <v>495</v>
      </c>
      <c r="L1012" s="13" t="s">
        <v>496</v>
      </c>
      <c r="M1012" s="2" t="s">
        <v>26</v>
      </c>
      <c r="N1012" s="11" t="s">
        <v>576</v>
      </c>
      <c r="O1012" s="12" t="s">
        <v>53</v>
      </c>
      <c r="P1012" s="5" t="str">
        <f>IFERROR(__xludf.DUMMYFUNCTION("TEXTJOIN("" | "",TRUE,IF(OR(D1012="""",E1012="""",I1012="""",J1012="""",H1012=""""),""ফাঁকা ঘর"",""""),IF(AND(C1012&lt;&gt;"""",D1012&lt;&gt;"""",C1012=D1012),""gloss=figurative"",""""),IF(LEN(D1012)&lt;15,""figurative ছোট"",""""),IF(AND(I1012=""Positive"",REGEXMATCH(H1"&amp;"012,""মূর্খ|ভণ্ড|প্রতার|অলস|লোভ|স্বার্থ|অক্ষম|অযোগ্য|বোকা|কৃপণ|হিংস"")),""valence-target অমিল"",""""),IF(COUNTIF($B:$B,B1012)&gt;1,""ডুপ্লিকেট"",""""))"),"figurative ছোট")</f>
        <v>figurative ছোট</v>
      </c>
      <c r="Q1012" s="5" t="str">
        <f t="shared" si="1"/>
        <v>১ আগে দেখো</v>
      </c>
    </row>
    <row r="1013">
      <c r="A1013" s="4">
        <v>6504.0</v>
      </c>
      <c r="B1013" s="2" t="s">
        <v>4328</v>
      </c>
      <c r="C1013" s="2" t="s">
        <v>4329</v>
      </c>
      <c r="D1013" s="2" t="s">
        <v>4330</v>
      </c>
      <c r="E1013" s="2" t="s">
        <v>4331</v>
      </c>
      <c r="F1013" s="2" t="b">
        <v>1</v>
      </c>
      <c r="G1013" s="2" t="b">
        <v>0</v>
      </c>
      <c r="H1013" s="2" t="s">
        <v>37</v>
      </c>
      <c r="I1013" s="2" t="s">
        <v>32</v>
      </c>
      <c r="J1013" s="2" t="s">
        <v>3615</v>
      </c>
      <c r="K1013" s="2" t="s">
        <v>495</v>
      </c>
      <c r="L1013" s="13" t="s">
        <v>496</v>
      </c>
      <c r="M1013" s="2" t="s">
        <v>26</v>
      </c>
      <c r="N1013" s="11" t="s">
        <v>576</v>
      </c>
      <c r="O1013" s="12" t="s">
        <v>53</v>
      </c>
      <c r="P1013" s="5" t="str">
        <f>IFERROR(__xludf.DUMMYFUNCTION("TEXTJOIN("" | "",TRUE,IF(OR(D1013="""",E1013="""",I1013="""",J1013="""",H1013=""""),""ফাঁকা ঘর"",""""),IF(AND(C1013&lt;&gt;"""",D1013&lt;&gt;"""",C1013=D1013),""gloss=figurative"",""""),IF(LEN(D1013)&lt;15,""figurative ছোট"",""""),IF(AND(I1013=""Positive"",REGEXMATCH(H1"&amp;"013,""মূর্খ|ভণ্ড|প্রতার|অলস|লোভ|স্বার্থ|অক্ষম|অযোগ্য|বোকা|কৃপণ|হিংস"")),""valence-target অমিল"",""""),IF(COUNTIF($B:$B,B1013)&gt;1,""ডুপ্লিকেট"",""""))"),"figurative ছোট")</f>
        <v>figurative ছোট</v>
      </c>
      <c r="Q1013" s="5" t="str">
        <f t="shared" si="1"/>
        <v>১ আগে দেখো</v>
      </c>
    </row>
    <row r="1014">
      <c r="A1014" s="4">
        <v>6505.0</v>
      </c>
      <c r="B1014" s="2" t="s">
        <v>4332</v>
      </c>
      <c r="C1014" s="2" t="s">
        <v>4333</v>
      </c>
      <c r="D1014" s="2" t="s">
        <v>2243</v>
      </c>
      <c r="E1014" s="2" t="s">
        <v>4334</v>
      </c>
      <c r="F1014" s="2" t="b">
        <v>1</v>
      </c>
      <c r="G1014" s="2" t="b">
        <v>0</v>
      </c>
      <c r="H1014" s="2" t="s">
        <v>2243</v>
      </c>
      <c r="I1014" s="2" t="s">
        <v>22</v>
      </c>
      <c r="J1014" s="2" t="s">
        <v>820</v>
      </c>
      <c r="K1014" s="2" t="s">
        <v>495</v>
      </c>
      <c r="L1014" s="13" t="s">
        <v>496</v>
      </c>
      <c r="M1014" s="2" t="s">
        <v>26</v>
      </c>
      <c r="N1014" s="11" t="s">
        <v>576</v>
      </c>
      <c r="O1014" s="12" t="s">
        <v>53</v>
      </c>
      <c r="P1014" s="5" t="str">
        <f>IFERROR(__xludf.DUMMYFUNCTION("TEXTJOIN("" | "",TRUE,IF(OR(D1014="""",E1014="""",I1014="""",J1014="""",H1014=""""),""ফাঁকা ঘর"",""""),IF(AND(C1014&lt;&gt;"""",D1014&lt;&gt;"""",C1014=D1014),""gloss=figurative"",""""),IF(LEN(D1014)&lt;15,""figurative ছোট"",""""),IF(AND(I1014=""Positive"",REGEXMATCH(H1"&amp;"014,""মূর্খ|ভণ্ড|প্রতার|অলস|লোভ|স্বার্থ|অক্ষম|অযোগ্য|বোকা|কৃপণ|হিংস"")),""valence-target অমিল"",""""),IF(COUNTIF($B:$B,B1014)&gt;1,""ডুপ্লিকেট"",""""))"),"figurative ছোট")</f>
        <v>figurative ছোট</v>
      </c>
      <c r="Q1014" s="5" t="str">
        <f t="shared" si="1"/>
        <v>১ আগে দেখো</v>
      </c>
    </row>
    <row r="1015">
      <c r="A1015" s="4">
        <v>6506.0</v>
      </c>
      <c r="B1015" s="2" t="s">
        <v>4335</v>
      </c>
      <c r="C1015" s="2" t="s">
        <v>4336</v>
      </c>
      <c r="D1015" s="2" t="s">
        <v>2243</v>
      </c>
      <c r="E1015" s="2" t="s">
        <v>4337</v>
      </c>
      <c r="F1015" s="2" t="b">
        <v>1</v>
      </c>
      <c r="G1015" s="2" t="b">
        <v>0</v>
      </c>
      <c r="H1015" s="2" t="s">
        <v>2243</v>
      </c>
      <c r="I1015" s="2" t="s">
        <v>22</v>
      </c>
      <c r="J1015" s="2" t="s">
        <v>820</v>
      </c>
      <c r="K1015" s="2" t="s">
        <v>495</v>
      </c>
      <c r="L1015" s="13" t="s">
        <v>496</v>
      </c>
      <c r="M1015" s="2" t="s">
        <v>26</v>
      </c>
      <c r="N1015" s="11" t="s">
        <v>576</v>
      </c>
      <c r="O1015" s="12" t="s">
        <v>53</v>
      </c>
      <c r="P1015" s="5" t="str">
        <f>IFERROR(__xludf.DUMMYFUNCTION("TEXTJOIN("" | "",TRUE,IF(OR(D1015="""",E1015="""",I1015="""",J1015="""",H1015=""""),""ফাঁকা ঘর"",""""),IF(AND(C1015&lt;&gt;"""",D1015&lt;&gt;"""",C1015=D1015),""gloss=figurative"",""""),IF(LEN(D1015)&lt;15,""figurative ছোট"",""""),IF(AND(I1015=""Positive"",REGEXMATCH(H1"&amp;"015,""মূর্খ|ভণ্ড|প্রতার|অলস|লোভ|স্বার্থ|অক্ষম|অযোগ্য|বোকা|কৃপণ|হিংস"")),""valence-target অমিল"",""""),IF(COUNTIF($B:$B,B1015)&gt;1,""ডুপ্লিকেট"",""""))"),"figurative ছোট")</f>
        <v>figurative ছোট</v>
      </c>
      <c r="Q1015" s="5" t="str">
        <f t="shared" si="1"/>
        <v>১ আগে দেখো</v>
      </c>
    </row>
    <row r="1016">
      <c r="A1016" s="4">
        <v>6507.0</v>
      </c>
      <c r="B1016" s="2" t="s">
        <v>4338</v>
      </c>
      <c r="C1016" s="2" t="s">
        <v>4339</v>
      </c>
      <c r="D1016" s="2" t="s">
        <v>2243</v>
      </c>
      <c r="E1016" s="2" t="s">
        <v>4340</v>
      </c>
      <c r="F1016" s="2" t="b">
        <v>1</v>
      </c>
      <c r="G1016" s="2" t="b">
        <v>0</v>
      </c>
      <c r="H1016" s="2" t="s">
        <v>2243</v>
      </c>
      <c r="I1016" s="2" t="s">
        <v>22</v>
      </c>
      <c r="J1016" s="2" t="s">
        <v>820</v>
      </c>
      <c r="K1016" s="2" t="s">
        <v>495</v>
      </c>
      <c r="L1016" s="13" t="s">
        <v>496</v>
      </c>
      <c r="M1016" s="2" t="s">
        <v>26</v>
      </c>
      <c r="N1016" s="11" t="s">
        <v>576</v>
      </c>
      <c r="O1016" s="12" t="s">
        <v>53</v>
      </c>
      <c r="P1016" s="5" t="str">
        <f>IFERROR(__xludf.DUMMYFUNCTION("TEXTJOIN("" | "",TRUE,IF(OR(D1016="""",E1016="""",I1016="""",J1016="""",H1016=""""),""ফাঁকা ঘর"",""""),IF(AND(C1016&lt;&gt;"""",D1016&lt;&gt;"""",C1016=D1016),""gloss=figurative"",""""),IF(LEN(D1016)&lt;15,""figurative ছোট"",""""),IF(AND(I1016=""Positive"",REGEXMATCH(H1"&amp;"016,""মূর্খ|ভণ্ড|প্রতার|অলস|লোভ|স্বার্থ|অক্ষম|অযোগ্য|বোকা|কৃপণ|হিংস"")),""valence-target অমিল"",""""),IF(COUNTIF($B:$B,B1016)&gt;1,""ডুপ্লিকেট"",""""))"),"figurative ছোট")</f>
        <v>figurative ছোট</v>
      </c>
      <c r="Q1016" s="5" t="str">
        <f t="shared" si="1"/>
        <v>১ আগে দেখো</v>
      </c>
    </row>
    <row r="1017">
      <c r="A1017" s="4">
        <v>6508.0</v>
      </c>
      <c r="B1017" s="2" t="s">
        <v>4341</v>
      </c>
      <c r="C1017" s="2" t="s">
        <v>4341</v>
      </c>
      <c r="D1017" s="2" t="s">
        <v>1712</v>
      </c>
      <c r="E1017" s="2" t="s">
        <v>4342</v>
      </c>
      <c r="F1017" s="2" t="b">
        <v>1</v>
      </c>
      <c r="G1017" s="2" t="b">
        <v>0</v>
      </c>
      <c r="H1017" s="2" t="s">
        <v>37</v>
      </c>
      <c r="I1017" s="2" t="s">
        <v>22</v>
      </c>
      <c r="J1017" s="2" t="s">
        <v>1712</v>
      </c>
      <c r="K1017" s="2" t="s">
        <v>495</v>
      </c>
      <c r="L1017" s="13" t="s">
        <v>496</v>
      </c>
      <c r="M1017" s="2" t="s">
        <v>26</v>
      </c>
      <c r="N1017" s="11" t="s">
        <v>576</v>
      </c>
      <c r="O1017" s="12" t="s">
        <v>53</v>
      </c>
      <c r="P1017" s="5" t="str">
        <f>IFERROR(__xludf.DUMMYFUNCTION("TEXTJOIN("" | "",TRUE,IF(OR(D1017="""",E1017="""",I1017="""",J1017="""",H1017=""""),""ফাঁকা ঘর"",""""),IF(AND(C1017&lt;&gt;"""",D1017&lt;&gt;"""",C1017=D1017),""gloss=figurative"",""""),IF(LEN(D1017)&lt;15,""figurative ছোট"",""""),IF(AND(I1017=""Positive"",REGEXMATCH(H1"&amp;"017,""মূর্খ|ভণ্ড|প্রতার|অলস|লোভ|স্বার্থ|অক্ষম|অযোগ্য|বোকা|কৃপণ|হিংস"")),""valence-target অমিল"",""""),IF(COUNTIF($B:$B,B1017)&gt;1,""ডুপ্লিকেট"",""""))"),"figurative ছোট")</f>
        <v>figurative ছোট</v>
      </c>
      <c r="Q1017" s="5" t="str">
        <f t="shared" si="1"/>
        <v>১ আগে দেখো</v>
      </c>
    </row>
    <row r="1018">
      <c r="A1018" s="4">
        <v>6509.0</v>
      </c>
      <c r="B1018" s="2" t="s">
        <v>4343</v>
      </c>
      <c r="C1018" s="2" t="s">
        <v>4344</v>
      </c>
      <c r="D1018" s="2" t="s">
        <v>4236</v>
      </c>
      <c r="E1018" s="2" t="s">
        <v>4345</v>
      </c>
      <c r="F1018" s="2" t="b">
        <v>1</v>
      </c>
      <c r="G1018" s="2" t="b">
        <v>0</v>
      </c>
      <c r="H1018" s="2" t="s">
        <v>37</v>
      </c>
      <c r="I1018" s="2" t="s">
        <v>22</v>
      </c>
      <c r="J1018" s="2" t="s">
        <v>581</v>
      </c>
      <c r="K1018" s="2" t="s">
        <v>495</v>
      </c>
      <c r="L1018" s="13" t="s">
        <v>496</v>
      </c>
      <c r="M1018" s="2" t="s">
        <v>26</v>
      </c>
      <c r="N1018" s="11" t="s">
        <v>576</v>
      </c>
      <c r="O1018" s="12" t="s">
        <v>53</v>
      </c>
      <c r="P1018" s="5" t="str">
        <f>IFERROR(__xludf.DUMMYFUNCTION("TEXTJOIN("" | "",TRUE,IF(OR(D1018="""",E1018="""",I1018="""",J1018="""",H1018=""""),""ফাঁকা ঘর"",""""),IF(AND(C1018&lt;&gt;"""",D1018&lt;&gt;"""",C1018=D1018),""gloss=figurative"",""""),IF(LEN(D1018)&lt;15,""figurative ছোট"",""""),IF(AND(I1018=""Positive"",REGEXMATCH(H1"&amp;"018,""মূর্খ|ভণ্ড|প্রতার|অলস|লোভ|স্বার্থ|অক্ষম|অযোগ্য|বোকা|কৃপণ|হিংস"")),""valence-target অমিল"",""""),IF(COUNTIF($B:$B,B1018)&gt;1,""ডুপ্লিকেট"",""""))"),"figurative ছোট")</f>
        <v>figurative ছোট</v>
      </c>
      <c r="Q1018" s="5" t="str">
        <f t="shared" si="1"/>
        <v>১ আগে দেখো</v>
      </c>
    </row>
    <row r="1019">
      <c r="A1019" s="4">
        <v>6510.0</v>
      </c>
      <c r="B1019" s="2" t="s">
        <v>4346</v>
      </c>
      <c r="C1019" s="2" t="s">
        <v>4346</v>
      </c>
      <c r="D1019" s="2" t="s">
        <v>4347</v>
      </c>
      <c r="E1019" s="2" t="s">
        <v>4348</v>
      </c>
      <c r="F1019" s="2" t="b">
        <v>1</v>
      </c>
      <c r="G1019" s="2" t="b">
        <v>0</v>
      </c>
      <c r="H1019" s="2" t="s">
        <v>4349</v>
      </c>
      <c r="I1019" s="2" t="s">
        <v>22</v>
      </c>
      <c r="J1019" s="2" t="s">
        <v>1962</v>
      </c>
      <c r="K1019" s="2" t="s">
        <v>495</v>
      </c>
      <c r="L1019" s="13" t="s">
        <v>496</v>
      </c>
      <c r="M1019" s="2" t="s">
        <v>26</v>
      </c>
      <c r="N1019" s="11" t="s">
        <v>576</v>
      </c>
      <c r="O1019" s="12" t="s">
        <v>53</v>
      </c>
      <c r="P1019" s="5" t="str">
        <f>IFERROR(__xludf.DUMMYFUNCTION("TEXTJOIN("" | "",TRUE,IF(OR(D1019="""",E1019="""",I1019="""",J1019="""",H1019=""""),""ফাঁকা ঘর"",""""),IF(AND(C1019&lt;&gt;"""",D1019&lt;&gt;"""",C1019=D1019),""gloss=figurative"",""""),IF(LEN(D1019)&lt;15,""figurative ছোট"",""""),IF(AND(I1019=""Positive"",REGEXMATCH(H1"&amp;"019,""মূর্খ|ভণ্ড|প্রতার|অলস|লোভ|স্বার্থ|অক্ষম|অযোগ্য|বোকা|কৃপণ|হিংস"")),""valence-target অমিল"",""""),IF(COUNTIF($B:$B,B1019)&gt;1,""ডুপ্লিকেট"",""""))"),"figurative ছোট")</f>
        <v>figurative ছোট</v>
      </c>
      <c r="Q1019" s="5" t="str">
        <f t="shared" si="1"/>
        <v>১ আগে দেখো</v>
      </c>
    </row>
    <row r="1020">
      <c r="A1020" s="4">
        <v>6511.0</v>
      </c>
      <c r="B1020" s="2" t="s">
        <v>4350</v>
      </c>
      <c r="C1020" s="2" t="s">
        <v>4351</v>
      </c>
      <c r="D1020" s="2" t="s">
        <v>2243</v>
      </c>
      <c r="E1020" s="2" t="s">
        <v>4352</v>
      </c>
      <c r="F1020" s="2" t="b">
        <v>1</v>
      </c>
      <c r="G1020" s="2" t="b">
        <v>0</v>
      </c>
      <c r="H1020" s="2" t="s">
        <v>2243</v>
      </c>
      <c r="I1020" s="2" t="s">
        <v>22</v>
      </c>
      <c r="J1020" s="2" t="s">
        <v>820</v>
      </c>
      <c r="K1020" s="2" t="s">
        <v>495</v>
      </c>
      <c r="L1020" s="13" t="s">
        <v>496</v>
      </c>
      <c r="M1020" s="2" t="s">
        <v>26</v>
      </c>
      <c r="N1020" s="11" t="s">
        <v>576</v>
      </c>
      <c r="O1020" s="12" t="s">
        <v>53</v>
      </c>
      <c r="P1020" s="5" t="str">
        <f>IFERROR(__xludf.DUMMYFUNCTION("TEXTJOIN("" | "",TRUE,IF(OR(D1020="""",E1020="""",I1020="""",J1020="""",H1020=""""),""ফাঁকা ঘর"",""""),IF(AND(C1020&lt;&gt;"""",D1020&lt;&gt;"""",C1020=D1020),""gloss=figurative"",""""),IF(LEN(D1020)&lt;15,""figurative ছোট"",""""),IF(AND(I1020=""Positive"",REGEXMATCH(H1"&amp;"020,""মূর্খ|ভণ্ড|প্রতার|অলস|লোভ|স্বার্থ|অক্ষম|অযোগ্য|বোকা|কৃপণ|হিংস"")),""valence-target অমিল"",""""),IF(COUNTIF($B:$B,B1020)&gt;1,""ডুপ্লিকেট"",""""))"),"figurative ছোট")</f>
        <v>figurative ছোট</v>
      </c>
      <c r="Q1020" s="5" t="str">
        <f t="shared" si="1"/>
        <v>১ আগে দেখো</v>
      </c>
    </row>
    <row r="1021">
      <c r="A1021" s="4">
        <v>6512.0</v>
      </c>
      <c r="B1021" s="2" t="s">
        <v>4353</v>
      </c>
      <c r="C1021" s="2" t="s">
        <v>4354</v>
      </c>
      <c r="D1021" s="2" t="s">
        <v>4355</v>
      </c>
      <c r="E1021" s="2" t="s">
        <v>4356</v>
      </c>
      <c r="F1021" s="2" t="b">
        <v>1</v>
      </c>
      <c r="G1021" s="2" t="b">
        <v>0</v>
      </c>
      <c r="H1021" s="2" t="s">
        <v>37</v>
      </c>
      <c r="I1021" s="2" t="s">
        <v>49</v>
      </c>
      <c r="J1021" s="2" t="s">
        <v>708</v>
      </c>
      <c r="K1021" s="2" t="s">
        <v>495</v>
      </c>
      <c r="L1021" s="13" t="s">
        <v>496</v>
      </c>
      <c r="M1021" s="2" t="s">
        <v>26</v>
      </c>
      <c r="N1021" s="11" t="s">
        <v>4357</v>
      </c>
      <c r="O1021" s="12" t="s">
        <v>53</v>
      </c>
      <c r="P1021" s="5" t="str">
        <f>IFERROR(__xludf.DUMMYFUNCTION("TEXTJOIN("" | "",TRUE,IF(OR(D1021="""",E1021="""",I1021="""",J1021="""",H1021=""""),""ফাঁকা ঘর"",""""),IF(AND(C1021&lt;&gt;"""",D1021&lt;&gt;"""",C1021=D1021),""gloss=figurative"",""""),IF(LEN(D1021)&lt;15,""figurative ছোট"",""""),IF(AND(I1021=""Positive"",REGEXMATCH(H1"&amp;"021,""মূর্খ|ভণ্ড|প্রতার|অলস|লোভ|স্বার্থ|অক্ষম|অযোগ্য|বোকা|কৃপণ|হিংস"")),""valence-target অমিল"",""""),IF(COUNTIF($B:$B,B1021)&gt;1,""ডুপ্লিকেট"",""""))"),"figurative ছোট")</f>
        <v>figurative ছোট</v>
      </c>
      <c r="Q1021" s="5" t="str">
        <f t="shared" si="1"/>
        <v>১ আগে দেখো</v>
      </c>
    </row>
    <row r="1022">
      <c r="A1022" s="4">
        <v>6513.0</v>
      </c>
      <c r="B1022" s="2" t="s">
        <v>4358</v>
      </c>
      <c r="C1022" s="2" t="s">
        <v>4359</v>
      </c>
      <c r="D1022" s="2" t="s">
        <v>4360</v>
      </c>
      <c r="E1022" s="2" t="s">
        <v>4361</v>
      </c>
      <c r="F1022" s="2" t="b">
        <v>1</v>
      </c>
      <c r="G1022" s="2" t="b">
        <v>0</v>
      </c>
      <c r="H1022" s="2" t="s">
        <v>37</v>
      </c>
      <c r="I1022" s="2" t="s">
        <v>49</v>
      </c>
      <c r="J1022" s="2" t="s">
        <v>708</v>
      </c>
      <c r="K1022" s="2" t="s">
        <v>495</v>
      </c>
      <c r="L1022" s="13" t="s">
        <v>496</v>
      </c>
      <c r="M1022" s="2" t="s">
        <v>26</v>
      </c>
      <c r="N1022" s="11" t="s">
        <v>4362</v>
      </c>
      <c r="O1022" s="12" t="s">
        <v>53</v>
      </c>
      <c r="P1022" s="5" t="str">
        <f>IFERROR(__xludf.DUMMYFUNCTION("TEXTJOIN("" | "",TRUE,IF(OR(D1022="""",E1022="""",I1022="""",J1022="""",H1022=""""),""ফাঁকা ঘর"",""""),IF(AND(C1022&lt;&gt;"""",D1022&lt;&gt;"""",C1022=D1022),""gloss=figurative"",""""),IF(LEN(D1022)&lt;15,""figurative ছোট"",""""),IF(AND(I1022=""Positive"",REGEXMATCH(H1"&amp;"022,""মূর্খ|ভণ্ড|প্রতার|অলস|লোভ|স্বার্থ|অক্ষম|অযোগ্য|বোকা|কৃপণ|হিংস"")),""valence-target অমিল"",""""),IF(COUNTIF($B:$B,B1022)&gt;1,""ডুপ্লিকেট"",""""))"),"figurative ছোট")</f>
        <v>figurative ছোট</v>
      </c>
      <c r="Q1022" s="5" t="str">
        <f t="shared" si="1"/>
        <v>১ আগে দেখো</v>
      </c>
    </row>
    <row r="1023">
      <c r="A1023" s="4">
        <v>6515.0</v>
      </c>
      <c r="B1023" s="2" t="s">
        <v>4363</v>
      </c>
      <c r="C1023" s="2" t="s">
        <v>4364</v>
      </c>
      <c r="D1023" s="2" t="s">
        <v>4177</v>
      </c>
      <c r="E1023" s="2" t="s">
        <v>4365</v>
      </c>
      <c r="F1023" s="2" t="b">
        <v>1</v>
      </c>
      <c r="G1023" s="2" t="b">
        <v>0</v>
      </c>
      <c r="H1023" s="2" t="s">
        <v>989</v>
      </c>
      <c r="I1023" s="2" t="s">
        <v>22</v>
      </c>
      <c r="J1023" s="2" t="s">
        <v>990</v>
      </c>
      <c r="K1023" s="2" t="s">
        <v>495</v>
      </c>
      <c r="L1023" s="13" t="s">
        <v>496</v>
      </c>
      <c r="M1023" s="2" t="s">
        <v>26</v>
      </c>
      <c r="N1023" s="11" t="s">
        <v>4366</v>
      </c>
      <c r="O1023" s="12" t="s">
        <v>53</v>
      </c>
      <c r="P1023" s="5" t="str">
        <f>IFERROR(__xludf.DUMMYFUNCTION("TEXTJOIN("" | "",TRUE,IF(OR(D1023="""",E1023="""",I1023="""",J1023="""",H1023=""""),""ফাঁকা ঘর"",""""),IF(AND(C1023&lt;&gt;"""",D1023&lt;&gt;"""",C1023=D1023),""gloss=figurative"",""""),IF(LEN(D1023)&lt;15,""figurative ছোট"",""""),IF(AND(I1023=""Positive"",REGEXMATCH(H1"&amp;"023,""মূর্খ|ভণ্ড|প্রতার|অলস|লোভ|স্বার্থ|অক্ষম|অযোগ্য|বোকা|কৃপণ|হিংস"")),""valence-target অমিল"",""""),IF(COUNTIF($B:$B,B1023)&gt;1,""ডুপ্লিকেট"",""""))"),"figurative ছোট")</f>
        <v>figurative ছোট</v>
      </c>
      <c r="Q1023" s="5" t="str">
        <f t="shared" si="1"/>
        <v>১ আগে দেখো</v>
      </c>
    </row>
    <row r="1024">
      <c r="A1024" s="4">
        <v>6518.0</v>
      </c>
      <c r="B1024" s="2" t="s">
        <v>4367</v>
      </c>
      <c r="C1024" s="2" t="s">
        <v>4368</v>
      </c>
      <c r="D1024" s="2" t="s">
        <v>3401</v>
      </c>
      <c r="E1024" s="2" t="s">
        <v>4369</v>
      </c>
      <c r="F1024" s="2" t="b">
        <v>1</v>
      </c>
      <c r="G1024" s="2" t="b">
        <v>0</v>
      </c>
      <c r="H1024" s="2" t="s">
        <v>37</v>
      </c>
      <c r="I1024" s="2" t="s">
        <v>22</v>
      </c>
      <c r="J1024" s="2" t="s">
        <v>1008</v>
      </c>
      <c r="K1024" s="2" t="s">
        <v>495</v>
      </c>
      <c r="L1024" s="13" t="s">
        <v>496</v>
      </c>
      <c r="M1024" s="2" t="s">
        <v>26</v>
      </c>
      <c r="N1024" s="11" t="s">
        <v>576</v>
      </c>
      <c r="O1024" s="12" t="s">
        <v>53</v>
      </c>
      <c r="P1024" s="5" t="str">
        <f>IFERROR(__xludf.DUMMYFUNCTION("TEXTJOIN("" | "",TRUE,IF(OR(D1024="""",E1024="""",I1024="""",J1024="""",H1024=""""),""ফাঁকা ঘর"",""""),IF(AND(C1024&lt;&gt;"""",D1024&lt;&gt;"""",C1024=D1024),""gloss=figurative"",""""),IF(LEN(D1024)&lt;15,""figurative ছোট"",""""),IF(AND(I1024=""Positive"",REGEXMATCH(H1"&amp;"024,""মূর্খ|ভণ্ড|প্রতার|অলস|লোভ|স্বার্থ|অক্ষম|অযোগ্য|বোকা|কৃপণ|হিংস"")),""valence-target অমিল"",""""),IF(COUNTIF($B:$B,B1024)&gt;1,""ডুপ্লিকেট"",""""))"),"figurative ছোট")</f>
        <v>figurative ছোট</v>
      </c>
      <c r="Q1024" s="5" t="str">
        <f t="shared" si="1"/>
        <v>১ আগে দেখো</v>
      </c>
    </row>
    <row r="1025">
      <c r="A1025" s="4">
        <v>6519.0</v>
      </c>
      <c r="B1025" s="2" t="s">
        <v>4370</v>
      </c>
      <c r="C1025" s="2" t="s">
        <v>4371</v>
      </c>
      <c r="D1025" s="2" t="s">
        <v>4372</v>
      </c>
      <c r="E1025" s="2" t="s">
        <v>4373</v>
      </c>
      <c r="F1025" s="2" t="b">
        <v>1</v>
      </c>
      <c r="G1025" s="2" t="b">
        <v>0</v>
      </c>
      <c r="H1025" s="2" t="s">
        <v>37</v>
      </c>
      <c r="I1025" s="2" t="s">
        <v>22</v>
      </c>
      <c r="J1025" s="2" t="s">
        <v>4374</v>
      </c>
      <c r="K1025" s="2" t="s">
        <v>495</v>
      </c>
      <c r="L1025" s="13" t="s">
        <v>496</v>
      </c>
      <c r="M1025" s="2" t="s">
        <v>26</v>
      </c>
      <c r="N1025" s="11" t="s">
        <v>4375</v>
      </c>
      <c r="O1025" s="12" t="s">
        <v>53</v>
      </c>
      <c r="P1025" s="5" t="str">
        <f>IFERROR(__xludf.DUMMYFUNCTION("TEXTJOIN("" | "",TRUE,IF(OR(D1025="""",E1025="""",I1025="""",J1025="""",H1025=""""),""ফাঁকা ঘর"",""""),IF(AND(C1025&lt;&gt;"""",D1025&lt;&gt;"""",C1025=D1025),""gloss=figurative"",""""),IF(LEN(D1025)&lt;15,""figurative ছোট"",""""),IF(AND(I1025=""Positive"",REGEXMATCH(H1"&amp;"025,""মূর্খ|ভণ্ড|প্রতার|অলস|লোভ|স্বার্থ|অক্ষম|অযোগ্য|বোকা|কৃপণ|হিংস"")),""valence-target অমিল"",""""),IF(COUNTIF($B:$B,B1025)&gt;1,""ডুপ্লিকেট"",""""))"),"figurative ছোট")</f>
        <v>figurative ছোট</v>
      </c>
      <c r="Q1025" s="5" t="str">
        <f t="shared" si="1"/>
        <v>১ আগে দেখো</v>
      </c>
    </row>
    <row r="1026">
      <c r="A1026" s="4">
        <v>6521.0</v>
      </c>
      <c r="B1026" s="2" t="s">
        <v>4376</v>
      </c>
      <c r="C1026" s="2" t="s">
        <v>4376</v>
      </c>
      <c r="D1026" s="2" t="s">
        <v>4377</v>
      </c>
      <c r="E1026" s="2" t="s">
        <v>4378</v>
      </c>
      <c r="F1026" s="2" t="b">
        <v>1</v>
      </c>
      <c r="G1026" s="2" t="b">
        <v>0</v>
      </c>
      <c r="H1026" s="2" t="s">
        <v>37</v>
      </c>
      <c r="I1026" s="2" t="s">
        <v>22</v>
      </c>
      <c r="J1026" s="2" t="s">
        <v>1630</v>
      </c>
      <c r="K1026" s="2" t="s">
        <v>495</v>
      </c>
      <c r="L1026" s="13" t="s">
        <v>496</v>
      </c>
      <c r="M1026" s="2" t="s">
        <v>26</v>
      </c>
      <c r="N1026" s="11" t="s">
        <v>576</v>
      </c>
      <c r="O1026" s="12" t="s">
        <v>53</v>
      </c>
      <c r="P1026" s="5" t="str">
        <f>IFERROR(__xludf.DUMMYFUNCTION("TEXTJOIN("" | "",TRUE,IF(OR(D1026="""",E1026="""",I1026="""",J1026="""",H1026=""""),""ফাঁকা ঘর"",""""),IF(AND(C1026&lt;&gt;"""",D1026&lt;&gt;"""",C1026=D1026),""gloss=figurative"",""""),IF(LEN(D1026)&lt;15,""figurative ছোট"",""""),IF(AND(I1026=""Positive"",REGEXMATCH(H1"&amp;"026,""মূর্খ|ভণ্ড|প্রতার|অলস|লোভ|স্বার্থ|অক্ষম|অযোগ্য|বোকা|কৃপণ|হিংস"")),""valence-target অমিল"",""""),IF(COUNTIF($B:$B,B1026)&gt;1,""ডুপ্লিকেট"",""""))"),"figurative ছোট")</f>
        <v>figurative ছোট</v>
      </c>
      <c r="Q1026" s="5" t="str">
        <f t="shared" si="1"/>
        <v>১ আগে দেখো</v>
      </c>
    </row>
    <row r="1027">
      <c r="A1027" s="4">
        <v>6522.0</v>
      </c>
      <c r="B1027" s="2" t="s">
        <v>4379</v>
      </c>
      <c r="C1027" s="2" t="s">
        <v>4380</v>
      </c>
      <c r="D1027" s="2" t="s">
        <v>4381</v>
      </c>
      <c r="E1027" s="2" t="s">
        <v>4382</v>
      </c>
      <c r="F1027" s="2" t="b">
        <v>1</v>
      </c>
      <c r="G1027" s="2" t="b">
        <v>0</v>
      </c>
      <c r="H1027" s="2" t="s">
        <v>37</v>
      </c>
      <c r="I1027" s="2" t="s">
        <v>22</v>
      </c>
      <c r="J1027" s="2" t="s">
        <v>1895</v>
      </c>
      <c r="K1027" s="2" t="s">
        <v>495</v>
      </c>
      <c r="L1027" s="13" t="s">
        <v>496</v>
      </c>
      <c r="M1027" s="2" t="s">
        <v>26</v>
      </c>
      <c r="N1027" s="11" t="s">
        <v>576</v>
      </c>
      <c r="O1027" s="12" t="s">
        <v>53</v>
      </c>
      <c r="P1027" s="5" t="str">
        <f>IFERROR(__xludf.DUMMYFUNCTION("TEXTJOIN("" | "",TRUE,IF(OR(D1027="""",E1027="""",I1027="""",J1027="""",H1027=""""),""ফাঁকা ঘর"",""""),IF(AND(C1027&lt;&gt;"""",D1027&lt;&gt;"""",C1027=D1027),""gloss=figurative"",""""),IF(LEN(D1027)&lt;15,""figurative ছোট"",""""),IF(AND(I1027=""Positive"",REGEXMATCH(H1"&amp;"027,""মূর্খ|ভণ্ড|প্রতার|অলস|লোভ|স্বার্থ|অক্ষম|অযোগ্য|বোকা|কৃপণ|হিংস"")),""valence-target অমিল"",""""),IF(COUNTIF($B:$B,B1027)&gt;1,""ডুপ্লিকেট"",""""))"),"figurative ছোট")</f>
        <v>figurative ছোট</v>
      </c>
      <c r="Q1027" s="5" t="str">
        <f t="shared" si="1"/>
        <v>১ আগে দেখো</v>
      </c>
    </row>
    <row r="1028">
      <c r="A1028" s="4">
        <v>6523.0</v>
      </c>
      <c r="B1028" s="2" t="s">
        <v>4383</v>
      </c>
      <c r="C1028" s="2" t="s">
        <v>4384</v>
      </c>
      <c r="D1028" s="2" t="s">
        <v>4385</v>
      </c>
      <c r="E1028" s="2" t="s">
        <v>4386</v>
      </c>
      <c r="F1028" s="2" t="b">
        <v>1</v>
      </c>
      <c r="G1028" s="2" t="b">
        <v>0</v>
      </c>
      <c r="H1028" s="2" t="s">
        <v>37</v>
      </c>
      <c r="I1028" s="2" t="s">
        <v>32</v>
      </c>
      <c r="J1028" s="2" t="s">
        <v>1635</v>
      </c>
      <c r="K1028" s="2" t="s">
        <v>495</v>
      </c>
      <c r="L1028" s="13" t="s">
        <v>496</v>
      </c>
      <c r="M1028" s="2" t="s">
        <v>26</v>
      </c>
      <c r="N1028" s="11" t="s">
        <v>576</v>
      </c>
      <c r="O1028" s="12" t="s">
        <v>53</v>
      </c>
      <c r="P1028" s="5" t="str">
        <f>IFERROR(__xludf.DUMMYFUNCTION("TEXTJOIN("" | "",TRUE,IF(OR(D1028="""",E1028="""",I1028="""",J1028="""",H1028=""""),""ফাঁকা ঘর"",""""),IF(AND(C1028&lt;&gt;"""",D1028&lt;&gt;"""",C1028=D1028),""gloss=figurative"",""""),IF(LEN(D1028)&lt;15,""figurative ছোট"",""""),IF(AND(I1028=""Positive"",REGEXMATCH(H1"&amp;"028,""মূর্খ|ভণ্ড|প্রতার|অলস|লোভ|স্বার্থ|অক্ষম|অযোগ্য|বোকা|কৃপণ|হিংস"")),""valence-target অমিল"",""""),IF(COUNTIF($B:$B,B1028)&gt;1,""ডুপ্লিকেট"",""""))"),"figurative ছোট")</f>
        <v>figurative ছোট</v>
      </c>
      <c r="Q1028" s="5" t="str">
        <f t="shared" si="1"/>
        <v>১ আগে দেখো</v>
      </c>
    </row>
    <row r="1029">
      <c r="A1029" s="4">
        <v>6525.0</v>
      </c>
      <c r="B1029" s="2" t="s">
        <v>4387</v>
      </c>
      <c r="C1029" s="2" t="s">
        <v>4388</v>
      </c>
      <c r="D1029" s="2" t="s">
        <v>857</v>
      </c>
      <c r="E1029" s="2" t="s">
        <v>4389</v>
      </c>
      <c r="F1029" s="2" t="b">
        <v>1</v>
      </c>
      <c r="G1029" s="2" t="b">
        <v>0</v>
      </c>
      <c r="H1029" s="2" t="s">
        <v>37</v>
      </c>
      <c r="I1029" s="2" t="s">
        <v>22</v>
      </c>
      <c r="J1029" s="2" t="s">
        <v>590</v>
      </c>
      <c r="K1029" s="2" t="s">
        <v>495</v>
      </c>
      <c r="L1029" s="13" t="s">
        <v>496</v>
      </c>
      <c r="M1029" s="2" t="s">
        <v>26</v>
      </c>
      <c r="N1029" s="11" t="s">
        <v>576</v>
      </c>
      <c r="O1029" s="12" t="s">
        <v>53</v>
      </c>
      <c r="P1029" s="5" t="str">
        <f>IFERROR(__xludf.DUMMYFUNCTION("TEXTJOIN("" | "",TRUE,IF(OR(D1029="""",E1029="""",I1029="""",J1029="""",H1029=""""),""ফাঁকা ঘর"",""""),IF(AND(C1029&lt;&gt;"""",D1029&lt;&gt;"""",C1029=D1029),""gloss=figurative"",""""),IF(LEN(D1029)&lt;15,""figurative ছোট"",""""),IF(AND(I1029=""Positive"",REGEXMATCH(H1"&amp;"029,""মূর্খ|ভণ্ড|প্রতার|অলস|লোভ|স্বার্থ|অক্ষম|অযোগ্য|বোকা|কৃপণ|হিংস"")),""valence-target অমিল"",""""),IF(COUNTIF($B:$B,B1029)&gt;1,""ডুপ্লিকেট"",""""))"),"figurative ছোট")</f>
        <v>figurative ছোট</v>
      </c>
      <c r="Q1029" s="5" t="str">
        <f t="shared" si="1"/>
        <v>১ আগে দেখো</v>
      </c>
    </row>
    <row r="1030">
      <c r="A1030" s="4">
        <v>6527.0</v>
      </c>
      <c r="B1030" s="2" t="s">
        <v>4390</v>
      </c>
      <c r="C1030" s="2" t="s">
        <v>4391</v>
      </c>
      <c r="D1030" s="2" t="s">
        <v>4392</v>
      </c>
      <c r="E1030" s="2" t="s">
        <v>4393</v>
      </c>
      <c r="F1030" s="2" t="b">
        <v>1</v>
      </c>
      <c r="G1030" s="2" t="b">
        <v>0</v>
      </c>
      <c r="H1030" s="2" t="s">
        <v>989</v>
      </c>
      <c r="I1030" s="2" t="s">
        <v>22</v>
      </c>
      <c r="J1030" s="2" t="s">
        <v>990</v>
      </c>
      <c r="K1030" s="2" t="s">
        <v>495</v>
      </c>
      <c r="L1030" s="13" t="s">
        <v>496</v>
      </c>
      <c r="M1030" s="2" t="s">
        <v>26</v>
      </c>
      <c r="N1030" s="11" t="s">
        <v>576</v>
      </c>
      <c r="O1030" s="12" t="s">
        <v>53</v>
      </c>
      <c r="P1030" s="5" t="str">
        <f>IFERROR(__xludf.DUMMYFUNCTION("TEXTJOIN("" | "",TRUE,IF(OR(D1030="""",E1030="""",I1030="""",J1030="""",H1030=""""),""ফাঁকা ঘর"",""""),IF(AND(C1030&lt;&gt;"""",D1030&lt;&gt;"""",C1030=D1030),""gloss=figurative"",""""),IF(LEN(D1030)&lt;15,""figurative ছোট"",""""),IF(AND(I1030=""Positive"",REGEXMATCH(H1"&amp;"030,""মূর্খ|ভণ্ড|প্রতার|অলস|লোভ|স্বার্থ|অক্ষম|অযোগ্য|বোকা|কৃপণ|হিংস"")),""valence-target অমিল"",""""),IF(COUNTIF($B:$B,B1030)&gt;1,""ডুপ্লিকেট"",""""))"),"figurative ছোট")</f>
        <v>figurative ছোট</v>
      </c>
      <c r="Q1030" s="5" t="str">
        <f t="shared" si="1"/>
        <v>১ আগে দেখো</v>
      </c>
    </row>
    <row r="1031">
      <c r="A1031" s="4">
        <v>6528.0</v>
      </c>
      <c r="B1031" s="2" t="s">
        <v>4394</v>
      </c>
      <c r="C1031" s="2" t="s">
        <v>4395</v>
      </c>
      <c r="D1031" s="2" t="s">
        <v>4396</v>
      </c>
      <c r="E1031" s="2" t="s">
        <v>4397</v>
      </c>
      <c r="F1031" s="2" t="b">
        <v>1</v>
      </c>
      <c r="G1031" s="2" t="b">
        <v>0</v>
      </c>
      <c r="H1031" s="2" t="s">
        <v>37</v>
      </c>
      <c r="I1031" s="2" t="s">
        <v>32</v>
      </c>
      <c r="J1031" s="2" t="s">
        <v>4067</v>
      </c>
      <c r="K1031" s="2" t="s">
        <v>495</v>
      </c>
      <c r="L1031" s="13" t="s">
        <v>496</v>
      </c>
      <c r="M1031" s="2" t="s">
        <v>26</v>
      </c>
      <c r="N1031" s="11" t="s">
        <v>576</v>
      </c>
      <c r="O1031" s="12" t="s">
        <v>53</v>
      </c>
      <c r="P1031" s="5" t="str">
        <f>IFERROR(__xludf.DUMMYFUNCTION("TEXTJOIN("" | "",TRUE,IF(OR(D1031="""",E1031="""",I1031="""",J1031="""",H1031=""""),""ফাঁকা ঘর"",""""),IF(AND(C1031&lt;&gt;"""",D1031&lt;&gt;"""",C1031=D1031),""gloss=figurative"",""""),IF(LEN(D1031)&lt;15,""figurative ছোট"",""""),IF(AND(I1031=""Positive"",REGEXMATCH(H1"&amp;"031,""মূর্খ|ভণ্ড|প্রতার|অলস|লোভ|স্বার্থ|অক্ষম|অযোগ্য|বোকা|কৃপণ|হিংস"")),""valence-target অমিল"",""""),IF(COUNTIF($B:$B,B1031)&gt;1,""ডুপ্লিকেট"",""""))"),"figurative ছোট")</f>
        <v>figurative ছোট</v>
      </c>
      <c r="Q1031" s="5" t="str">
        <f t="shared" si="1"/>
        <v>১ আগে দেখো</v>
      </c>
    </row>
    <row r="1032">
      <c r="A1032" s="4">
        <v>6529.0</v>
      </c>
      <c r="B1032" s="2" t="s">
        <v>4398</v>
      </c>
      <c r="C1032" s="2" t="s">
        <v>4399</v>
      </c>
      <c r="D1032" s="2" t="s">
        <v>4400</v>
      </c>
      <c r="E1032" s="2" t="s">
        <v>4401</v>
      </c>
      <c r="F1032" s="2" t="b">
        <v>1</v>
      </c>
      <c r="G1032" s="2" t="b">
        <v>0</v>
      </c>
      <c r="H1032" s="2" t="s">
        <v>37</v>
      </c>
      <c r="I1032" s="2" t="s">
        <v>22</v>
      </c>
      <c r="J1032" s="2" t="s">
        <v>820</v>
      </c>
      <c r="K1032" s="2" t="s">
        <v>495</v>
      </c>
      <c r="L1032" s="13" t="s">
        <v>496</v>
      </c>
      <c r="M1032" s="2" t="s">
        <v>26</v>
      </c>
      <c r="N1032" s="11" t="s">
        <v>576</v>
      </c>
      <c r="O1032" s="12" t="s">
        <v>53</v>
      </c>
      <c r="P1032" s="5" t="str">
        <f>IFERROR(__xludf.DUMMYFUNCTION("TEXTJOIN("" | "",TRUE,IF(OR(D1032="""",E1032="""",I1032="""",J1032="""",H1032=""""),""ফাঁকা ঘর"",""""),IF(AND(C1032&lt;&gt;"""",D1032&lt;&gt;"""",C1032=D1032),""gloss=figurative"",""""),IF(LEN(D1032)&lt;15,""figurative ছোট"",""""),IF(AND(I1032=""Positive"",REGEXMATCH(H1"&amp;"032,""মূর্খ|ভণ্ড|প্রতার|অলস|লোভ|স্বার্থ|অক্ষম|অযোগ্য|বোকা|কৃপণ|হিংস"")),""valence-target অমিল"",""""),IF(COUNTIF($B:$B,B1032)&gt;1,""ডুপ্লিকেট"",""""))"),"figurative ছোট")</f>
        <v>figurative ছোট</v>
      </c>
      <c r="Q1032" s="5" t="str">
        <f t="shared" si="1"/>
        <v>১ আগে দেখো</v>
      </c>
    </row>
    <row r="1033">
      <c r="A1033" s="4">
        <v>6530.0</v>
      </c>
      <c r="B1033" s="2" t="s">
        <v>4402</v>
      </c>
      <c r="C1033" s="2" t="s">
        <v>4403</v>
      </c>
      <c r="D1033" s="2" t="s">
        <v>4404</v>
      </c>
      <c r="E1033" s="2" t="s">
        <v>4405</v>
      </c>
      <c r="F1033" s="2" t="b">
        <v>1</v>
      </c>
      <c r="G1033" s="2" t="b">
        <v>0</v>
      </c>
      <c r="H1033" s="2" t="s">
        <v>756</v>
      </c>
      <c r="I1033" s="2" t="s">
        <v>22</v>
      </c>
      <c r="J1033" s="2" t="s">
        <v>1630</v>
      </c>
      <c r="K1033" s="2" t="s">
        <v>495</v>
      </c>
      <c r="L1033" s="13" t="s">
        <v>496</v>
      </c>
      <c r="M1033" s="2" t="s">
        <v>26</v>
      </c>
      <c r="N1033" s="11" t="s">
        <v>576</v>
      </c>
      <c r="O1033" s="12" t="s">
        <v>53</v>
      </c>
      <c r="P1033" s="5" t="str">
        <f>IFERROR(__xludf.DUMMYFUNCTION("TEXTJOIN("" | "",TRUE,IF(OR(D1033="""",E1033="""",I1033="""",J1033="""",H1033=""""),""ফাঁকা ঘর"",""""),IF(AND(C1033&lt;&gt;"""",D1033&lt;&gt;"""",C1033=D1033),""gloss=figurative"",""""),IF(LEN(D1033)&lt;15,""figurative ছোট"",""""),IF(AND(I1033=""Positive"",REGEXMATCH(H1"&amp;"033,""মূর্খ|ভণ্ড|প্রতার|অলস|লোভ|স্বার্থ|অক্ষম|অযোগ্য|বোকা|কৃপণ|হিংস"")),""valence-target অমিল"",""""),IF(COUNTIF($B:$B,B1033)&gt;1,""ডুপ্লিকেট"",""""))"),"figurative ছোট")</f>
        <v>figurative ছোট</v>
      </c>
      <c r="Q1033" s="5" t="str">
        <f t="shared" si="1"/>
        <v>১ আগে দেখো</v>
      </c>
    </row>
    <row r="1034">
      <c r="A1034" s="4">
        <v>6531.0</v>
      </c>
      <c r="B1034" s="2" t="s">
        <v>4406</v>
      </c>
      <c r="C1034" s="2" t="s">
        <v>4407</v>
      </c>
      <c r="D1034" s="2" t="s">
        <v>3111</v>
      </c>
      <c r="E1034" s="2" t="s">
        <v>4408</v>
      </c>
      <c r="F1034" s="2" t="b">
        <v>1</v>
      </c>
      <c r="G1034" s="2" t="b">
        <v>0</v>
      </c>
      <c r="H1034" s="2" t="s">
        <v>756</v>
      </c>
      <c r="I1034" s="2" t="s">
        <v>22</v>
      </c>
      <c r="J1034" s="2" t="s">
        <v>300</v>
      </c>
      <c r="K1034" s="2" t="s">
        <v>495</v>
      </c>
      <c r="L1034" s="13" t="s">
        <v>496</v>
      </c>
      <c r="M1034" s="2" t="s">
        <v>26</v>
      </c>
      <c r="N1034" s="11" t="s">
        <v>576</v>
      </c>
      <c r="O1034" s="12" t="s">
        <v>53</v>
      </c>
      <c r="P1034" s="5" t="str">
        <f>IFERROR(__xludf.DUMMYFUNCTION("TEXTJOIN("" | "",TRUE,IF(OR(D1034="""",E1034="""",I1034="""",J1034="""",H1034=""""),""ফাঁকা ঘর"",""""),IF(AND(C1034&lt;&gt;"""",D1034&lt;&gt;"""",C1034=D1034),""gloss=figurative"",""""),IF(LEN(D1034)&lt;15,""figurative ছোট"",""""),IF(AND(I1034=""Positive"",REGEXMATCH(H1"&amp;"034,""মূর্খ|ভণ্ড|প্রতার|অলস|লোভ|স্বার্থ|অক্ষম|অযোগ্য|বোকা|কৃপণ|হিংস"")),""valence-target অমিল"",""""),IF(COUNTIF($B:$B,B1034)&gt;1,""ডুপ্লিকেট"",""""))"),"figurative ছোট")</f>
        <v>figurative ছোট</v>
      </c>
      <c r="Q1034" s="5" t="str">
        <f t="shared" si="1"/>
        <v>১ আগে দেখো</v>
      </c>
    </row>
    <row r="1035">
      <c r="A1035" s="4">
        <v>6532.0</v>
      </c>
      <c r="B1035" s="2" t="s">
        <v>4409</v>
      </c>
      <c r="C1035" s="2" t="s">
        <v>4410</v>
      </c>
      <c r="D1035" s="2" t="s">
        <v>4411</v>
      </c>
      <c r="E1035" s="2" t="s">
        <v>4412</v>
      </c>
      <c r="F1035" s="2" t="b">
        <v>1</v>
      </c>
      <c r="G1035" s="2" t="b">
        <v>0</v>
      </c>
      <c r="H1035" s="2" t="s">
        <v>756</v>
      </c>
      <c r="I1035" s="2" t="s">
        <v>49</v>
      </c>
      <c r="J1035" s="2" t="s">
        <v>1476</v>
      </c>
      <c r="K1035" s="2" t="s">
        <v>495</v>
      </c>
      <c r="L1035" s="13" t="s">
        <v>496</v>
      </c>
      <c r="M1035" s="2" t="s">
        <v>26</v>
      </c>
      <c r="N1035" s="11" t="s">
        <v>4413</v>
      </c>
      <c r="O1035" s="12" t="s">
        <v>53</v>
      </c>
      <c r="P1035" s="5" t="str">
        <f>IFERROR(__xludf.DUMMYFUNCTION("TEXTJOIN("" | "",TRUE,IF(OR(D1035="""",E1035="""",I1035="""",J1035="""",H1035=""""),""ফাঁকা ঘর"",""""),IF(AND(C1035&lt;&gt;"""",D1035&lt;&gt;"""",C1035=D1035),""gloss=figurative"",""""),IF(LEN(D1035)&lt;15,""figurative ছোট"",""""),IF(AND(I1035=""Positive"",REGEXMATCH(H1"&amp;"035,""মূর্খ|ভণ্ড|প্রতার|অলস|লোভ|স্বার্থ|অক্ষম|অযোগ্য|বোকা|কৃপণ|হিংস"")),""valence-target অমিল"",""""),IF(COUNTIF($B:$B,B1035)&gt;1,""ডুপ্লিকেট"",""""))"),"figurative ছোট | valence-target অমিল")</f>
        <v>figurative ছোট | valence-target অমিল</v>
      </c>
      <c r="Q1035" s="5" t="str">
        <f t="shared" si="1"/>
        <v>১ আগে দেখো</v>
      </c>
    </row>
    <row r="1036">
      <c r="A1036" s="4">
        <v>6533.0</v>
      </c>
      <c r="B1036" s="2" t="s">
        <v>4414</v>
      </c>
      <c r="C1036" s="2" t="s">
        <v>4415</v>
      </c>
      <c r="D1036" s="2" t="s">
        <v>842</v>
      </c>
      <c r="E1036" s="2" t="s">
        <v>4416</v>
      </c>
      <c r="F1036" s="2" t="b">
        <v>1</v>
      </c>
      <c r="G1036" s="2" t="b">
        <v>0</v>
      </c>
      <c r="H1036" s="2" t="s">
        <v>756</v>
      </c>
      <c r="I1036" s="2" t="s">
        <v>22</v>
      </c>
      <c r="J1036" s="2" t="s">
        <v>1630</v>
      </c>
      <c r="K1036" s="2" t="s">
        <v>495</v>
      </c>
      <c r="L1036" s="13" t="s">
        <v>496</v>
      </c>
      <c r="M1036" s="2" t="s">
        <v>26</v>
      </c>
      <c r="N1036" s="11" t="s">
        <v>576</v>
      </c>
      <c r="O1036" s="12" t="s">
        <v>53</v>
      </c>
      <c r="P1036" s="5" t="str">
        <f>IFERROR(__xludf.DUMMYFUNCTION("TEXTJOIN("" | "",TRUE,IF(OR(D1036="""",E1036="""",I1036="""",J1036="""",H1036=""""),""ফাঁকা ঘর"",""""),IF(AND(C1036&lt;&gt;"""",D1036&lt;&gt;"""",C1036=D1036),""gloss=figurative"",""""),IF(LEN(D1036)&lt;15,""figurative ছোট"",""""),IF(AND(I1036=""Positive"",REGEXMATCH(H1"&amp;"036,""মূর্খ|ভণ্ড|প্রতার|অলস|লোভ|স্বার্থ|অক্ষম|অযোগ্য|বোকা|কৃপণ|হিংস"")),""valence-target অমিল"",""""),IF(COUNTIF($B:$B,B1036)&gt;1,""ডুপ্লিকেট"",""""))"),"figurative ছোট")</f>
        <v>figurative ছোট</v>
      </c>
      <c r="Q1036" s="5" t="str">
        <f t="shared" si="1"/>
        <v>১ আগে দেখো</v>
      </c>
    </row>
    <row r="1037">
      <c r="A1037" s="4">
        <v>6534.0</v>
      </c>
      <c r="B1037" s="2" t="s">
        <v>4417</v>
      </c>
      <c r="C1037" s="2" t="s">
        <v>4418</v>
      </c>
      <c r="D1037" s="2" t="s">
        <v>4419</v>
      </c>
      <c r="E1037" s="2" t="s">
        <v>4420</v>
      </c>
      <c r="F1037" s="2" t="b">
        <v>1</v>
      </c>
      <c r="G1037" s="2" t="b">
        <v>0</v>
      </c>
      <c r="H1037" s="2" t="s">
        <v>756</v>
      </c>
      <c r="I1037" s="2" t="s">
        <v>22</v>
      </c>
      <c r="J1037" s="2" t="s">
        <v>1630</v>
      </c>
      <c r="K1037" s="2" t="s">
        <v>495</v>
      </c>
      <c r="L1037" s="13" t="s">
        <v>496</v>
      </c>
      <c r="M1037" s="2" t="s">
        <v>26</v>
      </c>
      <c r="N1037" s="11" t="s">
        <v>576</v>
      </c>
      <c r="O1037" s="12" t="s">
        <v>53</v>
      </c>
      <c r="P1037" s="5" t="str">
        <f>IFERROR(__xludf.DUMMYFUNCTION("TEXTJOIN("" | "",TRUE,IF(OR(D1037="""",E1037="""",I1037="""",J1037="""",H1037=""""),""ফাঁকা ঘর"",""""),IF(AND(C1037&lt;&gt;"""",D1037&lt;&gt;"""",C1037=D1037),""gloss=figurative"",""""),IF(LEN(D1037)&lt;15,""figurative ছোট"",""""),IF(AND(I1037=""Positive"",REGEXMATCH(H1"&amp;"037,""মূর্খ|ভণ্ড|প্রতার|অলস|লোভ|স্বার্থ|অক্ষম|অযোগ্য|বোকা|কৃপণ|হিংস"")),""valence-target অমিল"",""""),IF(COUNTIF($B:$B,B1037)&gt;1,""ডুপ্লিকেট"",""""))"),"figurative ছোট")</f>
        <v>figurative ছোট</v>
      </c>
      <c r="Q1037" s="5" t="str">
        <f t="shared" si="1"/>
        <v>১ আগে দেখো</v>
      </c>
    </row>
    <row r="1038">
      <c r="A1038" s="4">
        <v>6537.0</v>
      </c>
      <c r="B1038" s="2" t="s">
        <v>4421</v>
      </c>
      <c r="C1038" s="2" t="s">
        <v>4422</v>
      </c>
      <c r="D1038" s="2" t="s">
        <v>4423</v>
      </c>
      <c r="E1038" s="2" t="s">
        <v>4424</v>
      </c>
      <c r="F1038" s="2" t="b">
        <v>1</v>
      </c>
      <c r="G1038" s="2" t="b">
        <v>0</v>
      </c>
      <c r="H1038" s="2" t="s">
        <v>756</v>
      </c>
      <c r="I1038" s="2" t="s">
        <v>22</v>
      </c>
      <c r="J1038" s="2" t="s">
        <v>1934</v>
      </c>
      <c r="K1038" s="2" t="s">
        <v>495</v>
      </c>
      <c r="L1038" s="13" t="s">
        <v>496</v>
      </c>
      <c r="M1038" s="2" t="s">
        <v>26</v>
      </c>
      <c r="N1038" s="11" t="s">
        <v>576</v>
      </c>
      <c r="O1038" s="12" t="s">
        <v>53</v>
      </c>
      <c r="P1038" s="5" t="str">
        <f>IFERROR(__xludf.DUMMYFUNCTION("TEXTJOIN("" | "",TRUE,IF(OR(D1038="""",E1038="""",I1038="""",J1038="""",H1038=""""),""ফাঁকা ঘর"",""""),IF(AND(C1038&lt;&gt;"""",D1038&lt;&gt;"""",C1038=D1038),""gloss=figurative"",""""),IF(LEN(D1038)&lt;15,""figurative ছোট"",""""),IF(AND(I1038=""Positive"",REGEXMATCH(H1"&amp;"038,""মূর্খ|ভণ্ড|প্রতার|অলস|লোভ|স্বার্থ|অক্ষম|অযোগ্য|বোকা|কৃপণ|হিংস"")),""valence-target অমিল"",""""),IF(COUNTIF($B:$B,B1038)&gt;1,""ডুপ্লিকেট"",""""))"),"figurative ছোট")</f>
        <v>figurative ছোট</v>
      </c>
      <c r="Q1038" s="5" t="str">
        <f t="shared" si="1"/>
        <v>১ আগে দেখো</v>
      </c>
    </row>
    <row r="1039">
      <c r="A1039" s="4">
        <v>6538.0</v>
      </c>
      <c r="B1039" s="2" t="s">
        <v>4425</v>
      </c>
      <c r="C1039" s="2" t="s">
        <v>4426</v>
      </c>
      <c r="D1039" s="2" t="s">
        <v>4427</v>
      </c>
      <c r="E1039" s="2" t="s">
        <v>4428</v>
      </c>
      <c r="F1039" s="2" t="b">
        <v>1</v>
      </c>
      <c r="G1039" s="2" t="b">
        <v>0</v>
      </c>
      <c r="H1039" s="2" t="s">
        <v>756</v>
      </c>
      <c r="I1039" s="2" t="s">
        <v>22</v>
      </c>
      <c r="J1039" s="2" t="s">
        <v>447</v>
      </c>
      <c r="K1039" s="2" t="s">
        <v>495</v>
      </c>
      <c r="L1039" s="13" t="s">
        <v>496</v>
      </c>
      <c r="M1039" s="2" t="s">
        <v>26</v>
      </c>
      <c r="N1039" s="11" t="s">
        <v>576</v>
      </c>
      <c r="O1039" s="12" t="s">
        <v>53</v>
      </c>
      <c r="P1039" s="5" t="str">
        <f>IFERROR(__xludf.DUMMYFUNCTION("TEXTJOIN("" | "",TRUE,IF(OR(D1039="""",E1039="""",I1039="""",J1039="""",H1039=""""),""ফাঁকা ঘর"",""""),IF(AND(C1039&lt;&gt;"""",D1039&lt;&gt;"""",C1039=D1039),""gloss=figurative"",""""),IF(LEN(D1039)&lt;15,""figurative ছোট"",""""),IF(AND(I1039=""Positive"",REGEXMATCH(H1"&amp;"039,""মূর্খ|ভণ্ড|প্রতার|অলস|লোভ|স্বার্থ|অক্ষম|অযোগ্য|বোকা|কৃপণ|হিংস"")),""valence-target অমিল"",""""),IF(COUNTIF($B:$B,B1039)&gt;1,""ডুপ্লিকেট"",""""))"),"figurative ছোট")</f>
        <v>figurative ছোট</v>
      </c>
      <c r="Q1039" s="5" t="str">
        <f t="shared" si="1"/>
        <v>১ আগে দেখো</v>
      </c>
    </row>
    <row r="1040">
      <c r="A1040" s="4">
        <v>6539.0</v>
      </c>
      <c r="B1040" s="2" t="s">
        <v>4429</v>
      </c>
      <c r="C1040" s="2" t="s">
        <v>4430</v>
      </c>
      <c r="D1040" s="2" t="s">
        <v>4431</v>
      </c>
      <c r="E1040" s="2" t="s">
        <v>4432</v>
      </c>
      <c r="F1040" s="2" t="b">
        <v>1</v>
      </c>
      <c r="G1040" s="2" t="b">
        <v>0</v>
      </c>
      <c r="H1040" s="2" t="s">
        <v>756</v>
      </c>
      <c r="I1040" s="2" t="s">
        <v>22</v>
      </c>
      <c r="J1040" s="2" t="s">
        <v>836</v>
      </c>
      <c r="K1040" s="2" t="s">
        <v>495</v>
      </c>
      <c r="L1040" s="13" t="s">
        <v>496</v>
      </c>
      <c r="M1040" s="2" t="s">
        <v>26</v>
      </c>
      <c r="N1040" s="11" t="s">
        <v>576</v>
      </c>
      <c r="O1040" s="12" t="s">
        <v>53</v>
      </c>
      <c r="P1040" s="5" t="str">
        <f>IFERROR(__xludf.DUMMYFUNCTION("TEXTJOIN("" | "",TRUE,IF(OR(D1040="""",E1040="""",I1040="""",J1040="""",H1040=""""),""ফাঁকা ঘর"",""""),IF(AND(C1040&lt;&gt;"""",D1040&lt;&gt;"""",C1040=D1040),""gloss=figurative"",""""),IF(LEN(D1040)&lt;15,""figurative ছোট"",""""),IF(AND(I1040=""Positive"",REGEXMATCH(H1"&amp;"040,""মূর্খ|ভণ্ড|প্রতার|অলস|লোভ|স্বার্থ|অক্ষম|অযোগ্য|বোকা|কৃপণ|হিংস"")),""valence-target অমিল"",""""),IF(COUNTIF($B:$B,B1040)&gt;1,""ডুপ্লিকেট"",""""))"),"figurative ছোট")</f>
        <v>figurative ছোট</v>
      </c>
      <c r="Q1040" s="5" t="str">
        <f t="shared" si="1"/>
        <v>১ আগে দেখো</v>
      </c>
    </row>
    <row r="1041">
      <c r="A1041" s="4">
        <v>6540.0</v>
      </c>
      <c r="B1041" s="2" t="s">
        <v>4433</v>
      </c>
      <c r="C1041" s="2" t="s">
        <v>4434</v>
      </c>
      <c r="D1041" s="2" t="s">
        <v>4411</v>
      </c>
      <c r="E1041" s="2" t="s">
        <v>4435</v>
      </c>
      <c r="F1041" s="2" t="b">
        <v>1</v>
      </c>
      <c r="G1041" s="2" t="b">
        <v>0</v>
      </c>
      <c r="H1041" s="2" t="s">
        <v>756</v>
      </c>
      <c r="I1041" s="2" t="s">
        <v>49</v>
      </c>
      <c r="J1041" s="2" t="s">
        <v>1476</v>
      </c>
      <c r="K1041" s="2" t="s">
        <v>495</v>
      </c>
      <c r="L1041" s="13" t="s">
        <v>496</v>
      </c>
      <c r="M1041" s="2" t="s">
        <v>26</v>
      </c>
      <c r="N1041" s="11" t="s">
        <v>4413</v>
      </c>
      <c r="O1041" s="12" t="s">
        <v>53</v>
      </c>
      <c r="P1041" s="5" t="str">
        <f>IFERROR(__xludf.DUMMYFUNCTION("TEXTJOIN("" | "",TRUE,IF(OR(D1041="""",E1041="""",I1041="""",J1041="""",H1041=""""),""ফাঁকা ঘর"",""""),IF(AND(C1041&lt;&gt;"""",D1041&lt;&gt;"""",C1041=D1041),""gloss=figurative"",""""),IF(LEN(D1041)&lt;15,""figurative ছোট"",""""),IF(AND(I1041=""Positive"",REGEXMATCH(H1"&amp;"041,""মূর্খ|ভণ্ড|প্রতার|অলস|লোভ|স্বার্থ|অক্ষম|অযোগ্য|বোকা|কৃপণ|হিংস"")),""valence-target অমিল"",""""),IF(COUNTIF($B:$B,B1041)&gt;1,""ডুপ্লিকেট"",""""))"),"figurative ছোট | valence-target অমিল")</f>
        <v>figurative ছোট | valence-target অমিল</v>
      </c>
      <c r="Q1041" s="5" t="str">
        <f t="shared" si="1"/>
        <v>১ আগে দেখো</v>
      </c>
    </row>
    <row r="1042">
      <c r="A1042" s="4">
        <v>6543.0</v>
      </c>
      <c r="B1042" s="2" t="s">
        <v>4436</v>
      </c>
      <c r="C1042" s="2" t="s">
        <v>4436</v>
      </c>
      <c r="D1042" s="2" t="s">
        <v>4437</v>
      </c>
      <c r="E1042" s="2" t="s">
        <v>2753</v>
      </c>
      <c r="F1042" s="2" t="b">
        <v>1</v>
      </c>
      <c r="G1042" s="2" t="b">
        <v>0</v>
      </c>
      <c r="H1042" s="2" t="s">
        <v>756</v>
      </c>
      <c r="I1042" s="2" t="s">
        <v>22</v>
      </c>
      <c r="J1042" s="2" t="s">
        <v>1630</v>
      </c>
      <c r="K1042" s="2" t="s">
        <v>495</v>
      </c>
      <c r="L1042" s="13" t="s">
        <v>496</v>
      </c>
      <c r="M1042" s="2" t="s">
        <v>26</v>
      </c>
      <c r="N1042" s="11" t="s">
        <v>576</v>
      </c>
      <c r="O1042" s="12" t="s">
        <v>53</v>
      </c>
      <c r="P1042" s="5" t="str">
        <f>IFERROR(__xludf.DUMMYFUNCTION("TEXTJOIN("" | "",TRUE,IF(OR(D1042="""",E1042="""",I1042="""",J1042="""",H1042=""""),""ফাঁকা ঘর"",""""),IF(AND(C1042&lt;&gt;"""",D1042&lt;&gt;"""",C1042=D1042),""gloss=figurative"",""""),IF(LEN(D1042)&lt;15,""figurative ছোট"",""""),IF(AND(I1042=""Positive"",REGEXMATCH(H1"&amp;"042,""মূর্খ|ভণ্ড|প্রতার|অলস|লোভ|স্বার্থ|অক্ষম|অযোগ্য|বোকা|কৃপণ|হিংস"")),""valence-target অমিল"",""""),IF(COUNTIF($B:$B,B1042)&gt;1,""ডুপ্লিকেট"",""""))"),"figurative ছোট")</f>
        <v>figurative ছোট</v>
      </c>
      <c r="Q1042" s="5" t="str">
        <f t="shared" si="1"/>
        <v>১ আগে দেখো</v>
      </c>
    </row>
    <row r="1043">
      <c r="A1043" s="4">
        <v>6544.0</v>
      </c>
      <c r="B1043" s="2" t="s">
        <v>4438</v>
      </c>
      <c r="C1043" s="2" t="s">
        <v>4439</v>
      </c>
      <c r="D1043" s="2" t="s">
        <v>4440</v>
      </c>
      <c r="E1043" s="2" t="s">
        <v>4441</v>
      </c>
      <c r="F1043" s="2" t="b">
        <v>1</v>
      </c>
      <c r="G1043" s="2" t="b">
        <v>0</v>
      </c>
      <c r="H1043" s="2" t="s">
        <v>756</v>
      </c>
      <c r="I1043" s="2" t="s">
        <v>22</v>
      </c>
      <c r="J1043" s="2" t="s">
        <v>447</v>
      </c>
      <c r="K1043" s="2" t="s">
        <v>495</v>
      </c>
      <c r="L1043" s="13" t="s">
        <v>496</v>
      </c>
      <c r="M1043" s="2" t="s">
        <v>26</v>
      </c>
      <c r="N1043" s="11" t="s">
        <v>576</v>
      </c>
      <c r="O1043" s="12" t="s">
        <v>53</v>
      </c>
      <c r="P1043" s="5" t="str">
        <f>IFERROR(__xludf.DUMMYFUNCTION("TEXTJOIN("" | "",TRUE,IF(OR(D1043="""",E1043="""",I1043="""",J1043="""",H1043=""""),""ফাঁকা ঘর"",""""),IF(AND(C1043&lt;&gt;"""",D1043&lt;&gt;"""",C1043=D1043),""gloss=figurative"",""""),IF(LEN(D1043)&lt;15,""figurative ছোট"",""""),IF(AND(I1043=""Positive"",REGEXMATCH(H1"&amp;"043,""মূর্খ|ভণ্ড|প্রতার|অলস|লোভ|স্বার্থ|অক্ষম|অযোগ্য|বোকা|কৃপণ|হিংস"")),""valence-target অমিল"",""""),IF(COUNTIF($B:$B,B1043)&gt;1,""ডুপ্লিকেট"",""""))"),"figurative ছোট")</f>
        <v>figurative ছোট</v>
      </c>
      <c r="Q1043" s="5" t="str">
        <f t="shared" si="1"/>
        <v>১ আগে দেখো</v>
      </c>
    </row>
    <row r="1044">
      <c r="A1044" s="4">
        <v>6545.0</v>
      </c>
      <c r="B1044" s="2" t="s">
        <v>4442</v>
      </c>
      <c r="C1044" s="2" t="s">
        <v>4443</v>
      </c>
      <c r="D1044" s="2" t="s">
        <v>4444</v>
      </c>
      <c r="E1044" s="2" t="s">
        <v>4445</v>
      </c>
      <c r="F1044" s="2" t="b">
        <v>1</v>
      </c>
      <c r="G1044" s="2" t="b">
        <v>0</v>
      </c>
      <c r="H1044" s="2" t="s">
        <v>756</v>
      </c>
      <c r="I1044" s="2" t="s">
        <v>22</v>
      </c>
      <c r="J1044" s="2" t="s">
        <v>1630</v>
      </c>
      <c r="K1044" s="2" t="s">
        <v>495</v>
      </c>
      <c r="L1044" s="13" t="s">
        <v>496</v>
      </c>
      <c r="M1044" s="2" t="s">
        <v>26</v>
      </c>
      <c r="N1044" s="11" t="s">
        <v>576</v>
      </c>
      <c r="O1044" s="12" t="s">
        <v>53</v>
      </c>
      <c r="P1044" s="5" t="str">
        <f>IFERROR(__xludf.DUMMYFUNCTION("TEXTJOIN("" | "",TRUE,IF(OR(D1044="""",E1044="""",I1044="""",J1044="""",H1044=""""),""ফাঁকা ঘর"",""""),IF(AND(C1044&lt;&gt;"""",D1044&lt;&gt;"""",C1044=D1044),""gloss=figurative"",""""),IF(LEN(D1044)&lt;15,""figurative ছোট"",""""),IF(AND(I1044=""Positive"",REGEXMATCH(H1"&amp;"044,""মূর্খ|ভণ্ড|প্রতার|অলস|লোভ|স্বার্থ|অক্ষম|অযোগ্য|বোকা|কৃপণ|হিংস"")),""valence-target অমিল"",""""),IF(COUNTIF($B:$B,B1044)&gt;1,""ডুপ্লিকেট"",""""))"),"figurative ছোট")</f>
        <v>figurative ছোট</v>
      </c>
      <c r="Q1044" s="5" t="str">
        <f t="shared" si="1"/>
        <v>১ আগে দেখো</v>
      </c>
    </row>
    <row r="1045">
      <c r="A1045" s="4">
        <v>6546.0</v>
      </c>
      <c r="B1045" s="2" t="s">
        <v>4446</v>
      </c>
      <c r="C1045" s="2" t="s">
        <v>4446</v>
      </c>
      <c r="D1045" s="2" t="s">
        <v>3506</v>
      </c>
      <c r="E1045" s="2" t="s">
        <v>4447</v>
      </c>
      <c r="F1045" s="2" t="b">
        <v>1</v>
      </c>
      <c r="G1045" s="2" t="b">
        <v>0</v>
      </c>
      <c r="H1045" s="2" t="s">
        <v>756</v>
      </c>
      <c r="I1045" s="2" t="s">
        <v>22</v>
      </c>
      <c r="J1045" s="2" t="s">
        <v>300</v>
      </c>
      <c r="K1045" s="2" t="s">
        <v>495</v>
      </c>
      <c r="L1045" s="13" t="s">
        <v>496</v>
      </c>
      <c r="M1045" s="2" t="s">
        <v>26</v>
      </c>
      <c r="N1045" s="11" t="s">
        <v>576</v>
      </c>
      <c r="O1045" s="12" t="s">
        <v>53</v>
      </c>
      <c r="P1045" s="5" t="str">
        <f>IFERROR(__xludf.DUMMYFUNCTION("TEXTJOIN("" | "",TRUE,IF(OR(D1045="""",E1045="""",I1045="""",J1045="""",H1045=""""),""ফাঁকা ঘর"",""""),IF(AND(C1045&lt;&gt;"""",D1045&lt;&gt;"""",C1045=D1045),""gloss=figurative"",""""),IF(LEN(D1045)&lt;15,""figurative ছোট"",""""),IF(AND(I1045=""Positive"",REGEXMATCH(H1"&amp;"045,""মূর্খ|ভণ্ড|প্রতার|অলস|লোভ|স্বার্থ|অক্ষম|অযোগ্য|বোকা|কৃপণ|হিংস"")),""valence-target অমিল"",""""),IF(COUNTIF($B:$B,B1045)&gt;1,""ডুপ্লিকেট"",""""))"),"figurative ছোট")</f>
        <v>figurative ছোট</v>
      </c>
      <c r="Q1045" s="5" t="str">
        <f t="shared" si="1"/>
        <v>১ আগে দেখো</v>
      </c>
    </row>
    <row r="1046">
      <c r="A1046" s="4">
        <v>6547.0</v>
      </c>
      <c r="B1046" s="2" t="s">
        <v>4448</v>
      </c>
      <c r="C1046" s="2" t="s">
        <v>4449</v>
      </c>
      <c r="D1046" s="2" t="s">
        <v>4450</v>
      </c>
      <c r="E1046" s="2" t="s">
        <v>4451</v>
      </c>
      <c r="F1046" s="2" t="b">
        <v>1</v>
      </c>
      <c r="G1046" s="2" t="b">
        <v>0</v>
      </c>
      <c r="H1046" s="2" t="s">
        <v>756</v>
      </c>
      <c r="I1046" s="2" t="s">
        <v>49</v>
      </c>
      <c r="J1046" s="2" t="s">
        <v>565</v>
      </c>
      <c r="K1046" s="2" t="s">
        <v>495</v>
      </c>
      <c r="L1046" s="13" t="s">
        <v>496</v>
      </c>
      <c r="M1046" s="2" t="s">
        <v>26</v>
      </c>
      <c r="N1046" s="11" t="s">
        <v>4413</v>
      </c>
      <c r="O1046" s="12" t="s">
        <v>53</v>
      </c>
      <c r="P1046" s="5" t="str">
        <f>IFERROR(__xludf.DUMMYFUNCTION("TEXTJOIN("" | "",TRUE,IF(OR(D1046="""",E1046="""",I1046="""",J1046="""",H1046=""""),""ফাঁকা ঘর"",""""),IF(AND(C1046&lt;&gt;"""",D1046&lt;&gt;"""",C1046=D1046),""gloss=figurative"",""""),IF(LEN(D1046)&lt;15,""figurative ছোট"",""""),IF(AND(I1046=""Positive"",REGEXMATCH(H1"&amp;"046,""মূর্খ|ভণ্ড|প্রতার|অলস|লোভ|স্বার্থ|অক্ষম|অযোগ্য|বোকা|কৃপণ|হিংস"")),""valence-target অমিল"",""""),IF(COUNTIF($B:$B,B1046)&gt;1,""ডুপ্লিকেট"",""""))"),"figurative ছোট | valence-target অমিল")</f>
        <v>figurative ছোট | valence-target অমিল</v>
      </c>
      <c r="Q1046" s="5" t="str">
        <f t="shared" si="1"/>
        <v>১ আগে দেখো</v>
      </c>
    </row>
    <row r="1047">
      <c r="A1047" s="4">
        <v>6548.0</v>
      </c>
      <c r="B1047" s="2" t="s">
        <v>4452</v>
      </c>
      <c r="C1047" s="2" t="s">
        <v>4453</v>
      </c>
      <c r="D1047" s="2" t="s">
        <v>4454</v>
      </c>
      <c r="E1047" s="2" t="s">
        <v>4455</v>
      </c>
      <c r="F1047" s="2" t="b">
        <v>1</v>
      </c>
      <c r="G1047" s="2" t="b">
        <v>0</v>
      </c>
      <c r="H1047" s="2" t="s">
        <v>756</v>
      </c>
      <c r="I1047" s="2" t="s">
        <v>49</v>
      </c>
      <c r="J1047" s="2" t="s">
        <v>1630</v>
      </c>
      <c r="K1047" s="2" t="s">
        <v>495</v>
      </c>
      <c r="L1047" s="13" t="s">
        <v>496</v>
      </c>
      <c r="M1047" s="2" t="s">
        <v>26</v>
      </c>
      <c r="N1047" s="11" t="s">
        <v>4413</v>
      </c>
      <c r="O1047" s="12" t="s">
        <v>53</v>
      </c>
      <c r="P1047" s="5" t="str">
        <f>IFERROR(__xludf.DUMMYFUNCTION("TEXTJOIN("" | "",TRUE,IF(OR(D1047="""",E1047="""",I1047="""",J1047="""",H1047=""""),""ফাঁকা ঘর"",""""),IF(AND(C1047&lt;&gt;"""",D1047&lt;&gt;"""",C1047=D1047),""gloss=figurative"",""""),IF(LEN(D1047)&lt;15,""figurative ছোট"",""""),IF(AND(I1047=""Positive"",REGEXMATCH(H1"&amp;"047,""মূর্খ|ভণ্ড|প্রতার|অলস|লোভ|স্বার্থ|অক্ষম|অযোগ্য|বোকা|কৃপণ|হিংস"")),""valence-target অমিল"",""""),IF(COUNTIF($B:$B,B1047)&gt;1,""ডুপ্লিকেট"",""""))"),"valence-target অমিল")</f>
        <v>valence-target অমিল</v>
      </c>
      <c r="Q1047" s="5" t="str">
        <f t="shared" si="1"/>
        <v>১ আগে দেখো</v>
      </c>
    </row>
    <row r="1048">
      <c r="A1048" s="4">
        <v>6551.0</v>
      </c>
      <c r="B1048" s="2" t="s">
        <v>4456</v>
      </c>
      <c r="C1048" s="2" t="s">
        <v>4456</v>
      </c>
      <c r="D1048" s="2" t="s">
        <v>4457</v>
      </c>
      <c r="E1048" s="2" t="s">
        <v>4458</v>
      </c>
      <c r="F1048" s="2" t="b">
        <v>1</v>
      </c>
      <c r="G1048" s="2" t="b">
        <v>0</v>
      </c>
      <c r="H1048" s="2" t="s">
        <v>37</v>
      </c>
      <c r="I1048" s="2" t="s">
        <v>32</v>
      </c>
      <c r="J1048" s="2" t="s">
        <v>3475</v>
      </c>
      <c r="K1048" s="2" t="s">
        <v>495</v>
      </c>
      <c r="L1048" s="13" t="s">
        <v>496</v>
      </c>
      <c r="M1048" s="2" t="s">
        <v>26</v>
      </c>
      <c r="N1048" s="11" t="s">
        <v>576</v>
      </c>
      <c r="O1048" s="12" t="s">
        <v>53</v>
      </c>
      <c r="P1048" s="5" t="str">
        <f>IFERROR(__xludf.DUMMYFUNCTION("TEXTJOIN("" | "",TRUE,IF(OR(D1048="""",E1048="""",I1048="""",J1048="""",H1048=""""),""ফাঁকা ঘর"",""""),IF(AND(C1048&lt;&gt;"""",D1048&lt;&gt;"""",C1048=D1048),""gloss=figurative"",""""),IF(LEN(D1048)&lt;15,""figurative ছোট"",""""),IF(AND(I1048=""Positive"",REGEXMATCH(H1"&amp;"048,""মূর্খ|ভণ্ড|প্রতার|অলস|লোভ|স্বার্থ|অক্ষম|অযোগ্য|বোকা|কৃপণ|হিংস"")),""valence-target অমিল"",""""),IF(COUNTIF($B:$B,B1048)&gt;1,""ডুপ্লিকেট"",""""))"),"figurative ছোট")</f>
        <v>figurative ছোট</v>
      </c>
      <c r="Q1048" s="5" t="str">
        <f t="shared" si="1"/>
        <v>১ আগে দেখো</v>
      </c>
    </row>
    <row r="1049">
      <c r="A1049" s="4">
        <v>6552.0</v>
      </c>
      <c r="B1049" s="2" t="s">
        <v>4459</v>
      </c>
      <c r="C1049" s="2" t="s">
        <v>4460</v>
      </c>
      <c r="D1049" s="2" t="s">
        <v>4461</v>
      </c>
      <c r="E1049" s="2" t="s">
        <v>4462</v>
      </c>
      <c r="F1049" s="2" t="b">
        <v>1</v>
      </c>
      <c r="G1049" s="2" t="b">
        <v>0</v>
      </c>
      <c r="H1049" s="2" t="s">
        <v>37</v>
      </c>
      <c r="I1049" s="2" t="s">
        <v>22</v>
      </c>
      <c r="J1049" s="2" t="s">
        <v>4463</v>
      </c>
      <c r="K1049" s="2" t="s">
        <v>495</v>
      </c>
      <c r="L1049" s="13" t="s">
        <v>496</v>
      </c>
      <c r="M1049" s="2" t="s">
        <v>26</v>
      </c>
      <c r="N1049" s="11" t="s">
        <v>576</v>
      </c>
      <c r="O1049" s="12" t="s">
        <v>53</v>
      </c>
      <c r="P1049" s="5" t="str">
        <f>IFERROR(__xludf.DUMMYFUNCTION("TEXTJOIN("" | "",TRUE,IF(OR(D1049="""",E1049="""",I1049="""",J1049="""",H1049=""""),""ফাঁকা ঘর"",""""),IF(AND(C1049&lt;&gt;"""",D1049&lt;&gt;"""",C1049=D1049),""gloss=figurative"",""""),IF(LEN(D1049)&lt;15,""figurative ছোট"",""""),IF(AND(I1049=""Positive"",REGEXMATCH(H1"&amp;"049,""মূর্খ|ভণ্ড|প্রতার|অলস|লোভ|স্বার্থ|অক্ষম|অযোগ্য|বোকা|কৃপণ|হিংস"")),""valence-target অমিল"",""""),IF(COUNTIF($B:$B,B1049)&gt;1,""ডুপ্লিকেট"",""""))"),"figurative ছোট")</f>
        <v>figurative ছোট</v>
      </c>
      <c r="Q1049" s="5" t="str">
        <f t="shared" si="1"/>
        <v>১ আগে দেখো</v>
      </c>
    </row>
    <row r="1050">
      <c r="A1050" s="4">
        <v>6553.0</v>
      </c>
      <c r="B1050" s="2" t="s">
        <v>4464</v>
      </c>
      <c r="C1050" s="2" t="s">
        <v>4465</v>
      </c>
      <c r="D1050" s="2" t="s">
        <v>4466</v>
      </c>
      <c r="E1050" s="2" t="s">
        <v>82</v>
      </c>
      <c r="F1050" s="2" t="b">
        <v>1</v>
      </c>
      <c r="G1050" s="2" t="b">
        <v>0</v>
      </c>
      <c r="H1050" s="2" t="s">
        <v>37</v>
      </c>
      <c r="I1050" s="2" t="s">
        <v>49</v>
      </c>
      <c r="J1050" s="2" t="s">
        <v>646</v>
      </c>
      <c r="K1050" s="2" t="s">
        <v>495</v>
      </c>
      <c r="L1050" s="13" t="s">
        <v>496</v>
      </c>
      <c r="M1050" s="2" t="s">
        <v>26</v>
      </c>
      <c r="N1050" s="11" t="s">
        <v>576</v>
      </c>
      <c r="O1050" s="12" t="s">
        <v>53</v>
      </c>
      <c r="P1050" s="5" t="str">
        <f>IFERROR(__xludf.DUMMYFUNCTION("TEXTJOIN("" | "",TRUE,IF(OR(D1050="""",E1050="""",I1050="""",J1050="""",H1050=""""),""ফাঁকা ঘর"",""""),IF(AND(C1050&lt;&gt;"""",D1050&lt;&gt;"""",C1050=D1050),""gloss=figurative"",""""),IF(LEN(D1050)&lt;15,""figurative ছোট"",""""),IF(AND(I1050=""Positive"",REGEXMATCH(H1"&amp;"050,""মূর্খ|ভণ্ড|প্রতার|অলস|লোভ|স্বার্থ|অক্ষম|অযোগ্য|বোকা|কৃপণ|হিংস"")),""valence-target অমিল"",""""),IF(COUNTIF($B:$B,B1050)&gt;1,""ডুপ্লিকেট"",""""))"),"figurative ছোট")</f>
        <v>figurative ছোট</v>
      </c>
      <c r="Q1050" s="5" t="str">
        <f t="shared" si="1"/>
        <v>১ আগে দেখো</v>
      </c>
    </row>
    <row r="1051">
      <c r="A1051" s="4">
        <v>6554.0</v>
      </c>
      <c r="B1051" s="2" t="s">
        <v>4467</v>
      </c>
      <c r="C1051" s="2" t="s">
        <v>4468</v>
      </c>
      <c r="D1051" s="2" t="s">
        <v>4469</v>
      </c>
      <c r="E1051" s="2" t="s">
        <v>4470</v>
      </c>
      <c r="F1051" s="2" t="b">
        <v>1</v>
      </c>
      <c r="G1051" s="2" t="b">
        <v>0</v>
      </c>
      <c r="H1051" s="2" t="s">
        <v>37</v>
      </c>
      <c r="I1051" s="2" t="s">
        <v>22</v>
      </c>
      <c r="J1051" s="2" t="s">
        <v>1857</v>
      </c>
      <c r="K1051" s="2" t="s">
        <v>495</v>
      </c>
      <c r="L1051" s="13" t="s">
        <v>496</v>
      </c>
      <c r="M1051" s="2" t="s">
        <v>26</v>
      </c>
      <c r="N1051" s="11" t="s">
        <v>576</v>
      </c>
      <c r="O1051" s="12" t="s">
        <v>53</v>
      </c>
      <c r="P1051" s="5" t="str">
        <f>IFERROR(__xludf.DUMMYFUNCTION("TEXTJOIN("" | "",TRUE,IF(OR(D1051="""",E1051="""",I1051="""",J1051="""",H1051=""""),""ফাঁকা ঘর"",""""),IF(AND(C1051&lt;&gt;"""",D1051&lt;&gt;"""",C1051=D1051),""gloss=figurative"",""""),IF(LEN(D1051)&lt;15,""figurative ছোট"",""""),IF(AND(I1051=""Positive"",REGEXMATCH(H1"&amp;"051,""মূর্খ|ভণ্ড|প্রতার|অলস|লোভ|স্বার্থ|অক্ষম|অযোগ্য|বোকা|কৃপণ|হিংস"")),""valence-target অমিল"",""""),IF(COUNTIF($B:$B,B1051)&gt;1,""ডুপ্লিকেট"",""""))"),"figurative ছোট")</f>
        <v>figurative ছোট</v>
      </c>
      <c r="Q1051" s="5" t="str">
        <f t="shared" si="1"/>
        <v>১ আগে দেখো</v>
      </c>
    </row>
    <row r="1052">
      <c r="A1052" s="4">
        <v>6555.0</v>
      </c>
      <c r="B1052" s="2" t="s">
        <v>4471</v>
      </c>
      <c r="C1052" s="2" t="s">
        <v>4472</v>
      </c>
      <c r="D1052" s="2" t="s">
        <v>4473</v>
      </c>
      <c r="E1052" s="2" t="s">
        <v>4474</v>
      </c>
      <c r="F1052" s="2" t="b">
        <v>1</v>
      </c>
      <c r="G1052" s="2" t="b">
        <v>0</v>
      </c>
      <c r="H1052" s="2" t="s">
        <v>37</v>
      </c>
      <c r="I1052" s="2" t="s">
        <v>22</v>
      </c>
      <c r="J1052" s="2" t="s">
        <v>4475</v>
      </c>
      <c r="K1052" s="2" t="s">
        <v>495</v>
      </c>
      <c r="L1052" s="13" t="s">
        <v>496</v>
      </c>
      <c r="M1052" s="2" t="s">
        <v>26</v>
      </c>
      <c r="N1052" s="11" t="s">
        <v>576</v>
      </c>
      <c r="O1052" s="12" t="s">
        <v>53</v>
      </c>
      <c r="P1052" s="5" t="str">
        <f>IFERROR(__xludf.DUMMYFUNCTION("TEXTJOIN("" | "",TRUE,IF(OR(D1052="""",E1052="""",I1052="""",J1052="""",H1052=""""),""ফাঁকা ঘর"",""""),IF(AND(C1052&lt;&gt;"""",D1052&lt;&gt;"""",C1052=D1052),""gloss=figurative"",""""),IF(LEN(D1052)&lt;15,""figurative ছোট"",""""),IF(AND(I1052=""Positive"",REGEXMATCH(H1"&amp;"052,""মূর্খ|ভণ্ড|প্রতার|অলস|লোভ|স্বার্থ|অক্ষম|অযোগ্য|বোকা|কৃপণ|হিংস"")),""valence-target অমিল"",""""),IF(COUNTIF($B:$B,B1052)&gt;1,""ডুপ্লিকেট"",""""))"),"figurative ছোট")</f>
        <v>figurative ছোট</v>
      </c>
      <c r="Q1052" s="5" t="str">
        <f t="shared" si="1"/>
        <v>১ আগে দেখো</v>
      </c>
    </row>
    <row r="1053">
      <c r="A1053" s="4">
        <v>6556.0</v>
      </c>
      <c r="B1053" s="2" t="s">
        <v>4476</v>
      </c>
      <c r="C1053" s="2" t="s">
        <v>4477</v>
      </c>
      <c r="D1053" s="2" t="s">
        <v>4478</v>
      </c>
      <c r="E1053" s="2" t="s">
        <v>4479</v>
      </c>
      <c r="F1053" s="2" t="b">
        <v>1</v>
      </c>
      <c r="G1053" s="2" t="b">
        <v>0</v>
      </c>
      <c r="H1053" s="2" t="s">
        <v>37</v>
      </c>
      <c r="I1053" s="2" t="s">
        <v>32</v>
      </c>
      <c r="J1053" s="2" t="s">
        <v>766</v>
      </c>
      <c r="K1053" s="2" t="s">
        <v>495</v>
      </c>
      <c r="L1053" s="13" t="s">
        <v>496</v>
      </c>
      <c r="M1053" s="2" t="s">
        <v>26</v>
      </c>
      <c r="N1053" s="11" t="s">
        <v>576</v>
      </c>
      <c r="O1053" s="12" t="s">
        <v>53</v>
      </c>
      <c r="P1053" s="5" t="str">
        <f>IFERROR(__xludf.DUMMYFUNCTION("TEXTJOIN("" | "",TRUE,IF(OR(D1053="""",E1053="""",I1053="""",J1053="""",H1053=""""),""ফাঁকা ঘর"",""""),IF(AND(C1053&lt;&gt;"""",D1053&lt;&gt;"""",C1053=D1053),""gloss=figurative"",""""),IF(LEN(D1053)&lt;15,""figurative ছোট"",""""),IF(AND(I1053=""Positive"",REGEXMATCH(H1"&amp;"053,""মূর্খ|ভণ্ড|প্রতার|অলস|লোভ|স্বার্থ|অক্ষম|অযোগ্য|বোকা|কৃপণ|হিংস"")),""valence-target অমিল"",""""),IF(COUNTIF($B:$B,B1053)&gt;1,""ডুপ্লিকেট"",""""))"),"figurative ছোট")</f>
        <v>figurative ছোট</v>
      </c>
      <c r="Q1053" s="5" t="str">
        <f t="shared" si="1"/>
        <v>১ আগে দেখো</v>
      </c>
    </row>
    <row r="1054">
      <c r="A1054" s="4">
        <v>6557.0</v>
      </c>
      <c r="B1054" s="2" t="s">
        <v>4480</v>
      </c>
      <c r="C1054" s="2" t="s">
        <v>4481</v>
      </c>
      <c r="D1054" s="2" t="s">
        <v>4482</v>
      </c>
      <c r="E1054" s="2" t="s">
        <v>4483</v>
      </c>
      <c r="F1054" s="2" t="b">
        <v>1</v>
      </c>
      <c r="G1054" s="2" t="b">
        <v>0</v>
      </c>
      <c r="H1054" s="2" t="s">
        <v>37</v>
      </c>
      <c r="I1054" s="2" t="s">
        <v>49</v>
      </c>
      <c r="J1054" s="2" t="s">
        <v>1244</v>
      </c>
      <c r="K1054" s="2" t="s">
        <v>495</v>
      </c>
      <c r="L1054" s="13" t="s">
        <v>496</v>
      </c>
      <c r="M1054" s="2" t="s">
        <v>26</v>
      </c>
      <c r="N1054" s="11" t="s">
        <v>576</v>
      </c>
      <c r="O1054" s="12" t="s">
        <v>53</v>
      </c>
      <c r="P1054" s="5" t="str">
        <f>IFERROR(__xludf.DUMMYFUNCTION("TEXTJOIN("" | "",TRUE,IF(OR(D1054="""",E1054="""",I1054="""",J1054="""",H1054=""""),""ফাঁকা ঘর"",""""),IF(AND(C1054&lt;&gt;"""",D1054&lt;&gt;"""",C1054=D1054),""gloss=figurative"",""""),IF(LEN(D1054)&lt;15,""figurative ছোট"",""""),IF(AND(I1054=""Positive"",REGEXMATCH(H1"&amp;"054,""মূর্খ|ভণ্ড|প্রতার|অলস|লোভ|স্বার্থ|অক্ষম|অযোগ্য|বোকা|কৃপণ|হিংস"")),""valence-target অমিল"",""""),IF(COUNTIF($B:$B,B1054)&gt;1,""ডুপ্লিকেট"",""""))"),"figurative ছোট")</f>
        <v>figurative ছোট</v>
      </c>
      <c r="Q1054" s="5" t="str">
        <f t="shared" si="1"/>
        <v>১ আগে দেখো</v>
      </c>
    </row>
    <row r="1055">
      <c r="A1055" s="4">
        <v>6558.0</v>
      </c>
      <c r="B1055" s="2" t="s">
        <v>4484</v>
      </c>
      <c r="C1055" s="2" t="s">
        <v>4485</v>
      </c>
      <c r="D1055" s="2" t="s">
        <v>4486</v>
      </c>
      <c r="E1055" s="2" t="s">
        <v>4487</v>
      </c>
      <c r="F1055" s="2" t="b">
        <v>1</v>
      </c>
      <c r="G1055" s="2" t="b">
        <v>0</v>
      </c>
      <c r="H1055" s="2" t="s">
        <v>37</v>
      </c>
      <c r="I1055" s="2" t="s">
        <v>32</v>
      </c>
      <c r="J1055" s="2" t="s">
        <v>1510</v>
      </c>
      <c r="K1055" s="2" t="s">
        <v>495</v>
      </c>
      <c r="L1055" s="13" t="s">
        <v>496</v>
      </c>
      <c r="M1055" s="2" t="s">
        <v>26</v>
      </c>
      <c r="N1055" s="11" t="s">
        <v>576</v>
      </c>
      <c r="O1055" s="12" t="s">
        <v>53</v>
      </c>
      <c r="P1055" s="5" t="str">
        <f>IFERROR(__xludf.DUMMYFUNCTION("TEXTJOIN("" | "",TRUE,IF(OR(D1055="""",E1055="""",I1055="""",J1055="""",H1055=""""),""ফাঁকা ঘর"",""""),IF(AND(C1055&lt;&gt;"""",D1055&lt;&gt;"""",C1055=D1055),""gloss=figurative"",""""),IF(LEN(D1055)&lt;15,""figurative ছোট"",""""),IF(AND(I1055=""Positive"",REGEXMATCH(H1"&amp;"055,""মূর্খ|ভণ্ড|প্রতার|অলস|লোভ|স্বার্থ|অক্ষম|অযোগ্য|বোকা|কৃপণ|হিংস"")),""valence-target অমিল"",""""),IF(COUNTIF($B:$B,B1055)&gt;1,""ডুপ্লিকেট"",""""))"),"figurative ছোট")</f>
        <v>figurative ছোট</v>
      </c>
      <c r="Q1055" s="5" t="str">
        <f t="shared" si="1"/>
        <v>১ আগে দেখো</v>
      </c>
    </row>
    <row r="1056">
      <c r="A1056" s="4">
        <v>6561.0</v>
      </c>
      <c r="B1056" s="2" t="s">
        <v>4488</v>
      </c>
      <c r="C1056" s="2" t="s">
        <v>4489</v>
      </c>
      <c r="D1056" s="2" t="s">
        <v>4490</v>
      </c>
      <c r="E1056" s="2" t="s">
        <v>4491</v>
      </c>
      <c r="F1056" s="2" t="b">
        <v>1</v>
      </c>
      <c r="G1056" s="2" t="b">
        <v>0</v>
      </c>
      <c r="H1056" s="2" t="s">
        <v>37</v>
      </c>
      <c r="I1056" s="2" t="s">
        <v>22</v>
      </c>
      <c r="J1056" s="2" t="s">
        <v>1244</v>
      </c>
      <c r="K1056" s="2" t="s">
        <v>495</v>
      </c>
      <c r="L1056" s="13" t="s">
        <v>496</v>
      </c>
      <c r="M1056" s="2" t="s">
        <v>26</v>
      </c>
      <c r="N1056" s="11" t="s">
        <v>576</v>
      </c>
      <c r="O1056" s="12" t="s">
        <v>53</v>
      </c>
      <c r="P1056" s="5" t="str">
        <f>IFERROR(__xludf.DUMMYFUNCTION("TEXTJOIN("" | "",TRUE,IF(OR(D1056="""",E1056="""",I1056="""",J1056="""",H1056=""""),""ফাঁকা ঘর"",""""),IF(AND(C1056&lt;&gt;"""",D1056&lt;&gt;"""",C1056=D1056),""gloss=figurative"",""""),IF(LEN(D1056)&lt;15,""figurative ছোট"",""""),IF(AND(I1056=""Positive"",REGEXMATCH(H1"&amp;"056,""মূর্খ|ভণ্ড|প্রতার|অলস|লোভ|স্বার্থ|অক্ষম|অযোগ্য|বোকা|কৃপণ|হিংস"")),""valence-target অমিল"",""""),IF(COUNTIF($B:$B,B1056)&gt;1,""ডুপ্লিকেট"",""""))"),"figurative ছোট")</f>
        <v>figurative ছোট</v>
      </c>
      <c r="Q1056" s="5" t="str">
        <f t="shared" si="1"/>
        <v>১ আগে দেখো</v>
      </c>
    </row>
    <row r="1057">
      <c r="A1057" s="4">
        <v>6563.0</v>
      </c>
      <c r="B1057" s="2" t="s">
        <v>4492</v>
      </c>
      <c r="C1057" s="2" t="s">
        <v>4493</v>
      </c>
      <c r="D1057" s="2" t="s">
        <v>4494</v>
      </c>
      <c r="E1057" s="2" t="s">
        <v>4495</v>
      </c>
      <c r="F1057" s="2" t="b">
        <v>1</v>
      </c>
      <c r="G1057" s="2" t="b">
        <v>0</v>
      </c>
      <c r="H1057" s="2" t="s">
        <v>37</v>
      </c>
      <c r="I1057" s="2" t="s">
        <v>32</v>
      </c>
      <c r="J1057" s="2" t="s">
        <v>1510</v>
      </c>
      <c r="K1057" s="2" t="s">
        <v>495</v>
      </c>
      <c r="L1057" s="13" t="s">
        <v>496</v>
      </c>
      <c r="M1057" s="2" t="s">
        <v>26</v>
      </c>
      <c r="N1057" s="11" t="s">
        <v>576</v>
      </c>
      <c r="O1057" s="12" t="s">
        <v>53</v>
      </c>
      <c r="P1057" s="5" t="str">
        <f>IFERROR(__xludf.DUMMYFUNCTION("TEXTJOIN("" | "",TRUE,IF(OR(D1057="""",E1057="""",I1057="""",J1057="""",H1057=""""),""ফাঁকা ঘর"",""""),IF(AND(C1057&lt;&gt;"""",D1057&lt;&gt;"""",C1057=D1057),""gloss=figurative"",""""),IF(LEN(D1057)&lt;15,""figurative ছোট"",""""),IF(AND(I1057=""Positive"",REGEXMATCH(H1"&amp;"057,""মূর্খ|ভণ্ড|প্রতার|অলস|লোভ|স্বার্থ|অক্ষম|অযোগ্য|বোকা|কৃপণ|হিংস"")),""valence-target অমিল"",""""),IF(COUNTIF($B:$B,B1057)&gt;1,""ডুপ্লিকেট"",""""))"),"figurative ছোট")</f>
        <v>figurative ছোট</v>
      </c>
      <c r="Q1057" s="5" t="str">
        <f t="shared" si="1"/>
        <v>১ আগে দেখো</v>
      </c>
    </row>
    <row r="1058">
      <c r="A1058" s="4">
        <v>6564.0</v>
      </c>
      <c r="B1058" s="2" t="s">
        <v>4496</v>
      </c>
      <c r="C1058" s="2" t="s">
        <v>4497</v>
      </c>
      <c r="D1058" s="2" t="s">
        <v>4498</v>
      </c>
      <c r="E1058" s="2" t="s">
        <v>4499</v>
      </c>
      <c r="F1058" s="2" t="b">
        <v>1</v>
      </c>
      <c r="G1058" s="2" t="b">
        <v>0</v>
      </c>
      <c r="H1058" s="2" t="s">
        <v>37</v>
      </c>
      <c r="I1058" s="2" t="s">
        <v>49</v>
      </c>
      <c r="J1058" s="2" t="s">
        <v>1510</v>
      </c>
      <c r="K1058" s="2" t="s">
        <v>495</v>
      </c>
      <c r="L1058" s="13" t="s">
        <v>496</v>
      </c>
      <c r="M1058" s="2" t="s">
        <v>26</v>
      </c>
      <c r="N1058" s="11" t="s">
        <v>576</v>
      </c>
      <c r="O1058" s="12" t="s">
        <v>53</v>
      </c>
      <c r="P1058" s="5" t="str">
        <f>IFERROR(__xludf.DUMMYFUNCTION("TEXTJOIN("" | "",TRUE,IF(OR(D1058="""",E1058="""",I1058="""",J1058="""",H1058=""""),""ফাঁকা ঘর"",""""),IF(AND(C1058&lt;&gt;"""",D1058&lt;&gt;"""",C1058=D1058),""gloss=figurative"",""""),IF(LEN(D1058)&lt;15,""figurative ছোট"",""""),IF(AND(I1058=""Positive"",REGEXMATCH(H1"&amp;"058,""মূর্খ|ভণ্ড|প্রতার|অলস|লোভ|স্বার্থ|অক্ষম|অযোগ্য|বোকা|কৃপণ|হিংস"")),""valence-target অমিল"",""""),IF(COUNTIF($B:$B,B1058)&gt;1,""ডুপ্লিকেট"",""""))"),"figurative ছোট")</f>
        <v>figurative ছোট</v>
      </c>
      <c r="Q1058" s="5" t="str">
        <f t="shared" si="1"/>
        <v>১ আগে দেখো</v>
      </c>
    </row>
    <row r="1059">
      <c r="A1059" s="4">
        <v>6565.0</v>
      </c>
      <c r="B1059" s="2" t="s">
        <v>4500</v>
      </c>
      <c r="C1059" s="2" t="s">
        <v>4500</v>
      </c>
      <c r="D1059" s="2" t="s">
        <v>4501</v>
      </c>
      <c r="E1059" s="2" t="s">
        <v>4502</v>
      </c>
      <c r="F1059" s="2" t="b">
        <v>1</v>
      </c>
      <c r="G1059" s="2" t="b">
        <v>0</v>
      </c>
      <c r="H1059" s="2" t="s">
        <v>1334</v>
      </c>
      <c r="I1059" s="2" t="s">
        <v>22</v>
      </c>
      <c r="J1059" s="2" t="s">
        <v>820</v>
      </c>
      <c r="K1059" s="2" t="s">
        <v>495</v>
      </c>
      <c r="L1059" s="13" t="s">
        <v>496</v>
      </c>
      <c r="M1059" s="2" t="s">
        <v>26</v>
      </c>
      <c r="N1059" s="11" t="s">
        <v>576</v>
      </c>
      <c r="O1059" s="12" t="s">
        <v>53</v>
      </c>
      <c r="P1059" s="5" t="str">
        <f>IFERROR(__xludf.DUMMYFUNCTION("TEXTJOIN("" | "",TRUE,IF(OR(D1059="""",E1059="""",I1059="""",J1059="""",H1059=""""),""ফাঁকা ঘর"",""""),IF(AND(C1059&lt;&gt;"""",D1059&lt;&gt;"""",C1059=D1059),""gloss=figurative"",""""),IF(LEN(D1059)&lt;15,""figurative ছোট"",""""),IF(AND(I1059=""Positive"",REGEXMATCH(H1"&amp;"059,""মূর্খ|ভণ্ড|প্রতার|অলস|লোভ|স্বার্থ|অক্ষম|অযোগ্য|বোকা|কৃপণ|হিংস"")),""valence-target অমিল"",""""),IF(COUNTIF($B:$B,B1059)&gt;1,""ডুপ্লিকেট"",""""))"),"figurative ছোট")</f>
        <v>figurative ছোট</v>
      </c>
      <c r="Q1059" s="5" t="str">
        <f t="shared" si="1"/>
        <v>১ আগে দেখো</v>
      </c>
    </row>
    <row r="1060">
      <c r="A1060" s="4">
        <v>6566.0</v>
      </c>
      <c r="B1060" s="2" t="s">
        <v>4503</v>
      </c>
      <c r="C1060" s="2" t="s">
        <v>4504</v>
      </c>
      <c r="D1060" s="2" t="s">
        <v>1334</v>
      </c>
      <c r="E1060" s="2" t="s">
        <v>2685</v>
      </c>
      <c r="F1060" s="2" t="b">
        <v>1</v>
      </c>
      <c r="G1060" s="2" t="b">
        <v>0</v>
      </c>
      <c r="H1060" s="2" t="s">
        <v>1334</v>
      </c>
      <c r="I1060" s="2" t="s">
        <v>22</v>
      </c>
      <c r="J1060" s="2" t="s">
        <v>820</v>
      </c>
      <c r="K1060" s="2" t="s">
        <v>495</v>
      </c>
      <c r="L1060" s="13" t="s">
        <v>496</v>
      </c>
      <c r="M1060" s="2" t="s">
        <v>26</v>
      </c>
      <c r="N1060" s="11" t="s">
        <v>576</v>
      </c>
      <c r="O1060" s="12" t="s">
        <v>53</v>
      </c>
      <c r="P1060" s="5" t="str">
        <f>IFERROR(__xludf.DUMMYFUNCTION("TEXTJOIN("" | "",TRUE,IF(OR(D1060="""",E1060="""",I1060="""",J1060="""",H1060=""""),""ফাঁকা ঘর"",""""),IF(AND(C1060&lt;&gt;"""",D1060&lt;&gt;"""",C1060=D1060),""gloss=figurative"",""""),IF(LEN(D1060)&lt;15,""figurative ছোট"",""""),IF(AND(I1060=""Positive"",REGEXMATCH(H1"&amp;"060,""মূর্খ|ভণ্ড|প্রতার|অলস|লোভ|স্বার্থ|অক্ষম|অযোগ্য|বোকা|কৃপণ|হিংস"")),""valence-target অমিল"",""""),IF(COUNTIF($B:$B,B1060)&gt;1,""ডুপ্লিকেট"",""""))"),"figurative ছোট")</f>
        <v>figurative ছোট</v>
      </c>
      <c r="Q1060" s="5" t="str">
        <f t="shared" si="1"/>
        <v>১ আগে দেখো</v>
      </c>
    </row>
    <row r="1061">
      <c r="A1061" s="4">
        <v>6567.0</v>
      </c>
      <c r="B1061" s="2" t="s">
        <v>4505</v>
      </c>
      <c r="C1061" s="2" t="s">
        <v>4506</v>
      </c>
      <c r="D1061" s="2" t="s">
        <v>4507</v>
      </c>
      <c r="E1061" s="2" t="s">
        <v>4508</v>
      </c>
      <c r="F1061" s="2" t="b">
        <v>1</v>
      </c>
      <c r="G1061" s="2" t="b">
        <v>0</v>
      </c>
      <c r="H1061" s="2" t="s">
        <v>37</v>
      </c>
      <c r="I1061" s="2" t="s">
        <v>49</v>
      </c>
      <c r="J1061" s="2" t="s">
        <v>3506</v>
      </c>
      <c r="K1061" s="2" t="s">
        <v>495</v>
      </c>
      <c r="L1061" s="13" t="s">
        <v>496</v>
      </c>
      <c r="M1061" s="2" t="s">
        <v>26</v>
      </c>
      <c r="N1061" s="11" t="s">
        <v>576</v>
      </c>
      <c r="O1061" s="12" t="s">
        <v>53</v>
      </c>
      <c r="P1061" s="5" t="str">
        <f>IFERROR(__xludf.DUMMYFUNCTION("TEXTJOIN("" | "",TRUE,IF(OR(D1061="""",E1061="""",I1061="""",J1061="""",H1061=""""),""ফাঁকা ঘর"",""""),IF(AND(C1061&lt;&gt;"""",D1061&lt;&gt;"""",C1061=D1061),""gloss=figurative"",""""),IF(LEN(D1061)&lt;15,""figurative ছোট"",""""),IF(AND(I1061=""Positive"",REGEXMATCH(H1"&amp;"061,""মূর্খ|ভণ্ড|প্রতার|অলস|লোভ|স্বার্থ|অক্ষম|অযোগ্য|বোকা|কৃপণ|হিংস"")),""valence-target অমিল"",""""),IF(COUNTIF($B:$B,B1061)&gt;1,""ডুপ্লিকেট"",""""))"),"figurative ছোট")</f>
        <v>figurative ছোট</v>
      </c>
      <c r="Q1061" s="5" t="str">
        <f t="shared" si="1"/>
        <v>১ আগে দেখো</v>
      </c>
    </row>
    <row r="1062">
      <c r="A1062" s="4">
        <v>6569.0</v>
      </c>
      <c r="B1062" s="2" t="s">
        <v>4509</v>
      </c>
      <c r="C1062" s="2" t="s">
        <v>4510</v>
      </c>
      <c r="D1062" s="2" t="s">
        <v>3701</v>
      </c>
      <c r="E1062" s="2" t="s">
        <v>4511</v>
      </c>
      <c r="F1062" s="2" t="b">
        <v>1</v>
      </c>
      <c r="G1062" s="2" t="b">
        <v>0</v>
      </c>
      <c r="H1062" s="2" t="s">
        <v>37</v>
      </c>
      <c r="I1062" s="2" t="s">
        <v>49</v>
      </c>
      <c r="J1062" s="2" t="s">
        <v>3701</v>
      </c>
      <c r="K1062" s="2" t="s">
        <v>495</v>
      </c>
      <c r="L1062" s="13" t="s">
        <v>496</v>
      </c>
      <c r="M1062" s="2" t="s">
        <v>26</v>
      </c>
      <c r="N1062" s="11" t="s">
        <v>576</v>
      </c>
      <c r="O1062" s="12" t="s">
        <v>53</v>
      </c>
      <c r="P1062" s="5" t="str">
        <f>IFERROR(__xludf.DUMMYFUNCTION("TEXTJOIN("" | "",TRUE,IF(OR(D1062="""",E1062="""",I1062="""",J1062="""",H1062=""""),""ফাঁকা ঘর"",""""),IF(AND(C1062&lt;&gt;"""",D1062&lt;&gt;"""",C1062=D1062),""gloss=figurative"",""""),IF(LEN(D1062)&lt;15,""figurative ছোট"",""""),IF(AND(I1062=""Positive"",REGEXMATCH(H1"&amp;"062,""মূর্খ|ভণ্ড|প্রতার|অলস|লোভ|স্বার্থ|অক্ষম|অযোগ্য|বোকা|কৃপণ|হিংস"")),""valence-target অমিল"",""""),IF(COUNTIF($B:$B,B1062)&gt;1,""ডুপ্লিকেট"",""""))"),"figurative ছোট")</f>
        <v>figurative ছোট</v>
      </c>
      <c r="Q1062" s="5" t="str">
        <f t="shared" si="1"/>
        <v>১ আগে দেখো</v>
      </c>
    </row>
    <row r="1063">
      <c r="A1063" s="4">
        <v>6570.0</v>
      </c>
      <c r="B1063" s="2" t="s">
        <v>4512</v>
      </c>
      <c r="C1063" s="2" t="s">
        <v>4512</v>
      </c>
      <c r="D1063" s="2" t="s">
        <v>4513</v>
      </c>
      <c r="E1063" s="2" t="s">
        <v>4514</v>
      </c>
      <c r="F1063" s="2" t="b">
        <v>1</v>
      </c>
      <c r="G1063" s="2" t="b">
        <v>0</v>
      </c>
      <c r="H1063" s="2" t="s">
        <v>37</v>
      </c>
      <c r="I1063" s="2" t="s">
        <v>49</v>
      </c>
      <c r="J1063" s="2" t="s">
        <v>1813</v>
      </c>
      <c r="K1063" s="2" t="s">
        <v>495</v>
      </c>
      <c r="L1063" s="13" t="s">
        <v>496</v>
      </c>
      <c r="M1063" s="2" t="s">
        <v>26</v>
      </c>
      <c r="N1063" s="11" t="s">
        <v>576</v>
      </c>
      <c r="O1063" s="12" t="s">
        <v>53</v>
      </c>
      <c r="P1063" s="5" t="str">
        <f>IFERROR(__xludf.DUMMYFUNCTION("TEXTJOIN("" | "",TRUE,IF(OR(D1063="""",E1063="""",I1063="""",J1063="""",H1063=""""),""ফাঁকা ঘর"",""""),IF(AND(C1063&lt;&gt;"""",D1063&lt;&gt;"""",C1063=D1063),""gloss=figurative"",""""),IF(LEN(D1063)&lt;15,""figurative ছোট"",""""),IF(AND(I1063=""Positive"",REGEXMATCH(H1"&amp;"063,""মূর্খ|ভণ্ড|প্রতার|অলস|লোভ|স্বার্থ|অক্ষম|অযোগ্য|বোকা|কৃপণ|হিংস"")),""valence-target অমিল"",""""),IF(COUNTIF($B:$B,B1063)&gt;1,""ডুপ্লিকেট"",""""))"),"figurative ছোট")</f>
        <v>figurative ছোট</v>
      </c>
      <c r="Q1063" s="5" t="str">
        <f t="shared" si="1"/>
        <v>১ আগে দেখো</v>
      </c>
    </row>
    <row r="1064">
      <c r="A1064" s="4">
        <v>6571.0</v>
      </c>
      <c r="B1064" s="2" t="s">
        <v>4515</v>
      </c>
      <c r="C1064" s="2" t="s">
        <v>4516</v>
      </c>
      <c r="D1064" s="2" t="s">
        <v>4517</v>
      </c>
      <c r="E1064" s="2" t="s">
        <v>4518</v>
      </c>
      <c r="F1064" s="2" t="b">
        <v>1</v>
      </c>
      <c r="G1064" s="2" t="b">
        <v>0</v>
      </c>
      <c r="H1064" s="2" t="s">
        <v>37</v>
      </c>
      <c r="I1064" s="2" t="s">
        <v>32</v>
      </c>
      <c r="J1064" s="2" t="s">
        <v>1644</v>
      </c>
      <c r="K1064" s="2" t="s">
        <v>495</v>
      </c>
      <c r="L1064" s="13" t="s">
        <v>496</v>
      </c>
      <c r="M1064" s="2" t="s">
        <v>26</v>
      </c>
      <c r="N1064" s="11" t="s">
        <v>576</v>
      </c>
      <c r="O1064" s="12" t="s">
        <v>53</v>
      </c>
      <c r="P1064" s="5" t="str">
        <f>IFERROR(__xludf.DUMMYFUNCTION("TEXTJOIN("" | "",TRUE,IF(OR(D1064="""",E1064="""",I1064="""",J1064="""",H1064=""""),""ফাঁকা ঘর"",""""),IF(AND(C1064&lt;&gt;"""",D1064&lt;&gt;"""",C1064=D1064),""gloss=figurative"",""""),IF(LEN(D1064)&lt;15,""figurative ছোট"",""""),IF(AND(I1064=""Positive"",REGEXMATCH(H1"&amp;"064,""মূর্খ|ভণ্ড|প্রতার|অলস|লোভ|স্বার্থ|অক্ষম|অযোগ্য|বোকা|কৃপণ|হিংস"")),""valence-target অমিল"",""""),IF(COUNTIF($B:$B,B1064)&gt;1,""ডুপ্লিকেট"",""""))"),"figurative ছোট")</f>
        <v>figurative ছোট</v>
      </c>
      <c r="Q1064" s="5" t="str">
        <f t="shared" si="1"/>
        <v>১ আগে দেখো</v>
      </c>
    </row>
    <row r="1065">
      <c r="A1065" s="4">
        <v>6572.0</v>
      </c>
      <c r="B1065" s="2" t="s">
        <v>4519</v>
      </c>
      <c r="C1065" s="2" t="s">
        <v>4520</v>
      </c>
      <c r="D1065" s="2" t="s">
        <v>4521</v>
      </c>
      <c r="E1065" s="2" t="s">
        <v>4522</v>
      </c>
      <c r="F1065" s="2" t="b">
        <v>1</v>
      </c>
      <c r="G1065" s="2" t="b">
        <v>0</v>
      </c>
      <c r="H1065" s="2" t="s">
        <v>37</v>
      </c>
      <c r="I1065" s="2" t="s">
        <v>22</v>
      </c>
      <c r="J1065" s="2" t="s">
        <v>646</v>
      </c>
      <c r="K1065" s="2" t="s">
        <v>495</v>
      </c>
      <c r="L1065" s="13" t="s">
        <v>496</v>
      </c>
      <c r="M1065" s="2" t="s">
        <v>26</v>
      </c>
      <c r="N1065" s="11" t="s">
        <v>576</v>
      </c>
      <c r="O1065" s="12" t="s">
        <v>53</v>
      </c>
      <c r="P1065" s="5" t="str">
        <f>IFERROR(__xludf.DUMMYFUNCTION("TEXTJOIN("" | "",TRUE,IF(OR(D1065="""",E1065="""",I1065="""",J1065="""",H1065=""""),""ফাঁকা ঘর"",""""),IF(AND(C1065&lt;&gt;"""",D1065&lt;&gt;"""",C1065=D1065),""gloss=figurative"",""""),IF(LEN(D1065)&lt;15,""figurative ছোট"",""""),IF(AND(I1065=""Positive"",REGEXMATCH(H1"&amp;"065,""মূর্খ|ভণ্ড|প্রতার|অলস|লোভ|স্বার্থ|অক্ষম|অযোগ্য|বোকা|কৃপণ|হিংস"")),""valence-target অমিল"",""""),IF(COUNTIF($B:$B,B1065)&gt;1,""ডুপ্লিকেট"",""""))"),"figurative ছোট")</f>
        <v>figurative ছোট</v>
      </c>
      <c r="Q1065" s="5" t="str">
        <f t="shared" si="1"/>
        <v>১ আগে দেখো</v>
      </c>
    </row>
    <row r="1066">
      <c r="A1066" s="4">
        <v>6573.0</v>
      </c>
      <c r="B1066" s="2" t="s">
        <v>4523</v>
      </c>
      <c r="C1066" s="2" t="s">
        <v>4524</v>
      </c>
      <c r="D1066" s="2" t="s">
        <v>4525</v>
      </c>
      <c r="E1066" s="2" t="s">
        <v>4526</v>
      </c>
      <c r="F1066" s="2" t="b">
        <v>1</v>
      </c>
      <c r="G1066" s="2" t="b">
        <v>0</v>
      </c>
      <c r="H1066" s="2" t="s">
        <v>37</v>
      </c>
      <c r="I1066" s="2" t="s">
        <v>32</v>
      </c>
      <c r="J1066" s="2" t="s">
        <v>1518</v>
      </c>
      <c r="K1066" s="2" t="s">
        <v>495</v>
      </c>
      <c r="L1066" s="13" t="s">
        <v>496</v>
      </c>
      <c r="M1066" s="2" t="s">
        <v>26</v>
      </c>
      <c r="N1066" s="11" t="s">
        <v>576</v>
      </c>
      <c r="O1066" s="12" t="s">
        <v>53</v>
      </c>
      <c r="P1066" s="5" t="str">
        <f>IFERROR(__xludf.DUMMYFUNCTION("TEXTJOIN("" | "",TRUE,IF(OR(D1066="""",E1066="""",I1066="""",J1066="""",H1066=""""),""ফাঁকা ঘর"",""""),IF(AND(C1066&lt;&gt;"""",D1066&lt;&gt;"""",C1066=D1066),""gloss=figurative"",""""),IF(LEN(D1066)&lt;15,""figurative ছোট"",""""),IF(AND(I1066=""Positive"",REGEXMATCH(H1"&amp;"066,""মূর্খ|ভণ্ড|প্রতার|অলস|লোভ|স্বার্থ|অক্ষম|অযোগ্য|বোকা|কৃপণ|হিংস"")),""valence-target অমিল"",""""),IF(COUNTIF($B:$B,B1066)&gt;1,""ডুপ্লিকেট"",""""))"),"figurative ছোট")</f>
        <v>figurative ছোট</v>
      </c>
      <c r="Q1066" s="5" t="str">
        <f t="shared" si="1"/>
        <v>১ আগে দেখো</v>
      </c>
    </row>
    <row r="1067">
      <c r="A1067" s="4">
        <v>6574.0</v>
      </c>
      <c r="B1067" s="2" t="s">
        <v>4527</v>
      </c>
      <c r="C1067" s="2" t="s">
        <v>4527</v>
      </c>
      <c r="D1067" s="2" t="s">
        <v>3701</v>
      </c>
      <c r="E1067" s="2" t="s">
        <v>4528</v>
      </c>
      <c r="F1067" s="2" t="b">
        <v>1</v>
      </c>
      <c r="G1067" s="2" t="b">
        <v>0</v>
      </c>
      <c r="H1067" s="2" t="s">
        <v>37</v>
      </c>
      <c r="I1067" s="2" t="s">
        <v>49</v>
      </c>
      <c r="J1067" s="2" t="s">
        <v>3701</v>
      </c>
      <c r="K1067" s="2" t="s">
        <v>495</v>
      </c>
      <c r="L1067" s="13" t="s">
        <v>496</v>
      </c>
      <c r="M1067" s="2" t="s">
        <v>26</v>
      </c>
      <c r="N1067" s="11" t="s">
        <v>576</v>
      </c>
      <c r="O1067" s="12" t="s">
        <v>53</v>
      </c>
      <c r="P1067" s="5" t="str">
        <f>IFERROR(__xludf.DUMMYFUNCTION("TEXTJOIN("" | "",TRUE,IF(OR(D1067="""",E1067="""",I1067="""",J1067="""",H1067=""""),""ফাঁকা ঘর"",""""),IF(AND(C1067&lt;&gt;"""",D1067&lt;&gt;"""",C1067=D1067),""gloss=figurative"",""""),IF(LEN(D1067)&lt;15,""figurative ছোট"",""""),IF(AND(I1067=""Positive"",REGEXMATCH(H1"&amp;"067,""মূর্খ|ভণ্ড|প্রতার|অলস|লোভ|স্বার্থ|অক্ষম|অযোগ্য|বোকা|কৃপণ|হিংস"")),""valence-target অমিল"",""""),IF(COUNTIF($B:$B,B1067)&gt;1,""ডুপ্লিকেট"",""""))"),"figurative ছোট")</f>
        <v>figurative ছোট</v>
      </c>
      <c r="Q1067" s="5" t="str">
        <f t="shared" si="1"/>
        <v>১ আগে দেখো</v>
      </c>
    </row>
    <row r="1068">
      <c r="A1068" s="4">
        <v>6575.0</v>
      </c>
      <c r="B1068" s="2" t="s">
        <v>4529</v>
      </c>
      <c r="C1068" s="2" t="s">
        <v>4530</v>
      </c>
      <c r="D1068" s="2" t="s">
        <v>1175</v>
      </c>
      <c r="E1068" s="2" t="s">
        <v>4531</v>
      </c>
      <c r="F1068" s="2" t="b">
        <v>1</v>
      </c>
      <c r="G1068" s="2" t="b">
        <v>0</v>
      </c>
      <c r="H1068" s="2" t="s">
        <v>37</v>
      </c>
      <c r="I1068" s="2" t="s">
        <v>49</v>
      </c>
      <c r="J1068" s="2" t="s">
        <v>1151</v>
      </c>
      <c r="K1068" s="2" t="s">
        <v>495</v>
      </c>
      <c r="L1068" s="13" t="s">
        <v>496</v>
      </c>
      <c r="M1068" s="2" t="s">
        <v>26</v>
      </c>
      <c r="N1068" s="11" t="s">
        <v>576</v>
      </c>
      <c r="O1068" s="12" t="s">
        <v>53</v>
      </c>
      <c r="P1068" s="5" t="str">
        <f>IFERROR(__xludf.DUMMYFUNCTION("TEXTJOIN("" | "",TRUE,IF(OR(D1068="""",E1068="""",I1068="""",J1068="""",H1068=""""),""ফাঁকা ঘর"",""""),IF(AND(C1068&lt;&gt;"""",D1068&lt;&gt;"""",C1068=D1068),""gloss=figurative"",""""),IF(LEN(D1068)&lt;15,""figurative ছোট"",""""),IF(AND(I1068=""Positive"",REGEXMATCH(H1"&amp;"068,""মূর্খ|ভণ্ড|প্রতার|অলস|লোভ|স্বার্থ|অক্ষম|অযোগ্য|বোকা|কৃপণ|হিংস"")),""valence-target অমিল"",""""),IF(COUNTIF($B:$B,B1068)&gt;1,""ডুপ্লিকেট"",""""))"),"figurative ছোট")</f>
        <v>figurative ছোট</v>
      </c>
      <c r="Q1068" s="5" t="str">
        <f t="shared" si="1"/>
        <v>১ আগে দেখো</v>
      </c>
    </row>
    <row r="1069">
      <c r="A1069" s="4">
        <v>6576.0</v>
      </c>
      <c r="B1069" s="2" t="s">
        <v>4532</v>
      </c>
      <c r="C1069" s="2" t="s">
        <v>4532</v>
      </c>
      <c r="D1069" s="2" t="s">
        <v>1074</v>
      </c>
      <c r="E1069" s="2" t="s">
        <v>4533</v>
      </c>
      <c r="F1069" s="2" t="b">
        <v>1</v>
      </c>
      <c r="G1069" s="2" t="b">
        <v>0</v>
      </c>
      <c r="H1069" s="2" t="s">
        <v>37</v>
      </c>
      <c r="I1069" s="2" t="s">
        <v>22</v>
      </c>
      <c r="J1069" s="2" t="s">
        <v>2485</v>
      </c>
      <c r="K1069" s="2" t="s">
        <v>495</v>
      </c>
      <c r="L1069" s="13" t="s">
        <v>496</v>
      </c>
      <c r="M1069" s="2" t="s">
        <v>26</v>
      </c>
      <c r="N1069" s="11" t="s">
        <v>576</v>
      </c>
      <c r="O1069" s="12" t="s">
        <v>53</v>
      </c>
      <c r="P1069" s="5" t="str">
        <f>IFERROR(__xludf.DUMMYFUNCTION("TEXTJOIN("" | "",TRUE,IF(OR(D1069="""",E1069="""",I1069="""",J1069="""",H1069=""""),""ফাঁকা ঘর"",""""),IF(AND(C1069&lt;&gt;"""",D1069&lt;&gt;"""",C1069=D1069),""gloss=figurative"",""""),IF(LEN(D1069)&lt;15,""figurative ছোট"",""""),IF(AND(I1069=""Positive"",REGEXMATCH(H1"&amp;"069,""মূর্খ|ভণ্ড|প্রতার|অলস|লোভ|স্বার্থ|অক্ষম|অযোগ্য|বোকা|কৃপণ|হিংস"")),""valence-target অমিল"",""""),IF(COUNTIF($B:$B,B1069)&gt;1,""ডুপ্লিকেট"",""""))"),"figurative ছোট")</f>
        <v>figurative ছোট</v>
      </c>
      <c r="Q1069" s="5" t="str">
        <f t="shared" si="1"/>
        <v>১ আগে দেখো</v>
      </c>
    </row>
    <row r="1070">
      <c r="A1070" s="4">
        <v>6579.0</v>
      </c>
      <c r="B1070" s="2" t="s">
        <v>4534</v>
      </c>
      <c r="C1070" s="2" t="s">
        <v>4535</v>
      </c>
      <c r="D1070" s="2" t="s">
        <v>4536</v>
      </c>
      <c r="E1070" s="2" t="s">
        <v>4537</v>
      </c>
      <c r="F1070" s="2" t="b">
        <v>1</v>
      </c>
      <c r="G1070" s="2" t="b">
        <v>0</v>
      </c>
      <c r="H1070" s="2" t="s">
        <v>37</v>
      </c>
      <c r="I1070" s="2" t="s">
        <v>49</v>
      </c>
      <c r="J1070" s="2" t="s">
        <v>1803</v>
      </c>
      <c r="K1070" s="2" t="s">
        <v>495</v>
      </c>
      <c r="L1070" s="13" t="s">
        <v>496</v>
      </c>
      <c r="M1070" s="2" t="s">
        <v>26</v>
      </c>
      <c r="N1070" s="11" t="s">
        <v>576</v>
      </c>
      <c r="O1070" s="12" t="s">
        <v>53</v>
      </c>
      <c r="P1070" s="5" t="str">
        <f>IFERROR(__xludf.DUMMYFUNCTION("TEXTJOIN("" | "",TRUE,IF(OR(D1070="""",E1070="""",I1070="""",J1070="""",H1070=""""),""ফাঁকা ঘর"",""""),IF(AND(C1070&lt;&gt;"""",D1070&lt;&gt;"""",C1070=D1070),""gloss=figurative"",""""),IF(LEN(D1070)&lt;15,""figurative ছোট"",""""),IF(AND(I1070=""Positive"",REGEXMATCH(H1"&amp;"070,""মূর্খ|ভণ্ড|প্রতার|অলস|লোভ|স্বার্থ|অক্ষম|অযোগ্য|বোকা|কৃপণ|হিংস"")),""valence-target অমিল"",""""),IF(COUNTIF($B:$B,B1070)&gt;1,""ডুপ্লিকেট"",""""))"),"figurative ছোট")</f>
        <v>figurative ছোট</v>
      </c>
      <c r="Q1070" s="5" t="str">
        <f t="shared" si="1"/>
        <v>১ আগে দেখো</v>
      </c>
    </row>
    <row r="1071">
      <c r="A1071" s="4">
        <v>6580.0</v>
      </c>
      <c r="B1071" s="2" t="s">
        <v>4538</v>
      </c>
      <c r="C1071" s="2" t="s">
        <v>4538</v>
      </c>
      <c r="D1071" s="2" t="s">
        <v>2424</v>
      </c>
      <c r="E1071" s="2" t="s">
        <v>4539</v>
      </c>
      <c r="F1071" s="2" t="b">
        <v>1</v>
      </c>
      <c r="G1071" s="2" t="b">
        <v>0</v>
      </c>
      <c r="H1071" s="2" t="s">
        <v>2424</v>
      </c>
      <c r="I1071" s="2" t="s">
        <v>22</v>
      </c>
      <c r="J1071" s="2" t="s">
        <v>2422</v>
      </c>
      <c r="K1071" s="2" t="s">
        <v>495</v>
      </c>
      <c r="L1071" s="13" t="s">
        <v>496</v>
      </c>
      <c r="M1071" s="2" t="s">
        <v>26</v>
      </c>
      <c r="N1071" s="11" t="s">
        <v>576</v>
      </c>
      <c r="O1071" s="12" t="s">
        <v>53</v>
      </c>
      <c r="P1071" s="5" t="str">
        <f>IFERROR(__xludf.DUMMYFUNCTION("TEXTJOIN("" | "",TRUE,IF(OR(D1071="""",E1071="""",I1071="""",J1071="""",H1071=""""),""ফাঁকা ঘর"",""""),IF(AND(C1071&lt;&gt;"""",D1071&lt;&gt;"""",C1071=D1071),""gloss=figurative"",""""),IF(LEN(D1071)&lt;15,""figurative ছোট"",""""),IF(AND(I1071=""Positive"",REGEXMATCH(H1"&amp;"071,""মূর্খ|ভণ্ড|প্রতার|অলস|লোভ|স্বার্থ|অক্ষম|অযোগ্য|বোকা|কৃপণ|হিংস"")),""valence-target অমিল"",""""),IF(COUNTIF($B:$B,B1071)&gt;1,""ডুপ্লিকেট"",""""))"),"figurative ছোট")</f>
        <v>figurative ছোট</v>
      </c>
      <c r="Q1071" s="5" t="str">
        <f t="shared" si="1"/>
        <v>১ আগে দেখো</v>
      </c>
    </row>
    <row r="1072">
      <c r="A1072" s="4">
        <v>6581.0</v>
      </c>
      <c r="B1072" s="2" t="s">
        <v>4540</v>
      </c>
      <c r="C1072" s="2" t="s">
        <v>4541</v>
      </c>
      <c r="D1072" s="2" t="s">
        <v>4542</v>
      </c>
      <c r="E1072" s="2" t="s">
        <v>4543</v>
      </c>
      <c r="F1072" s="2" t="b">
        <v>1</v>
      </c>
      <c r="G1072" s="2" t="b">
        <v>1</v>
      </c>
      <c r="H1072" s="2" t="s">
        <v>1106</v>
      </c>
      <c r="I1072" s="2" t="s">
        <v>22</v>
      </c>
      <c r="J1072" s="2" t="s">
        <v>1315</v>
      </c>
      <c r="K1072" s="2" t="s">
        <v>495</v>
      </c>
      <c r="L1072" s="13" t="s">
        <v>496</v>
      </c>
      <c r="M1072" s="2" t="s">
        <v>26</v>
      </c>
      <c r="N1072" s="11" t="s">
        <v>576</v>
      </c>
      <c r="O1072" s="12" t="s">
        <v>53</v>
      </c>
      <c r="P1072" s="5" t="str">
        <f>IFERROR(__xludf.DUMMYFUNCTION("TEXTJOIN("" | "",TRUE,IF(OR(D1072="""",E1072="""",I1072="""",J1072="""",H1072=""""),""ফাঁকা ঘর"",""""),IF(AND(C1072&lt;&gt;"""",D1072&lt;&gt;"""",C1072=D1072),""gloss=figurative"",""""),IF(LEN(D1072)&lt;15,""figurative ছোট"",""""),IF(AND(I1072=""Positive"",REGEXMATCH(H1"&amp;"072,""মূর্খ|ভণ্ড|প্রতার|অলস|লোভ|স্বার্থ|অক্ষম|অযোগ্য|বোকা|কৃপণ|হিংস"")),""valence-target অমিল"",""""),IF(COUNTIF($B:$B,B1072)&gt;1,""ডুপ্লিকেট"",""""))"),"figurative ছোট")</f>
        <v>figurative ছোট</v>
      </c>
      <c r="Q1072" s="5" t="str">
        <f t="shared" si="1"/>
        <v>১ আগে দেখো</v>
      </c>
    </row>
    <row r="1073">
      <c r="A1073" s="4">
        <v>6583.0</v>
      </c>
      <c r="B1073" s="2" t="s">
        <v>4544</v>
      </c>
      <c r="C1073" s="2" t="s">
        <v>4545</v>
      </c>
      <c r="D1073" s="2" t="s">
        <v>4546</v>
      </c>
      <c r="E1073" s="2" t="s">
        <v>4547</v>
      </c>
      <c r="F1073" s="2" t="b">
        <v>1</v>
      </c>
      <c r="G1073" s="2" t="b">
        <v>1</v>
      </c>
      <c r="H1073" s="2" t="s">
        <v>800</v>
      </c>
      <c r="I1073" s="2" t="s">
        <v>32</v>
      </c>
      <c r="J1073" s="2" t="s">
        <v>1315</v>
      </c>
      <c r="K1073" s="2" t="s">
        <v>495</v>
      </c>
      <c r="L1073" s="13" t="s">
        <v>496</v>
      </c>
      <c r="M1073" s="2" t="s">
        <v>26</v>
      </c>
      <c r="N1073" s="11" t="s">
        <v>576</v>
      </c>
      <c r="O1073" s="12" t="s">
        <v>53</v>
      </c>
      <c r="P1073" s="5" t="str">
        <f>IFERROR(__xludf.DUMMYFUNCTION("TEXTJOIN("" | "",TRUE,IF(OR(D1073="""",E1073="""",I1073="""",J1073="""",H1073=""""),""ফাঁকা ঘর"",""""),IF(AND(C1073&lt;&gt;"""",D1073&lt;&gt;"""",C1073=D1073),""gloss=figurative"",""""),IF(LEN(D1073)&lt;15,""figurative ছোট"",""""),IF(AND(I1073=""Positive"",REGEXMATCH(H1"&amp;"073,""মূর্খ|ভণ্ড|প্রতার|অলস|লোভ|স্বার্থ|অক্ষম|অযোগ্য|বোকা|কৃপণ|হিংস"")),""valence-target অমিল"",""""),IF(COUNTIF($B:$B,B1073)&gt;1,""ডুপ্লিকেট"",""""))"),"figurative ছোট")</f>
        <v>figurative ছোট</v>
      </c>
      <c r="Q1073" s="5" t="str">
        <f t="shared" si="1"/>
        <v>১ আগে দেখো</v>
      </c>
    </row>
    <row r="1074">
      <c r="A1074" s="4">
        <v>6584.0</v>
      </c>
      <c r="B1074" s="2" t="s">
        <v>4548</v>
      </c>
      <c r="C1074" s="2" t="s">
        <v>4548</v>
      </c>
      <c r="D1074" s="2" t="s">
        <v>4549</v>
      </c>
      <c r="E1074" s="2" t="s">
        <v>4550</v>
      </c>
      <c r="F1074" s="2" t="b">
        <v>1</v>
      </c>
      <c r="G1074" s="2" t="b">
        <v>0</v>
      </c>
      <c r="H1074" s="2" t="s">
        <v>37</v>
      </c>
      <c r="I1074" s="2" t="s">
        <v>22</v>
      </c>
      <c r="J1074" s="2" t="s">
        <v>4551</v>
      </c>
      <c r="K1074" s="2" t="s">
        <v>495</v>
      </c>
      <c r="L1074" s="13" t="s">
        <v>496</v>
      </c>
      <c r="M1074" s="2" t="s">
        <v>26</v>
      </c>
      <c r="N1074" s="11" t="s">
        <v>576</v>
      </c>
      <c r="O1074" s="12" t="s">
        <v>53</v>
      </c>
      <c r="P1074" s="5" t="str">
        <f>IFERROR(__xludf.DUMMYFUNCTION("TEXTJOIN("" | "",TRUE,IF(OR(D1074="""",E1074="""",I1074="""",J1074="""",H1074=""""),""ফাঁকা ঘর"",""""),IF(AND(C1074&lt;&gt;"""",D1074&lt;&gt;"""",C1074=D1074),""gloss=figurative"",""""),IF(LEN(D1074)&lt;15,""figurative ছোট"",""""),IF(AND(I1074=""Positive"",REGEXMATCH(H1"&amp;"074,""মূর্খ|ভণ্ড|প্রতার|অলস|লোভ|স্বার্থ|অক্ষম|অযোগ্য|বোকা|কৃপণ|হিংস"")),""valence-target অমিল"",""""),IF(COUNTIF($B:$B,B1074)&gt;1,""ডুপ্লিকেট"",""""))"),"figurative ছোট")</f>
        <v>figurative ছোট</v>
      </c>
      <c r="Q1074" s="5" t="str">
        <f t="shared" si="1"/>
        <v>১ আগে দেখো</v>
      </c>
    </row>
    <row r="1075">
      <c r="A1075" s="4">
        <v>6586.0</v>
      </c>
      <c r="B1075" s="2" t="s">
        <v>4552</v>
      </c>
      <c r="C1075" s="2" t="s">
        <v>4553</v>
      </c>
      <c r="D1075" s="2" t="s">
        <v>4554</v>
      </c>
      <c r="E1075" s="2" t="s">
        <v>4555</v>
      </c>
      <c r="F1075" s="2" t="b">
        <v>1</v>
      </c>
      <c r="G1075" s="2" t="b">
        <v>0</v>
      </c>
      <c r="H1075" s="2" t="s">
        <v>37</v>
      </c>
      <c r="I1075" s="2" t="s">
        <v>22</v>
      </c>
      <c r="J1075" s="2" t="s">
        <v>2667</v>
      </c>
      <c r="K1075" s="2" t="s">
        <v>495</v>
      </c>
      <c r="L1075" s="13" t="s">
        <v>496</v>
      </c>
      <c r="M1075" s="2" t="s">
        <v>26</v>
      </c>
      <c r="N1075" s="11" t="s">
        <v>576</v>
      </c>
      <c r="O1075" s="12" t="s">
        <v>53</v>
      </c>
      <c r="P1075" s="5" t="str">
        <f>IFERROR(__xludf.DUMMYFUNCTION("TEXTJOIN("" | "",TRUE,IF(OR(D1075="""",E1075="""",I1075="""",J1075="""",H1075=""""),""ফাঁকা ঘর"",""""),IF(AND(C1075&lt;&gt;"""",D1075&lt;&gt;"""",C1075=D1075),""gloss=figurative"",""""),IF(LEN(D1075)&lt;15,""figurative ছোট"",""""),IF(AND(I1075=""Positive"",REGEXMATCH(H1"&amp;"075,""মূর্খ|ভণ্ড|প্রতার|অলস|লোভ|স্বার্থ|অক্ষম|অযোগ্য|বোকা|কৃপণ|হিংস"")),""valence-target অমিল"",""""),IF(COUNTIF($B:$B,B1075)&gt;1,""ডুপ্লিকেট"",""""))"),"figurative ছোট")</f>
        <v>figurative ছোট</v>
      </c>
      <c r="Q1075" s="5" t="str">
        <f t="shared" si="1"/>
        <v>১ আগে দেখো</v>
      </c>
    </row>
    <row r="1076">
      <c r="A1076" s="4">
        <v>6587.0</v>
      </c>
      <c r="B1076" s="2" t="s">
        <v>4556</v>
      </c>
      <c r="C1076" s="2" t="s">
        <v>4556</v>
      </c>
      <c r="D1076" s="2" t="s">
        <v>4557</v>
      </c>
      <c r="E1076" s="2" t="s">
        <v>4558</v>
      </c>
      <c r="F1076" s="2" t="b">
        <v>1</v>
      </c>
      <c r="G1076" s="2" t="b">
        <v>0</v>
      </c>
      <c r="H1076" s="2" t="s">
        <v>37</v>
      </c>
      <c r="I1076" s="2" t="s">
        <v>49</v>
      </c>
      <c r="J1076" s="2" t="s">
        <v>2249</v>
      </c>
      <c r="K1076" s="2" t="s">
        <v>495</v>
      </c>
      <c r="L1076" s="13" t="s">
        <v>496</v>
      </c>
      <c r="M1076" s="2" t="s">
        <v>26</v>
      </c>
      <c r="N1076" s="11" t="s">
        <v>576</v>
      </c>
      <c r="O1076" s="12" t="s">
        <v>53</v>
      </c>
      <c r="P1076" s="5" t="str">
        <f>IFERROR(__xludf.DUMMYFUNCTION("TEXTJOIN("" | "",TRUE,IF(OR(D1076="""",E1076="""",I1076="""",J1076="""",H1076=""""),""ফাঁকা ঘর"",""""),IF(AND(C1076&lt;&gt;"""",D1076&lt;&gt;"""",C1076=D1076),""gloss=figurative"",""""),IF(LEN(D1076)&lt;15,""figurative ছোট"",""""),IF(AND(I1076=""Positive"",REGEXMATCH(H1"&amp;"076,""মূর্খ|ভণ্ড|প্রতার|অলস|লোভ|স্বার্থ|অক্ষম|অযোগ্য|বোকা|কৃপণ|হিংস"")),""valence-target অমিল"",""""),IF(COUNTIF($B:$B,B1076)&gt;1,""ডুপ্লিকেট"",""""))"),"figurative ছোট")</f>
        <v>figurative ছোট</v>
      </c>
      <c r="Q1076" s="5" t="str">
        <f t="shared" si="1"/>
        <v>১ আগে দেখো</v>
      </c>
    </row>
    <row r="1077">
      <c r="A1077" s="4">
        <v>6588.0</v>
      </c>
      <c r="B1077" s="2" t="s">
        <v>4559</v>
      </c>
      <c r="C1077" s="2" t="s">
        <v>4560</v>
      </c>
      <c r="D1077" s="2" t="s">
        <v>4561</v>
      </c>
      <c r="E1077" s="2" t="s">
        <v>4562</v>
      </c>
      <c r="F1077" s="2" t="b">
        <v>1</v>
      </c>
      <c r="G1077" s="2" t="b">
        <v>1</v>
      </c>
      <c r="H1077" s="2" t="s">
        <v>1211</v>
      </c>
      <c r="I1077" s="2" t="s">
        <v>22</v>
      </c>
      <c r="J1077" s="2" t="s">
        <v>1471</v>
      </c>
      <c r="K1077" s="2" t="s">
        <v>495</v>
      </c>
      <c r="L1077" s="13" t="s">
        <v>496</v>
      </c>
      <c r="M1077" s="2" t="s">
        <v>26</v>
      </c>
      <c r="N1077" s="11" t="s">
        <v>4563</v>
      </c>
      <c r="O1077" s="12" t="s">
        <v>53</v>
      </c>
      <c r="P1077" s="5" t="str">
        <f>IFERROR(__xludf.DUMMYFUNCTION("TEXTJOIN("" | "",TRUE,IF(OR(D1077="""",E1077="""",I1077="""",J1077="""",H1077=""""),""ফাঁকা ঘর"",""""),IF(AND(C1077&lt;&gt;"""",D1077&lt;&gt;"""",C1077=D1077),""gloss=figurative"",""""),IF(LEN(D1077)&lt;15,""figurative ছোট"",""""),IF(AND(I1077=""Positive"",REGEXMATCH(H1"&amp;"077,""মূর্খ|ভণ্ড|প্রতার|অলস|লোভ|স্বার্থ|অক্ষম|অযোগ্য|বোকা|কৃপণ|হিংস"")),""valence-target অমিল"",""""),IF(COUNTIF($B:$B,B1077)&gt;1,""ডুপ্লিকেট"",""""))"),"figurative ছোট")</f>
        <v>figurative ছোট</v>
      </c>
      <c r="Q1077" s="5" t="str">
        <f t="shared" si="1"/>
        <v>১ আগে দেখো</v>
      </c>
    </row>
    <row r="1078">
      <c r="A1078" s="4">
        <v>6589.0</v>
      </c>
      <c r="B1078" s="2" t="s">
        <v>4564</v>
      </c>
      <c r="C1078" s="2" t="s">
        <v>4565</v>
      </c>
      <c r="D1078" s="2" t="s">
        <v>4566</v>
      </c>
      <c r="E1078" s="2" t="s">
        <v>4567</v>
      </c>
      <c r="F1078" s="2" t="b">
        <v>1</v>
      </c>
      <c r="G1078" s="2" t="b">
        <v>1</v>
      </c>
      <c r="H1078" s="2" t="s">
        <v>1211</v>
      </c>
      <c r="I1078" s="2" t="s">
        <v>22</v>
      </c>
      <c r="J1078" s="2" t="s">
        <v>1471</v>
      </c>
      <c r="K1078" s="2" t="s">
        <v>495</v>
      </c>
      <c r="L1078" s="13" t="s">
        <v>496</v>
      </c>
      <c r="M1078" s="2" t="s">
        <v>26</v>
      </c>
      <c r="N1078" s="11" t="s">
        <v>4568</v>
      </c>
      <c r="O1078" s="12" t="s">
        <v>53</v>
      </c>
      <c r="P1078" s="5" t="str">
        <f>IFERROR(__xludf.DUMMYFUNCTION("TEXTJOIN("" | "",TRUE,IF(OR(D1078="""",E1078="""",I1078="""",J1078="""",H1078=""""),""ফাঁকা ঘর"",""""),IF(AND(C1078&lt;&gt;"""",D1078&lt;&gt;"""",C1078=D1078),""gloss=figurative"",""""),IF(LEN(D1078)&lt;15,""figurative ছোট"",""""),IF(AND(I1078=""Positive"",REGEXMATCH(H1"&amp;"078,""মূর্খ|ভণ্ড|প্রতার|অলস|লোভ|স্বার্থ|অক্ষম|অযোগ্য|বোকা|কৃপণ|হিংস"")),""valence-target অমিল"",""""),IF(COUNTIF($B:$B,B1078)&gt;1,""ডুপ্লিকেট"",""""))"),"figurative ছোট")</f>
        <v>figurative ছোট</v>
      </c>
      <c r="Q1078" s="5" t="str">
        <f t="shared" si="1"/>
        <v>১ আগে দেখো</v>
      </c>
    </row>
    <row r="1079">
      <c r="A1079" s="4">
        <v>6590.0</v>
      </c>
      <c r="B1079" s="2" t="s">
        <v>4395</v>
      </c>
      <c r="C1079" s="2" t="s">
        <v>4395</v>
      </c>
      <c r="D1079" s="2" t="s">
        <v>4569</v>
      </c>
      <c r="E1079" s="2" t="s">
        <v>4570</v>
      </c>
      <c r="F1079" s="2" t="b">
        <v>1</v>
      </c>
      <c r="G1079" s="2" t="b">
        <v>0</v>
      </c>
      <c r="H1079" s="2" t="s">
        <v>37</v>
      </c>
      <c r="I1079" s="2" t="s">
        <v>32</v>
      </c>
      <c r="J1079" s="2" t="s">
        <v>4067</v>
      </c>
      <c r="K1079" s="2" t="s">
        <v>495</v>
      </c>
      <c r="L1079" s="13" t="s">
        <v>496</v>
      </c>
      <c r="M1079" s="2" t="s">
        <v>26</v>
      </c>
      <c r="N1079" s="11" t="s">
        <v>576</v>
      </c>
      <c r="O1079" s="12" t="s">
        <v>53</v>
      </c>
      <c r="P1079" s="5" t="str">
        <f>IFERROR(__xludf.DUMMYFUNCTION("TEXTJOIN("" | "",TRUE,IF(OR(D1079="""",E1079="""",I1079="""",J1079="""",H1079=""""),""ফাঁকা ঘর"",""""),IF(AND(C1079&lt;&gt;"""",D1079&lt;&gt;"""",C1079=D1079),""gloss=figurative"",""""),IF(LEN(D1079)&lt;15,""figurative ছোট"",""""),IF(AND(I1079=""Positive"",REGEXMATCH(H1"&amp;"079,""মূর্খ|ভণ্ড|প্রতার|অলস|লোভ|স্বার্থ|অক্ষম|অযোগ্য|বোকা|কৃপণ|হিংস"")),""valence-target অমিল"",""""),IF(COUNTIF($B:$B,B1079)&gt;1,""ডুপ্লিকেট"",""""))"),"figurative ছোট")</f>
        <v>figurative ছোট</v>
      </c>
      <c r="Q1079" s="5" t="str">
        <f t="shared" si="1"/>
        <v>১ আগে দেখো</v>
      </c>
    </row>
    <row r="1080">
      <c r="A1080" s="4">
        <v>6593.0</v>
      </c>
      <c r="B1080" s="2" t="s">
        <v>4571</v>
      </c>
      <c r="C1080" s="2" t="s">
        <v>4571</v>
      </c>
      <c r="D1080" s="2" t="s">
        <v>1160</v>
      </c>
      <c r="E1080" s="2" t="s">
        <v>4572</v>
      </c>
      <c r="F1080" s="2" t="b">
        <v>1</v>
      </c>
      <c r="G1080" s="2" t="b">
        <v>0</v>
      </c>
      <c r="H1080" s="2" t="s">
        <v>37</v>
      </c>
      <c r="I1080" s="2" t="s">
        <v>32</v>
      </c>
      <c r="J1080" s="2" t="s">
        <v>1160</v>
      </c>
      <c r="K1080" s="2" t="s">
        <v>495</v>
      </c>
      <c r="L1080" s="13" t="s">
        <v>496</v>
      </c>
      <c r="M1080" s="2" t="s">
        <v>26</v>
      </c>
      <c r="N1080" s="11" t="s">
        <v>576</v>
      </c>
      <c r="O1080" s="12" t="s">
        <v>53</v>
      </c>
      <c r="P1080" s="5" t="str">
        <f>IFERROR(__xludf.DUMMYFUNCTION("TEXTJOIN("" | "",TRUE,IF(OR(D1080="""",E1080="""",I1080="""",J1080="""",H1080=""""),""ফাঁকা ঘর"",""""),IF(AND(C1080&lt;&gt;"""",D1080&lt;&gt;"""",C1080=D1080),""gloss=figurative"",""""),IF(LEN(D1080)&lt;15,""figurative ছোট"",""""),IF(AND(I1080=""Positive"",REGEXMATCH(H1"&amp;"080,""মূর্খ|ভণ্ড|প্রতার|অলস|লোভ|স্বার্থ|অক্ষম|অযোগ্য|বোকা|কৃপণ|হিংস"")),""valence-target অমিল"",""""),IF(COUNTIF($B:$B,B1080)&gt;1,""ডুপ্লিকেট"",""""))"),"figurative ছোট")</f>
        <v>figurative ছোট</v>
      </c>
      <c r="Q1080" s="5" t="str">
        <f t="shared" si="1"/>
        <v>১ আগে দেখো</v>
      </c>
    </row>
    <row r="1081">
      <c r="A1081" s="4">
        <v>6594.0</v>
      </c>
      <c r="B1081" s="2" t="s">
        <v>4573</v>
      </c>
      <c r="C1081" s="2" t="s">
        <v>4574</v>
      </c>
      <c r="D1081" s="2" t="s">
        <v>4575</v>
      </c>
      <c r="E1081" s="2" t="s">
        <v>4576</v>
      </c>
      <c r="F1081" s="2" t="b">
        <v>1</v>
      </c>
      <c r="G1081" s="2" t="b">
        <v>0</v>
      </c>
      <c r="H1081" s="2" t="s">
        <v>37</v>
      </c>
      <c r="I1081" s="2" t="s">
        <v>22</v>
      </c>
      <c r="J1081" s="2" t="s">
        <v>1146</v>
      </c>
      <c r="K1081" s="2" t="s">
        <v>495</v>
      </c>
      <c r="L1081" s="13" t="s">
        <v>496</v>
      </c>
      <c r="M1081" s="2" t="s">
        <v>26</v>
      </c>
      <c r="N1081" s="11" t="s">
        <v>576</v>
      </c>
      <c r="O1081" s="12" t="s">
        <v>53</v>
      </c>
      <c r="P1081" s="5" t="str">
        <f>IFERROR(__xludf.DUMMYFUNCTION("TEXTJOIN("" | "",TRUE,IF(OR(D1081="""",E1081="""",I1081="""",J1081="""",H1081=""""),""ফাঁকা ঘর"",""""),IF(AND(C1081&lt;&gt;"""",D1081&lt;&gt;"""",C1081=D1081),""gloss=figurative"",""""),IF(LEN(D1081)&lt;15,""figurative ছোট"",""""),IF(AND(I1081=""Positive"",REGEXMATCH(H1"&amp;"081,""মূর্খ|ভণ্ড|প্রতার|অলস|লোভ|স্বার্থ|অক্ষম|অযোগ্য|বোকা|কৃপণ|হিংস"")),""valence-target অমিল"",""""),IF(COUNTIF($B:$B,B1081)&gt;1,""ডুপ্লিকেট"",""""))"),"figurative ছোট")</f>
        <v>figurative ছোট</v>
      </c>
      <c r="Q1081" s="5" t="str">
        <f t="shared" si="1"/>
        <v>১ আগে দেখো</v>
      </c>
    </row>
    <row r="1082">
      <c r="A1082" s="4">
        <v>6595.0</v>
      </c>
      <c r="B1082" s="2" t="s">
        <v>4577</v>
      </c>
      <c r="C1082" s="2" t="s">
        <v>4578</v>
      </c>
      <c r="D1082" s="2" t="s">
        <v>842</v>
      </c>
      <c r="E1082" s="2" t="s">
        <v>4579</v>
      </c>
      <c r="F1082" s="2" t="b">
        <v>1</v>
      </c>
      <c r="G1082" s="2" t="b">
        <v>0</v>
      </c>
      <c r="H1082" s="2" t="s">
        <v>37</v>
      </c>
      <c r="I1082" s="2" t="s">
        <v>22</v>
      </c>
      <c r="J1082" s="2" t="s">
        <v>685</v>
      </c>
      <c r="K1082" s="2" t="s">
        <v>495</v>
      </c>
      <c r="L1082" s="13" t="s">
        <v>496</v>
      </c>
      <c r="M1082" s="2" t="s">
        <v>26</v>
      </c>
      <c r="N1082" s="11" t="s">
        <v>576</v>
      </c>
      <c r="O1082" s="12" t="s">
        <v>53</v>
      </c>
      <c r="P1082" s="5" t="str">
        <f>IFERROR(__xludf.DUMMYFUNCTION("TEXTJOIN("" | "",TRUE,IF(OR(D1082="""",E1082="""",I1082="""",J1082="""",H1082=""""),""ফাঁকা ঘর"",""""),IF(AND(C1082&lt;&gt;"""",D1082&lt;&gt;"""",C1082=D1082),""gloss=figurative"",""""),IF(LEN(D1082)&lt;15,""figurative ছোট"",""""),IF(AND(I1082=""Positive"",REGEXMATCH(H1"&amp;"082,""মূর্খ|ভণ্ড|প্রতার|অলস|লোভ|স্বার্থ|অক্ষম|অযোগ্য|বোকা|কৃপণ|হিংস"")),""valence-target অমিল"",""""),IF(COUNTIF($B:$B,B1082)&gt;1,""ডুপ্লিকেট"",""""))"),"figurative ছোট")</f>
        <v>figurative ছোট</v>
      </c>
      <c r="Q1082" s="5" t="str">
        <f t="shared" si="1"/>
        <v>১ আগে দেখো</v>
      </c>
    </row>
    <row r="1083">
      <c r="A1083" s="4">
        <v>6597.0</v>
      </c>
      <c r="B1083" s="2" t="s">
        <v>4580</v>
      </c>
      <c r="C1083" s="2" t="s">
        <v>4581</v>
      </c>
      <c r="D1083" s="2" t="s">
        <v>4582</v>
      </c>
      <c r="E1083" s="2" t="s">
        <v>4583</v>
      </c>
      <c r="F1083" s="2" t="b">
        <v>1</v>
      </c>
      <c r="G1083" s="2" t="b">
        <v>0</v>
      </c>
      <c r="H1083" s="2" t="s">
        <v>37</v>
      </c>
      <c r="I1083" s="2" t="s">
        <v>49</v>
      </c>
      <c r="J1083" s="2" t="s">
        <v>1111</v>
      </c>
      <c r="K1083" s="2" t="s">
        <v>495</v>
      </c>
      <c r="L1083" s="13" t="s">
        <v>496</v>
      </c>
      <c r="M1083" s="2" t="s">
        <v>26</v>
      </c>
      <c r="N1083" s="11" t="s">
        <v>576</v>
      </c>
      <c r="O1083" s="12" t="s">
        <v>53</v>
      </c>
      <c r="P1083" s="5" t="str">
        <f>IFERROR(__xludf.DUMMYFUNCTION("TEXTJOIN("" | "",TRUE,IF(OR(D1083="""",E1083="""",I1083="""",J1083="""",H1083=""""),""ফাঁকা ঘর"",""""),IF(AND(C1083&lt;&gt;"""",D1083&lt;&gt;"""",C1083=D1083),""gloss=figurative"",""""),IF(LEN(D1083)&lt;15,""figurative ছোট"",""""),IF(AND(I1083=""Positive"",REGEXMATCH(H1"&amp;"083,""মূর্খ|ভণ্ড|প্রতার|অলস|লোভ|স্বার্থ|অক্ষম|অযোগ্য|বোকা|কৃপণ|হিংস"")),""valence-target অমিল"",""""),IF(COUNTIF($B:$B,B1083)&gt;1,""ডুপ্লিকেট"",""""))"),"figurative ছোট")</f>
        <v>figurative ছোট</v>
      </c>
      <c r="Q1083" s="5" t="str">
        <f t="shared" si="1"/>
        <v>১ আগে দেখো</v>
      </c>
    </row>
    <row r="1084">
      <c r="A1084" s="4">
        <v>6598.0</v>
      </c>
      <c r="B1084" s="2" t="s">
        <v>4584</v>
      </c>
      <c r="C1084" s="2" t="s">
        <v>4585</v>
      </c>
      <c r="D1084" s="2" t="s">
        <v>2448</v>
      </c>
      <c r="E1084" s="2" t="s">
        <v>4586</v>
      </c>
      <c r="F1084" s="2" t="b">
        <v>1</v>
      </c>
      <c r="G1084" s="2" t="b">
        <v>0</v>
      </c>
      <c r="H1084" s="2" t="s">
        <v>37</v>
      </c>
      <c r="I1084" s="2" t="s">
        <v>22</v>
      </c>
      <c r="J1084" s="2" t="s">
        <v>739</v>
      </c>
      <c r="K1084" s="2" t="s">
        <v>495</v>
      </c>
      <c r="L1084" s="13" t="s">
        <v>496</v>
      </c>
      <c r="M1084" s="2" t="s">
        <v>26</v>
      </c>
      <c r="N1084" s="11" t="s">
        <v>576</v>
      </c>
      <c r="O1084" s="12" t="s">
        <v>53</v>
      </c>
      <c r="P1084" s="5" t="str">
        <f>IFERROR(__xludf.DUMMYFUNCTION("TEXTJOIN("" | "",TRUE,IF(OR(D1084="""",E1084="""",I1084="""",J1084="""",H1084=""""),""ফাঁকা ঘর"",""""),IF(AND(C1084&lt;&gt;"""",D1084&lt;&gt;"""",C1084=D1084),""gloss=figurative"",""""),IF(LEN(D1084)&lt;15,""figurative ছোট"",""""),IF(AND(I1084=""Positive"",REGEXMATCH(H1"&amp;"084,""মূর্খ|ভণ্ড|প্রতার|অলস|লোভ|স্বার্থ|অক্ষম|অযোগ্য|বোকা|কৃপণ|হিংস"")),""valence-target অমিল"",""""),IF(COUNTIF($B:$B,B1084)&gt;1,""ডুপ্লিকেট"",""""))"),"figurative ছোট")</f>
        <v>figurative ছোট</v>
      </c>
      <c r="Q1084" s="5" t="str">
        <f t="shared" si="1"/>
        <v>১ আগে দেখো</v>
      </c>
    </row>
    <row r="1085">
      <c r="A1085" s="4">
        <v>6599.0</v>
      </c>
      <c r="B1085" s="2" t="s">
        <v>4587</v>
      </c>
      <c r="C1085" s="2" t="s">
        <v>4588</v>
      </c>
      <c r="D1085" s="2" t="s">
        <v>2448</v>
      </c>
      <c r="E1085" s="2" t="s">
        <v>4589</v>
      </c>
      <c r="F1085" s="2" t="b">
        <v>1</v>
      </c>
      <c r="G1085" s="2" t="b">
        <v>0</v>
      </c>
      <c r="H1085" s="2" t="s">
        <v>37</v>
      </c>
      <c r="I1085" s="2" t="s">
        <v>22</v>
      </c>
      <c r="J1085" s="2" t="s">
        <v>739</v>
      </c>
      <c r="K1085" s="2" t="s">
        <v>495</v>
      </c>
      <c r="L1085" s="13" t="s">
        <v>496</v>
      </c>
      <c r="M1085" s="2" t="s">
        <v>26</v>
      </c>
      <c r="N1085" s="11" t="s">
        <v>4590</v>
      </c>
      <c r="O1085" s="12" t="s">
        <v>53</v>
      </c>
      <c r="P1085" s="5" t="str">
        <f>IFERROR(__xludf.DUMMYFUNCTION("TEXTJOIN("" | "",TRUE,IF(OR(D1085="""",E1085="""",I1085="""",J1085="""",H1085=""""),""ফাঁকা ঘর"",""""),IF(AND(C1085&lt;&gt;"""",D1085&lt;&gt;"""",C1085=D1085),""gloss=figurative"",""""),IF(LEN(D1085)&lt;15,""figurative ছোট"",""""),IF(AND(I1085=""Positive"",REGEXMATCH(H1"&amp;"085,""মূর্খ|ভণ্ড|প্রতার|অলস|লোভ|স্বার্থ|অক্ষম|অযোগ্য|বোকা|কৃপণ|হিংস"")),""valence-target অমিল"",""""),IF(COUNTIF($B:$B,B1085)&gt;1,""ডুপ্লিকেট"",""""))"),"figurative ছোট")</f>
        <v>figurative ছোট</v>
      </c>
      <c r="Q1085" s="5" t="str">
        <f t="shared" si="1"/>
        <v>১ আগে দেখো</v>
      </c>
    </row>
    <row r="1086">
      <c r="A1086" s="4">
        <v>6600.0</v>
      </c>
      <c r="B1086" s="2" t="s">
        <v>4591</v>
      </c>
      <c r="C1086" s="2" t="s">
        <v>4592</v>
      </c>
      <c r="D1086" s="2" t="s">
        <v>739</v>
      </c>
      <c r="E1086" s="2" t="s">
        <v>4593</v>
      </c>
      <c r="F1086" s="2" t="b">
        <v>1</v>
      </c>
      <c r="G1086" s="2" t="b">
        <v>0</v>
      </c>
      <c r="H1086" s="2" t="s">
        <v>37</v>
      </c>
      <c r="I1086" s="2" t="s">
        <v>22</v>
      </c>
      <c r="J1086" s="2" t="s">
        <v>739</v>
      </c>
      <c r="K1086" s="2" t="s">
        <v>495</v>
      </c>
      <c r="L1086" s="13" t="s">
        <v>496</v>
      </c>
      <c r="M1086" s="2" t="s">
        <v>26</v>
      </c>
      <c r="N1086" s="11" t="s">
        <v>4594</v>
      </c>
      <c r="O1086" s="12" t="s">
        <v>53</v>
      </c>
      <c r="P1086" s="5" t="str">
        <f>IFERROR(__xludf.DUMMYFUNCTION("TEXTJOIN("" | "",TRUE,IF(OR(D1086="""",E1086="""",I1086="""",J1086="""",H1086=""""),""ফাঁকা ঘর"",""""),IF(AND(C1086&lt;&gt;"""",D1086&lt;&gt;"""",C1086=D1086),""gloss=figurative"",""""),IF(LEN(D1086)&lt;15,""figurative ছোট"",""""),IF(AND(I1086=""Positive"",REGEXMATCH(H1"&amp;"086,""মূর্খ|ভণ্ড|প্রতার|অলস|লোভ|স্বার্থ|অক্ষম|অযোগ্য|বোকা|কৃপণ|হিংস"")),""valence-target অমিল"",""""),IF(COUNTIF($B:$B,B1086)&gt;1,""ডুপ্লিকেট"",""""))"),"figurative ছোট")</f>
        <v>figurative ছোট</v>
      </c>
      <c r="Q1086" s="5" t="str">
        <f t="shared" si="1"/>
        <v>১ আগে দেখো</v>
      </c>
    </row>
    <row r="1087">
      <c r="A1087" s="4">
        <v>6601.0</v>
      </c>
      <c r="B1087" s="2" t="s">
        <v>4595</v>
      </c>
      <c r="C1087" s="2" t="s">
        <v>4596</v>
      </c>
      <c r="D1087" s="2" t="s">
        <v>4419</v>
      </c>
      <c r="E1087" s="2" t="s">
        <v>4597</v>
      </c>
      <c r="F1087" s="2" t="b">
        <v>1</v>
      </c>
      <c r="G1087" s="2" t="b">
        <v>0</v>
      </c>
      <c r="H1087" s="2" t="s">
        <v>756</v>
      </c>
      <c r="I1087" s="2" t="s">
        <v>22</v>
      </c>
      <c r="J1087" s="2" t="s">
        <v>1630</v>
      </c>
      <c r="K1087" s="2" t="s">
        <v>495</v>
      </c>
      <c r="L1087" s="13" t="s">
        <v>496</v>
      </c>
      <c r="M1087" s="2" t="s">
        <v>26</v>
      </c>
      <c r="N1087" s="11" t="s">
        <v>576</v>
      </c>
      <c r="O1087" s="12" t="s">
        <v>53</v>
      </c>
      <c r="P1087" s="5" t="str">
        <f>IFERROR(__xludf.DUMMYFUNCTION("TEXTJOIN("" | "",TRUE,IF(OR(D1087="""",E1087="""",I1087="""",J1087="""",H1087=""""),""ফাঁকা ঘর"",""""),IF(AND(C1087&lt;&gt;"""",D1087&lt;&gt;"""",C1087=D1087),""gloss=figurative"",""""),IF(LEN(D1087)&lt;15,""figurative ছোট"",""""),IF(AND(I1087=""Positive"",REGEXMATCH(H1"&amp;"087,""মূর্খ|ভণ্ড|প্রতার|অলস|লোভ|স্বার্থ|অক্ষম|অযোগ্য|বোকা|কৃপণ|হিংস"")),""valence-target অমিল"",""""),IF(COUNTIF($B:$B,B1087)&gt;1,""ডুপ্লিকেট"",""""))"),"figurative ছোট")</f>
        <v>figurative ছোট</v>
      </c>
      <c r="Q1087" s="5" t="str">
        <f t="shared" si="1"/>
        <v>১ আগে দেখো</v>
      </c>
    </row>
    <row r="1088">
      <c r="A1088" s="4">
        <v>6602.0</v>
      </c>
      <c r="B1088" s="2" t="s">
        <v>4598</v>
      </c>
      <c r="C1088" s="2" t="s">
        <v>4599</v>
      </c>
      <c r="D1088" s="2" t="s">
        <v>4600</v>
      </c>
      <c r="E1088" s="2" t="s">
        <v>4601</v>
      </c>
      <c r="F1088" s="2" t="b">
        <v>1</v>
      </c>
      <c r="G1088" s="2" t="b">
        <v>0</v>
      </c>
      <c r="H1088" s="2" t="s">
        <v>37</v>
      </c>
      <c r="I1088" s="2" t="s">
        <v>22</v>
      </c>
      <c r="J1088" s="2" t="s">
        <v>1603</v>
      </c>
      <c r="K1088" s="2" t="s">
        <v>495</v>
      </c>
      <c r="L1088" s="13" t="s">
        <v>496</v>
      </c>
      <c r="M1088" s="2" t="s">
        <v>26</v>
      </c>
      <c r="N1088" s="11" t="s">
        <v>576</v>
      </c>
      <c r="O1088" s="12" t="s">
        <v>53</v>
      </c>
      <c r="P1088" s="5" t="str">
        <f>IFERROR(__xludf.DUMMYFUNCTION("TEXTJOIN("" | "",TRUE,IF(OR(D1088="""",E1088="""",I1088="""",J1088="""",H1088=""""),""ফাঁকা ঘর"",""""),IF(AND(C1088&lt;&gt;"""",D1088&lt;&gt;"""",C1088=D1088),""gloss=figurative"",""""),IF(LEN(D1088)&lt;15,""figurative ছোট"",""""),IF(AND(I1088=""Positive"",REGEXMATCH(H1"&amp;"088,""মূর্খ|ভণ্ড|প্রতার|অলস|লোভ|স্বার্থ|অক্ষম|অযোগ্য|বোকা|কৃপণ|হিংস"")),""valence-target অমিল"",""""),IF(COUNTIF($B:$B,B1088)&gt;1,""ডুপ্লিকেট"",""""))"),"figurative ছোট")</f>
        <v>figurative ছোট</v>
      </c>
      <c r="Q1088" s="5" t="str">
        <f t="shared" si="1"/>
        <v>১ আগে দেখো</v>
      </c>
    </row>
    <row r="1089">
      <c r="A1089" s="4">
        <v>6604.0</v>
      </c>
      <c r="B1089" s="2" t="s">
        <v>4602</v>
      </c>
      <c r="C1089" s="2" t="s">
        <v>4603</v>
      </c>
      <c r="D1089" s="2" t="s">
        <v>3783</v>
      </c>
      <c r="E1089" s="2" t="s">
        <v>4604</v>
      </c>
      <c r="F1089" s="2" t="b">
        <v>1</v>
      </c>
      <c r="G1089" s="2" t="b">
        <v>0</v>
      </c>
      <c r="H1089" s="2" t="s">
        <v>37</v>
      </c>
      <c r="I1089" s="2" t="s">
        <v>49</v>
      </c>
      <c r="J1089" s="2" t="s">
        <v>3783</v>
      </c>
      <c r="K1089" s="2" t="s">
        <v>495</v>
      </c>
      <c r="L1089" s="13" t="s">
        <v>496</v>
      </c>
      <c r="M1089" s="2" t="s">
        <v>26</v>
      </c>
      <c r="N1089" s="11" t="s">
        <v>576</v>
      </c>
      <c r="O1089" s="12" t="s">
        <v>53</v>
      </c>
      <c r="P1089" s="5" t="str">
        <f>IFERROR(__xludf.DUMMYFUNCTION("TEXTJOIN("" | "",TRUE,IF(OR(D1089="""",E1089="""",I1089="""",J1089="""",H1089=""""),""ফাঁকা ঘর"",""""),IF(AND(C1089&lt;&gt;"""",D1089&lt;&gt;"""",C1089=D1089),""gloss=figurative"",""""),IF(LEN(D1089)&lt;15,""figurative ছোট"",""""),IF(AND(I1089=""Positive"",REGEXMATCH(H1"&amp;"089,""মূর্খ|ভণ্ড|প্রতার|অলস|লোভ|স্বার্থ|অক্ষম|অযোগ্য|বোকা|কৃপণ|হিংস"")),""valence-target অমিল"",""""),IF(COUNTIF($B:$B,B1089)&gt;1,""ডুপ্লিকেট"",""""))"),"figurative ছোট")</f>
        <v>figurative ছোট</v>
      </c>
      <c r="Q1089" s="5" t="str">
        <f t="shared" si="1"/>
        <v>১ আগে দেখো</v>
      </c>
    </row>
    <row r="1090">
      <c r="A1090" s="4">
        <v>6605.0</v>
      </c>
      <c r="B1090" s="2" t="s">
        <v>4605</v>
      </c>
      <c r="C1090" s="2" t="s">
        <v>4606</v>
      </c>
      <c r="D1090" s="2" t="s">
        <v>3156</v>
      </c>
      <c r="E1090" s="2" t="s">
        <v>4607</v>
      </c>
      <c r="F1090" s="2" t="b">
        <v>1</v>
      </c>
      <c r="G1090" s="2" t="b">
        <v>0</v>
      </c>
      <c r="H1090" s="2" t="s">
        <v>37</v>
      </c>
      <c r="I1090" s="2" t="s">
        <v>49</v>
      </c>
      <c r="J1090" s="2" t="s">
        <v>3156</v>
      </c>
      <c r="K1090" s="2" t="s">
        <v>495</v>
      </c>
      <c r="L1090" s="13" t="s">
        <v>496</v>
      </c>
      <c r="M1090" s="2" t="s">
        <v>26</v>
      </c>
      <c r="N1090" s="11" t="s">
        <v>576</v>
      </c>
      <c r="O1090" s="12" t="s">
        <v>53</v>
      </c>
      <c r="P1090" s="5" t="str">
        <f>IFERROR(__xludf.DUMMYFUNCTION("TEXTJOIN("" | "",TRUE,IF(OR(D1090="""",E1090="""",I1090="""",J1090="""",H1090=""""),""ফাঁকা ঘর"",""""),IF(AND(C1090&lt;&gt;"""",D1090&lt;&gt;"""",C1090=D1090),""gloss=figurative"",""""),IF(LEN(D1090)&lt;15,""figurative ছোট"",""""),IF(AND(I1090=""Positive"",REGEXMATCH(H1"&amp;"090,""মূর্খ|ভণ্ড|প্রতার|অলস|লোভ|স্বার্থ|অক্ষম|অযোগ্য|বোকা|কৃপণ|হিংস"")),""valence-target অমিল"",""""),IF(COUNTIF($B:$B,B1090)&gt;1,""ডুপ্লিকেট"",""""))"),"figurative ছোট")</f>
        <v>figurative ছোট</v>
      </c>
      <c r="Q1090" s="5" t="str">
        <f t="shared" si="1"/>
        <v>১ আগে দেখো</v>
      </c>
    </row>
    <row r="1091">
      <c r="A1091" s="4">
        <v>6606.0</v>
      </c>
      <c r="B1091" s="2" t="s">
        <v>4608</v>
      </c>
      <c r="C1091" s="2" t="s">
        <v>4609</v>
      </c>
      <c r="D1091" s="2" t="s">
        <v>739</v>
      </c>
      <c r="E1091" s="2" t="s">
        <v>4610</v>
      </c>
      <c r="F1091" s="2" t="b">
        <v>1</v>
      </c>
      <c r="G1091" s="2" t="b">
        <v>0</v>
      </c>
      <c r="H1091" s="2" t="s">
        <v>37</v>
      </c>
      <c r="I1091" s="2" t="s">
        <v>32</v>
      </c>
      <c r="J1091" s="2" t="s">
        <v>739</v>
      </c>
      <c r="K1091" s="2" t="s">
        <v>495</v>
      </c>
      <c r="L1091" s="13" t="s">
        <v>496</v>
      </c>
      <c r="M1091" s="2" t="s">
        <v>26</v>
      </c>
      <c r="N1091" s="11" t="s">
        <v>576</v>
      </c>
      <c r="O1091" s="12" t="s">
        <v>53</v>
      </c>
      <c r="P1091" s="5" t="str">
        <f>IFERROR(__xludf.DUMMYFUNCTION("TEXTJOIN("" | "",TRUE,IF(OR(D1091="""",E1091="""",I1091="""",J1091="""",H1091=""""),""ফাঁকা ঘর"",""""),IF(AND(C1091&lt;&gt;"""",D1091&lt;&gt;"""",C1091=D1091),""gloss=figurative"",""""),IF(LEN(D1091)&lt;15,""figurative ছোট"",""""),IF(AND(I1091=""Positive"",REGEXMATCH(H1"&amp;"091,""মূর্খ|ভণ্ড|প্রতার|অলস|লোভ|স্বার্থ|অক্ষম|অযোগ্য|বোকা|কৃপণ|হিংস"")),""valence-target অমিল"",""""),IF(COUNTIF($B:$B,B1091)&gt;1,""ডুপ্লিকেট"",""""))"),"figurative ছোট")</f>
        <v>figurative ছোট</v>
      </c>
      <c r="Q1091" s="5" t="str">
        <f t="shared" si="1"/>
        <v>১ আগে দেখো</v>
      </c>
    </row>
    <row r="1092">
      <c r="A1092" s="4">
        <v>6607.0</v>
      </c>
      <c r="B1092" s="2" t="s">
        <v>4611</v>
      </c>
      <c r="C1092" s="2" t="s">
        <v>4612</v>
      </c>
      <c r="D1092" s="2" t="s">
        <v>2448</v>
      </c>
      <c r="E1092" s="2" t="s">
        <v>4613</v>
      </c>
      <c r="F1092" s="2" t="b">
        <v>1</v>
      </c>
      <c r="G1092" s="2" t="b">
        <v>0</v>
      </c>
      <c r="H1092" s="2" t="s">
        <v>37</v>
      </c>
      <c r="I1092" s="2" t="s">
        <v>22</v>
      </c>
      <c r="J1092" s="2" t="s">
        <v>739</v>
      </c>
      <c r="K1092" s="2" t="s">
        <v>495</v>
      </c>
      <c r="L1092" s="13" t="s">
        <v>496</v>
      </c>
      <c r="M1092" s="2" t="s">
        <v>26</v>
      </c>
      <c r="N1092" s="11" t="s">
        <v>576</v>
      </c>
      <c r="O1092" s="12" t="s">
        <v>53</v>
      </c>
      <c r="P1092" s="5" t="str">
        <f>IFERROR(__xludf.DUMMYFUNCTION("TEXTJOIN("" | "",TRUE,IF(OR(D1092="""",E1092="""",I1092="""",J1092="""",H1092=""""),""ফাঁকা ঘর"",""""),IF(AND(C1092&lt;&gt;"""",D1092&lt;&gt;"""",C1092=D1092),""gloss=figurative"",""""),IF(LEN(D1092)&lt;15,""figurative ছোট"",""""),IF(AND(I1092=""Positive"",REGEXMATCH(H1"&amp;"092,""মূর্খ|ভণ্ড|প্রতার|অলস|লোভ|স্বার্থ|অক্ষম|অযোগ্য|বোকা|কৃপণ|হিংস"")),""valence-target অমিল"",""""),IF(COUNTIF($B:$B,B1092)&gt;1,""ডুপ্লিকেট"",""""))"),"figurative ছোট")</f>
        <v>figurative ছোট</v>
      </c>
      <c r="Q1092" s="5" t="str">
        <f t="shared" si="1"/>
        <v>১ আগে দেখো</v>
      </c>
    </row>
    <row r="1093">
      <c r="A1093" s="4">
        <v>6608.0</v>
      </c>
      <c r="B1093" s="2" t="s">
        <v>4614</v>
      </c>
      <c r="C1093" s="2" t="s">
        <v>4614</v>
      </c>
      <c r="D1093" s="2" t="s">
        <v>4615</v>
      </c>
      <c r="E1093" s="2" t="s">
        <v>4616</v>
      </c>
      <c r="F1093" s="2" t="b">
        <v>1</v>
      </c>
      <c r="G1093" s="2" t="b">
        <v>0</v>
      </c>
      <c r="H1093" s="2" t="s">
        <v>37</v>
      </c>
      <c r="I1093" s="2" t="s">
        <v>32</v>
      </c>
      <c r="J1093" s="2" t="s">
        <v>4617</v>
      </c>
      <c r="K1093" s="2" t="s">
        <v>495</v>
      </c>
      <c r="L1093" s="13" t="s">
        <v>496</v>
      </c>
      <c r="M1093" s="2" t="s">
        <v>26</v>
      </c>
      <c r="N1093" s="11" t="s">
        <v>576</v>
      </c>
      <c r="O1093" s="12" t="s">
        <v>53</v>
      </c>
      <c r="P1093" s="5" t="str">
        <f>IFERROR(__xludf.DUMMYFUNCTION("TEXTJOIN("" | "",TRUE,IF(OR(D1093="""",E1093="""",I1093="""",J1093="""",H1093=""""),""ফাঁকা ঘর"",""""),IF(AND(C1093&lt;&gt;"""",D1093&lt;&gt;"""",C1093=D1093),""gloss=figurative"",""""),IF(LEN(D1093)&lt;15,""figurative ছোট"",""""),IF(AND(I1093=""Positive"",REGEXMATCH(H1"&amp;"093,""মূর্খ|ভণ্ড|প্রতার|অলস|লোভ|স্বার্থ|অক্ষম|অযোগ্য|বোকা|কৃপণ|হিংস"")),""valence-target অমিল"",""""),IF(COUNTIF($B:$B,B1093)&gt;1,""ডুপ্লিকেট"",""""))"),"figurative ছোট")</f>
        <v>figurative ছোট</v>
      </c>
      <c r="Q1093" s="5" t="str">
        <f t="shared" si="1"/>
        <v>১ আগে দেখো</v>
      </c>
    </row>
    <row r="1094">
      <c r="A1094" s="4">
        <v>6609.0</v>
      </c>
      <c r="B1094" s="2" t="s">
        <v>4618</v>
      </c>
      <c r="C1094" s="2" t="s">
        <v>4619</v>
      </c>
      <c r="D1094" s="2" t="s">
        <v>739</v>
      </c>
      <c r="E1094" s="2" t="s">
        <v>4620</v>
      </c>
      <c r="F1094" s="2" t="b">
        <v>1</v>
      </c>
      <c r="G1094" s="2" t="b">
        <v>0</v>
      </c>
      <c r="H1094" s="2" t="s">
        <v>37</v>
      </c>
      <c r="I1094" s="2" t="s">
        <v>49</v>
      </c>
      <c r="J1094" s="2" t="s">
        <v>739</v>
      </c>
      <c r="K1094" s="2" t="s">
        <v>495</v>
      </c>
      <c r="L1094" s="13" t="s">
        <v>496</v>
      </c>
      <c r="M1094" s="2" t="s">
        <v>26</v>
      </c>
      <c r="N1094" s="11" t="s">
        <v>576</v>
      </c>
      <c r="O1094" s="12" t="s">
        <v>53</v>
      </c>
      <c r="P1094" s="5" t="str">
        <f>IFERROR(__xludf.DUMMYFUNCTION("TEXTJOIN("" | "",TRUE,IF(OR(D1094="""",E1094="""",I1094="""",J1094="""",H1094=""""),""ফাঁকা ঘর"",""""),IF(AND(C1094&lt;&gt;"""",D1094&lt;&gt;"""",C1094=D1094),""gloss=figurative"",""""),IF(LEN(D1094)&lt;15,""figurative ছোট"",""""),IF(AND(I1094=""Positive"",REGEXMATCH(H1"&amp;"094,""মূর্খ|ভণ্ড|প্রতার|অলস|লোভ|স্বার্থ|অক্ষম|অযোগ্য|বোকা|কৃপণ|হিংস"")),""valence-target অমিল"",""""),IF(COUNTIF($B:$B,B1094)&gt;1,""ডুপ্লিকেট"",""""))"),"figurative ছোট")</f>
        <v>figurative ছোট</v>
      </c>
      <c r="Q1094" s="5" t="str">
        <f t="shared" si="1"/>
        <v>১ আগে দেখো</v>
      </c>
    </row>
    <row r="1095">
      <c r="A1095" s="4">
        <v>6610.0</v>
      </c>
      <c r="B1095" s="2" t="s">
        <v>4621</v>
      </c>
      <c r="C1095" s="2" t="s">
        <v>4622</v>
      </c>
      <c r="D1095" s="2" t="s">
        <v>646</v>
      </c>
      <c r="E1095" s="2" t="s">
        <v>4623</v>
      </c>
      <c r="F1095" s="2" t="b">
        <v>1</v>
      </c>
      <c r="G1095" s="2" t="b">
        <v>0</v>
      </c>
      <c r="H1095" s="2" t="s">
        <v>37</v>
      </c>
      <c r="I1095" s="2" t="s">
        <v>32</v>
      </c>
      <c r="J1095" s="2" t="s">
        <v>646</v>
      </c>
      <c r="K1095" s="2" t="s">
        <v>495</v>
      </c>
      <c r="L1095" s="13" t="s">
        <v>496</v>
      </c>
      <c r="M1095" s="2" t="s">
        <v>26</v>
      </c>
      <c r="N1095" s="11" t="s">
        <v>576</v>
      </c>
      <c r="O1095" s="12" t="s">
        <v>53</v>
      </c>
      <c r="P1095" s="5" t="str">
        <f>IFERROR(__xludf.DUMMYFUNCTION("TEXTJOIN("" | "",TRUE,IF(OR(D1095="""",E1095="""",I1095="""",J1095="""",H1095=""""),""ফাঁকা ঘর"",""""),IF(AND(C1095&lt;&gt;"""",D1095&lt;&gt;"""",C1095=D1095),""gloss=figurative"",""""),IF(LEN(D1095)&lt;15,""figurative ছোট"",""""),IF(AND(I1095=""Positive"",REGEXMATCH(H1"&amp;"095,""মূর্খ|ভণ্ড|প্রতার|অলস|লোভ|স্বার্থ|অক্ষম|অযোগ্য|বোকা|কৃপণ|হিংস"")),""valence-target অমিল"",""""),IF(COUNTIF($B:$B,B1095)&gt;1,""ডুপ্লিকেট"",""""))"),"figurative ছোট")</f>
        <v>figurative ছোট</v>
      </c>
      <c r="Q1095" s="5" t="str">
        <f t="shared" si="1"/>
        <v>১ আগে দেখো</v>
      </c>
    </row>
    <row r="1096">
      <c r="A1096" s="4">
        <v>6611.0</v>
      </c>
      <c r="B1096" s="2" t="s">
        <v>4624</v>
      </c>
      <c r="C1096" s="2" t="s">
        <v>4625</v>
      </c>
      <c r="D1096" s="2" t="s">
        <v>739</v>
      </c>
      <c r="E1096" s="2" t="s">
        <v>4626</v>
      </c>
      <c r="F1096" s="2" t="b">
        <v>1</v>
      </c>
      <c r="G1096" s="2" t="b">
        <v>0</v>
      </c>
      <c r="H1096" s="2" t="s">
        <v>37</v>
      </c>
      <c r="I1096" s="2" t="s">
        <v>49</v>
      </c>
      <c r="J1096" s="2" t="s">
        <v>739</v>
      </c>
      <c r="K1096" s="2" t="s">
        <v>495</v>
      </c>
      <c r="L1096" s="13" t="s">
        <v>496</v>
      </c>
      <c r="M1096" s="2" t="s">
        <v>26</v>
      </c>
      <c r="N1096" s="11" t="s">
        <v>576</v>
      </c>
      <c r="O1096" s="12" t="s">
        <v>53</v>
      </c>
      <c r="P1096" s="5" t="str">
        <f>IFERROR(__xludf.DUMMYFUNCTION("TEXTJOIN("" | "",TRUE,IF(OR(D1096="""",E1096="""",I1096="""",J1096="""",H1096=""""),""ফাঁকা ঘর"",""""),IF(AND(C1096&lt;&gt;"""",D1096&lt;&gt;"""",C1096=D1096),""gloss=figurative"",""""),IF(LEN(D1096)&lt;15,""figurative ছোট"",""""),IF(AND(I1096=""Positive"",REGEXMATCH(H1"&amp;"096,""মূর্খ|ভণ্ড|প্রতার|অলস|লোভ|স্বার্থ|অক্ষম|অযোগ্য|বোকা|কৃপণ|হিংস"")),""valence-target অমিল"",""""),IF(COUNTIF($B:$B,B1096)&gt;1,""ডুপ্লিকেট"",""""))"),"figurative ছোট")</f>
        <v>figurative ছোট</v>
      </c>
      <c r="Q1096" s="5" t="str">
        <f t="shared" si="1"/>
        <v>১ আগে দেখো</v>
      </c>
    </row>
    <row r="1097">
      <c r="A1097" s="4">
        <v>6613.0</v>
      </c>
      <c r="B1097" s="2" t="s">
        <v>4627</v>
      </c>
      <c r="C1097" s="2" t="s">
        <v>4628</v>
      </c>
      <c r="D1097" s="2" t="s">
        <v>4629</v>
      </c>
      <c r="E1097" s="2" t="s">
        <v>4630</v>
      </c>
      <c r="F1097" s="2" t="b">
        <v>1</v>
      </c>
      <c r="G1097" s="2" t="b">
        <v>0</v>
      </c>
      <c r="H1097" s="2" t="s">
        <v>37</v>
      </c>
      <c r="I1097" s="2" t="s">
        <v>49</v>
      </c>
      <c r="J1097" s="2" t="s">
        <v>2442</v>
      </c>
      <c r="K1097" s="2" t="s">
        <v>495</v>
      </c>
      <c r="L1097" s="13" t="s">
        <v>496</v>
      </c>
      <c r="M1097" s="2" t="s">
        <v>26</v>
      </c>
      <c r="N1097" s="11" t="s">
        <v>4631</v>
      </c>
      <c r="O1097" s="12" t="s">
        <v>53</v>
      </c>
      <c r="P1097" s="5" t="str">
        <f>IFERROR(__xludf.DUMMYFUNCTION("TEXTJOIN("" | "",TRUE,IF(OR(D1097="""",E1097="""",I1097="""",J1097="""",H1097=""""),""ফাঁকা ঘর"",""""),IF(AND(C1097&lt;&gt;"""",D1097&lt;&gt;"""",C1097=D1097),""gloss=figurative"",""""),IF(LEN(D1097)&lt;15,""figurative ছোট"",""""),IF(AND(I1097=""Positive"",REGEXMATCH(H1"&amp;"097,""মূর্খ|ভণ্ড|প্রতার|অলস|লোভ|স্বার্থ|অক্ষম|অযোগ্য|বোকা|কৃপণ|হিংস"")),""valence-target অমিল"",""""),IF(COUNTIF($B:$B,B1097)&gt;1,""ডুপ্লিকেট"",""""))"),"figurative ছোট")</f>
        <v>figurative ছোট</v>
      </c>
      <c r="Q1097" s="5" t="str">
        <f t="shared" si="1"/>
        <v>১ আগে দেখো</v>
      </c>
    </row>
    <row r="1098">
      <c r="A1098" s="4">
        <v>6614.0</v>
      </c>
      <c r="B1098" s="2" t="s">
        <v>4632</v>
      </c>
      <c r="C1098" s="2" t="s">
        <v>4633</v>
      </c>
      <c r="D1098" s="2" t="s">
        <v>2440</v>
      </c>
      <c r="E1098" s="2" t="s">
        <v>4634</v>
      </c>
      <c r="F1098" s="2" t="b">
        <v>1</v>
      </c>
      <c r="G1098" s="2" t="b">
        <v>0</v>
      </c>
      <c r="H1098" s="2" t="s">
        <v>37</v>
      </c>
      <c r="I1098" s="2" t="s">
        <v>49</v>
      </c>
      <c r="J1098" s="2" t="s">
        <v>2442</v>
      </c>
      <c r="K1098" s="2" t="s">
        <v>495</v>
      </c>
      <c r="L1098" s="13" t="s">
        <v>496</v>
      </c>
      <c r="M1098" s="2" t="s">
        <v>26</v>
      </c>
      <c r="N1098" s="11" t="s">
        <v>4635</v>
      </c>
      <c r="O1098" s="12" t="s">
        <v>53</v>
      </c>
      <c r="P1098" s="5" t="str">
        <f>IFERROR(__xludf.DUMMYFUNCTION("TEXTJOIN("" | "",TRUE,IF(OR(D1098="""",E1098="""",I1098="""",J1098="""",H1098=""""),""ফাঁকা ঘর"",""""),IF(AND(C1098&lt;&gt;"""",D1098&lt;&gt;"""",C1098=D1098),""gloss=figurative"",""""),IF(LEN(D1098)&lt;15,""figurative ছোট"",""""),IF(AND(I1098=""Positive"",REGEXMATCH(H1"&amp;"098,""মূর্খ|ভণ্ড|প্রতার|অলস|লোভ|স্বার্থ|অক্ষম|অযোগ্য|বোকা|কৃপণ|হিংস"")),""valence-target অমিল"",""""),IF(COUNTIF($B:$B,B1098)&gt;1,""ডুপ্লিকেট"",""""))"),"figurative ছোট")</f>
        <v>figurative ছোট</v>
      </c>
      <c r="Q1098" s="5" t="str">
        <f t="shared" si="1"/>
        <v>১ আগে দেখো</v>
      </c>
    </row>
    <row r="1099">
      <c r="A1099" s="4">
        <v>6615.0</v>
      </c>
      <c r="B1099" s="2" t="s">
        <v>4636</v>
      </c>
      <c r="C1099" s="2" t="s">
        <v>4637</v>
      </c>
      <c r="D1099" s="2" t="s">
        <v>1679</v>
      </c>
      <c r="E1099" s="2" t="s">
        <v>4638</v>
      </c>
      <c r="F1099" s="2" t="b">
        <v>1</v>
      </c>
      <c r="G1099" s="2" t="b">
        <v>0</v>
      </c>
      <c r="H1099" s="2" t="s">
        <v>37</v>
      </c>
      <c r="I1099" s="2" t="s">
        <v>32</v>
      </c>
      <c r="J1099" s="2" t="s">
        <v>1679</v>
      </c>
      <c r="K1099" s="2" t="s">
        <v>495</v>
      </c>
      <c r="L1099" s="13" t="s">
        <v>496</v>
      </c>
      <c r="M1099" s="2" t="s">
        <v>26</v>
      </c>
      <c r="N1099" s="11" t="s">
        <v>4639</v>
      </c>
      <c r="O1099" s="12" t="s">
        <v>53</v>
      </c>
      <c r="P1099" s="5" t="str">
        <f>IFERROR(__xludf.DUMMYFUNCTION("TEXTJOIN("" | "",TRUE,IF(OR(D1099="""",E1099="""",I1099="""",J1099="""",H1099=""""),""ফাঁকা ঘর"",""""),IF(AND(C1099&lt;&gt;"""",D1099&lt;&gt;"""",C1099=D1099),""gloss=figurative"",""""),IF(LEN(D1099)&lt;15,""figurative ছোট"",""""),IF(AND(I1099=""Positive"",REGEXMATCH(H1"&amp;"099,""মূর্খ|ভণ্ড|প্রতার|অলস|লোভ|স্বার্থ|অক্ষম|অযোগ্য|বোকা|কৃপণ|হিংস"")),""valence-target অমিল"",""""),IF(COUNTIF($B:$B,B1099)&gt;1,""ডুপ্লিকেট"",""""))"),"figurative ছোট | ডুপ্লিকেট")</f>
        <v>figurative ছোট | ডুপ্লিকেট</v>
      </c>
      <c r="Q1099" s="5" t="str">
        <f t="shared" si="1"/>
        <v>১ আগে দেখো</v>
      </c>
    </row>
    <row r="1100">
      <c r="A1100" s="4">
        <v>6616.0</v>
      </c>
      <c r="B1100" s="2" t="s">
        <v>4640</v>
      </c>
      <c r="C1100" s="2" t="s">
        <v>4641</v>
      </c>
      <c r="D1100" s="2" t="s">
        <v>4642</v>
      </c>
      <c r="E1100" s="2" t="s">
        <v>4643</v>
      </c>
      <c r="F1100" s="2" t="b">
        <v>1</v>
      </c>
      <c r="G1100" s="2" t="b">
        <v>0</v>
      </c>
      <c r="H1100" s="2" t="s">
        <v>37</v>
      </c>
      <c r="I1100" s="2" t="s">
        <v>32</v>
      </c>
      <c r="J1100" s="2" t="s">
        <v>1679</v>
      </c>
      <c r="K1100" s="2" t="s">
        <v>495</v>
      </c>
      <c r="L1100" s="13" t="s">
        <v>496</v>
      </c>
      <c r="M1100" s="2" t="s">
        <v>26</v>
      </c>
      <c r="N1100" s="11" t="s">
        <v>576</v>
      </c>
      <c r="O1100" s="12" t="s">
        <v>53</v>
      </c>
      <c r="P1100" s="5" t="str">
        <f>IFERROR(__xludf.DUMMYFUNCTION("TEXTJOIN("" | "",TRUE,IF(OR(D1100="""",E1100="""",I1100="""",J1100="""",H1100=""""),""ফাঁকা ঘর"",""""),IF(AND(C1100&lt;&gt;"""",D1100&lt;&gt;"""",C1100=D1100),""gloss=figurative"",""""),IF(LEN(D1100)&lt;15,""figurative ছোট"",""""),IF(AND(I1100=""Positive"",REGEXMATCH(H1"&amp;"100,""মূর্খ|ভণ্ড|প্রতার|অলস|লোভ|স্বার্থ|অক্ষম|অযোগ্য|বোকা|কৃপণ|হিংস"")),""valence-target অমিল"",""""),IF(COUNTIF($B:$B,B1100)&gt;1,""ডুপ্লিকেট"",""""))"),"figurative ছোট")</f>
        <v>figurative ছোট</v>
      </c>
      <c r="Q1100" s="5" t="str">
        <f t="shared" si="1"/>
        <v>১ আগে দেখো</v>
      </c>
    </row>
    <row r="1101">
      <c r="A1101" s="4">
        <v>6617.0</v>
      </c>
      <c r="B1101" s="2" t="s">
        <v>4644</v>
      </c>
      <c r="C1101" s="2" t="s">
        <v>4645</v>
      </c>
      <c r="D1101" s="2" t="s">
        <v>3105</v>
      </c>
      <c r="E1101" s="2" t="s">
        <v>4646</v>
      </c>
      <c r="F1101" s="2" t="b">
        <v>1</v>
      </c>
      <c r="G1101" s="2" t="b">
        <v>0</v>
      </c>
      <c r="H1101" s="2" t="s">
        <v>1284</v>
      </c>
      <c r="I1101" s="2" t="s">
        <v>22</v>
      </c>
      <c r="J1101" s="2" t="s">
        <v>1471</v>
      </c>
      <c r="K1101" s="2" t="s">
        <v>495</v>
      </c>
      <c r="L1101" s="13" t="s">
        <v>496</v>
      </c>
      <c r="M1101" s="2" t="s">
        <v>26</v>
      </c>
      <c r="N1101" s="11" t="s">
        <v>576</v>
      </c>
      <c r="O1101" s="12" t="s">
        <v>53</v>
      </c>
      <c r="P1101" s="5" t="str">
        <f>IFERROR(__xludf.DUMMYFUNCTION("TEXTJOIN("" | "",TRUE,IF(OR(D1101="""",E1101="""",I1101="""",J1101="""",H1101=""""),""ফাঁকা ঘর"",""""),IF(AND(C1101&lt;&gt;"""",D1101&lt;&gt;"""",C1101=D1101),""gloss=figurative"",""""),IF(LEN(D1101)&lt;15,""figurative ছোট"",""""),IF(AND(I1101=""Positive"",REGEXMATCH(H1"&amp;"101,""মূর্খ|ভণ্ড|প্রতার|অলস|লোভ|স্বার্থ|অক্ষম|অযোগ্য|বোকা|কৃপণ|হিংস"")),""valence-target অমিল"",""""),IF(COUNTIF($B:$B,B1101)&gt;1,""ডুপ্লিকেট"",""""))"),"figurative ছোট")</f>
        <v>figurative ছোট</v>
      </c>
      <c r="Q1101" s="5" t="str">
        <f t="shared" si="1"/>
        <v>১ আগে দেখো</v>
      </c>
    </row>
    <row r="1102">
      <c r="A1102" s="4">
        <v>6618.0</v>
      </c>
      <c r="B1102" s="2" t="s">
        <v>4647</v>
      </c>
      <c r="C1102" s="2" t="s">
        <v>4648</v>
      </c>
      <c r="D1102" s="2" t="s">
        <v>4649</v>
      </c>
      <c r="E1102" s="2" t="s">
        <v>4650</v>
      </c>
      <c r="F1102" s="2" t="b">
        <v>1</v>
      </c>
      <c r="G1102" s="2" t="b">
        <v>0</v>
      </c>
      <c r="H1102" s="2" t="s">
        <v>37</v>
      </c>
      <c r="I1102" s="2" t="s">
        <v>49</v>
      </c>
      <c r="J1102" s="2" t="s">
        <v>1264</v>
      </c>
      <c r="K1102" s="2" t="s">
        <v>495</v>
      </c>
      <c r="L1102" s="13" t="s">
        <v>496</v>
      </c>
      <c r="M1102" s="2" t="s">
        <v>26</v>
      </c>
      <c r="N1102" s="11" t="s">
        <v>576</v>
      </c>
      <c r="O1102" s="12" t="s">
        <v>53</v>
      </c>
      <c r="P1102" s="5" t="str">
        <f>IFERROR(__xludf.DUMMYFUNCTION("TEXTJOIN("" | "",TRUE,IF(OR(D1102="""",E1102="""",I1102="""",J1102="""",H1102=""""),""ফাঁকা ঘর"",""""),IF(AND(C1102&lt;&gt;"""",D1102&lt;&gt;"""",C1102=D1102),""gloss=figurative"",""""),IF(LEN(D1102)&lt;15,""figurative ছোট"",""""),IF(AND(I1102=""Positive"",REGEXMATCH(H1"&amp;"102,""মূর্খ|ভণ্ড|প্রতার|অলস|লোভ|স্বার্থ|অক্ষম|অযোগ্য|বোকা|কৃপণ|হিংস"")),""valence-target অমিল"",""""),IF(COUNTIF($B:$B,B1102)&gt;1,""ডুপ্লিকেট"",""""))"),"figurative ছোট")</f>
        <v>figurative ছোট</v>
      </c>
      <c r="Q1102" s="5" t="str">
        <f t="shared" si="1"/>
        <v>১ আগে দেখো</v>
      </c>
    </row>
    <row r="1103">
      <c r="A1103" s="4">
        <v>6621.0</v>
      </c>
      <c r="B1103" s="2" t="s">
        <v>4651</v>
      </c>
      <c r="C1103" s="2" t="s">
        <v>4652</v>
      </c>
      <c r="D1103" s="2" t="s">
        <v>4653</v>
      </c>
      <c r="E1103" s="2" t="s">
        <v>4654</v>
      </c>
      <c r="F1103" s="2" t="b">
        <v>1</v>
      </c>
      <c r="G1103" s="2" t="b">
        <v>0</v>
      </c>
      <c r="H1103" s="2" t="s">
        <v>37</v>
      </c>
      <c r="I1103" s="2" t="s">
        <v>22</v>
      </c>
      <c r="J1103" s="2" t="s">
        <v>1656</v>
      </c>
      <c r="K1103" s="2" t="s">
        <v>495</v>
      </c>
      <c r="L1103" s="13" t="s">
        <v>496</v>
      </c>
      <c r="M1103" s="2" t="s">
        <v>26</v>
      </c>
      <c r="N1103" s="11" t="s">
        <v>576</v>
      </c>
      <c r="O1103" s="12" t="s">
        <v>53</v>
      </c>
      <c r="P1103" s="5" t="str">
        <f>IFERROR(__xludf.DUMMYFUNCTION("TEXTJOIN("" | "",TRUE,IF(OR(D1103="""",E1103="""",I1103="""",J1103="""",H1103=""""),""ফাঁকা ঘর"",""""),IF(AND(C1103&lt;&gt;"""",D1103&lt;&gt;"""",C1103=D1103),""gloss=figurative"",""""),IF(LEN(D1103)&lt;15,""figurative ছোট"",""""),IF(AND(I1103=""Positive"",REGEXMATCH(H1"&amp;"103,""মূর্খ|ভণ্ড|প্রতার|অলস|লোভ|স্বার্থ|অক্ষম|অযোগ্য|বোকা|কৃপণ|হিংস"")),""valence-target অমিল"",""""),IF(COUNTIF($B:$B,B1103)&gt;1,""ডুপ্লিকেট"",""""))"),"figurative ছোট")</f>
        <v>figurative ছোট</v>
      </c>
      <c r="Q1103" s="5" t="str">
        <f t="shared" si="1"/>
        <v>১ আগে দেখো</v>
      </c>
    </row>
    <row r="1104">
      <c r="A1104" s="4">
        <v>6622.0</v>
      </c>
      <c r="B1104" s="2" t="s">
        <v>4655</v>
      </c>
      <c r="C1104" s="2" t="s">
        <v>4656</v>
      </c>
      <c r="D1104" s="2" t="s">
        <v>4657</v>
      </c>
      <c r="E1104" s="2" t="s">
        <v>4658</v>
      </c>
      <c r="F1104" s="2" t="b">
        <v>1</v>
      </c>
      <c r="G1104" s="2" t="b">
        <v>0</v>
      </c>
      <c r="H1104" s="2" t="s">
        <v>37</v>
      </c>
      <c r="I1104" s="2" t="s">
        <v>22</v>
      </c>
      <c r="J1104" s="2" t="s">
        <v>565</v>
      </c>
      <c r="K1104" s="2" t="s">
        <v>495</v>
      </c>
      <c r="L1104" s="13" t="s">
        <v>496</v>
      </c>
      <c r="M1104" s="2" t="s">
        <v>26</v>
      </c>
      <c r="N1104" s="11" t="s">
        <v>576</v>
      </c>
      <c r="O1104" s="12" t="s">
        <v>53</v>
      </c>
      <c r="P1104" s="5" t="str">
        <f>IFERROR(__xludf.DUMMYFUNCTION("TEXTJOIN("" | "",TRUE,IF(OR(D1104="""",E1104="""",I1104="""",J1104="""",H1104=""""),""ফাঁকা ঘর"",""""),IF(AND(C1104&lt;&gt;"""",D1104&lt;&gt;"""",C1104=D1104),""gloss=figurative"",""""),IF(LEN(D1104)&lt;15,""figurative ছোট"",""""),IF(AND(I1104=""Positive"",REGEXMATCH(H1"&amp;"104,""মূর্খ|ভণ্ড|প্রতার|অলস|লোভ|স্বার্থ|অক্ষম|অযোগ্য|বোকা|কৃপণ|হিংস"")),""valence-target অমিল"",""""),IF(COUNTIF($B:$B,B1104)&gt;1,""ডুপ্লিকেট"",""""))"),"figurative ছোট")</f>
        <v>figurative ছোট</v>
      </c>
      <c r="Q1104" s="5" t="str">
        <f t="shared" si="1"/>
        <v>১ আগে দেখো</v>
      </c>
    </row>
    <row r="1105">
      <c r="A1105" s="4">
        <v>6623.0</v>
      </c>
      <c r="B1105" s="2" t="s">
        <v>4659</v>
      </c>
      <c r="C1105" s="2" t="s">
        <v>4660</v>
      </c>
      <c r="D1105" s="2" t="s">
        <v>1684</v>
      </c>
      <c r="E1105" s="2" t="s">
        <v>4661</v>
      </c>
      <c r="F1105" s="2" t="b">
        <v>1</v>
      </c>
      <c r="G1105" s="2" t="b">
        <v>0</v>
      </c>
      <c r="H1105" s="2" t="s">
        <v>37</v>
      </c>
      <c r="I1105" s="2" t="s">
        <v>32</v>
      </c>
      <c r="J1105" s="2" t="s">
        <v>913</v>
      </c>
      <c r="K1105" s="2" t="s">
        <v>495</v>
      </c>
      <c r="L1105" s="13" t="s">
        <v>496</v>
      </c>
      <c r="M1105" s="2" t="s">
        <v>26</v>
      </c>
      <c r="N1105" s="11" t="s">
        <v>4662</v>
      </c>
      <c r="O1105" s="12" t="s">
        <v>53</v>
      </c>
      <c r="P1105" s="5" t="str">
        <f>IFERROR(__xludf.DUMMYFUNCTION("TEXTJOIN("" | "",TRUE,IF(OR(D1105="""",E1105="""",I1105="""",J1105="""",H1105=""""),""ফাঁকা ঘর"",""""),IF(AND(C1105&lt;&gt;"""",D1105&lt;&gt;"""",C1105=D1105),""gloss=figurative"",""""),IF(LEN(D1105)&lt;15,""figurative ছোট"",""""),IF(AND(I1105=""Positive"",REGEXMATCH(H1"&amp;"105,""মূর্খ|ভণ্ড|প্রতার|অলস|লোভ|স্বার্থ|অক্ষম|অযোগ্য|বোকা|কৃপণ|হিংস"")),""valence-target অমিল"",""""),IF(COUNTIF($B:$B,B1105)&gt;1,""ডুপ্লিকেট"",""""))"),"figurative ছোট")</f>
        <v>figurative ছোট</v>
      </c>
      <c r="Q1105" s="5" t="str">
        <f t="shared" si="1"/>
        <v>১ আগে দেখো</v>
      </c>
    </row>
    <row r="1106">
      <c r="A1106" s="4">
        <v>6624.0</v>
      </c>
      <c r="B1106" s="2" t="s">
        <v>4663</v>
      </c>
      <c r="C1106" s="2" t="s">
        <v>4664</v>
      </c>
      <c r="D1106" s="2" t="s">
        <v>1151</v>
      </c>
      <c r="E1106" s="2" t="s">
        <v>4665</v>
      </c>
      <c r="F1106" s="2" t="b">
        <v>1</v>
      </c>
      <c r="G1106" s="2" t="b">
        <v>0</v>
      </c>
      <c r="H1106" s="2" t="s">
        <v>37</v>
      </c>
      <c r="I1106" s="2" t="s">
        <v>32</v>
      </c>
      <c r="J1106" s="2" t="s">
        <v>913</v>
      </c>
      <c r="K1106" s="2" t="s">
        <v>495</v>
      </c>
      <c r="L1106" s="13" t="s">
        <v>496</v>
      </c>
      <c r="M1106" s="2" t="s">
        <v>26</v>
      </c>
      <c r="N1106" s="11" t="s">
        <v>4666</v>
      </c>
      <c r="O1106" s="12" t="s">
        <v>53</v>
      </c>
      <c r="P1106" s="5" t="str">
        <f>IFERROR(__xludf.DUMMYFUNCTION("TEXTJOIN("" | "",TRUE,IF(OR(D1106="""",E1106="""",I1106="""",J1106="""",H1106=""""),""ফাঁকা ঘর"",""""),IF(AND(C1106&lt;&gt;"""",D1106&lt;&gt;"""",C1106=D1106),""gloss=figurative"",""""),IF(LEN(D1106)&lt;15,""figurative ছোট"",""""),IF(AND(I1106=""Positive"",REGEXMATCH(H1"&amp;"106,""মূর্খ|ভণ্ড|প্রতার|অলস|লোভ|স্বার্থ|অক্ষম|অযোগ্য|বোকা|কৃপণ|হিংস"")),""valence-target অমিল"",""""),IF(COUNTIF($B:$B,B1106)&gt;1,""ডুপ্লিকেট"",""""))"),"figurative ছোট")</f>
        <v>figurative ছোট</v>
      </c>
      <c r="Q1106" s="5" t="str">
        <f t="shared" si="1"/>
        <v>১ আগে দেখো</v>
      </c>
    </row>
    <row r="1107">
      <c r="A1107" s="4">
        <v>6625.0</v>
      </c>
      <c r="B1107" s="2" t="s">
        <v>4667</v>
      </c>
      <c r="C1107" s="2" t="s">
        <v>4668</v>
      </c>
      <c r="D1107" s="2" t="s">
        <v>1666</v>
      </c>
      <c r="E1107" s="2" t="s">
        <v>4669</v>
      </c>
      <c r="F1107" s="2" t="b">
        <v>1</v>
      </c>
      <c r="G1107" s="2" t="b">
        <v>0</v>
      </c>
      <c r="H1107" s="2" t="s">
        <v>37</v>
      </c>
      <c r="I1107" s="2" t="s">
        <v>49</v>
      </c>
      <c r="J1107" s="2" t="s">
        <v>4670</v>
      </c>
      <c r="K1107" s="2" t="s">
        <v>495</v>
      </c>
      <c r="L1107" s="13" t="s">
        <v>496</v>
      </c>
      <c r="M1107" s="2" t="s">
        <v>26</v>
      </c>
      <c r="N1107" s="11" t="s">
        <v>576</v>
      </c>
      <c r="O1107" s="12" t="s">
        <v>53</v>
      </c>
      <c r="P1107" s="5" t="str">
        <f>IFERROR(__xludf.DUMMYFUNCTION("TEXTJOIN("" | "",TRUE,IF(OR(D1107="""",E1107="""",I1107="""",J1107="""",H1107=""""),""ফাঁকা ঘর"",""""),IF(AND(C1107&lt;&gt;"""",D1107&lt;&gt;"""",C1107=D1107),""gloss=figurative"",""""),IF(LEN(D1107)&lt;15,""figurative ছোট"",""""),IF(AND(I1107=""Positive"",REGEXMATCH(H1"&amp;"107,""মূর্খ|ভণ্ড|প্রতার|অলস|লোভ|স্বার্থ|অক্ষম|অযোগ্য|বোকা|কৃপণ|হিংস"")),""valence-target অমিল"",""""),IF(COUNTIF($B:$B,B1107)&gt;1,""ডুপ্লিকেট"",""""))"),"figurative ছোট")</f>
        <v>figurative ছোট</v>
      </c>
      <c r="Q1107" s="5" t="str">
        <f t="shared" si="1"/>
        <v>১ আগে দেখো</v>
      </c>
    </row>
    <row r="1108">
      <c r="A1108" s="4">
        <v>6626.0</v>
      </c>
      <c r="B1108" s="2" t="s">
        <v>4671</v>
      </c>
      <c r="C1108" s="2" t="s">
        <v>4671</v>
      </c>
      <c r="D1108" s="2" t="s">
        <v>4672</v>
      </c>
      <c r="E1108" s="2" t="s">
        <v>4673</v>
      </c>
      <c r="F1108" s="2" t="b">
        <v>1</v>
      </c>
      <c r="G1108" s="2" t="b">
        <v>0</v>
      </c>
      <c r="H1108" s="2" t="s">
        <v>37</v>
      </c>
      <c r="I1108" s="2" t="s">
        <v>49</v>
      </c>
      <c r="J1108" s="2" t="s">
        <v>1244</v>
      </c>
      <c r="K1108" s="2" t="s">
        <v>495</v>
      </c>
      <c r="L1108" s="13" t="s">
        <v>496</v>
      </c>
      <c r="M1108" s="2" t="s">
        <v>26</v>
      </c>
      <c r="N1108" s="11" t="s">
        <v>576</v>
      </c>
      <c r="O1108" s="12" t="s">
        <v>53</v>
      </c>
      <c r="P1108" s="5" t="str">
        <f>IFERROR(__xludf.DUMMYFUNCTION("TEXTJOIN("" | "",TRUE,IF(OR(D1108="""",E1108="""",I1108="""",J1108="""",H1108=""""),""ফাঁকা ঘর"",""""),IF(AND(C1108&lt;&gt;"""",D1108&lt;&gt;"""",C1108=D1108),""gloss=figurative"",""""),IF(LEN(D1108)&lt;15,""figurative ছোট"",""""),IF(AND(I1108=""Positive"",REGEXMATCH(H1"&amp;"108,""মূর্খ|ভণ্ড|প্রতার|অলস|লোভ|স্বার্থ|অক্ষম|অযোগ্য|বোকা|কৃপণ|হিংস"")),""valence-target অমিল"",""""),IF(COUNTIF($B:$B,B1108)&gt;1,""ডুপ্লিকেট"",""""))"),"figurative ছোট")</f>
        <v>figurative ছোট</v>
      </c>
      <c r="Q1108" s="5" t="str">
        <f t="shared" si="1"/>
        <v>১ আগে দেখো</v>
      </c>
    </row>
    <row r="1109">
      <c r="A1109" s="4">
        <v>6627.0</v>
      </c>
      <c r="B1109" s="2" t="s">
        <v>4674</v>
      </c>
      <c r="C1109" s="2" t="s">
        <v>4675</v>
      </c>
      <c r="D1109" s="2" t="s">
        <v>3701</v>
      </c>
      <c r="E1109" s="2" t="s">
        <v>4676</v>
      </c>
      <c r="F1109" s="2" t="b">
        <v>1</v>
      </c>
      <c r="G1109" s="2" t="b">
        <v>0</v>
      </c>
      <c r="H1109" s="2" t="s">
        <v>37</v>
      </c>
      <c r="I1109" s="2" t="s">
        <v>49</v>
      </c>
      <c r="J1109" s="2" t="s">
        <v>3701</v>
      </c>
      <c r="K1109" s="2" t="s">
        <v>495</v>
      </c>
      <c r="L1109" s="13" t="s">
        <v>496</v>
      </c>
      <c r="M1109" s="2" t="s">
        <v>26</v>
      </c>
      <c r="N1109" s="11" t="s">
        <v>4677</v>
      </c>
      <c r="O1109" s="12" t="s">
        <v>53</v>
      </c>
      <c r="P1109" s="5" t="str">
        <f>IFERROR(__xludf.DUMMYFUNCTION("TEXTJOIN("" | "",TRUE,IF(OR(D1109="""",E1109="""",I1109="""",J1109="""",H1109=""""),""ফাঁকা ঘর"",""""),IF(AND(C1109&lt;&gt;"""",D1109&lt;&gt;"""",C1109=D1109),""gloss=figurative"",""""),IF(LEN(D1109)&lt;15,""figurative ছোট"",""""),IF(AND(I1109=""Positive"",REGEXMATCH(H1"&amp;"109,""মূর্খ|ভণ্ড|প্রতার|অলস|লোভ|স্বার্থ|অক্ষম|অযোগ্য|বোকা|কৃপণ|হিংস"")),""valence-target অমিল"",""""),IF(COUNTIF($B:$B,B1109)&gt;1,""ডুপ্লিকেট"",""""))"),"figurative ছোট")</f>
        <v>figurative ছোট</v>
      </c>
      <c r="Q1109" s="5" t="str">
        <f t="shared" si="1"/>
        <v>১ আগে দেখো</v>
      </c>
    </row>
    <row r="1110">
      <c r="A1110" s="4">
        <v>6628.0</v>
      </c>
      <c r="B1110" s="2" t="s">
        <v>4678</v>
      </c>
      <c r="C1110" s="2" t="s">
        <v>4679</v>
      </c>
      <c r="D1110" s="2" t="s">
        <v>1244</v>
      </c>
      <c r="E1110" s="2" t="s">
        <v>4680</v>
      </c>
      <c r="F1110" s="2" t="b">
        <v>1</v>
      </c>
      <c r="G1110" s="2" t="b">
        <v>0</v>
      </c>
      <c r="H1110" s="2" t="s">
        <v>37</v>
      </c>
      <c r="I1110" s="2" t="s">
        <v>49</v>
      </c>
      <c r="J1110" s="2" t="s">
        <v>3701</v>
      </c>
      <c r="K1110" s="2" t="s">
        <v>495</v>
      </c>
      <c r="L1110" s="13" t="s">
        <v>496</v>
      </c>
      <c r="M1110" s="2" t="s">
        <v>26</v>
      </c>
      <c r="N1110" s="11" t="s">
        <v>4681</v>
      </c>
      <c r="O1110" s="12" t="s">
        <v>53</v>
      </c>
      <c r="P1110" s="5" t="str">
        <f>IFERROR(__xludf.DUMMYFUNCTION("TEXTJOIN("" | "",TRUE,IF(OR(D1110="""",E1110="""",I1110="""",J1110="""",H1110=""""),""ফাঁকা ঘর"",""""),IF(AND(C1110&lt;&gt;"""",D1110&lt;&gt;"""",C1110=D1110),""gloss=figurative"",""""),IF(LEN(D1110)&lt;15,""figurative ছোট"",""""),IF(AND(I1110=""Positive"",REGEXMATCH(H1"&amp;"110,""মূর্খ|ভণ্ড|প্রতার|অলস|লোভ|স্বার্থ|অক্ষম|অযোগ্য|বোকা|কৃপণ|হিংস"")),""valence-target অমিল"",""""),IF(COUNTIF($B:$B,B1110)&gt;1,""ডুপ্লিকেট"",""""))"),"figurative ছোট")</f>
        <v>figurative ছোট</v>
      </c>
      <c r="Q1110" s="5" t="str">
        <f t="shared" si="1"/>
        <v>১ আগে দেখো</v>
      </c>
    </row>
    <row r="1111">
      <c r="A1111" s="4">
        <v>6629.0</v>
      </c>
      <c r="B1111" s="2" t="s">
        <v>4682</v>
      </c>
      <c r="C1111" s="2" t="s">
        <v>4683</v>
      </c>
      <c r="D1111" s="2" t="s">
        <v>4349</v>
      </c>
      <c r="E1111" s="2" t="s">
        <v>4684</v>
      </c>
      <c r="F1111" s="2" t="b">
        <v>1</v>
      </c>
      <c r="G1111" s="2" t="b">
        <v>0</v>
      </c>
      <c r="H1111" s="2" t="s">
        <v>4349</v>
      </c>
      <c r="I1111" s="2" t="s">
        <v>22</v>
      </c>
      <c r="J1111" s="2" t="s">
        <v>43</v>
      </c>
      <c r="K1111" s="2" t="s">
        <v>495</v>
      </c>
      <c r="L1111" s="13" t="s">
        <v>496</v>
      </c>
      <c r="M1111" s="2" t="s">
        <v>26</v>
      </c>
      <c r="N1111" s="11" t="s">
        <v>4685</v>
      </c>
      <c r="O1111" s="12" t="s">
        <v>53</v>
      </c>
      <c r="P1111" s="5" t="str">
        <f>IFERROR(__xludf.DUMMYFUNCTION("TEXTJOIN("" | "",TRUE,IF(OR(D1111="""",E1111="""",I1111="""",J1111="""",H1111=""""),""ফাঁকা ঘর"",""""),IF(AND(C1111&lt;&gt;"""",D1111&lt;&gt;"""",C1111=D1111),""gloss=figurative"",""""),IF(LEN(D1111)&lt;15,""figurative ছোট"",""""),IF(AND(I1111=""Positive"",REGEXMATCH(H1"&amp;"111,""মূর্খ|ভণ্ড|প্রতার|অলস|লোভ|স্বার্থ|অক্ষম|অযোগ্য|বোকা|কৃপণ|হিংস"")),""valence-target অমিল"",""""),IF(COUNTIF($B:$B,B1111)&gt;1,""ডুপ্লিকেট"",""""))"),"figurative ছোট")</f>
        <v>figurative ছোট</v>
      </c>
      <c r="Q1111" s="5" t="str">
        <f t="shared" si="1"/>
        <v>১ আগে দেখো</v>
      </c>
    </row>
    <row r="1112">
      <c r="A1112" s="4">
        <v>6630.0</v>
      </c>
      <c r="B1112" s="2" t="s">
        <v>4686</v>
      </c>
      <c r="C1112" s="2" t="s">
        <v>4687</v>
      </c>
      <c r="D1112" s="2" t="s">
        <v>4688</v>
      </c>
      <c r="E1112" s="2" t="s">
        <v>4689</v>
      </c>
      <c r="F1112" s="2" t="b">
        <v>1</v>
      </c>
      <c r="G1112" s="2" t="b">
        <v>0</v>
      </c>
      <c r="H1112" s="2" t="s">
        <v>4349</v>
      </c>
      <c r="I1112" s="2" t="s">
        <v>22</v>
      </c>
      <c r="J1112" s="2" t="s">
        <v>43</v>
      </c>
      <c r="K1112" s="2" t="s">
        <v>495</v>
      </c>
      <c r="L1112" s="13" t="s">
        <v>496</v>
      </c>
      <c r="M1112" s="2" t="s">
        <v>26</v>
      </c>
      <c r="N1112" s="11" t="s">
        <v>4685</v>
      </c>
      <c r="O1112" s="12" t="s">
        <v>53</v>
      </c>
      <c r="P1112" s="5" t="str">
        <f>IFERROR(__xludf.DUMMYFUNCTION("TEXTJOIN("" | "",TRUE,IF(OR(D1112="""",E1112="""",I1112="""",J1112="""",H1112=""""),""ফাঁকা ঘর"",""""),IF(AND(C1112&lt;&gt;"""",D1112&lt;&gt;"""",C1112=D1112),""gloss=figurative"",""""),IF(LEN(D1112)&lt;15,""figurative ছোট"",""""),IF(AND(I1112=""Positive"",REGEXMATCH(H1"&amp;"112,""মূর্খ|ভণ্ড|প্রতার|অলস|লোভ|স্বার্থ|অক্ষম|অযোগ্য|বোকা|কৃপণ|হিংস"")),""valence-target অমিল"",""""),IF(COUNTIF($B:$B,B1112)&gt;1,""ডুপ্লিকেট"",""""))"),"figurative ছোট")</f>
        <v>figurative ছোট</v>
      </c>
      <c r="Q1112" s="5" t="str">
        <f t="shared" si="1"/>
        <v>১ আগে দেখো</v>
      </c>
    </row>
    <row r="1113">
      <c r="A1113" s="4">
        <v>6633.0</v>
      </c>
      <c r="B1113" s="2" t="s">
        <v>4690</v>
      </c>
      <c r="C1113" s="2" t="s">
        <v>4691</v>
      </c>
      <c r="D1113" s="2" t="s">
        <v>4692</v>
      </c>
      <c r="E1113" s="2" t="s">
        <v>4693</v>
      </c>
      <c r="F1113" s="2" t="b">
        <v>1</v>
      </c>
      <c r="G1113" s="2" t="b">
        <v>0</v>
      </c>
      <c r="H1113" s="2" t="s">
        <v>37</v>
      </c>
      <c r="I1113" s="2" t="s">
        <v>49</v>
      </c>
      <c r="J1113" s="2" t="s">
        <v>2440</v>
      </c>
      <c r="K1113" s="2" t="s">
        <v>495</v>
      </c>
      <c r="L1113" s="13" t="s">
        <v>496</v>
      </c>
      <c r="M1113" s="2" t="s">
        <v>26</v>
      </c>
      <c r="N1113" s="11" t="s">
        <v>4694</v>
      </c>
      <c r="O1113" s="12" t="s">
        <v>53</v>
      </c>
      <c r="P1113" s="5" t="str">
        <f>IFERROR(__xludf.DUMMYFUNCTION("TEXTJOIN("" | "",TRUE,IF(OR(D1113="""",E1113="""",I1113="""",J1113="""",H1113=""""),""ফাঁকা ঘর"",""""),IF(AND(C1113&lt;&gt;"""",D1113&lt;&gt;"""",C1113=D1113),""gloss=figurative"",""""),IF(LEN(D1113)&lt;15,""figurative ছোট"",""""),IF(AND(I1113=""Positive"",REGEXMATCH(H1"&amp;"113,""মূর্খ|ভণ্ড|প্রতার|অলস|লোভ|স্বার্থ|অক্ষম|অযোগ্য|বোকা|কৃপণ|হিংস"")),""valence-target অমিল"",""""),IF(COUNTIF($B:$B,B1113)&gt;1,""ডুপ্লিকেট"",""""))"),"figurative ছোট")</f>
        <v>figurative ছোট</v>
      </c>
      <c r="Q1113" s="5" t="str">
        <f t="shared" si="1"/>
        <v>১ আগে দেখো</v>
      </c>
    </row>
    <row r="1114">
      <c r="A1114" s="4">
        <v>6634.0</v>
      </c>
      <c r="B1114" s="2" t="s">
        <v>4695</v>
      </c>
      <c r="C1114" s="2" t="s">
        <v>4696</v>
      </c>
      <c r="D1114" s="2" t="s">
        <v>4697</v>
      </c>
      <c r="E1114" s="2" t="s">
        <v>4698</v>
      </c>
      <c r="F1114" s="2" t="b">
        <v>1</v>
      </c>
      <c r="G1114" s="2" t="b">
        <v>0</v>
      </c>
      <c r="H1114" s="2" t="s">
        <v>37</v>
      </c>
      <c r="I1114" s="2" t="s">
        <v>32</v>
      </c>
      <c r="J1114" s="2" t="s">
        <v>4699</v>
      </c>
      <c r="K1114" s="2" t="s">
        <v>495</v>
      </c>
      <c r="L1114" s="13" t="s">
        <v>496</v>
      </c>
      <c r="M1114" s="2" t="s">
        <v>26</v>
      </c>
      <c r="N1114" s="11" t="s">
        <v>576</v>
      </c>
      <c r="O1114" s="12" t="s">
        <v>53</v>
      </c>
      <c r="P1114" s="5" t="str">
        <f>IFERROR(__xludf.DUMMYFUNCTION("TEXTJOIN("" | "",TRUE,IF(OR(D1114="""",E1114="""",I1114="""",J1114="""",H1114=""""),""ফাঁকা ঘর"",""""),IF(AND(C1114&lt;&gt;"""",D1114&lt;&gt;"""",C1114=D1114),""gloss=figurative"",""""),IF(LEN(D1114)&lt;15,""figurative ছোট"",""""),IF(AND(I1114=""Positive"",REGEXMATCH(H1"&amp;"114,""মূর্খ|ভণ্ড|প্রতার|অলস|লোভ|স্বার্থ|অক্ষম|অযোগ্য|বোকা|কৃপণ|হিংস"")),""valence-target অমিল"",""""),IF(COUNTIF($B:$B,B1114)&gt;1,""ডুপ্লিকেট"",""""))"),"figurative ছোট")</f>
        <v>figurative ছোট</v>
      </c>
      <c r="Q1114" s="5" t="str">
        <f t="shared" si="1"/>
        <v>১ আগে দেখো</v>
      </c>
    </row>
    <row r="1115">
      <c r="A1115" s="4">
        <v>6635.0</v>
      </c>
      <c r="B1115" s="2" t="s">
        <v>4700</v>
      </c>
      <c r="C1115" s="2" t="s">
        <v>4700</v>
      </c>
      <c r="D1115" s="2" t="s">
        <v>4701</v>
      </c>
      <c r="E1115" s="2" t="s">
        <v>4702</v>
      </c>
      <c r="F1115" s="2" t="b">
        <v>1</v>
      </c>
      <c r="G1115" s="2" t="b">
        <v>0</v>
      </c>
      <c r="H1115" s="2" t="s">
        <v>4703</v>
      </c>
      <c r="I1115" s="2" t="s">
        <v>22</v>
      </c>
      <c r="J1115" s="2" t="s">
        <v>4704</v>
      </c>
      <c r="K1115" s="2" t="s">
        <v>495</v>
      </c>
      <c r="L1115" s="13" t="s">
        <v>496</v>
      </c>
      <c r="M1115" s="2" t="s">
        <v>26</v>
      </c>
      <c r="N1115" s="11" t="s">
        <v>576</v>
      </c>
      <c r="O1115" s="12" t="s">
        <v>53</v>
      </c>
      <c r="P1115" s="5" t="str">
        <f>IFERROR(__xludf.DUMMYFUNCTION("TEXTJOIN("" | "",TRUE,IF(OR(D1115="""",E1115="""",I1115="""",J1115="""",H1115=""""),""ফাঁকা ঘর"",""""),IF(AND(C1115&lt;&gt;"""",D1115&lt;&gt;"""",C1115=D1115),""gloss=figurative"",""""),IF(LEN(D1115)&lt;15,""figurative ছোট"",""""),IF(AND(I1115=""Positive"",REGEXMATCH(H1"&amp;"115,""মূর্খ|ভণ্ড|প্রতার|অলস|লোভ|স্বার্থ|অক্ষম|অযোগ্য|বোকা|কৃপণ|হিংস"")),""valence-target অমিল"",""""),IF(COUNTIF($B:$B,B1115)&gt;1,""ডুপ্লিকেট"",""""))"),"figurative ছোট")</f>
        <v>figurative ছোট</v>
      </c>
      <c r="Q1115" s="5" t="str">
        <f t="shared" si="1"/>
        <v>১ আগে দেখো</v>
      </c>
    </row>
    <row r="1116">
      <c r="A1116" s="4">
        <v>6636.0</v>
      </c>
      <c r="B1116" s="2" t="s">
        <v>4705</v>
      </c>
      <c r="C1116" s="2" t="s">
        <v>4705</v>
      </c>
      <c r="D1116" s="2" t="s">
        <v>4706</v>
      </c>
      <c r="E1116" s="2" t="s">
        <v>4707</v>
      </c>
      <c r="F1116" s="2" t="b">
        <v>1</v>
      </c>
      <c r="G1116" s="2" t="b">
        <v>0</v>
      </c>
      <c r="H1116" s="2" t="s">
        <v>37</v>
      </c>
      <c r="I1116" s="2" t="s">
        <v>49</v>
      </c>
      <c r="J1116" s="2" t="s">
        <v>4708</v>
      </c>
      <c r="K1116" s="2" t="s">
        <v>495</v>
      </c>
      <c r="L1116" s="13" t="s">
        <v>496</v>
      </c>
      <c r="M1116" s="2" t="s">
        <v>26</v>
      </c>
      <c r="N1116" s="11" t="s">
        <v>576</v>
      </c>
      <c r="O1116" s="12" t="s">
        <v>53</v>
      </c>
      <c r="P1116" s="5" t="str">
        <f>IFERROR(__xludf.DUMMYFUNCTION("TEXTJOIN("" | "",TRUE,IF(OR(D1116="""",E1116="""",I1116="""",J1116="""",H1116=""""),""ফাঁকা ঘর"",""""),IF(AND(C1116&lt;&gt;"""",D1116&lt;&gt;"""",C1116=D1116),""gloss=figurative"",""""),IF(LEN(D1116)&lt;15,""figurative ছোট"",""""),IF(AND(I1116=""Positive"",REGEXMATCH(H1"&amp;"116,""মূর্খ|ভণ্ড|প্রতার|অলস|লোভ|স্বার্থ|অক্ষম|অযোগ্য|বোকা|কৃপণ|হিংস"")),""valence-target অমিল"",""""),IF(COUNTIF($B:$B,B1116)&gt;1,""ডুপ্লিকেট"",""""))"),"figurative ছোট")</f>
        <v>figurative ছোট</v>
      </c>
      <c r="Q1116" s="5" t="str">
        <f t="shared" si="1"/>
        <v>১ আগে দেখো</v>
      </c>
    </row>
    <row r="1117">
      <c r="A1117" s="4">
        <v>6637.0</v>
      </c>
      <c r="B1117" s="2" t="s">
        <v>4709</v>
      </c>
      <c r="C1117" s="2" t="s">
        <v>4710</v>
      </c>
      <c r="D1117" s="2" t="s">
        <v>4711</v>
      </c>
      <c r="E1117" s="2" t="s">
        <v>4712</v>
      </c>
      <c r="F1117" s="2" t="b">
        <v>1</v>
      </c>
      <c r="G1117" s="2" t="b">
        <v>0</v>
      </c>
      <c r="H1117" s="2" t="s">
        <v>37</v>
      </c>
      <c r="I1117" s="2" t="s">
        <v>49</v>
      </c>
      <c r="J1117" s="2" t="s">
        <v>1443</v>
      </c>
      <c r="K1117" s="2" t="s">
        <v>495</v>
      </c>
      <c r="L1117" s="13" t="s">
        <v>496</v>
      </c>
      <c r="M1117" s="2" t="s">
        <v>26</v>
      </c>
      <c r="N1117" s="11" t="s">
        <v>576</v>
      </c>
      <c r="O1117" s="12" t="s">
        <v>53</v>
      </c>
      <c r="P1117" s="5" t="str">
        <f>IFERROR(__xludf.DUMMYFUNCTION("TEXTJOIN("" | "",TRUE,IF(OR(D1117="""",E1117="""",I1117="""",J1117="""",H1117=""""),""ফাঁকা ঘর"",""""),IF(AND(C1117&lt;&gt;"""",D1117&lt;&gt;"""",C1117=D1117),""gloss=figurative"",""""),IF(LEN(D1117)&lt;15,""figurative ছোট"",""""),IF(AND(I1117=""Positive"",REGEXMATCH(H1"&amp;"117,""মূর্খ|ভণ্ড|প্রতার|অলস|লোভ|স্বার্থ|অক্ষম|অযোগ্য|বোকা|কৃপণ|হিংস"")),""valence-target অমিল"",""""),IF(COUNTIF($B:$B,B1117)&gt;1,""ডুপ্লিকেট"",""""))"),"figurative ছোট")</f>
        <v>figurative ছোট</v>
      </c>
      <c r="Q1117" s="5" t="str">
        <f t="shared" si="1"/>
        <v>১ আগে দেখো</v>
      </c>
    </row>
    <row r="1118">
      <c r="A1118" s="4">
        <v>6638.0</v>
      </c>
      <c r="B1118" s="2" t="s">
        <v>4713</v>
      </c>
      <c r="C1118" s="2" t="s">
        <v>4714</v>
      </c>
      <c r="D1118" s="2" t="s">
        <v>4715</v>
      </c>
      <c r="E1118" s="2" t="s">
        <v>4716</v>
      </c>
      <c r="F1118" s="2" t="b">
        <v>1</v>
      </c>
      <c r="G1118" s="2" t="b">
        <v>0</v>
      </c>
      <c r="H1118" s="2" t="s">
        <v>37</v>
      </c>
      <c r="I1118" s="2" t="s">
        <v>49</v>
      </c>
      <c r="J1118" s="2" t="s">
        <v>300</v>
      </c>
      <c r="K1118" s="2" t="s">
        <v>495</v>
      </c>
      <c r="L1118" s="13" t="s">
        <v>496</v>
      </c>
      <c r="M1118" s="2" t="s">
        <v>26</v>
      </c>
      <c r="N1118" s="11" t="s">
        <v>576</v>
      </c>
      <c r="O1118" s="12" t="s">
        <v>53</v>
      </c>
      <c r="P1118" s="5" t="str">
        <f>IFERROR(__xludf.DUMMYFUNCTION("TEXTJOIN("" | "",TRUE,IF(OR(D1118="""",E1118="""",I1118="""",J1118="""",H1118=""""),""ফাঁকা ঘর"",""""),IF(AND(C1118&lt;&gt;"""",D1118&lt;&gt;"""",C1118=D1118),""gloss=figurative"",""""),IF(LEN(D1118)&lt;15,""figurative ছোট"",""""),IF(AND(I1118=""Positive"",REGEXMATCH(H1"&amp;"118,""মূর্খ|ভণ্ড|প্রতার|অলস|লোভ|স্বার্থ|অক্ষম|অযোগ্য|বোকা|কৃপণ|হিংস"")),""valence-target অমিল"",""""),IF(COUNTIF($B:$B,B1118)&gt;1,""ডুপ্লিকেট"",""""))"),"figurative ছোট")</f>
        <v>figurative ছোট</v>
      </c>
      <c r="Q1118" s="5" t="str">
        <f t="shared" si="1"/>
        <v>১ আগে দেখো</v>
      </c>
    </row>
    <row r="1119">
      <c r="A1119" s="4">
        <v>6640.0</v>
      </c>
      <c r="B1119" s="2" t="s">
        <v>4717</v>
      </c>
      <c r="C1119" s="2" t="s">
        <v>4718</v>
      </c>
      <c r="D1119" s="2" t="s">
        <v>4719</v>
      </c>
      <c r="E1119" s="2" t="s">
        <v>4720</v>
      </c>
      <c r="F1119" s="2" t="b">
        <v>1</v>
      </c>
      <c r="G1119" s="2" t="b">
        <v>0</v>
      </c>
      <c r="H1119" s="2" t="s">
        <v>37</v>
      </c>
      <c r="I1119" s="2" t="s">
        <v>22</v>
      </c>
      <c r="J1119" s="2" t="s">
        <v>4704</v>
      </c>
      <c r="K1119" s="2" t="s">
        <v>495</v>
      </c>
      <c r="L1119" s="13" t="s">
        <v>496</v>
      </c>
      <c r="M1119" s="2" t="s">
        <v>26</v>
      </c>
      <c r="N1119" s="11" t="s">
        <v>576</v>
      </c>
      <c r="O1119" s="12" t="s">
        <v>53</v>
      </c>
      <c r="P1119" s="5" t="str">
        <f>IFERROR(__xludf.DUMMYFUNCTION("TEXTJOIN("" | "",TRUE,IF(OR(D1119="""",E1119="""",I1119="""",J1119="""",H1119=""""),""ফাঁকা ঘর"",""""),IF(AND(C1119&lt;&gt;"""",D1119&lt;&gt;"""",C1119=D1119),""gloss=figurative"",""""),IF(LEN(D1119)&lt;15,""figurative ছোট"",""""),IF(AND(I1119=""Positive"",REGEXMATCH(H1"&amp;"119,""মূর্খ|ভণ্ড|প্রতার|অলস|লোভ|স্বার্থ|অক্ষম|অযোগ্য|বোকা|কৃপণ|হিংস"")),""valence-target অমিল"",""""),IF(COUNTIF($B:$B,B1119)&gt;1,""ডুপ্লিকেট"",""""))"),"figurative ছোট")</f>
        <v>figurative ছোট</v>
      </c>
      <c r="Q1119" s="5" t="str">
        <f t="shared" si="1"/>
        <v>১ আগে দেখো</v>
      </c>
    </row>
    <row r="1120">
      <c r="A1120" s="4">
        <v>6641.0</v>
      </c>
      <c r="B1120" s="2" t="s">
        <v>4721</v>
      </c>
      <c r="C1120" s="2" t="s">
        <v>4722</v>
      </c>
      <c r="D1120" s="2" t="s">
        <v>4723</v>
      </c>
      <c r="E1120" s="2" t="s">
        <v>4724</v>
      </c>
      <c r="F1120" s="2" t="b">
        <v>1</v>
      </c>
      <c r="G1120" s="2" t="b">
        <v>0</v>
      </c>
      <c r="H1120" s="2" t="s">
        <v>37</v>
      </c>
      <c r="I1120" s="2" t="s">
        <v>49</v>
      </c>
      <c r="J1120" s="2" t="s">
        <v>1621</v>
      </c>
      <c r="K1120" s="2" t="s">
        <v>495</v>
      </c>
      <c r="L1120" s="13" t="s">
        <v>496</v>
      </c>
      <c r="M1120" s="2" t="s">
        <v>26</v>
      </c>
      <c r="N1120" s="11" t="s">
        <v>576</v>
      </c>
      <c r="O1120" s="12" t="s">
        <v>53</v>
      </c>
      <c r="P1120" s="5" t="str">
        <f>IFERROR(__xludf.DUMMYFUNCTION("TEXTJOIN("" | "",TRUE,IF(OR(D1120="""",E1120="""",I1120="""",J1120="""",H1120=""""),""ফাঁকা ঘর"",""""),IF(AND(C1120&lt;&gt;"""",D1120&lt;&gt;"""",C1120=D1120),""gloss=figurative"",""""),IF(LEN(D1120)&lt;15,""figurative ছোট"",""""),IF(AND(I1120=""Positive"",REGEXMATCH(H1"&amp;"120,""মূর্খ|ভণ্ড|প্রতার|অলস|লোভ|স্বার্থ|অক্ষম|অযোগ্য|বোকা|কৃপণ|হিংস"")),""valence-target অমিল"",""""),IF(COUNTIF($B:$B,B1120)&gt;1,""ডুপ্লিকেট"",""""))"),"figurative ছোট")</f>
        <v>figurative ছোট</v>
      </c>
      <c r="Q1120" s="5" t="str">
        <f t="shared" si="1"/>
        <v>১ আগে দেখো</v>
      </c>
    </row>
    <row r="1121">
      <c r="A1121" s="4">
        <v>6642.0</v>
      </c>
      <c r="B1121" s="2" t="s">
        <v>4725</v>
      </c>
      <c r="C1121" s="2" t="s">
        <v>4726</v>
      </c>
      <c r="D1121" s="2" t="s">
        <v>4727</v>
      </c>
      <c r="E1121" s="2" t="s">
        <v>4728</v>
      </c>
      <c r="F1121" s="2" t="b">
        <v>1</v>
      </c>
      <c r="G1121" s="2" t="b">
        <v>0</v>
      </c>
      <c r="H1121" s="2" t="s">
        <v>37</v>
      </c>
      <c r="I1121" s="2" t="s">
        <v>22</v>
      </c>
      <c r="J1121" s="2" t="s">
        <v>225</v>
      </c>
      <c r="K1121" s="2" t="s">
        <v>495</v>
      </c>
      <c r="L1121" s="13" t="s">
        <v>496</v>
      </c>
      <c r="M1121" s="2" t="s">
        <v>26</v>
      </c>
      <c r="N1121" s="11" t="s">
        <v>576</v>
      </c>
      <c r="O1121" s="12" t="s">
        <v>53</v>
      </c>
      <c r="P1121" s="5" t="str">
        <f>IFERROR(__xludf.DUMMYFUNCTION("TEXTJOIN("" | "",TRUE,IF(OR(D1121="""",E1121="""",I1121="""",J1121="""",H1121=""""),""ফাঁকা ঘর"",""""),IF(AND(C1121&lt;&gt;"""",D1121&lt;&gt;"""",C1121=D1121),""gloss=figurative"",""""),IF(LEN(D1121)&lt;15,""figurative ছোট"",""""),IF(AND(I1121=""Positive"",REGEXMATCH(H1"&amp;"121,""মূর্খ|ভণ্ড|প্রতার|অলস|লোভ|স্বার্থ|অক্ষম|অযোগ্য|বোকা|কৃপণ|হিংস"")),""valence-target অমিল"",""""),IF(COUNTIF($B:$B,B1121)&gt;1,""ডুপ্লিকেট"",""""))"),"figurative ছোট")</f>
        <v>figurative ছোট</v>
      </c>
      <c r="Q1121" s="5" t="str">
        <f t="shared" si="1"/>
        <v>১ আগে দেখো</v>
      </c>
    </row>
    <row r="1122">
      <c r="A1122" s="4">
        <v>6643.0</v>
      </c>
      <c r="B1122" s="2" t="s">
        <v>4729</v>
      </c>
      <c r="C1122" s="2" t="s">
        <v>4729</v>
      </c>
      <c r="D1122" s="2" t="s">
        <v>1621</v>
      </c>
      <c r="E1122" s="2" t="s">
        <v>4730</v>
      </c>
      <c r="F1122" s="2" t="b">
        <v>1</v>
      </c>
      <c r="G1122" s="2" t="b">
        <v>0</v>
      </c>
      <c r="H1122" s="2" t="s">
        <v>37</v>
      </c>
      <c r="I1122" s="2" t="s">
        <v>49</v>
      </c>
      <c r="J1122" s="2" t="s">
        <v>1621</v>
      </c>
      <c r="K1122" s="2" t="s">
        <v>495</v>
      </c>
      <c r="L1122" s="13" t="s">
        <v>496</v>
      </c>
      <c r="M1122" s="2" t="s">
        <v>26</v>
      </c>
      <c r="N1122" s="11" t="s">
        <v>576</v>
      </c>
      <c r="O1122" s="12" t="s">
        <v>53</v>
      </c>
      <c r="P1122" s="5" t="str">
        <f>IFERROR(__xludf.DUMMYFUNCTION("TEXTJOIN("" | "",TRUE,IF(OR(D1122="""",E1122="""",I1122="""",J1122="""",H1122=""""),""ফাঁকা ঘর"",""""),IF(AND(C1122&lt;&gt;"""",D1122&lt;&gt;"""",C1122=D1122),""gloss=figurative"",""""),IF(LEN(D1122)&lt;15,""figurative ছোট"",""""),IF(AND(I1122=""Positive"",REGEXMATCH(H1"&amp;"122,""মূর্খ|ভণ্ড|প্রতার|অলস|লোভ|স্বার্থ|অক্ষম|অযোগ্য|বোকা|কৃপণ|হিংস"")),""valence-target অমিল"",""""),IF(COUNTIF($B:$B,B1122)&gt;1,""ডুপ্লিকেট"",""""))"),"figurative ছোট")</f>
        <v>figurative ছোট</v>
      </c>
      <c r="Q1122" s="5" t="str">
        <f t="shared" si="1"/>
        <v>১ আগে দেখো</v>
      </c>
    </row>
    <row r="1123">
      <c r="A1123" s="4">
        <v>6644.0</v>
      </c>
      <c r="B1123" s="2" t="s">
        <v>4731</v>
      </c>
      <c r="C1123" s="2" t="s">
        <v>4731</v>
      </c>
      <c r="D1123" s="2" t="s">
        <v>4732</v>
      </c>
      <c r="E1123" s="2" t="s">
        <v>4733</v>
      </c>
      <c r="F1123" s="2" t="b">
        <v>1</v>
      </c>
      <c r="G1123" s="2" t="b">
        <v>0</v>
      </c>
      <c r="H1123" s="2" t="s">
        <v>37</v>
      </c>
      <c r="I1123" s="2" t="s">
        <v>32</v>
      </c>
      <c r="J1123" s="2" t="s">
        <v>708</v>
      </c>
      <c r="K1123" s="2" t="s">
        <v>495</v>
      </c>
      <c r="L1123" s="13" t="s">
        <v>496</v>
      </c>
      <c r="M1123" s="2" t="s">
        <v>26</v>
      </c>
      <c r="N1123" s="11" t="s">
        <v>576</v>
      </c>
      <c r="O1123" s="12" t="s">
        <v>53</v>
      </c>
      <c r="P1123" s="5" t="str">
        <f>IFERROR(__xludf.DUMMYFUNCTION("TEXTJOIN("" | "",TRUE,IF(OR(D1123="""",E1123="""",I1123="""",J1123="""",H1123=""""),""ফাঁকা ঘর"",""""),IF(AND(C1123&lt;&gt;"""",D1123&lt;&gt;"""",C1123=D1123),""gloss=figurative"",""""),IF(LEN(D1123)&lt;15,""figurative ছোট"",""""),IF(AND(I1123=""Positive"",REGEXMATCH(H1"&amp;"123,""মূর্খ|ভণ্ড|প্রতার|অলস|লোভ|স্বার্থ|অক্ষম|অযোগ্য|বোকা|কৃপণ|হিংস"")),""valence-target অমিল"",""""),IF(COUNTIF($B:$B,B1123)&gt;1,""ডুপ্লিকেট"",""""))"),"figurative ছোট")</f>
        <v>figurative ছোট</v>
      </c>
      <c r="Q1123" s="5" t="str">
        <f t="shared" si="1"/>
        <v>১ আগে দেখো</v>
      </c>
    </row>
    <row r="1124">
      <c r="A1124" s="4">
        <v>6645.0</v>
      </c>
      <c r="B1124" s="2" t="s">
        <v>4734</v>
      </c>
      <c r="C1124" s="2" t="s">
        <v>4734</v>
      </c>
      <c r="D1124" s="2" t="s">
        <v>4735</v>
      </c>
      <c r="E1124" s="2" t="s">
        <v>4736</v>
      </c>
      <c r="F1124" s="2" t="b">
        <v>1</v>
      </c>
      <c r="G1124" s="2" t="b">
        <v>0</v>
      </c>
      <c r="H1124" s="2" t="s">
        <v>37</v>
      </c>
      <c r="I1124" s="2" t="s">
        <v>49</v>
      </c>
      <c r="J1124" s="2" t="s">
        <v>3288</v>
      </c>
      <c r="K1124" s="2" t="s">
        <v>495</v>
      </c>
      <c r="L1124" s="13" t="s">
        <v>496</v>
      </c>
      <c r="M1124" s="2" t="s">
        <v>26</v>
      </c>
      <c r="N1124" s="11" t="s">
        <v>576</v>
      </c>
      <c r="O1124" s="12" t="s">
        <v>53</v>
      </c>
      <c r="P1124" s="5" t="str">
        <f>IFERROR(__xludf.DUMMYFUNCTION("TEXTJOIN("" | "",TRUE,IF(OR(D1124="""",E1124="""",I1124="""",J1124="""",H1124=""""),""ফাঁকা ঘর"",""""),IF(AND(C1124&lt;&gt;"""",D1124&lt;&gt;"""",C1124=D1124),""gloss=figurative"",""""),IF(LEN(D1124)&lt;15,""figurative ছোট"",""""),IF(AND(I1124=""Positive"",REGEXMATCH(H1"&amp;"124,""মূর্খ|ভণ্ড|প্রতার|অলস|লোভ|স্বার্থ|অক্ষম|অযোগ্য|বোকা|কৃপণ|হিংস"")),""valence-target অমিল"",""""),IF(COUNTIF($B:$B,B1124)&gt;1,""ডুপ্লিকেট"",""""))"),"figurative ছোট")</f>
        <v>figurative ছোট</v>
      </c>
      <c r="Q1124" s="5" t="str">
        <f t="shared" si="1"/>
        <v>১ আগে দেখো</v>
      </c>
    </row>
    <row r="1125">
      <c r="A1125" s="4">
        <v>6646.0</v>
      </c>
      <c r="B1125" s="2" t="s">
        <v>4737</v>
      </c>
      <c r="C1125" s="2" t="s">
        <v>4738</v>
      </c>
      <c r="D1125" s="2" t="s">
        <v>4739</v>
      </c>
      <c r="E1125" s="2" t="s">
        <v>4740</v>
      </c>
      <c r="F1125" s="2" t="b">
        <v>1</v>
      </c>
      <c r="G1125" s="2" t="b">
        <v>0</v>
      </c>
      <c r="H1125" s="2" t="s">
        <v>37</v>
      </c>
      <c r="I1125" s="2" t="s">
        <v>49</v>
      </c>
      <c r="J1125" s="2" t="s">
        <v>3288</v>
      </c>
      <c r="K1125" s="2" t="s">
        <v>495</v>
      </c>
      <c r="L1125" s="13" t="s">
        <v>496</v>
      </c>
      <c r="M1125" s="2" t="s">
        <v>26</v>
      </c>
      <c r="N1125" s="11" t="s">
        <v>576</v>
      </c>
      <c r="O1125" s="12" t="s">
        <v>53</v>
      </c>
      <c r="P1125" s="5" t="str">
        <f>IFERROR(__xludf.DUMMYFUNCTION("TEXTJOIN("" | "",TRUE,IF(OR(D1125="""",E1125="""",I1125="""",J1125="""",H1125=""""),""ফাঁকা ঘর"",""""),IF(AND(C1125&lt;&gt;"""",D1125&lt;&gt;"""",C1125=D1125),""gloss=figurative"",""""),IF(LEN(D1125)&lt;15,""figurative ছোট"",""""),IF(AND(I1125=""Positive"",REGEXMATCH(H1"&amp;"125,""মূর্খ|ভণ্ড|প্রতার|অলস|লোভ|স্বার্থ|অক্ষম|অযোগ্য|বোকা|কৃপণ|হিংস"")),""valence-target অমিল"",""""),IF(COUNTIF($B:$B,B1125)&gt;1,""ডুপ্লিকেট"",""""))"),"figurative ছোট")</f>
        <v>figurative ছোট</v>
      </c>
      <c r="Q1125" s="5" t="str">
        <f t="shared" si="1"/>
        <v>১ আগে দেখো</v>
      </c>
    </row>
    <row r="1126">
      <c r="A1126" s="4">
        <v>6649.0</v>
      </c>
      <c r="B1126" s="2" t="s">
        <v>4741</v>
      </c>
      <c r="C1126" s="2" t="s">
        <v>4742</v>
      </c>
      <c r="D1126" s="2" t="s">
        <v>4743</v>
      </c>
      <c r="E1126" s="2" t="s">
        <v>4744</v>
      </c>
      <c r="F1126" s="2" t="b">
        <v>1</v>
      </c>
      <c r="G1126" s="2" t="b">
        <v>0</v>
      </c>
      <c r="H1126" s="2" t="s">
        <v>37</v>
      </c>
      <c r="I1126" s="2" t="s">
        <v>49</v>
      </c>
      <c r="J1126" s="2" t="s">
        <v>4743</v>
      </c>
      <c r="K1126" s="2" t="s">
        <v>495</v>
      </c>
      <c r="L1126" s="13" t="s">
        <v>496</v>
      </c>
      <c r="M1126" s="2" t="s">
        <v>26</v>
      </c>
      <c r="N1126" s="11" t="s">
        <v>576</v>
      </c>
      <c r="O1126" s="12" t="s">
        <v>53</v>
      </c>
      <c r="P1126" s="5" t="str">
        <f>IFERROR(__xludf.DUMMYFUNCTION("TEXTJOIN("" | "",TRUE,IF(OR(D1126="""",E1126="""",I1126="""",J1126="""",H1126=""""),""ফাঁকা ঘর"",""""),IF(AND(C1126&lt;&gt;"""",D1126&lt;&gt;"""",C1126=D1126),""gloss=figurative"",""""),IF(LEN(D1126)&lt;15,""figurative ছোট"",""""),IF(AND(I1126=""Positive"",REGEXMATCH(H1"&amp;"126,""মূর্খ|ভণ্ড|প্রতার|অলস|লোভ|স্বার্থ|অক্ষম|অযোগ্য|বোকা|কৃপণ|হিংস"")),""valence-target অমিল"",""""),IF(COUNTIF($B:$B,B1126)&gt;1,""ডুপ্লিকেট"",""""))"),"figurative ছোট")</f>
        <v>figurative ছোট</v>
      </c>
      <c r="Q1126" s="5" t="str">
        <f t="shared" si="1"/>
        <v>১ আগে দেখো</v>
      </c>
    </row>
    <row r="1127">
      <c r="A1127" s="4">
        <v>6650.0</v>
      </c>
      <c r="B1127" s="2" t="s">
        <v>4745</v>
      </c>
      <c r="C1127" s="2" t="s">
        <v>4745</v>
      </c>
      <c r="D1127" s="2" t="s">
        <v>750</v>
      </c>
      <c r="E1127" s="2" t="s">
        <v>4746</v>
      </c>
      <c r="F1127" s="2" t="b">
        <v>1</v>
      </c>
      <c r="G1127" s="2" t="b">
        <v>0</v>
      </c>
      <c r="H1127" s="2" t="s">
        <v>749</v>
      </c>
      <c r="I1127" s="2" t="s">
        <v>22</v>
      </c>
      <c r="J1127" s="2" t="s">
        <v>750</v>
      </c>
      <c r="K1127" s="2" t="s">
        <v>495</v>
      </c>
      <c r="L1127" s="13" t="s">
        <v>496</v>
      </c>
      <c r="M1127" s="2" t="s">
        <v>26</v>
      </c>
      <c r="N1127" s="11" t="s">
        <v>4747</v>
      </c>
      <c r="O1127" s="12" t="s">
        <v>53</v>
      </c>
      <c r="P1127" s="5" t="str">
        <f>IFERROR(__xludf.DUMMYFUNCTION("TEXTJOIN("" | "",TRUE,IF(OR(D1127="""",E1127="""",I1127="""",J1127="""",H1127=""""),""ফাঁকা ঘর"",""""),IF(AND(C1127&lt;&gt;"""",D1127&lt;&gt;"""",C1127=D1127),""gloss=figurative"",""""),IF(LEN(D1127)&lt;15,""figurative ছোট"",""""),IF(AND(I1127=""Positive"",REGEXMATCH(H1"&amp;"127,""মূর্খ|ভণ্ড|প্রতার|অলস|লোভ|স্বার্থ|অক্ষম|অযোগ্য|বোকা|কৃপণ|হিংস"")),""valence-target অমিল"",""""),IF(COUNTIF($B:$B,B1127)&gt;1,""ডুপ্লিকেট"",""""))"),"figurative ছোট")</f>
        <v>figurative ছোট</v>
      </c>
      <c r="Q1127" s="5" t="str">
        <f t="shared" si="1"/>
        <v>১ আগে দেখো</v>
      </c>
    </row>
    <row r="1128">
      <c r="A1128" s="4">
        <v>6651.0</v>
      </c>
      <c r="B1128" s="2" t="s">
        <v>4748</v>
      </c>
      <c r="C1128" s="2" t="s">
        <v>4748</v>
      </c>
      <c r="D1128" s="2" t="s">
        <v>4749</v>
      </c>
      <c r="E1128" s="2" t="s">
        <v>4750</v>
      </c>
      <c r="F1128" s="2" t="b">
        <v>1</v>
      </c>
      <c r="G1128" s="2" t="b">
        <v>0</v>
      </c>
      <c r="H1128" s="2" t="s">
        <v>37</v>
      </c>
      <c r="I1128" s="2" t="s">
        <v>22</v>
      </c>
      <c r="J1128" s="2" t="s">
        <v>836</v>
      </c>
      <c r="K1128" s="2" t="s">
        <v>495</v>
      </c>
      <c r="L1128" s="13" t="s">
        <v>496</v>
      </c>
      <c r="M1128" s="2" t="s">
        <v>26</v>
      </c>
      <c r="N1128" s="11" t="s">
        <v>576</v>
      </c>
      <c r="O1128" s="12" t="s">
        <v>53</v>
      </c>
      <c r="P1128" s="5" t="str">
        <f>IFERROR(__xludf.DUMMYFUNCTION("TEXTJOIN("" | "",TRUE,IF(OR(D1128="""",E1128="""",I1128="""",J1128="""",H1128=""""),""ফাঁকা ঘর"",""""),IF(AND(C1128&lt;&gt;"""",D1128&lt;&gt;"""",C1128=D1128),""gloss=figurative"",""""),IF(LEN(D1128)&lt;15,""figurative ছোট"",""""),IF(AND(I1128=""Positive"",REGEXMATCH(H1"&amp;"128,""মূর্খ|ভণ্ড|প্রতার|অলস|লোভ|স্বার্থ|অক্ষম|অযোগ্য|বোকা|কৃপণ|হিংস"")),""valence-target অমিল"",""""),IF(COUNTIF($B:$B,B1128)&gt;1,""ডুপ্লিকেট"",""""))"),"figurative ছোট")</f>
        <v>figurative ছোট</v>
      </c>
      <c r="Q1128" s="5" t="str">
        <f t="shared" si="1"/>
        <v>১ আগে দেখো</v>
      </c>
    </row>
    <row r="1129">
      <c r="A1129" s="4">
        <v>6652.0</v>
      </c>
      <c r="B1129" s="2" t="s">
        <v>4751</v>
      </c>
      <c r="C1129" s="2" t="s">
        <v>4751</v>
      </c>
      <c r="D1129" s="2" t="s">
        <v>863</v>
      </c>
      <c r="E1129" s="2" t="s">
        <v>4752</v>
      </c>
      <c r="F1129" s="2" t="b">
        <v>1</v>
      </c>
      <c r="G1129" s="2" t="b">
        <v>0</v>
      </c>
      <c r="H1129" s="2" t="s">
        <v>37</v>
      </c>
      <c r="I1129" s="2" t="s">
        <v>32</v>
      </c>
      <c r="J1129" s="2" t="s">
        <v>863</v>
      </c>
      <c r="K1129" s="2" t="s">
        <v>495</v>
      </c>
      <c r="L1129" s="13" t="s">
        <v>496</v>
      </c>
      <c r="M1129" s="2" t="s">
        <v>26</v>
      </c>
      <c r="N1129" s="11" t="s">
        <v>576</v>
      </c>
      <c r="O1129" s="12" t="s">
        <v>53</v>
      </c>
      <c r="P1129" s="5" t="str">
        <f>IFERROR(__xludf.DUMMYFUNCTION("TEXTJOIN("" | "",TRUE,IF(OR(D1129="""",E1129="""",I1129="""",J1129="""",H1129=""""),""ফাঁকা ঘর"",""""),IF(AND(C1129&lt;&gt;"""",D1129&lt;&gt;"""",C1129=D1129),""gloss=figurative"",""""),IF(LEN(D1129)&lt;15,""figurative ছোট"",""""),IF(AND(I1129=""Positive"",REGEXMATCH(H1"&amp;"129,""মূর্খ|ভণ্ড|প্রতার|অলস|লোভ|স্বার্থ|অক্ষম|অযোগ্য|বোকা|কৃপণ|হিংস"")),""valence-target অমিল"",""""),IF(COUNTIF($B:$B,B1129)&gt;1,""ডুপ্লিকেট"",""""))"),"figurative ছোট")</f>
        <v>figurative ছোট</v>
      </c>
      <c r="Q1129" s="5" t="str">
        <f t="shared" si="1"/>
        <v>১ আগে দেখো</v>
      </c>
    </row>
    <row r="1130">
      <c r="A1130" s="4">
        <v>6653.0</v>
      </c>
      <c r="B1130" s="2" t="s">
        <v>4753</v>
      </c>
      <c r="C1130" s="2" t="s">
        <v>4754</v>
      </c>
      <c r="D1130" s="2" t="s">
        <v>3704</v>
      </c>
      <c r="E1130" s="2" t="s">
        <v>4755</v>
      </c>
      <c r="F1130" s="2" t="b">
        <v>1</v>
      </c>
      <c r="G1130" s="2" t="b">
        <v>0</v>
      </c>
      <c r="H1130" s="2" t="s">
        <v>37</v>
      </c>
      <c r="I1130" s="2" t="s">
        <v>22</v>
      </c>
      <c r="J1130" s="2" t="s">
        <v>820</v>
      </c>
      <c r="K1130" s="2" t="s">
        <v>495</v>
      </c>
      <c r="L1130" s="13" t="s">
        <v>496</v>
      </c>
      <c r="M1130" s="2" t="s">
        <v>26</v>
      </c>
      <c r="N1130" s="11" t="s">
        <v>576</v>
      </c>
      <c r="O1130" s="12" t="s">
        <v>53</v>
      </c>
      <c r="P1130" s="5" t="str">
        <f>IFERROR(__xludf.DUMMYFUNCTION("TEXTJOIN("" | "",TRUE,IF(OR(D1130="""",E1130="""",I1130="""",J1130="""",H1130=""""),""ফাঁকা ঘর"",""""),IF(AND(C1130&lt;&gt;"""",D1130&lt;&gt;"""",C1130=D1130),""gloss=figurative"",""""),IF(LEN(D1130)&lt;15,""figurative ছোট"",""""),IF(AND(I1130=""Positive"",REGEXMATCH(H1"&amp;"130,""মূর্খ|ভণ্ড|প্রতার|অলস|লোভ|স্বার্থ|অক্ষম|অযোগ্য|বোকা|কৃপণ|হিংস"")),""valence-target অমিল"",""""),IF(COUNTIF($B:$B,B1130)&gt;1,""ডুপ্লিকেট"",""""))"),"figurative ছোট")</f>
        <v>figurative ছোট</v>
      </c>
      <c r="Q1130" s="5" t="str">
        <f t="shared" si="1"/>
        <v>১ আগে দেখো</v>
      </c>
    </row>
    <row r="1131">
      <c r="A1131" s="4">
        <v>6655.0</v>
      </c>
      <c r="B1131" s="2" t="s">
        <v>4756</v>
      </c>
      <c r="C1131" s="2" t="s">
        <v>4757</v>
      </c>
      <c r="D1131" s="2" t="s">
        <v>4758</v>
      </c>
      <c r="E1131" s="2" t="s">
        <v>4759</v>
      </c>
      <c r="F1131" s="2" t="b">
        <v>1</v>
      </c>
      <c r="G1131" s="2" t="b">
        <v>0</v>
      </c>
      <c r="H1131" s="2" t="s">
        <v>37</v>
      </c>
      <c r="I1131" s="2" t="s">
        <v>49</v>
      </c>
      <c r="J1131" s="2" t="s">
        <v>646</v>
      </c>
      <c r="K1131" s="2" t="s">
        <v>495</v>
      </c>
      <c r="L1131" s="13" t="s">
        <v>496</v>
      </c>
      <c r="M1131" s="2" t="s">
        <v>26</v>
      </c>
      <c r="N1131" s="11" t="s">
        <v>576</v>
      </c>
      <c r="O1131" s="12" t="s">
        <v>53</v>
      </c>
      <c r="P1131" s="5" t="str">
        <f>IFERROR(__xludf.DUMMYFUNCTION("TEXTJOIN("" | "",TRUE,IF(OR(D1131="""",E1131="""",I1131="""",J1131="""",H1131=""""),""ফাঁকা ঘর"",""""),IF(AND(C1131&lt;&gt;"""",D1131&lt;&gt;"""",C1131=D1131),""gloss=figurative"",""""),IF(LEN(D1131)&lt;15,""figurative ছোট"",""""),IF(AND(I1131=""Positive"",REGEXMATCH(H1"&amp;"131,""মূর্খ|ভণ্ড|প্রতার|অলস|লোভ|স্বার্থ|অক্ষম|অযোগ্য|বোকা|কৃপণ|হিংস"")),""valence-target অমিল"",""""),IF(COUNTIF($B:$B,B1131)&gt;1,""ডুপ্লিকেট"",""""))"),"figurative ছোট")</f>
        <v>figurative ছোট</v>
      </c>
      <c r="Q1131" s="5" t="str">
        <f t="shared" si="1"/>
        <v>১ আগে দেখো</v>
      </c>
    </row>
    <row r="1132">
      <c r="A1132" s="4">
        <v>6657.0</v>
      </c>
      <c r="B1132" s="2" t="s">
        <v>4760</v>
      </c>
      <c r="C1132" s="2" t="s">
        <v>4761</v>
      </c>
      <c r="D1132" s="2" t="s">
        <v>3156</v>
      </c>
      <c r="E1132" s="2" t="s">
        <v>4762</v>
      </c>
      <c r="F1132" s="2" t="b">
        <v>1</v>
      </c>
      <c r="G1132" s="2" t="b">
        <v>0</v>
      </c>
      <c r="H1132" s="2" t="s">
        <v>37</v>
      </c>
      <c r="I1132" s="2" t="s">
        <v>32</v>
      </c>
      <c r="J1132" s="2" t="s">
        <v>3156</v>
      </c>
      <c r="K1132" s="2" t="s">
        <v>495</v>
      </c>
      <c r="L1132" s="13" t="s">
        <v>496</v>
      </c>
      <c r="M1132" s="2" t="s">
        <v>26</v>
      </c>
      <c r="N1132" s="11" t="s">
        <v>576</v>
      </c>
      <c r="O1132" s="12" t="s">
        <v>53</v>
      </c>
      <c r="P1132" s="5" t="str">
        <f>IFERROR(__xludf.DUMMYFUNCTION("TEXTJOIN("" | "",TRUE,IF(OR(D1132="""",E1132="""",I1132="""",J1132="""",H1132=""""),""ফাঁকা ঘর"",""""),IF(AND(C1132&lt;&gt;"""",D1132&lt;&gt;"""",C1132=D1132),""gloss=figurative"",""""),IF(LEN(D1132)&lt;15,""figurative ছোট"",""""),IF(AND(I1132=""Positive"",REGEXMATCH(H1"&amp;"132,""মূর্খ|ভণ্ড|প্রতার|অলস|লোভ|স্বার্থ|অক্ষম|অযোগ্য|বোকা|কৃপণ|হিংস"")),""valence-target অমিল"",""""),IF(COUNTIF($B:$B,B1132)&gt;1,""ডুপ্লিকেট"",""""))"),"figurative ছোট")</f>
        <v>figurative ছোট</v>
      </c>
      <c r="Q1132" s="5" t="str">
        <f t="shared" si="1"/>
        <v>১ আগে দেখো</v>
      </c>
    </row>
    <row r="1133">
      <c r="A1133" s="4">
        <v>6658.0</v>
      </c>
      <c r="B1133" s="2" t="s">
        <v>4763</v>
      </c>
      <c r="C1133" s="2" t="s">
        <v>4764</v>
      </c>
      <c r="D1133" s="2" t="s">
        <v>4765</v>
      </c>
      <c r="E1133" s="2" t="s">
        <v>4766</v>
      </c>
      <c r="F1133" s="2" t="b">
        <v>1</v>
      </c>
      <c r="G1133" s="2" t="b">
        <v>0</v>
      </c>
      <c r="H1133" s="2" t="s">
        <v>37</v>
      </c>
      <c r="I1133" s="2" t="s">
        <v>49</v>
      </c>
      <c r="J1133" s="2" t="s">
        <v>176</v>
      </c>
      <c r="K1133" s="2" t="s">
        <v>495</v>
      </c>
      <c r="L1133" s="13" t="s">
        <v>496</v>
      </c>
      <c r="M1133" s="2" t="s">
        <v>26</v>
      </c>
      <c r="N1133" s="11" t="s">
        <v>576</v>
      </c>
      <c r="O1133" s="12" t="s">
        <v>53</v>
      </c>
      <c r="P1133" s="5" t="str">
        <f>IFERROR(__xludf.DUMMYFUNCTION("TEXTJOIN("" | "",TRUE,IF(OR(D1133="""",E1133="""",I1133="""",J1133="""",H1133=""""),""ফাঁকা ঘর"",""""),IF(AND(C1133&lt;&gt;"""",D1133&lt;&gt;"""",C1133=D1133),""gloss=figurative"",""""),IF(LEN(D1133)&lt;15,""figurative ছোট"",""""),IF(AND(I1133=""Positive"",REGEXMATCH(H1"&amp;"133,""মূর্খ|ভণ্ড|প্রতার|অলস|লোভ|স্বার্থ|অক্ষম|অযোগ্য|বোকা|কৃপণ|হিংস"")),""valence-target অমিল"",""""),IF(COUNTIF($B:$B,B1133)&gt;1,""ডুপ্লিকেট"",""""))"),"figurative ছোট")</f>
        <v>figurative ছোট</v>
      </c>
      <c r="Q1133" s="5" t="str">
        <f t="shared" si="1"/>
        <v>১ আগে দেখো</v>
      </c>
    </row>
    <row r="1134">
      <c r="A1134" s="4">
        <v>6659.0</v>
      </c>
      <c r="B1134" s="2" t="s">
        <v>4767</v>
      </c>
      <c r="C1134" s="2" t="s">
        <v>4768</v>
      </c>
      <c r="D1134" s="2" t="s">
        <v>4769</v>
      </c>
      <c r="E1134" s="2" t="s">
        <v>4770</v>
      </c>
      <c r="F1134" s="2" t="b">
        <v>1</v>
      </c>
      <c r="G1134" s="2" t="b">
        <v>0</v>
      </c>
      <c r="H1134" s="2" t="s">
        <v>37</v>
      </c>
      <c r="I1134" s="2" t="s">
        <v>32</v>
      </c>
      <c r="J1134" s="2" t="s">
        <v>1244</v>
      </c>
      <c r="K1134" s="2" t="s">
        <v>495</v>
      </c>
      <c r="L1134" s="13" t="s">
        <v>496</v>
      </c>
      <c r="M1134" s="2" t="s">
        <v>26</v>
      </c>
      <c r="N1134" s="11" t="s">
        <v>576</v>
      </c>
      <c r="O1134" s="12" t="s">
        <v>53</v>
      </c>
      <c r="P1134" s="5" t="str">
        <f>IFERROR(__xludf.DUMMYFUNCTION("TEXTJOIN("" | "",TRUE,IF(OR(D1134="""",E1134="""",I1134="""",J1134="""",H1134=""""),""ফাঁকা ঘর"",""""),IF(AND(C1134&lt;&gt;"""",D1134&lt;&gt;"""",C1134=D1134),""gloss=figurative"",""""),IF(LEN(D1134)&lt;15,""figurative ছোট"",""""),IF(AND(I1134=""Positive"",REGEXMATCH(H1"&amp;"134,""মূর্খ|ভণ্ড|প্রতার|অলস|লোভ|স্বার্থ|অক্ষম|অযোগ্য|বোকা|কৃপণ|হিংস"")),""valence-target অমিল"",""""),IF(COUNTIF($B:$B,B1134)&gt;1,""ডুপ্লিকেট"",""""))"),"figurative ছোট")</f>
        <v>figurative ছোট</v>
      </c>
      <c r="Q1134" s="5" t="str">
        <f t="shared" si="1"/>
        <v>১ আগে দেখো</v>
      </c>
    </row>
    <row r="1135">
      <c r="A1135" s="4">
        <v>6660.0</v>
      </c>
      <c r="B1135" s="2" t="s">
        <v>4771</v>
      </c>
      <c r="C1135" s="2" t="s">
        <v>4772</v>
      </c>
      <c r="D1135" s="2" t="s">
        <v>4773</v>
      </c>
      <c r="E1135" s="2" t="s">
        <v>4774</v>
      </c>
      <c r="F1135" s="2" t="b">
        <v>1</v>
      </c>
      <c r="G1135" s="2" t="b">
        <v>0</v>
      </c>
      <c r="H1135" s="2" t="s">
        <v>37</v>
      </c>
      <c r="I1135" s="2" t="s">
        <v>49</v>
      </c>
      <c r="J1135" s="2" t="s">
        <v>1060</v>
      </c>
      <c r="K1135" s="2" t="s">
        <v>495</v>
      </c>
      <c r="L1135" s="13" t="s">
        <v>496</v>
      </c>
      <c r="M1135" s="2" t="s">
        <v>26</v>
      </c>
      <c r="N1135" s="11" t="s">
        <v>576</v>
      </c>
      <c r="O1135" s="12" t="s">
        <v>53</v>
      </c>
      <c r="P1135" s="5" t="str">
        <f>IFERROR(__xludf.DUMMYFUNCTION("TEXTJOIN("" | "",TRUE,IF(OR(D1135="""",E1135="""",I1135="""",J1135="""",H1135=""""),""ফাঁকা ঘর"",""""),IF(AND(C1135&lt;&gt;"""",D1135&lt;&gt;"""",C1135=D1135),""gloss=figurative"",""""),IF(LEN(D1135)&lt;15,""figurative ছোট"",""""),IF(AND(I1135=""Positive"",REGEXMATCH(H1"&amp;"135,""মূর্খ|ভণ্ড|প্রতার|অলস|লোভ|স্বার্থ|অক্ষম|অযোগ্য|বোকা|কৃপণ|হিংস"")),""valence-target অমিল"",""""),IF(COUNTIF($B:$B,B1135)&gt;1,""ডুপ্লিকেট"",""""))"),"figurative ছোট")</f>
        <v>figurative ছোট</v>
      </c>
      <c r="Q1135" s="5" t="str">
        <f t="shared" si="1"/>
        <v>১ আগে দেখো</v>
      </c>
    </row>
    <row r="1136">
      <c r="A1136" s="4">
        <v>6661.0</v>
      </c>
      <c r="B1136" s="2" t="s">
        <v>4775</v>
      </c>
      <c r="C1136" s="2" t="s">
        <v>4775</v>
      </c>
      <c r="D1136" s="2" t="s">
        <v>4743</v>
      </c>
      <c r="E1136" s="2" t="s">
        <v>4776</v>
      </c>
      <c r="F1136" s="2" t="b">
        <v>1</v>
      </c>
      <c r="G1136" s="2" t="b">
        <v>0</v>
      </c>
      <c r="H1136" s="2" t="s">
        <v>37</v>
      </c>
      <c r="I1136" s="2" t="s">
        <v>49</v>
      </c>
      <c r="J1136" s="2" t="s">
        <v>4743</v>
      </c>
      <c r="K1136" s="2" t="s">
        <v>495</v>
      </c>
      <c r="L1136" s="13" t="s">
        <v>496</v>
      </c>
      <c r="M1136" s="2" t="s">
        <v>26</v>
      </c>
      <c r="N1136" s="11" t="s">
        <v>576</v>
      </c>
      <c r="O1136" s="12" t="s">
        <v>53</v>
      </c>
      <c r="P1136" s="5" t="str">
        <f>IFERROR(__xludf.DUMMYFUNCTION("TEXTJOIN("" | "",TRUE,IF(OR(D1136="""",E1136="""",I1136="""",J1136="""",H1136=""""),""ফাঁকা ঘর"",""""),IF(AND(C1136&lt;&gt;"""",D1136&lt;&gt;"""",C1136=D1136),""gloss=figurative"",""""),IF(LEN(D1136)&lt;15,""figurative ছোট"",""""),IF(AND(I1136=""Positive"",REGEXMATCH(H1"&amp;"136,""মূর্খ|ভণ্ড|প্রতার|অলস|লোভ|স্বার্থ|অক্ষম|অযোগ্য|বোকা|কৃপণ|হিংস"")),""valence-target অমিল"",""""),IF(COUNTIF($B:$B,B1136)&gt;1,""ডুপ্লিকেট"",""""))"),"figurative ছোট")</f>
        <v>figurative ছোট</v>
      </c>
      <c r="Q1136" s="5" t="str">
        <f t="shared" si="1"/>
        <v>১ আগে দেখো</v>
      </c>
    </row>
    <row r="1137">
      <c r="A1137" s="4">
        <v>6662.0</v>
      </c>
      <c r="B1137" s="2" t="s">
        <v>4777</v>
      </c>
      <c r="C1137" s="2" t="s">
        <v>4778</v>
      </c>
      <c r="D1137" s="2" t="s">
        <v>4779</v>
      </c>
      <c r="E1137" s="2" t="s">
        <v>4780</v>
      </c>
      <c r="F1137" s="2" t="b">
        <v>1</v>
      </c>
      <c r="G1137" s="2" t="b">
        <v>0</v>
      </c>
      <c r="H1137" s="2" t="s">
        <v>37</v>
      </c>
      <c r="I1137" s="2" t="s">
        <v>32</v>
      </c>
      <c r="J1137" s="2" t="s">
        <v>708</v>
      </c>
      <c r="K1137" s="2" t="s">
        <v>495</v>
      </c>
      <c r="L1137" s="13" t="s">
        <v>496</v>
      </c>
      <c r="M1137" s="2" t="s">
        <v>26</v>
      </c>
      <c r="N1137" s="11" t="s">
        <v>576</v>
      </c>
      <c r="O1137" s="12" t="s">
        <v>53</v>
      </c>
      <c r="P1137" s="5" t="str">
        <f>IFERROR(__xludf.DUMMYFUNCTION("TEXTJOIN("" | "",TRUE,IF(OR(D1137="""",E1137="""",I1137="""",J1137="""",H1137=""""),""ফাঁকা ঘর"",""""),IF(AND(C1137&lt;&gt;"""",D1137&lt;&gt;"""",C1137=D1137),""gloss=figurative"",""""),IF(LEN(D1137)&lt;15,""figurative ছোট"",""""),IF(AND(I1137=""Positive"",REGEXMATCH(H1"&amp;"137,""মূর্খ|ভণ্ড|প্রতার|অলস|লোভ|স্বার্থ|অক্ষম|অযোগ্য|বোকা|কৃপণ|হিংস"")),""valence-target অমিল"",""""),IF(COUNTIF($B:$B,B1137)&gt;1,""ডুপ্লিকেট"",""""))"),"figurative ছোট")</f>
        <v>figurative ছোট</v>
      </c>
      <c r="Q1137" s="5" t="str">
        <f t="shared" si="1"/>
        <v>১ আগে দেখো</v>
      </c>
    </row>
    <row r="1138">
      <c r="A1138" s="4">
        <v>6663.0</v>
      </c>
      <c r="B1138" s="2" t="s">
        <v>4781</v>
      </c>
      <c r="C1138" s="2" t="s">
        <v>4782</v>
      </c>
      <c r="D1138" s="2" t="s">
        <v>4783</v>
      </c>
      <c r="E1138" s="2" t="s">
        <v>4784</v>
      </c>
      <c r="F1138" s="2" t="b">
        <v>1</v>
      </c>
      <c r="G1138" s="2" t="b">
        <v>0</v>
      </c>
      <c r="H1138" s="2" t="s">
        <v>37</v>
      </c>
      <c r="I1138" s="2" t="s">
        <v>49</v>
      </c>
      <c r="J1138" s="2" t="s">
        <v>4743</v>
      </c>
      <c r="K1138" s="2" t="s">
        <v>495</v>
      </c>
      <c r="L1138" s="13" t="s">
        <v>496</v>
      </c>
      <c r="M1138" s="2" t="s">
        <v>26</v>
      </c>
      <c r="N1138" s="11" t="s">
        <v>576</v>
      </c>
      <c r="O1138" s="12" t="s">
        <v>53</v>
      </c>
      <c r="P1138" s="5" t="str">
        <f>IFERROR(__xludf.DUMMYFUNCTION("TEXTJOIN("" | "",TRUE,IF(OR(D1138="""",E1138="""",I1138="""",J1138="""",H1138=""""),""ফাঁকা ঘর"",""""),IF(AND(C1138&lt;&gt;"""",D1138&lt;&gt;"""",C1138=D1138),""gloss=figurative"",""""),IF(LEN(D1138)&lt;15,""figurative ছোট"",""""),IF(AND(I1138=""Positive"",REGEXMATCH(H1"&amp;"138,""মূর্খ|ভণ্ড|প্রতার|অলস|লোভ|স্বার্থ|অক্ষম|অযোগ্য|বোকা|কৃপণ|হিংস"")),""valence-target অমিল"",""""),IF(COUNTIF($B:$B,B1138)&gt;1,""ডুপ্লিকেট"",""""))"),"figurative ছোট")</f>
        <v>figurative ছোট</v>
      </c>
      <c r="Q1138" s="5" t="str">
        <f t="shared" si="1"/>
        <v>১ আগে দেখো</v>
      </c>
    </row>
    <row r="1139">
      <c r="A1139" s="4">
        <v>6664.0</v>
      </c>
      <c r="B1139" s="2" t="s">
        <v>4785</v>
      </c>
      <c r="C1139" s="2" t="s">
        <v>4786</v>
      </c>
      <c r="D1139" s="2" t="s">
        <v>4787</v>
      </c>
      <c r="E1139" s="2" t="s">
        <v>4788</v>
      </c>
      <c r="F1139" s="2" t="b">
        <v>1</v>
      </c>
      <c r="G1139" s="2" t="b">
        <v>0</v>
      </c>
      <c r="H1139" s="2" t="s">
        <v>37</v>
      </c>
      <c r="I1139" s="2" t="s">
        <v>22</v>
      </c>
      <c r="J1139" s="2" t="s">
        <v>1013</v>
      </c>
      <c r="K1139" s="2" t="s">
        <v>495</v>
      </c>
      <c r="L1139" s="13" t="s">
        <v>496</v>
      </c>
      <c r="M1139" s="2" t="s">
        <v>26</v>
      </c>
      <c r="N1139" s="11" t="s">
        <v>4789</v>
      </c>
      <c r="O1139" s="12" t="s">
        <v>53</v>
      </c>
      <c r="P1139" s="5" t="str">
        <f>IFERROR(__xludf.DUMMYFUNCTION("TEXTJOIN("" | "",TRUE,IF(OR(D1139="""",E1139="""",I1139="""",J1139="""",H1139=""""),""ফাঁকা ঘর"",""""),IF(AND(C1139&lt;&gt;"""",D1139&lt;&gt;"""",C1139=D1139),""gloss=figurative"",""""),IF(LEN(D1139)&lt;15,""figurative ছোট"",""""),IF(AND(I1139=""Positive"",REGEXMATCH(H1"&amp;"139,""মূর্খ|ভণ্ড|প্রতার|অলস|লোভ|স্বার্থ|অক্ষম|অযোগ্য|বোকা|কৃপণ|হিংস"")),""valence-target অমিল"",""""),IF(COUNTIF($B:$B,B1139)&gt;1,""ডুপ্লিকেট"",""""))"),"figurative ছোট")</f>
        <v>figurative ছোট</v>
      </c>
      <c r="Q1139" s="5" t="str">
        <f t="shared" si="1"/>
        <v>১ আগে দেখো</v>
      </c>
    </row>
    <row r="1140">
      <c r="A1140" s="4">
        <v>6665.0</v>
      </c>
      <c r="B1140" s="2" t="s">
        <v>4790</v>
      </c>
      <c r="C1140" s="2" t="s">
        <v>4791</v>
      </c>
      <c r="D1140" s="2" t="s">
        <v>4792</v>
      </c>
      <c r="E1140" s="2" t="s">
        <v>4793</v>
      </c>
      <c r="F1140" s="2" t="b">
        <v>1</v>
      </c>
      <c r="G1140" s="2" t="b">
        <v>0</v>
      </c>
      <c r="H1140" s="2" t="s">
        <v>37</v>
      </c>
      <c r="I1140" s="2" t="s">
        <v>22</v>
      </c>
      <c r="J1140" s="2" t="s">
        <v>1117</v>
      </c>
      <c r="K1140" s="2" t="s">
        <v>495</v>
      </c>
      <c r="L1140" s="13" t="s">
        <v>496</v>
      </c>
      <c r="M1140" s="2" t="s">
        <v>26</v>
      </c>
      <c r="N1140" s="11" t="s">
        <v>4794</v>
      </c>
      <c r="O1140" s="12" t="s">
        <v>53</v>
      </c>
      <c r="P1140" s="5" t="str">
        <f>IFERROR(__xludf.DUMMYFUNCTION("TEXTJOIN("" | "",TRUE,IF(OR(D1140="""",E1140="""",I1140="""",J1140="""",H1140=""""),""ফাঁকা ঘর"",""""),IF(AND(C1140&lt;&gt;"""",D1140&lt;&gt;"""",C1140=D1140),""gloss=figurative"",""""),IF(LEN(D1140)&lt;15,""figurative ছোট"",""""),IF(AND(I1140=""Positive"",REGEXMATCH(H1"&amp;"140,""মূর্খ|ভণ্ড|প্রতার|অলস|লোভ|স্বার্থ|অক্ষম|অযোগ্য|বোকা|কৃপণ|হিংস"")),""valence-target অমিল"",""""),IF(COUNTIF($B:$B,B1140)&gt;1,""ডুপ্লিকেট"",""""))"),"figurative ছোট")</f>
        <v>figurative ছোট</v>
      </c>
      <c r="Q1140" s="5" t="str">
        <f t="shared" si="1"/>
        <v>১ আগে দেখো</v>
      </c>
    </row>
    <row r="1141">
      <c r="A1141" s="4">
        <v>6667.0</v>
      </c>
      <c r="B1141" s="2" t="s">
        <v>4795</v>
      </c>
      <c r="C1141" s="2" t="s">
        <v>4796</v>
      </c>
      <c r="D1141" s="2" t="s">
        <v>4797</v>
      </c>
      <c r="E1141" s="2" t="s">
        <v>4798</v>
      </c>
      <c r="F1141" s="2" t="b">
        <v>1</v>
      </c>
      <c r="G1141" s="2" t="b">
        <v>0</v>
      </c>
      <c r="H1141" s="2" t="s">
        <v>37</v>
      </c>
      <c r="I1141" s="2" t="s">
        <v>49</v>
      </c>
      <c r="J1141" s="2" t="s">
        <v>729</v>
      </c>
      <c r="K1141" s="2" t="s">
        <v>495</v>
      </c>
      <c r="L1141" s="13" t="s">
        <v>496</v>
      </c>
      <c r="M1141" s="2" t="s">
        <v>26</v>
      </c>
      <c r="N1141" s="11" t="s">
        <v>4799</v>
      </c>
      <c r="O1141" s="12" t="s">
        <v>53</v>
      </c>
      <c r="P1141" s="5" t="str">
        <f>IFERROR(__xludf.DUMMYFUNCTION("TEXTJOIN("" | "",TRUE,IF(OR(D1141="""",E1141="""",I1141="""",J1141="""",H1141=""""),""ফাঁকা ঘর"",""""),IF(AND(C1141&lt;&gt;"""",D1141&lt;&gt;"""",C1141=D1141),""gloss=figurative"",""""),IF(LEN(D1141)&lt;15,""figurative ছোট"",""""),IF(AND(I1141=""Positive"",REGEXMATCH(H1"&amp;"141,""মূর্খ|ভণ্ড|প্রতার|অলস|লোভ|স্বার্থ|অক্ষম|অযোগ্য|বোকা|কৃপণ|হিংস"")),""valence-target অমিল"",""""),IF(COUNTIF($B:$B,B1141)&gt;1,""ডুপ্লিকেট"",""""))"),"figurative ছোট")</f>
        <v>figurative ছোট</v>
      </c>
      <c r="Q1141" s="5" t="str">
        <f t="shared" si="1"/>
        <v>১ আগে দেখো</v>
      </c>
    </row>
    <row r="1142">
      <c r="A1142" s="4">
        <v>6668.0</v>
      </c>
      <c r="B1142" s="2" t="s">
        <v>4800</v>
      </c>
      <c r="C1142" s="2" t="s">
        <v>4801</v>
      </c>
      <c r="D1142" s="2" t="s">
        <v>4802</v>
      </c>
      <c r="E1142" s="2" t="s">
        <v>4803</v>
      </c>
      <c r="F1142" s="2" t="b">
        <v>1</v>
      </c>
      <c r="G1142" s="2" t="b">
        <v>0</v>
      </c>
      <c r="H1142" s="2" t="s">
        <v>37</v>
      </c>
      <c r="I1142" s="2" t="s">
        <v>32</v>
      </c>
      <c r="J1142" s="2" t="s">
        <v>4804</v>
      </c>
      <c r="K1142" s="2" t="s">
        <v>495</v>
      </c>
      <c r="L1142" s="13" t="s">
        <v>496</v>
      </c>
      <c r="M1142" s="2" t="s">
        <v>26</v>
      </c>
      <c r="N1142" s="11" t="s">
        <v>576</v>
      </c>
      <c r="O1142" s="12" t="s">
        <v>53</v>
      </c>
      <c r="P1142" s="5" t="str">
        <f>IFERROR(__xludf.DUMMYFUNCTION("TEXTJOIN("" | "",TRUE,IF(OR(D1142="""",E1142="""",I1142="""",J1142="""",H1142=""""),""ফাঁকা ঘর"",""""),IF(AND(C1142&lt;&gt;"""",D1142&lt;&gt;"""",C1142=D1142),""gloss=figurative"",""""),IF(LEN(D1142)&lt;15,""figurative ছোট"",""""),IF(AND(I1142=""Positive"",REGEXMATCH(H1"&amp;"142,""মূর্খ|ভণ্ড|প্রতার|অলস|লোভ|স্বার্থ|অক্ষম|অযোগ্য|বোকা|কৃপণ|হিংস"")),""valence-target অমিল"",""""),IF(COUNTIF($B:$B,B1142)&gt;1,""ডুপ্লিকেট"",""""))"),"figurative ছোট")</f>
        <v>figurative ছোট</v>
      </c>
      <c r="Q1142" s="5" t="str">
        <f t="shared" si="1"/>
        <v>১ আগে দেখো</v>
      </c>
    </row>
    <row r="1143">
      <c r="A1143" s="4">
        <v>6669.0</v>
      </c>
      <c r="B1143" s="2" t="s">
        <v>4805</v>
      </c>
      <c r="C1143" s="2" t="s">
        <v>4806</v>
      </c>
      <c r="D1143" s="2" t="s">
        <v>4802</v>
      </c>
      <c r="E1143" s="2" t="s">
        <v>4807</v>
      </c>
      <c r="F1143" s="2" t="b">
        <v>1</v>
      </c>
      <c r="G1143" s="2" t="b">
        <v>0</v>
      </c>
      <c r="H1143" s="2" t="s">
        <v>37</v>
      </c>
      <c r="I1143" s="2" t="s">
        <v>32</v>
      </c>
      <c r="J1143" s="2" t="s">
        <v>1518</v>
      </c>
      <c r="K1143" s="2" t="s">
        <v>495</v>
      </c>
      <c r="L1143" s="13" t="s">
        <v>496</v>
      </c>
      <c r="M1143" s="2" t="s">
        <v>26</v>
      </c>
      <c r="N1143" s="11" t="s">
        <v>576</v>
      </c>
      <c r="O1143" s="12" t="s">
        <v>53</v>
      </c>
      <c r="P1143" s="5" t="str">
        <f>IFERROR(__xludf.DUMMYFUNCTION("TEXTJOIN("" | "",TRUE,IF(OR(D1143="""",E1143="""",I1143="""",J1143="""",H1143=""""),""ফাঁকা ঘর"",""""),IF(AND(C1143&lt;&gt;"""",D1143&lt;&gt;"""",C1143=D1143),""gloss=figurative"",""""),IF(LEN(D1143)&lt;15,""figurative ছোট"",""""),IF(AND(I1143=""Positive"",REGEXMATCH(H1"&amp;"143,""মূর্খ|ভণ্ড|প্রতার|অলস|লোভ|স্বার্থ|অক্ষম|অযোগ্য|বোকা|কৃপণ|হিংস"")),""valence-target অমিল"",""""),IF(COUNTIF($B:$B,B1143)&gt;1,""ডুপ্লিকেট"",""""))"),"figurative ছোট")</f>
        <v>figurative ছোট</v>
      </c>
      <c r="Q1143" s="5" t="str">
        <f t="shared" si="1"/>
        <v>১ আগে দেখো</v>
      </c>
    </row>
    <row r="1144">
      <c r="A1144" s="4">
        <v>6670.0</v>
      </c>
      <c r="B1144" s="2" t="s">
        <v>4808</v>
      </c>
      <c r="C1144" s="2" t="s">
        <v>4809</v>
      </c>
      <c r="D1144" s="2" t="s">
        <v>4810</v>
      </c>
      <c r="E1144" s="2" t="s">
        <v>4811</v>
      </c>
      <c r="F1144" s="2" t="b">
        <v>1</v>
      </c>
      <c r="G1144" s="2" t="b">
        <v>0</v>
      </c>
      <c r="H1144" s="2" t="s">
        <v>37</v>
      </c>
      <c r="I1144" s="2" t="s">
        <v>32</v>
      </c>
      <c r="J1144" s="2" t="s">
        <v>762</v>
      </c>
      <c r="K1144" s="2" t="s">
        <v>495</v>
      </c>
      <c r="L1144" s="13" t="s">
        <v>496</v>
      </c>
      <c r="M1144" s="2" t="s">
        <v>26</v>
      </c>
      <c r="N1144" s="11" t="s">
        <v>576</v>
      </c>
      <c r="O1144" s="12" t="s">
        <v>53</v>
      </c>
      <c r="P1144" s="5" t="str">
        <f>IFERROR(__xludf.DUMMYFUNCTION("TEXTJOIN("" | "",TRUE,IF(OR(D1144="""",E1144="""",I1144="""",J1144="""",H1144=""""),""ফাঁকা ঘর"",""""),IF(AND(C1144&lt;&gt;"""",D1144&lt;&gt;"""",C1144=D1144),""gloss=figurative"",""""),IF(LEN(D1144)&lt;15,""figurative ছোট"",""""),IF(AND(I1144=""Positive"",REGEXMATCH(H1"&amp;"144,""মূর্খ|ভণ্ড|প্রতার|অলস|লোভ|স্বার্থ|অক্ষম|অযোগ্য|বোকা|কৃপণ|হিংস"")),""valence-target অমিল"",""""),IF(COUNTIF($B:$B,B1144)&gt;1,""ডুপ্লিকেট"",""""))"),"figurative ছোট")</f>
        <v>figurative ছোট</v>
      </c>
      <c r="Q1144" s="5" t="str">
        <f t="shared" si="1"/>
        <v>১ আগে দেখো</v>
      </c>
    </row>
    <row r="1145">
      <c r="A1145" s="4">
        <v>6671.0</v>
      </c>
      <c r="B1145" s="2" t="s">
        <v>4812</v>
      </c>
      <c r="C1145" s="2" t="s">
        <v>4813</v>
      </c>
      <c r="D1145" s="2" t="s">
        <v>4814</v>
      </c>
      <c r="E1145" s="2" t="s">
        <v>4815</v>
      </c>
      <c r="F1145" s="2" t="b">
        <v>1</v>
      </c>
      <c r="G1145" s="2" t="b">
        <v>0</v>
      </c>
      <c r="H1145" s="2" t="s">
        <v>37</v>
      </c>
      <c r="I1145" s="2" t="s">
        <v>49</v>
      </c>
      <c r="J1145" s="2" t="s">
        <v>3416</v>
      </c>
      <c r="K1145" s="2" t="s">
        <v>495</v>
      </c>
      <c r="L1145" s="13" t="s">
        <v>496</v>
      </c>
      <c r="M1145" s="2" t="s">
        <v>26</v>
      </c>
      <c r="N1145" s="11" t="s">
        <v>576</v>
      </c>
      <c r="O1145" s="12" t="s">
        <v>53</v>
      </c>
      <c r="P1145" s="5" t="str">
        <f>IFERROR(__xludf.DUMMYFUNCTION("TEXTJOIN("" | "",TRUE,IF(OR(D1145="""",E1145="""",I1145="""",J1145="""",H1145=""""),""ফাঁকা ঘর"",""""),IF(AND(C1145&lt;&gt;"""",D1145&lt;&gt;"""",C1145=D1145),""gloss=figurative"",""""),IF(LEN(D1145)&lt;15,""figurative ছোট"",""""),IF(AND(I1145=""Positive"",REGEXMATCH(H1"&amp;"145,""মূর্খ|ভণ্ড|প্রতার|অলস|লোভ|স্বার্থ|অক্ষম|অযোগ্য|বোকা|কৃপণ|হিংস"")),""valence-target অমিল"",""""),IF(COUNTIF($B:$B,B1145)&gt;1,""ডুপ্লিকেট"",""""))"),"figurative ছোট")</f>
        <v>figurative ছোট</v>
      </c>
      <c r="Q1145" s="5" t="str">
        <f t="shared" si="1"/>
        <v>১ আগে দেখো</v>
      </c>
    </row>
    <row r="1146">
      <c r="A1146" s="4">
        <v>6672.0</v>
      </c>
      <c r="B1146" s="2" t="s">
        <v>4816</v>
      </c>
      <c r="C1146" s="2" t="s">
        <v>4817</v>
      </c>
      <c r="D1146" s="2" t="s">
        <v>4818</v>
      </c>
      <c r="E1146" s="2" t="s">
        <v>4819</v>
      </c>
      <c r="F1146" s="2" t="b">
        <v>1</v>
      </c>
      <c r="G1146" s="2" t="b">
        <v>0</v>
      </c>
      <c r="H1146" s="2" t="s">
        <v>37</v>
      </c>
      <c r="I1146" s="2" t="s">
        <v>49</v>
      </c>
      <c r="J1146" s="2" t="s">
        <v>1603</v>
      </c>
      <c r="K1146" s="2" t="s">
        <v>495</v>
      </c>
      <c r="L1146" s="13" t="s">
        <v>496</v>
      </c>
      <c r="M1146" s="2" t="s">
        <v>26</v>
      </c>
      <c r="N1146" s="11" t="s">
        <v>576</v>
      </c>
      <c r="O1146" s="12" t="s">
        <v>53</v>
      </c>
      <c r="P1146" s="5" t="str">
        <f>IFERROR(__xludf.DUMMYFUNCTION("TEXTJOIN("" | "",TRUE,IF(OR(D1146="""",E1146="""",I1146="""",J1146="""",H1146=""""),""ফাঁকা ঘর"",""""),IF(AND(C1146&lt;&gt;"""",D1146&lt;&gt;"""",C1146=D1146),""gloss=figurative"",""""),IF(LEN(D1146)&lt;15,""figurative ছোট"",""""),IF(AND(I1146=""Positive"",REGEXMATCH(H1"&amp;"146,""মূর্খ|ভণ্ড|প্রতার|অলস|লোভ|স্বার্থ|অক্ষম|অযোগ্য|বোকা|কৃপণ|হিংস"")),""valence-target অমিল"",""""),IF(COUNTIF($B:$B,B1146)&gt;1,""ডুপ্লিকেট"",""""))"),"figurative ছোট")</f>
        <v>figurative ছোট</v>
      </c>
      <c r="Q1146" s="5" t="str">
        <f t="shared" si="1"/>
        <v>১ আগে দেখো</v>
      </c>
    </row>
    <row r="1147">
      <c r="A1147" s="4">
        <v>6673.0</v>
      </c>
      <c r="B1147" s="2" t="s">
        <v>4820</v>
      </c>
      <c r="C1147" s="2" t="s">
        <v>4821</v>
      </c>
      <c r="D1147" s="2" t="s">
        <v>4822</v>
      </c>
      <c r="E1147" s="2" t="s">
        <v>4823</v>
      </c>
      <c r="F1147" s="2" t="b">
        <v>1</v>
      </c>
      <c r="G1147" s="2" t="b">
        <v>0</v>
      </c>
      <c r="H1147" s="2" t="s">
        <v>37</v>
      </c>
      <c r="I1147" s="2" t="s">
        <v>32</v>
      </c>
      <c r="J1147" s="2" t="s">
        <v>1443</v>
      </c>
      <c r="K1147" s="2" t="s">
        <v>495</v>
      </c>
      <c r="L1147" s="13" t="s">
        <v>496</v>
      </c>
      <c r="M1147" s="2" t="s">
        <v>26</v>
      </c>
      <c r="N1147" s="11" t="s">
        <v>576</v>
      </c>
      <c r="O1147" s="12" t="s">
        <v>53</v>
      </c>
      <c r="P1147" s="5" t="str">
        <f>IFERROR(__xludf.DUMMYFUNCTION("TEXTJOIN("" | "",TRUE,IF(OR(D1147="""",E1147="""",I1147="""",J1147="""",H1147=""""),""ফাঁকা ঘর"",""""),IF(AND(C1147&lt;&gt;"""",D1147&lt;&gt;"""",C1147=D1147),""gloss=figurative"",""""),IF(LEN(D1147)&lt;15,""figurative ছোট"",""""),IF(AND(I1147=""Positive"",REGEXMATCH(H1"&amp;"147,""মূর্খ|ভণ্ড|প্রতার|অলস|লোভ|স্বার্থ|অক্ষম|অযোগ্য|বোকা|কৃপণ|হিংস"")),""valence-target অমিল"",""""),IF(COUNTIF($B:$B,B1147)&gt;1,""ডুপ্লিকেট"",""""))"),"figurative ছোট")</f>
        <v>figurative ছোট</v>
      </c>
      <c r="Q1147" s="5" t="str">
        <f t="shared" si="1"/>
        <v>১ আগে দেখো</v>
      </c>
    </row>
    <row r="1148">
      <c r="A1148" s="4">
        <v>6674.0</v>
      </c>
      <c r="B1148" s="2" t="s">
        <v>4824</v>
      </c>
      <c r="C1148" s="2" t="s">
        <v>4825</v>
      </c>
      <c r="D1148" s="2" t="s">
        <v>4826</v>
      </c>
      <c r="E1148" s="2" t="s">
        <v>4827</v>
      </c>
      <c r="F1148" s="2" t="b">
        <v>1</v>
      </c>
      <c r="G1148" s="2" t="b">
        <v>0</v>
      </c>
      <c r="H1148" s="2" t="s">
        <v>37</v>
      </c>
      <c r="I1148" s="2" t="s">
        <v>32</v>
      </c>
      <c r="J1148" s="2" t="s">
        <v>646</v>
      </c>
      <c r="K1148" s="2" t="s">
        <v>495</v>
      </c>
      <c r="L1148" s="13" t="s">
        <v>496</v>
      </c>
      <c r="M1148" s="2" t="s">
        <v>26</v>
      </c>
      <c r="N1148" s="11" t="s">
        <v>576</v>
      </c>
      <c r="O1148" s="12" t="s">
        <v>53</v>
      </c>
      <c r="P1148" s="5" t="str">
        <f>IFERROR(__xludf.DUMMYFUNCTION("TEXTJOIN("" | "",TRUE,IF(OR(D1148="""",E1148="""",I1148="""",J1148="""",H1148=""""),""ফাঁকা ঘর"",""""),IF(AND(C1148&lt;&gt;"""",D1148&lt;&gt;"""",C1148=D1148),""gloss=figurative"",""""),IF(LEN(D1148)&lt;15,""figurative ছোট"",""""),IF(AND(I1148=""Positive"",REGEXMATCH(H1"&amp;"148,""মূর্খ|ভণ্ড|প্রতার|অলস|লোভ|স্বার্থ|অক্ষম|অযোগ্য|বোকা|কৃপণ|হিংস"")),""valence-target অমিল"",""""),IF(COUNTIF($B:$B,B1148)&gt;1,""ডুপ্লিকেট"",""""))"),"figurative ছোট")</f>
        <v>figurative ছোট</v>
      </c>
      <c r="Q1148" s="5" t="str">
        <f t="shared" si="1"/>
        <v>১ আগে দেখো</v>
      </c>
    </row>
    <row r="1149">
      <c r="A1149" s="4">
        <v>6675.0</v>
      </c>
      <c r="B1149" s="2" t="s">
        <v>4828</v>
      </c>
      <c r="C1149" s="2" t="s">
        <v>4829</v>
      </c>
      <c r="D1149" s="2" t="s">
        <v>4830</v>
      </c>
      <c r="E1149" s="2" t="s">
        <v>4831</v>
      </c>
      <c r="F1149" s="2" t="b">
        <v>1</v>
      </c>
      <c r="G1149" s="2" t="b">
        <v>0</v>
      </c>
      <c r="H1149" s="2" t="s">
        <v>37</v>
      </c>
      <c r="I1149" s="2" t="s">
        <v>49</v>
      </c>
      <c r="J1149" s="2" t="s">
        <v>996</v>
      </c>
      <c r="K1149" s="2" t="s">
        <v>495</v>
      </c>
      <c r="L1149" s="13" t="s">
        <v>496</v>
      </c>
      <c r="M1149" s="2" t="s">
        <v>26</v>
      </c>
      <c r="N1149" s="11" t="s">
        <v>576</v>
      </c>
      <c r="O1149" s="12" t="s">
        <v>53</v>
      </c>
      <c r="P1149" s="5" t="str">
        <f>IFERROR(__xludf.DUMMYFUNCTION("TEXTJOIN("" | "",TRUE,IF(OR(D1149="""",E1149="""",I1149="""",J1149="""",H1149=""""),""ফাঁকা ঘর"",""""),IF(AND(C1149&lt;&gt;"""",D1149&lt;&gt;"""",C1149=D1149),""gloss=figurative"",""""),IF(LEN(D1149)&lt;15,""figurative ছোট"",""""),IF(AND(I1149=""Positive"",REGEXMATCH(H1"&amp;"149,""মূর্খ|ভণ্ড|প্রতার|অলস|লোভ|স্বার্থ|অক্ষম|অযোগ্য|বোকা|কৃপণ|হিংস"")),""valence-target অমিল"",""""),IF(COUNTIF($B:$B,B1149)&gt;1,""ডুপ্লিকেট"",""""))"),"figurative ছোট")</f>
        <v>figurative ছোট</v>
      </c>
      <c r="Q1149" s="5" t="str">
        <f t="shared" si="1"/>
        <v>১ আগে দেখো</v>
      </c>
    </row>
    <row r="1150">
      <c r="A1150" s="4">
        <v>6676.0</v>
      </c>
      <c r="B1150" s="2" t="s">
        <v>4832</v>
      </c>
      <c r="C1150" s="2" t="s">
        <v>4833</v>
      </c>
      <c r="D1150" s="2" t="s">
        <v>739</v>
      </c>
      <c r="E1150" s="2" t="s">
        <v>4834</v>
      </c>
      <c r="F1150" s="2" t="b">
        <v>1</v>
      </c>
      <c r="G1150" s="2" t="b">
        <v>0</v>
      </c>
      <c r="H1150" s="2" t="s">
        <v>37</v>
      </c>
      <c r="I1150" s="2" t="s">
        <v>22</v>
      </c>
      <c r="J1150" s="2" t="s">
        <v>739</v>
      </c>
      <c r="K1150" s="2" t="s">
        <v>495</v>
      </c>
      <c r="L1150" s="13" t="s">
        <v>496</v>
      </c>
      <c r="M1150" s="2" t="s">
        <v>26</v>
      </c>
      <c r="N1150" s="11" t="s">
        <v>576</v>
      </c>
      <c r="O1150" s="12" t="s">
        <v>53</v>
      </c>
      <c r="P1150" s="5" t="str">
        <f>IFERROR(__xludf.DUMMYFUNCTION("TEXTJOIN("" | "",TRUE,IF(OR(D1150="""",E1150="""",I1150="""",J1150="""",H1150=""""),""ফাঁকা ঘর"",""""),IF(AND(C1150&lt;&gt;"""",D1150&lt;&gt;"""",C1150=D1150),""gloss=figurative"",""""),IF(LEN(D1150)&lt;15,""figurative ছোট"",""""),IF(AND(I1150=""Positive"",REGEXMATCH(H1"&amp;"150,""মূর্খ|ভণ্ড|প্রতার|অলস|লোভ|স্বার্থ|অক্ষম|অযোগ্য|বোকা|কৃপণ|হিংস"")),""valence-target অমিল"",""""),IF(COUNTIF($B:$B,B1150)&gt;1,""ডুপ্লিকেট"",""""))"),"figurative ছোট")</f>
        <v>figurative ছোট</v>
      </c>
      <c r="Q1150" s="5" t="str">
        <f t="shared" si="1"/>
        <v>১ আগে দেখো</v>
      </c>
    </row>
    <row r="1151">
      <c r="A1151" s="4">
        <v>6677.0</v>
      </c>
      <c r="B1151" s="2" t="s">
        <v>4835</v>
      </c>
      <c r="C1151" s="2" t="s">
        <v>4836</v>
      </c>
      <c r="D1151" s="2" t="s">
        <v>4837</v>
      </c>
      <c r="E1151" s="2" t="s">
        <v>4838</v>
      </c>
      <c r="F1151" s="2" t="b">
        <v>1</v>
      </c>
      <c r="G1151" s="2" t="b">
        <v>0</v>
      </c>
      <c r="H1151" s="2" t="s">
        <v>37</v>
      </c>
      <c r="I1151" s="2" t="s">
        <v>22</v>
      </c>
      <c r="J1151" s="2" t="s">
        <v>590</v>
      </c>
      <c r="K1151" s="2" t="s">
        <v>495</v>
      </c>
      <c r="L1151" s="13" t="s">
        <v>496</v>
      </c>
      <c r="M1151" s="2" t="s">
        <v>26</v>
      </c>
      <c r="N1151" s="11" t="s">
        <v>576</v>
      </c>
      <c r="O1151" s="12" t="s">
        <v>53</v>
      </c>
      <c r="P1151" s="5" t="str">
        <f>IFERROR(__xludf.DUMMYFUNCTION("TEXTJOIN("" | "",TRUE,IF(OR(D1151="""",E1151="""",I1151="""",J1151="""",H1151=""""),""ফাঁকা ঘর"",""""),IF(AND(C1151&lt;&gt;"""",D1151&lt;&gt;"""",C1151=D1151),""gloss=figurative"",""""),IF(LEN(D1151)&lt;15,""figurative ছোট"",""""),IF(AND(I1151=""Positive"",REGEXMATCH(H1"&amp;"151,""মূর্খ|ভণ্ড|প্রতার|অলস|লোভ|স্বার্থ|অক্ষম|অযোগ্য|বোকা|কৃপণ|হিংস"")),""valence-target অমিল"",""""),IF(COUNTIF($B:$B,B1151)&gt;1,""ডুপ্লিকেট"",""""))"),"figurative ছোট")</f>
        <v>figurative ছোট</v>
      </c>
      <c r="Q1151" s="5" t="str">
        <f t="shared" si="1"/>
        <v>১ আগে দেখো</v>
      </c>
    </row>
    <row r="1152">
      <c r="A1152" s="4">
        <v>6678.0</v>
      </c>
      <c r="B1152" s="2" t="s">
        <v>4839</v>
      </c>
      <c r="C1152" s="2" t="s">
        <v>4840</v>
      </c>
      <c r="D1152" s="2" t="s">
        <v>1784</v>
      </c>
      <c r="E1152" s="2" t="s">
        <v>4841</v>
      </c>
      <c r="F1152" s="2" t="b">
        <v>1</v>
      </c>
      <c r="G1152" s="2" t="b">
        <v>0</v>
      </c>
      <c r="H1152" s="2" t="s">
        <v>37</v>
      </c>
      <c r="I1152" s="2" t="s">
        <v>49</v>
      </c>
      <c r="J1152" s="2" t="s">
        <v>708</v>
      </c>
      <c r="K1152" s="2" t="s">
        <v>495</v>
      </c>
      <c r="L1152" s="13" t="s">
        <v>496</v>
      </c>
      <c r="M1152" s="2" t="s">
        <v>26</v>
      </c>
      <c r="N1152" s="11" t="s">
        <v>576</v>
      </c>
      <c r="O1152" s="12" t="s">
        <v>53</v>
      </c>
      <c r="P1152" s="5" t="str">
        <f>IFERROR(__xludf.DUMMYFUNCTION("TEXTJOIN("" | "",TRUE,IF(OR(D1152="""",E1152="""",I1152="""",J1152="""",H1152=""""),""ফাঁকা ঘর"",""""),IF(AND(C1152&lt;&gt;"""",D1152&lt;&gt;"""",C1152=D1152),""gloss=figurative"",""""),IF(LEN(D1152)&lt;15,""figurative ছোট"",""""),IF(AND(I1152=""Positive"",REGEXMATCH(H1"&amp;"152,""মূর্খ|ভণ্ড|প্রতার|অলস|লোভ|স্বার্থ|অক্ষম|অযোগ্য|বোকা|কৃপণ|হিংস"")),""valence-target অমিল"",""""),IF(COUNTIF($B:$B,B1152)&gt;1,""ডুপ্লিকেট"",""""))"),"figurative ছোট")</f>
        <v>figurative ছোট</v>
      </c>
      <c r="Q1152" s="5" t="str">
        <f t="shared" si="1"/>
        <v>১ আগে দেখো</v>
      </c>
    </row>
    <row r="1153">
      <c r="A1153" s="4">
        <v>6679.0</v>
      </c>
      <c r="B1153" s="2" t="s">
        <v>4842</v>
      </c>
      <c r="C1153" s="2" t="s">
        <v>4843</v>
      </c>
      <c r="D1153" s="2" t="s">
        <v>922</v>
      </c>
      <c r="E1153" s="2" t="s">
        <v>4844</v>
      </c>
      <c r="F1153" s="2" t="b">
        <v>1</v>
      </c>
      <c r="G1153" s="2" t="b">
        <v>0</v>
      </c>
      <c r="H1153" s="2" t="s">
        <v>37</v>
      </c>
      <c r="I1153" s="2" t="s">
        <v>49</v>
      </c>
      <c r="J1153" s="2" t="s">
        <v>924</v>
      </c>
      <c r="K1153" s="2" t="s">
        <v>495</v>
      </c>
      <c r="L1153" s="13" t="s">
        <v>496</v>
      </c>
      <c r="M1153" s="2" t="s">
        <v>26</v>
      </c>
      <c r="N1153" s="11" t="s">
        <v>576</v>
      </c>
      <c r="O1153" s="12" t="s">
        <v>53</v>
      </c>
      <c r="P1153" s="5" t="str">
        <f>IFERROR(__xludf.DUMMYFUNCTION("TEXTJOIN("" | "",TRUE,IF(OR(D1153="""",E1153="""",I1153="""",J1153="""",H1153=""""),""ফাঁকা ঘর"",""""),IF(AND(C1153&lt;&gt;"""",D1153&lt;&gt;"""",C1153=D1153),""gloss=figurative"",""""),IF(LEN(D1153)&lt;15,""figurative ছোট"",""""),IF(AND(I1153=""Positive"",REGEXMATCH(H1"&amp;"153,""মূর্খ|ভণ্ড|প্রতার|অলস|লোভ|স্বার্থ|অক্ষম|অযোগ্য|বোকা|কৃপণ|হিংস"")),""valence-target অমিল"",""""),IF(COUNTIF($B:$B,B1153)&gt;1,""ডুপ্লিকেট"",""""))"),"figurative ছোট")</f>
        <v>figurative ছোট</v>
      </c>
      <c r="Q1153" s="5" t="str">
        <f t="shared" si="1"/>
        <v>১ আগে দেখো</v>
      </c>
    </row>
    <row r="1154">
      <c r="A1154" s="4">
        <v>6680.0</v>
      </c>
      <c r="B1154" s="2" t="s">
        <v>4845</v>
      </c>
      <c r="C1154" s="2" t="s">
        <v>4846</v>
      </c>
      <c r="D1154" s="2" t="s">
        <v>4847</v>
      </c>
      <c r="E1154" s="2" t="s">
        <v>4848</v>
      </c>
      <c r="F1154" s="2" t="b">
        <v>1</v>
      </c>
      <c r="G1154" s="2" t="b">
        <v>0</v>
      </c>
      <c r="H1154" s="2" t="s">
        <v>37</v>
      </c>
      <c r="I1154" s="2" t="s">
        <v>49</v>
      </c>
      <c r="J1154" s="2" t="s">
        <v>4849</v>
      </c>
      <c r="K1154" s="2" t="s">
        <v>495</v>
      </c>
      <c r="L1154" s="13" t="s">
        <v>496</v>
      </c>
      <c r="M1154" s="2" t="s">
        <v>26</v>
      </c>
      <c r="N1154" s="11" t="s">
        <v>576</v>
      </c>
      <c r="O1154" s="12" t="s">
        <v>53</v>
      </c>
      <c r="P1154" s="5" t="str">
        <f>IFERROR(__xludf.DUMMYFUNCTION("TEXTJOIN("" | "",TRUE,IF(OR(D1154="""",E1154="""",I1154="""",J1154="""",H1154=""""),""ফাঁকা ঘর"",""""),IF(AND(C1154&lt;&gt;"""",D1154&lt;&gt;"""",C1154=D1154),""gloss=figurative"",""""),IF(LEN(D1154)&lt;15,""figurative ছোট"",""""),IF(AND(I1154=""Positive"",REGEXMATCH(H1"&amp;"154,""মূর্খ|ভণ্ড|প্রতার|অলস|লোভ|স্বার্থ|অক্ষম|অযোগ্য|বোকা|কৃপণ|হিংস"")),""valence-target অমিল"",""""),IF(COUNTIF($B:$B,B1154)&gt;1,""ডুপ্লিকেট"",""""))"),"figurative ছোট")</f>
        <v>figurative ছোট</v>
      </c>
      <c r="Q1154" s="5" t="str">
        <f t="shared" si="1"/>
        <v>১ আগে দেখো</v>
      </c>
    </row>
    <row r="1155">
      <c r="A1155" s="4">
        <v>6681.0</v>
      </c>
      <c r="B1155" s="2" t="s">
        <v>4850</v>
      </c>
      <c r="C1155" s="2" t="s">
        <v>4851</v>
      </c>
      <c r="D1155" s="2" t="s">
        <v>4852</v>
      </c>
      <c r="E1155" s="2" t="s">
        <v>4853</v>
      </c>
      <c r="F1155" s="2" t="b">
        <v>1</v>
      </c>
      <c r="G1155" s="2" t="b">
        <v>0</v>
      </c>
      <c r="H1155" s="2" t="s">
        <v>37</v>
      </c>
      <c r="I1155" s="2" t="s">
        <v>49</v>
      </c>
      <c r="J1155" s="2" t="s">
        <v>4852</v>
      </c>
      <c r="K1155" s="2" t="s">
        <v>495</v>
      </c>
      <c r="L1155" s="13" t="s">
        <v>496</v>
      </c>
      <c r="M1155" s="2" t="s">
        <v>26</v>
      </c>
      <c r="N1155" s="11" t="s">
        <v>576</v>
      </c>
      <c r="O1155" s="12" t="s">
        <v>53</v>
      </c>
      <c r="P1155" s="5" t="str">
        <f>IFERROR(__xludf.DUMMYFUNCTION("TEXTJOIN("" | "",TRUE,IF(OR(D1155="""",E1155="""",I1155="""",J1155="""",H1155=""""),""ফাঁকা ঘর"",""""),IF(AND(C1155&lt;&gt;"""",D1155&lt;&gt;"""",C1155=D1155),""gloss=figurative"",""""),IF(LEN(D1155)&lt;15,""figurative ছোট"",""""),IF(AND(I1155=""Positive"",REGEXMATCH(H1"&amp;"155,""মূর্খ|ভণ্ড|প্রতার|অলস|লোভ|স্বার্থ|অক্ষম|অযোগ্য|বোকা|কৃপণ|হিংস"")),""valence-target অমিল"",""""),IF(COUNTIF($B:$B,B1155)&gt;1,""ডুপ্লিকেট"",""""))"),"figurative ছোট")</f>
        <v>figurative ছোট</v>
      </c>
      <c r="Q1155" s="5" t="str">
        <f t="shared" si="1"/>
        <v>১ আগে দেখো</v>
      </c>
    </row>
    <row r="1156">
      <c r="A1156" s="4">
        <v>6682.0</v>
      </c>
      <c r="B1156" s="2" t="s">
        <v>4854</v>
      </c>
      <c r="C1156" s="2" t="s">
        <v>4855</v>
      </c>
      <c r="D1156" s="2" t="s">
        <v>190</v>
      </c>
      <c r="E1156" s="2" t="s">
        <v>4856</v>
      </c>
      <c r="F1156" s="2" t="b">
        <v>1</v>
      </c>
      <c r="G1156" s="2" t="b">
        <v>0</v>
      </c>
      <c r="H1156" s="2" t="s">
        <v>37</v>
      </c>
      <c r="I1156" s="2" t="s">
        <v>49</v>
      </c>
      <c r="J1156" s="2" t="s">
        <v>1553</v>
      </c>
      <c r="K1156" s="2" t="s">
        <v>495</v>
      </c>
      <c r="L1156" s="13" t="s">
        <v>496</v>
      </c>
      <c r="M1156" s="2" t="s">
        <v>26</v>
      </c>
      <c r="N1156" s="11" t="s">
        <v>576</v>
      </c>
      <c r="O1156" s="12" t="s">
        <v>53</v>
      </c>
      <c r="P1156" s="5" t="str">
        <f>IFERROR(__xludf.DUMMYFUNCTION("TEXTJOIN("" | "",TRUE,IF(OR(D1156="""",E1156="""",I1156="""",J1156="""",H1156=""""),""ফাঁকা ঘর"",""""),IF(AND(C1156&lt;&gt;"""",D1156&lt;&gt;"""",C1156=D1156),""gloss=figurative"",""""),IF(LEN(D1156)&lt;15,""figurative ছোট"",""""),IF(AND(I1156=""Positive"",REGEXMATCH(H1"&amp;"156,""মূর্খ|ভণ্ড|প্রতার|অলস|লোভ|স্বার্থ|অক্ষম|অযোগ্য|বোকা|কৃপণ|হিংস"")),""valence-target অমিল"",""""),IF(COUNTIF($B:$B,B1156)&gt;1,""ডুপ্লিকেট"",""""))"),"figurative ছোট")</f>
        <v>figurative ছোট</v>
      </c>
      <c r="Q1156" s="5" t="str">
        <f t="shared" si="1"/>
        <v>১ আগে দেখো</v>
      </c>
    </row>
    <row r="1157">
      <c r="A1157" s="4">
        <v>6683.0</v>
      </c>
      <c r="B1157" s="2" t="s">
        <v>4857</v>
      </c>
      <c r="C1157" s="2" t="s">
        <v>583</v>
      </c>
      <c r="D1157" s="2" t="s">
        <v>4657</v>
      </c>
      <c r="E1157" s="2" t="s">
        <v>4858</v>
      </c>
      <c r="F1157" s="2" t="b">
        <v>1</v>
      </c>
      <c r="G1157" s="2" t="b">
        <v>0</v>
      </c>
      <c r="H1157" s="2" t="s">
        <v>37</v>
      </c>
      <c r="I1157" s="2" t="s">
        <v>22</v>
      </c>
      <c r="J1157" s="2" t="s">
        <v>565</v>
      </c>
      <c r="K1157" s="2" t="s">
        <v>495</v>
      </c>
      <c r="L1157" s="13" t="s">
        <v>496</v>
      </c>
      <c r="M1157" s="2" t="s">
        <v>26</v>
      </c>
      <c r="N1157" s="11" t="s">
        <v>4859</v>
      </c>
      <c r="O1157" s="12" t="s">
        <v>53</v>
      </c>
      <c r="P1157" s="5" t="str">
        <f>IFERROR(__xludf.DUMMYFUNCTION("TEXTJOIN("" | "",TRUE,IF(OR(D1157="""",E1157="""",I1157="""",J1157="""",H1157=""""),""ফাঁকা ঘর"",""""),IF(AND(C1157&lt;&gt;"""",D1157&lt;&gt;"""",C1157=D1157),""gloss=figurative"",""""),IF(LEN(D1157)&lt;15,""figurative ছোট"",""""),IF(AND(I1157=""Positive"",REGEXMATCH(H1"&amp;"157,""মূর্খ|ভণ্ড|প্রতার|অলস|লোভ|স্বার্থ|অক্ষম|অযোগ্য|বোকা|কৃপণ|হিংস"")),""valence-target অমিল"",""""),IF(COUNTIF($B:$B,B1157)&gt;1,""ডুপ্লিকেট"",""""))"),"figurative ছোট")</f>
        <v>figurative ছোট</v>
      </c>
      <c r="Q1157" s="5" t="str">
        <f t="shared" si="1"/>
        <v>১ আগে দেখো</v>
      </c>
    </row>
    <row r="1158">
      <c r="A1158" s="4">
        <v>6684.0</v>
      </c>
      <c r="B1158" s="2" t="s">
        <v>4860</v>
      </c>
      <c r="C1158" s="2" t="s">
        <v>4861</v>
      </c>
      <c r="D1158" s="2" t="s">
        <v>4862</v>
      </c>
      <c r="E1158" s="2" t="s">
        <v>4863</v>
      </c>
      <c r="F1158" s="2" t="b">
        <v>1</v>
      </c>
      <c r="G1158" s="2" t="b">
        <v>0</v>
      </c>
      <c r="H1158" s="2" t="s">
        <v>37</v>
      </c>
      <c r="I1158" s="2" t="s">
        <v>22</v>
      </c>
      <c r="J1158" s="2" t="s">
        <v>565</v>
      </c>
      <c r="K1158" s="2" t="s">
        <v>495</v>
      </c>
      <c r="L1158" s="13" t="s">
        <v>496</v>
      </c>
      <c r="M1158" s="2" t="s">
        <v>26</v>
      </c>
      <c r="N1158" s="11" t="s">
        <v>4864</v>
      </c>
      <c r="O1158" s="12" t="s">
        <v>53</v>
      </c>
      <c r="P1158" s="5" t="str">
        <f>IFERROR(__xludf.DUMMYFUNCTION("TEXTJOIN("" | "",TRUE,IF(OR(D1158="""",E1158="""",I1158="""",J1158="""",H1158=""""),""ফাঁকা ঘর"",""""),IF(AND(C1158&lt;&gt;"""",D1158&lt;&gt;"""",C1158=D1158),""gloss=figurative"",""""),IF(LEN(D1158)&lt;15,""figurative ছোট"",""""),IF(AND(I1158=""Positive"",REGEXMATCH(H1"&amp;"158,""মূর্খ|ভণ্ড|প্রতার|অলস|লোভ|স্বার্থ|অক্ষম|অযোগ্য|বোকা|কৃপণ|হিংস"")),""valence-target অমিল"",""""),IF(COUNTIF($B:$B,B1158)&gt;1,""ডুপ্লিকেট"",""""))"),"figurative ছোট")</f>
        <v>figurative ছোট</v>
      </c>
      <c r="Q1158" s="5" t="str">
        <f t="shared" si="1"/>
        <v>১ আগে দেখো</v>
      </c>
    </row>
    <row r="1159">
      <c r="A1159" s="4">
        <v>6685.0</v>
      </c>
      <c r="B1159" s="2" t="s">
        <v>4865</v>
      </c>
      <c r="C1159" s="2" t="s">
        <v>4866</v>
      </c>
      <c r="D1159" s="2" t="s">
        <v>636</v>
      </c>
      <c r="E1159" s="2" t="s">
        <v>4867</v>
      </c>
      <c r="F1159" s="2" t="b">
        <v>1</v>
      </c>
      <c r="G1159" s="2" t="b">
        <v>0</v>
      </c>
      <c r="H1159" s="2" t="s">
        <v>37</v>
      </c>
      <c r="I1159" s="2" t="s">
        <v>49</v>
      </c>
      <c r="J1159" s="2" t="s">
        <v>636</v>
      </c>
      <c r="K1159" s="2" t="s">
        <v>495</v>
      </c>
      <c r="L1159" s="13" t="s">
        <v>496</v>
      </c>
      <c r="M1159" s="2" t="s">
        <v>26</v>
      </c>
      <c r="N1159" s="11" t="s">
        <v>576</v>
      </c>
      <c r="O1159" s="12" t="s">
        <v>53</v>
      </c>
      <c r="P1159" s="5" t="str">
        <f>IFERROR(__xludf.DUMMYFUNCTION("TEXTJOIN("" | "",TRUE,IF(OR(D1159="""",E1159="""",I1159="""",J1159="""",H1159=""""),""ফাঁকা ঘর"",""""),IF(AND(C1159&lt;&gt;"""",D1159&lt;&gt;"""",C1159=D1159),""gloss=figurative"",""""),IF(LEN(D1159)&lt;15,""figurative ছোট"",""""),IF(AND(I1159=""Positive"",REGEXMATCH(H1"&amp;"159,""মূর্খ|ভণ্ড|প্রতার|অলস|লোভ|স্বার্থ|অক্ষম|অযোগ্য|বোকা|কৃপণ|হিংস"")),""valence-target অমিল"",""""),IF(COUNTIF($B:$B,B1159)&gt;1,""ডুপ্লিকেট"",""""))"),"figurative ছোট")</f>
        <v>figurative ছোট</v>
      </c>
      <c r="Q1159" s="5" t="str">
        <f t="shared" si="1"/>
        <v>১ আগে দেখো</v>
      </c>
    </row>
    <row r="1160">
      <c r="A1160" s="4">
        <v>6686.0</v>
      </c>
      <c r="B1160" s="2" t="s">
        <v>4868</v>
      </c>
      <c r="C1160" s="2" t="s">
        <v>4869</v>
      </c>
      <c r="D1160" s="2" t="s">
        <v>4870</v>
      </c>
      <c r="E1160" s="2" t="s">
        <v>4871</v>
      </c>
      <c r="F1160" s="2" t="b">
        <v>1</v>
      </c>
      <c r="G1160" s="2" t="b">
        <v>0</v>
      </c>
      <c r="H1160" s="2" t="s">
        <v>37</v>
      </c>
      <c r="I1160" s="2" t="s">
        <v>22</v>
      </c>
      <c r="J1160" s="2" t="s">
        <v>842</v>
      </c>
      <c r="K1160" s="2" t="s">
        <v>495</v>
      </c>
      <c r="L1160" s="13" t="s">
        <v>496</v>
      </c>
      <c r="M1160" s="2" t="s">
        <v>26</v>
      </c>
      <c r="N1160" s="11" t="s">
        <v>576</v>
      </c>
      <c r="O1160" s="12" t="s">
        <v>53</v>
      </c>
      <c r="P1160" s="5" t="str">
        <f>IFERROR(__xludf.DUMMYFUNCTION("TEXTJOIN("" | "",TRUE,IF(OR(D1160="""",E1160="""",I1160="""",J1160="""",H1160=""""),""ফাঁকা ঘর"",""""),IF(AND(C1160&lt;&gt;"""",D1160&lt;&gt;"""",C1160=D1160),""gloss=figurative"",""""),IF(LEN(D1160)&lt;15,""figurative ছোট"",""""),IF(AND(I1160=""Positive"",REGEXMATCH(H1"&amp;"160,""মূর্খ|ভণ্ড|প্রতার|অলস|লোভ|স্বার্থ|অক্ষম|অযোগ্য|বোকা|কৃপণ|হিংস"")),""valence-target অমিল"",""""),IF(COUNTIF($B:$B,B1160)&gt;1,""ডুপ্লিকেট"",""""))"),"figurative ছোট")</f>
        <v>figurative ছোট</v>
      </c>
      <c r="Q1160" s="5" t="str">
        <f t="shared" si="1"/>
        <v>১ আগে দেখো</v>
      </c>
    </row>
    <row r="1161">
      <c r="A1161" s="4">
        <v>6688.0</v>
      </c>
      <c r="B1161" s="2" t="s">
        <v>4872</v>
      </c>
      <c r="C1161" s="2" t="s">
        <v>4873</v>
      </c>
      <c r="D1161" s="2" t="s">
        <v>2442</v>
      </c>
      <c r="E1161" s="2" t="s">
        <v>4874</v>
      </c>
      <c r="F1161" s="2" t="b">
        <v>1</v>
      </c>
      <c r="G1161" s="2" t="b">
        <v>0</v>
      </c>
      <c r="H1161" s="2" t="s">
        <v>37</v>
      </c>
      <c r="I1161" s="2" t="s">
        <v>49</v>
      </c>
      <c r="J1161" s="2" t="s">
        <v>2442</v>
      </c>
      <c r="K1161" s="2" t="s">
        <v>495</v>
      </c>
      <c r="L1161" s="13" t="s">
        <v>496</v>
      </c>
      <c r="M1161" s="2" t="s">
        <v>26</v>
      </c>
      <c r="N1161" s="11" t="s">
        <v>576</v>
      </c>
      <c r="O1161" s="12" t="s">
        <v>53</v>
      </c>
      <c r="P1161" s="5" t="str">
        <f>IFERROR(__xludf.DUMMYFUNCTION("TEXTJOIN("" | "",TRUE,IF(OR(D1161="""",E1161="""",I1161="""",J1161="""",H1161=""""),""ফাঁকা ঘর"",""""),IF(AND(C1161&lt;&gt;"""",D1161&lt;&gt;"""",C1161=D1161),""gloss=figurative"",""""),IF(LEN(D1161)&lt;15,""figurative ছোট"",""""),IF(AND(I1161=""Positive"",REGEXMATCH(H1"&amp;"161,""মূর্খ|ভণ্ড|প্রতার|অলস|লোভ|স্বার্থ|অক্ষম|অযোগ্য|বোকা|কৃপণ|হিংস"")),""valence-target অমিল"",""""),IF(COUNTIF($B:$B,B1161)&gt;1,""ডুপ্লিকেট"",""""))"),"figurative ছোট")</f>
        <v>figurative ছোট</v>
      </c>
      <c r="Q1161" s="5" t="str">
        <f t="shared" si="1"/>
        <v>১ আগে দেখো</v>
      </c>
    </row>
    <row r="1162">
      <c r="A1162" s="4">
        <v>6689.0</v>
      </c>
      <c r="B1162" s="2" t="s">
        <v>4875</v>
      </c>
      <c r="C1162" s="2" t="s">
        <v>4876</v>
      </c>
      <c r="D1162" s="2" t="s">
        <v>4877</v>
      </c>
      <c r="E1162" s="2" t="s">
        <v>4878</v>
      </c>
      <c r="F1162" s="2" t="b">
        <v>1</v>
      </c>
      <c r="G1162" s="2" t="b">
        <v>0</v>
      </c>
      <c r="H1162" s="2" t="s">
        <v>37</v>
      </c>
      <c r="I1162" s="2" t="s">
        <v>49</v>
      </c>
      <c r="J1162" s="2" t="s">
        <v>708</v>
      </c>
      <c r="K1162" s="2" t="s">
        <v>495</v>
      </c>
      <c r="L1162" s="13" t="s">
        <v>496</v>
      </c>
      <c r="M1162" s="2" t="s">
        <v>26</v>
      </c>
      <c r="N1162" s="11" t="s">
        <v>576</v>
      </c>
      <c r="O1162" s="12" t="s">
        <v>53</v>
      </c>
      <c r="P1162" s="5" t="str">
        <f>IFERROR(__xludf.DUMMYFUNCTION("TEXTJOIN("" | "",TRUE,IF(OR(D1162="""",E1162="""",I1162="""",J1162="""",H1162=""""),""ফাঁকা ঘর"",""""),IF(AND(C1162&lt;&gt;"""",D1162&lt;&gt;"""",C1162=D1162),""gloss=figurative"",""""),IF(LEN(D1162)&lt;15,""figurative ছোট"",""""),IF(AND(I1162=""Positive"",REGEXMATCH(H1"&amp;"162,""মূর্খ|ভণ্ড|প্রতার|অলস|লোভ|স্বার্থ|অক্ষম|অযোগ্য|বোকা|কৃপণ|হিংস"")),""valence-target অমিল"",""""),IF(COUNTIF($B:$B,B1162)&gt;1,""ডুপ্লিকেট"",""""))"),"figurative ছোট")</f>
        <v>figurative ছোট</v>
      </c>
      <c r="Q1162" s="5" t="str">
        <f t="shared" si="1"/>
        <v>১ আগে দেখো</v>
      </c>
    </row>
    <row r="1163">
      <c r="A1163" s="4">
        <v>6690.0</v>
      </c>
      <c r="B1163" s="2" t="s">
        <v>4879</v>
      </c>
      <c r="C1163" s="2" t="s">
        <v>4880</v>
      </c>
      <c r="D1163" s="2" t="s">
        <v>739</v>
      </c>
      <c r="E1163" s="2" t="s">
        <v>4881</v>
      </c>
      <c r="F1163" s="2" t="b">
        <v>1</v>
      </c>
      <c r="G1163" s="2" t="b">
        <v>0</v>
      </c>
      <c r="H1163" s="2" t="s">
        <v>37</v>
      </c>
      <c r="I1163" s="2" t="s">
        <v>32</v>
      </c>
      <c r="J1163" s="2" t="s">
        <v>739</v>
      </c>
      <c r="K1163" s="2" t="s">
        <v>495</v>
      </c>
      <c r="L1163" s="13" t="s">
        <v>496</v>
      </c>
      <c r="M1163" s="2" t="s">
        <v>26</v>
      </c>
      <c r="N1163" s="11" t="s">
        <v>576</v>
      </c>
      <c r="O1163" s="12" t="s">
        <v>53</v>
      </c>
      <c r="P1163" s="5" t="str">
        <f>IFERROR(__xludf.DUMMYFUNCTION("TEXTJOIN("" | "",TRUE,IF(OR(D1163="""",E1163="""",I1163="""",J1163="""",H1163=""""),""ফাঁকা ঘর"",""""),IF(AND(C1163&lt;&gt;"""",D1163&lt;&gt;"""",C1163=D1163),""gloss=figurative"",""""),IF(LEN(D1163)&lt;15,""figurative ছোট"",""""),IF(AND(I1163=""Positive"",REGEXMATCH(H1"&amp;"163,""মূর্খ|ভণ্ড|প্রতার|অলস|লোভ|স্বার্থ|অক্ষম|অযোগ্য|বোকা|কৃপণ|হিংস"")),""valence-target অমিল"",""""),IF(COUNTIF($B:$B,B1163)&gt;1,""ডুপ্লিকেট"",""""))"),"figurative ছোট")</f>
        <v>figurative ছোট</v>
      </c>
      <c r="Q1163" s="5" t="str">
        <f t="shared" si="1"/>
        <v>১ আগে দেখো</v>
      </c>
    </row>
    <row r="1164">
      <c r="A1164" s="4">
        <v>6691.0</v>
      </c>
      <c r="B1164" s="2" t="s">
        <v>4882</v>
      </c>
      <c r="C1164" s="2" t="s">
        <v>4883</v>
      </c>
      <c r="D1164" s="2" t="s">
        <v>2113</v>
      </c>
      <c r="E1164" s="2" t="s">
        <v>4884</v>
      </c>
      <c r="F1164" s="2" t="b">
        <v>1</v>
      </c>
      <c r="G1164" s="2" t="b">
        <v>0</v>
      </c>
      <c r="H1164" s="2" t="s">
        <v>37</v>
      </c>
      <c r="I1164" s="2" t="s">
        <v>22</v>
      </c>
      <c r="J1164" s="2" t="s">
        <v>2113</v>
      </c>
      <c r="K1164" s="2" t="s">
        <v>495</v>
      </c>
      <c r="L1164" s="13" t="s">
        <v>496</v>
      </c>
      <c r="M1164" s="2" t="s">
        <v>26</v>
      </c>
      <c r="N1164" s="11" t="s">
        <v>576</v>
      </c>
      <c r="O1164" s="12" t="s">
        <v>53</v>
      </c>
      <c r="P1164" s="5" t="str">
        <f>IFERROR(__xludf.DUMMYFUNCTION("TEXTJOIN("" | "",TRUE,IF(OR(D1164="""",E1164="""",I1164="""",J1164="""",H1164=""""),""ফাঁকা ঘর"",""""),IF(AND(C1164&lt;&gt;"""",D1164&lt;&gt;"""",C1164=D1164),""gloss=figurative"",""""),IF(LEN(D1164)&lt;15,""figurative ছোট"",""""),IF(AND(I1164=""Positive"",REGEXMATCH(H1"&amp;"164,""মূর্খ|ভণ্ড|প্রতার|অলস|লোভ|স্বার্থ|অক্ষম|অযোগ্য|বোকা|কৃপণ|হিংস"")),""valence-target অমিল"",""""),IF(COUNTIF($B:$B,B1164)&gt;1,""ডুপ্লিকেট"",""""))"),"figurative ছোট")</f>
        <v>figurative ছোট</v>
      </c>
      <c r="Q1164" s="5" t="str">
        <f t="shared" si="1"/>
        <v>১ আগে দেখো</v>
      </c>
    </row>
    <row r="1165">
      <c r="A1165" s="4">
        <v>6692.0</v>
      </c>
      <c r="B1165" s="2" t="s">
        <v>4885</v>
      </c>
      <c r="C1165" s="2" t="s">
        <v>4886</v>
      </c>
      <c r="D1165" s="2" t="s">
        <v>842</v>
      </c>
      <c r="E1165" s="2" t="s">
        <v>4887</v>
      </c>
      <c r="F1165" s="2" t="b">
        <v>1</v>
      </c>
      <c r="G1165" s="2" t="b">
        <v>0</v>
      </c>
      <c r="H1165" s="2" t="s">
        <v>37</v>
      </c>
      <c r="I1165" s="2" t="s">
        <v>22</v>
      </c>
      <c r="J1165" s="2" t="s">
        <v>565</v>
      </c>
      <c r="K1165" s="2" t="s">
        <v>495</v>
      </c>
      <c r="L1165" s="13" t="s">
        <v>496</v>
      </c>
      <c r="M1165" s="2" t="s">
        <v>26</v>
      </c>
      <c r="N1165" s="11" t="s">
        <v>576</v>
      </c>
      <c r="O1165" s="12" t="s">
        <v>53</v>
      </c>
      <c r="P1165" s="5" t="str">
        <f>IFERROR(__xludf.DUMMYFUNCTION("TEXTJOIN("" | "",TRUE,IF(OR(D1165="""",E1165="""",I1165="""",J1165="""",H1165=""""),""ফাঁকা ঘর"",""""),IF(AND(C1165&lt;&gt;"""",D1165&lt;&gt;"""",C1165=D1165),""gloss=figurative"",""""),IF(LEN(D1165)&lt;15,""figurative ছোট"",""""),IF(AND(I1165=""Positive"",REGEXMATCH(H1"&amp;"165,""মূর্খ|ভণ্ড|প্রতার|অলস|লোভ|স্বার্থ|অক্ষম|অযোগ্য|বোকা|কৃপণ|হিংস"")),""valence-target অমিল"",""""),IF(COUNTIF($B:$B,B1165)&gt;1,""ডুপ্লিকেট"",""""))"),"figurative ছোট")</f>
        <v>figurative ছোট</v>
      </c>
      <c r="Q1165" s="5" t="str">
        <f t="shared" si="1"/>
        <v>১ আগে দেখো</v>
      </c>
    </row>
    <row r="1166">
      <c r="A1166" s="4">
        <v>6693.0</v>
      </c>
      <c r="B1166" s="2" t="s">
        <v>4888</v>
      </c>
      <c r="C1166" s="2" t="s">
        <v>4889</v>
      </c>
      <c r="D1166" s="2" t="s">
        <v>4890</v>
      </c>
      <c r="E1166" s="2" t="s">
        <v>4891</v>
      </c>
      <c r="F1166" s="2" t="b">
        <v>1</v>
      </c>
      <c r="G1166" s="2" t="b">
        <v>0</v>
      </c>
      <c r="H1166" s="2" t="s">
        <v>37</v>
      </c>
      <c r="I1166" s="2" t="s">
        <v>49</v>
      </c>
      <c r="J1166" s="2" t="s">
        <v>4892</v>
      </c>
      <c r="K1166" s="2" t="s">
        <v>495</v>
      </c>
      <c r="L1166" s="13" t="s">
        <v>496</v>
      </c>
      <c r="M1166" s="2" t="s">
        <v>26</v>
      </c>
      <c r="N1166" s="11" t="s">
        <v>576</v>
      </c>
      <c r="O1166" s="12" t="s">
        <v>53</v>
      </c>
      <c r="P1166" s="5" t="str">
        <f>IFERROR(__xludf.DUMMYFUNCTION("TEXTJOIN("" | "",TRUE,IF(OR(D1166="""",E1166="""",I1166="""",J1166="""",H1166=""""),""ফাঁকা ঘর"",""""),IF(AND(C1166&lt;&gt;"""",D1166&lt;&gt;"""",C1166=D1166),""gloss=figurative"",""""),IF(LEN(D1166)&lt;15,""figurative ছোট"",""""),IF(AND(I1166=""Positive"",REGEXMATCH(H1"&amp;"166,""মূর্খ|ভণ্ড|প্রতার|অলস|লোভ|স্বার্থ|অক্ষম|অযোগ্য|বোকা|কৃপণ|হিংস"")),""valence-target অমিল"",""""),IF(COUNTIF($B:$B,B1166)&gt;1,""ডুপ্লিকেট"",""""))"),"figurative ছোট")</f>
        <v>figurative ছোট</v>
      </c>
      <c r="Q1166" s="5" t="str">
        <f t="shared" si="1"/>
        <v>১ আগে দেখো</v>
      </c>
    </row>
    <row r="1167">
      <c r="A1167" s="4">
        <v>6694.0</v>
      </c>
      <c r="B1167" s="2" t="s">
        <v>4893</v>
      </c>
      <c r="C1167" s="2" t="s">
        <v>4894</v>
      </c>
      <c r="D1167" s="2" t="s">
        <v>1666</v>
      </c>
      <c r="E1167" s="2" t="s">
        <v>4895</v>
      </c>
      <c r="F1167" s="2" t="b">
        <v>1</v>
      </c>
      <c r="G1167" s="2" t="b">
        <v>0</v>
      </c>
      <c r="H1167" s="2" t="s">
        <v>37</v>
      </c>
      <c r="I1167" s="2" t="s">
        <v>49</v>
      </c>
      <c r="J1167" s="2" t="s">
        <v>4670</v>
      </c>
      <c r="K1167" s="2" t="s">
        <v>495</v>
      </c>
      <c r="L1167" s="13" t="s">
        <v>496</v>
      </c>
      <c r="M1167" s="2" t="s">
        <v>26</v>
      </c>
      <c r="N1167" s="11" t="s">
        <v>576</v>
      </c>
      <c r="O1167" s="12" t="s">
        <v>53</v>
      </c>
      <c r="P1167" s="5" t="str">
        <f>IFERROR(__xludf.DUMMYFUNCTION("TEXTJOIN("" | "",TRUE,IF(OR(D1167="""",E1167="""",I1167="""",J1167="""",H1167=""""),""ফাঁকা ঘর"",""""),IF(AND(C1167&lt;&gt;"""",D1167&lt;&gt;"""",C1167=D1167),""gloss=figurative"",""""),IF(LEN(D1167)&lt;15,""figurative ছোট"",""""),IF(AND(I1167=""Positive"",REGEXMATCH(H1"&amp;"167,""মূর্খ|ভণ্ড|প্রতার|অলস|লোভ|স্বার্থ|অক্ষম|অযোগ্য|বোকা|কৃপণ|হিংস"")),""valence-target অমিল"",""""),IF(COUNTIF($B:$B,B1167)&gt;1,""ডুপ্লিকেট"",""""))"),"figurative ছোট")</f>
        <v>figurative ছোট</v>
      </c>
      <c r="Q1167" s="5" t="str">
        <f t="shared" si="1"/>
        <v>১ আগে দেখো</v>
      </c>
    </row>
    <row r="1168">
      <c r="A1168" s="4">
        <v>6695.0</v>
      </c>
      <c r="B1168" s="2" t="s">
        <v>4896</v>
      </c>
      <c r="C1168" s="2" t="s">
        <v>4897</v>
      </c>
      <c r="D1168" s="2" t="s">
        <v>913</v>
      </c>
      <c r="E1168" s="2" t="s">
        <v>4898</v>
      </c>
      <c r="F1168" s="2" t="b">
        <v>1</v>
      </c>
      <c r="G1168" s="2" t="b">
        <v>0</v>
      </c>
      <c r="H1168" s="2" t="s">
        <v>37</v>
      </c>
      <c r="I1168" s="2" t="s">
        <v>32</v>
      </c>
      <c r="J1168" s="2" t="s">
        <v>913</v>
      </c>
      <c r="K1168" s="2" t="s">
        <v>495</v>
      </c>
      <c r="L1168" s="13" t="s">
        <v>496</v>
      </c>
      <c r="M1168" s="2" t="s">
        <v>26</v>
      </c>
      <c r="N1168" s="11" t="s">
        <v>576</v>
      </c>
      <c r="O1168" s="12" t="s">
        <v>53</v>
      </c>
      <c r="P1168" s="5" t="str">
        <f>IFERROR(__xludf.DUMMYFUNCTION("TEXTJOIN("" | "",TRUE,IF(OR(D1168="""",E1168="""",I1168="""",J1168="""",H1168=""""),""ফাঁকা ঘর"",""""),IF(AND(C1168&lt;&gt;"""",D1168&lt;&gt;"""",C1168=D1168),""gloss=figurative"",""""),IF(LEN(D1168)&lt;15,""figurative ছোট"",""""),IF(AND(I1168=""Positive"",REGEXMATCH(H1"&amp;"168,""মূর্খ|ভণ্ড|প্রতার|অলস|লোভ|স্বার্থ|অক্ষম|অযোগ্য|বোকা|কৃপণ|হিংস"")),""valence-target অমিল"",""""),IF(COUNTIF($B:$B,B1168)&gt;1,""ডুপ্লিকেট"",""""))"),"figurative ছোট")</f>
        <v>figurative ছোট</v>
      </c>
      <c r="Q1168" s="5" t="str">
        <f t="shared" si="1"/>
        <v>১ আগে দেখো</v>
      </c>
    </row>
    <row r="1169">
      <c r="A1169" s="4">
        <v>6696.0</v>
      </c>
      <c r="B1169" s="2" t="s">
        <v>4899</v>
      </c>
      <c r="C1169" s="2" t="s">
        <v>4900</v>
      </c>
      <c r="D1169" s="2" t="s">
        <v>739</v>
      </c>
      <c r="E1169" s="2" t="s">
        <v>4901</v>
      </c>
      <c r="F1169" s="2" t="b">
        <v>1</v>
      </c>
      <c r="G1169" s="2" t="b">
        <v>0</v>
      </c>
      <c r="H1169" s="2" t="s">
        <v>37</v>
      </c>
      <c r="I1169" s="2" t="s">
        <v>32</v>
      </c>
      <c r="J1169" s="2" t="s">
        <v>739</v>
      </c>
      <c r="K1169" s="2" t="s">
        <v>495</v>
      </c>
      <c r="L1169" s="13" t="s">
        <v>496</v>
      </c>
      <c r="M1169" s="2" t="s">
        <v>26</v>
      </c>
      <c r="N1169" s="11" t="s">
        <v>576</v>
      </c>
      <c r="O1169" s="12" t="s">
        <v>53</v>
      </c>
      <c r="P1169" s="5" t="str">
        <f>IFERROR(__xludf.DUMMYFUNCTION("TEXTJOIN("" | "",TRUE,IF(OR(D1169="""",E1169="""",I1169="""",J1169="""",H1169=""""),""ফাঁকা ঘর"",""""),IF(AND(C1169&lt;&gt;"""",D1169&lt;&gt;"""",C1169=D1169),""gloss=figurative"",""""),IF(LEN(D1169)&lt;15,""figurative ছোট"",""""),IF(AND(I1169=""Positive"",REGEXMATCH(H1"&amp;"169,""মূর্খ|ভণ্ড|প্রতার|অলস|লোভ|স্বার্থ|অক্ষম|অযোগ্য|বোকা|কৃপণ|হিংস"")),""valence-target অমিল"",""""),IF(COUNTIF($B:$B,B1169)&gt;1,""ডুপ্লিকেট"",""""))"),"figurative ছোট")</f>
        <v>figurative ছোট</v>
      </c>
      <c r="Q1169" s="5" t="str">
        <f t="shared" si="1"/>
        <v>১ আগে দেখো</v>
      </c>
    </row>
    <row r="1170">
      <c r="A1170" s="4">
        <v>6697.0</v>
      </c>
      <c r="B1170" s="2" t="s">
        <v>4902</v>
      </c>
      <c r="C1170" s="2" t="s">
        <v>4903</v>
      </c>
      <c r="D1170" s="2" t="s">
        <v>913</v>
      </c>
      <c r="E1170" s="2" t="s">
        <v>4904</v>
      </c>
      <c r="F1170" s="2" t="b">
        <v>1</v>
      </c>
      <c r="G1170" s="2" t="b">
        <v>0</v>
      </c>
      <c r="H1170" s="2" t="s">
        <v>37</v>
      </c>
      <c r="I1170" s="2" t="s">
        <v>49</v>
      </c>
      <c r="J1170" s="2" t="s">
        <v>913</v>
      </c>
      <c r="K1170" s="2" t="s">
        <v>495</v>
      </c>
      <c r="L1170" s="13" t="s">
        <v>496</v>
      </c>
      <c r="M1170" s="2" t="s">
        <v>26</v>
      </c>
      <c r="N1170" s="11" t="s">
        <v>576</v>
      </c>
      <c r="O1170" s="12" t="s">
        <v>53</v>
      </c>
      <c r="P1170" s="5" t="str">
        <f>IFERROR(__xludf.DUMMYFUNCTION("TEXTJOIN("" | "",TRUE,IF(OR(D1170="""",E1170="""",I1170="""",J1170="""",H1170=""""),""ফাঁকা ঘর"",""""),IF(AND(C1170&lt;&gt;"""",D1170&lt;&gt;"""",C1170=D1170),""gloss=figurative"",""""),IF(LEN(D1170)&lt;15,""figurative ছোট"",""""),IF(AND(I1170=""Positive"",REGEXMATCH(H1"&amp;"170,""মূর্খ|ভণ্ড|প্রতার|অলস|লোভ|স্বার্থ|অক্ষম|অযোগ্য|বোকা|কৃপণ|হিংস"")),""valence-target অমিল"",""""),IF(COUNTIF($B:$B,B1170)&gt;1,""ডুপ্লিকেট"",""""))"),"figurative ছোট")</f>
        <v>figurative ছোট</v>
      </c>
      <c r="Q1170" s="5" t="str">
        <f t="shared" si="1"/>
        <v>১ আগে দেখো</v>
      </c>
    </row>
    <row r="1171">
      <c r="A1171" s="4">
        <v>6698.0</v>
      </c>
      <c r="B1171" s="2" t="s">
        <v>4905</v>
      </c>
      <c r="C1171" s="2" t="s">
        <v>4906</v>
      </c>
      <c r="D1171" s="2" t="s">
        <v>913</v>
      </c>
      <c r="E1171" s="2" t="s">
        <v>4907</v>
      </c>
      <c r="F1171" s="2" t="b">
        <v>1</v>
      </c>
      <c r="G1171" s="2" t="b">
        <v>0</v>
      </c>
      <c r="H1171" s="2" t="s">
        <v>37</v>
      </c>
      <c r="I1171" s="2" t="s">
        <v>22</v>
      </c>
      <c r="J1171" s="2" t="s">
        <v>1518</v>
      </c>
      <c r="K1171" s="2" t="s">
        <v>495</v>
      </c>
      <c r="L1171" s="13" t="s">
        <v>496</v>
      </c>
      <c r="M1171" s="2" t="s">
        <v>26</v>
      </c>
      <c r="N1171" s="11" t="s">
        <v>576</v>
      </c>
      <c r="O1171" s="12" t="s">
        <v>53</v>
      </c>
      <c r="P1171" s="5" t="str">
        <f>IFERROR(__xludf.DUMMYFUNCTION("TEXTJOIN("" | "",TRUE,IF(OR(D1171="""",E1171="""",I1171="""",J1171="""",H1171=""""),""ফাঁকা ঘর"",""""),IF(AND(C1171&lt;&gt;"""",D1171&lt;&gt;"""",C1171=D1171),""gloss=figurative"",""""),IF(LEN(D1171)&lt;15,""figurative ছোট"",""""),IF(AND(I1171=""Positive"",REGEXMATCH(H1"&amp;"171,""মূর্খ|ভণ্ড|প্রতার|অলস|লোভ|স্বার্থ|অক্ষম|অযোগ্য|বোকা|কৃপণ|হিংস"")),""valence-target অমিল"",""""),IF(COUNTIF($B:$B,B1171)&gt;1,""ডুপ্লিকেট"",""""))"),"figurative ছোট")</f>
        <v>figurative ছোট</v>
      </c>
      <c r="Q1171" s="5" t="str">
        <f t="shared" si="1"/>
        <v>১ আগে দেখো</v>
      </c>
    </row>
    <row r="1172">
      <c r="A1172" s="4">
        <v>6699.0</v>
      </c>
      <c r="B1172" s="2" t="s">
        <v>4908</v>
      </c>
      <c r="C1172" s="2" t="s">
        <v>4909</v>
      </c>
      <c r="D1172" s="2" t="s">
        <v>913</v>
      </c>
      <c r="E1172" s="2" t="s">
        <v>4910</v>
      </c>
      <c r="F1172" s="2" t="b">
        <v>1</v>
      </c>
      <c r="G1172" s="2" t="b">
        <v>0</v>
      </c>
      <c r="H1172" s="2" t="s">
        <v>37</v>
      </c>
      <c r="I1172" s="2" t="s">
        <v>49</v>
      </c>
      <c r="J1172" s="2" t="s">
        <v>913</v>
      </c>
      <c r="K1172" s="2" t="s">
        <v>495</v>
      </c>
      <c r="L1172" s="13" t="s">
        <v>496</v>
      </c>
      <c r="M1172" s="2" t="s">
        <v>26</v>
      </c>
      <c r="N1172" s="11" t="s">
        <v>576</v>
      </c>
      <c r="O1172" s="12" t="s">
        <v>53</v>
      </c>
      <c r="P1172" s="5" t="str">
        <f>IFERROR(__xludf.DUMMYFUNCTION("TEXTJOIN("" | "",TRUE,IF(OR(D1172="""",E1172="""",I1172="""",J1172="""",H1172=""""),""ফাঁকা ঘর"",""""),IF(AND(C1172&lt;&gt;"""",D1172&lt;&gt;"""",C1172=D1172),""gloss=figurative"",""""),IF(LEN(D1172)&lt;15,""figurative ছোট"",""""),IF(AND(I1172=""Positive"",REGEXMATCH(H1"&amp;"172,""মূর্খ|ভণ্ড|প্রতার|অলস|লোভ|স্বার্থ|অক্ষম|অযোগ্য|বোকা|কৃপণ|হিংস"")),""valence-target অমিল"",""""),IF(COUNTIF($B:$B,B1172)&gt;1,""ডুপ্লিকেট"",""""))"),"figurative ছোট")</f>
        <v>figurative ছোট</v>
      </c>
      <c r="Q1172" s="5" t="str">
        <f t="shared" si="1"/>
        <v>১ আগে দেখো</v>
      </c>
    </row>
    <row r="1173">
      <c r="A1173" s="4">
        <v>6700.0</v>
      </c>
      <c r="B1173" s="2" t="s">
        <v>4911</v>
      </c>
      <c r="C1173" s="2" t="s">
        <v>4912</v>
      </c>
      <c r="D1173" s="2" t="s">
        <v>913</v>
      </c>
      <c r="E1173" s="2" t="s">
        <v>4913</v>
      </c>
      <c r="F1173" s="2" t="b">
        <v>1</v>
      </c>
      <c r="G1173" s="2" t="b">
        <v>0</v>
      </c>
      <c r="H1173" s="2" t="s">
        <v>37</v>
      </c>
      <c r="I1173" s="2" t="s">
        <v>32</v>
      </c>
      <c r="J1173" s="2" t="s">
        <v>913</v>
      </c>
      <c r="K1173" s="2" t="s">
        <v>495</v>
      </c>
      <c r="L1173" s="13" t="s">
        <v>496</v>
      </c>
      <c r="M1173" s="2" t="s">
        <v>26</v>
      </c>
      <c r="N1173" s="11" t="s">
        <v>576</v>
      </c>
      <c r="O1173" s="12" t="s">
        <v>53</v>
      </c>
      <c r="P1173" s="5" t="str">
        <f>IFERROR(__xludf.DUMMYFUNCTION("TEXTJOIN("" | "",TRUE,IF(OR(D1173="""",E1173="""",I1173="""",J1173="""",H1173=""""),""ফাঁকা ঘর"",""""),IF(AND(C1173&lt;&gt;"""",D1173&lt;&gt;"""",C1173=D1173),""gloss=figurative"",""""),IF(LEN(D1173)&lt;15,""figurative ছোট"",""""),IF(AND(I1173=""Positive"",REGEXMATCH(H1"&amp;"173,""মূর্খ|ভণ্ড|প্রতার|অলস|লোভ|স্বার্থ|অক্ষম|অযোগ্য|বোকা|কৃপণ|হিংস"")),""valence-target অমিল"",""""),IF(COUNTIF($B:$B,B1173)&gt;1,""ডুপ্লিকেট"",""""))"),"figurative ছোট")</f>
        <v>figurative ছোট</v>
      </c>
      <c r="Q1173" s="5" t="str">
        <f t="shared" si="1"/>
        <v>১ আগে দেখো</v>
      </c>
    </row>
    <row r="1174">
      <c r="A1174" s="4">
        <v>6701.0</v>
      </c>
      <c r="B1174" s="2" t="s">
        <v>4914</v>
      </c>
      <c r="C1174" s="2" t="s">
        <v>4915</v>
      </c>
      <c r="D1174" s="2" t="s">
        <v>913</v>
      </c>
      <c r="E1174" s="2" t="s">
        <v>4916</v>
      </c>
      <c r="F1174" s="2" t="b">
        <v>1</v>
      </c>
      <c r="G1174" s="2" t="b">
        <v>0</v>
      </c>
      <c r="H1174" s="2" t="s">
        <v>37</v>
      </c>
      <c r="I1174" s="2" t="s">
        <v>49</v>
      </c>
      <c r="J1174" s="2" t="s">
        <v>913</v>
      </c>
      <c r="K1174" s="2" t="s">
        <v>495</v>
      </c>
      <c r="L1174" s="13" t="s">
        <v>496</v>
      </c>
      <c r="M1174" s="2" t="s">
        <v>26</v>
      </c>
      <c r="N1174" s="11" t="s">
        <v>576</v>
      </c>
      <c r="O1174" s="12" t="s">
        <v>53</v>
      </c>
      <c r="P1174" s="5" t="str">
        <f>IFERROR(__xludf.DUMMYFUNCTION("TEXTJOIN("" | "",TRUE,IF(OR(D1174="""",E1174="""",I1174="""",J1174="""",H1174=""""),""ফাঁকা ঘর"",""""),IF(AND(C1174&lt;&gt;"""",D1174&lt;&gt;"""",C1174=D1174),""gloss=figurative"",""""),IF(LEN(D1174)&lt;15,""figurative ছোট"",""""),IF(AND(I1174=""Positive"",REGEXMATCH(H1"&amp;"174,""মূর্খ|ভণ্ড|প্রতার|অলস|লোভ|স্বার্থ|অক্ষম|অযোগ্য|বোকা|কৃপণ|হিংস"")),""valence-target অমিল"",""""),IF(COUNTIF($B:$B,B1174)&gt;1,""ডুপ্লিকেট"",""""))"),"figurative ছোট")</f>
        <v>figurative ছোট</v>
      </c>
      <c r="Q1174" s="5" t="str">
        <f t="shared" si="1"/>
        <v>১ আগে দেখো</v>
      </c>
    </row>
    <row r="1175">
      <c r="A1175" s="4">
        <v>6702.0</v>
      </c>
      <c r="B1175" s="2" t="s">
        <v>4917</v>
      </c>
      <c r="C1175" s="2" t="s">
        <v>4918</v>
      </c>
      <c r="D1175" s="2" t="s">
        <v>913</v>
      </c>
      <c r="E1175" s="2" t="s">
        <v>4919</v>
      </c>
      <c r="F1175" s="2" t="b">
        <v>1</v>
      </c>
      <c r="G1175" s="2" t="b">
        <v>0</v>
      </c>
      <c r="H1175" s="2" t="s">
        <v>37</v>
      </c>
      <c r="I1175" s="2" t="s">
        <v>49</v>
      </c>
      <c r="J1175" s="2" t="s">
        <v>913</v>
      </c>
      <c r="K1175" s="2" t="s">
        <v>495</v>
      </c>
      <c r="L1175" s="13" t="s">
        <v>496</v>
      </c>
      <c r="M1175" s="2" t="s">
        <v>26</v>
      </c>
      <c r="N1175" s="11" t="s">
        <v>576</v>
      </c>
      <c r="O1175" s="12" t="s">
        <v>53</v>
      </c>
      <c r="P1175" s="5" t="str">
        <f>IFERROR(__xludf.DUMMYFUNCTION("TEXTJOIN("" | "",TRUE,IF(OR(D1175="""",E1175="""",I1175="""",J1175="""",H1175=""""),""ফাঁকা ঘর"",""""),IF(AND(C1175&lt;&gt;"""",D1175&lt;&gt;"""",C1175=D1175),""gloss=figurative"",""""),IF(LEN(D1175)&lt;15,""figurative ছোট"",""""),IF(AND(I1175=""Positive"",REGEXMATCH(H1"&amp;"175,""মূর্খ|ভণ্ড|প্রতার|অলস|লোভ|স্বার্থ|অক্ষম|অযোগ্য|বোকা|কৃপণ|হিংস"")),""valence-target অমিল"",""""),IF(COUNTIF($B:$B,B1175)&gt;1,""ডুপ্লিকেট"",""""))"),"figurative ছোট")</f>
        <v>figurative ছোট</v>
      </c>
      <c r="Q1175" s="5" t="str">
        <f t="shared" si="1"/>
        <v>১ আগে দেখো</v>
      </c>
    </row>
    <row r="1176">
      <c r="A1176" s="4">
        <v>6703.0</v>
      </c>
      <c r="B1176" s="2" t="s">
        <v>4920</v>
      </c>
      <c r="C1176" s="2" t="s">
        <v>4921</v>
      </c>
      <c r="D1176" s="2" t="s">
        <v>4922</v>
      </c>
      <c r="E1176" s="2" t="s">
        <v>4923</v>
      </c>
      <c r="F1176" s="2" t="b">
        <v>1</v>
      </c>
      <c r="G1176" s="2" t="b">
        <v>0</v>
      </c>
      <c r="H1176" s="2" t="s">
        <v>37</v>
      </c>
      <c r="I1176" s="2" t="s">
        <v>49</v>
      </c>
      <c r="J1176" s="2" t="s">
        <v>4924</v>
      </c>
      <c r="K1176" s="2" t="s">
        <v>495</v>
      </c>
      <c r="L1176" s="13" t="s">
        <v>496</v>
      </c>
      <c r="M1176" s="2" t="s">
        <v>26</v>
      </c>
      <c r="N1176" s="11" t="s">
        <v>576</v>
      </c>
      <c r="O1176" s="12" t="s">
        <v>53</v>
      </c>
      <c r="P1176" s="5" t="str">
        <f>IFERROR(__xludf.DUMMYFUNCTION("TEXTJOIN("" | "",TRUE,IF(OR(D1176="""",E1176="""",I1176="""",J1176="""",H1176=""""),""ফাঁকা ঘর"",""""),IF(AND(C1176&lt;&gt;"""",D1176&lt;&gt;"""",C1176=D1176),""gloss=figurative"",""""),IF(LEN(D1176)&lt;15,""figurative ছোট"",""""),IF(AND(I1176=""Positive"",REGEXMATCH(H1"&amp;"176,""মূর্খ|ভণ্ড|প্রতার|অলস|লোভ|স্বার্থ|অক্ষম|অযোগ্য|বোকা|কৃপণ|হিংস"")),""valence-target অমিল"",""""),IF(COUNTIF($B:$B,B1176)&gt;1,""ডুপ্লিকেট"",""""))"),"figurative ছোট")</f>
        <v>figurative ছোট</v>
      </c>
      <c r="Q1176" s="5" t="str">
        <f t="shared" si="1"/>
        <v>১ আগে দেখো</v>
      </c>
    </row>
    <row r="1177">
      <c r="A1177" s="4">
        <v>6704.0</v>
      </c>
      <c r="B1177" s="2" t="s">
        <v>4925</v>
      </c>
      <c r="C1177" s="2" t="s">
        <v>4926</v>
      </c>
      <c r="D1177" s="2" t="s">
        <v>4927</v>
      </c>
      <c r="E1177" s="2" t="s">
        <v>4928</v>
      </c>
      <c r="F1177" s="2" t="b">
        <v>1</v>
      </c>
      <c r="G1177" s="2" t="b">
        <v>0</v>
      </c>
      <c r="H1177" s="2" t="s">
        <v>37</v>
      </c>
      <c r="I1177" s="2" t="s">
        <v>49</v>
      </c>
      <c r="J1177" s="2" t="s">
        <v>4927</v>
      </c>
      <c r="K1177" s="2" t="s">
        <v>495</v>
      </c>
      <c r="L1177" s="13" t="s">
        <v>496</v>
      </c>
      <c r="M1177" s="2" t="s">
        <v>26</v>
      </c>
      <c r="N1177" s="11" t="s">
        <v>576</v>
      </c>
      <c r="O1177" s="12" t="s">
        <v>53</v>
      </c>
      <c r="P1177" s="5" t="str">
        <f>IFERROR(__xludf.DUMMYFUNCTION("TEXTJOIN("" | "",TRUE,IF(OR(D1177="""",E1177="""",I1177="""",J1177="""",H1177=""""),""ফাঁকা ঘর"",""""),IF(AND(C1177&lt;&gt;"""",D1177&lt;&gt;"""",C1177=D1177),""gloss=figurative"",""""),IF(LEN(D1177)&lt;15,""figurative ছোট"",""""),IF(AND(I1177=""Positive"",REGEXMATCH(H1"&amp;"177,""মূর্খ|ভণ্ড|প্রতার|অলস|লোভ|স্বার্থ|অক্ষম|অযোগ্য|বোকা|কৃপণ|হিংস"")),""valence-target অমিল"",""""),IF(COUNTIF($B:$B,B1177)&gt;1,""ডুপ্লিকেট"",""""))"),"figurative ছোট")</f>
        <v>figurative ছোট</v>
      </c>
      <c r="Q1177" s="5" t="str">
        <f t="shared" si="1"/>
        <v>১ আগে দেখো</v>
      </c>
    </row>
    <row r="1178">
      <c r="A1178" s="4">
        <v>6705.0</v>
      </c>
      <c r="B1178" s="2" t="s">
        <v>4929</v>
      </c>
      <c r="C1178" s="2" t="s">
        <v>4930</v>
      </c>
      <c r="D1178" s="2" t="s">
        <v>565</v>
      </c>
      <c r="E1178" s="2" t="s">
        <v>4931</v>
      </c>
      <c r="F1178" s="2" t="b">
        <v>1</v>
      </c>
      <c r="G1178" s="2" t="b">
        <v>0</v>
      </c>
      <c r="H1178" s="2" t="s">
        <v>37</v>
      </c>
      <c r="I1178" s="2" t="s">
        <v>49</v>
      </c>
      <c r="J1178" s="2" t="s">
        <v>565</v>
      </c>
      <c r="K1178" s="2" t="s">
        <v>495</v>
      </c>
      <c r="L1178" s="13" t="s">
        <v>496</v>
      </c>
      <c r="M1178" s="2" t="s">
        <v>26</v>
      </c>
      <c r="N1178" s="11" t="s">
        <v>576</v>
      </c>
      <c r="O1178" s="12" t="s">
        <v>53</v>
      </c>
      <c r="P1178" s="5" t="str">
        <f>IFERROR(__xludf.DUMMYFUNCTION("TEXTJOIN("" | "",TRUE,IF(OR(D1178="""",E1178="""",I1178="""",J1178="""",H1178=""""),""ফাঁকা ঘর"",""""),IF(AND(C1178&lt;&gt;"""",D1178&lt;&gt;"""",C1178=D1178),""gloss=figurative"",""""),IF(LEN(D1178)&lt;15,""figurative ছোট"",""""),IF(AND(I1178=""Positive"",REGEXMATCH(H1"&amp;"178,""মূর্খ|ভণ্ড|প্রতার|অলস|লোভ|স্বার্থ|অক্ষম|অযোগ্য|বোকা|কৃপণ|হিংস"")),""valence-target অমিল"",""""),IF(COUNTIF($B:$B,B1178)&gt;1,""ডুপ্লিকেট"",""""))"),"figurative ছোট")</f>
        <v>figurative ছোট</v>
      </c>
      <c r="Q1178" s="5" t="str">
        <f t="shared" si="1"/>
        <v>১ আগে দেখো</v>
      </c>
    </row>
    <row r="1179">
      <c r="A1179" s="4">
        <v>6706.0</v>
      </c>
      <c r="B1179" s="2" t="s">
        <v>4932</v>
      </c>
      <c r="C1179" s="2" t="s">
        <v>4933</v>
      </c>
      <c r="D1179" s="2" t="s">
        <v>1621</v>
      </c>
      <c r="E1179" s="2" t="s">
        <v>4934</v>
      </c>
      <c r="F1179" s="2" t="b">
        <v>1</v>
      </c>
      <c r="G1179" s="2" t="b">
        <v>0</v>
      </c>
      <c r="H1179" s="2" t="s">
        <v>37</v>
      </c>
      <c r="I1179" s="2" t="s">
        <v>49</v>
      </c>
      <c r="J1179" s="2" t="s">
        <v>1621</v>
      </c>
      <c r="K1179" s="2" t="s">
        <v>495</v>
      </c>
      <c r="L1179" s="13" t="s">
        <v>496</v>
      </c>
      <c r="M1179" s="2" t="s">
        <v>26</v>
      </c>
      <c r="N1179" s="11" t="s">
        <v>576</v>
      </c>
      <c r="O1179" s="12" t="s">
        <v>53</v>
      </c>
      <c r="P1179" s="5" t="str">
        <f>IFERROR(__xludf.DUMMYFUNCTION("TEXTJOIN("" | "",TRUE,IF(OR(D1179="""",E1179="""",I1179="""",J1179="""",H1179=""""),""ফাঁকা ঘর"",""""),IF(AND(C1179&lt;&gt;"""",D1179&lt;&gt;"""",C1179=D1179),""gloss=figurative"",""""),IF(LEN(D1179)&lt;15,""figurative ছোট"",""""),IF(AND(I1179=""Positive"",REGEXMATCH(H1"&amp;"179,""মূর্খ|ভণ্ড|প্রতার|অলস|লোভ|স্বার্থ|অক্ষম|অযোগ্য|বোকা|কৃপণ|হিংস"")),""valence-target অমিল"",""""),IF(COUNTIF($B:$B,B1179)&gt;1,""ডুপ্লিকেট"",""""))"),"figurative ছোট")</f>
        <v>figurative ছোট</v>
      </c>
      <c r="Q1179" s="5" t="str">
        <f t="shared" si="1"/>
        <v>১ আগে দেখো</v>
      </c>
    </row>
    <row r="1180">
      <c r="A1180" s="4">
        <v>6707.0</v>
      </c>
      <c r="B1180" s="2" t="s">
        <v>4935</v>
      </c>
      <c r="C1180" s="2" t="s">
        <v>4936</v>
      </c>
      <c r="D1180" s="2" t="s">
        <v>3410</v>
      </c>
      <c r="E1180" s="2" t="s">
        <v>4937</v>
      </c>
      <c r="F1180" s="2" t="b">
        <v>1</v>
      </c>
      <c r="G1180" s="2" t="b">
        <v>0</v>
      </c>
      <c r="H1180" s="2" t="s">
        <v>37</v>
      </c>
      <c r="I1180" s="2" t="s">
        <v>49</v>
      </c>
      <c r="J1180" s="2" t="s">
        <v>3416</v>
      </c>
      <c r="K1180" s="2" t="s">
        <v>495</v>
      </c>
      <c r="L1180" s="13" t="s">
        <v>496</v>
      </c>
      <c r="M1180" s="2" t="s">
        <v>26</v>
      </c>
      <c r="N1180" s="11" t="s">
        <v>576</v>
      </c>
      <c r="O1180" s="12" t="s">
        <v>53</v>
      </c>
      <c r="P1180" s="5" t="str">
        <f>IFERROR(__xludf.DUMMYFUNCTION("TEXTJOIN("" | "",TRUE,IF(OR(D1180="""",E1180="""",I1180="""",J1180="""",H1180=""""),""ফাঁকা ঘর"",""""),IF(AND(C1180&lt;&gt;"""",D1180&lt;&gt;"""",C1180=D1180),""gloss=figurative"",""""),IF(LEN(D1180)&lt;15,""figurative ছোট"",""""),IF(AND(I1180=""Positive"",REGEXMATCH(H1"&amp;"180,""মূর্খ|ভণ্ড|প্রতার|অলস|লোভ|স্বার্থ|অক্ষম|অযোগ্য|বোকা|কৃপণ|হিংস"")),""valence-target অমিল"",""""),IF(COUNTIF($B:$B,B1180)&gt;1,""ডুপ্লিকেট"",""""))"),"figurative ছোট")</f>
        <v>figurative ছোট</v>
      </c>
      <c r="Q1180" s="5" t="str">
        <f t="shared" si="1"/>
        <v>১ আগে দেখো</v>
      </c>
    </row>
    <row r="1181">
      <c r="A1181" s="4">
        <v>6708.0</v>
      </c>
      <c r="B1181" s="2" t="s">
        <v>4938</v>
      </c>
      <c r="C1181" s="2" t="s">
        <v>4939</v>
      </c>
      <c r="D1181" s="2" t="s">
        <v>1254</v>
      </c>
      <c r="E1181" s="2" t="s">
        <v>4940</v>
      </c>
      <c r="F1181" s="2" t="b">
        <v>1</v>
      </c>
      <c r="G1181" s="2" t="b">
        <v>0</v>
      </c>
      <c r="H1181" s="2" t="s">
        <v>37</v>
      </c>
      <c r="I1181" s="2" t="s">
        <v>49</v>
      </c>
      <c r="J1181" s="2" t="s">
        <v>1254</v>
      </c>
      <c r="K1181" s="2" t="s">
        <v>495</v>
      </c>
      <c r="L1181" s="13" t="s">
        <v>496</v>
      </c>
      <c r="M1181" s="2" t="s">
        <v>26</v>
      </c>
      <c r="N1181" s="11" t="s">
        <v>576</v>
      </c>
      <c r="O1181" s="12" t="s">
        <v>53</v>
      </c>
      <c r="P1181" s="5" t="str">
        <f>IFERROR(__xludf.DUMMYFUNCTION("TEXTJOIN("" | "",TRUE,IF(OR(D1181="""",E1181="""",I1181="""",J1181="""",H1181=""""),""ফাঁকা ঘর"",""""),IF(AND(C1181&lt;&gt;"""",D1181&lt;&gt;"""",C1181=D1181),""gloss=figurative"",""""),IF(LEN(D1181)&lt;15,""figurative ছোট"",""""),IF(AND(I1181=""Positive"",REGEXMATCH(H1"&amp;"181,""মূর্খ|ভণ্ড|প্রতার|অলস|লোভ|স্বার্থ|অক্ষম|অযোগ্য|বোকা|কৃপণ|হিংস"")),""valence-target অমিল"",""""),IF(COUNTIF($B:$B,B1181)&gt;1,""ডুপ্লিকেট"",""""))"),"figurative ছোট")</f>
        <v>figurative ছোট</v>
      </c>
      <c r="Q1181" s="5" t="str">
        <f t="shared" si="1"/>
        <v>১ আগে দেখো</v>
      </c>
    </row>
    <row r="1182">
      <c r="A1182" s="4">
        <v>6709.0</v>
      </c>
      <c r="B1182" s="2" t="s">
        <v>4941</v>
      </c>
      <c r="C1182" s="2" t="s">
        <v>4942</v>
      </c>
      <c r="D1182" s="2" t="s">
        <v>3585</v>
      </c>
      <c r="E1182" s="2" t="s">
        <v>4943</v>
      </c>
      <c r="F1182" s="2" t="b">
        <v>1</v>
      </c>
      <c r="G1182" s="2" t="b">
        <v>0</v>
      </c>
      <c r="H1182" s="2" t="s">
        <v>37</v>
      </c>
      <c r="I1182" s="2" t="s">
        <v>49</v>
      </c>
      <c r="J1182" s="2" t="s">
        <v>3585</v>
      </c>
      <c r="K1182" s="2" t="s">
        <v>495</v>
      </c>
      <c r="L1182" s="13" t="s">
        <v>496</v>
      </c>
      <c r="M1182" s="2" t="s">
        <v>26</v>
      </c>
      <c r="N1182" s="11" t="s">
        <v>576</v>
      </c>
      <c r="O1182" s="12" t="s">
        <v>53</v>
      </c>
      <c r="P1182" s="5" t="str">
        <f>IFERROR(__xludf.DUMMYFUNCTION("TEXTJOIN("" | "",TRUE,IF(OR(D1182="""",E1182="""",I1182="""",J1182="""",H1182=""""),""ফাঁকা ঘর"",""""),IF(AND(C1182&lt;&gt;"""",D1182&lt;&gt;"""",C1182=D1182),""gloss=figurative"",""""),IF(LEN(D1182)&lt;15,""figurative ছোট"",""""),IF(AND(I1182=""Positive"",REGEXMATCH(H1"&amp;"182,""মূর্খ|ভণ্ড|প্রতার|অলস|লোভ|স্বার্থ|অক্ষম|অযোগ্য|বোকা|কৃপণ|হিংস"")),""valence-target অমিল"",""""),IF(COUNTIF($B:$B,B1182)&gt;1,""ডুপ্লিকেট"",""""))"),"figurative ছোট")</f>
        <v>figurative ছোট</v>
      </c>
      <c r="Q1182" s="5" t="str">
        <f t="shared" si="1"/>
        <v>১ আগে দেখো</v>
      </c>
    </row>
    <row r="1183">
      <c r="A1183" s="4">
        <v>6710.0</v>
      </c>
      <c r="B1183" s="2" t="s">
        <v>4944</v>
      </c>
      <c r="C1183" s="2" t="s">
        <v>4944</v>
      </c>
      <c r="D1183" s="2" t="s">
        <v>4100</v>
      </c>
      <c r="E1183" s="15" t="s">
        <v>4945</v>
      </c>
      <c r="F1183" s="2" t="b">
        <v>1</v>
      </c>
      <c r="G1183" s="2" t="b">
        <v>0</v>
      </c>
      <c r="H1183" s="2" t="s">
        <v>37</v>
      </c>
      <c r="I1183" s="2" t="s">
        <v>22</v>
      </c>
      <c r="J1183" s="2" t="s">
        <v>4946</v>
      </c>
      <c r="K1183" s="2" t="s">
        <v>495</v>
      </c>
      <c r="L1183" s="13" t="s">
        <v>496</v>
      </c>
      <c r="M1183" s="2" t="s">
        <v>26</v>
      </c>
      <c r="N1183" s="11" t="s">
        <v>576</v>
      </c>
      <c r="O1183" s="12" t="s">
        <v>53</v>
      </c>
      <c r="P1183" s="5" t="str">
        <f>IFERROR(__xludf.DUMMYFUNCTION("TEXTJOIN("" | "",TRUE,IF(OR(D1183="""",E1183="""",I1183="""",J1183="""",H1183=""""),""ফাঁকা ঘর"",""""),IF(AND(C1183&lt;&gt;"""",D1183&lt;&gt;"""",C1183=D1183),""gloss=figurative"",""""),IF(LEN(D1183)&lt;15,""figurative ছোট"",""""),IF(AND(I1183=""Positive"",REGEXMATCH(H1"&amp;"183,""মূর্খ|ভণ্ড|প্রতার|অলস|লোভ|স্বার্থ|অক্ষম|অযোগ্য|বোকা|কৃপণ|হিংস"")),""valence-target অমিল"",""""),IF(COUNTIF($B:$B,B1183)&gt;1,""ডুপ্লিকেট"",""""))"),"figurative ছোট")</f>
        <v>figurative ছোট</v>
      </c>
      <c r="Q1183" s="5" t="str">
        <f t="shared" si="1"/>
        <v>১ আগে দেখো</v>
      </c>
    </row>
    <row r="1184">
      <c r="A1184" s="4">
        <v>6711.0</v>
      </c>
      <c r="B1184" s="2" t="s">
        <v>4947</v>
      </c>
      <c r="C1184" s="2" t="s">
        <v>4948</v>
      </c>
      <c r="D1184" s="2" t="s">
        <v>2671</v>
      </c>
      <c r="E1184" s="2" t="s">
        <v>4949</v>
      </c>
      <c r="F1184" s="2" t="b">
        <v>1</v>
      </c>
      <c r="G1184" s="2" t="b">
        <v>0</v>
      </c>
      <c r="H1184" s="2" t="s">
        <v>37</v>
      </c>
      <c r="I1184" s="2" t="s">
        <v>22</v>
      </c>
      <c r="J1184" s="2" t="s">
        <v>2671</v>
      </c>
      <c r="K1184" s="2" t="s">
        <v>495</v>
      </c>
      <c r="L1184" s="13" t="s">
        <v>496</v>
      </c>
      <c r="M1184" s="2" t="s">
        <v>26</v>
      </c>
      <c r="N1184" s="11" t="s">
        <v>576</v>
      </c>
      <c r="O1184" s="12" t="s">
        <v>53</v>
      </c>
      <c r="P1184" s="5" t="str">
        <f>IFERROR(__xludf.DUMMYFUNCTION("TEXTJOIN("" | "",TRUE,IF(OR(D1184="""",E1184="""",I1184="""",J1184="""",H1184=""""),""ফাঁকা ঘর"",""""),IF(AND(C1184&lt;&gt;"""",D1184&lt;&gt;"""",C1184=D1184),""gloss=figurative"",""""),IF(LEN(D1184)&lt;15,""figurative ছোট"",""""),IF(AND(I1184=""Positive"",REGEXMATCH(H1"&amp;"184,""মূর্খ|ভণ্ড|প্রতার|অলস|লোভ|স্বার্থ|অক্ষম|অযোগ্য|বোকা|কৃপণ|হিংস"")),""valence-target অমিল"",""""),IF(COUNTIF($B:$B,B1184)&gt;1,""ডুপ্লিকেট"",""""))"),"figurative ছোট")</f>
        <v>figurative ছোট</v>
      </c>
      <c r="Q1184" s="5" t="str">
        <f t="shared" si="1"/>
        <v>১ আগে দেখো</v>
      </c>
    </row>
    <row r="1185">
      <c r="A1185" s="4">
        <v>6712.0</v>
      </c>
      <c r="B1185" s="2" t="s">
        <v>4950</v>
      </c>
      <c r="C1185" s="2" t="s">
        <v>4951</v>
      </c>
      <c r="D1185" s="2" t="s">
        <v>2140</v>
      </c>
      <c r="E1185" s="2" t="s">
        <v>4952</v>
      </c>
      <c r="F1185" s="2" t="b">
        <v>1</v>
      </c>
      <c r="G1185" s="2" t="b">
        <v>0</v>
      </c>
      <c r="H1185" s="2" t="s">
        <v>37</v>
      </c>
      <c r="I1185" s="2" t="s">
        <v>49</v>
      </c>
      <c r="J1185" s="2" t="s">
        <v>2140</v>
      </c>
      <c r="K1185" s="2" t="s">
        <v>495</v>
      </c>
      <c r="L1185" s="13" t="s">
        <v>496</v>
      </c>
      <c r="M1185" s="2" t="s">
        <v>26</v>
      </c>
      <c r="N1185" s="11" t="s">
        <v>576</v>
      </c>
      <c r="O1185" s="12" t="s">
        <v>53</v>
      </c>
      <c r="P1185" s="5" t="str">
        <f>IFERROR(__xludf.DUMMYFUNCTION("TEXTJOIN("" | "",TRUE,IF(OR(D1185="""",E1185="""",I1185="""",J1185="""",H1185=""""),""ফাঁকা ঘর"",""""),IF(AND(C1185&lt;&gt;"""",D1185&lt;&gt;"""",C1185=D1185),""gloss=figurative"",""""),IF(LEN(D1185)&lt;15,""figurative ছোট"",""""),IF(AND(I1185=""Positive"",REGEXMATCH(H1"&amp;"185,""মূর্খ|ভণ্ড|প্রতার|অলস|লোভ|স্বার্থ|অক্ষম|অযোগ্য|বোকা|কৃপণ|হিংস"")),""valence-target অমিল"",""""),IF(COUNTIF($B:$B,B1185)&gt;1,""ডুপ্লিকেট"",""""))"),"figurative ছোট")</f>
        <v>figurative ছোট</v>
      </c>
      <c r="Q1185" s="5" t="str">
        <f t="shared" si="1"/>
        <v>১ আগে দেখো</v>
      </c>
    </row>
    <row r="1186">
      <c r="A1186" s="4">
        <v>6713.0</v>
      </c>
      <c r="B1186" s="2" t="s">
        <v>4953</v>
      </c>
      <c r="C1186" s="2" t="s">
        <v>4954</v>
      </c>
      <c r="D1186" s="2" t="s">
        <v>1679</v>
      </c>
      <c r="E1186" s="2" t="s">
        <v>4955</v>
      </c>
      <c r="F1186" s="2" t="b">
        <v>1</v>
      </c>
      <c r="G1186" s="2" t="b">
        <v>0</v>
      </c>
      <c r="H1186" s="2" t="s">
        <v>37</v>
      </c>
      <c r="I1186" s="2" t="s">
        <v>49</v>
      </c>
      <c r="J1186" s="2" t="s">
        <v>1679</v>
      </c>
      <c r="K1186" s="2" t="s">
        <v>495</v>
      </c>
      <c r="L1186" s="13" t="s">
        <v>496</v>
      </c>
      <c r="M1186" s="2" t="s">
        <v>26</v>
      </c>
      <c r="N1186" s="11" t="s">
        <v>576</v>
      </c>
      <c r="O1186" s="12" t="s">
        <v>53</v>
      </c>
      <c r="P1186" s="5" t="str">
        <f>IFERROR(__xludf.DUMMYFUNCTION("TEXTJOIN("" | "",TRUE,IF(OR(D1186="""",E1186="""",I1186="""",J1186="""",H1186=""""),""ফাঁকা ঘর"",""""),IF(AND(C1186&lt;&gt;"""",D1186&lt;&gt;"""",C1186=D1186),""gloss=figurative"",""""),IF(LEN(D1186)&lt;15,""figurative ছোট"",""""),IF(AND(I1186=""Positive"",REGEXMATCH(H1"&amp;"186,""মূর্খ|ভণ্ড|প্রতার|অলস|লোভ|স্বার্থ|অক্ষম|অযোগ্য|বোকা|কৃপণ|হিংস"")),""valence-target অমিল"",""""),IF(COUNTIF($B:$B,B1186)&gt;1,""ডুপ্লিকেট"",""""))"),"figurative ছোট")</f>
        <v>figurative ছোট</v>
      </c>
      <c r="Q1186" s="5" t="str">
        <f t="shared" si="1"/>
        <v>১ আগে দেখো</v>
      </c>
    </row>
    <row r="1187">
      <c r="A1187" s="4">
        <v>6714.0</v>
      </c>
      <c r="B1187" s="2" t="s">
        <v>4956</v>
      </c>
      <c r="C1187" s="2" t="s">
        <v>4957</v>
      </c>
      <c r="D1187" s="2" t="s">
        <v>1254</v>
      </c>
      <c r="E1187" s="2" t="s">
        <v>4958</v>
      </c>
      <c r="F1187" s="2" t="b">
        <v>1</v>
      </c>
      <c r="G1187" s="2" t="b">
        <v>0</v>
      </c>
      <c r="H1187" s="2" t="s">
        <v>37</v>
      </c>
      <c r="I1187" s="2" t="s">
        <v>49</v>
      </c>
      <c r="J1187" s="2" t="s">
        <v>1254</v>
      </c>
      <c r="K1187" s="2" t="s">
        <v>495</v>
      </c>
      <c r="L1187" s="13" t="s">
        <v>496</v>
      </c>
      <c r="M1187" s="2" t="s">
        <v>26</v>
      </c>
      <c r="N1187" s="11" t="s">
        <v>576</v>
      </c>
      <c r="O1187" s="12" t="s">
        <v>53</v>
      </c>
      <c r="P1187" s="5" t="str">
        <f>IFERROR(__xludf.DUMMYFUNCTION("TEXTJOIN("" | "",TRUE,IF(OR(D1187="""",E1187="""",I1187="""",J1187="""",H1187=""""),""ফাঁকা ঘর"",""""),IF(AND(C1187&lt;&gt;"""",D1187&lt;&gt;"""",C1187=D1187),""gloss=figurative"",""""),IF(LEN(D1187)&lt;15,""figurative ছোট"",""""),IF(AND(I1187=""Positive"",REGEXMATCH(H1"&amp;"187,""মূর্খ|ভণ্ড|প্রতার|অলস|লোভ|স্বার্থ|অক্ষম|অযোগ্য|বোকা|কৃপণ|হিংস"")),""valence-target অমিল"",""""),IF(COUNTIF($B:$B,B1187)&gt;1,""ডুপ্লিকেট"",""""))"),"figurative ছোট")</f>
        <v>figurative ছোট</v>
      </c>
      <c r="Q1187" s="5" t="str">
        <f t="shared" si="1"/>
        <v>১ আগে দেখো</v>
      </c>
    </row>
    <row r="1188">
      <c r="A1188" s="4">
        <v>6715.0</v>
      </c>
      <c r="B1188" s="2" t="s">
        <v>4959</v>
      </c>
      <c r="C1188" s="2" t="s">
        <v>4960</v>
      </c>
      <c r="D1188" s="2" t="s">
        <v>4961</v>
      </c>
      <c r="E1188" s="2" t="s">
        <v>4962</v>
      </c>
      <c r="F1188" s="2" t="b">
        <v>1</v>
      </c>
      <c r="G1188" s="2" t="b">
        <v>0</v>
      </c>
      <c r="H1188" s="2" t="s">
        <v>37</v>
      </c>
      <c r="I1188" s="2" t="s">
        <v>22</v>
      </c>
      <c r="J1188" s="2" t="s">
        <v>2140</v>
      </c>
      <c r="K1188" s="2" t="s">
        <v>495</v>
      </c>
      <c r="L1188" s="13" t="s">
        <v>496</v>
      </c>
      <c r="M1188" s="2" t="s">
        <v>26</v>
      </c>
      <c r="N1188" s="11" t="s">
        <v>576</v>
      </c>
      <c r="O1188" s="12" t="s">
        <v>53</v>
      </c>
      <c r="P1188" s="5" t="str">
        <f>IFERROR(__xludf.DUMMYFUNCTION("TEXTJOIN("" | "",TRUE,IF(OR(D1188="""",E1188="""",I1188="""",J1188="""",H1188=""""),""ফাঁকা ঘর"",""""),IF(AND(C1188&lt;&gt;"""",D1188&lt;&gt;"""",C1188=D1188),""gloss=figurative"",""""),IF(LEN(D1188)&lt;15,""figurative ছোট"",""""),IF(AND(I1188=""Positive"",REGEXMATCH(H1"&amp;"188,""মূর্খ|ভণ্ড|প্রতার|অলস|লোভ|স্বার্থ|অক্ষম|অযোগ্য|বোকা|কৃপণ|হিংস"")),""valence-target অমিল"",""""),IF(COUNTIF($B:$B,B1188)&gt;1,""ডুপ্লিকেট"",""""))"),"figurative ছোট")</f>
        <v>figurative ছোট</v>
      </c>
      <c r="Q1188" s="5" t="str">
        <f t="shared" si="1"/>
        <v>১ আগে দেখো</v>
      </c>
    </row>
    <row r="1189">
      <c r="A1189" s="4">
        <v>6716.0</v>
      </c>
      <c r="B1189" s="2" t="s">
        <v>4963</v>
      </c>
      <c r="C1189" s="2" t="s">
        <v>4964</v>
      </c>
      <c r="D1189" s="2" t="s">
        <v>4965</v>
      </c>
      <c r="E1189" s="2" t="s">
        <v>4966</v>
      </c>
      <c r="F1189" s="2" t="b">
        <v>1</v>
      </c>
      <c r="G1189" s="2" t="b">
        <v>0</v>
      </c>
      <c r="H1189" s="2" t="s">
        <v>37</v>
      </c>
      <c r="I1189" s="2" t="s">
        <v>49</v>
      </c>
      <c r="J1189" s="2" t="s">
        <v>2140</v>
      </c>
      <c r="K1189" s="2" t="s">
        <v>495</v>
      </c>
      <c r="L1189" s="13" t="s">
        <v>496</v>
      </c>
      <c r="M1189" s="2" t="s">
        <v>26</v>
      </c>
      <c r="N1189" s="11" t="s">
        <v>576</v>
      </c>
      <c r="O1189" s="12" t="s">
        <v>53</v>
      </c>
      <c r="P1189" s="5" t="str">
        <f>IFERROR(__xludf.DUMMYFUNCTION("TEXTJOIN("" | "",TRUE,IF(OR(D1189="""",E1189="""",I1189="""",J1189="""",H1189=""""),""ফাঁকা ঘর"",""""),IF(AND(C1189&lt;&gt;"""",D1189&lt;&gt;"""",C1189=D1189),""gloss=figurative"",""""),IF(LEN(D1189)&lt;15,""figurative ছোট"",""""),IF(AND(I1189=""Positive"",REGEXMATCH(H1"&amp;"189,""মূর্খ|ভণ্ড|প্রতার|অলস|লোভ|স্বার্থ|অক্ষম|অযোগ্য|বোকা|কৃপণ|হিংস"")),""valence-target অমিল"",""""),IF(COUNTIF($B:$B,B1189)&gt;1,""ডুপ্লিকেট"",""""))"),"figurative ছোট")</f>
        <v>figurative ছোট</v>
      </c>
      <c r="Q1189" s="5" t="str">
        <f t="shared" si="1"/>
        <v>১ আগে দেখো</v>
      </c>
    </row>
    <row r="1190">
      <c r="A1190" s="4">
        <v>6717.0</v>
      </c>
      <c r="B1190" s="2" t="s">
        <v>4967</v>
      </c>
      <c r="C1190" s="2" t="s">
        <v>4968</v>
      </c>
      <c r="D1190" s="2" t="s">
        <v>1443</v>
      </c>
      <c r="E1190" s="2" t="s">
        <v>4969</v>
      </c>
      <c r="F1190" s="2" t="b">
        <v>1</v>
      </c>
      <c r="G1190" s="2" t="b">
        <v>0</v>
      </c>
      <c r="H1190" s="2" t="s">
        <v>37</v>
      </c>
      <c r="I1190" s="2" t="s">
        <v>49</v>
      </c>
      <c r="J1190" s="2" t="s">
        <v>1443</v>
      </c>
      <c r="K1190" s="2" t="s">
        <v>495</v>
      </c>
      <c r="L1190" s="13" t="s">
        <v>496</v>
      </c>
      <c r="M1190" s="2" t="s">
        <v>26</v>
      </c>
      <c r="N1190" s="11" t="s">
        <v>576</v>
      </c>
      <c r="O1190" s="12" t="s">
        <v>53</v>
      </c>
      <c r="P1190" s="5" t="str">
        <f>IFERROR(__xludf.DUMMYFUNCTION("TEXTJOIN("" | "",TRUE,IF(OR(D1190="""",E1190="""",I1190="""",J1190="""",H1190=""""),""ফাঁকা ঘর"",""""),IF(AND(C1190&lt;&gt;"""",D1190&lt;&gt;"""",C1190=D1190),""gloss=figurative"",""""),IF(LEN(D1190)&lt;15,""figurative ছোট"",""""),IF(AND(I1190=""Positive"",REGEXMATCH(H1"&amp;"190,""মূর্খ|ভণ্ড|প্রতার|অলস|লোভ|স্বার্থ|অক্ষম|অযোগ্য|বোকা|কৃপণ|হিংস"")),""valence-target অমিল"",""""),IF(COUNTIF($B:$B,B1190)&gt;1,""ডুপ্লিকেট"",""""))"),"figurative ছোট")</f>
        <v>figurative ছোট</v>
      </c>
      <c r="Q1190" s="5" t="str">
        <f t="shared" si="1"/>
        <v>১ আগে দেখো</v>
      </c>
    </row>
    <row r="1191">
      <c r="A1191" s="4">
        <v>6718.0</v>
      </c>
      <c r="B1191" s="2" t="s">
        <v>4970</v>
      </c>
      <c r="C1191" s="2" t="s">
        <v>4813</v>
      </c>
      <c r="D1191" s="2" t="s">
        <v>340</v>
      </c>
      <c r="E1191" s="2" t="s">
        <v>4971</v>
      </c>
      <c r="F1191" s="2" t="b">
        <v>1</v>
      </c>
      <c r="G1191" s="2" t="b">
        <v>0</v>
      </c>
      <c r="H1191" s="2" t="s">
        <v>37</v>
      </c>
      <c r="I1191" s="2" t="s">
        <v>32</v>
      </c>
      <c r="J1191" s="2" t="s">
        <v>3416</v>
      </c>
      <c r="K1191" s="2" t="s">
        <v>495</v>
      </c>
      <c r="L1191" s="13" t="s">
        <v>496</v>
      </c>
      <c r="M1191" s="2" t="s">
        <v>26</v>
      </c>
      <c r="N1191" s="11" t="s">
        <v>576</v>
      </c>
      <c r="O1191" s="12" t="s">
        <v>53</v>
      </c>
      <c r="P1191" s="5" t="str">
        <f>IFERROR(__xludf.DUMMYFUNCTION("TEXTJOIN("" | "",TRUE,IF(OR(D1191="""",E1191="""",I1191="""",J1191="""",H1191=""""),""ফাঁকা ঘর"",""""),IF(AND(C1191&lt;&gt;"""",D1191&lt;&gt;"""",C1191=D1191),""gloss=figurative"",""""),IF(LEN(D1191)&lt;15,""figurative ছোট"",""""),IF(AND(I1191=""Positive"",REGEXMATCH(H1"&amp;"191,""মূর্খ|ভণ্ড|প্রতার|অলস|লোভ|স্বার্থ|অক্ষম|অযোগ্য|বোকা|কৃপণ|হিংস"")),""valence-target অমিল"",""""),IF(COUNTIF($B:$B,B1191)&gt;1,""ডুপ্লিকেট"",""""))"),"figurative ছোট")</f>
        <v>figurative ছোট</v>
      </c>
      <c r="Q1191" s="5" t="str">
        <f t="shared" si="1"/>
        <v>১ আগে দেখো</v>
      </c>
    </row>
    <row r="1192">
      <c r="A1192" s="4">
        <v>6720.0</v>
      </c>
      <c r="B1192" s="2" t="s">
        <v>4972</v>
      </c>
      <c r="C1192" s="2" t="s">
        <v>4973</v>
      </c>
      <c r="D1192" s="2" t="s">
        <v>4974</v>
      </c>
      <c r="E1192" s="2" t="s">
        <v>4975</v>
      </c>
      <c r="F1192" s="2" t="b">
        <v>1</v>
      </c>
      <c r="G1192" s="2" t="b">
        <v>0</v>
      </c>
      <c r="H1192" s="2" t="s">
        <v>4976</v>
      </c>
      <c r="I1192" s="2" t="s">
        <v>49</v>
      </c>
      <c r="J1192" s="2" t="s">
        <v>1443</v>
      </c>
      <c r="K1192" s="2" t="s">
        <v>495</v>
      </c>
      <c r="L1192" s="13" t="s">
        <v>496</v>
      </c>
      <c r="M1192" s="2" t="s">
        <v>26</v>
      </c>
      <c r="N1192" s="11" t="s">
        <v>4977</v>
      </c>
      <c r="O1192" s="12" t="s">
        <v>53</v>
      </c>
      <c r="P1192" s="5" t="str">
        <f>IFERROR(__xludf.DUMMYFUNCTION("TEXTJOIN("" | "",TRUE,IF(OR(D1192="""",E1192="""",I1192="""",J1192="""",H1192=""""),""ফাঁকা ঘর"",""""),IF(AND(C1192&lt;&gt;"""",D1192&lt;&gt;"""",C1192=D1192),""gloss=figurative"",""""),IF(LEN(D1192)&lt;15,""figurative ছোট"",""""),IF(AND(I1192=""Positive"",REGEXMATCH(H1"&amp;"192,""মূর্খ|ভণ্ড|প্রতার|অলস|লোভ|স্বার্থ|অক্ষম|অযোগ্য|বোকা|কৃপণ|হিংস"")),""valence-target অমিল"",""""),IF(COUNTIF($B:$B,B1192)&gt;1,""ডুপ্লিকেট"",""""))"),"figurative ছোট")</f>
        <v>figurative ছোট</v>
      </c>
      <c r="Q1192" s="5" t="str">
        <f t="shared" si="1"/>
        <v>১ আগে দেখো</v>
      </c>
    </row>
    <row r="1193">
      <c r="A1193" s="4">
        <v>6721.0</v>
      </c>
      <c r="B1193" s="2" t="s">
        <v>4978</v>
      </c>
      <c r="C1193" s="2" t="s">
        <v>4979</v>
      </c>
      <c r="D1193" s="2" t="s">
        <v>2803</v>
      </c>
      <c r="E1193" s="2" t="s">
        <v>4980</v>
      </c>
      <c r="F1193" s="2" t="b">
        <v>1</v>
      </c>
      <c r="G1193" s="2" t="b">
        <v>0</v>
      </c>
      <c r="H1193" s="2" t="s">
        <v>37</v>
      </c>
      <c r="I1193" s="2" t="s">
        <v>49</v>
      </c>
      <c r="J1193" s="2" t="s">
        <v>2803</v>
      </c>
      <c r="K1193" s="2" t="s">
        <v>495</v>
      </c>
      <c r="L1193" s="13" t="s">
        <v>496</v>
      </c>
      <c r="M1193" s="2" t="s">
        <v>26</v>
      </c>
      <c r="N1193" s="11" t="s">
        <v>576</v>
      </c>
      <c r="O1193" s="12" t="s">
        <v>53</v>
      </c>
      <c r="P1193" s="5" t="str">
        <f>IFERROR(__xludf.DUMMYFUNCTION("TEXTJOIN("" | "",TRUE,IF(OR(D1193="""",E1193="""",I1193="""",J1193="""",H1193=""""),""ফাঁকা ঘর"",""""),IF(AND(C1193&lt;&gt;"""",D1193&lt;&gt;"""",C1193=D1193),""gloss=figurative"",""""),IF(LEN(D1193)&lt;15,""figurative ছোট"",""""),IF(AND(I1193=""Positive"",REGEXMATCH(H1"&amp;"193,""মূর্খ|ভণ্ড|প্রতার|অলস|লোভ|স্বার্থ|অক্ষম|অযোগ্য|বোকা|কৃপণ|হিংস"")),""valence-target অমিল"",""""),IF(COUNTIF($B:$B,B1193)&gt;1,""ডুপ্লিকেট"",""""))"),"figurative ছোট")</f>
        <v>figurative ছোট</v>
      </c>
      <c r="Q1193" s="5" t="str">
        <f t="shared" si="1"/>
        <v>১ আগে দেখো</v>
      </c>
    </row>
    <row r="1194">
      <c r="A1194" s="4">
        <v>6722.0</v>
      </c>
      <c r="B1194" s="2" t="s">
        <v>4981</v>
      </c>
      <c r="C1194" s="2" t="s">
        <v>4982</v>
      </c>
      <c r="D1194" s="2" t="s">
        <v>1239</v>
      </c>
      <c r="E1194" s="2" t="s">
        <v>4983</v>
      </c>
      <c r="F1194" s="2" t="b">
        <v>1</v>
      </c>
      <c r="G1194" s="2" t="b">
        <v>1</v>
      </c>
      <c r="H1194" s="2" t="s">
        <v>4984</v>
      </c>
      <c r="I1194" s="2" t="s">
        <v>22</v>
      </c>
      <c r="J1194" s="2" t="s">
        <v>1239</v>
      </c>
      <c r="K1194" s="2" t="s">
        <v>495</v>
      </c>
      <c r="L1194" s="13" t="s">
        <v>496</v>
      </c>
      <c r="M1194" s="2" t="s">
        <v>26</v>
      </c>
      <c r="N1194" s="11" t="s">
        <v>576</v>
      </c>
      <c r="O1194" s="12" t="s">
        <v>53</v>
      </c>
      <c r="P1194" s="5" t="str">
        <f>IFERROR(__xludf.DUMMYFUNCTION("TEXTJOIN("" | "",TRUE,IF(OR(D1194="""",E1194="""",I1194="""",J1194="""",H1194=""""),""ফাঁকা ঘর"",""""),IF(AND(C1194&lt;&gt;"""",D1194&lt;&gt;"""",C1194=D1194),""gloss=figurative"",""""),IF(LEN(D1194)&lt;15,""figurative ছোট"",""""),IF(AND(I1194=""Positive"",REGEXMATCH(H1"&amp;"194,""মূর্খ|ভণ্ড|প্রতার|অলস|লোভ|স্বার্থ|অক্ষম|অযোগ্য|বোকা|কৃপণ|হিংস"")),""valence-target অমিল"",""""),IF(COUNTIF($B:$B,B1194)&gt;1,""ডুপ্লিকেট"",""""))"),"figurative ছোট")</f>
        <v>figurative ছোট</v>
      </c>
      <c r="Q1194" s="5" t="str">
        <f t="shared" si="1"/>
        <v>১ আগে দেখো</v>
      </c>
    </row>
    <row r="1195">
      <c r="A1195" s="4">
        <v>6723.0</v>
      </c>
      <c r="B1195" s="2" t="s">
        <v>4985</v>
      </c>
      <c r="C1195" s="2" t="s">
        <v>4985</v>
      </c>
      <c r="D1195" s="2" t="s">
        <v>4986</v>
      </c>
      <c r="E1195" s="2" t="s">
        <v>4987</v>
      </c>
      <c r="F1195" s="2" t="b">
        <v>1</v>
      </c>
      <c r="G1195" s="2" t="b">
        <v>0</v>
      </c>
      <c r="H1195" s="2" t="s">
        <v>37</v>
      </c>
      <c r="I1195" s="2" t="s">
        <v>32</v>
      </c>
      <c r="J1195" s="2" t="s">
        <v>1510</v>
      </c>
      <c r="K1195" s="2" t="s">
        <v>495</v>
      </c>
      <c r="L1195" s="13" t="s">
        <v>496</v>
      </c>
      <c r="M1195" s="2" t="s">
        <v>26</v>
      </c>
      <c r="N1195" s="11" t="s">
        <v>576</v>
      </c>
      <c r="O1195" s="12" t="s">
        <v>53</v>
      </c>
      <c r="P1195" s="5" t="str">
        <f>IFERROR(__xludf.DUMMYFUNCTION("TEXTJOIN("" | "",TRUE,IF(OR(D1195="""",E1195="""",I1195="""",J1195="""",H1195=""""),""ফাঁকা ঘর"",""""),IF(AND(C1195&lt;&gt;"""",D1195&lt;&gt;"""",C1195=D1195),""gloss=figurative"",""""),IF(LEN(D1195)&lt;15,""figurative ছোট"",""""),IF(AND(I1195=""Positive"",REGEXMATCH(H1"&amp;"195,""মূর্খ|ভণ্ড|প্রতার|অলস|লোভ|স্বার্থ|অক্ষম|অযোগ্য|বোকা|কৃপণ|হিংস"")),""valence-target অমিল"",""""),IF(COUNTIF($B:$B,B1195)&gt;1,""ডুপ্লিকেট"",""""))"),"figurative ছোট")</f>
        <v>figurative ছোট</v>
      </c>
      <c r="Q1195" s="5" t="str">
        <f t="shared" si="1"/>
        <v>১ আগে দেখো</v>
      </c>
    </row>
    <row r="1196">
      <c r="A1196" s="4">
        <v>6724.0</v>
      </c>
      <c r="B1196" s="2" t="s">
        <v>4988</v>
      </c>
      <c r="C1196" s="2" t="s">
        <v>4989</v>
      </c>
      <c r="D1196" s="2" t="s">
        <v>1510</v>
      </c>
      <c r="E1196" s="2" t="s">
        <v>4990</v>
      </c>
      <c r="F1196" s="2" t="b">
        <v>1</v>
      </c>
      <c r="G1196" s="2" t="b">
        <v>0</v>
      </c>
      <c r="H1196" s="2" t="s">
        <v>37</v>
      </c>
      <c r="I1196" s="2" t="s">
        <v>32</v>
      </c>
      <c r="J1196" s="2" t="s">
        <v>1510</v>
      </c>
      <c r="K1196" s="2" t="s">
        <v>495</v>
      </c>
      <c r="L1196" s="13" t="s">
        <v>496</v>
      </c>
      <c r="M1196" s="2" t="s">
        <v>26</v>
      </c>
      <c r="N1196" s="11" t="s">
        <v>576</v>
      </c>
      <c r="O1196" s="12" t="s">
        <v>53</v>
      </c>
      <c r="P1196" s="5" t="str">
        <f>IFERROR(__xludf.DUMMYFUNCTION("TEXTJOIN("" | "",TRUE,IF(OR(D1196="""",E1196="""",I1196="""",J1196="""",H1196=""""),""ফাঁকা ঘর"",""""),IF(AND(C1196&lt;&gt;"""",D1196&lt;&gt;"""",C1196=D1196),""gloss=figurative"",""""),IF(LEN(D1196)&lt;15,""figurative ছোট"",""""),IF(AND(I1196=""Positive"",REGEXMATCH(H1"&amp;"196,""মূর্খ|ভণ্ড|প্রতার|অলস|লোভ|স্বার্থ|অক্ষম|অযোগ্য|বোকা|কৃপণ|হিংস"")),""valence-target অমিল"",""""),IF(COUNTIF($B:$B,B1196)&gt;1,""ডুপ্লিকেট"",""""))"),"figurative ছোট")</f>
        <v>figurative ছোট</v>
      </c>
      <c r="Q1196" s="5" t="str">
        <f t="shared" si="1"/>
        <v>১ আগে দেখো</v>
      </c>
    </row>
    <row r="1197">
      <c r="A1197" s="4">
        <v>6725.0</v>
      </c>
      <c r="B1197" s="2" t="s">
        <v>4991</v>
      </c>
      <c r="C1197" s="2" t="s">
        <v>4992</v>
      </c>
      <c r="D1197" s="2" t="s">
        <v>1510</v>
      </c>
      <c r="E1197" s="2" t="s">
        <v>4993</v>
      </c>
      <c r="F1197" s="2" t="b">
        <v>1</v>
      </c>
      <c r="G1197" s="2" t="b">
        <v>0</v>
      </c>
      <c r="H1197" s="2" t="s">
        <v>37</v>
      </c>
      <c r="I1197" s="2" t="s">
        <v>32</v>
      </c>
      <c r="J1197" s="2" t="s">
        <v>1510</v>
      </c>
      <c r="K1197" s="2" t="s">
        <v>495</v>
      </c>
      <c r="L1197" s="13" t="s">
        <v>496</v>
      </c>
      <c r="M1197" s="2" t="s">
        <v>26</v>
      </c>
      <c r="N1197" s="11" t="s">
        <v>576</v>
      </c>
      <c r="O1197" s="12" t="s">
        <v>53</v>
      </c>
      <c r="P1197" s="5" t="str">
        <f>IFERROR(__xludf.DUMMYFUNCTION("TEXTJOIN("" | "",TRUE,IF(OR(D1197="""",E1197="""",I1197="""",J1197="""",H1197=""""),""ফাঁকা ঘর"",""""),IF(AND(C1197&lt;&gt;"""",D1197&lt;&gt;"""",C1197=D1197),""gloss=figurative"",""""),IF(LEN(D1197)&lt;15,""figurative ছোট"",""""),IF(AND(I1197=""Positive"",REGEXMATCH(H1"&amp;"197,""মূর্খ|ভণ্ড|প্রতার|অলস|লোভ|স্বার্থ|অক্ষম|অযোগ্য|বোকা|কৃপণ|হিংস"")),""valence-target অমিল"",""""),IF(COUNTIF($B:$B,B1197)&gt;1,""ডুপ্লিকেট"",""""))"),"figurative ছোট")</f>
        <v>figurative ছোট</v>
      </c>
      <c r="Q1197" s="5" t="str">
        <f t="shared" si="1"/>
        <v>১ আগে দেখো</v>
      </c>
    </row>
    <row r="1198">
      <c r="A1198" s="4">
        <v>6726.0</v>
      </c>
      <c r="B1198" s="2" t="s">
        <v>4994</v>
      </c>
      <c r="C1198" s="2" t="s">
        <v>4994</v>
      </c>
      <c r="D1198" s="2" t="s">
        <v>4995</v>
      </c>
      <c r="E1198" s="2" t="s">
        <v>4996</v>
      </c>
      <c r="F1198" s="2" t="b">
        <v>1</v>
      </c>
      <c r="G1198" s="2" t="b">
        <v>0</v>
      </c>
      <c r="H1198" s="2" t="s">
        <v>37</v>
      </c>
      <c r="I1198" s="2" t="s">
        <v>22</v>
      </c>
      <c r="J1198" s="2" t="s">
        <v>3661</v>
      </c>
      <c r="K1198" s="2" t="s">
        <v>495</v>
      </c>
      <c r="L1198" s="13" t="s">
        <v>496</v>
      </c>
      <c r="M1198" s="2" t="s">
        <v>26</v>
      </c>
      <c r="N1198" s="11" t="s">
        <v>576</v>
      </c>
      <c r="O1198" s="12" t="s">
        <v>53</v>
      </c>
      <c r="P1198" s="5" t="str">
        <f>IFERROR(__xludf.DUMMYFUNCTION("TEXTJOIN("" | "",TRUE,IF(OR(D1198="""",E1198="""",I1198="""",J1198="""",H1198=""""),""ফাঁকা ঘর"",""""),IF(AND(C1198&lt;&gt;"""",D1198&lt;&gt;"""",C1198=D1198),""gloss=figurative"",""""),IF(LEN(D1198)&lt;15,""figurative ছোট"",""""),IF(AND(I1198=""Positive"",REGEXMATCH(H1"&amp;"198,""মূর্খ|ভণ্ড|প্রতার|অলস|লোভ|স্বার্থ|অক্ষম|অযোগ্য|বোকা|কৃপণ|হিংস"")),""valence-target অমিল"",""""),IF(COUNTIF($B:$B,B1198)&gt;1,""ডুপ্লিকেট"",""""))"),"figurative ছোট")</f>
        <v>figurative ছোট</v>
      </c>
      <c r="Q1198" s="5" t="str">
        <f t="shared" si="1"/>
        <v>১ আগে দেখো</v>
      </c>
    </row>
    <row r="1199">
      <c r="A1199" s="4">
        <v>6727.0</v>
      </c>
      <c r="B1199" s="2" t="s">
        <v>4997</v>
      </c>
      <c r="C1199" s="2" t="s">
        <v>4997</v>
      </c>
      <c r="D1199" s="2" t="s">
        <v>1510</v>
      </c>
      <c r="E1199" s="2" t="s">
        <v>4998</v>
      </c>
      <c r="F1199" s="2" t="b">
        <v>1</v>
      </c>
      <c r="G1199" s="2" t="b">
        <v>0</v>
      </c>
      <c r="H1199" s="2" t="s">
        <v>37</v>
      </c>
      <c r="I1199" s="2" t="s">
        <v>32</v>
      </c>
      <c r="J1199" s="2" t="s">
        <v>1510</v>
      </c>
      <c r="K1199" s="2" t="s">
        <v>495</v>
      </c>
      <c r="L1199" s="13" t="s">
        <v>496</v>
      </c>
      <c r="M1199" s="2" t="s">
        <v>26</v>
      </c>
      <c r="N1199" s="11" t="s">
        <v>576</v>
      </c>
      <c r="O1199" s="12" t="s">
        <v>53</v>
      </c>
      <c r="P1199" s="5" t="str">
        <f>IFERROR(__xludf.DUMMYFUNCTION("TEXTJOIN("" | "",TRUE,IF(OR(D1199="""",E1199="""",I1199="""",J1199="""",H1199=""""),""ফাঁকা ঘর"",""""),IF(AND(C1199&lt;&gt;"""",D1199&lt;&gt;"""",C1199=D1199),""gloss=figurative"",""""),IF(LEN(D1199)&lt;15,""figurative ছোট"",""""),IF(AND(I1199=""Positive"",REGEXMATCH(H1"&amp;"199,""মূর্খ|ভণ্ড|প্রতার|অলস|লোভ|স্বার্থ|অক্ষম|অযোগ্য|বোকা|কৃপণ|হিংস"")),""valence-target অমিল"",""""),IF(COUNTIF($B:$B,B1199)&gt;1,""ডুপ্লিকেট"",""""))"),"figurative ছোট")</f>
        <v>figurative ছোট</v>
      </c>
      <c r="Q1199" s="5" t="str">
        <f t="shared" si="1"/>
        <v>১ আগে দেখো</v>
      </c>
    </row>
    <row r="1200">
      <c r="A1200" s="4">
        <v>6728.0</v>
      </c>
      <c r="B1200" s="2" t="s">
        <v>4999</v>
      </c>
      <c r="C1200" s="2" t="s">
        <v>4999</v>
      </c>
      <c r="D1200" s="2" t="s">
        <v>5000</v>
      </c>
      <c r="E1200" s="2" t="s">
        <v>5001</v>
      </c>
      <c r="F1200" s="2" t="b">
        <v>1</v>
      </c>
      <c r="G1200" s="2" t="b">
        <v>0</v>
      </c>
      <c r="H1200" s="2" t="s">
        <v>37</v>
      </c>
      <c r="I1200" s="2" t="s">
        <v>32</v>
      </c>
      <c r="J1200" s="2" t="s">
        <v>1510</v>
      </c>
      <c r="K1200" s="2" t="s">
        <v>495</v>
      </c>
      <c r="L1200" s="13" t="s">
        <v>496</v>
      </c>
      <c r="M1200" s="2" t="s">
        <v>26</v>
      </c>
      <c r="N1200" s="11" t="s">
        <v>576</v>
      </c>
      <c r="O1200" s="12" t="s">
        <v>53</v>
      </c>
      <c r="P1200" s="5" t="str">
        <f>IFERROR(__xludf.DUMMYFUNCTION("TEXTJOIN("" | "",TRUE,IF(OR(D1200="""",E1200="""",I1200="""",J1200="""",H1200=""""),""ফাঁকা ঘর"",""""),IF(AND(C1200&lt;&gt;"""",D1200&lt;&gt;"""",C1200=D1200),""gloss=figurative"",""""),IF(LEN(D1200)&lt;15,""figurative ছোট"",""""),IF(AND(I1200=""Positive"",REGEXMATCH(H1"&amp;"200,""মূর্খ|ভণ্ড|প্রতার|অলস|লোভ|স্বার্থ|অক্ষম|অযোগ্য|বোকা|কৃপণ|হিংস"")),""valence-target অমিল"",""""),IF(COUNTIF($B:$B,B1200)&gt;1,""ডুপ্লিকেট"",""""))"),"figurative ছোট")</f>
        <v>figurative ছোট</v>
      </c>
      <c r="Q1200" s="5" t="str">
        <f t="shared" si="1"/>
        <v>১ আগে দেখো</v>
      </c>
    </row>
    <row r="1201">
      <c r="A1201" s="4">
        <v>6729.0</v>
      </c>
      <c r="B1201" s="2" t="s">
        <v>5002</v>
      </c>
      <c r="C1201" s="2" t="s">
        <v>5003</v>
      </c>
      <c r="D1201" s="2" t="s">
        <v>5004</v>
      </c>
      <c r="E1201" s="2" t="s">
        <v>5005</v>
      </c>
      <c r="F1201" s="2" t="b">
        <v>1</v>
      </c>
      <c r="G1201" s="2" t="b">
        <v>0</v>
      </c>
      <c r="H1201" s="2" t="s">
        <v>37</v>
      </c>
      <c r="I1201" s="2" t="s">
        <v>49</v>
      </c>
      <c r="J1201" s="2" t="s">
        <v>5006</v>
      </c>
      <c r="K1201" s="2" t="s">
        <v>495</v>
      </c>
      <c r="L1201" s="13" t="s">
        <v>496</v>
      </c>
      <c r="M1201" s="2" t="s">
        <v>26</v>
      </c>
      <c r="N1201" s="11" t="s">
        <v>576</v>
      </c>
      <c r="O1201" s="12" t="s">
        <v>53</v>
      </c>
      <c r="P1201" s="5" t="str">
        <f>IFERROR(__xludf.DUMMYFUNCTION("TEXTJOIN("" | "",TRUE,IF(OR(D1201="""",E1201="""",I1201="""",J1201="""",H1201=""""),""ফাঁকা ঘর"",""""),IF(AND(C1201&lt;&gt;"""",D1201&lt;&gt;"""",C1201=D1201),""gloss=figurative"",""""),IF(LEN(D1201)&lt;15,""figurative ছোট"",""""),IF(AND(I1201=""Positive"",REGEXMATCH(H1"&amp;"201,""মূর্খ|ভণ্ড|প্রতার|অলস|লোভ|স্বার্থ|অক্ষম|অযোগ্য|বোকা|কৃপণ|হিংস"")),""valence-target অমিল"",""""),IF(COUNTIF($B:$B,B1201)&gt;1,""ডুপ্লিকেট"",""""))"),"figurative ছোট")</f>
        <v>figurative ছোট</v>
      </c>
      <c r="Q1201" s="5" t="str">
        <f t="shared" si="1"/>
        <v>১ আগে দেখো</v>
      </c>
    </row>
    <row r="1202">
      <c r="A1202" s="4">
        <v>6730.0</v>
      </c>
      <c r="B1202" s="2" t="s">
        <v>5007</v>
      </c>
      <c r="C1202" s="2" t="s">
        <v>5008</v>
      </c>
      <c r="D1202" s="2" t="s">
        <v>5009</v>
      </c>
      <c r="E1202" s="2" t="s">
        <v>5010</v>
      </c>
      <c r="F1202" s="2" t="b">
        <v>1</v>
      </c>
      <c r="G1202" s="2" t="b">
        <v>1</v>
      </c>
      <c r="H1202" s="2" t="s">
        <v>1211</v>
      </c>
      <c r="I1202" s="2" t="s">
        <v>49</v>
      </c>
      <c r="J1202" s="2" t="s">
        <v>1798</v>
      </c>
      <c r="K1202" s="2" t="s">
        <v>495</v>
      </c>
      <c r="L1202" s="13" t="s">
        <v>496</v>
      </c>
      <c r="M1202" s="2" t="s">
        <v>26</v>
      </c>
      <c r="N1202" s="11" t="s">
        <v>576</v>
      </c>
      <c r="O1202" s="12" t="s">
        <v>53</v>
      </c>
      <c r="P1202" s="5" t="str">
        <f>IFERROR(__xludf.DUMMYFUNCTION("TEXTJOIN("" | "",TRUE,IF(OR(D1202="""",E1202="""",I1202="""",J1202="""",H1202=""""),""ফাঁকা ঘর"",""""),IF(AND(C1202&lt;&gt;"""",D1202&lt;&gt;"""",C1202=D1202),""gloss=figurative"",""""),IF(LEN(D1202)&lt;15,""figurative ছোট"",""""),IF(AND(I1202=""Positive"",REGEXMATCH(H1"&amp;"202,""মূর্খ|ভণ্ড|প্রতার|অলস|লোভ|স্বার্থ|অক্ষম|অযোগ্য|বোকা|কৃপণ|হিংস"")),""valence-target অমিল"",""""),IF(COUNTIF($B:$B,B1202)&gt;1,""ডুপ্লিকেট"",""""))"),"figurative ছোট")</f>
        <v>figurative ছোট</v>
      </c>
      <c r="Q1202" s="5" t="str">
        <f t="shared" si="1"/>
        <v>১ আগে দেখো</v>
      </c>
    </row>
    <row r="1203">
      <c r="A1203" s="4">
        <v>6731.0</v>
      </c>
      <c r="B1203" s="2" t="s">
        <v>5011</v>
      </c>
      <c r="C1203" s="2" t="s">
        <v>5012</v>
      </c>
      <c r="D1203" s="2" t="s">
        <v>5013</v>
      </c>
      <c r="E1203" s="2" t="s">
        <v>5014</v>
      </c>
      <c r="F1203" s="2" t="b">
        <v>1</v>
      </c>
      <c r="G1203" s="2" t="b">
        <v>0</v>
      </c>
      <c r="H1203" s="2" t="s">
        <v>37</v>
      </c>
      <c r="I1203" s="2" t="s">
        <v>49</v>
      </c>
      <c r="J1203" s="2" t="s">
        <v>4617</v>
      </c>
      <c r="K1203" s="2" t="s">
        <v>495</v>
      </c>
      <c r="L1203" s="13" t="s">
        <v>496</v>
      </c>
      <c r="M1203" s="2" t="s">
        <v>26</v>
      </c>
      <c r="N1203" s="11" t="s">
        <v>576</v>
      </c>
      <c r="O1203" s="12" t="s">
        <v>53</v>
      </c>
      <c r="P1203" s="5" t="str">
        <f>IFERROR(__xludf.DUMMYFUNCTION("TEXTJOIN("" | "",TRUE,IF(OR(D1203="""",E1203="""",I1203="""",J1203="""",H1203=""""),""ফাঁকা ঘর"",""""),IF(AND(C1203&lt;&gt;"""",D1203&lt;&gt;"""",C1203=D1203),""gloss=figurative"",""""),IF(LEN(D1203)&lt;15,""figurative ছোট"",""""),IF(AND(I1203=""Positive"",REGEXMATCH(H1"&amp;"203,""মূর্খ|ভণ্ড|প্রতার|অলস|লোভ|স্বার্থ|অক্ষম|অযোগ্য|বোকা|কৃপণ|হিংস"")),""valence-target অমিল"",""""),IF(COUNTIF($B:$B,B1203)&gt;1,""ডুপ্লিকেট"",""""))"),"figurative ছোট")</f>
        <v>figurative ছোট</v>
      </c>
      <c r="Q1203" s="5" t="str">
        <f t="shared" si="1"/>
        <v>১ আগে দেখো</v>
      </c>
    </row>
    <row r="1204">
      <c r="A1204" s="4">
        <v>6732.0</v>
      </c>
      <c r="B1204" s="2" t="s">
        <v>5015</v>
      </c>
      <c r="C1204" s="2" t="s">
        <v>5016</v>
      </c>
      <c r="D1204" s="2" t="s">
        <v>1254</v>
      </c>
      <c r="E1204" s="2" t="s">
        <v>5017</v>
      </c>
      <c r="F1204" s="2" t="b">
        <v>1</v>
      </c>
      <c r="G1204" s="2" t="b">
        <v>0</v>
      </c>
      <c r="H1204" s="2" t="s">
        <v>37</v>
      </c>
      <c r="I1204" s="2" t="s">
        <v>49</v>
      </c>
      <c r="J1204" s="2" t="s">
        <v>1254</v>
      </c>
      <c r="K1204" s="2" t="s">
        <v>495</v>
      </c>
      <c r="L1204" s="13" t="s">
        <v>496</v>
      </c>
      <c r="M1204" s="2" t="s">
        <v>26</v>
      </c>
      <c r="N1204" s="11" t="s">
        <v>576</v>
      </c>
      <c r="O1204" s="12" t="s">
        <v>53</v>
      </c>
      <c r="P1204" s="5" t="str">
        <f>IFERROR(__xludf.DUMMYFUNCTION("TEXTJOIN("" | "",TRUE,IF(OR(D1204="""",E1204="""",I1204="""",J1204="""",H1204=""""),""ফাঁকা ঘর"",""""),IF(AND(C1204&lt;&gt;"""",D1204&lt;&gt;"""",C1204=D1204),""gloss=figurative"",""""),IF(LEN(D1204)&lt;15,""figurative ছোট"",""""),IF(AND(I1204=""Positive"",REGEXMATCH(H1"&amp;"204,""মূর্খ|ভণ্ড|প্রতার|অলস|লোভ|স্বার্থ|অক্ষম|অযোগ্য|বোকা|কৃপণ|হিংস"")),""valence-target অমিল"",""""),IF(COUNTIF($B:$B,B1204)&gt;1,""ডুপ্লিকেট"",""""))"),"figurative ছোট")</f>
        <v>figurative ছোট</v>
      </c>
      <c r="Q1204" s="5" t="str">
        <f t="shared" si="1"/>
        <v>১ আগে দেখো</v>
      </c>
    </row>
    <row r="1205">
      <c r="A1205" s="4">
        <v>6733.0</v>
      </c>
      <c r="B1205" s="2" t="s">
        <v>5018</v>
      </c>
      <c r="C1205" s="2" t="s">
        <v>5019</v>
      </c>
      <c r="D1205" s="2" t="s">
        <v>1363</v>
      </c>
      <c r="E1205" s="2" t="s">
        <v>5020</v>
      </c>
      <c r="F1205" s="2" t="b">
        <v>1</v>
      </c>
      <c r="G1205" s="2" t="b">
        <v>0</v>
      </c>
      <c r="H1205" s="2" t="s">
        <v>37</v>
      </c>
      <c r="I1205" s="2" t="s">
        <v>22</v>
      </c>
      <c r="J1205" s="2" t="s">
        <v>1363</v>
      </c>
      <c r="K1205" s="2" t="s">
        <v>495</v>
      </c>
      <c r="L1205" s="13" t="s">
        <v>496</v>
      </c>
      <c r="M1205" s="2" t="s">
        <v>26</v>
      </c>
      <c r="N1205" s="11" t="s">
        <v>576</v>
      </c>
      <c r="O1205" s="12" t="s">
        <v>53</v>
      </c>
      <c r="P1205" s="5" t="str">
        <f>IFERROR(__xludf.DUMMYFUNCTION("TEXTJOIN("" | "",TRUE,IF(OR(D1205="""",E1205="""",I1205="""",J1205="""",H1205=""""),""ফাঁকা ঘর"",""""),IF(AND(C1205&lt;&gt;"""",D1205&lt;&gt;"""",C1205=D1205),""gloss=figurative"",""""),IF(LEN(D1205)&lt;15,""figurative ছোট"",""""),IF(AND(I1205=""Positive"",REGEXMATCH(H1"&amp;"205,""মূর্খ|ভণ্ড|প্রতার|অলস|লোভ|স্বার্থ|অক্ষম|অযোগ্য|বোকা|কৃপণ|হিংস"")),""valence-target অমিল"",""""),IF(COUNTIF($B:$B,B1205)&gt;1,""ডুপ্লিকেট"",""""))"),"figurative ছোট")</f>
        <v>figurative ছোট</v>
      </c>
      <c r="Q1205" s="5" t="str">
        <f t="shared" si="1"/>
        <v>১ আগে দেখো</v>
      </c>
    </row>
    <row r="1206">
      <c r="A1206" s="4">
        <v>6734.0</v>
      </c>
      <c r="B1206" s="2" t="s">
        <v>5021</v>
      </c>
      <c r="C1206" s="2" t="s">
        <v>5022</v>
      </c>
      <c r="D1206" s="2" t="s">
        <v>5023</v>
      </c>
      <c r="E1206" s="2" t="s">
        <v>5024</v>
      </c>
      <c r="F1206" s="2" t="b">
        <v>1</v>
      </c>
      <c r="G1206" s="2" t="b">
        <v>0</v>
      </c>
      <c r="H1206" s="2" t="s">
        <v>37</v>
      </c>
      <c r="I1206" s="2" t="s">
        <v>49</v>
      </c>
      <c r="J1206" s="2" t="s">
        <v>2165</v>
      </c>
      <c r="K1206" s="2" t="s">
        <v>495</v>
      </c>
      <c r="L1206" s="13" t="s">
        <v>496</v>
      </c>
      <c r="M1206" s="2" t="s">
        <v>26</v>
      </c>
      <c r="N1206" s="11" t="s">
        <v>576</v>
      </c>
      <c r="O1206" s="12" t="s">
        <v>53</v>
      </c>
      <c r="P1206" s="5" t="str">
        <f>IFERROR(__xludf.DUMMYFUNCTION("TEXTJOIN("" | "",TRUE,IF(OR(D1206="""",E1206="""",I1206="""",J1206="""",H1206=""""),""ফাঁকা ঘর"",""""),IF(AND(C1206&lt;&gt;"""",D1206&lt;&gt;"""",C1206=D1206),""gloss=figurative"",""""),IF(LEN(D1206)&lt;15,""figurative ছোট"",""""),IF(AND(I1206=""Positive"",REGEXMATCH(H1"&amp;"206,""মূর্খ|ভণ্ড|প্রতার|অলস|লোভ|স্বার্থ|অক্ষম|অযোগ্য|বোকা|কৃপণ|হিংস"")),""valence-target অমিল"",""""),IF(COUNTIF($B:$B,B1206)&gt;1,""ডুপ্লিকেট"",""""))"),"figurative ছোট")</f>
        <v>figurative ছোট</v>
      </c>
      <c r="Q1206" s="5" t="str">
        <f t="shared" si="1"/>
        <v>১ আগে দেখো</v>
      </c>
    </row>
    <row r="1207">
      <c r="A1207" s="4">
        <v>6735.0</v>
      </c>
      <c r="B1207" s="2" t="s">
        <v>5025</v>
      </c>
      <c r="C1207" s="2" t="s">
        <v>5026</v>
      </c>
      <c r="D1207" s="2" t="s">
        <v>5027</v>
      </c>
      <c r="E1207" s="2" t="s">
        <v>5028</v>
      </c>
      <c r="F1207" s="2" t="b">
        <v>1</v>
      </c>
      <c r="G1207" s="2" t="b">
        <v>0</v>
      </c>
      <c r="H1207" s="2" t="s">
        <v>37</v>
      </c>
      <c r="I1207" s="2" t="s">
        <v>49</v>
      </c>
      <c r="J1207" s="2" t="s">
        <v>665</v>
      </c>
      <c r="K1207" s="2" t="s">
        <v>495</v>
      </c>
      <c r="L1207" s="13" t="s">
        <v>496</v>
      </c>
      <c r="M1207" s="2" t="s">
        <v>26</v>
      </c>
      <c r="N1207" s="11" t="s">
        <v>576</v>
      </c>
      <c r="O1207" s="12" t="s">
        <v>53</v>
      </c>
      <c r="P1207" s="5" t="str">
        <f>IFERROR(__xludf.DUMMYFUNCTION("TEXTJOIN("" | "",TRUE,IF(OR(D1207="""",E1207="""",I1207="""",J1207="""",H1207=""""),""ফাঁকা ঘর"",""""),IF(AND(C1207&lt;&gt;"""",D1207&lt;&gt;"""",C1207=D1207),""gloss=figurative"",""""),IF(LEN(D1207)&lt;15,""figurative ছোট"",""""),IF(AND(I1207=""Positive"",REGEXMATCH(H1"&amp;"207,""মূর্খ|ভণ্ড|প্রতার|অলস|লোভ|স্বার্থ|অক্ষম|অযোগ্য|বোকা|কৃপণ|হিংস"")),""valence-target অমিল"",""""),IF(COUNTIF($B:$B,B1207)&gt;1,""ডুপ্লিকেট"",""""))"),"figurative ছোট")</f>
        <v>figurative ছোট</v>
      </c>
      <c r="Q1207" s="5" t="str">
        <f t="shared" si="1"/>
        <v>১ আগে দেখো</v>
      </c>
    </row>
    <row r="1208">
      <c r="A1208" s="4">
        <v>6736.0</v>
      </c>
      <c r="B1208" s="2" t="s">
        <v>5029</v>
      </c>
      <c r="C1208" s="2" t="s">
        <v>5030</v>
      </c>
      <c r="D1208" s="2" t="s">
        <v>640</v>
      </c>
      <c r="E1208" s="2" t="s">
        <v>5031</v>
      </c>
      <c r="F1208" s="2" t="b">
        <v>1</v>
      </c>
      <c r="G1208" s="2" t="b">
        <v>0</v>
      </c>
      <c r="H1208" s="2" t="s">
        <v>37</v>
      </c>
      <c r="I1208" s="2" t="s">
        <v>22</v>
      </c>
      <c r="J1208" s="2" t="s">
        <v>640</v>
      </c>
      <c r="K1208" s="2" t="s">
        <v>495</v>
      </c>
      <c r="L1208" s="13" t="s">
        <v>496</v>
      </c>
      <c r="M1208" s="2" t="s">
        <v>26</v>
      </c>
      <c r="N1208" s="11" t="s">
        <v>576</v>
      </c>
      <c r="O1208" s="12" t="s">
        <v>53</v>
      </c>
      <c r="P1208" s="5" t="str">
        <f>IFERROR(__xludf.DUMMYFUNCTION("TEXTJOIN("" | "",TRUE,IF(OR(D1208="""",E1208="""",I1208="""",J1208="""",H1208=""""),""ফাঁকা ঘর"",""""),IF(AND(C1208&lt;&gt;"""",D1208&lt;&gt;"""",C1208=D1208),""gloss=figurative"",""""),IF(LEN(D1208)&lt;15,""figurative ছোট"",""""),IF(AND(I1208=""Positive"",REGEXMATCH(H1"&amp;"208,""মূর্খ|ভণ্ড|প্রতার|অলস|লোভ|স্বার্থ|অক্ষম|অযোগ্য|বোকা|কৃপণ|হিংস"")),""valence-target অমিল"",""""),IF(COUNTIF($B:$B,B1208)&gt;1,""ডুপ্লিকেট"",""""))"),"figurative ছোট")</f>
        <v>figurative ছোট</v>
      </c>
      <c r="Q1208" s="5" t="str">
        <f t="shared" si="1"/>
        <v>১ আগে দেখো</v>
      </c>
    </row>
    <row r="1209">
      <c r="A1209" s="4">
        <v>6737.0</v>
      </c>
      <c r="B1209" s="2" t="s">
        <v>5032</v>
      </c>
      <c r="C1209" s="2" t="s">
        <v>5033</v>
      </c>
      <c r="D1209" s="2" t="s">
        <v>5034</v>
      </c>
      <c r="E1209" s="2" t="s">
        <v>5035</v>
      </c>
      <c r="F1209" s="2" t="b">
        <v>1</v>
      </c>
      <c r="G1209" s="2" t="b">
        <v>0</v>
      </c>
      <c r="H1209" s="2" t="s">
        <v>37</v>
      </c>
      <c r="I1209" s="2" t="s">
        <v>32</v>
      </c>
      <c r="J1209" s="2" t="s">
        <v>2122</v>
      </c>
      <c r="K1209" s="2" t="s">
        <v>495</v>
      </c>
      <c r="L1209" s="13" t="s">
        <v>496</v>
      </c>
      <c r="M1209" s="2" t="s">
        <v>26</v>
      </c>
      <c r="N1209" s="11" t="s">
        <v>5036</v>
      </c>
      <c r="O1209" s="12" t="s">
        <v>53</v>
      </c>
      <c r="P1209" s="5" t="str">
        <f>IFERROR(__xludf.DUMMYFUNCTION("TEXTJOIN("" | "",TRUE,IF(OR(D1209="""",E1209="""",I1209="""",J1209="""",H1209=""""),""ফাঁকা ঘর"",""""),IF(AND(C1209&lt;&gt;"""",D1209&lt;&gt;"""",C1209=D1209),""gloss=figurative"",""""),IF(LEN(D1209)&lt;15,""figurative ছোট"",""""),IF(AND(I1209=""Positive"",REGEXMATCH(H1"&amp;"209,""মূর্খ|ভণ্ড|প্রতার|অলস|লোভ|স্বার্থ|অক্ষম|অযোগ্য|বোকা|কৃপণ|হিংস"")),""valence-target অমিল"",""""),IF(COUNTIF($B:$B,B1209)&gt;1,""ডুপ্লিকেট"",""""))"),"figurative ছোট")</f>
        <v>figurative ছোট</v>
      </c>
      <c r="Q1209" s="5" t="str">
        <f t="shared" si="1"/>
        <v>১ আগে দেখো</v>
      </c>
    </row>
    <row r="1210">
      <c r="A1210" s="4">
        <v>6738.0</v>
      </c>
      <c r="B1210" s="2" t="s">
        <v>5037</v>
      </c>
      <c r="C1210" s="2" t="s">
        <v>5038</v>
      </c>
      <c r="D1210" s="2" t="s">
        <v>5039</v>
      </c>
      <c r="E1210" s="2" t="s">
        <v>5040</v>
      </c>
      <c r="F1210" s="2" t="b">
        <v>1</v>
      </c>
      <c r="G1210" s="2" t="b">
        <v>0</v>
      </c>
      <c r="H1210" s="2" t="s">
        <v>37</v>
      </c>
      <c r="I1210" s="2" t="s">
        <v>32</v>
      </c>
      <c r="J1210" s="2" t="s">
        <v>2629</v>
      </c>
      <c r="K1210" s="2" t="s">
        <v>495</v>
      </c>
      <c r="L1210" s="13" t="s">
        <v>496</v>
      </c>
      <c r="M1210" s="2" t="s">
        <v>26</v>
      </c>
      <c r="N1210" s="11" t="s">
        <v>5041</v>
      </c>
      <c r="O1210" s="12" t="s">
        <v>53</v>
      </c>
      <c r="P1210" s="5" t="str">
        <f>IFERROR(__xludf.DUMMYFUNCTION("TEXTJOIN("" | "",TRUE,IF(OR(D1210="""",E1210="""",I1210="""",J1210="""",H1210=""""),""ফাঁকা ঘর"",""""),IF(AND(C1210&lt;&gt;"""",D1210&lt;&gt;"""",C1210=D1210),""gloss=figurative"",""""),IF(LEN(D1210)&lt;15,""figurative ছোট"",""""),IF(AND(I1210=""Positive"",REGEXMATCH(H1"&amp;"210,""মূর্খ|ভণ্ড|প্রতার|অলস|লোভ|স্বার্থ|অক্ষম|অযোগ্য|বোকা|কৃপণ|হিংস"")),""valence-target অমিল"",""""),IF(COUNTIF($B:$B,B1210)&gt;1,""ডুপ্লিকেট"",""""))"),"figurative ছোট")</f>
        <v>figurative ছোট</v>
      </c>
      <c r="Q1210" s="5" t="str">
        <f t="shared" si="1"/>
        <v>১ আগে দেখো</v>
      </c>
    </row>
    <row r="1211">
      <c r="A1211" s="4">
        <v>6739.0</v>
      </c>
      <c r="B1211" s="2" t="s">
        <v>5042</v>
      </c>
      <c r="C1211" s="2" t="s">
        <v>5043</v>
      </c>
      <c r="D1211" s="2" t="s">
        <v>5044</v>
      </c>
      <c r="E1211" s="2" t="s">
        <v>5045</v>
      </c>
      <c r="F1211" s="2" t="b">
        <v>1</v>
      </c>
      <c r="G1211" s="2" t="b">
        <v>0</v>
      </c>
      <c r="H1211" s="2" t="s">
        <v>37</v>
      </c>
      <c r="I1211" s="2" t="s">
        <v>49</v>
      </c>
      <c r="J1211" s="2" t="s">
        <v>565</v>
      </c>
      <c r="K1211" s="2" t="s">
        <v>495</v>
      </c>
      <c r="L1211" s="13" t="s">
        <v>496</v>
      </c>
      <c r="M1211" s="2" t="s">
        <v>26</v>
      </c>
      <c r="N1211" s="11" t="s">
        <v>576</v>
      </c>
      <c r="O1211" s="12" t="s">
        <v>53</v>
      </c>
      <c r="P1211" s="5" t="str">
        <f>IFERROR(__xludf.DUMMYFUNCTION("TEXTJOIN("" | "",TRUE,IF(OR(D1211="""",E1211="""",I1211="""",J1211="""",H1211=""""),""ফাঁকা ঘর"",""""),IF(AND(C1211&lt;&gt;"""",D1211&lt;&gt;"""",C1211=D1211),""gloss=figurative"",""""),IF(LEN(D1211)&lt;15,""figurative ছোট"",""""),IF(AND(I1211=""Positive"",REGEXMATCH(H1"&amp;"211,""মূর্খ|ভণ্ড|প্রতার|অলস|লোভ|স্বার্থ|অক্ষম|অযোগ্য|বোকা|কৃপণ|হিংস"")),""valence-target অমিল"",""""),IF(COUNTIF($B:$B,B1211)&gt;1,""ডুপ্লিকেট"",""""))"),"figurative ছোট")</f>
        <v>figurative ছোট</v>
      </c>
      <c r="Q1211" s="5" t="str">
        <f t="shared" si="1"/>
        <v>১ আগে দেখো</v>
      </c>
    </row>
    <row r="1212">
      <c r="A1212" s="4">
        <v>6740.0</v>
      </c>
      <c r="B1212" s="2" t="s">
        <v>5046</v>
      </c>
      <c r="C1212" s="2" t="s">
        <v>5047</v>
      </c>
      <c r="D1212" s="2" t="s">
        <v>5048</v>
      </c>
      <c r="E1212" s="2" t="s">
        <v>5049</v>
      </c>
      <c r="F1212" s="2" t="b">
        <v>1</v>
      </c>
      <c r="G1212" s="2" t="b">
        <v>0</v>
      </c>
      <c r="H1212" s="2" t="s">
        <v>37</v>
      </c>
      <c r="I1212" s="2" t="s">
        <v>32</v>
      </c>
      <c r="J1212" s="2" t="s">
        <v>176</v>
      </c>
      <c r="K1212" s="2" t="s">
        <v>495</v>
      </c>
      <c r="L1212" s="13" t="s">
        <v>496</v>
      </c>
      <c r="M1212" s="2" t="s">
        <v>26</v>
      </c>
      <c r="N1212" s="11" t="s">
        <v>576</v>
      </c>
      <c r="O1212" s="12" t="s">
        <v>53</v>
      </c>
      <c r="P1212" s="5" t="str">
        <f>IFERROR(__xludf.DUMMYFUNCTION("TEXTJOIN("" | "",TRUE,IF(OR(D1212="""",E1212="""",I1212="""",J1212="""",H1212=""""),""ফাঁকা ঘর"",""""),IF(AND(C1212&lt;&gt;"""",D1212&lt;&gt;"""",C1212=D1212),""gloss=figurative"",""""),IF(LEN(D1212)&lt;15,""figurative ছোট"",""""),IF(AND(I1212=""Positive"",REGEXMATCH(H1"&amp;"212,""মূর্খ|ভণ্ড|প্রতার|অলস|লোভ|স্বার্থ|অক্ষম|অযোগ্য|বোকা|কৃপণ|হিংস"")),""valence-target অমিল"",""""),IF(COUNTIF($B:$B,B1212)&gt;1,""ডুপ্লিকেট"",""""))"),"figurative ছোট")</f>
        <v>figurative ছোট</v>
      </c>
      <c r="Q1212" s="5" t="str">
        <f t="shared" si="1"/>
        <v>১ আগে দেখো</v>
      </c>
    </row>
    <row r="1213">
      <c r="A1213" s="4">
        <v>6742.0</v>
      </c>
      <c r="B1213" s="2" t="s">
        <v>5050</v>
      </c>
      <c r="C1213" s="2" t="s">
        <v>5051</v>
      </c>
      <c r="D1213" s="2" t="s">
        <v>5052</v>
      </c>
      <c r="E1213" s="2" t="s">
        <v>5053</v>
      </c>
      <c r="F1213" s="2" t="b">
        <v>1</v>
      </c>
      <c r="G1213" s="2" t="b">
        <v>1</v>
      </c>
      <c r="H1213" s="2" t="s">
        <v>5054</v>
      </c>
      <c r="I1213" s="2" t="s">
        <v>22</v>
      </c>
      <c r="J1213" s="2" t="s">
        <v>964</v>
      </c>
      <c r="K1213" s="2" t="s">
        <v>495</v>
      </c>
      <c r="L1213" s="13" t="s">
        <v>496</v>
      </c>
      <c r="M1213" s="2" t="s">
        <v>26</v>
      </c>
      <c r="N1213" s="11" t="s">
        <v>576</v>
      </c>
      <c r="O1213" s="12" t="s">
        <v>53</v>
      </c>
      <c r="P1213" s="5" t="str">
        <f>IFERROR(__xludf.DUMMYFUNCTION("TEXTJOIN("" | "",TRUE,IF(OR(D1213="""",E1213="""",I1213="""",J1213="""",H1213=""""),""ফাঁকা ঘর"",""""),IF(AND(C1213&lt;&gt;"""",D1213&lt;&gt;"""",C1213=D1213),""gloss=figurative"",""""),IF(LEN(D1213)&lt;15,""figurative ছোট"",""""),IF(AND(I1213=""Positive"",REGEXMATCH(H1"&amp;"213,""মূর্খ|ভণ্ড|প্রতার|অলস|লোভ|স্বার্থ|অক্ষম|অযোগ্য|বোকা|কৃপণ|হিংস"")),""valence-target অমিল"",""""),IF(COUNTIF($B:$B,B1213)&gt;1,""ডুপ্লিকেট"",""""))"),"figurative ছোট")</f>
        <v>figurative ছোট</v>
      </c>
      <c r="Q1213" s="5" t="str">
        <f t="shared" si="1"/>
        <v>১ আগে দেখো</v>
      </c>
    </row>
    <row r="1214">
      <c r="A1214" s="4">
        <v>6743.0</v>
      </c>
      <c r="B1214" s="2" t="s">
        <v>5055</v>
      </c>
      <c r="C1214" s="2" t="s">
        <v>5056</v>
      </c>
      <c r="D1214" s="2" t="s">
        <v>5057</v>
      </c>
      <c r="E1214" s="2" t="s">
        <v>5058</v>
      </c>
      <c r="F1214" s="2" t="b">
        <v>1</v>
      </c>
      <c r="G1214" s="2" t="b">
        <v>0</v>
      </c>
      <c r="H1214" s="2" t="s">
        <v>37</v>
      </c>
      <c r="I1214" s="2" t="s">
        <v>22</v>
      </c>
      <c r="J1214" s="2" t="s">
        <v>43</v>
      </c>
      <c r="K1214" s="2" t="s">
        <v>495</v>
      </c>
      <c r="L1214" s="13" t="s">
        <v>496</v>
      </c>
      <c r="M1214" s="2" t="s">
        <v>26</v>
      </c>
      <c r="N1214" s="11" t="s">
        <v>5059</v>
      </c>
      <c r="O1214" s="12" t="s">
        <v>53</v>
      </c>
      <c r="P1214" s="5" t="str">
        <f>IFERROR(__xludf.DUMMYFUNCTION("TEXTJOIN("" | "",TRUE,IF(OR(D1214="""",E1214="""",I1214="""",J1214="""",H1214=""""),""ফাঁকা ঘর"",""""),IF(AND(C1214&lt;&gt;"""",D1214&lt;&gt;"""",C1214=D1214),""gloss=figurative"",""""),IF(LEN(D1214)&lt;15,""figurative ছোট"",""""),IF(AND(I1214=""Positive"",REGEXMATCH(H1"&amp;"214,""মূর্খ|ভণ্ড|প্রতার|অলস|লোভ|স্বার্থ|অক্ষম|অযোগ্য|বোকা|কৃপণ|হিংস"")),""valence-target অমিল"",""""),IF(COUNTIF($B:$B,B1214)&gt;1,""ডুপ্লিকেট"",""""))"),"figurative ছোট")</f>
        <v>figurative ছোট</v>
      </c>
      <c r="Q1214" s="5" t="str">
        <f t="shared" si="1"/>
        <v>১ আগে দেখো</v>
      </c>
    </row>
    <row r="1215">
      <c r="A1215" s="4">
        <v>6744.0</v>
      </c>
      <c r="B1215" s="2" t="s">
        <v>5060</v>
      </c>
      <c r="C1215" s="2" t="s">
        <v>5061</v>
      </c>
      <c r="D1215" s="2" t="s">
        <v>5062</v>
      </c>
      <c r="E1215" s="2" t="s">
        <v>5063</v>
      </c>
      <c r="F1215" s="2" t="b">
        <v>1</v>
      </c>
      <c r="G1215" s="2" t="b">
        <v>0</v>
      </c>
      <c r="H1215" s="2" t="s">
        <v>37</v>
      </c>
      <c r="I1215" s="2" t="s">
        <v>22</v>
      </c>
      <c r="J1215" s="2" t="s">
        <v>43</v>
      </c>
      <c r="K1215" s="2" t="s">
        <v>495</v>
      </c>
      <c r="L1215" s="13" t="s">
        <v>496</v>
      </c>
      <c r="M1215" s="2" t="s">
        <v>26</v>
      </c>
      <c r="N1215" s="11" t="s">
        <v>5064</v>
      </c>
      <c r="O1215" s="12" t="s">
        <v>53</v>
      </c>
      <c r="P1215" s="5" t="str">
        <f>IFERROR(__xludf.DUMMYFUNCTION("TEXTJOIN("" | "",TRUE,IF(OR(D1215="""",E1215="""",I1215="""",J1215="""",H1215=""""),""ফাঁকা ঘর"",""""),IF(AND(C1215&lt;&gt;"""",D1215&lt;&gt;"""",C1215=D1215),""gloss=figurative"",""""),IF(LEN(D1215)&lt;15,""figurative ছোট"",""""),IF(AND(I1215=""Positive"",REGEXMATCH(H1"&amp;"215,""মূর্খ|ভণ্ড|প্রতার|অলস|লোভ|স্বার্থ|অক্ষম|অযোগ্য|বোকা|কৃপণ|হিংস"")),""valence-target অমিল"",""""),IF(COUNTIF($B:$B,B1215)&gt;1,""ডুপ্লিকেট"",""""))"),"figurative ছোট")</f>
        <v>figurative ছোট</v>
      </c>
      <c r="Q1215" s="5" t="str">
        <f t="shared" si="1"/>
        <v>১ আগে দেখো</v>
      </c>
    </row>
    <row r="1216">
      <c r="A1216" s="4">
        <v>6745.0</v>
      </c>
      <c r="B1216" s="2" t="s">
        <v>5065</v>
      </c>
      <c r="C1216" s="2" t="s">
        <v>5066</v>
      </c>
      <c r="D1216" s="2" t="s">
        <v>5067</v>
      </c>
      <c r="E1216" s="2" t="s">
        <v>5068</v>
      </c>
      <c r="F1216" s="2" t="b">
        <v>1</v>
      </c>
      <c r="G1216" s="2" t="b">
        <v>0</v>
      </c>
      <c r="H1216" s="2" t="s">
        <v>37</v>
      </c>
      <c r="I1216" s="2" t="s">
        <v>22</v>
      </c>
      <c r="J1216" s="2" t="s">
        <v>3337</v>
      </c>
      <c r="K1216" s="2" t="s">
        <v>495</v>
      </c>
      <c r="L1216" s="13" t="s">
        <v>496</v>
      </c>
      <c r="M1216" s="2" t="s">
        <v>26</v>
      </c>
      <c r="N1216" s="11" t="s">
        <v>576</v>
      </c>
      <c r="O1216" s="12" t="s">
        <v>53</v>
      </c>
      <c r="P1216" s="5" t="str">
        <f>IFERROR(__xludf.DUMMYFUNCTION("TEXTJOIN("" | "",TRUE,IF(OR(D1216="""",E1216="""",I1216="""",J1216="""",H1216=""""),""ফাঁকা ঘর"",""""),IF(AND(C1216&lt;&gt;"""",D1216&lt;&gt;"""",C1216=D1216),""gloss=figurative"",""""),IF(LEN(D1216)&lt;15,""figurative ছোট"",""""),IF(AND(I1216=""Positive"",REGEXMATCH(H1"&amp;"216,""মূর্খ|ভণ্ড|প্রতার|অলস|লোভ|স্বার্থ|অক্ষম|অযোগ্য|বোকা|কৃপণ|হিংস"")),""valence-target অমিল"",""""),IF(COUNTIF($B:$B,B1216)&gt;1,""ডুপ্লিকেট"",""""))"),"figurative ছোট")</f>
        <v>figurative ছোট</v>
      </c>
      <c r="Q1216" s="5" t="str">
        <f t="shared" si="1"/>
        <v>১ আগে দেখো</v>
      </c>
    </row>
    <row r="1217">
      <c r="A1217" s="4">
        <v>6746.0</v>
      </c>
      <c r="B1217" s="2" t="s">
        <v>5069</v>
      </c>
      <c r="C1217" s="2" t="s">
        <v>5070</v>
      </c>
      <c r="D1217" s="2" t="s">
        <v>5071</v>
      </c>
      <c r="E1217" s="2" t="s">
        <v>5072</v>
      </c>
      <c r="F1217" s="2" t="b">
        <v>1</v>
      </c>
      <c r="G1217" s="2" t="b">
        <v>0</v>
      </c>
      <c r="H1217" s="2" t="s">
        <v>37</v>
      </c>
      <c r="I1217" s="2" t="s">
        <v>49</v>
      </c>
      <c r="J1217" s="2" t="s">
        <v>3416</v>
      </c>
      <c r="K1217" s="2" t="s">
        <v>495</v>
      </c>
      <c r="L1217" s="13" t="s">
        <v>496</v>
      </c>
      <c r="M1217" s="2" t="s">
        <v>26</v>
      </c>
      <c r="N1217" s="11" t="s">
        <v>576</v>
      </c>
      <c r="O1217" s="12" t="s">
        <v>53</v>
      </c>
      <c r="P1217" s="5" t="str">
        <f>IFERROR(__xludf.DUMMYFUNCTION("TEXTJOIN("" | "",TRUE,IF(OR(D1217="""",E1217="""",I1217="""",J1217="""",H1217=""""),""ফাঁকা ঘর"",""""),IF(AND(C1217&lt;&gt;"""",D1217&lt;&gt;"""",C1217=D1217),""gloss=figurative"",""""),IF(LEN(D1217)&lt;15,""figurative ছোট"",""""),IF(AND(I1217=""Positive"",REGEXMATCH(H1"&amp;"217,""মূর্খ|ভণ্ড|প্রতার|অলস|লোভ|স্বার্থ|অক্ষম|অযোগ্য|বোকা|কৃপণ|হিংস"")),""valence-target অমিল"",""""),IF(COUNTIF($B:$B,B1217)&gt;1,""ডুপ্লিকেট"",""""))"),"figurative ছোট")</f>
        <v>figurative ছোট</v>
      </c>
      <c r="Q1217" s="5" t="str">
        <f t="shared" si="1"/>
        <v>১ আগে দেখো</v>
      </c>
    </row>
    <row r="1218">
      <c r="A1218" s="4">
        <v>6747.0</v>
      </c>
      <c r="B1218" s="2" t="s">
        <v>5073</v>
      </c>
      <c r="C1218" s="2" t="s">
        <v>5073</v>
      </c>
      <c r="D1218" s="2" t="s">
        <v>1669</v>
      </c>
      <c r="E1218" s="2" t="s">
        <v>5074</v>
      </c>
      <c r="F1218" s="2" t="b">
        <v>1</v>
      </c>
      <c r="G1218" s="2" t="b">
        <v>0</v>
      </c>
      <c r="H1218" s="2" t="s">
        <v>37</v>
      </c>
      <c r="I1218" s="2" t="s">
        <v>49</v>
      </c>
      <c r="J1218" s="2" t="s">
        <v>739</v>
      </c>
      <c r="K1218" s="2" t="s">
        <v>495</v>
      </c>
      <c r="L1218" s="13" t="s">
        <v>496</v>
      </c>
      <c r="M1218" s="2" t="s">
        <v>26</v>
      </c>
      <c r="N1218" s="11" t="s">
        <v>576</v>
      </c>
      <c r="O1218" s="12" t="s">
        <v>53</v>
      </c>
      <c r="P1218" s="5" t="str">
        <f>IFERROR(__xludf.DUMMYFUNCTION("TEXTJOIN("" | "",TRUE,IF(OR(D1218="""",E1218="""",I1218="""",J1218="""",H1218=""""),""ফাঁকা ঘর"",""""),IF(AND(C1218&lt;&gt;"""",D1218&lt;&gt;"""",C1218=D1218),""gloss=figurative"",""""),IF(LEN(D1218)&lt;15,""figurative ছোট"",""""),IF(AND(I1218=""Positive"",REGEXMATCH(H1"&amp;"218,""মূর্খ|ভণ্ড|প্রতার|অলস|লোভ|স্বার্থ|অক্ষম|অযোগ্য|বোকা|কৃপণ|হিংস"")),""valence-target অমিল"",""""),IF(COUNTIF($B:$B,B1218)&gt;1,""ডুপ্লিকেট"",""""))"),"figurative ছোট")</f>
        <v>figurative ছোট</v>
      </c>
      <c r="Q1218" s="5" t="str">
        <f t="shared" si="1"/>
        <v>১ আগে দেখো</v>
      </c>
    </row>
    <row r="1219">
      <c r="A1219" s="4">
        <v>6748.0</v>
      </c>
      <c r="B1219" s="2" t="s">
        <v>4636</v>
      </c>
      <c r="C1219" s="2" t="s">
        <v>5075</v>
      </c>
      <c r="D1219" s="2" t="s">
        <v>1679</v>
      </c>
      <c r="E1219" s="2" t="s">
        <v>4638</v>
      </c>
      <c r="F1219" s="2" t="b">
        <v>1</v>
      </c>
      <c r="G1219" s="2" t="b">
        <v>0</v>
      </c>
      <c r="H1219" s="2" t="s">
        <v>37</v>
      </c>
      <c r="I1219" s="2" t="s">
        <v>32</v>
      </c>
      <c r="J1219" s="2" t="s">
        <v>1679</v>
      </c>
      <c r="K1219" s="2" t="s">
        <v>495</v>
      </c>
      <c r="L1219" s="13" t="s">
        <v>496</v>
      </c>
      <c r="M1219" s="2" t="s">
        <v>26</v>
      </c>
      <c r="N1219" s="11" t="s">
        <v>5076</v>
      </c>
      <c r="O1219" s="12" t="s">
        <v>53</v>
      </c>
      <c r="P1219" s="5" t="str">
        <f>IFERROR(__xludf.DUMMYFUNCTION("TEXTJOIN("" | "",TRUE,IF(OR(D1219="""",E1219="""",I1219="""",J1219="""",H1219=""""),""ফাঁকা ঘর"",""""),IF(AND(C1219&lt;&gt;"""",D1219&lt;&gt;"""",C1219=D1219),""gloss=figurative"",""""),IF(LEN(D1219)&lt;15,""figurative ছোট"",""""),IF(AND(I1219=""Positive"",REGEXMATCH(H1"&amp;"219,""মূর্খ|ভণ্ড|প্রতার|অলস|লোভ|স্বার্থ|অক্ষম|অযোগ্য|বোকা|কৃপণ|হিংস"")),""valence-target অমিল"",""""),IF(COUNTIF($B:$B,B1219)&gt;1,""ডুপ্লিকেট"",""""))"),"figurative ছোট | ডুপ্লিকেট")</f>
        <v>figurative ছোট | ডুপ্লিকেট</v>
      </c>
      <c r="Q1219" s="5" t="str">
        <f t="shared" si="1"/>
        <v>১ আগে দেখো</v>
      </c>
    </row>
    <row r="1220">
      <c r="A1220" s="4">
        <v>6749.0</v>
      </c>
      <c r="B1220" s="2" t="s">
        <v>5077</v>
      </c>
      <c r="C1220" s="2" t="s">
        <v>5078</v>
      </c>
      <c r="D1220" s="2" t="s">
        <v>5079</v>
      </c>
      <c r="E1220" s="2" t="s">
        <v>4643</v>
      </c>
      <c r="F1220" s="2" t="b">
        <v>1</v>
      </c>
      <c r="G1220" s="2" t="b">
        <v>0</v>
      </c>
      <c r="H1220" s="2" t="s">
        <v>37</v>
      </c>
      <c r="I1220" s="2" t="s">
        <v>32</v>
      </c>
      <c r="J1220" s="2" t="s">
        <v>1679</v>
      </c>
      <c r="K1220" s="2" t="s">
        <v>495</v>
      </c>
      <c r="L1220" s="13" t="s">
        <v>496</v>
      </c>
      <c r="M1220" s="2" t="s">
        <v>26</v>
      </c>
      <c r="N1220" s="11" t="s">
        <v>5076</v>
      </c>
      <c r="O1220" s="12" t="s">
        <v>53</v>
      </c>
      <c r="P1220" s="5" t="str">
        <f>IFERROR(__xludf.DUMMYFUNCTION("TEXTJOIN("" | "",TRUE,IF(OR(D1220="""",E1220="""",I1220="""",J1220="""",H1220=""""),""ফাঁকা ঘর"",""""),IF(AND(C1220&lt;&gt;"""",D1220&lt;&gt;"""",C1220=D1220),""gloss=figurative"",""""),IF(LEN(D1220)&lt;15,""figurative ছোট"",""""),IF(AND(I1220=""Positive"",REGEXMATCH(H1"&amp;"220,""মূর্খ|ভণ্ড|প্রতার|অলস|লোভ|স্বার্থ|অক্ষম|অযোগ্য|বোকা|কৃপণ|হিংস"")),""valence-target অমিল"",""""),IF(COUNTIF($B:$B,B1220)&gt;1,""ডুপ্লিকেট"",""""))"),"figurative ছোট")</f>
        <v>figurative ছোট</v>
      </c>
      <c r="Q1220" s="5" t="str">
        <f t="shared" si="1"/>
        <v>১ আগে দেখো</v>
      </c>
    </row>
    <row r="1221">
      <c r="A1221" s="4">
        <v>6750.0</v>
      </c>
      <c r="B1221" s="2" t="s">
        <v>5080</v>
      </c>
      <c r="C1221" s="2" t="s">
        <v>5081</v>
      </c>
      <c r="D1221" s="2" t="s">
        <v>5082</v>
      </c>
      <c r="E1221" s="2" t="s">
        <v>5083</v>
      </c>
      <c r="F1221" s="2" t="b">
        <v>1</v>
      </c>
      <c r="G1221" s="2" t="b">
        <v>0</v>
      </c>
      <c r="H1221" s="2" t="s">
        <v>37</v>
      </c>
      <c r="I1221" s="2" t="s">
        <v>32</v>
      </c>
      <c r="J1221" s="2" t="s">
        <v>5084</v>
      </c>
      <c r="K1221" s="2" t="s">
        <v>495</v>
      </c>
      <c r="L1221" s="13" t="s">
        <v>496</v>
      </c>
      <c r="M1221" s="2" t="s">
        <v>26</v>
      </c>
      <c r="N1221" s="11" t="s">
        <v>576</v>
      </c>
      <c r="O1221" s="12" t="s">
        <v>53</v>
      </c>
      <c r="P1221" s="5" t="str">
        <f>IFERROR(__xludf.DUMMYFUNCTION("TEXTJOIN("" | "",TRUE,IF(OR(D1221="""",E1221="""",I1221="""",J1221="""",H1221=""""),""ফাঁকা ঘর"",""""),IF(AND(C1221&lt;&gt;"""",D1221&lt;&gt;"""",C1221=D1221),""gloss=figurative"",""""),IF(LEN(D1221)&lt;15,""figurative ছোট"",""""),IF(AND(I1221=""Positive"",REGEXMATCH(H1"&amp;"221,""মূর্খ|ভণ্ড|প্রতার|অলস|লোভ|স্বার্থ|অক্ষম|অযোগ্য|বোকা|কৃপণ|হিংস"")),""valence-target অমিল"",""""),IF(COUNTIF($B:$B,B1221)&gt;1,""ডুপ্লিকেট"",""""))"),"figurative ছোট")</f>
        <v>figurative ছোট</v>
      </c>
      <c r="Q1221" s="5" t="str">
        <f t="shared" si="1"/>
        <v>১ আগে দেখো</v>
      </c>
    </row>
    <row r="1222">
      <c r="A1222" s="4">
        <v>6751.0</v>
      </c>
      <c r="B1222" s="2" t="s">
        <v>5085</v>
      </c>
      <c r="C1222" s="2" t="s">
        <v>5086</v>
      </c>
      <c r="D1222" s="2" t="s">
        <v>5087</v>
      </c>
      <c r="E1222" s="2" t="s">
        <v>5088</v>
      </c>
      <c r="F1222" s="2" t="b">
        <v>1</v>
      </c>
      <c r="G1222" s="2" t="b">
        <v>0</v>
      </c>
      <c r="H1222" s="2" t="s">
        <v>37</v>
      </c>
      <c r="I1222" s="2" t="s">
        <v>49</v>
      </c>
      <c r="J1222" s="2" t="s">
        <v>1249</v>
      </c>
      <c r="K1222" s="2" t="s">
        <v>495</v>
      </c>
      <c r="L1222" s="13" t="s">
        <v>496</v>
      </c>
      <c r="M1222" s="2" t="s">
        <v>26</v>
      </c>
      <c r="N1222" s="11" t="s">
        <v>576</v>
      </c>
      <c r="O1222" s="12" t="s">
        <v>53</v>
      </c>
      <c r="P1222" s="5" t="str">
        <f>IFERROR(__xludf.DUMMYFUNCTION("TEXTJOIN("" | "",TRUE,IF(OR(D1222="""",E1222="""",I1222="""",J1222="""",H1222=""""),""ফাঁকা ঘর"",""""),IF(AND(C1222&lt;&gt;"""",D1222&lt;&gt;"""",C1222=D1222),""gloss=figurative"",""""),IF(LEN(D1222)&lt;15,""figurative ছোট"",""""),IF(AND(I1222=""Positive"",REGEXMATCH(H1"&amp;"222,""মূর্খ|ভণ্ড|প্রতার|অলস|লোভ|স্বার্থ|অক্ষম|অযোগ্য|বোকা|কৃপণ|হিংস"")),""valence-target অমিল"",""""),IF(COUNTIF($B:$B,B1222)&gt;1,""ডুপ্লিকেট"",""""))"),"figurative ছোট")</f>
        <v>figurative ছোট</v>
      </c>
      <c r="Q1222" s="5" t="str">
        <f t="shared" si="1"/>
        <v>১ আগে দেখো</v>
      </c>
    </row>
    <row r="1223">
      <c r="A1223" s="4">
        <v>6752.0</v>
      </c>
      <c r="B1223" s="2" t="s">
        <v>5089</v>
      </c>
      <c r="C1223" s="2" t="s">
        <v>5090</v>
      </c>
      <c r="D1223" s="2" t="s">
        <v>5091</v>
      </c>
      <c r="E1223" s="2" t="s">
        <v>5092</v>
      </c>
      <c r="F1223" s="2" t="b">
        <v>1</v>
      </c>
      <c r="G1223" s="2" t="b">
        <v>0</v>
      </c>
      <c r="H1223" s="2" t="s">
        <v>37</v>
      </c>
      <c r="I1223" s="2" t="s">
        <v>49</v>
      </c>
      <c r="J1223" s="2" t="s">
        <v>3615</v>
      </c>
      <c r="K1223" s="2" t="s">
        <v>495</v>
      </c>
      <c r="L1223" s="13" t="s">
        <v>496</v>
      </c>
      <c r="M1223" s="2" t="s">
        <v>26</v>
      </c>
      <c r="N1223" s="11" t="s">
        <v>576</v>
      </c>
      <c r="O1223" s="12" t="s">
        <v>53</v>
      </c>
      <c r="P1223" s="5" t="str">
        <f>IFERROR(__xludf.DUMMYFUNCTION("TEXTJOIN("" | "",TRUE,IF(OR(D1223="""",E1223="""",I1223="""",J1223="""",H1223=""""),""ফাঁকা ঘর"",""""),IF(AND(C1223&lt;&gt;"""",D1223&lt;&gt;"""",C1223=D1223),""gloss=figurative"",""""),IF(LEN(D1223)&lt;15,""figurative ছোট"",""""),IF(AND(I1223=""Positive"",REGEXMATCH(H1"&amp;"223,""মূর্খ|ভণ্ড|প্রতার|অলস|লোভ|স্বার্থ|অক্ষম|অযোগ্য|বোকা|কৃপণ|হিংস"")),""valence-target অমিল"",""""),IF(COUNTIF($B:$B,B1223)&gt;1,""ডুপ্লিকেট"",""""))"),"figurative ছোট")</f>
        <v>figurative ছোট</v>
      </c>
      <c r="Q1223" s="5" t="str">
        <f t="shared" si="1"/>
        <v>১ আগে দেখো</v>
      </c>
    </row>
    <row r="1224">
      <c r="A1224" s="4">
        <v>6753.0</v>
      </c>
      <c r="B1224" s="2" t="s">
        <v>5093</v>
      </c>
      <c r="C1224" s="2" t="s">
        <v>5094</v>
      </c>
      <c r="D1224" s="2" t="s">
        <v>5095</v>
      </c>
      <c r="E1224" s="2" t="s">
        <v>5096</v>
      </c>
      <c r="F1224" s="2" t="b">
        <v>1</v>
      </c>
      <c r="G1224" s="2" t="b">
        <v>0</v>
      </c>
      <c r="H1224" s="2" t="s">
        <v>37</v>
      </c>
      <c r="I1224" s="2" t="s">
        <v>49</v>
      </c>
      <c r="J1224" s="2" t="s">
        <v>5095</v>
      </c>
      <c r="K1224" s="2" t="s">
        <v>495</v>
      </c>
      <c r="L1224" s="13" t="s">
        <v>496</v>
      </c>
      <c r="M1224" s="2" t="s">
        <v>26</v>
      </c>
      <c r="N1224" s="11" t="s">
        <v>576</v>
      </c>
      <c r="O1224" s="12" t="s">
        <v>53</v>
      </c>
      <c r="P1224" s="5" t="str">
        <f>IFERROR(__xludf.DUMMYFUNCTION("TEXTJOIN("" | "",TRUE,IF(OR(D1224="""",E1224="""",I1224="""",J1224="""",H1224=""""),""ফাঁকা ঘর"",""""),IF(AND(C1224&lt;&gt;"""",D1224&lt;&gt;"""",C1224=D1224),""gloss=figurative"",""""),IF(LEN(D1224)&lt;15,""figurative ছোট"",""""),IF(AND(I1224=""Positive"",REGEXMATCH(H1"&amp;"224,""মূর্খ|ভণ্ড|প্রতার|অলস|লোভ|স্বার্থ|অক্ষম|অযোগ্য|বোকা|কৃপণ|হিংস"")),""valence-target অমিল"",""""),IF(COUNTIF($B:$B,B1224)&gt;1,""ডুপ্লিকেট"",""""))"),"figurative ছোট")</f>
        <v>figurative ছোট</v>
      </c>
      <c r="Q1224" s="5" t="str">
        <f t="shared" si="1"/>
        <v>১ আগে দেখো</v>
      </c>
    </row>
    <row r="1225">
      <c r="A1225" s="4">
        <v>6754.0</v>
      </c>
      <c r="B1225" s="2" t="s">
        <v>5097</v>
      </c>
      <c r="C1225" s="2" t="s">
        <v>5098</v>
      </c>
      <c r="D1225" s="2" t="s">
        <v>1244</v>
      </c>
      <c r="E1225" s="2" t="s">
        <v>5099</v>
      </c>
      <c r="F1225" s="2" t="b">
        <v>1</v>
      </c>
      <c r="G1225" s="2" t="b">
        <v>0</v>
      </c>
      <c r="H1225" s="2" t="s">
        <v>37</v>
      </c>
      <c r="I1225" s="2" t="s">
        <v>49</v>
      </c>
      <c r="J1225" s="2" t="s">
        <v>3364</v>
      </c>
      <c r="K1225" s="2" t="s">
        <v>495</v>
      </c>
      <c r="L1225" s="13" t="s">
        <v>496</v>
      </c>
      <c r="M1225" s="2" t="s">
        <v>26</v>
      </c>
      <c r="N1225" s="11" t="s">
        <v>576</v>
      </c>
      <c r="O1225" s="12" t="s">
        <v>53</v>
      </c>
      <c r="P1225" s="5" t="str">
        <f>IFERROR(__xludf.DUMMYFUNCTION("TEXTJOIN("" | "",TRUE,IF(OR(D1225="""",E1225="""",I1225="""",J1225="""",H1225=""""),""ফাঁকা ঘর"",""""),IF(AND(C1225&lt;&gt;"""",D1225&lt;&gt;"""",C1225=D1225),""gloss=figurative"",""""),IF(LEN(D1225)&lt;15,""figurative ছোট"",""""),IF(AND(I1225=""Positive"",REGEXMATCH(H1"&amp;"225,""মূর্খ|ভণ্ড|প্রতার|অলস|লোভ|স্বার্থ|অক্ষম|অযোগ্য|বোকা|কৃপণ|হিংস"")),""valence-target অমিল"",""""),IF(COUNTIF($B:$B,B1225)&gt;1,""ডুপ্লিকেট"",""""))"),"figurative ছোট")</f>
        <v>figurative ছোট</v>
      </c>
      <c r="Q1225" s="5" t="str">
        <f t="shared" si="1"/>
        <v>১ আগে দেখো</v>
      </c>
    </row>
    <row r="1226">
      <c r="A1226" s="4">
        <v>6755.0</v>
      </c>
      <c r="B1226" s="2" t="s">
        <v>5100</v>
      </c>
      <c r="C1226" s="2" t="s">
        <v>5101</v>
      </c>
      <c r="D1226" s="2" t="s">
        <v>5102</v>
      </c>
      <c r="E1226" s="2" t="s">
        <v>5103</v>
      </c>
      <c r="F1226" s="2" t="b">
        <v>1</v>
      </c>
      <c r="G1226" s="2" t="b">
        <v>0</v>
      </c>
      <c r="H1226" s="2" t="s">
        <v>37</v>
      </c>
      <c r="I1226" s="2" t="s">
        <v>49</v>
      </c>
      <c r="J1226" s="2" t="s">
        <v>1244</v>
      </c>
      <c r="K1226" s="2" t="s">
        <v>495</v>
      </c>
      <c r="L1226" s="13" t="s">
        <v>496</v>
      </c>
      <c r="M1226" s="2" t="s">
        <v>26</v>
      </c>
      <c r="N1226" s="11" t="s">
        <v>576</v>
      </c>
      <c r="O1226" s="12" t="s">
        <v>53</v>
      </c>
      <c r="P1226" s="5" t="str">
        <f>IFERROR(__xludf.DUMMYFUNCTION("TEXTJOIN("" | "",TRUE,IF(OR(D1226="""",E1226="""",I1226="""",J1226="""",H1226=""""),""ফাঁকা ঘর"",""""),IF(AND(C1226&lt;&gt;"""",D1226&lt;&gt;"""",C1226=D1226),""gloss=figurative"",""""),IF(LEN(D1226)&lt;15,""figurative ছোট"",""""),IF(AND(I1226=""Positive"",REGEXMATCH(H1"&amp;"226,""মূর্খ|ভণ্ড|প্রতার|অলস|লোভ|স্বার্থ|অক্ষম|অযোগ্য|বোকা|কৃপণ|হিংস"")),""valence-target অমিল"",""""),IF(COUNTIF($B:$B,B1226)&gt;1,""ডুপ্লিকেট"",""""))"),"figurative ছোট")</f>
        <v>figurative ছোট</v>
      </c>
      <c r="Q1226" s="5" t="str">
        <f t="shared" si="1"/>
        <v>১ আগে দেখো</v>
      </c>
    </row>
    <row r="1227">
      <c r="A1227" s="4">
        <v>6756.0</v>
      </c>
      <c r="B1227" s="2" t="s">
        <v>5104</v>
      </c>
      <c r="C1227" s="2" t="s">
        <v>5105</v>
      </c>
      <c r="D1227" s="2" t="s">
        <v>1244</v>
      </c>
      <c r="E1227" s="2" t="s">
        <v>5106</v>
      </c>
      <c r="F1227" s="2" t="b">
        <v>1</v>
      </c>
      <c r="G1227" s="2" t="b">
        <v>0</v>
      </c>
      <c r="H1227" s="2" t="s">
        <v>37</v>
      </c>
      <c r="I1227" s="2" t="s">
        <v>32</v>
      </c>
      <c r="J1227" s="2" t="s">
        <v>1244</v>
      </c>
      <c r="K1227" s="2" t="s">
        <v>495</v>
      </c>
      <c r="L1227" s="13" t="s">
        <v>496</v>
      </c>
      <c r="M1227" s="2" t="s">
        <v>26</v>
      </c>
      <c r="N1227" s="11" t="s">
        <v>576</v>
      </c>
      <c r="O1227" s="12" t="s">
        <v>53</v>
      </c>
      <c r="P1227" s="5" t="str">
        <f>IFERROR(__xludf.DUMMYFUNCTION("TEXTJOIN("" | "",TRUE,IF(OR(D1227="""",E1227="""",I1227="""",J1227="""",H1227=""""),""ফাঁকা ঘর"",""""),IF(AND(C1227&lt;&gt;"""",D1227&lt;&gt;"""",C1227=D1227),""gloss=figurative"",""""),IF(LEN(D1227)&lt;15,""figurative ছোট"",""""),IF(AND(I1227=""Positive"",REGEXMATCH(H1"&amp;"227,""মূর্খ|ভণ্ড|প্রতার|অলস|লোভ|স্বার্থ|অক্ষম|অযোগ্য|বোকা|কৃপণ|হিংস"")),""valence-target অমিল"",""""),IF(COUNTIF($B:$B,B1227)&gt;1,""ডুপ্লিকেট"",""""))"),"figurative ছোট")</f>
        <v>figurative ছোট</v>
      </c>
      <c r="Q1227" s="5" t="str">
        <f t="shared" si="1"/>
        <v>১ আগে দেখো</v>
      </c>
    </row>
    <row r="1228">
      <c r="A1228" s="4">
        <v>6757.0</v>
      </c>
      <c r="B1228" s="2" t="s">
        <v>5107</v>
      </c>
      <c r="C1228" s="2" t="s">
        <v>5108</v>
      </c>
      <c r="D1228" s="2" t="s">
        <v>3701</v>
      </c>
      <c r="E1228" s="2" t="s">
        <v>4676</v>
      </c>
      <c r="F1228" s="2" t="b">
        <v>1</v>
      </c>
      <c r="G1228" s="2" t="b">
        <v>0</v>
      </c>
      <c r="H1228" s="2" t="s">
        <v>37</v>
      </c>
      <c r="I1228" s="2" t="s">
        <v>49</v>
      </c>
      <c r="J1228" s="2" t="s">
        <v>3701</v>
      </c>
      <c r="K1228" s="2" t="s">
        <v>495</v>
      </c>
      <c r="L1228" s="13" t="s">
        <v>496</v>
      </c>
      <c r="M1228" s="2" t="s">
        <v>26</v>
      </c>
      <c r="N1228" s="11" t="s">
        <v>576</v>
      </c>
      <c r="O1228" s="12" t="s">
        <v>53</v>
      </c>
      <c r="P1228" s="5" t="str">
        <f>IFERROR(__xludf.DUMMYFUNCTION("TEXTJOIN("" | "",TRUE,IF(OR(D1228="""",E1228="""",I1228="""",J1228="""",H1228=""""),""ফাঁকা ঘর"",""""),IF(AND(C1228&lt;&gt;"""",D1228&lt;&gt;"""",C1228=D1228),""gloss=figurative"",""""),IF(LEN(D1228)&lt;15,""figurative ছোট"",""""),IF(AND(I1228=""Positive"",REGEXMATCH(H1"&amp;"228,""মূর্খ|ভণ্ড|প্রতার|অলস|লোভ|স্বার্থ|অক্ষম|অযোগ্য|বোকা|কৃপণ|হিংস"")),""valence-target অমিল"",""""),IF(COUNTIF($B:$B,B1228)&gt;1,""ডুপ্লিকেট"",""""))"),"figurative ছোট")</f>
        <v>figurative ছোট</v>
      </c>
      <c r="Q1228" s="5" t="str">
        <f t="shared" si="1"/>
        <v>১ আগে দেখো</v>
      </c>
    </row>
    <row r="1229">
      <c r="A1229" s="4">
        <v>6758.0</v>
      </c>
      <c r="B1229" s="2" t="s">
        <v>5109</v>
      </c>
      <c r="C1229" s="2" t="s">
        <v>5110</v>
      </c>
      <c r="D1229" s="2" t="s">
        <v>1038</v>
      </c>
      <c r="E1229" s="2" t="s">
        <v>5111</v>
      </c>
      <c r="F1229" s="2" t="b">
        <v>1</v>
      </c>
      <c r="G1229" s="2" t="b">
        <v>1</v>
      </c>
      <c r="H1229" s="2" t="s">
        <v>1106</v>
      </c>
      <c r="I1229" s="2" t="s">
        <v>22</v>
      </c>
      <c r="J1229" s="2" t="s">
        <v>1038</v>
      </c>
      <c r="K1229" s="2" t="s">
        <v>495</v>
      </c>
      <c r="L1229" s="13" t="s">
        <v>496</v>
      </c>
      <c r="M1229" s="2" t="s">
        <v>26</v>
      </c>
      <c r="N1229" s="11" t="s">
        <v>576</v>
      </c>
      <c r="O1229" s="12" t="s">
        <v>53</v>
      </c>
      <c r="P1229" s="5" t="str">
        <f>IFERROR(__xludf.DUMMYFUNCTION("TEXTJOIN("" | "",TRUE,IF(OR(D1229="""",E1229="""",I1229="""",J1229="""",H1229=""""),""ফাঁকা ঘর"",""""),IF(AND(C1229&lt;&gt;"""",D1229&lt;&gt;"""",C1229=D1229),""gloss=figurative"",""""),IF(LEN(D1229)&lt;15,""figurative ছোট"",""""),IF(AND(I1229=""Positive"",REGEXMATCH(H1"&amp;"229,""মূর্খ|ভণ্ড|প্রতার|অলস|লোভ|স্বার্থ|অক্ষম|অযোগ্য|বোকা|কৃপণ|হিংস"")),""valence-target অমিল"",""""),IF(COUNTIF($B:$B,B1229)&gt;1,""ডুপ্লিকেট"",""""))"),"figurative ছোট")</f>
        <v>figurative ছোট</v>
      </c>
      <c r="Q1229" s="5" t="str">
        <f t="shared" si="1"/>
        <v>১ আগে দেখো</v>
      </c>
    </row>
    <row r="1230">
      <c r="A1230" s="4">
        <v>6759.0</v>
      </c>
      <c r="B1230" s="2" t="s">
        <v>5112</v>
      </c>
      <c r="C1230" s="2" t="s">
        <v>5113</v>
      </c>
      <c r="D1230" s="2" t="s">
        <v>5027</v>
      </c>
      <c r="E1230" s="2" t="s">
        <v>5114</v>
      </c>
      <c r="F1230" s="2" t="b">
        <v>1</v>
      </c>
      <c r="G1230" s="2" t="b">
        <v>0</v>
      </c>
      <c r="H1230" s="2" t="s">
        <v>37</v>
      </c>
      <c r="I1230" s="2" t="s">
        <v>49</v>
      </c>
      <c r="J1230" s="2" t="s">
        <v>665</v>
      </c>
      <c r="K1230" s="2" t="s">
        <v>495</v>
      </c>
      <c r="L1230" s="13" t="s">
        <v>496</v>
      </c>
      <c r="M1230" s="2" t="s">
        <v>26</v>
      </c>
      <c r="N1230" s="11" t="s">
        <v>576</v>
      </c>
      <c r="O1230" s="12" t="s">
        <v>53</v>
      </c>
      <c r="P1230" s="5" t="str">
        <f>IFERROR(__xludf.DUMMYFUNCTION("TEXTJOIN("" | "",TRUE,IF(OR(D1230="""",E1230="""",I1230="""",J1230="""",H1230=""""),""ফাঁকা ঘর"",""""),IF(AND(C1230&lt;&gt;"""",D1230&lt;&gt;"""",C1230=D1230),""gloss=figurative"",""""),IF(LEN(D1230)&lt;15,""figurative ছোট"",""""),IF(AND(I1230=""Positive"",REGEXMATCH(H1"&amp;"230,""মূর্খ|ভণ্ড|প্রতার|অলস|লোভ|স্বার্থ|অক্ষম|অযোগ্য|বোকা|কৃপণ|হিংস"")),""valence-target অমিল"",""""),IF(COUNTIF($B:$B,B1230)&gt;1,""ডুপ্লিকেট"",""""))"),"figurative ছোট")</f>
        <v>figurative ছোট</v>
      </c>
      <c r="Q1230" s="5" t="str">
        <f t="shared" si="1"/>
        <v>১ আগে দেখো</v>
      </c>
    </row>
    <row r="1231">
      <c r="A1231" s="4">
        <v>6760.0</v>
      </c>
      <c r="B1231" s="2" t="s">
        <v>5115</v>
      </c>
      <c r="C1231" s="2" t="s">
        <v>5116</v>
      </c>
      <c r="D1231" s="2" t="s">
        <v>669</v>
      </c>
      <c r="E1231" s="2" t="s">
        <v>5117</v>
      </c>
      <c r="F1231" s="2" t="b">
        <v>1</v>
      </c>
      <c r="G1231" s="2" t="b">
        <v>0</v>
      </c>
      <c r="H1231" s="2" t="s">
        <v>37</v>
      </c>
      <c r="I1231" s="2" t="s">
        <v>32</v>
      </c>
      <c r="J1231" s="2" t="s">
        <v>669</v>
      </c>
      <c r="K1231" s="2" t="s">
        <v>495</v>
      </c>
      <c r="L1231" s="13" t="s">
        <v>496</v>
      </c>
      <c r="M1231" s="2" t="s">
        <v>26</v>
      </c>
      <c r="N1231" s="11" t="s">
        <v>576</v>
      </c>
      <c r="O1231" s="12" t="s">
        <v>53</v>
      </c>
      <c r="P1231" s="5" t="str">
        <f>IFERROR(__xludf.DUMMYFUNCTION("TEXTJOIN("" | "",TRUE,IF(OR(D1231="""",E1231="""",I1231="""",J1231="""",H1231=""""),""ফাঁকা ঘর"",""""),IF(AND(C1231&lt;&gt;"""",D1231&lt;&gt;"""",C1231=D1231),""gloss=figurative"",""""),IF(LEN(D1231)&lt;15,""figurative ছোট"",""""),IF(AND(I1231=""Positive"",REGEXMATCH(H1"&amp;"231,""মূর্খ|ভণ্ড|প্রতার|অলস|লোভ|স্বার্থ|অক্ষম|অযোগ্য|বোকা|কৃপণ|হিংস"")),""valence-target অমিল"",""""),IF(COUNTIF($B:$B,B1231)&gt;1,""ডুপ্লিকেট"",""""))"),"figurative ছোট")</f>
        <v>figurative ছোট</v>
      </c>
      <c r="Q1231" s="5" t="str">
        <f t="shared" si="1"/>
        <v>১ আগে দেখো</v>
      </c>
    </row>
    <row r="1232">
      <c r="A1232" s="4">
        <v>6761.0</v>
      </c>
      <c r="B1232" s="2" t="s">
        <v>5118</v>
      </c>
      <c r="C1232" s="2" t="s">
        <v>5119</v>
      </c>
      <c r="D1232" s="2" t="s">
        <v>750</v>
      </c>
      <c r="E1232" s="2" t="s">
        <v>5120</v>
      </c>
      <c r="F1232" s="2" t="b">
        <v>1</v>
      </c>
      <c r="G1232" s="2" t="b">
        <v>0</v>
      </c>
      <c r="H1232" s="2" t="s">
        <v>749</v>
      </c>
      <c r="I1232" s="2" t="s">
        <v>22</v>
      </c>
      <c r="J1232" s="2" t="s">
        <v>1471</v>
      </c>
      <c r="K1232" s="2" t="s">
        <v>495</v>
      </c>
      <c r="L1232" s="13" t="s">
        <v>496</v>
      </c>
      <c r="M1232" s="2" t="s">
        <v>26</v>
      </c>
      <c r="N1232" s="11" t="s">
        <v>576</v>
      </c>
      <c r="O1232" s="12" t="s">
        <v>53</v>
      </c>
      <c r="P1232" s="5" t="str">
        <f>IFERROR(__xludf.DUMMYFUNCTION("TEXTJOIN("" | "",TRUE,IF(OR(D1232="""",E1232="""",I1232="""",J1232="""",H1232=""""),""ফাঁকা ঘর"",""""),IF(AND(C1232&lt;&gt;"""",D1232&lt;&gt;"""",C1232=D1232),""gloss=figurative"",""""),IF(LEN(D1232)&lt;15,""figurative ছোট"",""""),IF(AND(I1232=""Positive"",REGEXMATCH(H1"&amp;"232,""মূর্খ|ভণ্ড|প্রতার|অলস|লোভ|স্বার্থ|অক্ষম|অযোগ্য|বোকা|কৃপণ|হিংস"")),""valence-target অমিল"",""""),IF(COUNTIF($B:$B,B1232)&gt;1,""ডুপ্লিকেট"",""""))"),"figurative ছোট")</f>
        <v>figurative ছোট</v>
      </c>
      <c r="Q1232" s="5" t="str">
        <f t="shared" si="1"/>
        <v>১ আগে দেখো</v>
      </c>
    </row>
    <row r="1233">
      <c r="A1233" s="4">
        <v>6762.0</v>
      </c>
      <c r="B1233" s="2" t="s">
        <v>5121</v>
      </c>
      <c r="C1233" s="2" t="s">
        <v>5122</v>
      </c>
      <c r="D1233" s="2" t="s">
        <v>2442</v>
      </c>
      <c r="E1233" s="2" t="s">
        <v>5123</v>
      </c>
      <c r="F1233" s="2" t="b">
        <v>1</v>
      </c>
      <c r="G1233" s="2" t="b">
        <v>0</v>
      </c>
      <c r="H1233" s="2" t="s">
        <v>37</v>
      </c>
      <c r="I1233" s="2" t="s">
        <v>49</v>
      </c>
      <c r="J1233" s="2" t="s">
        <v>2442</v>
      </c>
      <c r="K1233" s="2" t="s">
        <v>495</v>
      </c>
      <c r="L1233" s="13" t="s">
        <v>496</v>
      </c>
      <c r="M1233" s="2" t="s">
        <v>26</v>
      </c>
      <c r="N1233" s="11" t="s">
        <v>576</v>
      </c>
      <c r="O1233" s="12" t="s">
        <v>53</v>
      </c>
      <c r="P1233" s="5" t="str">
        <f>IFERROR(__xludf.DUMMYFUNCTION("TEXTJOIN("" | "",TRUE,IF(OR(D1233="""",E1233="""",I1233="""",J1233="""",H1233=""""),""ফাঁকা ঘর"",""""),IF(AND(C1233&lt;&gt;"""",D1233&lt;&gt;"""",C1233=D1233),""gloss=figurative"",""""),IF(LEN(D1233)&lt;15,""figurative ছোট"",""""),IF(AND(I1233=""Positive"",REGEXMATCH(H1"&amp;"233,""মূর্খ|ভণ্ড|প্রতার|অলস|লোভ|স্বার্থ|অক্ষম|অযোগ্য|বোকা|কৃপণ|হিংস"")),""valence-target অমিল"",""""),IF(COUNTIF($B:$B,B1233)&gt;1,""ডুপ্লিকেট"",""""))"),"figurative ছোট")</f>
        <v>figurative ছোট</v>
      </c>
      <c r="Q1233" s="5" t="str">
        <f t="shared" si="1"/>
        <v>১ আগে দেখো</v>
      </c>
    </row>
    <row r="1234">
      <c r="A1234" s="4">
        <v>6763.0</v>
      </c>
      <c r="B1234" s="2" t="s">
        <v>5124</v>
      </c>
      <c r="C1234" s="2" t="s">
        <v>5125</v>
      </c>
      <c r="D1234" s="2" t="s">
        <v>5126</v>
      </c>
      <c r="E1234" s="2" t="s">
        <v>5127</v>
      </c>
      <c r="F1234" s="2" t="b">
        <v>1</v>
      </c>
      <c r="G1234" s="2" t="b">
        <v>0</v>
      </c>
      <c r="H1234" s="2" t="s">
        <v>1284</v>
      </c>
      <c r="I1234" s="2" t="s">
        <v>22</v>
      </c>
      <c r="J1234" s="2" t="s">
        <v>1686</v>
      </c>
      <c r="K1234" s="2" t="s">
        <v>495</v>
      </c>
      <c r="L1234" s="13" t="s">
        <v>496</v>
      </c>
      <c r="M1234" s="2" t="s">
        <v>26</v>
      </c>
      <c r="N1234" s="11" t="s">
        <v>576</v>
      </c>
      <c r="O1234" s="12" t="s">
        <v>53</v>
      </c>
      <c r="P1234" s="5" t="str">
        <f>IFERROR(__xludf.DUMMYFUNCTION("TEXTJOIN("" | "",TRUE,IF(OR(D1234="""",E1234="""",I1234="""",J1234="""",H1234=""""),""ফাঁকা ঘর"",""""),IF(AND(C1234&lt;&gt;"""",D1234&lt;&gt;"""",C1234=D1234),""gloss=figurative"",""""),IF(LEN(D1234)&lt;15,""figurative ছোট"",""""),IF(AND(I1234=""Positive"",REGEXMATCH(H1"&amp;"234,""মূর্খ|ভণ্ড|প্রতার|অলস|লোভ|স্বার্থ|অক্ষম|অযোগ্য|বোকা|কৃপণ|হিংস"")),""valence-target অমিল"",""""),IF(COUNTIF($B:$B,B1234)&gt;1,""ডুপ্লিকেট"",""""))"),"figurative ছোট")</f>
        <v>figurative ছোট</v>
      </c>
      <c r="Q1234" s="5" t="str">
        <f t="shared" si="1"/>
        <v>১ আগে দেখো</v>
      </c>
    </row>
    <row r="1235">
      <c r="A1235" s="4">
        <v>6764.0</v>
      </c>
      <c r="B1235" s="2" t="s">
        <v>5128</v>
      </c>
      <c r="C1235" s="2" t="s">
        <v>5129</v>
      </c>
      <c r="D1235" s="2" t="s">
        <v>5130</v>
      </c>
      <c r="E1235" s="2" t="s">
        <v>5131</v>
      </c>
      <c r="F1235" s="2" t="b">
        <v>1</v>
      </c>
      <c r="G1235" s="2" t="b">
        <v>0</v>
      </c>
      <c r="H1235" s="2" t="s">
        <v>37</v>
      </c>
      <c r="I1235" s="2" t="s">
        <v>32</v>
      </c>
      <c r="J1235" s="2" t="s">
        <v>1244</v>
      </c>
      <c r="K1235" s="2" t="s">
        <v>495</v>
      </c>
      <c r="L1235" s="13" t="s">
        <v>496</v>
      </c>
      <c r="M1235" s="2" t="s">
        <v>26</v>
      </c>
      <c r="N1235" s="11" t="s">
        <v>576</v>
      </c>
      <c r="O1235" s="12" t="s">
        <v>53</v>
      </c>
      <c r="P1235" s="5" t="str">
        <f>IFERROR(__xludf.DUMMYFUNCTION("TEXTJOIN("" | "",TRUE,IF(OR(D1235="""",E1235="""",I1235="""",J1235="""",H1235=""""),""ফাঁকা ঘর"",""""),IF(AND(C1235&lt;&gt;"""",D1235&lt;&gt;"""",C1235=D1235),""gloss=figurative"",""""),IF(LEN(D1235)&lt;15,""figurative ছোট"",""""),IF(AND(I1235=""Positive"",REGEXMATCH(H1"&amp;"235,""মূর্খ|ভণ্ড|প্রতার|অলস|লোভ|স্বার্থ|অক্ষম|অযোগ্য|বোকা|কৃপণ|হিংস"")),""valence-target অমিল"",""""),IF(COUNTIF($B:$B,B1235)&gt;1,""ডুপ্লিকেট"",""""))"),"figurative ছোট")</f>
        <v>figurative ছোট</v>
      </c>
      <c r="Q1235" s="5" t="str">
        <f t="shared" si="1"/>
        <v>১ আগে দেখো</v>
      </c>
    </row>
    <row r="1236">
      <c r="A1236" s="4">
        <v>6765.0</v>
      </c>
      <c r="B1236" s="2" t="s">
        <v>5132</v>
      </c>
      <c r="C1236" s="2" t="s">
        <v>5133</v>
      </c>
      <c r="D1236" s="2" t="s">
        <v>5134</v>
      </c>
      <c r="E1236" s="2" t="s">
        <v>5135</v>
      </c>
      <c r="F1236" s="2" t="b">
        <v>1</v>
      </c>
      <c r="G1236" s="2" t="b">
        <v>0</v>
      </c>
      <c r="H1236" s="2" t="s">
        <v>37</v>
      </c>
      <c r="I1236" s="2" t="s">
        <v>22</v>
      </c>
      <c r="J1236" s="2" t="s">
        <v>5136</v>
      </c>
      <c r="K1236" s="2" t="s">
        <v>495</v>
      </c>
      <c r="L1236" s="13" t="s">
        <v>496</v>
      </c>
      <c r="M1236" s="2" t="s">
        <v>26</v>
      </c>
      <c r="N1236" s="11" t="s">
        <v>576</v>
      </c>
      <c r="O1236" s="12" t="s">
        <v>53</v>
      </c>
      <c r="P1236" s="5" t="str">
        <f>IFERROR(__xludf.DUMMYFUNCTION("TEXTJOIN("" | "",TRUE,IF(OR(D1236="""",E1236="""",I1236="""",J1236="""",H1236=""""),""ফাঁকা ঘর"",""""),IF(AND(C1236&lt;&gt;"""",D1236&lt;&gt;"""",C1236=D1236),""gloss=figurative"",""""),IF(LEN(D1236)&lt;15,""figurative ছোট"",""""),IF(AND(I1236=""Positive"",REGEXMATCH(H1"&amp;"236,""মূর্খ|ভণ্ড|প্রতার|অলস|লোভ|স্বার্থ|অক্ষম|অযোগ্য|বোকা|কৃপণ|হিংস"")),""valence-target অমিল"",""""),IF(COUNTIF($B:$B,B1236)&gt;1,""ডুপ্লিকেট"",""""))"),"figurative ছোট")</f>
        <v>figurative ছোট</v>
      </c>
      <c r="Q1236" s="5" t="str">
        <f t="shared" si="1"/>
        <v>১ আগে দেখো</v>
      </c>
    </row>
    <row r="1237">
      <c r="A1237" s="4">
        <v>6766.0</v>
      </c>
      <c r="B1237" s="2" t="s">
        <v>5137</v>
      </c>
      <c r="C1237" s="2" t="s">
        <v>5138</v>
      </c>
      <c r="D1237" s="2" t="s">
        <v>5139</v>
      </c>
      <c r="E1237" s="2" t="s">
        <v>5140</v>
      </c>
      <c r="F1237" s="2" t="b">
        <v>1</v>
      </c>
      <c r="G1237" s="2" t="b">
        <v>0</v>
      </c>
      <c r="H1237" s="2" t="s">
        <v>37</v>
      </c>
      <c r="I1237" s="2" t="s">
        <v>49</v>
      </c>
      <c r="J1237" s="2" t="s">
        <v>708</v>
      </c>
      <c r="K1237" s="2" t="s">
        <v>495</v>
      </c>
      <c r="L1237" s="13" t="s">
        <v>496</v>
      </c>
      <c r="M1237" s="2" t="s">
        <v>26</v>
      </c>
      <c r="N1237" s="11" t="s">
        <v>576</v>
      </c>
      <c r="O1237" s="12" t="s">
        <v>53</v>
      </c>
      <c r="P1237" s="5" t="str">
        <f>IFERROR(__xludf.DUMMYFUNCTION("TEXTJOIN("" | "",TRUE,IF(OR(D1237="""",E1237="""",I1237="""",J1237="""",H1237=""""),""ফাঁকা ঘর"",""""),IF(AND(C1237&lt;&gt;"""",D1237&lt;&gt;"""",C1237=D1237),""gloss=figurative"",""""),IF(LEN(D1237)&lt;15,""figurative ছোট"",""""),IF(AND(I1237=""Positive"",REGEXMATCH(H1"&amp;"237,""মূর্খ|ভণ্ড|প্রতার|অলস|লোভ|স্বার্থ|অক্ষম|অযোগ্য|বোকা|কৃপণ|হিংস"")),""valence-target অমিল"",""""),IF(COUNTIF($B:$B,B1237)&gt;1,""ডুপ্লিকেট"",""""))"),"figurative ছোট")</f>
        <v>figurative ছোট</v>
      </c>
      <c r="Q1237" s="5" t="str">
        <f t="shared" si="1"/>
        <v>১ আগে দেখো</v>
      </c>
    </row>
    <row r="1238">
      <c r="A1238" s="4">
        <v>6767.0</v>
      </c>
      <c r="B1238" s="2" t="s">
        <v>5141</v>
      </c>
      <c r="C1238" s="2" t="s">
        <v>5142</v>
      </c>
      <c r="D1238" s="2" t="s">
        <v>5143</v>
      </c>
      <c r="E1238" s="2" t="s">
        <v>5144</v>
      </c>
      <c r="F1238" s="2" t="b">
        <v>1</v>
      </c>
      <c r="G1238" s="2" t="b">
        <v>0</v>
      </c>
      <c r="H1238" s="2" t="s">
        <v>37</v>
      </c>
      <c r="I1238" s="2" t="s">
        <v>49</v>
      </c>
      <c r="J1238" s="2" t="s">
        <v>5143</v>
      </c>
      <c r="K1238" s="2" t="s">
        <v>495</v>
      </c>
      <c r="L1238" s="13" t="s">
        <v>496</v>
      </c>
      <c r="M1238" s="2" t="s">
        <v>26</v>
      </c>
      <c r="N1238" s="11" t="s">
        <v>576</v>
      </c>
      <c r="O1238" s="12" t="s">
        <v>53</v>
      </c>
      <c r="P1238" s="5" t="str">
        <f>IFERROR(__xludf.DUMMYFUNCTION("TEXTJOIN("" | "",TRUE,IF(OR(D1238="""",E1238="""",I1238="""",J1238="""",H1238=""""),""ফাঁকা ঘর"",""""),IF(AND(C1238&lt;&gt;"""",D1238&lt;&gt;"""",C1238=D1238),""gloss=figurative"",""""),IF(LEN(D1238)&lt;15,""figurative ছোট"",""""),IF(AND(I1238=""Positive"",REGEXMATCH(H1"&amp;"238,""মূর্খ|ভণ্ড|প্রতার|অলস|লোভ|স্বার্থ|অক্ষম|অযোগ্য|বোকা|কৃপণ|হিংস"")),""valence-target অমিল"",""""),IF(COUNTIF($B:$B,B1238)&gt;1,""ডুপ্লিকেট"",""""))"),"figurative ছোট")</f>
        <v>figurative ছোট</v>
      </c>
      <c r="Q1238" s="5" t="str">
        <f t="shared" si="1"/>
        <v>১ আগে দেখো</v>
      </c>
    </row>
    <row r="1239">
      <c r="A1239" s="4">
        <v>6768.0</v>
      </c>
      <c r="B1239" s="2" t="s">
        <v>5145</v>
      </c>
      <c r="C1239" s="2" t="s">
        <v>5146</v>
      </c>
      <c r="D1239" s="2" t="s">
        <v>1571</v>
      </c>
      <c r="E1239" s="2" t="s">
        <v>5147</v>
      </c>
      <c r="F1239" s="2" t="b">
        <v>1</v>
      </c>
      <c r="G1239" s="2" t="b">
        <v>0</v>
      </c>
      <c r="H1239" s="2" t="s">
        <v>1571</v>
      </c>
      <c r="I1239" s="2" t="s">
        <v>22</v>
      </c>
      <c r="J1239" s="2" t="s">
        <v>1572</v>
      </c>
      <c r="K1239" s="2" t="s">
        <v>495</v>
      </c>
      <c r="L1239" s="13" t="s">
        <v>496</v>
      </c>
      <c r="M1239" s="2" t="s">
        <v>26</v>
      </c>
      <c r="N1239" s="11" t="s">
        <v>576</v>
      </c>
      <c r="O1239" s="12" t="s">
        <v>53</v>
      </c>
      <c r="P1239" s="5" t="str">
        <f>IFERROR(__xludf.DUMMYFUNCTION("TEXTJOIN("" | "",TRUE,IF(OR(D1239="""",E1239="""",I1239="""",J1239="""",H1239=""""),""ফাঁকা ঘর"",""""),IF(AND(C1239&lt;&gt;"""",D1239&lt;&gt;"""",C1239=D1239),""gloss=figurative"",""""),IF(LEN(D1239)&lt;15,""figurative ছোট"",""""),IF(AND(I1239=""Positive"",REGEXMATCH(H1"&amp;"239,""মূর্খ|ভণ্ড|প্রতার|অলস|লোভ|স্বার্থ|অক্ষম|অযোগ্য|বোকা|কৃপণ|হিংস"")),""valence-target অমিল"",""""),IF(COUNTIF($B:$B,B1239)&gt;1,""ডুপ্লিকেট"",""""))"),"figurative ছোট")</f>
        <v>figurative ছোট</v>
      </c>
      <c r="Q1239" s="5" t="str">
        <f t="shared" si="1"/>
        <v>১ আগে দেখো</v>
      </c>
    </row>
    <row r="1240">
      <c r="A1240" s="4">
        <v>6769.0</v>
      </c>
      <c r="B1240" s="2" t="s">
        <v>5148</v>
      </c>
      <c r="C1240" s="2" t="s">
        <v>5149</v>
      </c>
      <c r="D1240" s="2" t="s">
        <v>5150</v>
      </c>
      <c r="E1240" s="2" t="s">
        <v>5151</v>
      </c>
      <c r="F1240" s="2" t="b">
        <v>1</v>
      </c>
      <c r="G1240" s="2" t="b">
        <v>0</v>
      </c>
      <c r="H1240" s="2" t="s">
        <v>37</v>
      </c>
      <c r="I1240" s="2" t="s">
        <v>49</v>
      </c>
      <c r="J1240" s="2" t="s">
        <v>842</v>
      </c>
      <c r="K1240" s="2" t="s">
        <v>495</v>
      </c>
      <c r="L1240" s="13" t="s">
        <v>496</v>
      </c>
      <c r="M1240" s="2" t="s">
        <v>26</v>
      </c>
      <c r="N1240" s="11" t="s">
        <v>576</v>
      </c>
      <c r="O1240" s="12" t="s">
        <v>53</v>
      </c>
      <c r="P1240" s="5" t="str">
        <f>IFERROR(__xludf.DUMMYFUNCTION("TEXTJOIN("" | "",TRUE,IF(OR(D1240="""",E1240="""",I1240="""",J1240="""",H1240=""""),""ফাঁকা ঘর"",""""),IF(AND(C1240&lt;&gt;"""",D1240&lt;&gt;"""",C1240=D1240),""gloss=figurative"",""""),IF(LEN(D1240)&lt;15,""figurative ছোট"",""""),IF(AND(I1240=""Positive"",REGEXMATCH(H1"&amp;"240,""মূর্খ|ভণ্ড|প্রতার|অলস|লোভ|স্বার্থ|অক্ষম|অযোগ্য|বোকা|কৃপণ|হিংস"")),""valence-target অমিল"",""""),IF(COUNTIF($B:$B,B1240)&gt;1,""ডুপ্লিকেট"",""""))"),"figurative ছোট")</f>
        <v>figurative ছোট</v>
      </c>
      <c r="Q1240" s="5" t="str">
        <f t="shared" si="1"/>
        <v>১ আগে দেখো</v>
      </c>
    </row>
    <row r="1241">
      <c r="A1241" s="4">
        <v>6770.0</v>
      </c>
      <c r="B1241" s="2" t="s">
        <v>5152</v>
      </c>
      <c r="C1241" s="2" t="s">
        <v>5153</v>
      </c>
      <c r="D1241" s="2" t="s">
        <v>830</v>
      </c>
      <c r="E1241" s="2" t="s">
        <v>5154</v>
      </c>
      <c r="F1241" s="2" t="b">
        <v>1</v>
      </c>
      <c r="G1241" s="2" t="b">
        <v>0</v>
      </c>
      <c r="H1241" s="2" t="s">
        <v>37</v>
      </c>
      <c r="I1241" s="2" t="s">
        <v>22</v>
      </c>
      <c r="J1241" s="2" t="s">
        <v>830</v>
      </c>
      <c r="K1241" s="2" t="s">
        <v>495</v>
      </c>
      <c r="L1241" s="13" t="s">
        <v>496</v>
      </c>
      <c r="M1241" s="2" t="s">
        <v>26</v>
      </c>
      <c r="N1241" s="11" t="s">
        <v>576</v>
      </c>
      <c r="O1241" s="12" t="s">
        <v>53</v>
      </c>
      <c r="P1241" s="5" t="str">
        <f>IFERROR(__xludf.DUMMYFUNCTION("TEXTJOIN("" | "",TRUE,IF(OR(D1241="""",E1241="""",I1241="""",J1241="""",H1241=""""),""ফাঁকা ঘর"",""""),IF(AND(C1241&lt;&gt;"""",D1241&lt;&gt;"""",C1241=D1241),""gloss=figurative"",""""),IF(LEN(D1241)&lt;15,""figurative ছোট"",""""),IF(AND(I1241=""Positive"",REGEXMATCH(H1"&amp;"241,""মূর্খ|ভণ্ড|প্রতার|অলস|লোভ|স্বার্থ|অক্ষম|অযোগ্য|বোকা|কৃপণ|হিংস"")),""valence-target অমিল"",""""),IF(COUNTIF($B:$B,B1241)&gt;1,""ডুপ্লিকেট"",""""))"),"figurative ছোট")</f>
        <v>figurative ছোট</v>
      </c>
      <c r="Q1241" s="5" t="str">
        <f t="shared" si="1"/>
        <v>১ আগে দেখো</v>
      </c>
    </row>
    <row r="1242">
      <c r="A1242" s="4">
        <v>6771.0</v>
      </c>
      <c r="B1242" s="2" t="s">
        <v>5155</v>
      </c>
      <c r="C1242" s="2" t="s">
        <v>5156</v>
      </c>
      <c r="D1242" s="2" t="s">
        <v>1188</v>
      </c>
      <c r="E1242" s="2" t="s">
        <v>5157</v>
      </c>
      <c r="F1242" s="2" t="b">
        <v>1</v>
      </c>
      <c r="G1242" s="2" t="b">
        <v>0</v>
      </c>
      <c r="H1242" s="2" t="s">
        <v>1188</v>
      </c>
      <c r="I1242" s="2" t="s">
        <v>22</v>
      </c>
      <c r="J1242" s="2" t="s">
        <v>729</v>
      </c>
      <c r="K1242" s="2" t="s">
        <v>495</v>
      </c>
      <c r="L1242" s="13" t="s">
        <v>496</v>
      </c>
      <c r="M1242" s="2" t="s">
        <v>26</v>
      </c>
      <c r="N1242" s="11" t="s">
        <v>576</v>
      </c>
      <c r="O1242" s="12" t="s">
        <v>53</v>
      </c>
      <c r="P1242" s="5" t="str">
        <f>IFERROR(__xludf.DUMMYFUNCTION("TEXTJOIN("" | "",TRUE,IF(OR(D1242="""",E1242="""",I1242="""",J1242="""",H1242=""""),""ফাঁকা ঘর"",""""),IF(AND(C1242&lt;&gt;"""",D1242&lt;&gt;"""",C1242=D1242),""gloss=figurative"",""""),IF(LEN(D1242)&lt;15,""figurative ছোট"",""""),IF(AND(I1242=""Positive"",REGEXMATCH(H1"&amp;"242,""মূর্খ|ভণ্ড|প্রতার|অলস|লোভ|স্বার্থ|অক্ষম|অযোগ্য|বোকা|কৃপণ|হিংস"")),""valence-target অমিল"",""""),IF(COUNTIF($B:$B,B1242)&gt;1,""ডুপ্লিকেট"",""""))"),"figurative ছোট")</f>
        <v>figurative ছোট</v>
      </c>
      <c r="Q1242" s="5" t="str">
        <f t="shared" si="1"/>
        <v>১ আগে দেখো</v>
      </c>
    </row>
    <row r="1243">
      <c r="A1243" s="4">
        <v>6772.0</v>
      </c>
      <c r="B1243" s="2" t="s">
        <v>5158</v>
      </c>
      <c r="C1243" s="2" t="s">
        <v>5159</v>
      </c>
      <c r="D1243" s="2" t="s">
        <v>989</v>
      </c>
      <c r="E1243" s="2" t="s">
        <v>5160</v>
      </c>
      <c r="F1243" s="2" t="b">
        <v>1</v>
      </c>
      <c r="G1243" s="2" t="b">
        <v>0</v>
      </c>
      <c r="H1243" s="2" t="s">
        <v>989</v>
      </c>
      <c r="I1243" s="2" t="s">
        <v>22</v>
      </c>
      <c r="J1243" s="2" t="s">
        <v>990</v>
      </c>
      <c r="K1243" s="2" t="s">
        <v>495</v>
      </c>
      <c r="L1243" s="13" t="s">
        <v>496</v>
      </c>
      <c r="M1243" s="2" t="s">
        <v>26</v>
      </c>
      <c r="N1243" s="11" t="s">
        <v>576</v>
      </c>
      <c r="O1243" s="12" t="s">
        <v>53</v>
      </c>
      <c r="P1243" s="5" t="str">
        <f>IFERROR(__xludf.DUMMYFUNCTION("TEXTJOIN("" | "",TRUE,IF(OR(D1243="""",E1243="""",I1243="""",J1243="""",H1243=""""),""ফাঁকা ঘর"",""""),IF(AND(C1243&lt;&gt;"""",D1243&lt;&gt;"""",C1243=D1243),""gloss=figurative"",""""),IF(LEN(D1243)&lt;15,""figurative ছোট"",""""),IF(AND(I1243=""Positive"",REGEXMATCH(H1"&amp;"243,""মূর্খ|ভণ্ড|প্রতার|অলস|লোভ|স্বার্থ|অক্ষম|অযোগ্য|বোকা|কৃপণ|হিংস"")),""valence-target অমিল"",""""),IF(COUNTIF($B:$B,B1243)&gt;1,""ডুপ্লিকেট"",""""))"),"figurative ছোট")</f>
        <v>figurative ছোট</v>
      </c>
      <c r="Q1243" s="5" t="str">
        <f t="shared" si="1"/>
        <v>১ আগে দেখো</v>
      </c>
    </row>
    <row r="1244">
      <c r="A1244" s="4">
        <v>6773.0</v>
      </c>
      <c r="B1244" s="2" t="s">
        <v>5161</v>
      </c>
      <c r="C1244" s="2" t="s">
        <v>5162</v>
      </c>
      <c r="D1244" s="2" t="s">
        <v>1679</v>
      </c>
      <c r="E1244" s="2" t="s">
        <v>5163</v>
      </c>
      <c r="F1244" s="2" t="b">
        <v>1</v>
      </c>
      <c r="G1244" s="2" t="b">
        <v>0</v>
      </c>
      <c r="H1244" s="2" t="s">
        <v>37</v>
      </c>
      <c r="I1244" s="2" t="s">
        <v>22</v>
      </c>
      <c r="J1244" s="2" t="s">
        <v>1895</v>
      </c>
      <c r="K1244" s="2" t="s">
        <v>495</v>
      </c>
      <c r="L1244" s="13" t="s">
        <v>496</v>
      </c>
      <c r="M1244" s="2" t="s">
        <v>26</v>
      </c>
      <c r="N1244" s="11" t="s">
        <v>576</v>
      </c>
      <c r="O1244" s="12" t="s">
        <v>53</v>
      </c>
      <c r="P1244" s="5" t="str">
        <f>IFERROR(__xludf.DUMMYFUNCTION("TEXTJOIN("" | "",TRUE,IF(OR(D1244="""",E1244="""",I1244="""",J1244="""",H1244=""""),""ফাঁকা ঘর"",""""),IF(AND(C1244&lt;&gt;"""",D1244&lt;&gt;"""",C1244=D1244),""gloss=figurative"",""""),IF(LEN(D1244)&lt;15,""figurative ছোট"",""""),IF(AND(I1244=""Positive"",REGEXMATCH(H1"&amp;"244,""মূর্খ|ভণ্ড|প্রতার|অলস|লোভ|স্বার্থ|অক্ষম|অযোগ্য|বোকা|কৃপণ|হিংস"")),""valence-target অমিল"",""""),IF(COUNTIF($B:$B,B1244)&gt;1,""ডুপ্লিকেট"",""""))"),"figurative ছোট")</f>
        <v>figurative ছোট</v>
      </c>
      <c r="Q1244" s="5" t="str">
        <f t="shared" si="1"/>
        <v>১ আগে দেখো</v>
      </c>
    </row>
    <row r="1245">
      <c r="A1245" s="4">
        <v>6774.0</v>
      </c>
      <c r="B1245" s="2" t="s">
        <v>5164</v>
      </c>
      <c r="C1245" s="2" t="s">
        <v>5164</v>
      </c>
      <c r="D1245" s="2" t="s">
        <v>1571</v>
      </c>
      <c r="E1245" s="2" t="s">
        <v>5165</v>
      </c>
      <c r="F1245" s="2" t="b">
        <v>1</v>
      </c>
      <c r="G1245" s="2" t="b">
        <v>0</v>
      </c>
      <c r="H1245" s="2" t="s">
        <v>1571</v>
      </c>
      <c r="I1245" s="2" t="s">
        <v>22</v>
      </c>
      <c r="J1245" s="2" t="s">
        <v>1572</v>
      </c>
      <c r="K1245" s="2" t="s">
        <v>495</v>
      </c>
      <c r="L1245" s="13" t="s">
        <v>496</v>
      </c>
      <c r="M1245" s="2" t="s">
        <v>26</v>
      </c>
      <c r="N1245" s="11" t="s">
        <v>576</v>
      </c>
      <c r="O1245" s="12" t="s">
        <v>53</v>
      </c>
      <c r="P1245" s="5" t="str">
        <f>IFERROR(__xludf.DUMMYFUNCTION("TEXTJOIN("" | "",TRUE,IF(OR(D1245="""",E1245="""",I1245="""",J1245="""",H1245=""""),""ফাঁকা ঘর"",""""),IF(AND(C1245&lt;&gt;"""",D1245&lt;&gt;"""",C1245=D1245),""gloss=figurative"",""""),IF(LEN(D1245)&lt;15,""figurative ছোট"",""""),IF(AND(I1245=""Positive"",REGEXMATCH(H1"&amp;"245,""মূর্খ|ভণ্ড|প্রতার|অলস|লোভ|স্বার্থ|অক্ষম|অযোগ্য|বোকা|কৃপণ|হিংস"")),""valence-target অমিল"",""""),IF(COUNTIF($B:$B,B1245)&gt;1,""ডুপ্লিকেট"",""""))"),"figurative ছোট")</f>
        <v>figurative ছোট</v>
      </c>
      <c r="Q1245" s="5" t="str">
        <f t="shared" si="1"/>
        <v>১ আগে দেখো</v>
      </c>
    </row>
    <row r="1246">
      <c r="A1246" s="4">
        <v>6775.0</v>
      </c>
      <c r="B1246" s="2" t="s">
        <v>5166</v>
      </c>
      <c r="C1246" s="2" t="s">
        <v>5167</v>
      </c>
      <c r="D1246" s="2" t="s">
        <v>2675</v>
      </c>
      <c r="E1246" s="2" t="s">
        <v>5168</v>
      </c>
      <c r="F1246" s="2" t="b">
        <v>1</v>
      </c>
      <c r="G1246" s="2" t="b">
        <v>0</v>
      </c>
      <c r="H1246" s="2" t="s">
        <v>37</v>
      </c>
      <c r="I1246" s="2" t="s">
        <v>32</v>
      </c>
      <c r="J1246" s="2" t="s">
        <v>1679</v>
      </c>
      <c r="K1246" s="2" t="s">
        <v>495</v>
      </c>
      <c r="L1246" s="13" t="s">
        <v>496</v>
      </c>
      <c r="M1246" s="2" t="s">
        <v>26</v>
      </c>
      <c r="N1246" s="11" t="s">
        <v>5169</v>
      </c>
      <c r="O1246" s="12" t="s">
        <v>53</v>
      </c>
      <c r="P1246" s="5" t="str">
        <f>IFERROR(__xludf.DUMMYFUNCTION("TEXTJOIN("" | "",TRUE,IF(OR(D1246="""",E1246="""",I1246="""",J1246="""",H1246=""""),""ফাঁকা ঘর"",""""),IF(AND(C1246&lt;&gt;"""",D1246&lt;&gt;"""",C1246=D1246),""gloss=figurative"",""""),IF(LEN(D1246)&lt;15,""figurative ছোট"",""""),IF(AND(I1246=""Positive"",REGEXMATCH(H1"&amp;"246,""মূর্খ|ভণ্ড|প্রতার|অলস|লোভ|স্বার্থ|অক্ষম|অযোগ্য|বোকা|কৃপণ|হিংস"")),""valence-target অমিল"",""""),IF(COUNTIF($B:$B,B1246)&gt;1,""ডুপ্লিকেট"",""""))"),"figurative ছোট")</f>
        <v>figurative ছোট</v>
      </c>
      <c r="Q1246" s="5" t="str">
        <f t="shared" si="1"/>
        <v>১ আগে দেখো</v>
      </c>
    </row>
    <row r="1247">
      <c r="A1247" s="4">
        <v>6776.0</v>
      </c>
      <c r="B1247" s="2" t="s">
        <v>5170</v>
      </c>
      <c r="C1247" s="2" t="s">
        <v>5170</v>
      </c>
      <c r="D1247" s="2" t="s">
        <v>5171</v>
      </c>
      <c r="E1247" s="2" t="s">
        <v>5172</v>
      </c>
      <c r="F1247" s="2" t="b">
        <v>1</v>
      </c>
      <c r="G1247" s="2" t="b">
        <v>0</v>
      </c>
      <c r="H1247" s="2" t="s">
        <v>37</v>
      </c>
      <c r="I1247" s="2" t="s">
        <v>32</v>
      </c>
      <c r="J1247" s="2" t="s">
        <v>5173</v>
      </c>
      <c r="K1247" s="2" t="s">
        <v>495</v>
      </c>
      <c r="L1247" s="13" t="s">
        <v>496</v>
      </c>
      <c r="M1247" s="2" t="s">
        <v>26</v>
      </c>
      <c r="N1247" s="11" t="s">
        <v>576</v>
      </c>
      <c r="O1247" s="12" t="s">
        <v>53</v>
      </c>
      <c r="P1247" s="5" t="str">
        <f>IFERROR(__xludf.DUMMYFUNCTION("TEXTJOIN("" | "",TRUE,IF(OR(D1247="""",E1247="""",I1247="""",J1247="""",H1247=""""),""ফাঁকা ঘর"",""""),IF(AND(C1247&lt;&gt;"""",D1247&lt;&gt;"""",C1247=D1247),""gloss=figurative"",""""),IF(LEN(D1247)&lt;15,""figurative ছোট"",""""),IF(AND(I1247=""Positive"",REGEXMATCH(H1"&amp;"247,""মূর্খ|ভণ্ড|প্রতার|অলস|লোভ|স্বার্থ|অক্ষম|অযোগ্য|বোকা|কৃপণ|হিংস"")),""valence-target অমিল"",""""),IF(COUNTIF($B:$B,B1247)&gt;1,""ডুপ্লিকেট"",""""))"),"figurative ছোট")</f>
        <v>figurative ছোট</v>
      </c>
      <c r="Q1247" s="5" t="str">
        <f t="shared" si="1"/>
        <v>১ আগে দেখো</v>
      </c>
    </row>
    <row r="1248">
      <c r="A1248" s="4">
        <v>6777.0</v>
      </c>
      <c r="B1248" s="2" t="s">
        <v>5174</v>
      </c>
      <c r="C1248" s="2" t="s">
        <v>5175</v>
      </c>
      <c r="D1248" s="2" t="s">
        <v>5176</v>
      </c>
      <c r="E1248" s="2" t="s">
        <v>5177</v>
      </c>
      <c r="F1248" s="2" t="b">
        <v>1</v>
      </c>
      <c r="G1248" s="2" t="b">
        <v>0</v>
      </c>
      <c r="H1248" s="2" t="s">
        <v>1188</v>
      </c>
      <c r="I1248" s="2" t="s">
        <v>22</v>
      </c>
      <c r="J1248" s="2" t="s">
        <v>836</v>
      </c>
      <c r="K1248" s="2" t="s">
        <v>495</v>
      </c>
      <c r="L1248" s="13" t="s">
        <v>496</v>
      </c>
      <c r="M1248" s="2" t="s">
        <v>26</v>
      </c>
      <c r="N1248" s="11" t="s">
        <v>576</v>
      </c>
      <c r="O1248" s="12" t="s">
        <v>53</v>
      </c>
      <c r="P1248" s="5" t="str">
        <f>IFERROR(__xludf.DUMMYFUNCTION("TEXTJOIN("" | "",TRUE,IF(OR(D1248="""",E1248="""",I1248="""",J1248="""",H1248=""""),""ফাঁকা ঘর"",""""),IF(AND(C1248&lt;&gt;"""",D1248&lt;&gt;"""",C1248=D1248),""gloss=figurative"",""""),IF(LEN(D1248)&lt;15,""figurative ছোট"",""""),IF(AND(I1248=""Positive"",REGEXMATCH(H1"&amp;"248,""মূর্খ|ভণ্ড|প্রতার|অলস|লোভ|স্বার্থ|অক্ষম|অযোগ্য|বোকা|কৃপণ|হিংস"")),""valence-target অমিল"",""""),IF(COUNTIF($B:$B,B1248)&gt;1,""ডুপ্লিকেট"",""""))"),"figurative ছোট")</f>
        <v>figurative ছোট</v>
      </c>
      <c r="Q1248" s="5" t="str">
        <f t="shared" si="1"/>
        <v>১ আগে দেখো</v>
      </c>
    </row>
    <row r="1249">
      <c r="A1249" s="4">
        <v>6778.0</v>
      </c>
      <c r="B1249" s="2" t="s">
        <v>5178</v>
      </c>
      <c r="C1249" s="2" t="s">
        <v>5179</v>
      </c>
      <c r="D1249" s="2" t="s">
        <v>868</v>
      </c>
      <c r="E1249" s="2" t="s">
        <v>5180</v>
      </c>
      <c r="F1249" s="2" t="b">
        <v>1</v>
      </c>
      <c r="G1249" s="2" t="b">
        <v>0</v>
      </c>
      <c r="H1249" s="2" t="s">
        <v>37</v>
      </c>
      <c r="I1249" s="2" t="s">
        <v>22</v>
      </c>
      <c r="J1249" s="2" t="s">
        <v>868</v>
      </c>
      <c r="K1249" s="2" t="s">
        <v>495</v>
      </c>
      <c r="L1249" s="13" t="s">
        <v>496</v>
      </c>
      <c r="M1249" s="2" t="s">
        <v>26</v>
      </c>
      <c r="N1249" s="11" t="s">
        <v>576</v>
      </c>
      <c r="O1249" s="12" t="s">
        <v>53</v>
      </c>
      <c r="P1249" s="5" t="str">
        <f>IFERROR(__xludf.DUMMYFUNCTION("TEXTJOIN("" | "",TRUE,IF(OR(D1249="""",E1249="""",I1249="""",J1249="""",H1249=""""),""ফাঁকা ঘর"",""""),IF(AND(C1249&lt;&gt;"""",D1249&lt;&gt;"""",C1249=D1249),""gloss=figurative"",""""),IF(LEN(D1249)&lt;15,""figurative ছোট"",""""),IF(AND(I1249=""Positive"",REGEXMATCH(H1"&amp;"249,""মূর্খ|ভণ্ড|প্রতার|অলস|লোভ|স্বার্থ|অক্ষম|অযোগ্য|বোকা|কৃপণ|হিংস"")),""valence-target অমিল"",""""),IF(COUNTIF($B:$B,B1249)&gt;1,""ডুপ্লিকেট"",""""))"),"figurative ছোট")</f>
        <v>figurative ছোট</v>
      </c>
      <c r="Q1249" s="5" t="str">
        <f t="shared" si="1"/>
        <v>১ আগে দেখো</v>
      </c>
    </row>
    <row r="1250">
      <c r="A1250" s="4">
        <v>6779.0</v>
      </c>
      <c r="B1250" s="2" t="s">
        <v>5181</v>
      </c>
      <c r="C1250" s="2" t="s">
        <v>5182</v>
      </c>
      <c r="D1250" s="2" t="s">
        <v>5143</v>
      </c>
      <c r="E1250" s="2" t="s">
        <v>5183</v>
      </c>
      <c r="F1250" s="2" t="b">
        <v>1</v>
      </c>
      <c r="G1250" s="2" t="b">
        <v>0</v>
      </c>
      <c r="H1250" s="2" t="s">
        <v>37</v>
      </c>
      <c r="I1250" s="2" t="s">
        <v>22</v>
      </c>
      <c r="J1250" s="2" t="s">
        <v>5143</v>
      </c>
      <c r="K1250" s="2" t="s">
        <v>495</v>
      </c>
      <c r="L1250" s="13" t="s">
        <v>496</v>
      </c>
      <c r="M1250" s="2" t="s">
        <v>26</v>
      </c>
      <c r="N1250" s="11" t="s">
        <v>576</v>
      </c>
      <c r="O1250" s="12" t="s">
        <v>53</v>
      </c>
      <c r="P1250" s="5" t="str">
        <f>IFERROR(__xludf.DUMMYFUNCTION("TEXTJOIN("" | "",TRUE,IF(OR(D1250="""",E1250="""",I1250="""",J1250="""",H1250=""""),""ফাঁকা ঘর"",""""),IF(AND(C1250&lt;&gt;"""",D1250&lt;&gt;"""",C1250=D1250),""gloss=figurative"",""""),IF(LEN(D1250)&lt;15,""figurative ছোট"",""""),IF(AND(I1250=""Positive"",REGEXMATCH(H1"&amp;"250,""মূর্খ|ভণ্ড|প্রতার|অলস|লোভ|স্বার্থ|অক্ষম|অযোগ্য|বোকা|কৃপণ|হিংস"")),""valence-target অমিল"",""""),IF(COUNTIF($B:$B,B1250)&gt;1,""ডুপ্লিকেট"",""""))"),"figurative ছোট")</f>
        <v>figurative ছোট</v>
      </c>
      <c r="Q1250" s="5" t="str">
        <f t="shared" si="1"/>
        <v>১ আগে দেখো</v>
      </c>
    </row>
    <row r="1251">
      <c r="A1251" s="4">
        <v>6781.0</v>
      </c>
      <c r="B1251" s="2" t="s">
        <v>5184</v>
      </c>
      <c r="C1251" s="2" t="s">
        <v>5185</v>
      </c>
      <c r="D1251" s="2" t="s">
        <v>616</v>
      </c>
      <c r="E1251" s="2" t="s">
        <v>5186</v>
      </c>
      <c r="F1251" s="2" t="b">
        <v>1</v>
      </c>
      <c r="G1251" s="2" t="b">
        <v>0</v>
      </c>
      <c r="H1251" s="2" t="s">
        <v>1284</v>
      </c>
      <c r="I1251" s="2" t="s">
        <v>32</v>
      </c>
      <c r="J1251" s="2" t="s">
        <v>4067</v>
      </c>
      <c r="K1251" s="2" t="s">
        <v>495</v>
      </c>
      <c r="L1251" s="13" t="s">
        <v>496</v>
      </c>
      <c r="M1251" s="2" t="s">
        <v>26</v>
      </c>
      <c r="N1251" s="11" t="s">
        <v>5187</v>
      </c>
      <c r="O1251" s="12" t="s">
        <v>53</v>
      </c>
      <c r="P1251" s="5" t="str">
        <f>IFERROR(__xludf.DUMMYFUNCTION("TEXTJOIN("" | "",TRUE,IF(OR(D1251="""",E1251="""",I1251="""",J1251="""",H1251=""""),""ফাঁকা ঘর"",""""),IF(AND(C1251&lt;&gt;"""",D1251&lt;&gt;"""",C1251=D1251),""gloss=figurative"",""""),IF(LEN(D1251)&lt;15,""figurative ছোট"",""""),IF(AND(I1251=""Positive"",REGEXMATCH(H1"&amp;"251,""মূর্খ|ভণ্ড|প্রতার|অলস|লোভ|স্বার্থ|অক্ষম|অযোগ্য|বোকা|কৃপণ|হিংস"")),""valence-target অমিল"",""""),IF(COUNTIF($B:$B,B1251)&gt;1,""ডুপ্লিকেট"",""""))"),"figurative ছোট")</f>
        <v>figurative ছোট</v>
      </c>
      <c r="Q1251" s="5" t="str">
        <f t="shared" si="1"/>
        <v>১ আগে দেখো</v>
      </c>
    </row>
    <row r="1252">
      <c r="A1252" s="4">
        <v>6782.0</v>
      </c>
      <c r="B1252" s="2" t="s">
        <v>5188</v>
      </c>
      <c r="C1252" s="2" t="s">
        <v>5189</v>
      </c>
      <c r="D1252" s="2" t="s">
        <v>4067</v>
      </c>
      <c r="E1252" s="2" t="s">
        <v>5190</v>
      </c>
      <c r="F1252" s="2" t="b">
        <v>1</v>
      </c>
      <c r="G1252" s="2" t="b">
        <v>0</v>
      </c>
      <c r="H1252" s="2" t="s">
        <v>1284</v>
      </c>
      <c r="I1252" s="2" t="s">
        <v>32</v>
      </c>
      <c r="J1252" s="2" t="s">
        <v>4067</v>
      </c>
      <c r="K1252" s="2" t="s">
        <v>495</v>
      </c>
      <c r="L1252" s="13" t="s">
        <v>496</v>
      </c>
      <c r="M1252" s="2" t="s">
        <v>26</v>
      </c>
      <c r="N1252" s="11" t="s">
        <v>5187</v>
      </c>
      <c r="O1252" s="12" t="s">
        <v>53</v>
      </c>
      <c r="P1252" s="5" t="str">
        <f>IFERROR(__xludf.DUMMYFUNCTION("TEXTJOIN("" | "",TRUE,IF(OR(D1252="""",E1252="""",I1252="""",J1252="""",H1252=""""),""ফাঁকা ঘর"",""""),IF(AND(C1252&lt;&gt;"""",D1252&lt;&gt;"""",C1252=D1252),""gloss=figurative"",""""),IF(LEN(D1252)&lt;15,""figurative ছোট"",""""),IF(AND(I1252=""Positive"",REGEXMATCH(H1"&amp;"252,""মূর্খ|ভণ্ড|প্রতার|অলস|লোভ|স্বার্থ|অক্ষম|অযোগ্য|বোকা|কৃপণ|হিংস"")),""valence-target অমিল"",""""),IF(COUNTIF($B:$B,B1252)&gt;1,""ডুপ্লিকেট"",""""))"),"figurative ছোট")</f>
        <v>figurative ছোট</v>
      </c>
      <c r="Q1252" s="5" t="str">
        <f t="shared" si="1"/>
        <v>১ আগে দেখো</v>
      </c>
    </row>
    <row r="1253">
      <c r="A1253" s="4">
        <v>6783.0</v>
      </c>
      <c r="B1253" s="2" t="s">
        <v>5191</v>
      </c>
      <c r="C1253" s="2" t="s">
        <v>5192</v>
      </c>
      <c r="D1253" s="2" t="s">
        <v>616</v>
      </c>
      <c r="E1253" s="2" t="s">
        <v>5193</v>
      </c>
      <c r="F1253" s="2" t="b">
        <v>1</v>
      </c>
      <c r="G1253" s="2" t="b">
        <v>0</v>
      </c>
      <c r="H1253" s="2" t="s">
        <v>37</v>
      </c>
      <c r="I1253" s="2" t="s">
        <v>22</v>
      </c>
      <c r="J1253" s="2" t="s">
        <v>616</v>
      </c>
      <c r="K1253" s="2" t="s">
        <v>495</v>
      </c>
      <c r="L1253" s="13" t="s">
        <v>496</v>
      </c>
      <c r="M1253" s="2" t="s">
        <v>26</v>
      </c>
      <c r="N1253" s="11" t="s">
        <v>576</v>
      </c>
      <c r="O1253" s="12" t="s">
        <v>53</v>
      </c>
      <c r="P1253" s="5" t="str">
        <f>IFERROR(__xludf.DUMMYFUNCTION("TEXTJOIN("" | "",TRUE,IF(OR(D1253="""",E1253="""",I1253="""",J1253="""",H1253=""""),""ফাঁকা ঘর"",""""),IF(AND(C1253&lt;&gt;"""",D1253&lt;&gt;"""",C1253=D1253),""gloss=figurative"",""""),IF(LEN(D1253)&lt;15,""figurative ছোট"",""""),IF(AND(I1253=""Positive"",REGEXMATCH(H1"&amp;"253,""মূর্খ|ভণ্ড|প্রতার|অলস|লোভ|স্বার্থ|অক্ষম|অযোগ্য|বোকা|কৃপণ|হিংস"")),""valence-target অমিল"",""""),IF(COUNTIF($B:$B,B1253)&gt;1,""ডুপ্লিকেট"",""""))"),"figurative ছোট")</f>
        <v>figurative ছোট</v>
      </c>
      <c r="Q1253" s="5" t="str">
        <f t="shared" si="1"/>
        <v>১ আগে দেখো</v>
      </c>
    </row>
    <row r="1254">
      <c r="A1254" s="4">
        <v>6784.0</v>
      </c>
      <c r="B1254" s="2" t="s">
        <v>5194</v>
      </c>
      <c r="C1254" s="2" t="s">
        <v>5194</v>
      </c>
      <c r="D1254" s="2" t="s">
        <v>5195</v>
      </c>
      <c r="E1254" s="2" t="s">
        <v>5196</v>
      </c>
      <c r="F1254" s="2" t="b">
        <v>1</v>
      </c>
      <c r="G1254" s="2" t="b">
        <v>0</v>
      </c>
      <c r="H1254" s="2" t="s">
        <v>37</v>
      </c>
      <c r="I1254" s="2" t="s">
        <v>22</v>
      </c>
      <c r="J1254" s="2" t="s">
        <v>2540</v>
      </c>
      <c r="K1254" s="2" t="s">
        <v>495</v>
      </c>
      <c r="L1254" s="13" t="s">
        <v>496</v>
      </c>
      <c r="M1254" s="2" t="s">
        <v>26</v>
      </c>
      <c r="N1254" s="11" t="s">
        <v>576</v>
      </c>
      <c r="O1254" s="12" t="s">
        <v>53</v>
      </c>
      <c r="P1254" s="5" t="str">
        <f>IFERROR(__xludf.DUMMYFUNCTION("TEXTJOIN("" | "",TRUE,IF(OR(D1254="""",E1254="""",I1254="""",J1254="""",H1254=""""),""ফাঁকা ঘর"",""""),IF(AND(C1254&lt;&gt;"""",D1254&lt;&gt;"""",C1254=D1254),""gloss=figurative"",""""),IF(LEN(D1254)&lt;15,""figurative ছোট"",""""),IF(AND(I1254=""Positive"",REGEXMATCH(H1"&amp;"254,""মূর্খ|ভণ্ড|প্রতার|অলস|লোভ|স্বার্থ|অক্ষম|অযোগ্য|বোকা|কৃপণ|হিংস"")),""valence-target অমিল"",""""),IF(COUNTIF($B:$B,B1254)&gt;1,""ডুপ্লিকেট"",""""))"),"figurative ছোট")</f>
        <v>figurative ছোট</v>
      </c>
      <c r="Q1254" s="5" t="str">
        <f t="shared" si="1"/>
        <v>১ আগে দেখো</v>
      </c>
    </row>
    <row r="1255">
      <c r="A1255" s="4">
        <v>6785.0</v>
      </c>
      <c r="B1255" s="2" t="s">
        <v>5197</v>
      </c>
      <c r="C1255" s="2" t="s">
        <v>5198</v>
      </c>
      <c r="D1255" s="2" t="s">
        <v>739</v>
      </c>
      <c r="E1255" s="2" t="s">
        <v>5199</v>
      </c>
      <c r="F1255" s="2" t="b">
        <v>1</v>
      </c>
      <c r="G1255" s="2" t="b">
        <v>0</v>
      </c>
      <c r="H1255" s="2" t="s">
        <v>37</v>
      </c>
      <c r="I1255" s="2" t="s">
        <v>22</v>
      </c>
      <c r="J1255" s="2" t="s">
        <v>739</v>
      </c>
      <c r="K1255" s="2" t="s">
        <v>495</v>
      </c>
      <c r="L1255" s="13" t="s">
        <v>496</v>
      </c>
      <c r="M1255" s="2" t="s">
        <v>26</v>
      </c>
      <c r="N1255" s="11" t="s">
        <v>576</v>
      </c>
      <c r="O1255" s="12" t="s">
        <v>53</v>
      </c>
      <c r="P1255" s="5" t="str">
        <f>IFERROR(__xludf.DUMMYFUNCTION("TEXTJOIN("" | "",TRUE,IF(OR(D1255="""",E1255="""",I1255="""",J1255="""",H1255=""""),""ফাঁকা ঘর"",""""),IF(AND(C1255&lt;&gt;"""",D1255&lt;&gt;"""",C1255=D1255),""gloss=figurative"",""""),IF(LEN(D1255)&lt;15,""figurative ছোট"",""""),IF(AND(I1255=""Positive"",REGEXMATCH(H1"&amp;"255,""মূর্খ|ভণ্ড|প্রতার|অলস|লোভ|স্বার্থ|অক্ষম|অযোগ্য|বোকা|কৃপণ|হিংস"")),""valence-target অমিল"",""""),IF(COUNTIF($B:$B,B1255)&gt;1,""ডুপ্লিকেট"",""""))"),"figurative ছোট")</f>
        <v>figurative ছোট</v>
      </c>
      <c r="Q1255" s="5" t="str">
        <f t="shared" si="1"/>
        <v>১ আগে দেখো</v>
      </c>
    </row>
    <row r="1256">
      <c r="A1256" s="4">
        <v>6786.0</v>
      </c>
      <c r="B1256" s="2" t="s">
        <v>5200</v>
      </c>
      <c r="C1256" s="2" t="s">
        <v>5201</v>
      </c>
      <c r="D1256" s="2" t="s">
        <v>5143</v>
      </c>
      <c r="E1256" s="2" t="s">
        <v>5202</v>
      </c>
      <c r="F1256" s="2" t="b">
        <v>1</v>
      </c>
      <c r="G1256" s="2" t="b">
        <v>0</v>
      </c>
      <c r="H1256" s="2" t="s">
        <v>37</v>
      </c>
      <c r="I1256" s="2" t="s">
        <v>49</v>
      </c>
      <c r="J1256" s="2" t="s">
        <v>5143</v>
      </c>
      <c r="K1256" s="2" t="s">
        <v>495</v>
      </c>
      <c r="L1256" s="13" t="s">
        <v>496</v>
      </c>
      <c r="M1256" s="2" t="s">
        <v>26</v>
      </c>
      <c r="N1256" s="11" t="s">
        <v>576</v>
      </c>
      <c r="O1256" s="12" t="s">
        <v>53</v>
      </c>
      <c r="P1256" s="5" t="str">
        <f>IFERROR(__xludf.DUMMYFUNCTION("TEXTJOIN("" | "",TRUE,IF(OR(D1256="""",E1256="""",I1256="""",J1256="""",H1256=""""),""ফাঁকা ঘর"",""""),IF(AND(C1256&lt;&gt;"""",D1256&lt;&gt;"""",C1256=D1256),""gloss=figurative"",""""),IF(LEN(D1256)&lt;15,""figurative ছোট"",""""),IF(AND(I1256=""Positive"",REGEXMATCH(H1"&amp;"256,""মূর্খ|ভণ্ড|প্রতার|অলস|লোভ|স্বার্থ|অক্ষম|অযোগ্য|বোকা|কৃপণ|হিংস"")),""valence-target অমিল"",""""),IF(COUNTIF($B:$B,B1256)&gt;1,""ডুপ্লিকেট"",""""))"),"figurative ছোট")</f>
        <v>figurative ছোট</v>
      </c>
      <c r="Q1256" s="5" t="str">
        <f t="shared" si="1"/>
        <v>১ আগে দেখো</v>
      </c>
    </row>
    <row r="1257">
      <c r="A1257" s="4">
        <v>6788.0</v>
      </c>
      <c r="B1257" s="2" t="s">
        <v>5203</v>
      </c>
      <c r="C1257" s="2" t="s">
        <v>5204</v>
      </c>
      <c r="D1257" s="2" t="s">
        <v>3156</v>
      </c>
      <c r="E1257" s="2" t="s">
        <v>5205</v>
      </c>
      <c r="F1257" s="2" t="b">
        <v>1</v>
      </c>
      <c r="G1257" s="2" t="b">
        <v>0</v>
      </c>
      <c r="H1257" s="2" t="s">
        <v>37</v>
      </c>
      <c r="I1257" s="2" t="s">
        <v>49</v>
      </c>
      <c r="J1257" s="2" t="s">
        <v>3156</v>
      </c>
      <c r="K1257" s="2" t="s">
        <v>495</v>
      </c>
      <c r="L1257" s="13" t="s">
        <v>496</v>
      </c>
      <c r="M1257" s="2" t="s">
        <v>26</v>
      </c>
      <c r="N1257" s="11" t="s">
        <v>576</v>
      </c>
      <c r="O1257" s="12" t="s">
        <v>53</v>
      </c>
      <c r="P1257" s="5" t="str">
        <f>IFERROR(__xludf.DUMMYFUNCTION("TEXTJOIN("" | "",TRUE,IF(OR(D1257="""",E1257="""",I1257="""",J1257="""",H1257=""""),""ফাঁকা ঘর"",""""),IF(AND(C1257&lt;&gt;"""",D1257&lt;&gt;"""",C1257=D1257),""gloss=figurative"",""""),IF(LEN(D1257)&lt;15,""figurative ছোট"",""""),IF(AND(I1257=""Positive"",REGEXMATCH(H1"&amp;"257,""মূর্খ|ভণ্ড|প্রতার|অলস|লোভ|স্বার্থ|অক্ষম|অযোগ্য|বোকা|কৃপণ|হিংস"")),""valence-target অমিল"",""""),IF(COUNTIF($B:$B,B1257)&gt;1,""ডুপ্লিকেট"",""""))"),"figurative ছোট")</f>
        <v>figurative ছোট</v>
      </c>
      <c r="Q1257" s="5" t="str">
        <f t="shared" si="1"/>
        <v>১ আগে দেখো</v>
      </c>
    </row>
    <row r="1258">
      <c r="A1258" s="4">
        <v>6790.0</v>
      </c>
      <c r="B1258" s="2" t="s">
        <v>5206</v>
      </c>
      <c r="C1258" s="2" t="s">
        <v>5206</v>
      </c>
      <c r="D1258" s="2" t="s">
        <v>5207</v>
      </c>
      <c r="E1258" s="2" t="s">
        <v>5208</v>
      </c>
      <c r="F1258" s="2" t="b">
        <v>1</v>
      </c>
      <c r="G1258" s="2" t="b">
        <v>0</v>
      </c>
      <c r="H1258" s="2" t="s">
        <v>37</v>
      </c>
      <c r="I1258" s="2" t="s">
        <v>32</v>
      </c>
      <c r="J1258" s="2" t="s">
        <v>5207</v>
      </c>
      <c r="K1258" s="2" t="s">
        <v>495</v>
      </c>
      <c r="L1258" s="13" t="s">
        <v>496</v>
      </c>
      <c r="M1258" s="2" t="s">
        <v>26</v>
      </c>
      <c r="N1258" s="11" t="s">
        <v>576</v>
      </c>
      <c r="O1258" s="12" t="s">
        <v>53</v>
      </c>
      <c r="P1258" s="5" t="str">
        <f>IFERROR(__xludf.DUMMYFUNCTION("TEXTJOIN("" | "",TRUE,IF(OR(D1258="""",E1258="""",I1258="""",J1258="""",H1258=""""),""ফাঁকা ঘর"",""""),IF(AND(C1258&lt;&gt;"""",D1258&lt;&gt;"""",C1258=D1258),""gloss=figurative"",""""),IF(LEN(D1258)&lt;15,""figurative ছোট"",""""),IF(AND(I1258=""Positive"",REGEXMATCH(H1"&amp;"258,""মূর্খ|ভণ্ড|প্রতার|অলস|লোভ|স্বার্থ|অক্ষম|অযোগ্য|বোকা|কৃপণ|হিংস"")),""valence-target অমিল"",""""),IF(COUNTIF($B:$B,B1258)&gt;1,""ডুপ্লিকেট"",""""))"),"figurative ছোট")</f>
        <v>figurative ছোট</v>
      </c>
      <c r="Q1258" s="5" t="str">
        <f t="shared" si="1"/>
        <v>১ আগে দেখো</v>
      </c>
    </row>
    <row r="1259">
      <c r="A1259" s="4">
        <v>6792.0</v>
      </c>
      <c r="B1259" s="2" t="s">
        <v>5209</v>
      </c>
      <c r="C1259" s="2" t="s">
        <v>5210</v>
      </c>
      <c r="D1259" s="2" t="s">
        <v>5211</v>
      </c>
      <c r="E1259" s="2" t="s">
        <v>5212</v>
      </c>
      <c r="F1259" s="2" t="b">
        <v>1</v>
      </c>
      <c r="G1259" s="2" t="b">
        <v>0</v>
      </c>
      <c r="H1259" s="2" t="s">
        <v>37</v>
      </c>
      <c r="I1259" s="2" t="s">
        <v>32</v>
      </c>
      <c r="J1259" s="2" t="s">
        <v>3615</v>
      </c>
      <c r="K1259" s="2" t="s">
        <v>495</v>
      </c>
      <c r="L1259" s="13" t="s">
        <v>496</v>
      </c>
      <c r="M1259" s="2" t="s">
        <v>26</v>
      </c>
      <c r="N1259" s="11" t="s">
        <v>5213</v>
      </c>
      <c r="O1259" s="12" t="s">
        <v>53</v>
      </c>
      <c r="P1259" s="5" t="str">
        <f>IFERROR(__xludf.DUMMYFUNCTION("TEXTJOIN("" | "",TRUE,IF(OR(D1259="""",E1259="""",I1259="""",J1259="""",H1259=""""),""ফাঁকা ঘর"",""""),IF(AND(C1259&lt;&gt;"""",D1259&lt;&gt;"""",C1259=D1259),""gloss=figurative"",""""),IF(LEN(D1259)&lt;15,""figurative ছোট"",""""),IF(AND(I1259=""Positive"",REGEXMATCH(H1"&amp;"259,""মূর্খ|ভণ্ড|প্রতার|অলস|লোভ|স্বার্থ|অক্ষম|অযোগ্য|বোকা|কৃপণ|হিংস"")),""valence-target অমিল"",""""),IF(COUNTIF($B:$B,B1259)&gt;1,""ডুপ্লিকেট"",""""))"),"figurative ছোট")</f>
        <v>figurative ছোট</v>
      </c>
      <c r="Q1259" s="5" t="str">
        <f t="shared" si="1"/>
        <v>১ আগে দেখো</v>
      </c>
    </row>
    <row r="1260">
      <c r="A1260" s="4">
        <v>6793.0</v>
      </c>
      <c r="B1260" s="2" t="s">
        <v>5214</v>
      </c>
      <c r="C1260" s="2" t="s">
        <v>5215</v>
      </c>
      <c r="D1260" s="2" t="s">
        <v>5216</v>
      </c>
      <c r="E1260" s="2" t="s">
        <v>5217</v>
      </c>
      <c r="F1260" s="2" t="b">
        <v>1</v>
      </c>
      <c r="G1260" s="2" t="b">
        <v>0</v>
      </c>
      <c r="H1260" s="2" t="s">
        <v>37</v>
      </c>
      <c r="I1260" s="2" t="s">
        <v>32</v>
      </c>
      <c r="J1260" s="2" t="s">
        <v>3615</v>
      </c>
      <c r="K1260" s="2" t="s">
        <v>495</v>
      </c>
      <c r="L1260" s="13" t="s">
        <v>496</v>
      </c>
      <c r="M1260" s="2" t="s">
        <v>26</v>
      </c>
      <c r="N1260" s="11" t="s">
        <v>5218</v>
      </c>
      <c r="O1260" s="12" t="s">
        <v>53</v>
      </c>
      <c r="P1260" s="5" t="str">
        <f>IFERROR(__xludf.DUMMYFUNCTION("TEXTJOIN("" | "",TRUE,IF(OR(D1260="""",E1260="""",I1260="""",J1260="""",H1260=""""),""ফাঁকা ঘর"",""""),IF(AND(C1260&lt;&gt;"""",D1260&lt;&gt;"""",C1260=D1260),""gloss=figurative"",""""),IF(LEN(D1260)&lt;15,""figurative ছোট"",""""),IF(AND(I1260=""Positive"",REGEXMATCH(H1"&amp;"260,""মূর্খ|ভণ্ড|প্রতার|অলস|লোভ|স্বার্থ|অক্ষম|অযোগ্য|বোকা|কৃপণ|হিংস"")),""valence-target অমিল"",""""),IF(COUNTIF($B:$B,B1260)&gt;1,""ডুপ্লিকেট"",""""))"),"figurative ছোট")</f>
        <v>figurative ছোট</v>
      </c>
      <c r="Q1260" s="5" t="str">
        <f t="shared" si="1"/>
        <v>১ আগে দেখো</v>
      </c>
    </row>
    <row r="1261">
      <c r="A1261" s="4">
        <v>6794.0</v>
      </c>
      <c r="B1261" s="2" t="s">
        <v>5219</v>
      </c>
      <c r="C1261" s="2" t="s">
        <v>5220</v>
      </c>
      <c r="D1261" s="2" t="s">
        <v>2002</v>
      </c>
      <c r="E1261" s="2" t="s">
        <v>5221</v>
      </c>
      <c r="F1261" s="2" t="b">
        <v>1</v>
      </c>
      <c r="G1261" s="2" t="b">
        <v>0</v>
      </c>
      <c r="H1261" s="2" t="s">
        <v>37</v>
      </c>
      <c r="I1261" s="2" t="s">
        <v>22</v>
      </c>
      <c r="J1261" s="2" t="s">
        <v>3156</v>
      </c>
      <c r="K1261" s="2" t="s">
        <v>495</v>
      </c>
      <c r="L1261" s="13" t="s">
        <v>496</v>
      </c>
      <c r="M1261" s="2" t="s">
        <v>26</v>
      </c>
      <c r="N1261" s="11" t="s">
        <v>576</v>
      </c>
      <c r="O1261" s="12" t="s">
        <v>53</v>
      </c>
      <c r="P1261" s="5" t="str">
        <f>IFERROR(__xludf.DUMMYFUNCTION("TEXTJOIN("" | "",TRUE,IF(OR(D1261="""",E1261="""",I1261="""",J1261="""",H1261=""""),""ফাঁকা ঘর"",""""),IF(AND(C1261&lt;&gt;"""",D1261&lt;&gt;"""",C1261=D1261),""gloss=figurative"",""""),IF(LEN(D1261)&lt;15,""figurative ছোট"",""""),IF(AND(I1261=""Positive"",REGEXMATCH(H1"&amp;"261,""মূর্খ|ভণ্ড|প্রতার|অলস|লোভ|স্বার্থ|অক্ষম|অযোগ্য|বোকা|কৃপণ|হিংস"")),""valence-target অমিল"",""""),IF(COUNTIF($B:$B,B1261)&gt;1,""ডুপ্লিকেট"",""""))"),"figurative ছোট")</f>
        <v>figurative ছোট</v>
      </c>
      <c r="Q1261" s="5" t="str">
        <f t="shared" si="1"/>
        <v>১ আগে দেখো</v>
      </c>
    </row>
    <row r="1262">
      <c r="A1262" s="4">
        <v>6796.0</v>
      </c>
      <c r="B1262" s="2" t="s">
        <v>5222</v>
      </c>
      <c r="C1262" s="2" t="s">
        <v>5222</v>
      </c>
      <c r="D1262" s="2" t="s">
        <v>4862</v>
      </c>
      <c r="E1262" s="2" t="s">
        <v>5223</v>
      </c>
      <c r="F1262" s="2" t="b">
        <v>1</v>
      </c>
      <c r="G1262" s="2" t="b">
        <v>0</v>
      </c>
      <c r="H1262" s="2" t="s">
        <v>37</v>
      </c>
      <c r="I1262" s="2" t="s">
        <v>49</v>
      </c>
      <c r="J1262" s="2" t="s">
        <v>565</v>
      </c>
      <c r="K1262" s="2" t="s">
        <v>495</v>
      </c>
      <c r="L1262" s="13" t="s">
        <v>496</v>
      </c>
      <c r="M1262" s="2" t="s">
        <v>26</v>
      </c>
      <c r="N1262" s="11" t="s">
        <v>576</v>
      </c>
      <c r="O1262" s="12" t="s">
        <v>53</v>
      </c>
      <c r="P1262" s="5" t="str">
        <f>IFERROR(__xludf.DUMMYFUNCTION("TEXTJOIN("" | "",TRUE,IF(OR(D1262="""",E1262="""",I1262="""",J1262="""",H1262=""""),""ফাঁকা ঘর"",""""),IF(AND(C1262&lt;&gt;"""",D1262&lt;&gt;"""",C1262=D1262),""gloss=figurative"",""""),IF(LEN(D1262)&lt;15,""figurative ছোট"",""""),IF(AND(I1262=""Positive"",REGEXMATCH(H1"&amp;"262,""মূর্খ|ভণ্ড|প্রতার|অলস|লোভ|স্বার্থ|অক্ষম|অযোগ্য|বোকা|কৃপণ|হিংস"")),""valence-target অমিল"",""""),IF(COUNTIF($B:$B,B1262)&gt;1,""ডুপ্লিকেট"",""""))"),"figurative ছোট")</f>
        <v>figurative ছোট</v>
      </c>
      <c r="Q1262" s="5" t="str">
        <f t="shared" si="1"/>
        <v>১ আগে দেখো</v>
      </c>
    </row>
    <row r="1263">
      <c r="A1263" s="4">
        <v>6797.0</v>
      </c>
      <c r="B1263" s="2" t="s">
        <v>5224</v>
      </c>
      <c r="C1263" s="2" t="s">
        <v>5225</v>
      </c>
      <c r="D1263" s="2" t="s">
        <v>2386</v>
      </c>
      <c r="E1263" s="2" t="s">
        <v>5226</v>
      </c>
      <c r="F1263" s="2" t="b">
        <v>1</v>
      </c>
      <c r="G1263" s="2" t="b">
        <v>1</v>
      </c>
      <c r="H1263" s="2" t="s">
        <v>1106</v>
      </c>
      <c r="I1263" s="2" t="s">
        <v>22</v>
      </c>
      <c r="J1263" s="2" t="s">
        <v>2386</v>
      </c>
      <c r="K1263" s="2" t="s">
        <v>495</v>
      </c>
      <c r="L1263" s="13" t="s">
        <v>496</v>
      </c>
      <c r="M1263" s="2" t="s">
        <v>26</v>
      </c>
      <c r="N1263" s="11" t="s">
        <v>576</v>
      </c>
      <c r="O1263" s="12" t="s">
        <v>53</v>
      </c>
      <c r="P1263" s="5" t="str">
        <f>IFERROR(__xludf.DUMMYFUNCTION("TEXTJOIN("" | "",TRUE,IF(OR(D1263="""",E1263="""",I1263="""",J1263="""",H1263=""""),""ফাঁকা ঘর"",""""),IF(AND(C1263&lt;&gt;"""",D1263&lt;&gt;"""",C1263=D1263),""gloss=figurative"",""""),IF(LEN(D1263)&lt;15,""figurative ছোট"",""""),IF(AND(I1263=""Positive"",REGEXMATCH(H1"&amp;"263,""মূর্খ|ভণ্ড|প্রতার|অলস|লোভ|স্বার্থ|অক্ষম|অযোগ্য|বোকা|কৃপণ|হিংস"")),""valence-target অমিল"",""""),IF(COUNTIF($B:$B,B1263)&gt;1,""ডুপ্লিকেট"",""""))"),"figurative ছোট")</f>
        <v>figurative ছোট</v>
      </c>
      <c r="Q1263" s="5" t="str">
        <f t="shared" si="1"/>
        <v>১ আগে দেখো</v>
      </c>
    </row>
    <row r="1264">
      <c r="A1264" s="4">
        <v>6798.0</v>
      </c>
      <c r="B1264" s="2" t="s">
        <v>5227</v>
      </c>
      <c r="C1264" s="2" t="s">
        <v>5228</v>
      </c>
      <c r="D1264" s="2" t="s">
        <v>5229</v>
      </c>
      <c r="E1264" s="2" t="s">
        <v>5230</v>
      </c>
      <c r="F1264" s="2" t="b">
        <v>1</v>
      </c>
      <c r="G1264" s="2" t="b">
        <v>0</v>
      </c>
      <c r="H1264" s="2" t="s">
        <v>37</v>
      </c>
      <c r="I1264" s="2" t="s">
        <v>22</v>
      </c>
      <c r="J1264" s="2" t="s">
        <v>4475</v>
      </c>
      <c r="K1264" s="2" t="s">
        <v>495</v>
      </c>
      <c r="L1264" s="13" t="s">
        <v>496</v>
      </c>
      <c r="M1264" s="2" t="s">
        <v>26</v>
      </c>
      <c r="N1264" s="11" t="s">
        <v>576</v>
      </c>
      <c r="O1264" s="12" t="s">
        <v>53</v>
      </c>
      <c r="P1264" s="5" t="str">
        <f>IFERROR(__xludf.DUMMYFUNCTION("TEXTJOIN("" | "",TRUE,IF(OR(D1264="""",E1264="""",I1264="""",J1264="""",H1264=""""),""ফাঁকা ঘর"",""""),IF(AND(C1264&lt;&gt;"""",D1264&lt;&gt;"""",C1264=D1264),""gloss=figurative"",""""),IF(LEN(D1264)&lt;15,""figurative ছোট"",""""),IF(AND(I1264=""Positive"",REGEXMATCH(H1"&amp;"264,""মূর্খ|ভণ্ড|প্রতার|অলস|লোভ|স্বার্থ|অক্ষম|অযোগ্য|বোকা|কৃপণ|হিংস"")),""valence-target অমিল"",""""),IF(COUNTIF($B:$B,B1264)&gt;1,""ডুপ্লিকেট"",""""))"),"figurative ছোট")</f>
        <v>figurative ছোট</v>
      </c>
      <c r="Q1264" s="5" t="str">
        <f t="shared" si="1"/>
        <v>১ আগে দেখো</v>
      </c>
    </row>
    <row r="1265">
      <c r="A1265" s="4">
        <v>6799.0</v>
      </c>
      <c r="B1265" s="2" t="s">
        <v>5231</v>
      </c>
      <c r="C1265" s="2" t="s">
        <v>5232</v>
      </c>
      <c r="D1265" s="2" t="s">
        <v>5233</v>
      </c>
      <c r="E1265" s="2" t="s">
        <v>5234</v>
      </c>
      <c r="F1265" s="2" t="b">
        <v>1</v>
      </c>
      <c r="G1265" s="2" t="b">
        <v>0</v>
      </c>
      <c r="H1265" s="2" t="s">
        <v>37</v>
      </c>
      <c r="I1265" s="2" t="s">
        <v>22</v>
      </c>
      <c r="J1265" s="2" t="s">
        <v>5235</v>
      </c>
      <c r="K1265" s="2" t="s">
        <v>495</v>
      </c>
      <c r="L1265" s="13" t="s">
        <v>496</v>
      </c>
      <c r="M1265" s="2" t="s">
        <v>26</v>
      </c>
      <c r="N1265" s="11" t="s">
        <v>576</v>
      </c>
      <c r="O1265" s="12" t="s">
        <v>53</v>
      </c>
      <c r="P1265" s="5" t="str">
        <f>IFERROR(__xludf.DUMMYFUNCTION("TEXTJOIN("" | "",TRUE,IF(OR(D1265="""",E1265="""",I1265="""",J1265="""",H1265=""""),""ফাঁকা ঘর"",""""),IF(AND(C1265&lt;&gt;"""",D1265&lt;&gt;"""",C1265=D1265),""gloss=figurative"",""""),IF(LEN(D1265)&lt;15,""figurative ছোট"",""""),IF(AND(I1265=""Positive"",REGEXMATCH(H1"&amp;"265,""মূর্খ|ভণ্ড|প্রতার|অলস|লোভ|স্বার্থ|অক্ষম|অযোগ্য|বোকা|কৃপণ|হিংস"")),""valence-target অমিল"",""""),IF(COUNTIF($B:$B,B1265)&gt;1,""ডুপ্লিকেট"",""""))"),"figurative ছোট")</f>
        <v>figurative ছোট</v>
      </c>
      <c r="Q1265" s="5" t="str">
        <f t="shared" si="1"/>
        <v>১ আগে দেখো</v>
      </c>
    </row>
    <row r="1266">
      <c r="A1266" s="4">
        <v>6800.0</v>
      </c>
      <c r="B1266" s="2" t="s">
        <v>5236</v>
      </c>
      <c r="C1266" s="2" t="s">
        <v>5237</v>
      </c>
      <c r="D1266" s="2" t="s">
        <v>739</v>
      </c>
      <c r="E1266" s="2" t="s">
        <v>5238</v>
      </c>
      <c r="F1266" s="2" t="b">
        <v>1</v>
      </c>
      <c r="G1266" s="2" t="b">
        <v>0</v>
      </c>
      <c r="H1266" s="2" t="s">
        <v>37</v>
      </c>
      <c r="I1266" s="2" t="s">
        <v>49</v>
      </c>
      <c r="J1266" s="2" t="s">
        <v>739</v>
      </c>
      <c r="K1266" s="2" t="s">
        <v>495</v>
      </c>
      <c r="L1266" s="13" t="s">
        <v>496</v>
      </c>
      <c r="M1266" s="2" t="s">
        <v>26</v>
      </c>
      <c r="N1266" s="11" t="s">
        <v>576</v>
      </c>
      <c r="O1266" s="12" t="s">
        <v>53</v>
      </c>
      <c r="P1266" s="5" t="str">
        <f>IFERROR(__xludf.DUMMYFUNCTION("TEXTJOIN("" | "",TRUE,IF(OR(D1266="""",E1266="""",I1266="""",J1266="""",H1266=""""),""ফাঁকা ঘর"",""""),IF(AND(C1266&lt;&gt;"""",D1266&lt;&gt;"""",C1266=D1266),""gloss=figurative"",""""),IF(LEN(D1266)&lt;15,""figurative ছোট"",""""),IF(AND(I1266=""Positive"",REGEXMATCH(H1"&amp;"266,""মূর্খ|ভণ্ড|প্রতার|অলস|লোভ|স্বার্থ|অক্ষম|অযোগ্য|বোকা|কৃপণ|হিংস"")),""valence-target অমিল"",""""),IF(COUNTIF($B:$B,B1266)&gt;1,""ডুপ্লিকেট"",""""))"),"figurative ছোট")</f>
        <v>figurative ছোট</v>
      </c>
      <c r="Q1266" s="5" t="str">
        <f t="shared" si="1"/>
        <v>১ আগে দেখো</v>
      </c>
    </row>
    <row r="1267">
      <c r="A1267" s="4">
        <v>6801.0</v>
      </c>
      <c r="B1267" s="2" t="s">
        <v>5239</v>
      </c>
      <c r="C1267" s="2" t="s">
        <v>5240</v>
      </c>
      <c r="D1267" s="2" t="s">
        <v>669</v>
      </c>
      <c r="E1267" s="2" t="s">
        <v>5241</v>
      </c>
      <c r="F1267" s="2" t="b">
        <v>1</v>
      </c>
      <c r="G1267" s="2" t="b">
        <v>0</v>
      </c>
      <c r="H1267" s="2" t="s">
        <v>37</v>
      </c>
      <c r="I1267" s="2" t="s">
        <v>32</v>
      </c>
      <c r="J1267" s="2" t="s">
        <v>669</v>
      </c>
      <c r="K1267" s="2" t="s">
        <v>495</v>
      </c>
      <c r="L1267" s="13" t="s">
        <v>496</v>
      </c>
      <c r="M1267" s="2" t="s">
        <v>26</v>
      </c>
      <c r="N1267" s="11" t="s">
        <v>576</v>
      </c>
      <c r="O1267" s="12" t="s">
        <v>53</v>
      </c>
      <c r="P1267" s="5" t="str">
        <f>IFERROR(__xludf.DUMMYFUNCTION("TEXTJOIN("" | "",TRUE,IF(OR(D1267="""",E1267="""",I1267="""",J1267="""",H1267=""""),""ফাঁকা ঘর"",""""),IF(AND(C1267&lt;&gt;"""",D1267&lt;&gt;"""",C1267=D1267),""gloss=figurative"",""""),IF(LEN(D1267)&lt;15,""figurative ছোট"",""""),IF(AND(I1267=""Positive"",REGEXMATCH(H1"&amp;"267,""মূর্খ|ভণ্ড|প্রতার|অলস|লোভ|স্বার্থ|অক্ষম|অযোগ্য|বোকা|কৃপণ|হিংস"")),""valence-target অমিল"",""""),IF(COUNTIF($B:$B,B1267)&gt;1,""ডুপ্লিকেট"",""""))"),"figurative ছোট")</f>
        <v>figurative ছোট</v>
      </c>
      <c r="Q1267" s="5" t="str">
        <f t="shared" si="1"/>
        <v>১ আগে দেখো</v>
      </c>
    </row>
    <row r="1268">
      <c r="A1268" s="4">
        <v>6802.0</v>
      </c>
      <c r="B1268" s="2" t="s">
        <v>5242</v>
      </c>
      <c r="C1268" s="2" t="s">
        <v>5243</v>
      </c>
      <c r="D1268" s="2" t="s">
        <v>3867</v>
      </c>
      <c r="E1268" s="2" t="s">
        <v>5244</v>
      </c>
      <c r="F1268" s="2" t="b">
        <v>1</v>
      </c>
      <c r="G1268" s="2" t="b">
        <v>0</v>
      </c>
      <c r="H1268" s="2" t="s">
        <v>37</v>
      </c>
      <c r="I1268" s="2" t="s">
        <v>22</v>
      </c>
      <c r="J1268" s="2" t="s">
        <v>4039</v>
      </c>
      <c r="K1268" s="2" t="s">
        <v>495</v>
      </c>
      <c r="L1268" s="13" t="s">
        <v>496</v>
      </c>
      <c r="M1268" s="2" t="s">
        <v>26</v>
      </c>
      <c r="N1268" s="11" t="s">
        <v>576</v>
      </c>
      <c r="O1268" s="12" t="s">
        <v>53</v>
      </c>
      <c r="P1268" s="5" t="str">
        <f>IFERROR(__xludf.DUMMYFUNCTION("TEXTJOIN("" | "",TRUE,IF(OR(D1268="""",E1268="""",I1268="""",J1268="""",H1268=""""),""ফাঁকা ঘর"",""""),IF(AND(C1268&lt;&gt;"""",D1268&lt;&gt;"""",C1268=D1268),""gloss=figurative"",""""),IF(LEN(D1268)&lt;15,""figurative ছোট"",""""),IF(AND(I1268=""Positive"",REGEXMATCH(H1"&amp;"268,""মূর্খ|ভণ্ড|প্রতার|অলস|লোভ|স্বার্থ|অক্ষম|অযোগ্য|বোকা|কৃপণ|হিংস"")),""valence-target অমিল"",""""),IF(COUNTIF($B:$B,B1268)&gt;1,""ডুপ্লিকেট"",""""))"),"figurative ছোট")</f>
        <v>figurative ছোট</v>
      </c>
      <c r="Q1268" s="5" t="str">
        <f t="shared" si="1"/>
        <v>১ আগে দেখো</v>
      </c>
    </row>
    <row r="1269">
      <c r="A1269" s="4">
        <v>6803.0</v>
      </c>
      <c r="B1269" s="2" t="s">
        <v>5245</v>
      </c>
      <c r="C1269" s="2" t="s">
        <v>5245</v>
      </c>
      <c r="D1269" s="2" t="s">
        <v>5246</v>
      </c>
      <c r="E1269" s="2" t="s">
        <v>5247</v>
      </c>
      <c r="F1269" s="2" t="b">
        <v>1</v>
      </c>
      <c r="G1269" s="2" t="b">
        <v>0</v>
      </c>
      <c r="H1269" s="2" t="s">
        <v>37</v>
      </c>
      <c r="I1269" s="2" t="s">
        <v>32</v>
      </c>
      <c r="J1269" s="2" t="s">
        <v>1438</v>
      </c>
      <c r="K1269" s="2" t="s">
        <v>495</v>
      </c>
      <c r="L1269" s="13" t="s">
        <v>496</v>
      </c>
      <c r="M1269" s="2" t="s">
        <v>26</v>
      </c>
      <c r="N1269" s="11" t="s">
        <v>576</v>
      </c>
      <c r="O1269" s="12" t="s">
        <v>53</v>
      </c>
      <c r="P1269" s="5" t="str">
        <f>IFERROR(__xludf.DUMMYFUNCTION("TEXTJOIN("" | "",TRUE,IF(OR(D1269="""",E1269="""",I1269="""",J1269="""",H1269=""""),""ফাঁকা ঘর"",""""),IF(AND(C1269&lt;&gt;"""",D1269&lt;&gt;"""",C1269=D1269),""gloss=figurative"",""""),IF(LEN(D1269)&lt;15,""figurative ছোট"",""""),IF(AND(I1269=""Positive"",REGEXMATCH(H1"&amp;"269,""মূর্খ|ভণ্ড|প্রতার|অলস|লোভ|স্বার্থ|অক্ষম|অযোগ্য|বোকা|কৃপণ|হিংস"")),""valence-target অমিল"",""""),IF(COUNTIF($B:$B,B1269)&gt;1,""ডুপ্লিকেট"",""""))"),"figurative ছোট")</f>
        <v>figurative ছোট</v>
      </c>
      <c r="Q1269" s="5" t="str">
        <f t="shared" si="1"/>
        <v>১ আগে দেখো</v>
      </c>
    </row>
    <row r="1270">
      <c r="A1270" s="4">
        <v>6804.0</v>
      </c>
      <c r="B1270" s="2" t="s">
        <v>5248</v>
      </c>
      <c r="C1270" s="2" t="s">
        <v>5249</v>
      </c>
      <c r="D1270" s="2" t="s">
        <v>1603</v>
      </c>
      <c r="E1270" s="2" t="s">
        <v>5250</v>
      </c>
      <c r="F1270" s="2" t="b">
        <v>1</v>
      </c>
      <c r="G1270" s="2" t="b">
        <v>0</v>
      </c>
      <c r="H1270" s="2" t="s">
        <v>37</v>
      </c>
      <c r="I1270" s="2" t="s">
        <v>32</v>
      </c>
      <c r="J1270" s="2" t="s">
        <v>1603</v>
      </c>
      <c r="K1270" s="2" t="s">
        <v>495</v>
      </c>
      <c r="L1270" s="13" t="s">
        <v>496</v>
      </c>
      <c r="M1270" s="2" t="s">
        <v>26</v>
      </c>
      <c r="N1270" s="11" t="s">
        <v>576</v>
      </c>
      <c r="O1270" s="12" t="s">
        <v>53</v>
      </c>
      <c r="P1270" s="5" t="str">
        <f>IFERROR(__xludf.DUMMYFUNCTION("TEXTJOIN("" | "",TRUE,IF(OR(D1270="""",E1270="""",I1270="""",J1270="""",H1270=""""),""ফাঁকা ঘর"",""""),IF(AND(C1270&lt;&gt;"""",D1270&lt;&gt;"""",C1270=D1270),""gloss=figurative"",""""),IF(LEN(D1270)&lt;15,""figurative ছোট"",""""),IF(AND(I1270=""Positive"",REGEXMATCH(H1"&amp;"270,""মূর্খ|ভণ্ড|প্রতার|অলস|লোভ|স্বার্থ|অক্ষম|অযোগ্য|বোকা|কৃপণ|হিংস"")),""valence-target অমিল"",""""),IF(COUNTIF($B:$B,B1270)&gt;1,""ডুপ্লিকেট"",""""))"),"figurative ছোট")</f>
        <v>figurative ছোট</v>
      </c>
      <c r="Q1270" s="5" t="str">
        <f t="shared" si="1"/>
        <v>১ আগে দেখো</v>
      </c>
    </row>
    <row r="1271">
      <c r="A1271" s="4">
        <v>6805.0</v>
      </c>
      <c r="B1271" s="2" t="s">
        <v>5251</v>
      </c>
      <c r="C1271" s="2" t="s">
        <v>5252</v>
      </c>
      <c r="D1271" s="2" t="s">
        <v>3615</v>
      </c>
      <c r="E1271" s="2" t="s">
        <v>5253</v>
      </c>
      <c r="F1271" s="2" t="b">
        <v>1</v>
      </c>
      <c r="G1271" s="2" t="b">
        <v>0</v>
      </c>
      <c r="H1271" s="2" t="s">
        <v>37</v>
      </c>
      <c r="I1271" s="2" t="s">
        <v>32</v>
      </c>
      <c r="J1271" s="2" t="s">
        <v>3615</v>
      </c>
      <c r="K1271" s="2" t="s">
        <v>495</v>
      </c>
      <c r="L1271" s="13" t="s">
        <v>496</v>
      </c>
      <c r="M1271" s="2" t="s">
        <v>26</v>
      </c>
      <c r="N1271" s="11" t="s">
        <v>5254</v>
      </c>
      <c r="O1271" s="12" t="s">
        <v>53</v>
      </c>
      <c r="P1271" s="5" t="str">
        <f>IFERROR(__xludf.DUMMYFUNCTION("TEXTJOIN("" | "",TRUE,IF(OR(D1271="""",E1271="""",I1271="""",J1271="""",H1271=""""),""ফাঁকা ঘর"",""""),IF(AND(C1271&lt;&gt;"""",D1271&lt;&gt;"""",C1271=D1271),""gloss=figurative"",""""),IF(LEN(D1271)&lt;15,""figurative ছোট"",""""),IF(AND(I1271=""Positive"",REGEXMATCH(H1"&amp;"271,""মূর্খ|ভণ্ড|প্রতার|অলস|লোভ|স্বার্থ|অক্ষম|অযোগ্য|বোকা|কৃপণ|হিংস"")),""valence-target অমিল"",""""),IF(COUNTIF($B:$B,B1271)&gt;1,""ডুপ্লিকেট"",""""))"),"figurative ছোট")</f>
        <v>figurative ছোট</v>
      </c>
      <c r="Q1271" s="5" t="str">
        <f t="shared" si="1"/>
        <v>১ আগে দেখো</v>
      </c>
    </row>
    <row r="1272">
      <c r="A1272" s="4">
        <v>6806.0</v>
      </c>
      <c r="B1272" s="2" t="s">
        <v>5255</v>
      </c>
      <c r="C1272" s="2" t="s">
        <v>5256</v>
      </c>
      <c r="D1272" s="2" t="s">
        <v>868</v>
      </c>
      <c r="E1272" s="2" t="s">
        <v>5257</v>
      </c>
      <c r="F1272" s="2" t="b">
        <v>1</v>
      </c>
      <c r="G1272" s="2" t="b">
        <v>0</v>
      </c>
      <c r="H1272" s="2" t="s">
        <v>37</v>
      </c>
      <c r="I1272" s="2" t="s">
        <v>22</v>
      </c>
      <c r="J1272" s="2" t="s">
        <v>868</v>
      </c>
      <c r="K1272" s="2" t="s">
        <v>495</v>
      </c>
      <c r="L1272" s="13" t="s">
        <v>496</v>
      </c>
      <c r="M1272" s="2" t="s">
        <v>26</v>
      </c>
      <c r="N1272" s="11" t="s">
        <v>576</v>
      </c>
      <c r="O1272" s="12" t="s">
        <v>53</v>
      </c>
      <c r="P1272" s="5" t="str">
        <f>IFERROR(__xludf.DUMMYFUNCTION("TEXTJOIN("" | "",TRUE,IF(OR(D1272="""",E1272="""",I1272="""",J1272="""",H1272=""""),""ফাঁকা ঘর"",""""),IF(AND(C1272&lt;&gt;"""",D1272&lt;&gt;"""",C1272=D1272),""gloss=figurative"",""""),IF(LEN(D1272)&lt;15,""figurative ছোট"",""""),IF(AND(I1272=""Positive"",REGEXMATCH(H1"&amp;"272,""মূর্খ|ভণ্ড|প্রতার|অলস|লোভ|স্বার্থ|অক্ষম|অযোগ্য|বোকা|কৃপণ|হিংস"")),""valence-target অমিল"",""""),IF(COUNTIF($B:$B,B1272)&gt;1,""ডুপ্লিকেট"",""""))"),"figurative ছোট")</f>
        <v>figurative ছোট</v>
      </c>
      <c r="Q1272" s="5" t="str">
        <f t="shared" si="1"/>
        <v>১ আগে দেখো</v>
      </c>
    </row>
    <row r="1273">
      <c r="A1273" s="4">
        <v>6808.0</v>
      </c>
      <c r="B1273" s="2" t="s">
        <v>5258</v>
      </c>
      <c r="C1273" s="2" t="s">
        <v>5259</v>
      </c>
      <c r="D1273" s="2" t="s">
        <v>2015</v>
      </c>
      <c r="E1273" s="2" t="s">
        <v>5260</v>
      </c>
      <c r="F1273" s="2" t="b">
        <v>1</v>
      </c>
      <c r="G1273" s="2" t="b">
        <v>0</v>
      </c>
      <c r="H1273" s="2" t="s">
        <v>37</v>
      </c>
      <c r="I1273" s="2" t="s">
        <v>49</v>
      </c>
      <c r="J1273" s="2" t="s">
        <v>2015</v>
      </c>
      <c r="K1273" s="2" t="s">
        <v>495</v>
      </c>
      <c r="L1273" s="13" t="s">
        <v>496</v>
      </c>
      <c r="M1273" s="2" t="s">
        <v>26</v>
      </c>
      <c r="N1273" s="11" t="s">
        <v>576</v>
      </c>
      <c r="O1273" s="12" t="s">
        <v>53</v>
      </c>
      <c r="P1273" s="5" t="str">
        <f>IFERROR(__xludf.DUMMYFUNCTION("TEXTJOIN("" | "",TRUE,IF(OR(D1273="""",E1273="""",I1273="""",J1273="""",H1273=""""),""ফাঁকা ঘর"",""""),IF(AND(C1273&lt;&gt;"""",D1273&lt;&gt;"""",C1273=D1273),""gloss=figurative"",""""),IF(LEN(D1273)&lt;15,""figurative ছোট"",""""),IF(AND(I1273=""Positive"",REGEXMATCH(H1"&amp;"273,""মূর্খ|ভণ্ড|প্রতার|অলস|লোভ|স্বার্থ|অক্ষম|অযোগ্য|বোকা|কৃপণ|হিংস"")),""valence-target অমিল"",""""),IF(COUNTIF($B:$B,B1273)&gt;1,""ডুপ্লিকেট"",""""))"),"figurative ছোট")</f>
        <v>figurative ছোট</v>
      </c>
      <c r="Q1273" s="5" t="str">
        <f t="shared" si="1"/>
        <v>১ আগে দেখো</v>
      </c>
    </row>
    <row r="1274">
      <c r="A1274" s="4">
        <v>6809.0</v>
      </c>
      <c r="B1274" s="2" t="s">
        <v>5261</v>
      </c>
      <c r="C1274" s="2" t="s">
        <v>5262</v>
      </c>
      <c r="D1274" s="2" t="s">
        <v>3570</v>
      </c>
      <c r="E1274" s="2" t="s">
        <v>5263</v>
      </c>
      <c r="F1274" s="2" t="b">
        <v>1</v>
      </c>
      <c r="G1274" s="2" t="b">
        <v>0</v>
      </c>
      <c r="H1274" s="2" t="s">
        <v>37</v>
      </c>
      <c r="I1274" s="2" t="s">
        <v>49</v>
      </c>
      <c r="J1274" s="2" t="s">
        <v>3570</v>
      </c>
      <c r="K1274" s="2" t="s">
        <v>495</v>
      </c>
      <c r="L1274" s="13" t="s">
        <v>496</v>
      </c>
      <c r="M1274" s="2" t="s">
        <v>26</v>
      </c>
      <c r="N1274" s="11" t="s">
        <v>576</v>
      </c>
      <c r="O1274" s="12" t="s">
        <v>53</v>
      </c>
      <c r="P1274" s="5" t="str">
        <f>IFERROR(__xludf.DUMMYFUNCTION("TEXTJOIN("" | "",TRUE,IF(OR(D1274="""",E1274="""",I1274="""",J1274="""",H1274=""""),""ফাঁকা ঘর"",""""),IF(AND(C1274&lt;&gt;"""",D1274&lt;&gt;"""",C1274=D1274),""gloss=figurative"",""""),IF(LEN(D1274)&lt;15,""figurative ছোট"",""""),IF(AND(I1274=""Positive"",REGEXMATCH(H1"&amp;"274,""মূর্খ|ভণ্ড|প্রতার|অলস|লোভ|স্বার্থ|অক্ষম|অযোগ্য|বোকা|কৃপণ|হিংস"")),""valence-target অমিল"",""""),IF(COUNTIF($B:$B,B1274)&gt;1,""ডুপ্লিকেট"",""""))"),"figurative ছোট")</f>
        <v>figurative ছোট</v>
      </c>
      <c r="Q1274" s="5" t="str">
        <f t="shared" si="1"/>
        <v>১ আগে দেখো</v>
      </c>
    </row>
    <row r="1275">
      <c r="A1275" s="4">
        <v>6810.0</v>
      </c>
      <c r="B1275" s="2" t="s">
        <v>5264</v>
      </c>
      <c r="C1275" s="2" t="s">
        <v>5265</v>
      </c>
      <c r="D1275" s="2" t="s">
        <v>989</v>
      </c>
      <c r="E1275" s="2" t="s">
        <v>5266</v>
      </c>
      <c r="F1275" s="2" t="b">
        <v>1</v>
      </c>
      <c r="G1275" s="2" t="b">
        <v>0</v>
      </c>
      <c r="H1275" s="2" t="s">
        <v>989</v>
      </c>
      <c r="I1275" s="2" t="s">
        <v>22</v>
      </c>
      <c r="J1275" s="2" t="s">
        <v>990</v>
      </c>
      <c r="K1275" s="2" t="s">
        <v>495</v>
      </c>
      <c r="L1275" s="13" t="s">
        <v>496</v>
      </c>
      <c r="M1275" s="2" t="s">
        <v>26</v>
      </c>
      <c r="N1275" s="11" t="s">
        <v>576</v>
      </c>
      <c r="O1275" s="12" t="s">
        <v>53</v>
      </c>
      <c r="P1275" s="5" t="str">
        <f>IFERROR(__xludf.DUMMYFUNCTION("TEXTJOIN("" | "",TRUE,IF(OR(D1275="""",E1275="""",I1275="""",J1275="""",H1275=""""),""ফাঁকা ঘর"",""""),IF(AND(C1275&lt;&gt;"""",D1275&lt;&gt;"""",C1275=D1275),""gloss=figurative"",""""),IF(LEN(D1275)&lt;15,""figurative ছোট"",""""),IF(AND(I1275=""Positive"",REGEXMATCH(H1"&amp;"275,""মূর্খ|ভণ্ড|প্রতার|অলস|লোভ|স্বার্থ|অক্ষম|অযোগ্য|বোকা|কৃপণ|হিংস"")),""valence-target অমিল"",""""),IF(COUNTIF($B:$B,B1275)&gt;1,""ডুপ্লিকেট"",""""))"),"figurative ছোট")</f>
        <v>figurative ছোট</v>
      </c>
      <c r="Q1275" s="5" t="str">
        <f t="shared" si="1"/>
        <v>১ আগে দেখো</v>
      </c>
    </row>
    <row r="1276">
      <c r="A1276" s="4">
        <v>6811.0</v>
      </c>
      <c r="B1276" s="2" t="s">
        <v>5267</v>
      </c>
      <c r="C1276" s="2" t="s">
        <v>5268</v>
      </c>
      <c r="D1276" s="2" t="s">
        <v>2002</v>
      </c>
      <c r="E1276" s="2" t="s">
        <v>5269</v>
      </c>
      <c r="F1276" s="2" t="b">
        <v>1</v>
      </c>
      <c r="G1276" s="2" t="b">
        <v>0</v>
      </c>
      <c r="H1276" s="2" t="s">
        <v>37</v>
      </c>
      <c r="I1276" s="2" t="s">
        <v>49</v>
      </c>
      <c r="J1276" s="2" t="s">
        <v>1803</v>
      </c>
      <c r="K1276" s="2" t="s">
        <v>495</v>
      </c>
      <c r="L1276" s="13" t="s">
        <v>496</v>
      </c>
      <c r="M1276" s="2" t="s">
        <v>26</v>
      </c>
      <c r="N1276" s="11" t="s">
        <v>576</v>
      </c>
      <c r="O1276" s="12" t="s">
        <v>53</v>
      </c>
      <c r="P1276" s="5" t="str">
        <f>IFERROR(__xludf.DUMMYFUNCTION("TEXTJOIN("" | "",TRUE,IF(OR(D1276="""",E1276="""",I1276="""",J1276="""",H1276=""""),""ফাঁকা ঘর"",""""),IF(AND(C1276&lt;&gt;"""",D1276&lt;&gt;"""",C1276=D1276),""gloss=figurative"",""""),IF(LEN(D1276)&lt;15,""figurative ছোট"",""""),IF(AND(I1276=""Positive"",REGEXMATCH(H1"&amp;"276,""মূর্খ|ভণ্ড|প্রতার|অলস|লোভ|স্বার্থ|অক্ষম|অযোগ্য|বোকা|কৃপণ|হিংস"")),""valence-target অমিল"",""""),IF(COUNTIF($B:$B,B1276)&gt;1,""ডুপ্লিকেট"",""""))"),"figurative ছোট")</f>
        <v>figurative ছোট</v>
      </c>
      <c r="Q1276" s="5" t="str">
        <f t="shared" si="1"/>
        <v>১ আগে দেখো</v>
      </c>
    </row>
    <row r="1277">
      <c r="A1277" s="4">
        <v>6812.0</v>
      </c>
      <c r="B1277" s="2" t="s">
        <v>5270</v>
      </c>
      <c r="C1277" s="2" t="s">
        <v>5271</v>
      </c>
      <c r="D1277" s="2" t="s">
        <v>5272</v>
      </c>
      <c r="E1277" s="2" t="s">
        <v>5273</v>
      </c>
      <c r="F1277" s="2" t="b">
        <v>1</v>
      </c>
      <c r="G1277" s="2" t="b">
        <v>0</v>
      </c>
      <c r="H1277" s="2" t="s">
        <v>37</v>
      </c>
      <c r="I1277" s="2" t="s">
        <v>32</v>
      </c>
      <c r="J1277" s="2" t="s">
        <v>842</v>
      </c>
      <c r="K1277" s="2" t="s">
        <v>495</v>
      </c>
      <c r="L1277" s="13" t="s">
        <v>496</v>
      </c>
      <c r="M1277" s="2" t="s">
        <v>26</v>
      </c>
      <c r="N1277" s="11" t="s">
        <v>576</v>
      </c>
      <c r="O1277" s="12" t="s">
        <v>53</v>
      </c>
      <c r="P1277" s="5" t="str">
        <f>IFERROR(__xludf.DUMMYFUNCTION("TEXTJOIN("" | "",TRUE,IF(OR(D1277="""",E1277="""",I1277="""",J1277="""",H1277=""""),""ফাঁকা ঘর"",""""),IF(AND(C1277&lt;&gt;"""",D1277&lt;&gt;"""",C1277=D1277),""gloss=figurative"",""""),IF(LEN(D1277)&lt;15,""figurative ছোট"",""""),IF(AND(I1277=""Positive"",REGEXMATCH(H1"&amp;"277,""মূর্খ|ভণ্ড|প্রতার|অলস|লোভ|স্বার্থ|অক্ষম|অযোগ্য|বোকা|কৃপণ|হিংস"")),""valence-target অমিল"",""""),IF(COUNTIF($B:$B,B1277)&gt;1,""ডুপ্লিকেট"",""""))"),"figurative ছোট")</f>
        <v>figurative ছোট</v>
      </c>
      <c r="Q1277" s="5" t="str">
        <f t="shared" si="1"/>
        <v>১ আগে দেখো</v>
      </c>
    </row>
    <row r="1278">
      <c r="A1278" s="4">
        <v>6813.0</v>
      </c>
      <c r="B1278" s="2" t="s">
        <v>5274</v>
      </c>
      <c r="C1278" s="2" t="s">
        <v>5275</v>
      </c>
      <c r="D1278" s="2" t="s">
        <v>5276</v>
      </c>
      <c r="E1278" s="2" t="s">
        <v>5277</v>
      </c>
      <c r="F1278" s="2" t="b">
        <v>1</v>
      </c>
      <c r="G1278" s="2" t="b">
        <v>0</v>
      </c>
      <c r="H1278" s="2" t="s">
        <v>37</v>
      </c>
      <c r="I1278" s="2" t="s">
        <v>22</v>
      </c>
      <c r="J1278" s="2" t="s">
        <v>5278</v>
      </c>
      <c r="K1278" s="2" t="s">
        <v>495</v>
      </c>
      <c r="L1278" s="13" t="s">
        <v>496</v>
      </c>
      <c r="M1278" s="2" t="s">
        <v>26</v>
      </c>
      <c r="N1278" s="11" t="s">
        <v>576</v>
      </c>
      <c r="O1278" s="12" t="s">
        <v>53</v>
      </c>
      <c r="P1278" s="5" t="str">
        <f>IFERROR(__xludf.DUMMYFUNCTION("TEXTJOIN("" | "",TRUE,IF(OR(D1278="""",E1278="""",I1278="""",J1278="""",H1278=""""),""ফাঁকা ঘর"",""""),IF(AND(C1278&lt;&gt;"""",D1278&lt;&gt;"""",C1278=D1278),""gloss=figurative"",""""),IF(LEN(D1278)&lt;15,""figurative ছোট"",""""),IF(AND(I1278=""Positive"",REGEXMATCH(H1"&amp;"278,""মূর্খ|ভণ্ড|প্রতার|অলস|লোভ|স্বার্থ|অক্ষম|অযোগ্য|বোকা|কৃপণ|হিংস"")),""valence-target অমিল"",""""),IF(COUNTIF($B:$B,B1278)&gt;1,""ডুপ্লিকেট"",""""))"),"figurative ছোট")</f>
        <v>figurative ছোট</v>
      </c>
      <c r="Q1278" s="5" t="str">
        <f t="shared" si="1"/>
        <v>১ আগে দেখো</v>
      </c>
    </row>
    <row r="1279">
      <c r="A1279" s="4">
        <v>6814.0</v>
      </c>
      <c r="B1279" s="2" t="s">
        <v>5279</v>
      </c>
      <c r="C1279" s="2" t="s">
        <v>5280</v>
      </c>
      <c r="D1279" s="2" t="s">
        <v>5281</v>
      </c>
      <c r="E1279" s="2" t="s">
        <v>5282</v>
      </c>
      <c r="F1279" s="2" t="b">
        <v>1</v>
      </c>
      <c r="G1279" s="2" t="b">
        <v>0</v>
      </c>
      <c r="H1279" s="2" t="s">
        <v>5283</v>
      </c>
      <c r="I1279" s="2" t="s">
        <v>22</v>
      </c>
      <c r="J1279" s="2" t="s">
        <v>2550</v>
      </c>
      <c r="K1279" s="2" t="s">
        <v>495</v>
      </c>
      <c r="L1279" s="13" t="s">
        <v>496</v>
      </c>
      <c r="M1279" s="2" t="s">
        <v>26</v>
      </c>
      <c r="N1279" s="11" t="s">
        <v>576</v>
      </c>
      <c r="O1279" s="12" t="s">
        <v>53</v>
      </c>
      <c r="P1279" s="5" t="str">
        <f>IFERROR(__xludf.DUMMYFUNCTION("TEXTJOIN("" | "",TRUE,IF(OR(D1279="""",E1279="""",I1279="""",J1279="""",H1279=""""),""ফাঁকা ঘর"",""""),IF(AND(C1279&lt;&gt;"""",D1279&lt;&gt;"""",C1279=D1279),""gloss=figurative"",""""),IF(LEN(D1279)&lt;15,""figurative ছোট"",""""),IF(AND(I1279=""Positive"",REGEXMATCH(H1"&amp;"279,""মূর্খ|ভণ্ড|প্রতার|অলস|লোভ|স্বার্থ|অক্ষম|অযোগ্য|বোকা|কৃপণ|হিংস"")),""valence-target অমিল"",""""),IF(COUNTIF($B:$B,B1279)&gt;1,""ডুপ্লিকেট"",""""))"),"figurative ছোট")</f>
        <v>figurative ছোট</v>
      </c>
      <c r="Q1279" s="5" t="str">
        <f t="shared" si="1"/>
        <v>১ আগে দেখো</v>
      </c>
    </row>
    <row r="1280">
      <c r="A1280" s="4">
        <v>6815.0</v>
      </c>
      <c r="B1280" s="2" t="s">
        <v>5284</v>
      </c>
      <c r="C1280" s="2" t="s">
        <v>5285</v>
      </c>
      <c r="D1280" s="2" t="s">
        <v>5286</v>
      </c>
      <c r="E1280" s="2" t="s">
        <v>5287</v>
      </c>
      <c r="F1280" s="2" t="b">
        <v>1</v>
      </c>
      <c r="G1280" s="2" t="b">
        <v>0</v>
      </c>
      <c r="H1280" s="2" t="s">
        <v>37</v>
      </c>
      <c r="I1280" s="2" t="s">
        <v>49</v>
      </c>
      <c r="J1280" s="2" t="s">
        <v>3710</v>
      </c>
      <c r="K1280" s="2" t="s">
        <v>495</v>
      </c>
      <c r="L1280" s="13" t="s">
        <v>496</v>
      </c>
      <c r="M1280" s="2" t="s">
        <v>26</v>
      </c>
      <c r="N1280" s="11" t="s">
        <v>576</v>
      </c>
      <c r="O1280" s="12" t="s">
        <v>53</v>
      </c>
      <c r="P1280" s="5" t="str">
        <f>IFERROR(__xludf.DUMMYFUNCTION("TEXTJOIN("" | "",TRUE,IF(OR(D1280="""",E1280="""",I1280="""",J1280="""",H1280=""""),""ফাঁকা ঘর"",""""),IF(AND(C1280&lt;&gt;"""",D1280&lt;&gt;"""",C1280=D1280),""gloss=figurative"",""""),IF(LEN(D1280)&lt;15,""figurative ছোট"",""""),IF(AND(I1280=""Positive"",REGEXMATCH(H1"&amp;"280,""মূর্খ|ভণ্ড|প্রতার|অলস|লোভ|স্বার্থ|অক্ষম|অযোগ্য|বোকা|কৃপণ|হিংস"")),""valence-target অমিল"",""""),IF(COUNTIF($B:$B,B1280)&gt;1,""ডুপ্লিকেট"",""""))"),"figurative ছোট")</f>
        <v>figurative ছোট</v>
      </c>
      <c r="Q1280" s="5" t="str">
        <f t="shared" si="1"/>
        <v>১ আগে দেখো</v>
      </c>
    </row>
    <row r="1281">
      <c r="A1281" s="4">
        <v>6816.0</v>
      </c>
      <c r="B1281" s="2" t="s">
        <v>5288</v>
      </c>
      <c r="C1281" s="2" t="s">
        <v>5289</v>
      </c>
      <c r="D1281" s="2" t="s">
        <v>1244</v>
      </c>
      <c r="E1281" s="2" t="s">
        <v>5290</v>
      </c>
      <c r="F1281" s="2" t="b">
        <v>1</v>
      </c>
      <c r="G1281" s="2" t="b">
        <v>0</v>
      </c>
      <c r="H1281" s="2" t="s">
        <v>37</v>
      </c>
      <c r="I1281" s="2" t="s">
        <v>22</v>
      </c>
      <c r="J1281" s="2" t="s">
        <v>1244</v>
      </c>
      <c r="K1281" s="2" t="s">
        <v>495</v>
      </c>
      <c r="L1281" s="13" t="s">
        <v>496</v>
      </c>
      <c r="M1281" s="2" t="s">
        <v>26</v>
      </c>
      <c r="N1281" s="11" t="s">
        <v>576</v>
      </c>
      <c r="O1281" s="12" t="s">
        <v>53</v>
      </c>
      <c r="P1281" s="5" t="str">
        <f>IFERROR(__xludf.DUMMYFUNCTION("TEXTJOIN("" | "",TRUE,IF(OR(D1281="""",E1281="""",I1281="""",J1281="""",H1281=""""),""ফাঁকা ঘর"",""""),IF(AND(C1281&lt;&gt;"""",D1281&lt;&gt;"""",C1281=D1281),""gloss=figurative"",""""),IF(LEN(D1281)&lt;15,""figurative ছোট"",""""),IF(AND(I1281=""Positive"",REGEXMATCH(H1"&amp;"281,""মূর্খ|ভণ্ড|প্রতার|অলস|লোভ|স্বার্থ|অক্ষম|অযোগ্য|বোকা|কৃপণ|হিংস"")),""valence-target অমিল"",""""),IF(COUNTIF($B:$B,B1281)&gt;1,""ডুপ্লিকেট"",""""))"),"figurative ছোট")</f>
        <v>figurative ছোট</v>
      </c>
      <c r="Q1281" s="5" t="str">
        <f t="shared" si="1"/>
        <v>১ আগে দেখো</v>
      </c>
    </row>
    <row r="1282">
      <c r="A1282" s="4">
        <v>6817.0</v>
      </c>
      <c r="B1282" s="2" t="s">
        <v>5291</v>
      </c>
      <c r="C1282" s="2" t="s">
        <v>5292</v>
      </c>
      <c r="D1282" s="2" t="s">
        <v>5293</v>
      </c>
      <c r="E1282" s="2" t="s">
        <v>5294</v>
      </c>
      <c r="F1282" s="2" t="b">
        <v>1</v>
      </c>
      <c r="G1282" s="2" t="b">
        <v>0</v>
      </c>
      <c r="H1282" s="2" t="s">
        <v>37</v>
      </c>
      <c r="I1282" s="2" t="s">
        <v>22</v>
      </c>
      <c r="J1282" s="2" t="s">
        <v>1249</v>
      </c>
      <c r="K1282" s="2" t="s">
        <v>495</v>
      </c>
      <c r="L1282" s="13" t="s">
        <v>496</v>
      </c>
      <c r="M1282" s="2" t="s">
        <v>26</v>
      </c>
      <c r="N1282" s="11" t="s">
        <v>576</v>
      </c>
      <c r="O1282" s="12" t="s">
        <v>53</v>
      </c>
      <c r="P1282" s="5" t="str">
        <f>IFERROR(__xludf.DUMMYFUNCTION("TEXTJOIN("" | "",TRUE,IF(OR(D1282="""",E1282="""",I1282="""",J1282="""",H1282=""""),""ফাঁকা ঘর"",""""),IF(AND(C1282&lt;&gt;"""",D1282&lt;&gt;"""",C1282=D1282),""gloss=figurative"",""""),IF(LEN(D1282)&lt;15,""figurative ছোট"",""""),IF(AND(I1282=""Positive"",REGEXMATCH(H1"&amp;"282,""মূর্খ|ভণ্ড|প্রতার|অলস|লোভ|স্বার্থ|অক্ষম|অযোগ্য|বোকা|কৃপণ|হিংস"")),""valence-target অমিল"",""""),IF(COUNTIF($B:$B,B1282)&gt;1,""ডুপ্লিকেট"",""""))"),"figurative ছোট")</f>
        <v>figurative ছোট</v>
      </c>
      <c r="Q1282" s="5" t="str">
        <f t="shared" si="1"/>
        <v>১ আগে দেখো</v>
      </c>
    </row>
    <row r="1283">
      <c r="A1283" s="4">
        <v>6818.0</v>
      </c>
      <c r="B1283" s="2" t="s">
        <v>5295</v>
      </c>
      <c r="C1283" s="2" t="s">
        <v>5296</v>
      </c>
      <c r="D1283" s="2" t="s">
        <v>5297</v>
      </c>
      <c r="E1283" s="2" t="s">
        <v>5298</v>
      </c>
      <c r="F1283" s="2" t="b">
        <v>1</v>
      </c>
      <c r="G1283" s="2" t="b">
        <v>0</v>
      </c>
      <c r="H1283" s="2" t="s">
        <v>37</v>
      </c>
      <c r="I1283" s="2" t="s">
        <v>22</v>
      </c>
      <c r="J1283" s="2" t="s">
        <v>2075</v>
      </c>
      <c r="K1283" s="2" t="s">
        <v>495</v>
      </c>
      <c r="L1283" s="13" t="s">
        <v>496</v>
      </c>
      <c r="M1283" s="2" t="s">
        <v>26</v>
      </c>
      <c r="N1283" s="11" t="s">
        <v>576</v>
      </c>
      <c r="O1283" s="12" t="s">
        <v>53</v>
      </c>
      <c r="P1283" s="5" t="str">
        <f>IFERROR(__xludf.DUMMYFUNCTION("TEXTJOIN("" | "",TRUE,IF(OR(D1283="""",E1283="""",I1283="""",J1283="""",H1283=""""),""ফাঁকা ঘর"",""""),IF(AND(C1283&lt;&gt;"""",D1283&lt;&gt;"""",C1283=D1283),""gloss=figurative"",""""),IF(LEN(D1283)&lt;15,""figurative ছোট"",""""),IF(AND(I1283=""Positive"",REGEXMATCH(H1"&amp;"283,""মূর্খ|ভণ্ড|প্রতার|অলস|লোভ|স্বার্থ|অক্ষম|অযোগ্য|বোকা|কৃপণ|হিংস"")),""valence-target অমিল"",""""),IF(COUNTIF($B:$B,B1283)&gt;1,""ডুপ্লিকেট"",""""))"),"figurative ছোট")</f>
        <v>figurative ছোট</v>
      </c>
      <c r="Q1283" s="5" t="str">
        <f t="shared" si="1"/>
        <v>১ আগে দেখো</v>
      </c>
    </row>
    <row r="1284">
      <c r="A1284" s="4">
        <v>6819.0</v>
      </c>
      <c r="B1284" s="2" t="s">
        <v>5299</v>
      </c>
      <c r="C1284" s="2" t="s">
        <v>5300</v>
      </c>
      <c r="D1284" s="2" t="s">
        <v>1334</v>
      </c>
      <c r="E1284" s="2" t="s">
        <v>5301</v>
      </c>
      <c r="F1284" s="2" t="b">
        <v>1</v>
      </c>
      <c r="G1284" s="2" t="b">
        <v>0</v>
      </c>
      <c r="H1284" s="2" t="s">
        <v>1334</v>
      </c>
      <c r="I1284" s="2" t="s">
        <v>22</v>
      </c>
      <c r="J1284" s="2" t="s">
        <v>820</v>
      </c>
      <c r="K1284" s="2" t="s">
        <v>495</v>
      </c>
      <c r="L1284" s="13" t="s">
        <v>496</v>
      </c>
      <c r="M1284" s="2" t="s">
        <v>26</v>
      </c>
      <c r="N1284" s="11" t="s">
        <v>576</v>
      </c>
      <c r="O1284" s="12" t="s">
        <v>53</v>
      </c>
      <c r="P1284" s="5" t="str">
        <f>IFERROR(__xludf.DUMMYFUNCTION("TEXTJOIN("" | "",TRUE,IF(OR(D1284="""",E1284="""",I1284="""",J1284="""",H1284=""""),""ফাঁকা ঘর"",""""),IF(AND(C1284&lt;&gt;"""",D1284&lt;&gt;"""",C1284=D1284),""gloss=figurative"",""""),IF(LEN(D1284)&lt;15,""figurative ছোট"",""""),IF(AND(I1284=""Positive"",REGEXMATCH(H1"&amp;"284,""মূর্খ|ভণ্ড|প্রতার|অলস|লোভ|স্বার্থ|অক্ষম|অযোগ্য|বোকা|কৃপণ|হিংস"")),""valence-target অমিল"",""""),IF(COUNTIF($B:$B,B1284)&gt;1,""ডুপ্লিকেট"",""""))"),"figurative ছোট")</f>
        <v>figurative ছোট</v>
      </c>
      <c r="Q1284" s="5" t="str">
        <f t="shared" si="1"/>
        <v>১ আগে দেখো</v>
      </c>
    </row>
    <row r="1285">
      <c r="A1285" s="4">
        <v>6820.0</v>
      </c>
      <c r="B1285" s="2" t="s">
        <v>5302</v>
      </c>
      <c r="C1285" s="2" t="s">
        <v>5303</v>
      </c>
      <c r="D1285" s="2" t="s">
        <v>1334</v>
      </c>
      <c r="E1285" s="2" t="s">
        <v>5304</v>
      </c>
      <c r="F1285" s="2" t="b">
        <v>1</v>
      </c>
      <c r="G1285" s="2" t="b">
        <v>0</v>
      </c>
      <c r="H1285" s="2" t="s">
        <v>2243</v>
      </c>
      <c r="I1285" s="2" t="s">
        <v>22</v>
      </c>
      <c r="J1285" s="2" t="s">
        <v>2040</v>
      </c>
      <c r="K1285" s="2" t="s">
        <v>495</v>
      </c>
      <c r="L1285" s="13" t="s">
        <v>496</v>
      </c>
      <c r="M1285" s="2" t="s">
        <v>26</v>
      </c>
      <c r="N1285" s="11" t="s">
        <v>576</v>
      </c>
      <c r="O1285" s="12" t="s">
        <v>53</v>
      </c>
      <c r="P1285" s="5" t="str">
        <f>IFERROR(__xludf.DUMMYFUNCTION("TEXTJOIN("" | "",TRUE,IF(OR(D1285="""",E1285="""",I1285="""",J1285="""",H1285=""""),""ফাঁকা ঘর"",""""),IF(AND(C1285&lt;&gt;"""",D1285&lt;&gt;"""",C1285=D1285),""gloss=figurative"",""""),IF(LEN(D1285)&lt;15,""figurative ছোট"",""""),IF(AND(I1285=""Positive"",REGEXMATCH(H1"&amp;"285,""মূর্খ|ভণ্ড|প্রতার|অলস|লোভ|স্বার্থ|অক্ষম|অযোগ্য|বোকা|কৃপণ|হিংস"")),""valence-target অমিল"",""""),IF(COUNTIF($B:$B,B1285)&gt;1,""ডুপ্লিকেট"",""""))"),"figurative ছোট")</f>
        <v>figurative ছোট</v>
      </c>
      <c r="Q1285" s="5" t="str">
        <f t="shared" si="1"/>
        <v>১ আগে দেখো</v>
      </c>
    </row>
    <row r="1286">
      <c r="A1286" s="4">
        <v>6821.0</v>
      </c>
      <c r="B1286" s="2" t="s">
        <v>5305</v>
      </c>
      <c r="C1286" s="2" t="s">
        <v>5306</v>
      </c>
      <c r="D1286" s="2" t="s">
        <v>5297</v>
      </c>
      <c r="E1286" s="2" t="s">
        <v>5307</v>
      </c>
      <c r="F1286" s="2" t="b">
        <v>1</v>
      </c>
      <c r="G1286" s="2" t="b">
        <v>0</v>
      </c>
      <c r="H1286" s="2" t="s">
        <v>37</v>
      </c>
      <c r="I1286" s="2" t="s">
        <v>22</v>
      </c>
      <c r="J1286" s="2" t="s">
        <v>2075</v>
      </c>
      <c r="K1286" s="2" t="s">
        <v>495</v>
      </c>
      <c r="L1286" s="13" t="s">
        <v>496</v>
      </c>
      <c r="M1286" s="2" t="s">
        <v>26</v>
      </c>
      <c r="N1286" s="11" t="s">
        <v>576</v>
      </c>
      <c r="O1286" s="12" t="s">
        <v>53</v>
      </c>
      <c r="P1286" s="5" t="str">
        <f>IFERROR(__xludf.DUMMYFUNCTION("TEXTJOIN("" | "",TRUE,IF(OR(D1286="""",E1286="""",I1286="""",J1286="""",H1286=""""),""ফাঁকা ঘর"",""""),IF(AND(C1286&lt;&gt;"""",D1286&lt;&gt;"""",C1286=D1286),""gloss=figurative"",""""),IF(LEN(D1286)&lt;15,""figurative ছোট"",""""),IF(AND(I1286=""Positive"",REGEXMATCH(H1"&amp;"286,""মূর্খ|ভণ্ড|প্রতার|অলস|লোভ|স্বার্থ|অক্ষম|অযোগ্য|বোকা|কৃপণ|হিংস"")),""valence-target অমিল"",""""),IF(COUNTIF($B:$B,B1286)&gt;1,""ডুপ্লিকেট"",""""))"),"figurative ছোট")</f>
        <v>figurative ছোট</v>
      </c>
      <c r="Q1286" s="5" t="str">
        <f t="shared" si="1"/>
        <v>১ আগে দেখো</v>
      </c>
    </row>
    <row r="1287">
      <c r="A1287" s="4">
        <v>6822.0</v>
      </c>
      <c r="B1287" s="2" t="s">
        <v>5308</v>
      </c>
      <c r="C1287" s="2" t="s">
        <v>5309</v>
      </c>
      <c r="D1287" s="2" t="s">
        <v>4870</v>
      </c>
      <c r="E1287" s="2" t="s">
        <v>5310</v>
      </c>
      <c r="F1287" s="2" t="b">
        <v>1</v>
      </c>
      <c r="G1287" s="2" t="b">
        <v>0</v>
      </c>
      <c r="H1287" s="2" t="s">
        <v>37</v>
      </c>
      <c r="I1287" s="2" t="s">
        <v>22</v>
      </c>
      <c r="J1287" s="2" t="s">
        <v>842</v>
      </c>
      <c r="K1287" s="2" t="s">
        <v>495</v>
      </c>
      <c r="L1287" s="13" t="s">
        <v>496</v>
      </c>
      <c r="M1287" s="2" t="s">
        <v>26</v>
      </c>
      <c r="N1287" s="11" t="s">
        <v>576</v>
      </c>
      <c r="O1287" s="12" t="s">
        <v>53</v>
      </c>
      <c r="P1287" s="5" t="str">
        <f>IFERROR(__xludf.DUMMYFUNCTION("TEXTJOIN("" | "",TRUE,IF(OR(D1287="""",E1287="""",I1287="""",J1287="""",H1287=""""),""ফাঁকা ঘর"",""""),IF(AND(C1287&lt;&gt;"""",D1287&lt;&gt;"""",C1287=D1287),""gloss=figurative"",""""),IF(LEN(D1287)&lt;15,""figurative ছোট"",""""),IF(AND(I1287=""Positive"",REGEXMATCH(H1"&amp;"287,""মূর্খ|ভণ্ড|প্রতার|অলস|লোভ|স্বার্থ|অক্ষম|অযোগ্য|বোকা|কৃপণ|হিংস"")),""valence-target অমিল"",""""),IF(COUNTIF($B:$B,B1287)&gt;1,""ডুপ্লিকেট"",""""))"),"figurative ছোট")</f>
        <v>figurative ছোট</v>
      </c>
      <c r="Q1287" s="5" t="str">
        <f t="shared" si="1"/>
        <v>১ আগে দেখো</v>
      </c>
    </row>
    <row r="1288">
      <c r="A1288" s="4">
        <v>6823.0</v>
      </c>
      <c r="B1288" s="2" t="s">
        <v>5311</v>
      </c>
      <c r="C1288" s="2" t="s">
        <v>5030</v>
      </c>
      <c r="D1288" s="2" t="s">
        <v>640</v>
      </c>
      <c r="E1288" s="2" t="s">
        <v>5312</v>
      </c>
      <c r="F1288" s="2" t="b">
        <v>1</v>
      </c>
      <c r="G1288" s="2" t="b">
        <v>0</v>
      </c>
      <c r="H1288" s="2" t="s">
        <v>37</v>
      </c>
      <c r="I1288" s="2" t="s">
        <v>22</v>
      </c>
      <c r="J1288" s="2" t="s">
        <v>640</v>
      </c>
      <c r="K1288" s="2" t="s">
        <v>495</v>
      </c>
      <c r="L1288" s="13" t="s">
        <v>496</v>
      </c>
      <c r="M1288" s="2" t="s">
        <v>26</v>
      </c>
      <c r="N1288" s="11" t="s">
        <v>5313</v>
      </c>
      <c r="O1288" s="12" t="s">
        <v>53</v>
      </c>
      <c r="P1288" s="5" t="str">
        <f>IFERROR(__xludf.DUMMYFUNCTION("TEXTJOIN("" | "",TRUE,IF(OR(D1288="""",E1288="""",I1288="""",J1288="""",H1288=""""),""ফাঁকা ঘর"",""""),IF(AND(C1288&lt;&gt;"""",D1288&lt;&gt;"""",C1288=D1288),""gloss=figurative"",""""),IF(LEN(D1288)&lt;15,""figurative ছোট"",""""),IF(AND(I1288=""Positive"",REGEXMATCH(H1"&amp;"288,""মূর্খ|ভণ্ড|প্রতার|অলস|লোভ|স্বার্থ|অক্ষম|অযোগ্য|বোকা|কৃপণ|হিংস"")),""valence-target অমিল"",""""),IF(COUNTIF($B:$B,B1288)&gt;1,""ডুপ্লিকেট"",""""))"),"figurative ছোট")</f>
        <v>figurative ছোট</v>
      </c>
      <c r="Q1288" s="5" t="str">
        <f t="shared" si="1"/>
        <v>১ আগে দেখো</v>
      </c>
    </row>
    <row r="1289">
      <c r="A1289" s="4">
        <v>6824.0</v>
      </c>
      <c r="B1289" s="2" t="s">
        <v>5314</v>
      </c>
      <c r="C1289" s="2" t="s">
        <v>5315</v>
      </c>
      <c r="D1289" s="2" t="s">
        <v>1334</v>
      </c>
      <c r="E1289" s="2" t="s">
        <v>5316</v>
      </c>
      <c r="F1289" s="2" t="b">
        <v>1</v>
      </c>
      <c r="G1289" s="2" t="b">
        <v>0</v>
      </c>
      <c r="H1289" s="2" t="s">
        <v>1334</v>
      </c>
      <c r="I1289" s="2" t="s">
        <v>22</v>
      </c>
      <c r="J1289" s="2" t="s">
        <v>820</v>
      </c>
      <c r="K1289" s="2" t="s">
        <v>495</v>
      </c>
      <c r="L1289" s="13" t="s">
        <v>496</v>
      </c>
      <c r="M1289" s="2" t="s">
        <v>26</v>
      </c>
      <c r="N1289" s="11" t="s">
        <v>576</v>
      </c>
      <c r="O1289" s="12" t="s">
        <v>53</v>
      </c>
      <c r="P1289" s="5" t="str">
        <f>IFERROR(__xludf.DUMMYFUNCTION("TEXTJOIN("" | "",TRUE,IF(OR(D1289="""",E1289="""",I1289="""",J1289="""",H1289=""""),""ফাঁকা ঘর"",""""),IF(AND(C1289&lt;&gt;"""",D1289&lt;&gt;"""",C1289=D1289),""gloss=figurative"",""""),IF(LEN(D1289)&lt;15,""figurative ছোট"",""""),IF(AND(I1289=""Positive"",REGEXMATCH(H1"&amp;"289,""মূর্খ|ভণ্ড|প্রতার|অলস|লোভ|স্বার্থ|অক্ষম|অযোগ্য|বোকা|কৃপণ|হিংস"")),""valence-target অমিল"",""""),IF(COUNTIF($B:$B,B1289)&gt;1,""ডুপ্লিকেট"",""""))"),"figurative ছোট")</f>
        <v>figurative ছোট</v>
      </c>
      <c r="Q1289" s="5" t="str">
        <f t="shared" si="1"/>
        <v>১ আগে দেখো</v>
      </c>
    </row>
    <row r="1290">
      <c r="A1290" s="4">
        <v>6826.0</v>
      </c>
      <c r="B1290" s="2" t="s">
        <v>5317</v>
      </c>
      <c r="C1290" s="2" t="s">
        <v>5318</v>
      </c>
      <c r="D1290" s="2" t="s">
        <v>5027</v>
      </c>
      <c r="E1290" s="2" t="s">
        <v>5319</v>
      </c>
      <c r="F1290" s="2" t="b">
        <v>1</v>
      </c>
      <c r="G1290" s="2" t="b">
        <v>0</v>
      </c>
      <c r="H1290" s="2" t="s">
        <v>37</v>
      </c>
      <c r="I1290" s="2" t="s">
        <v>49</v>
      </c>
      <c r="J1290" s="2" t="s">
        <v>665</v>
      </c>
      <c r="K1290" s="2" t="s">
        <v>495</v>
      </c>
      <c r="L1290" s="13" t="s">
        <v>496</v>
      </c>
      <c r="M1290" s="2" t="s">
        <v>26</v>
      </c>
      <c r="N1290" s="11" t="s">
        <v>576</v>
      </c>
      <c r="O1290" s="12" t="s">
        <v>53</v>
      </c>
      <c r="P1290" s="5" t="str">
        <f>IFERROR(__xludf.DUMMYFUNCTION("TEXTJOIN("" | "",TRUE,IF(OR(D1290="""",E1290="""",I1290="""",J1290="""",H1290=""""),""ফাঁকা ঘর"",""""),IF(AND(C1290&lt;&gt;"""",D1290&lt;&gt;"""",C1290=D1290),""gloss=figurative"",""""),IF(LEN(D1290)&lt;15,""figurative ছোট"",""""),IF(AND(I1290=""Positive"",REGEXMATCH(H1"&amp;"290,""মূর্খ|ভণ্ড|প্রতার|অলস|লোভ|স্বার্থ|অক্ষম|অযোগ্য|বোকা|কৃপণ|হিংস"")),""valence-target অমিল"",""""),IF(COUNTIF($B:$B,B1290)&gt;1,""ডুপ্লিকেট"",""""))"),"figurative ছোট")</f>
        <v>figurative ছোট</v>
      </c>
      <c r="Q1290" s="5" t="str">
        <f t="shared" si="1"/>
        <v>১ আগে দেখো</v>
      </c>
    </row>
    <row r="1291">
      <c r="A1291" s="4">
        <v>6827.0</v>
      </c>
      <c r="B1291" s="2" t="s">
        <v>5320</v>
      </c>
      <c r="C1291" s="2" t="s">
        <v>5321</v>
      </c>
      <c r="D1291" s="2" t="s">
        <v>739</v>
      </c>
      <c r="E1291" s="2" t="s">
        <v>5322</v>
      </c>
      <c r="F1291" s="2" t="b">
        <v>1</v>
      </c>
      <c r="G1291" s="2" t="b">
        <v>0</v>
      </c>
      <c r="H1291" s="2" t="s">
        <v>37</v>
      </c>
      <c r="I1291" s="2" t="s">
        <v>32</v>
      </c>
      <c r="J1291" s="2" t="s">
        <v>739</v>
      </c>
      <c r="K1291" s="2" t="s">
        <v>495</v>
      </c>
      <c r="L1291" s="13" t="s">
        <v>496</v>
      </c>
      <c r="M1291" s="2" t="s">
        <v>26</v>
      </c>
      <c r="N1291" s="11" t="s">
        <v>5323</v>
      </c>
      <c r="O1291" s="12" t="s">
        <v>53</v>
      </c>
      <c r="P1291" s="5" t="str">
        <f>IFERROR(__xludf.DUMMYFUNCTION("TEXTJOIN("" | "",TRUE,IF(OR(D1291="""",E1291="""",I1291="""",J1291="""",H1291=""""),""ফাঁকা ঘর"",""""),IF(AND(C1291&lt;&gt;"""",D1291&lt;&gt;"""",C1291=D1291),""gloss=figurative"",""""),IF(LEN(D1291)&lt;15,""figurative ছোট"",""""),IF(AND(I1291=""Positive"",REGEXMATCH(H1"&amp;"291,""মূর্খ|ভণ্ড|প্রতার|অলস|লোভ|স্বার্থ|অক্ষম|অযোগ্য|বোকা|কৃপণ|হিংস"")),""valence-target অমিল"",""""),IF(COUNTIF($B:$B,B1291)&gt;1,""ডুপ্লিকেট"",""""))"),"figurative ছোট")</f>
        <v>figurative ছোট</v>
      </c>
      <c r="Q1291" s="5" t="str">
        <f t="shared" si="1"/>
        <v>১ আগে দেখো</v>
      </c>
    </row>
    <row r="1292">
      <c r="A1292" s="4">
        <v>6828.0</v>
      </c>
      <c r="B1292" s="2" t="s">
        <v>5324</v>
      </c>
      <c r="C1292" s="2" t="s">
        <v>5325</v>
      </c>
      <c r="D1292" s="2" t="s">
        <v>3008</v>
      </c>
      <c r="E1292" s="2" t="s">
        <v>5326</v>
      </c>
      <c r="F1292" s="2" t="b">
        <v>1</v>
      </c>
      <c r="G1292" s="2" t="b">
        <v>0</v>
      </c>
      <c r="H1292" s="2" t="s">
        <v>37</v>
      </c>
      <c r="I1292" s="2" t="s">
        <v>32</v>
      </c>
      <c r="J1292" s="2" t="s">
        <v>739</v>
      </c>
      <c r="K1292" s="2" t="s">
        <v>495</v>
      </c>
      <c r="L1292" s="13" t="s">
        <v>496</v>
      </c>
      <c r="M1292" s="2" t="s">
        <v>26</v>
      </c>
      <c r="N1292" s="11" t="s">
        <v>5327</v>
      </c>
      <c r="O1292" s="12" t="s">
        <v>53</v>
      </c>
      <c r="P1292" s="5" t="str">
        <f>IFERROR(__xludf.DUMMYFUNCTION("TEXTJOIN("" | "",TRUE,IF(OR(D1292="""",E1292="""",I1292="""",J1292="""",H1292=""""),""ফাঁকা ঘর"",""""),IF(AND(C1292&lt;&gt;"""",D1292&lt;&gt;"""",C1292=D1292),""gloss=figurative"",""""),IF(LEN(D1292)&lt;15,""figurative ছোট"",""""),IF(AND(I1292=""Positive"",REGEXMATCH(H1"&amp;"292,""মূর্খ|ভণ্ড|প্রতার|অলস|লোভ|স্বার্থ|অক্ষম|অযোগ্য|বোকা|কৃপণ|হিংস"")),""valence-target অমিল"",""""),IF(COUNTIF($B:$B,B1292)&gt;1,""ডুপ্লিকেট"",""""))"),"figurative ছোট")</f>
        <v>figurative ছোট</v>
      </c>
      <c r="Q1292" s="5" t="str">
        <f t="shared" si="1"/>
        <v>১ আগে দেখো</v>
      </c>
    </row>
    <row r="1293">
      <c r="A1293" s="4">
        <v>6829.0</v>
      </c>
      <c r="B1293" s="2" t="s">
        <v>5328</v>
      </c>
      <c r="C1293" s="2" t="s">
        <v>5329</v>
      </c>
      <c r="D1293" s="2" t="s">
        <v>2073</v>
      </c>
      <c r="E1293" s="2" t="s">
        <v>5330</v>
      </c>
      <c r="F1293" s="2" t="b">
        <v>1</v>
      </c>
      <c r="G1293" s="2" t="b">
        <v>0</v>
      </c>
      <c r="H1293" s="2" t="s">
        <v>37</v>
      </c>
      <c r="I1293" s="2" t="s">
        <v>49</v>
      </c>
      <c r="J1293" s="2" t="s">
        <v>1249</v>
      </c>
      <c r="K1293" s="2" t="s">
        <v>495</v>
      </c>
      <c r="L1293" s="13" t="s">
        <v>496</v>
      </c>
      <c r="M1293" s="2" t="s">
        <v>26</v>
      </c>
      <c r="N1293" s="11" t="s">
        <v>576</v>
      </c>
      <c r="O1293" s="12" t="s">
        <v>53</v>
      </c>
      <c r="P1293" s="5" t="str">
        <f>IFERROR(__xludf.DUMMYFUNCTION("TEXTJOIN("" | "",TRUE,IF(OR(D1293="""",E1293="""",I1293="""",J1293="""",H1293=""""),""ফাঁকা ঘর"",""""),IF(AND(C1293&lt;&gt;"""",D1293&lt;&gt;"""",C1293=D1293),""gloss=figurative"",""""),IF(LEN(D1293)&lt;15,""figurative ছোট"",""""),IF(AND(I1293=""Positive"",REGEXMATCH(H1"&amp;"293,""মূর্খ|ভণ্ড|প্রতার|অলস|লোভ|স্বার্থ|অক্ষম|অযোগ্য|বোকা|কৃপণ|হিংস"")),""valence-target অমিল"",""""),IF(COUNTIF($B:$B,B1293)&gt;1,""ডুপ্লিকেট"",""""))"),"figurative ছোট")</f>
        <v>figurative ছোট</v>
      </c>
      <c r="Q1293" s="5" t="str">
        <f t="shared" si="1"/>
        <v>১ আগে দেখো</v>
      </c>
    </row>
    <row r="1294">
      <c r="A1294" s="4">
        <v>6830.0</v>
      </c>
      <c r="B1294" s="2" t="s">
        <v>5331</v>
      </c>
      <c r="C1294" s="2" t="s">
        <v>5332</v>
      </c>
      <c r="D1294" s="2" t="s">
        <v>3622</v>
      </c>
      <c r="E1294" s="2" t="s">
        <v>5333</v>
      </c>
      <c r="F1294" s="2" t="b">
        <v>1</v>
      </c>
      <c r="G1294" s="2" t="b">
        <v>0</v>
      </c>
      <c r="H1294" s="2" t="s">
        <v>37</v>
      </c>
      <c r="I1294" s="2" t="s">
        <v>22</v>
      </c>
      <c r="J1294" s="2" t="s">
        <v>723</v>
      </c>
      <c r="K1294" s="2" t="s">
        <v>495</v>
      </c>
      <c r="L1294" s="13" t="s">
        <v>496</v>
      </c>
      <c r="M1294" s="2" t="s">
        <v>26</v>
      </c>
      <c r="N1294" s="11" t="s">
        <v>576</v>
      </c>
      <c r="O1294" s="12" t="s">
        <v>53</v>
      </c>
      <c r="P1294" s="5" t="str">
        <f>IFERROR(__xludf.DUMMYFUNCTION("TEXTJOIN("" | "",TRUE,IF(OR(D1294="""",E1294="""",I1294="""",J1294="""",H1294=""""),""ফাঁকা ঘর"",""""),IF(AND(C1294&lt;&gt;"""",D1294&lt;&gt;"""",C1294=D1294),""gloss=figurative"",""""),IF(LEN(D1294)&lt;15,""figurative ছোট"",""""),IF(AND(I1294=""Positive"",REGEXMATCH(H1"&amp;"294,""মূর্খ|ভণ্ড|প্রতার|অলস|লোভ|স্বার্থ|অক্ষম|অযোগ্য|বোকা|কৃপণ|হিংস"")),""valence-target অমিল"",""""),IF(COUNTIF($B:$B,B1294)&gt;1,""ডুপ্লিকেট"",""""))"),"figurative ছোট")</f>
        <v>figurative ছোট</v>
      </c>
      <c r="Q1294" s="5" t="str">
        <f t="shared" si="1"/>
        <v>১ আগে দেখো</v>
      </c>
    </row>
    <row r="1295">
      <c r="A1295" s="4">
        <v>6831.0</v>
      </c>
      <c r="B1295" s="2" t="s">
        <v>5334</v>
      </c>
      <c r="C1295" s="2" t="s">
        <v>5335</v>
      </c>
      <c r="D1295" s="2" t="s">
        <v>5082</v>
      </c>
      <c r="E1295" s="2" t="s">
        <v>5083</v>
      </c>
      <c r="F1295" s="2" t="b">
        <v>1</v>
      </c>
      <c r="G1295" s="2" t="b">
        <v>0</v>
      </c>
      <c r="H1295" s="2" t="s">
        <v>37</v>
      </c>
      <c r="I1295" s="2" t="s">
        <v>32</v>
      </c>
      <c r="J1295" s="2" t="s">
        <v>5084</v>
      </c>
      <c r="K1295" s="2" t="s">
        <v>495</v>
      </c>
      <c r="L1295" s="13" t="s">
        <v>496</v>
      </c>
      <c r="M1295" s="2" t="s">
        <v>26</v>
      </c>
      <c r="N1295" s="11" t="s">
        <v>576</v>
      </c>
      <c r="O1295" s="12" t="s">
        <v>53</v>
      </c>
      <c r="P1295" s="5" t="str">
        <f>IFERROR(__xludf.DUMMYFUNCTION("TEXTJOIN("" | "",TRUE,IF(OR(D1295="""",E1295="""",I1295="""",J1295="""",H1295=""""),""ফাঁকা ঘর"",""""),IF(AND(C1295&lt;&gt;"""",D1295&lt;&gt;"""",C1295=D1295),""gloss=figurative"",""""),IF(LEN(D1295)&lt;15,""figurative ছোট"",""""),IF(AND(I1295=""Positive"",REGEXMATCH(H1"&amp;"295,""মূর্খ|ভণ্ড|প্রতার|অলস|লোভ|স্বার্থ|অক্ষম|অযোগ্য|বোকা|কৃপণ|হিংস"")),""valence-target অমিল"",""""),IF(COUNTIF($B:$B,B1295)&gt;1,""ডুপ্লিকেট"",""""))"),"figurative ছোট")</f>
        <v>figurative ছোট</v>
      </c>
      <c r="Q1295" s="5" t="str">
        <f t="shared" si="1"/>
        <v>১ আগে দেখো</v>
      </c>
    </row>
    <row r="1296">
      <c r="A1296" s="4">
        <v>6833.0</v>
      </c>
      <c r="B1296" s="2" t="s">
        <v>5336</v>
      </c>
      <c r="C1296" s="2" t="s">
        <v>5337</v>
      </c>
      <c r="D1296" s="2" t="s">
        <v>5338</v>
      </c>
      <c r="E1296" s="2" t="s">
        <v>5339</v>
      </c>
      <c r="F1296" s="2" t="b">
        <v>1</v>
      </c>
      <c r="G1296" s="2" t="b">
        <v>0</v>
      </c>
      <c r="H1296" s="2" t="s">
        <v>37</v>
      </c>
      <c r="I1296" s="2" t="s">
        <v>32</v>
      </c>
      <c r="J1296" s="2" t="s">
        <v>2108</v>
      </c>
      <c r="K1296" s="2" t="s">
        <v>495</v>
      </c>
      <c r="L1296" s="13" t="s">
        <v>496</v>
      </c>
      <c r="M1296" s="2" t="s">
        <v>26</v>
      </c>
      <c r="N1296" s="11" t="s">
        <v>5340</v>
      </c>
      <c r="O1296" s="12" t="s">
        <v>53</v>
      </c>
      <c r="P1296" s="5" t="str">
        <f>IFERROR(__xludf.DUMMYFUNCTION("TEXTJOIN("" | "",TRUE,IF(OR(D1296="""",E1296="""",I1296="""",J1296="""",H1296=""""),""ফাঁকা ঘর"",""""),IF(AND(C1296&lt;&gt;"""",D1296&lt;&gt;"""",C1296=D1296),""gloss=figurative"",""""),IF(LEN(D1296)&lt;15,""figurative ছোট"",""""),IF(AND(I1296=""Positive"",REGEXMATCH(H1"&amp;"296,""মূর্খ|ভণ্ড|প্রতার|অলস|লোভ|স্বার্থ|অক্ষম|অযোগ্য|বোকা|কৃপণ|হিংস"")),""valence-target অমিল"",""""),IF(COUNTIF($B:$B,B1296)&gt;1,""ডুপ্লিকেট"",""""))"),"figurative ছোট")</f>
        <v>figurative ছোট</v>
      </c>
      <c r="Q1296" s="5" t="str">
        <f t="shared" si="1"/>
        <v>১ আগে দেখো</v>
      </c>
    </row>
    <row r="1297">
      <c r="A1297" s="4">
        <v>6835.0</v>
      </c>
      <c r="B1297" s="2" t="s">
        <v>5341</v>
      </c>
      <c r="C1297" s="2" t="s">
        <v>5342</v>
      </c>
      <c r="D1297" s="2" t="s">
        <v>441</v>
      </c>
      <c r="E1297" s="2" t="s">
        <v>5343</v>
      </c>
      <c r="F1297" s="2" t="b">
        <v>1</v>
      </c>
      <c r="G1297" s="2" t="b">
        <v>0</v>
      </c>
      <c r="H1297" s="2" t="s">
        <v>37</v>
      </c>
      <c r="I1297" s="2" t="s">
        <v>32</v>
      </c>
      <c r="J1297" s="2" t="s">
        <v>646</v>
      </c>
      <c r="K1297" s="2" t="s">
        <v>495</v>
      </c>
      <c r="L1297" s="13" t="s">
        <v>496</v>
      </c>
      <c r="M1297" s="2" t="s">
        <v>26</v>
      </c>
      <c r="N1297" s="11" t="s">
        <v>576</v>
      </c>
      <c r="O1297" s="12" t="s">
        <v>53</v>
      </c>
      <c r="P1297" s="5" t="str">
        <f>IFERROR(__xludf.DUMMYFUNCTION("TEXTJOIN("" | "",TRUE,IF(OR(D1297="""",E1297="""",I1297="""",J1297="""",H1297=""""),""ফাঁকা ঘর"",""""),IF(AND(C1297&lt;&gt;"""",D1297&lt;&gt;"""",C1297=D1297),""gloss=figurative"",""""),IF(LEN(D1297)&lt;15,""figurative ছোট"",""""),IF(AND(I1297=""Positive"",REGEXMATCH(H1"&amp;"297,""মূর্খ|ভণ্ড|প্রতার|অলস|লোভ|স্বার্থ|অক্ষম|অযোগ্য|বোকা|কৃপণ|হিংস"")),""valence-target অমিল"",""""),IF(COUNTIF($B:$B,B1297)&gt;1,""ডুপ্লিকেট"",""""))"),"figurative ছোট")</f>
        <v>figurative ছোট</v>
      </c>
      <c r="Q1297" s="5" t="str">
        <f t="shared" si="1"/>
        <v>১ আগে দেখো</v>
      </c>
    </row>
    <row r="1298">
      <c r="A1298" s="4">
        <v>6836.0</v>
      </c>
      <c r="B1298" s="2" t="s">
        <v>5344</v>
      </c>
      <c r="C1298" s="2" t="s">
        <v>5345</v>
      </c>
      <c r="D1298" s="2" t="s">
        <v>5346</v>
      </c>
      <c r="E1298" s="2" t="s">
        <v>5347</v>
      </c>
      <c r="F1298" s="2" t="b">
        <v>1</v>
      </c>
      <c r="G1298" s="2" t="b">
        <v>0</v>
      </c>
      <c r="H1298" s="2" t="s">
        <v>37</v>
      </c>
      <c r="I1298" s="2" t="s">
        <v>49</v>
      </c>
      <c r="J1298" s="2" t="s">
        <v>300</v>
      </c>
      <c r="K1298" s="2" t="s">
        <v>495</v>
      </c>
      <c r="L1298" s="13" t="s">
        <v>496</v>
      </c>
      <c r="M1298" s="2" t="s">
        <v>26</v>
      </c>
      <c r="N1298" s="11" t="s">
        <v>576</v>
      </c>
      <c r="O1298" s="12" t="s">
        <v>53</v>
      </c>
      <c r="P1298" s="5" t="str">
        <f>IFERROR(__xludf.DUMMYFUNCTION("TEXTJOIN("" | "",TRUE,IF(OR(D1298="""",E1298="""",I1298="""",J1298="""",H1298=""""),""ফাঁকা ঘর"",""""),IF(AND(C1298&lt;&gt;"""",D1298&lt;&gt;"""",C1298=D1298),""gloss=figurative"",""""),IF(LEN(D1298)&lt;15,""figurative ছোট"",""""),IF(AND(I1298=""Positive"",REGEXMATCH(H1"&amp;"298,""মূর্খ|ভণ্ড|প্রতার|অলস|লোভ|স্বার্থ|অক্ষম|অযোগ্য|বোকা|কৃপণ|হিংস"")),""valence-target অমিল"",""""),IF(COUNTIF($B:$B,B1298)&gt;1,""ডুপ্লিকেট"",""""))"),"figurative ছোট")</f>
        <v>figurative ছোট</v>
      </c>
      <c r="Q1298" s="5" t="str">
        <f t="shared" si="1"/>
        <v>১ আগে দেখো</v>
      </c>
    </row>
    <row r="1299">
      <c r="A1299" s="4">
        <v>6837.0</v>
      </c>
      <c r="B1299" s="2" t="s">
        <v>5348</v>
      </c>
      <c r="C1299" s="2" t="s">
        <v>5349</v>
      </c>
      <c r="D1299" s="2" t="s">
        <v>5350</v>
      </c>
      <c r="E1299" s="2" t="s">
        <v>5351</v>
      </c>
      <c r="F1299" s="2" t="b">
        <v>1</v>
      </c>
      <c r="G1299" s="2" t="b">
        <v>0</v>
      </c>
      <c r="H1299" s="2" t="s">
        <v>37</v>
      </c>
      <c r="I1299" s="2" t="s">
        <v>49</v>
      </c>
      <c r="J1299" s="2" t="s">
        <v>300</v>
      </c>
      <c r="K1299" s="2" t="s">
        <v>495</v>
      </c>
      <c r="L1299" s="13" t="s">
        <v>496</v>
      </c>
      <c r="M1299" s="2" t="s">
        <v>26</v>
      </c>
      <c r="N1299" s="11" t="s">
        <v>576</v>
      </c>
      <c r="O1299" s="12" t="s">
        <v>53</v>
      </c>
      <c r="P1299" s="5" t="str">
        <f>IFERROR(__xludf.DUMMYFUNCTION("TEXTJOIN("" | "",TRUE,IF(OR(D1299="""",E1299="""",I1299="""",J1299="""",H1299=""""),""ফাঁকা ঘর"",""""),IF(AND(C1299&lt;&gt;"""",D1299&lt;&gt;"""",C1299=D1299),""gloss=figurative"",""""),IF(LEN(D1299)&lt;15,""figurative ছোট"",""""),IF(AND(I1299=""Positive"",REGEXMATCH(H1"&amp;"299,""মূর্খ|ভণ্ড|প্রতার|অলস|লোভ|স্বার্থ|অক্ষম|অযোগ্য|বোকা|কৃপণ|হিংস"")),""valence-target অমিল"",""""),IF(COUNTIF($B:$B,B1299)&gt;1,""ডুপ্লিকেট"",""""))"),"figurative ছোট")</f>
        <v>figurative ছোট</v>
      </c>
      <c r="Q1299" s="5" t="str">
        <f t="shared" si="1"/>
        <v>১ আগে দেখো</v>
      </c>
    </row>
    <row r="1300">
      <c r="A1300" s="4">
        <v>6838.0</v>
      </c>
      <c r="B1300" s="2" t="s">
        <v>5352</v>
      </c>
      <c r="C1300" s="2" t="s">
        <v>5353</v>
      </c>
      <c r="D1300" s="2" t="s">
        <v>5350</v>
      </c>
      <c r="E1300" s="2" t="s">
        <v>5354</v>
      </c>
      <c r="F1300" s="2" t="b">
        <v>1</v>
      </c>
      <c r="G1300" s="2" t="b">
        <v>0</v>
      </c>
      <c r="H1300" s="2" t="s">
        <v>37</v>
      </c>
      <c r="I1300" s="2" t="s">
        <v>22</v>
      </c>
      <c r="J1300" s="2" t="s">
        <v>5350</v>
      </c>
      <c r="K1300" s="2" t="s">
        <v>495</v>
      </c>
      <c r="L1300" s="13" t="s">
        <v>496</v>
      </c>
      <c r="M1300" s="2" t="s">
        <v>26</v>
      </c>
      <c r="N1300" s="11" t="s">
        <v>576</v>
      </c>
      <c r="O1300" s="12" t="s">
        <v>53</v>
      </c>
      <c r="P1300" s="5" t="str">
        <f>IFERROR(__xludf.DUMMYFUNCTION("TEXTJOIN("" | "",TRUE,IF(OR(D1300="""",E1300="""",I1300="""",J1300="""",H1300=""""),""ফাঁকা ঘর"",""""),IF(AND(C1300&lt;&gt;"""",D1300&lt;&gt;"""",C1300=D1300),""gloss=figurative"",""""),IF(LEN(D1300)&lt;15,""figurative ছোট"",""""),IF(AND(I1300=""Positive"",REGEXMATCH(H1"&amp;"300,""মূর্খ|ভণ্ড|প্রতার|অলস|লোভ|স্বার্থ|অক্ষম|অযোগ্য|বোকা|কৃপণ|হিংস"")),""valence-target অমিল"",""""),IF(COUNTIF($B:$B,B1300)&gt;1,""ডুপ্লিকেট"",""""))"),"figurative ছোট")</f>
        <v>figurative ছোট</v>
      </c>
      <c r="Q1300" s="5" t="str">
        <f t="shared" si="1"/>
        <v>১ আগে দেখো</v>
      </c>
    </row>
    <row r="1301">
      <c r="A1301" s="4">
        <v>6839.0</v>
      </c>
      <c r="B1301" s="2" t="s">
        <v>5355</v>
      </c>
      <c r="C1301" s="2" t="s">
        <v>5355</v>
      </c>
      <c r="D1301" s="2" t="s">
        <v>5356</v>
      </c>
      <c r="E1301" s="2" t="s">
        <v>5357</v>
      </c>
      <c r="F1301" s="2" t="b">
        <v>1</v>
      </c>
      <c r="G1301" s="2" t="b">
        <v>0</v>
      </c>
      <c r="H1301" s="2" t="s">
        <v>854</v>
      </c>
      <c r="I1301" s="2" t="s">
        <v>22</v>
      </c>
      <c r="J1301" s="2" t="s">
        <v>5350</v>
      </c>
      <c r="K1301" s="2" t="s">
        <v>495</v>
      </c>
      <c r="L1301" s="13" t="s">
        <v>496</v>
      </c>
      <c r="M1301" s="2" t="s">
        <v>26</v>
      </c>
      <c r="N1301" s="11" t="s">
        <v>576</v>
      </c>
      <c r="O1301" s="12" t="s">
        <v>53</v>
      </c>
      <c r="P1301" s="5" t="str">
        <f>IFERROR(__xludf.DUMMYFUNCTION("TEXTJOIN("" | "",TRUE,IF(OR(D1301="""",E1301="""",I1301="""",J1301="""",H1301=""""),""ফাঁকা ঘর"",""""),IF(AND(C1301&lt;&gt;"""",D1301&lt;&gt;"""",C1301=D1301),""gloss=figurative"",""""),IF(LEN(D1301)&lt;15,""figurative ছোট"",""""),IF(AND(I1301=""Positive"",REGEXMATCH(H1"&amp;"301,""মূর্খ|ভণ্ড|প্রতার|অলস|লোভ|স্বার্থ|অক্ষম|অযোগ্য|বোকা|কৃপণ|হিংস"")),""valence-target অমিল"",""""),IF(COUNTIF($B:$B,B1301)&gt;1,""ডুপ্লিকেট"",""""))"),"figurative ছোট")</f>
        <v>figurative ছোট</v>
      </c>
      <c r="Q1301" s="5" t="str">
        <f t="shared" si="1"/>
        <v>১ আগে দেখো</v>
      </c>
    </row>
    <row r="1302">
      <c r="A1302" s="4">
        <v>6840.0</v>
      </c>
      <c r="B1302" s="2" t="s">
        <v>5358</v>
      </c>
      <c r="C1302" s="2" t="s">
        <v>5359</v>
      </c>
      <c r="D1302" s="2" t="s">
        <v>5360</v>
      </c>
      <c r="E1302" s="2" t="s">
        <v>5361</v>
      </c>
      <c r="F1302" s="2" t="b">
        <v>1</v>
      </c>
      <c r="G1302" s="2" t="b">
        <v>0</v>
      </c>
      <c r="H1302" s="2" t="s">
        <v>37</v>
      </c>
      <c r="I1302" s="2" t="s">
        <v>22</v>
      </c>
      <c r="J1302" s="2" t="s">
        <v>2611</v>
      </c>
      <c r="K1302" s="2" t="s">
        <v>495</v>
      </c>
      <c r="L1302" s="13" t="s">
        <v>496</v>
      </c>
      <c r="M1302" s="2" t="s">
        <v>26</v>
      </c>
      <c r="N1302" s="11" t="s">
        <v>576</v>
      </c>
      <c r="O1302" s="12" t="s">
        <v>53</v>
      </c>
      <c r="P1302" s="5" t="str">
        <f>IFERROR(__xludf.DUMMYFUNCTION("TEXTJOIN("" | "",TRUE,IF(OR(D1302="""",E1302="""",I1302="""",J1302="""",H1302=""""),""ফাঁকা ঘর"",""""),IF(AND(C1302&lt;&gt;"""",D1302&lt;&gt;"""",C1302=D1302),""gloss=figurative"",""""),IF(LEN(D1302)&lt;15,""figurative ছোট"",""""),IF(AND(I1302=""Positive"",REGEXMATCH(H1"&amp;"302,""মূর্খ|ভণ্ড|প্রতার|অলস|লোভ|স্বার্থ|অক্ষম|অযোগ্য|বোকা|কৃপণ|হিংস"")),""valence-target অমিল"",""""),IF(COUNTIF($B:$B,B1302)&gt;1,""ডুপ্লিকেট"",""""))"),"figurative ছোট")</f>
        <v>figurative ছোট</v>
      </c>
      <c r="Q1302" s="5" t="str">
        <f t="shared" si="1"/>
        <v>১ আগে দেখো</v>
      </c>
    </row>
    <row r="1303">
      <c r="A1303" s="4">
        <v>6841.0</v>
      </c>
      <c r="B1303" s="2" t="s">
        <v>5362</v>
      </c>
      <c r="C1303" s="2" t="s">
        <v>5363</v>
      </c>
      <c r="D1303" s="2" t="s">
        <v>2015</v>
      </c>
      <c r="E1303" s="2" t="s">
        <v>5364</v>
      </c>
      <c r="F1303" s="2" t="b">
        <v>1</v>
      </c>
      <c r="G1303" s="2" t="b">
        <v>0</v>
      </c>
      <c r="H1303" s="2" t="s">
        <v>37</v>
      </c>
      <c r="I1303" s="2" t="s">
        <v>49</v>
      </c>
      <c r="J1303" s="2" t="s">
        <v>5365</v>
      </c>
      <c r="K1303" s="2" t="s">
        <v>495</v>
      </c>
      <c r="L1303" s="13" t="s">
        <v>496</v>
      </c>
      <c r="M1303" s="2" t="s">
        <v>26</v>
      </c>
      <c r="N1303" s="11" t="s">
        <v>576</v>
      </c>
      <c r="O1303" s="12" t="s">
        <v>53</v>
      </c>
      <c r="P1303" s="5" t="str">
        <f>IFERROR(__xludf.DUMMYFUNCTION("TEXTJOIN("" | "",TRUE,IF(OR(D1303="""",E1303="""",I1303="""",J1303="""",H1303=""""),""ফাঁকা ঘর"",""""),IF(AND(C1303&lt;&gt;"""",D1303&lt;&gt;"""",C1303=D1303),""gloss=figurative"",""""),IF(LEN(D1303)&lt;15,""figurative ছোট"",""""),IF(AND(I1303=""Positive"",REGEXMATCH(H1"&amp;"303,""মূর্খ|ভণ্ড|প্রতার|অলস|লোভ|স্বার্থ|অক্ষম|অযোগ্য|বোকা|কৃপণ|হিংস"")),""valence-target অমিল"",""""),IF(COUNTIF($B:$B,B1303)&gt;1,""ডুপ্লিকেট"",""""))"),"figurative ছোট")</f>
        <v>figurative ছোট</v>
      </c>
      <c r="Q1303" s="5" t="str">
        <f t="shared" si="1"/>
        <v>১ আগে দেখো</v>
      </c>
    </row>
    <row r="1304">
      <c r="A1304" s="4">
        <v>6842.0</v>
      </c>
      <c r="B1304" s="2" t="s">
        <v>5366</v>
      </c>
      <c r="C1304" s="2" t="s">
        <v>5367</v>
      </c>
      <c r="D1304" s="2" t="s">
        <v>2386</v>
      </c>
      <c r="E1304" s="2" t="s">
        <v>5368</v>
      </c>
      <c r="F1304" s="2" t="b">
        <v>1</v>
      </c>
      <c r="G1304" s="2" t="b">
        <v>0</v>
      </c>
      <c r="H1304" s="2" t="s">
        <v>37</v>
      </c>
      <c r="I1304" s="2" t="s">
        <v>32</v>
      </c>
      <c r="J1304" s="2" t="s">
        <v>2386</v>
      </c>
      <c r="K1304" s="2" t="s">
        <v>495</v>
      </c>
      <c r="L1304" s="13" t="s">
        <v>496</v>
      </c>
      <c r="M1304" s="2" t="s">
        <v>26</v>
      </c>
      <c r="N1304" s="11" t="s">
        <v>576</v>
      </c>
      <c r="O1304" s="12" t="s">
        <v>53</v>
      </c>
      <c r="P1304" s="5" t="str">
        <f>IFERROR(__xludf.DUMMYFUNCTION("TEXTJOIN("" | "",TRUE,IF(OR(D1304="""",E1304="""",I1304="""",J1304="""",H1304=""""),""ফাঁকা ঘর"",""""),IF(AND(C1304&lt;&gt;"""",D1304&lt;&gt;"""",C1304=D1304),""gloss=figurative"",""""),IF(LEN(D1304)&lt;15,""figurative ছোট"",""""),IF(AND(I1304=""Positive"",REGEXMATCH(H1"&amp;"304,""মূর্খ|ভণ্ড|প্রতার|অলস|লোভ|স্বার্থ|অক্ষম|অযোগ্য|বোকা|কৃপণ|হিংস"")),""valence-target অমিল"",""""),IF(COUNTIF($B:$B,B1304)&gt;1,""ডুপ্লিকেট"",""""))"),"figurative ছোট")</f>
        <v>figurative ছোট</v>
      </c>
      <c r="Q1304" s="5" t="str">
        <f t="shared" si="1"/>
        <v>১ আগে দেখো</v>
      </c>
    </row>
    <row r="1305">
      <c r="A1305" s="4">
        <v>6843.0</v>
      </c>
      <c r="B1305" s="2" t="s">
        <v>5369</v>
      </c>
      <c r="C1305" s="2" t="s">
        <v>5370</v>
      </c>
      <c r="D1305" s="2" t="s">
        <v>2882</v>
      </c>
      <c r="E1305" s="2" t="s">
        <v>5371</v>
      </c>
      <c r="F1305" s="2" t="b">
        <v>1</v>
      </c>
      <c r="G1305" s="2" t="b">
        <v>0</v>
      </c>
      <c r="H1305" s="2" t="s">
        <v>37</v>
      </c>
      <c r="I1305" s="2" t="s">
        <v>49</v>
      </c>
      <c r="J1305" s="2" t="s">
        <v>2882</v>
      </c>
      <c r="K1305" s="2" t="s">
        <v>495</v>
      </c>
      <c r="L1305" s="13" t="s">
        <v>496</v>
      </c>
      <c r="M1305" s="2" t="s">
        <v>26</v>
      </c>
      <c r="N1305" s="11" t="s">
        <v>576</v>
      </c>
      <c r="O1305" s="12" t="s">
        <v>53</v>
      </c>
      <c r="P1305" s="5" t="str">
        <f>IFERROR(__xludf.DUMMYFUNCTION("TEXTJOIN("" | "",TRUE,IF(OR(D1305="""",E1305="""",I1305="""",J1305="""",H1305=""""),""ফাঁকা ঘর"",""""),IF(AND(C1305&lt;&gt;"""",D1305&lt;&gt;"""",C1305=D1305),""gloss=figurative"",""""),IF(LEN(D1305)&lt;15,""figurative ছোট"",""""),IF(AND(I1305=""Positive"",REGEXMATCH(H1"&amp;"305,""মূর্খ|ভণ্ড|প্রতার|অলস|লোভ|স্বার্থ|অক্ষম|অযোগ্য|বোকা|কৃপণ|হিংস"")),""valence-target অমিল"",""""),IF(COUNTIF($B:$B,B1305)&gt;1,""ডুপ্লিকেট"",""""))"),"figurative ছোট")</f>
        <v>figurative ছোট</v>
      </c>
      <c r="Q1305" s="5" t="str">
        <f t="shared" si="1"/>
        <v>১ আগে দেখো</v>
      </c>
    </row>
    <row r="1306">
      <c r="A1306" s="4">
        <v>6844.0</v>
      </c>
      <c r="B1306" s="2" t="s">
        <v>5372</v>
      </c>
      <c r="C1306" s="2" t="s">
        <v>5373</v>
      </c>
      <c r="D1306" s="2" t="s">
        <v>3807</v>
      </c>
      <c r="E1306" s="2" t="s">
        <v>5374</v>
      </c>
      <c r="F1306" s="2" t="b">
        <v>1</v>
      </c>
      <c r="G1306" s="2" t="b">
        <v>0</v>
      </c>
      <c r="H1306" s="2" t="s">
        <v>3807</v>
      </c>
      <c r="I1306" s="2" t="s">
        <v>22</v>
      </c>
      <c r="J1306" s="2" t="s">
        <v>3346</v>
      </c>
      <c r="K1306" s="2" t="s">
        <v>495</v>
      </c>
      <c r="L1306" s="13" t="s">
        <v>496</v>
      </c>
      <c r="M1306" s="2" t="s">
        <v>26</v>
      </c>
      <c r="N1306" s="11" t="s">
        <v>576</v>
      </c>
      <c r="O1306" s="12" t="s">
        <v>53</v>
      </c>
      <c r="P1306" s="5" t="str">
        <f>IFERROR(__xludf.DUMMYFUNCTION("TEXTJOIN("" | "",TRUE,IF(OR(D1306="""",E1306="""",I1306="""",J1306="""",H1306=""""),""ফাঁকা ঘর"",""""),IF(AND(C1306&lt;&gt;"""",D1306&lt;&gt;"""",C1306=D1306),""gloss=figurative"",""""),IF(LEN(D1306)&lt;15,""figurative ছোট"",""""),IF(AND(I1306=""Positive"",REGEXMATCH(H1"&amp;"306,""মূর্খ|ভণ্ড|প্রতার|অলস|লোভ|স্বার্থ|অক্ষম|অযোগ্য|বোকা|কৃপণ|হিংস"")),""valence-target অমিল"",""""),IF(COUNTIF($B:$B,B1306)&gt;1,""ডুপ্লিকেট"",""""))"),"figurative ছোট")</f>
        <v>figurative ছোট</v>
      </c>
      <c r="Q1306" s="5" t="str">
        <f t="shared" si="1"/>
        <v>১ আগে দেখো</v>
      </c>
    </row>
    <row r="1307">
      <c r="A1307" s="4">
        <v>6845.0</v>
      </c>
      <c r="B1307" s="2" t="s">
        <v>5375</v>
      </c>
      <c r="C1307" s="2" t="s">
        <v>5376</v>
      </c>
      <c r="D1307" s="2" t="s">
        <v>4862</v>
      </c>
      <c r="E1307" s="2" t="s">
        <v>5377</v>
      </c>
      <c r="F1307" s="2" t="b">
        <v>1</v>
      </c>
      <c r="G1307" s="2" t="b">
        <v>0</v>
      </c>
      <c r="H1307" s="2" t="s">
        <v>37</v>
      </c>
      <c r="I1307" s="2" t="s">
        <v>49</v>
      </c>
      <c r="J1307" s="2" t="s">
        <v>565</v>
      </c>
      <c r="K1307" s="2" t="s">
        <v>495</v>
      </c>
      <c r="L1307" s="13" t="s">
        <v>496</v>
      </c>
      <c r="M1307" s="2" t="s">
        <v>26</v>
      </c>
      <c r="N1307" s="11" t="s">
        <v>576</v>
      </c>
      <c r="O1307" s="12" t="s">
        <v>53</v>
      </c>
      <c r="P1307" s="5" t="str">
        <f>IFERROR(__xludf.DUMMYFUNCTION("TEXTJOIN("" | "",TRUE,IF(OR(D1307="""",E1307="""",I1307="""",J1307="""",H1307=""""),""ফাঁকা ঘর"",""""),IF(AND(C1307&lt;&gt;"""",D1307&lt;&gt;"""",C1307=D1307),""gloss=figurative"",""""),IF(LEN(D1307)&lt;15,""figurative ছোট"",""""),IF(AND(I1307=""Positive"",REGEXMATCH(H1"&amp;"307,""মূর্খ|ভণ্ড|প্রতার|অলস|লোভ|স্বার্থ|অক্ষম|অযোগ্য|বোকা|কৃপণ|হিংস"")),""valence-target অমিল"",""""),IF(COUNTIF($B:$B,B1307)&gt;1,""ডুপ্লিকেট"",""""))"),"figurative ছোট")</f>
        <v>figurative ছোট</v>
      </c>
      <c r="Q1307" s="5" t="str">
        <f t="shared" si="1"/>
        <v>১ আগে দেখো</v>
      </c>
    </row>
    <row r="1308">
      <c r="A1308" s="4">
        <v>6846.0</v>
      </c>
      <c r="B1308" s="2" t="s">
        <v>5378</v>
      </c>
      <c r="C1308" s="2" t="s">
        <v>5379</v>
      </c>
      <c r="D1308" s="2" t="s">
        <v>601</v>
      </c>
      <c r="E1308" s="2" t="s">
        <v>5380</v>
      </c>
      <c r="F1308" s="2" t="b">
        <v>1</v>
      </c>
      <c r="G1308" s="2" t="b">
        <v>0</v>
      </c>
      <c r="H1308" s="2" t="s">
        <v>3161</v>
      </c>
      <c r="I1308" s="2" t="s">
        <v>22</v>
      </c>
      <c r="J1308" s="2" t="s">
        <v>601</v>
      </c>
      <c r="K1308" s="2" t="s">
        <v>495</v>
      </c>
      <c r="L1308" s="13" t="s">
        <v>496</v>
      </c>
      <c r="M1308" s="2" t="s">
        <v>26</v>
      </c>
      <c r="N1308" s="11" t="s">
        <v>576</v>
      </c>
      <c r="O1308" s="12" t="s">
        <v>53</v>
      </c>
      <c r="P1308" s="5" t="str">
        <f>IFERROR(__xludf.DUMMYFUNCTION("TEXTJOIN("" | "",TRUE,IF(OR(D1308="""",E1308="""",I1308="""",J1308="""",H1308=""""),""ফাঁকা ঘর"",""""),IF(AND(C1308&lt;&gt;"""",D1308&lt;&gt;"""",C1308=D1308),""gloss=figurative"",""""),IF(LEN(D1308)&lt;15,""figurative ছোট"",""""),IF(AND(I1308=""Positive"",REGEXMATCH(H1"&amp;"308,""মূর্খ|ভণ্ড|প্রতার|অলস|লোভ|স্বার্থ|অক্ষম|অযোগ্য|বোকা|কৃপণ|হিংস"")),""valence-target অমিল"",""""),IF(COUNTIF($B:$B,B1308)&gt;1,""ডুপ্লিকেট"",""""))"),"figurative ছোট")</f>
        <v>figurative ছোট</v>
      </c>
      <c r="Q1308" s="5" t="str">
        <f t="shared" si="1"/>
        <v>১ আগে দেখো</v>
      </c>
    </row>
    <row r="1309">
      <c r="A1309" s="4">
        <v>6847.0</v>
      </c>
      <c r="B1309" s="2" t="s">
        <v>5381</v>
      </c>
      <c r="C1309" s="2" t="s">
        <v>5382</v>
      </c>
      <c r="D1309" s="2" t="s">
        <v>1254</v>
      </c>
      <c r="E1309" s="2" t="s">
        <v>5383</v>
      </c>
      <c r="F1309" s="2" t="b">
        <v>1</v>
      </c>
      <c r="G1309" s="2" t="b">
        <v>0</v>
      </c>
      <c r="H1309" s="2" t="s">
        <v>37</v>
      </c>
      <c r="I1309" s="2" t="s">
        <v>49</v>
      </c>
      <c r="J1309" s="2" t="s">
        <v>1254</v>
      </c>
      <c r="K1309" s="2" t="s">
        <v>495</v>
      </c>
      <c r="L1309" s="13" t="s">
        <v>496</v>
      </c>
      <c r="M1309" s="2" t="s">
        <v>26</v>
      </c>
      <c r="N1309" s="11" t="s">
        <v>576</v>
      </c>
      <c r="O1309" s="12" t="s">
        <v>53</v>
      </c>
      <c r="P1309" s="5" t="str">
        <f>IFERROR(__xludf.DUMMYFUNCTION("TEXTJOIN("" | "",TRUE,IF(OR(D1309="""",E1309="""",I1309="""",J1309="""",H1309=""""),""ফাঁকা ঘর"",""""),IF(AND(C1309&lt;&gt;"""",D1309&lt;&gt;"""",C1309=D1309),""gloss=figurative"",""""),IF(LEN(D1309)&lt;15,""figurative ছোট"",""""),IF(AND(I1309=""Positive"",REGEXMATCH(H1"&amp;"309,""মূর্খ|ভণ্ড|প্রতার|অলস|লোভ|স্বার্থ|অক্ষম|অযোগ্য|বোকা|কৃপণ|হিংস"")),""valence-target অমিল"",""""),IF(COUNTIF($B:$B,B1309)&gt;1,""ডুপ্লিকেট"",""""))"),"figurative ছোট")</f>
        <v>figurative ছোট</v>
      </c>
      <c r="Q1309" s="5" t="str">
        <f t="shared" si="1"/>
        <v>১ আগে দেখো</v>
      </c>
    </row>
    <row r="1310">
      <c r="A1310" s="4">
        <v>6848.0</v>
      </c>
      <c r="B1310" s="2" t="s">
        <v>5384</v>
      </c>
      <c r="C1310" s="2" t="s">
        <v>5385</v>
      </c>
      <c r="D1310" s="2" t="s">
        <v>1603</v>
      </c>
      <c r="E1310" s="2" t="s">
        <v>5386</v>
      </c>
      <c r="F1310" s="2" t="b">
        <v>1</v>
      </c>
      <c r="G1310" s="2" t="b">
        <v>0</v>
      </c>
      <c r="H1310" s="2" t="s">
        <v>37</v>
      </c>
      <c r="I1310" s="2" t="s">
        <v>22</v>
      </c>
      <c r="J1310" s="2" t="s">
        <v>1603</v>
      </c>
      <c r="K1310" s="2" t="s">
        <v>495</v>
      </c>
      <c r="L1310" s="13" t="s">
        <v>496</v>
      </c>
      <c r="M1310" s="2" t="s">
        <v>26</v>
      </c>
      <c r="N1310" s="11" t="s">
        <v>576</v>
      </c>
      <c r="O1310" s="12" t="s">
        <v>53</v>
      </c>
      <c r="P1310" s="5" t="str">
        <f>IFERROR(__xludf.DUMMYFUNCTION("TEXTJOIN("" | "",TRUE,IF(OR(D1310="""",E1310="""",I1310="""",J1310="""",H1310=""""),""ফাঁকা ঘর"",""""),IF(AND(C1310&lt;&gt;"""",D1310&lt;&gt;"""",C1310=D1310),""gloss=figurative"",""""),IF(LEN(D1310)&lt;15,""figurative ছোট"",""""),IF(AND(I1310=""Positive"",REGEXMATCH(H1"&amp;"310,""মূর্খ|ভণ্ড|প্রতার|অলস|লোভ|স্বার্থ|অক্ষম|অযোগ্য|বোকা|কৃপণ|হিংস"")),""valence-target অমিল"",""""),IF(COUNTIF($B:$B,B1310)&gt;1,""ডুপ্লিকেট"",""""))"),"figurative ছোট")</f>
        <v>figurative ছোট</v>
      </c>
      <c r="Q1310" s="5" t="str">
        <f t="shared" si="1"/>
        <v>১ আগে দেখো</v>
      </c>
    </row>
    <row r="1311">
      <c r="A1311" s="4">
        <v>6849.0</v>
      </c>
      <c r="B1311" s="2" t="s">
        <v>5387</v>
      </c>
      <c r="C1311" s="2" t="s">
        <v>5388</v>
      </c>
      <c r="D1311" s="2" t="s">
        <v>3701</v>
      </c>
      <c r="E1311" s="2" t="s">
        <v>5389</v>
      </c>
      <c r="F1311" s="2" t="b">
        <v>1</v>
      </c>
      <c r="G1311" s="2" t="b">
        <v>0</v>
      </c>
      <c r="H1311" s="2" t="s">
        <v>37</v>
      </c>
      <c r="I1311" s="2" t="s">
        <v>22</v>
      </c>
      <c r="J1311" s="2" t="s">
        <v>3701</v>
      </c>
      <c r="K1311" s="2" t="s">
        <v>495</v>
      </c>
      <c r="L1311" s="13" t="s">
        <v>496</v>
      </c>
      <c r="M1311" s="2" t="s">
        <v>26</v>
      </c>
      <c r="N1311" s="11" t="s">
        <v>576</v>
      </c>
      <c r="O1311" s="12" t="s">
        <v>53</v>
      </c>
      <c r="P1311" s="5" t="str">
        <f>IFERROR(__xludf.DUMMYFUNCTION("TEXTJOIN("" | "",TRUE,IF(OR(D1311="""",E1311="""",I1311="""",J1311="""",H1311=""""),""ফাঁকা ঘর"",""""),IF(AND(C1311&lt;&gt;"""",D1311&lt;&gt;"""",C1311=D1311),""gloss=figurative"",""""),IF(LEN(D1311)&lt;15,""figurative ছোট"",""""),IF(AND(I1311=""Positive"",REGEXMATCH(H1"&amp;"311,""মূর্খ|ভণ্ড|প্রতার|অলস|লোভ|স্বার্থ|অক্ষম|অযোগ্য|বোকা|কৃপণ|হিংস"")),""valence-target অমিল"",""""),IF(COUNTIF($B:$B,B1311)&gt;1,""ডুপ্লিকেট"",""""))"),"figurative ছোট")</f>
        <v>figurative ছোট</v>
      </c>
      <c r="Q1311" s="5" t="str">
        <f t="shared" si="1"/>
        <v>১ আগে দেখো</v>
      </c>
    </row>
    <row r="1312">
      <c r="A1312" s="4">
        <v>6850.0</v>
      </c>
      <c r="B1312" s="2" t="s">
        <v>5390</v>
      </c>
      <c r="C1312" s="2" t="s">
        <v>5391</v>
      </c>
      <c r="D1312" s="2" t="s">
        <v>4088</v>
      </c>
      <c r="E1312" s="2" t="s">
        <v>5392</v>
      </c>
      <c r="F1312" s="2" t="b">
        <v>1</v>
      </c>
      <c r="G1312" s="2" t="b">
        <v>0</v>
      </c>
      <c r="H1312" s="2" t="s">
        <v>37</v>
      </c>
      <c r="I1312" s="2" t="s">
        <v>22</v>
      </c>
      <c r="J1312" s="2" t="s">
        <v>4088</v>
      </c>
      <c r="K1312" s="2" t="s">
        <v>495</v>
      </c>
      <c r="L1312" s="13" t="s">
        <v>496</v>
      </c>
      <c r="M1312" s="2" t="s">
        <v>26</v>
      </c>
      <c r="N1312" s="11" t="s">
        <v>5393</v>
      </c>
      <c r="O1312" s="12" t="s">
        <v>53</v>
      </c>
      <c r="P1312" s="5" t="str">
        <f>IFERROR(__xludf.DUMMYFUNCTION("TEXTJOIN("" | "",TRUE,IF(OR(D1312="""",E1312="""",I1312="""",J1312="""",H1312=""""),""ফাঁকা ঘর"",""""),IF(AND(C1312&lt;&gt;"""",D1312&lt;&gt;"""",C1312=D1312),""gloss=figurative"",""""),IF(LEN(D1312)&lt;15,""figurative ছোট"",""""),IF(AND(I1312=""Positive"",REGEXMATCH(H1"&amp;"312,""মূর্খ|ভণ্ড|প্রতার|অলস|লোভ|স্বার্থ|অক্ষম|অযোগ্য|বোকা|কৃপণ|হিংস"")),""valence-target অমিল"",""""),IF(COUNTIF($B:$B,B1312)&gt;1,""ডুপ্লিকেট"",""""))"),"figurative ছোট")</f>
        <v>figurative ছোট</v>
      </c>
      <c r="Q1312" s="5" t="str">
        <f t="shared" si="1"/>
        <v>১ আগে দেখো</v>
      </c>
    </row>
    <row r="1313">
      <c r="A1313" s="4">
        <v>6851.0</v>
      </c>
      <c r="B1313" s="2" t="s">
        <v>5394</v>
      </c>
      <c r="C1313" s="2" t="s">
        <v>5395</v>
      </c>
      <c r="D1313" s="2" t="s">
        <v>4088</v>
      </c>
      <c r="E1313" s="2" t="s">
        <v>5396</v>
      </c>
      <c r="F1313" s="2" t="b">
        <v>1</v>
      </c>
      <c r="G1313" s="2" t="b">
        <v>0</v>
      </c>
      <c r="H1313" s="2" t="s">
        <v>37</v>
      </c>
      <c r="I1313" s="2" t="s">
        <v>22</v>
      </c>
      <c r="J1313" s="2" t="s">
        <v>4088</v>
      </c>
      <c r="K1313" s="2" t="s">
        <v>495</v>
      </c>
      <c r="L1313" s="13" t="s">
        <v>496</v>
      </c>
      <c r="M1313" s="2" t="s">
        <v>26</v>
      </c>
      <c r="N1313" s="11" t="s">
        <v>5397</v>
      </c>
      <c r="O1313" s="12" t="s">
        <v>53</v>
      </c>
      <c r="P1313" s="5" t="str">
        <f>IFERROR(__xludf.DUMMYFUNCTION("TEXTJOIN("" | "",TRUE,IF(OR(D1313="""",E1313="""",I1313="""",J1313="""",H1313=""""),""ফাঁকা ঘর"",""""),IF(AND(C1313&lt;&gt;"""",D1313&lt;&gt;"""",C1313=D1313),""gloss=figurative"",""""),IF(LEN(D1313)&lt;15,""figurative ছোট"",""""),IF(AND(I1313=""Positive"",REGEXMATCH(H1"&amp;"313,""মূর্খ|ভণ্ড|প্রতার|অলস|লোভ|স্বার্থ|অক্ষম|অযোগ্য|বোকা|কৃপণ|হিংস"")),""valence-target অমিল"",""""),IF(COUNTIF($B:$B,B1313)&gt;1,""ডুপ্লিকেট"",""""))"),"figurative ছোট")</f>
        <v>figurative ছোট</v>
      </c>
      <c r="Q1313" s="5" t="str">
        <f t="shared" si="1"/>
        <v>১ আগে দেখো</v>
      </c>
    </row>
    <row r="1314">
      <c r="A1314" s="4">
        <v>6852.0</v>
      </c>
      <c r="B1314" s="2" t="s">
        <v>5398</v>
      </c>
      <c r="C1314" s="2" t="s">
        <v>5399</v>
      </c>
      <c r="D1314" s="2" t="s">
        <v>3416</v>
      </c>
      <c r="E1314" s="2" t="s">
        <v>5400</v>
      </c>
      <c r="F1314" s="2" t="b">
        <v>1</v>
      </c>
      <c r="G1314" s="2" t="b">
        <v>0</v>
      </c>
      <c r="H1314" s="2" t="s">
        <v>37</v>
      </c>
      <c r="I1314" s="2" t="s">
        <v>49</v>
      </c>
      <c r="J1314" s="2" t="s">
        <v>3416</v>
      </c>
      <c r="K1314" s="2" t="s">
        <v>495</v>
      </c>
      <c r="L1314" s="13" t="s">
        <v>496</v>
      </c>
      <c r="M1314" s="2" t="s">
        <v>26</v>
      </c>
      <c r="N1314" s="11" t="s">
        <v>576</v>
      </c>
      <c r="O1314" s="12" t="s">
        <v>53</v>
      </c>
      <c r="P1314" s="5" t="str">
        <f>IFERROR(__xludf.DUMMYFUNCTION("TEXTJOIN("" | "",TRUE,IF(OR(D1314="""",E1314="""",I1314="""",J1314="""",H1314=""""),""ফাঁকা ঘর"",""""),IF(AND(C1314&lt;&gt;"""",D1314&lt;&gt;"""",C1314=D1314),""gloss=figurative"",""""),IF(LEN(D1314)&lt;15,""figurative ছোট"",""""),IF(AND(I1314=""Positive"",REGEXMATCH(H1"&amp;"314,""মূর্খ|ভণ্ড|প্রতার|অলস|লোভ|স্বার্থ|অক্ষম|অযোগ্য|বোকা|কৃপণ|হিংস"")),""valence-target অমিল"",""""),IF(COUNTIF($B:$B,B1314)&gt;1,""ডুপ্লিকেট"",""""))"),"figurative ছোট")</f>
        <v>figurative ছোট</v>
      </c>
      <c r="Q1314" s="5" t="str">
        <f t="shared" si="1"/>
        <v>১ আগে দেখো</v>
      </c>
    </row>
    <row r="1315">
      <c r="A1315" s="4">
        <v>6853.0</v>
      </c>
      <c r="B1315" s="2" t="s">
        <v>5401</v>
      </c>
      <c r="C1315" s="2" t="s">
        <v>5402</v>
      </c>
      <c r="D1315" s="2" t="s">
        <v>5403</v>
      </c>
      <c r="E1315" s="2" t="s">
        <v>5404</v>
      </c>
      <c r="F1315" s="2" t="b">
        <v>1</v>
      </c>
      <c r="G1315" s="2" t="b">
        <v>0</v>
      </c>
      <c r="H1315" s="2" t="s">
        <v>37</v>
      </c>
      <c r="I1315" s="2" t="s">
        <v>49</v>
      </c>
      <c r="J1315" s="2" t="s">
        <v>581</v>
      </c>
      <c r="K1315" s="2" t="s">
        <v>495</v>
      </c>
      <c r="L1315" s="13" t="s">
        <v>496</v>
      </c>
      <c r="M1315" s="2" t="s">
        <v>26</v>
      </c>
      <c r="N1315" s="11" t="s">
        <v>576</v>
      </c>
      <c r="O1315" s="12" t="s">
        <v>53</v>
      </c>
      <c r="P1315" s="5" t="str">
        <f>IFERROR(__xludf.DUMMYFUNCTION("TEXTJOIN("" | "",TRUE,IF(OR(D1315="""",E1315="""",I1315="""",J1315="""",H1315=""""),""ফাঁকা ঘর"",""""),IF(AND(C1315&lt;&gt;"""",D1315&lt;&gt;"""",C1315=D1315),""gloss=figurative"",""""),IF(LEN(D1315)&lt;15,""figurative ছোট"",""""),IF(AND(I1315=""Positive"",REGEXMATCH(H1"&amp;"315,""মূর্খ|ভণ্ড|প্রতার|অলস|লোভ|স্বার্থ|অক্ষম|অযোগ্য|বোকা|কৃপণ|হিংস"")),""valence-target অমিল"",""""),IF(COUNTIF($B:$B,B1315)&gt;1,""ডুপ্লিকেট"",""""))"),"figurative ছোট")</f>
        <v>figurative ছোট</v>
      </c>
      <c r="Q1315" s="5" t="str">
        <f t="shared" si="1"/>
        <v>১ আগে দেখো</v>
      </c>
    </row>
    <row r="1316">
      <c r="A1316" s="4">
        <v>6854.0</v>
      </c>
      <c r="B1316" s="2" t="s">
        <v>5405</v>
      </c>
      <c r="C1316" s="2" t="s">
        <v>5406</v>
      </c>
      <c r="D1316" s="2" t="s">
        <v>5173</v>
      </c>
      <c r="E1316" s="2" t="s">
        <v>5407</v>
      </c>
      <c r="F1316" s="2" t="b">
        <v>1</v>
      </c>
      <c r="G1316" s="2" t="b">
        <v>0</v>
      </c>
      <c r="H1316" s="2" t="s">
        <v>37</v>
      </c>
      <c r="I1316" s="2" t="s">
        <v>32</v>
      </c>
      <c r="J1316" s="2" t="s">
        <v>5173</v>
      </c>
      <c r="K1316" s="2" t="s">
        <v>495</v>
      </c>
      <c r="L1316" s="13" t="s">
        <v>496</v>
      </c>
      <c r="M1316" s="2" t="s">
        <v>26</v>
      </c>
      <c r="N1316" s="11" t="s">
        <v>576</v>
      </c>
      <c r="O1316" s="12" t="s">
        <v>53</v>
      </c>
      <c r="P1316" s="5" t="str">
        <f>IFERROR(__xludf.DUMMYFUNCTION("TEXTJOIN("" | "",TRUE,IF(OR(D1316="""",E1316="""",I1316="""",J1316="""",H1316=""""),""ফাঁকা ঘর"",""""),IF(AND(C1316&lt;&gt;"""",D1316&lt;&gt;"""",C1316=D1316),""gloss=figurative"",""""),IF(LEN(D1316)&lt;15,""figurative ছোট"",""""),IF(AND(I1316=""Positive"",REGEXMATCH(H1"&amp;"316,""মূর্খ|ভণ্ড|প্রতার|অলস|লোভ|স্বার্থ|অক্ষম|অযোগ্য|বোকা|কৃপণ|হিংস"")),""valence-target অমিল"",""""),IF(COUNTIF($B:$B,B1316)&gt;1,""ডুপ্লিকেট"",""""))"),"figurative ছোট")</f>
        <v>figurative ছোট</v>
      </c>
      <c r="Q1316" s="5" t="str">
        <f t="shared" si="1"/>
        <v>১ আগে দেখো</v>
      </c>
    </row>
    <row r="1317">
      <c r="A1317" s="4">
        <v>6855.0</v>
      </c>
      <c r="B1317" s="2" t="s">
        <v>5408</v>
      </c>
      <c r="C1317" s="2" t="s">
        <v>5408</v>
      </c>
      <c r="D1317" s="2" t="s">
        <v>5409</v>
      </c>
      <c r="E1317" s="2" t="s">
        <v>5410</v>
      </c>
      <c r="F1317" s="2" t="b">
        <v>1</v>
      </c>
      <c r="G1317" s="2" t="b">
        <v>0</v>
      </c>
      <c r="H1317" s="2" t="s">
        <v>37</v>
      </c>
      <c r="I1317" s="2" t="s">
        <v>49</v>
      </c>
      <c r="J1317" s="2" t="s">
        <v>3416</v>
      </c>
      <c r="K1317" s="2" t="s">
        <v>495</v>
      </c>
      <c r="L1317" s="13" t="s">
        <v>496</v>
      </c>
      <c r="M1317" s="2" t="s">
        <v>26</v>
      </c>
      <c r="N1317" s="11" t="s">
        <v>576</v>
      </c>
      <c r="O1317" s="12" t="s">
        <v>53</v>
      </c>
      <c r="P1317" s="5" t="str">
        <f>IFERROR(__xludf.DUMMYFUNCTION("TEXTJOIN("" | "",TRUE,IF(OR(D1317="""",E1317="""",I1317="""",J1317="""",H1317=""""),""ফাঁকা ঘর"",""""),IF(AND(C1317&lt;&gt;"""",D1317&lt;&gt;"""",C1317=D1317),""gloss=figurative"",""""),IF(LEN(D1317)&lt;15,""figurative ছোট"",""""),IF(AND(I1317=""Positive"",REGEXMATCH(H1"&amp;"317,""মূর্খ|ভণ্ড|প্রতার|অলস|লোভ|স্বার্থ|অক্ষম|অযোগ্য|বোকা|কৃপণ|হিংস"")),""valence-target অমিল"",""""),IF(COUNTIF($B:$B,B1317)&gt;1,""ডুপ্লিকেট"",""""))"),"figurative ছোট")</f>
        <v>figurative ছোট</v>
      </c>
      <c r="Q1317" s="5" t="str">
        <f t="shared" si="1"/>
        <v>১ আগে দেখো</v>
      </c>
    </row>
    <row r="1318">
      <c r="A1318" s="4">
        <v>6856.0</v>
      </c>
      <c r="B1318" s="2" t="s">
        <v>5411</v>
      </c>
      <c r="C1318" s="2" t="s">
        <v>5412</v>
      </c>
      <c r="D1318" s="2" t="s">
        <v>581</v>
      </c>
      <c r="E1318" s="2" t="s">
        <v>5413</v>
      </c>
      <c r="F1318" s="2" t="b">
        <v>1</v>
      </c>
      <c r="G1318" s="2" t="b">
        <v>0</v>
      </c>
      <c r="H1318" s="2" t="s">
        <v>37</v>
      </c>
      <c r="I1318" s="2" t="s">
        <v>49</v>
      </c>
      <c r="J1318" s="2" t="s">
        <v>708</v>
      </c>
      <c r="K1318" s="2" t="s">
        <v>495</v>
      </c>
      <c r="L1318" s="13" t="s">
        <v>496</v>
      </c>
      <c r="M1318" s="2" t="s">
        <v>26</v>
      </c>
      <c r="N1318" s="11" t="s">
        <v>576</v>
      </c>
      <c r="O1318" s="12" t="s">
        <v>53</v>
      </c>
      <c r="P1318" s="5" t="str">
        <f>IFERROR(__xludf.DUMMYFUNCTION("TEXTJOIN("" | "",TRUE,IF(OR(D1318="""",E1318="""",I1318="""",J1318="""",H1318=""""),""ফাঁকা ঘর"",""""),IF(AND(C1318&lt;&gt;"""",D1318&lt;&gt;"""",C1318=D1318),""gloss=figurative"",""""),IF(LEN(D1318)&lt;15,""figurative ছোট"",""""),IF(AND(I1318=""Positive"",REGEXMATCH(H1"&amp;"318,""মূর্খ|ভণ্ড|প্রতার|অলস|লোভ|স্বার্থ|অক্ষম|অযোগ্য|বোকা|কৃপণ|হিংস"")),""valence-target অমিল"",""""),IF(COUNTIF($B:$B,B1318)&gt;1,""ডুপ্লিকেট"",""""))"),"figurative ছোট")</f>
        <v>figurative ছোট</v>
      </c>
      <c r="Q1318" s="5" t="str">
        <f t="shared" si="1"/>
        <v>১ আগে দেখো</v>
      </c>
    </row>
    <row r="1319">
      <c r="A1319" s="4">
        <v>6857.0</v>
      </c>
      <c r="B1319" s="2" t="s">
        <v>5414</v>
      </c>
      <c r="C1319" s="2" t="s">
        <v>5415</v>
      </c>
      <c r="D1319" s="2" t="s">
        <v>1569</v>
      </c>
      <c r="E1319" s="2" t="s">
        <v>5416</v>
      </c>
      <c r="F1319" s="2" t="b">
        <v>1</v>
      </c>
      <c r="G1319" s="2" t="b">
        <v>0</v>
      </c>
      <c r="H1319" s="2" t="s">
        <v>1571</v>
      </c>
      <c r="I1319" s="2" t="s">
        <v>22</v>
      </c>
      <c r="J1319" s="2" t="s">
        <v>1572</v>
      </c>
      <c r="K1319" s="2" t="s">
        <v>495</v>
      </c>
      <c r="L1319" s="13" t="s">
        <v>496</v>
      </c>
      <c r="M1319" s="2" t="s">
        <v>26</v>
      </c>
      <c r="N1319" s="11" t="s">
        <v>576</v>
      </c>
      <c r="O1319" s="12" t="s">
        <v>53</v>
      </c>
      <c r="P1319" s="5" t="str">
        <f>IFERROR(__xludf.DUMMYFUNCTION("TEXTJOIN("" | "",TRUE,IF(OR(D1319="""",E1319="""",I1319="""",J1319="""",H1319=""""),""ফাঁকা ঘর"",""""),IF(AND(C1319&lt;&gt;"""",D1319&lt;&gt;"""",C1319=D1319),""gloss=figurative"",""""),IF(LEN(D1319)&lt;15,""figurative ছোট"",""""),IF(AND(I1319=""Positive"",REGEXMATCH(H1"&amp;"319,""মূর্খ|ভণ্ড|প্রতার|অলস|লোভ|স্বার্থ|অক্ষম|অযোগ্য|বোকা|কৃপণ|হিংস"")),""valence-target অমিল"",""""),IF(COUNTIF($B:$B,B1319)&gt;1,""ডুপ্লিকেট"",""""))"),"figurative ছোট")</f>
        <v>figurative ছোট</v>
      </c>
      <c r="Q1319" s="5" t="str">
        <f t="shared" si="1"/>
        <v>১ আগে দেখো</v>
      </c>
    </row>
    <row r="1320">
      <c r="A1320" s="4">
        <v>6858.0</v>
      </c>
      <c r="B1320" s="2" t="s">
        <v>5417</v>
      </c>
      <c r="C1320" s="2" t="s">
        <v>5418</v>
      </c>
      <c r="D1320" s="2" t="s">
        <v>1603</v>
      </c>
      <c r="E1320" s="2" t="s">
        <v>5419</v>
      </c>
      <c r="F1320" s="2" t="b">
        <v>1</v>
      </c>
      <c r="G1320" s="2" t="b">
        <v>0</v>
      </c>
      <c r="H1320" s="2" t="s">
        <v>37</v>
      </c>
      <c r="I1320" s="2" t="s">
        <v>49</v>
      </c>
      <c r="J1320" s="2" t="s">
        <v>1603</v>
      </c>
      <c r="K1320" s="2" t="s">
        <v>495</v>
      </c>
      <c r="L1320" s="13" t="s">
        <v>496</v>
      </c>
      <c r="M1320" s="2" t="s">
        <v>26</v>
      </c>
      <c r="N1320" s="11" t="s">
        <v>576</v>
      </c>
      <c r="O1320" s="12" t="s">
        <v>53</v>
      </c>
      <c r="P1320" s="5" t="str">
        <f>IFERROR(__xludf.DUMMYFUNCTION("TEXTJOIN("" | "",TRUE,IF(OR(D1320="""",E1320="""",I1320="""",J1320="""",H1320=""""),""ফাঁকা ঘর"",""""),IF(AND(C1320&lt;&gt;"""",D1320&lt;&gt;"""",C1320=D1320),""gloss=figurative"",""""),IF(LEN(D1320)&lt;15,""figurative ছোট"",""""),IF(AND(I1320=""Positive"",REGEXMATCH(H1"&amp;"320,""মূর্খ|ভণ্ড|প্রতার|অলস|লোভ|স্বার্থ|অক্ষম|অযোগ্য|বোকা|কৃপণ|হিংস"")),""valence-target অমিল"",""""),IF(COUNTIF($B:$B,B1320)&gt;1,""ডুপ্লিকেট"",""""))"),"figurative ছোট")</f>
        <v>figurative ছোট</v>
      </c>
      <c r="Q1320" s="5" t="str">
        <f t="shared" si="1"/>
        <v>১ আগে দেখো</v>
      </c>
    </row>
    <row r="1321">
      <c r="A1321" s="4">
        <v>6859.0</v>
      </c>
      <c r="B1321" s="2" t="s">
        <v>5420</v>
      </c>
      <c r="C1321" s="2" t="s">
        <v>5421</v>
      </c>
      <c r="D1321" s="2" t="s">
        <v>4349</v>
      </c>
      <c r="E1321" s="2" t="s">
        <v>5422</v>
      </c>
      <c r="F1321" s="2" t="b">
        <v>1</v>
      </c>
      <c r="G1321" s="2" t="b">
        <v>0</v>
      </c>
      <c r="H1321" s="2" t="s">
        <v>4349</v>
      </c>
      <c r="I1321" s="2" t="s">
        <v>22</v>
      </c>
      <c r="J1321" s="2" t="s">
        <v>581</v>
      </c>
      <c r="K1321" s="2" t="s">
        <v>495</v>
      </c>
      <c r="L1321" s="13" t="s">
        <v>496</v>
      </c>
      <c r="M1321" s="2" t="s">
        <v>26</v>
      </c>
      <c r="N1321" s="11" t="s">
        <v>576</v>
      </c>
      <c r="O1321" s="12" t="s">
        <v>53</v>
      </c>
      <c r="P1321" s="5" t="str">
        <f>IFERROR(__xludf.DUMMYFUNCTION("TEXTJOIN("" | "",TRUE,IF(OR(D1321="""",E1321="""",I1321="""",J1321="""",H1321=""""),""ফাঁকা ঘর"",""""),IF(AND(C1321&lt;&gt;"""",D1321&lt;&gt;"""",C1321=D1321),""gloss=figurative"",""""),IF(LEN(D1321)&lt;15,""figurative ছোট"",""""),IF(AND(I1321=""Positive"",REGEXMATCH(H1"&amp;"321,""মূর্খ|ভণ্ড|প্রতার|অলস|লোভ|স্বার্থ|অক্ষম|অযোগ্য|বোকা|কৃপণ|হিংস"")),""valence-target অমিল"",""""),IF(COUNTIF($B:$B,B1321)&gt;1,""ডুপ্লিকেট"",""""))"),"figurative ছোট")</f>
        <v>figurative ছোট</v>
      </c>
      <c r="Q1321" s="5" t="str">
        <f t="shared" si="1"/>
        <v>১ আগে দেখো</v>
      </c>
    </row>
    <row r="1322">
      <c r="A1322" s="4">
        <v>6860.0</v>
      </c>
      <c r="B1322" s="2" t="s">
        <v>5423</v>
      </c>
      <c r="C1322" s="2" t="s">
        <v>5424</v>
      </c>
      <c r="D1322" s="2" t="s">
        <v>971</v>
      </c>
      <c r="E1322" s="2" t="s">
        <v>5425</v>
      </c>
      <c r="F1322" s="2" t="b">
        <v>1</v>
      </c>
      <c r="G1322" s="2" t="b">
        <v>0</v>
      </c>
      <c r="H1322" s="2" t="s">
        <v>37</v>
      </c>
      <c r="I1322" s="2" t="s">
        <v>22</v>
      </c>
      <c r="J1322" s="2" t="s">
        <v>971</v>
      </c>
      <c r="K1322" s="2" t="s">
        <v>495</v>
      </c>
      <c r="L1322" s="13" t="s">
        <v>496</v>
      </c>
      <c r="M1322" s="2" t="s">
        <v>26</v>
      </c>
      <c r="N1322" s="11" t="s">
        <v>576</v>
      </c>
      <c r="O1322" s="12" t="s">
        <v>53</v>
      </c>
      <c r="P1322" s="5" t="str">
        <f>IFERROR(__xludf.DUMMYFUNCTION("TEXTJOIN("" | "",TRUE,IF(OR(D1322="""",E1322="""",I1322="""",J1322="""",H1322=""""),""ফাঁকা ঘর"",""""),IF(AND(C1322&lt;&gt;"""",D1322&lt;&gt;"""",C1322=D1322),""gloss=figurative"",""""),IF(LEN(D1322)&lt;15,""figurative ছোট"",""""),IF(AND(I1322=""Positive"",REGEXMATCH(H1"&amp;"322,""মূর্খ|ভণ্ড|প্রতার|অলস|লোভ|স্বার্থ|অক্ষম|অযোগ্য|বোকা|কৃপণ|হিংস"")),""valence-target অমিল"",""""),IF(COUNTIF($B:$B,B1322)&gt;1,""ডুপ্লিকেট"",""""))"),"figurative ছোট")</f>
        <v>figurative ছোট</v>
      </c>
      <c r="Q1322" s="5" t="str">
        <f t="shared" si="1"/>
        <v>১ আগে দেখো</v>
      </c>
    </row>
    <row r="1323">
      <c r="A1323" s="4">
        <v>6861.0</v>
      </c>
      <c r="B1323" s="2" t="s">
        <v>5426</v>
      </c>
      <c r="C1323" s="2" t="s">
        <v>5427</v>
      </c>
      <c r="D1323" s="2" t="s">
        <v>2629</v>
      </c>
      <c r="E1323" s="2" t="s">
        <v>5428</v>
      </c>
      <c r="F1323" s="2" t="b">
        <v>1</v>
      </c>
      <c r="G1323" s="2" t="b">
        <v>0</v>
      </c>
      <c r="H1323" s="2" t="s">
        <v>37</v>
      </c>
      <c r="I1323" s="2" t="s">
        <v>22</v>
      </c>
      <c r="J1323" s="2" t="s">
        <v>2629</v>
      </c>
      <c r="K1323" s="2" t="s">
        <v>495</v>
      </c>
      <c r="L1323" s="13" t="s">
        <v>496</v>
      </c>
      <c r="M1323" s="2" t="s">
        <v>26</v>
      </c>
      <c r="N1323" s="11" t="s">
        <v>576</v>
      </c>
      <c r="O1323" s="12" t="s">
        <v>53</v>
      </c>
      <c r="P1323" s="5" t="str">
        <f>IFERROR(__xludf.DUMMYFUNCTION("TEXTJOIN("" | "",TRUE,IF(OR(D1323="""",E1323="""",I1323="""",J1323="""",H1323=""""),""ফাঁকা ঘর"",""""),IF(AND(C1323&lt;&gt;"""",D1323&lt;&gt;"""",C1323=D1323),""gloss=figurative"",""""),IF(LEN(D1323)&lt;15,""figurative ছোট"",""""),IF(AND(I1323=""Positive"",REGEXMATCH(H1"&amp;"323,""মূর্খ|ভণ্ড|প্রতার|অলস|লোভ|স্বার্থ|অক্ষম|অযোগ্য|বোকা|কৃপণ|হিংস"")),""valence-target অমিল"",""""),IF(COUNTIF($B:$B,B1323)&gt;1,""ডুপ্লিকেট"",""""))"),"figurative ছোট")</f>
        <v>figurative ছোট</v>
      </c>
      <c r="Q1323" s="5" t="str">
        <f t="shared" si="1"/>
        <v>১ আগে দেখো</v>
      </c>
    </row>
    <row r="1324">
      <c r="A1324" s="4">
        <v>6862.0</v>
      </c>
      <c r="B1324" s="2" t="s">
        <v>5429</v>
      </c>
      <c r="C1324" s="2" t="s">
        <v>5430</v>
      </c>
      <c r="D1324" s="2" t="s">
        <v>964</v>
      </c>
      <c r="E1324" s="2" t="s">
        <v>5431</v>
      </c>
      <c r="F1324" s="2" t="b">
        <v>1</v>
      </c>
      <c r="G1324" s="2" t="b">
        <v>0</v>
      </c>
      <c r="H1324" s="2" t="s">
        <v>37</v>
      </c>
      <c r="I1324" s="2" t="s">
        <v>49</v>
      </c>
      <c r="J1324" s="2" t="s">
        <v>708</v>
      </c>
      <c r="K1324" s="2" t="s">
        <v>495</v>
      </c>
      <c r="L1324" s="13" t="s">
        <v>496</v>
      </c>
      <c r="M1324" s="2" t="s">
        <v>26</v>
      </c>
      <c r="N1324" s="11" t="s">
        <v>576</v>
      </c>
      <c r="O1324" s="12" t="s">
        <v>53</v>
      </c>
      <c r="P1324" s="5" t="str">
        <f>IFERROR(__xludf.DUMMYFUNCTION("TEXTJOIN("" | "",TRUE,IF(OR(D1324="""",E1324="""",I1324="""",J1324="""",H1324=""""),""ফাঁকা ঘর"",""""),IF(AND(C1324&lt;&gt;"""",D1324&lt;&gt;"""",C1324=D1324),""gloss=figurative"",""""),IF(LEN(D1324)&lt;15,""figurative ছোট"",""""),IF(AND(I1324=""Positive"",REGEXMATCH(H1"&amp;"324,""মূর্খ|ভণ্ড|প্রতার|অলস|লোভ|স্বার্থ|অক্ষম|অযোগ্য|বোকা|কৃপণ|হিংস"")),""valence-target অমিল"",""""),IF(COUNTIF($B:$B,B1324)&gt;1,""ডুপ্লিকেট"",""""))"),"figurative ছোট")</f>
        <v>figurative ছোট</v>
      </c>
      <c r="Q1324" s="5" t="str">
        <f t="shared" si="1"/>
        <v>১ আগে দেখো</v>
      </c>
    </row>
    <row r="1325">
      <c r="A1325" s="4">
        <v>6863.0</v>
      </c>
      <c r="B1325" s="2" t="s">
        <v>5432</v>
      </c>
      <c r="C1325" s="2" t="s">
        <v>5433</v>
      </c>
      <c r="D1325" s="2" t="s">
        <v>830</v>
      </c>
      <c r="E1325" s="2" t="s">
        <v>5434</v>
      </c>
      <c r="F1325" s="2" t="b">
        <v>1</v>
      </c>
      <c r="G1325" s="2" t="b">
        <v>0</v>
      </c>
      <c r="H1325" s="2" t="s">
        <v>37</v>
      </c>
      <c r="I1325" s="2" t="s">
        <v>32</v>
      </c>
      <c r="J1325" s="2" t="s">
        <v>830</v>
      </c>
      <c r="K1325" s="2" t="s">
        <v>495</v>
      </c>
      <c r="L1325" s="13" t="s">
        <v>496</v>
      </c>
      <c r="M1325" s="2" t="s">
        <v>26</v>
      </c>
      <c r="N1325" s="11" t="s">
        <v>576</v>
      </c>
      <c r="O1325" s="12" t="s">
        <v>53</v>
      </c>
      <c r="P1325" s="5" t="str">
        <f>IFERROR(__xludf.DUMMYFUNCTION("TEXTJOIN("" | "",TRUE,IF(OR(D1325="""",E1325="""",I1325="""",J1325="""",H1325=""""),""ফাঁকা ঘর"",""""),IF(AND(C1325&lt;&gt;"""",D1325&lt;&gt;"""",C1325=D1325),""gloss=figurative"",""""),IF(LEN(D1325)&lt;15,""figurative ছোট"",""""),IF(AND(I1325=""Positive"",REGEXMATCH(H1"&amp;"325,""মূর্খ|ভণ্ড|প্রতার|অলস|লোভ|স্বার্থ|অক্ষম|অযোগ্য|বোকা|কৃপণ|হিংস"")),""valence-target অমিল"",""""),IF(COUNTIF($B:$B,B1325)&gt;1,""ডুপ্লিকেট"",""""))"),"figurative ছোট")</f>
        <v>figurative ছোট</v>
      </c>
      <c r="Q1325" s="5" t="str">
        <f t="shared" si="1"/>
        <v>১ আগে দেখো</v>
      </c>
    </row>
    <row r="1326">
      <c r="A1326" s="4">
        <v>6864.0</v>
      </c>
      <c r="B1326" s="2" t="s">
        <v>5435</v>
      </c>
      <c r="C1326" s="2" t="s">
        <v>5436</v>
      </c>
      <c r="D1326" s="2" t="s">
        <v>1603</v>
      </c>
      <c r="E1326" s="2" t="s">
        <v>5437</v>
      </c>
      <c r="F1326" s="2" t="b">
        <v>1</v>
      </c>
      <c r="G1326" s="2" t="b">
        <v>0</v>
      </c>
      <c r="H1326" s="2" t="s">
        <v>37</v>
      </c>
      <c r="I1326" s="2" t="s">
        <v>22</v>
      </c>
      <c r="J1326" s="2" t="s">
        <v>1603</v>
      </c>
      <c r="K1326" s="2" t="s">
        <v>495</v>
      </c>
      <c r="L1326" s="13" t="s">
        <v>496</v>
      </c>
      <c r="M1326" s="2" t="s">
        <v>26</v>
      </c>
      <c r="N1326" s="11" t="s">
        <v>576</v>
      </c>
      <c r="O1326" s="12" t="s">
        <v>53</v>
      </c>
      <c r="P1326" s="5" t="str">
        <f>IFERROR(__xludf.DUMMYFUNCTION("TEXTJOIN("" | "",TRUE,IF(OR(D1326="""",E1326="""",I1326="""",J1326="""",H1326=""""),""ফাঁকা ঘর"",""""),IF(AND(C1326&lt;&gt;"""",D1326&lt;&gt;"""",C1326=D1326),""gloss=figurative"",""""),IF(LEN(D1326)&lt;15,""figurative ছোট"",""""),IF(AND(I1326=""Positive"",REGEXMATCH(H1"&amp;"326,""মূর্খ|ভণ্ড|প্রতার|অলস|লোভ|স্বার্থ|অক্ষম|অযোগ্য|বোকা|কৃপণ|হিংস"")),""valence-target অমিল"",""""),IF(COUNTIF($B:$B,B1326)&gt;1,""ডুপ্লিকেট"",""""))"),"figurative ছোট")</f>
        <v>figurative ছোট</v>
      </c>
      <c r="Q1326" s="5" t="str">
        <f t="shared" si="1"/>
        <v>১ আগে দেখো</v>
      </c>
    </row>
    <row r="1327">
      <c r="A1327" s="4">
        <v>6865.0</v>
      </c>
      <c r="B1327" s="2" t="s">
        <v>5438</v>
      </c>
      <c r="C1327" s="2" t="s">
        <v>5439</v>
      </c>
      <c r="D1327" s="2" t="s">
        <v>441</v>
      </c>
      <c r="E1327" s="2" t="s">
        <v>5440</v>
      </c>
      <c r="F1327" s="2" t="b">
        <v>1</v>
      </c>
      <c r="G1327" s="2" t="b">
        <v>0</v>
      </c>
      <c r="H1327" s="2" t="s">
        <v>37</v>
      </c>
      <c r="I1327" s="2" t="s">
        <v>49</v>
      </c>
      <c r="J1327" s="2" t="s">
        <v>441</v>
      </c>
      <c r="K1327" s="2" t="s">
        <v>495</v>
      </c>
      <c r="L1327" s="13" t="s">
        <v>496</v>
      </c>
      <c r="M1327" s="2" t="s">
        <v>26</v>
      </c>
      <c r="N1327" s="11" t="s">
        <v>576</v>
      </c>
      <c r="O1327" s="12" t="s">
        <v>53</v>
      </c>
      <c r="P1327" s="5" t="str">
        <f>IFERROR(__xludf.DUMMYFUNCTION("TEXTJOIN("" | "",TRUE,IF(OR(D1327="""",E1327="""",I1327="""",J1327="""",H1327=""""),""ফাঁকা ঘর"",""""),IF(AND(C1327&lt;&gt;"""",D1327&lt;&gt;"""",C1327=D1327),""gloss=figurative"",""""),IF(LEN(D1327)&lt;15,""figurative ছোট"",""""),IF(AND(I1327=""Positive"",REGEXMATCH(H1"&amp;"327,""মূর্খ|ভণ্ড|প্রতার|অলস|লোভ|স্বার্থ|অক্ষম|অযোগ্য|বোকা|কৃপণ|হিংস"")),""valence-target অমিল"",""""),IF(COUNTIF($B:$B,B1327)&gt;1,""ডুপ্লিকেট"",""""))"),"figurative ছোট")</f>
        <v>figurative ছোট</v>
      </c>
      <c r="Q1327" s="5" t="str">
        <f t="shared" si="1"/>
        <v>১ আগে দেখো</v>
      </c>
    </row>
    <row r="1328">
      <c r="A1328" s="4">
        <v>6866.0</v>
      </c>
      <c r="B1328" s="2" t="s">
        <v>5441</v>
      </c>
      <c r="C1328" s="2" t="s">
        <v>5442</v>
      </c>
      <c r="D1328" s="2" t="s">
        <v>4670</v>
      </c>
      <c r="E1328" s="2" t="s">
        <v>5443</v>
      </c>
      <c r="F1328" s="2" t="b">
        <v>1</v>
      </c>
      <c r="G1328" s="2" t="b">
        <v>0</v>
      </c>
      <c r="H1328" s="2" t="s">
        <v>37</v>
      </c>
      <c r="I1328" s="2" t="s">
        <v>49</v>
      </c>
      <c r="J1328" s="2" t="s">
        <v>4670</v>
      </c>
      <c r="K1328" s="2" t="s">
        <v>495</v>
      </c>
      <c r="L1328" s="13" t="s">
        <v>496</v>
      </c>
      <c r="M1328" s="2" t="s">
        <v>26</v>
      </c>
      <c r="N1328" s="11" t="s">
        <v>576</v>
      </c>
      <c r="O1328" s="12" t="s">
        <v>53</v>
      </c>
      <c r="P1328" s="5" t="str">
        <f>IFERROR(__xludf.DUMMYFUNCTION("TEXTJOIN("" | "",TRUE,IF(OR(D1328="""",E1328="""",I1328="""",J1328="""",H1328=""""),""ফাঁকা ঘর"",""""),IF(AND(C1328&lt;&gt;"""",D1328&lt;&gt;"""",C1328=D1328),""gloss=figurative"",""""),IF(LEN(D1328)&lt;15,""figurative ছোট"",""""),IF(AND(I1328=""Positive"",REGEXMATCH(H1"&amp;"328,""মূর্খ|ভণ্ড|প্রতার|অলস|লোভ|স্বার্থ|অক্ষম|অযোগ্য|বোকা|কৃপণ|হিংস"")),""valence-target অমিল"",""""),IF(COUNTIF($B:$B,B1328)&gt;1,""ডুপ্লিকেট"",""""))"),"figurative ছোট")</f>
        <v>figurative ছোট</v>
      </c>
      <c r="Q1328" s="5" t="str">
        <f t="shared" si="1"/>
        <v>১ আগে দেখো</v>
      </c>
    </row>
    <row r="1329">
      <c r="A1329" s="4">
        <v>6867.0</v>
      </c>
      <c r="B1329" s="2" t="s">
        <v>5444</v>
      </c>
      <c r="C1329" s="2" t="s">
        <v>5445</v>
      </c>
      <c r="D1329" s="2" t="s">
        <v>4349</v>
      </c>
      <c r="E1329" s="2" t="s">
        <v>5446</v>
      </c>
      <c r="F1329" s="2" t="b">
        <v>1</v>
      </c>
      <c r="G1329" s="2" t="b">
        <v>0</v>
      </c>
      <c r="H1329" s="2" t="s">
        <v>4349</v>
      </c>
      <c r="I1329" s="2" t="s">
        <v>22</v>
      </c>
      <c r="J1329" s="2" t="s">
        <v>43</v>
      </c>
      <c r="K1329" s="2" t="s">
        <v>495</v>
      </c>
      <c r="L1329" s="13" t="s">
        <v>496</v>
      </c>
      <c r="M1329" s="2" t="s">
        <v>26</v>
      </c>
      <c r="N1329" s="11" t="s">
        <v>576</v>
      </c>
      <c r="O1329" s="12" t="s">
        <v>53</v>
      </c>
      <c r="P1329" s="5" t="str">
        <f>IFERROR(__xludf.DUMMYFUNCTION("TEXTJOIN("" | "",TRUE,IF(OR(D1329="""",E1329="""",I1329="""",J1329="""",H1329=""""),""ফাঁকা ঘর"",""""),IF(AND(C1329&lt;&gt;"""",D1329&lt;&gt;"""",C1329=D1329),""gloss=figurative"",""""),IF(LEN(D1329)&lt;15,""figurative ছোট"",""""),IF(AND(I1329=""Positive"",REGEXMATCH(H1"&amp;"329,""মূর্খ|ভণ্ড|প্রতার|অলস|লোভ|স্বার্থ|অক্ষম|অযোগ্য|বোকা|কৃপণ|হিংস"")),""valence-target অমিল"",""""),IF(COUNTIF($B:$B,B1329)&gt;1,""ডুপ্লিকেট"",""""))"),"figurative ছোট")</f>
        <v>figurative ছোট</v>
      </c>
      <c r="Q1329" s="5" t="str">
        <f t="shared" si="1"/>
        <v>১ আগে দেখো</v>
      </c>
    </row>
    <row r="1330">
      <c r="A1330" s="4">
        <v>6868.0</v>
      </c>
      <c r="B1330" s="2" t="s">
        <v>5447</v>
      </c>
      <c r="C1330" s="2" t="s">
        <v>5448</v>
      </c>
      <c r="D1330" s="2" t="s">
        <v>5449</v>
      </c>
      <c r="E1330" s="2" t="s">
        <v>5450</v>
      </c>
      <c r="F1330" s="2" t="b">
        <v>1</v>
      </c>
      <c r="G1330" s="2" t="b">
        <v>0</v>
      </c>
      <c r="H1330" s="2" t="s">
        <v>37</v>
      </c>
      <c r="I1330" s="2" t="s">
        <v>22</v>
      </c>
      <c r="J1330" s="2" t="s">
        <v>565</v>
      </c>
      <c r="K1330" s="2" t="s">
        <v>495</v>
      </c>
      <c r="L1330" s="13" t="s">
        <v>496</v>
      </c>
      <c r="M1330" s="2" t="s">
        <v>26</v>
      </c>
      <c r="N1330" s="11" t="s">
        <v>576</v>
      </c>
      <c r="O1330" s="12" t="s">
        <v>53</v>
      </c>
      <c r="P1330" s="5" t="str">
        <f>IFERROR(__xludf.DUMMYFUNCTION("TEXTJOIN("" | "",TRUE,IF(OR(D1330="""",E1330="""",I1330="""",J1330="""",H1330=""""),""ফাঁকা ঘর"",""""),IF(AND(C1330&lt;&gt;"""",D1330&lt;&gt;"""",C1330=D1330),""gloss=figurative"",""""),IF(LEN(D1330)&lt;15,""figurative ছোট"",""""),IF(AND(I1330=""Positive"",REGEXMATCH(H1"&amp;"330,""মূর্খ|ভণ্ড|প্রতার|অলস|লোভ|স্বার্থ|অক্ষম|অযোগ্য|বোকা|কৃপণ|হিংস"")),""valence-target অমিল"",""""),IF(COUNTIF($B:$B,B1330)&gt;1,""ডুপ্লিকেট"",""""))"),"figurative ছোট")</f>
        <v>figurative ছোট</v>
      </c>
      <c r="Q1330" s="5" t="str">
        <f t="shared" si="1"/>
        <v>১ আগে দেখো</v>
      </c>
    </row>
    <row r="1331">
      <c r="A1331" s="4">
        <v>6870.0</v>
      </c>
      <c r="B1331" s="2" t="s">
        <v>5451</v>
      </c>
      <c r="C1331" s="2" t="s">
        <v>5452</v>
      </c>
      <c r="D1331" s="2" t="s">
        <v>5453</v>
      </c>
      <c r="E1331" s="2" t="s">
        <v>5454</v>
      </c>
      <c r="F1331" s="2" t="b">
        <v>1</v>
      </c>
      <c r="G1331" s="2" t="b">
        <v>0</v>
      </c>
      <c r="H1331" s="2" t="s">
        <v>37</v>
      </c>
      <c r="I1331" s="2" t="s">
        <v>32</v>
      </c>
      <c r="J1331" s="2" t="s">
        <v>1249</v>
      </c>
      <c r="K1331" s="2" t="s">
        <v>495</v>
      </c>
      <c r="L1331" s="13" t="s">
        <v>496</v>
      </c>
      <c r="M1331" s="2" t="s">
        <v>26</v>
      </c>
      <c r="N1331" s="11" t="s">
        <v>576</v>
      </c>
      <c r="O1331" s="12" t="s">
        <v>53</v>
      </c>
      <c r="P1331" s="5" t="str">
        <f>IFERROR(__xludf.DUMMYFUNCTION("TEXTJOIN("" | "",TRUE,IF(OR(D1331="""",E1331="""",I1331="""",J1331="""",H1331=""""),""ফাঁকা ঘর"",""""),IF(AND(C1331&lt;&gt;"""",D1331&lt;&gt;"""",C1331=D1331),""gloss=figurative"",""""),IF(LEN(D1331)&lt;15,""figurative ছোট"",""""),IF(AND(I1331=""Positive"",REGEXMATCH(H1"&amp;"331,""মূর্খ|ভণ্ড|প্রতার|অলস|লোভ|স্বার্থ|অক্ষম|অযোগ্য|বোকা|কৃপণ|হিংস"")),""valence-target অমিল"",""""),IF(COUNTIF($B:$B,B1331)&gt;1,""ডুপ্লিকেট"",""""))"),"figurative ছোট")</f>
        <v>figurative ছোট</v>
      </c>
      <c r="Q1331" s="5" t="str">
        <f t="shared" si="1"/>
        <v>১ আগে দেখো</v>
      </c>
    </row>
    <row r="1332">
      <c r="A1332" s="4">
        <v>6871.0</v>
      </c>
      <c r="B1332" s="2" t="s">
        <v>5455</v>
      </c>
      <c r="C1332" s="2" t="s">
        <v>5456</v>
      </c>
      <c r="D1332" s="2" t="s">
        <v>565</v>
      </c>
      <c r="E1332" s="2" t="s">
        <v>5457</v>
      </c>
      <c r="F1332" s="2" t="b">
        <v>1</v>
      </c>
      <c r="G1332" s="2" t="b">
        <v>0</v>
      </c>
      <c r="H1332" s="2" t="s">
        <v>37</v>
      </c>
      <c r="I1332" s="2" t="s">
        <v>49</v>
      </c>
      <c r="J1332" s="2" t="s">
        <v>565</v>
      </c>
      <c r="K1332" s="2" t="s">
        <v>495</v>
      </c>
      <c r="L1332" s="13" t="s">
        <v>496</v>
      </c>
      <c r="M1332" s="2" t="s">
        <v>26</v>
      </c>
      <c r="N1332" s="11" t="s">
        <v>576</v>
      </c>
      <c r="O1332" s="12" t="s">
        <v>53</v>
      </c>
      <c r="P1332" s="5" t="str">
        <f>IFERROR(__xludf.DUMMYFUNCTION("TEXTJOIN("" | "",TRUE,IF(OR(D1332="""",E1332="""",I1332="""",J1332="""",H1332=""""),""ফাঁকা ঘর"",""""),IF(AND(C1332&lt;&gt;"""",D1332&lt;&gt;"""",C1332=D1332),""gloss=figurative"",""""),IF(LEN(D1332)&lt;15,""figurative ছোট"",""""),IF(AND(I1332=""Positive"",REGEXMATCH(H1"&amp;"332,""মূর্খ|ভণ্ড|প্রতার|অলস|লোভ|স্বার্থ|অক্ষম|অযোগ্য|বোকা|কৃপণ|হিংস"")),""valence-target অমিল"",""""),IF(COUNTIF($B:$B,B1332)&gt;1,""ডুপ্লিকেট"",""""))"),"figurative ছোট")</f>
        <v>figurative ছোট</v>
      </c>
      <c r="Q1332" s="5" t="str">
        <f t="shared" si="1"/>
        <v>১ আগে দেখো</v>
      </c>
    </row>
    <row r="1333">
      <c r="A1333" s="4">
        <v>6872.0</v>
      </c>
      <c r="B1333" s="2" t="s">
        <v>5458</v>
      </c>
      <c r="C1333" s="2" t="s">
        <v>5459</v>
      </c>
      <c r="D1333" s="2" t="s">
        <v>924</v>
      </c>
      <c r="E1333" s="2" t="s">
        <v>5460</v>
      </c>
      <c r="F1333" s="2" t="b">
        <v>1</v>
      </c>
      <c r="G1333" s="2" t="b">
        <v>0</v>
      </c>
      <c r="H1333" s="2" t="s">
        <v>37</v>
      </c>
      <c r="I1333" s="2" t="s">
        <v>32</v>
      </c>
      <c r="J1333" s="2" t="s">
        <v>1027</v>
      </c>
      <c r="K1333" s="2" t="s">
        <v>495</v>
      </c>
      <c r="L1333" s="13" t="s">
        <v>496</v>
      </c>
      <c r="M1333" s="2" t="s">
        <v>26</v>
      </c>
      <c r="N1333" s="11" t="s">
        <v>576</v>
      </c>
      <c r="O1333" s="12" t="s">
        <v>53</v>
      </c>
      <c r="P1333" s="5" t="str">
        <f>IFERROR(__xludf.DUMMYFUNCTION("TEXTJOIN("" | "",TRUE,IF(OR(D1333="""",E1333="""",I1333="""",J1333="""",H1333=""""),""ফাঁকা ঘর"",""""),IF(AND(C1333&lt;&gt;"""",D1333&lt;&gt;"""",C1333=D1333),""gloss=figurative"",""""),IF(LEN(D1333)&lt;15,""figurative ছোট"",""""),IF(AND(I1333=""Positive"",REGEXMATCH(H1"&amp;"333,""মূর্খ|ভণ্ড|প্রতার|অলস|লোভ|স্বার্থ|অক্ষম|অযোগ্য|বোকা|কৃপণ|হিংস"")),""valence-target অমিল"",""""),IF(COUNTIF($B:$B,B1333)&gt;1,""ডুপ্লিকেট"",""""))"),"figurative ছোট")</f>
        <v>figurative ছোট</v>
      </c>
      <c r="Q1333" s="5" t="str">
        <f t="shared" si="1"/>
        <v>১ আগে দেখো</v>
      </c>
    </row>
    <row r="1334">
      <c r="A1334" s="4">
        <v>6873.0</v>
      </c>
      <c r="B1334" s="2" t="s">
        <v>5461</v>
      </c>
      <c r="C1334" s="2" t="s">
        <v>5462</v>
      </c>
      <c r="D1334" s="2" t="s">
        <v>891</v>
      </c>
      <c r="E1334" s="2" t="s">
        <v>5463</v>
      </c>
      <c r="F1334" s="2" t="b">
        <v>1</v>
      </c>
      <c r="G1334" s="2" t="b">
        <v>0</v>
      </c>
      <c r="H1334" s="2" t="s">
        <v>37</v>
      </c>
      <c r="I1334" s="2" t="s">
        <v>49</v>
      </c>
      <c r="J1334" s="2" t="s">
        <v>891</v>
      </c>
      <c r="K1334" s="2" t="s">
        <v>495</v>
      </c>
      <c r="L1334" s="13" t="s">
        <v>496</v>
      </c>
      <c r="M1334" s="2" t="s">
        <v>26</v>
      </c>
      <c r="N1334" s="11" t="s">
        <v>5464</v>
      </c>
      <c r="O1334" s="12" t="s">
        <v>53</v>
      </c>
      <c r="P1334" s="5" t="str">
        <f>IFERROR(__xludf.DUMMYFUNCTION("TEXTJOIN("" | "",TRUE,IF(OR(D1334="""",E1334="""",I1334="""",J1334="""",H1334=""""),""ফাঁকা ঘর"",""""),IF(AND(C1334&lt;&gt;"""",D1334&lt;&gt;"""",C1334=D1334),""gloss=figurative"",""""),IF(LEN(D1334)&lt;15,""figurative ছোট"",""""),IF(AND(I1334=""Positive"",REGEXMATCH(H1"&amp;"334,""মূর্খ|ভণ্ড|প্রতার|অলস|লোভ|স্বার্থ|অক্ষম|অযোগ্য|বোকা|কৃপণ|হিংস"")),""valence-target অমিল"",""""),IF(COUNTIF($B:$B,B1334)&gt;1,""ডুপ্লিকেট"",""""))"),"figurative ছোট | ডুপ্লিকেট")</f>
        <v>figurative ছোট | ডুপ্লিকেট</v>
      </c>
      <c r="Q1334" s="5" t="str">
        <f t="shared" si="1"/>
        <v>১ আগে দেখো</v>
      </c>
    </row>
    <row r="1335">
      <c r="A1335" s="4">
        <v>6874.0</v>
      </c>
      <c r="B1335" s="2" t="s">
        <v>5461</v>
      </c>
      <c r="C1335" s="2" t="s">
        <v>5465</v>
      </c>
      <c r="D1335" s="2" t="s">
        <v>4862</v>
      </c>
      <c r="E1335" s="2" t="s">
        <v>5466</v>
      </c>
      <c r="F1335" s="2" t="b">
        <v>1</v>
      </c>
      <c r="G1335" s="2" t="b">
        <v>0</v>
      </c>
      <c r="H1335" s="2" t="s">
        <v>37</v>
      </c>
      <c r="I1335" s="2" t="s">
        <v>49</v>
      </c>
      <c r="J1335" s="2" t="s">
        <v>891</v>
      </c>
      <c r="K1335" s="2" t="s">
        <v>495</v>
      </c>
      <c r="L1335" s="13" t="s">
        <v>496</v>
      </c>
      <c r="M1335" s="2" t="s">
        <v>26</v>
      </c>
      <c r="N1335" s="11" t="s">
        <v>5467</v>
      </c>
      <c r="O1335" s="12" t="s">
        <v>53</v>
      </c>
      <c r="P1335" s="5" t="str">
        <f>IFERROR(__xludf.DUMMYFUNCTION("TEXTJOIN("" | "",TRUE,IF(OR(D1335="""",E1335="""",I1335="""",J1335="""",H1335=""""),""ফাঁকা ঘর"",""""),IF(AND(C1335&lt;&gt;"""",D1335&lt;&gt;"""",C1335=D1335),""gloss=figurative"",""""),IF(LEN(D1335)&lt;15,""figurative ছোট"",""""),IF(AND(I1335=""Positive"",REGEXMATCH(H1"&amp;"335,""মূর্খ|ভণ্ড|প্রতার|অলস|লোভ|স্বার্থ|অক্ষম|অযোগ্য|বোকা|কৃপণ|হিংস"")),""valence-target অমিল"",""""),IF(COUNTIF($B:$B,B1335)&gt;1,""ডুপ্লিকেট"",""""))"),"figurative ছোট | ডুপ্লিকেট")</f>
        <v>figurative ছোট | ডুপ্লিকেট</v>
      </c>
      <c r="Q1335" s="5" t="str">
        <f t="shared" si="1"/>
        <v>১ আগে দেখো</v>
      </c>
    </row>
    <row r="1336">
      <c r="A1336" s="4">
        <v>6875.0</v>
      </c>
      <c r="B1336" s="2" t="s">
        <v>5468</v>
      </c>
      <c r="C1336" s="2" t="s">
        <v>5469</v>
      </c>
      <c r="D1336" s="2" t="s">
        <v>2300</v>
      </c>
      <c r="E1336" s="2" t="s">
        <v>5470</v>
      </c>
      <c r="F1336" s="2" t="b">
        <v>1</v>
      </c>
      <c r="G1336" s="2" t="b">
        <v>0</v>
      </c>
      <c r="H1336" s="2" t="s">
        <v>37</v>
      </c>
      <c r="I1336" s="2" t="s">
        <v>32</v>
      </c>
      <c r="J1336" s="2" t="s">
        <v>1151</v>
      </c>
      <c r="K1336" s="2" t="s">
        <v>495</v>
      </c>
      <c r="L1336" s="13" t="s">
        <v>496</v>
      </c>
      <c r="M1336" s="2" t="s">
        <v>26</v>
      </c>
      <c r="N1336" s="11" t="s">
        <v>576</v>
      </c>
      <c r="O1336" s="12" t="s">
        <v>53</v>
      </c>
      <c r="P1336" s="5" t="str">
        <f>IFERROR(__xludf.DUMMYFUNCTION("TEXTJOIN("" | "",TRUE,IF(OR(D1336="""",E1336="""",I1336="""",J1336="""",H1336=""""),""ফাঁকা ঘর"",""""),IF(AND(C1336&lt;&gt;"""",D1336&lt;&gt;"""",C1336=D1336),""gloss=figurative"",""""),IF(LEN(D1336)&lt;15,""figurative ছোট"",""""),IF(AND(I1336=""Positive"",REGEXMATCH(H1"&amp;"336,""মূর্খ|ভণ্ড|প্রতার|অলস|লোভ|স্বার্থ|অক্ষম|অযোগ্য|বোকা|কৃপণ|হিংস"")),""valence-target অমিল"",""""),IF(COUNTIF($B:$B,B1336)&gt;1,""ডুপ্লিকেট"",""""))"),"figurative ছোট")</f>
        <v>figurative ছোট</v>
      </c>
      <c r="Q1336" s="5" t="str">
        <f t="shared" si="1"/>
        <v>১ আগে দেখো</v>
      </c>
    </row>
    <row r="1337">
      <c r="A1337" s="4">
        <v>6876.0</v>
      </c>
      <c r="B1337" s="2" t="s">
        <v>5471</v>
      </c>
      <c r="C1337" s="2" t="s">
        <v>5472</v>
      </c>
      <c r="D1337" s="2" t="s">
        <v>5473</v>
      </c>
      <c r="E1337" s="2" t="s">
        <v>5474</v>
      </c>
      <c r="F1337" s="2" t="b">
        <v>1</v>
      </c>
      <c r="G1337" s="2" t="b">
        <v>0</v>
      </c>
      <c r="H1337" s="2" t="s">
        <v>37</v>
      </c>
      <c r="I1337" s="2" t="s">
        <v>49</v>
      </c>
      <c r="J1337" s="2" t="s">
        <v>1060</v>
      </c>
      <c r="K1337" s="2" t="s">
        <v>495</v>
      </c>
      <c r="L1337" s="13" t="s">
        <v>496</v>
      </c>
      <c r="M1337" s="2" t="s">
        <v>26</v>
      </c>
      <c r="N1337" s="11" t="s">
        <v>576</v>
      </c>
      <c r="O1337" s="12" t="s">
        <v>53</v>
      </c>
      <c r="P1337" s="5" t="str">
        <f>IFERROR(__xludf.DUMMYFUNCTION("TEXTJOIN("" | "",TRUE,IF(OR(D1337="""",E1337="""",I1337="""",J1337="""",H1337=""""),""ফাঁকা ঘর"",""""),IF(AND(C1337&lt;&gt;"""",D1337&lt;&gt;"""",C1337=D1337),""gloss=figurative"",""""),IF(LEN(D1337)&lt;15,""figurative ছোট"",""""),IF(AND(I1337=""Positive"",REGEXMATCH(H1"&amp;"337,""মূর্খ|ভণ্ড|প্রতার|অলস|লোভ|স্বার্থ|অক্ষম|অযোগ্য|বোকা|কৃপণ|হিংস"")),""valence-target অমিল"",""""),IF(COUNTIF($B:$B,B1337)&gt;1,""ডুপ্লিকেট"",""""))"),"figurative ছোট")</f>
        <v>figurative ছোট</v>
      </c>
      <c r="Q1337" s="5" t="str">
        <f t="shared" si="1"/>
        <v>১ আগে দেখো</v>
      </c>
    </row>
    <row r="1338">
      <c r="A1338" s="4">
        <v>6877.0</v>
      </c>
      <c r="B1338" s="2" t="s">
        <v>5475</v>
      </c>
      <c r="C1338" s="2" t="s">
        <v>5476</v>
      </c>
      <c r="D1338" s="2" t="s">
        <v>3701</v>
      </c>
      <c r="E1338" s="2" t="s">
        <v>5477</v>
      </c>
      <c r="F1338" s="2" t="b">
        <v>1</v>
      </c>
      <c r="G1338" s="2" t="b">
        <v>0</v>
      </c>
      <c r="H1338" s="2" t="s">
        <v>37</v>
      </c>
      <c r="I1338" s="2" t="s">
        <v>49</v>
      </c>
      <c r="J1338" s="2" t="s">
        <v>3701</v>
      </c>
      <c r="K1338" s="2" t="s">
        <v>495</v>
      </c>
      <c r="L1338" s="13" t="s">
        <v>496</v>
      </c>
      <c r="M1338" s="2" t="s">
        <v>26</v>
      </c>
      <c r="N1338" s="11" t="s">
        <v>576</v>
      </c>
      <c r="O1338" s="12" t="s">
        <v>53</v>
      </c>
      <c r="P1338" s="5" t="str">
        <f>IFERROR(__xludf.DUMMYFUNCTION("TEXTJOIN("" | "",TRUE,IF(OR(D1338="""",E1338="""",I1338="""",J1338="""",H1338=""""),""ফাঁকা ঘর"",""""),IF(AND(C1338&lt;&gt;"""",D1338&lt;&gt;"""",C1338=D1338),""gloss=figurative"",""""),IF(LEN(D1338)&lt;15,""figurative ছোট"",""""),IF(AND(I1338=""Positive"",REGEXMATCH(H1"&amp;"338,""মূর্খ|ভণ্ড|প্রতার|অলস|লোভ|স্বার্থ|অক্ষম|অযোগ্য|বোকা|কৃপণ|হিংস"")),""valence-target অমিল"",""""),IF(COUNTIF($B:$B,B1338)&gt;1,""ডুপ্লিকেট"",""""))"),"figurative ছোট")</f>
        <v>figurative ছোট</v>
      </c>
      <c r="Q1338" s="5" t="str">
        <f t="shared" si="1"/>
        <v>১ আগে দেখো</v>
      </c>
    </row>
    <row r="1339">
      <c r="A1339" s="4">
        <v>6878.0</v>
      </c>
      <c r="B1339" s="2" t="s">
        <v>5478</v>
      </c>
      <c r="C1339" s="2" t="s">
        <v>5479</v>
      </c>
      <c r="D1339" s="2" t="s">
        <v>685</v>
      </c>
      <c r="E1339" s="2" t="s">
        <v>5480</v>
      </c>
      <c r="F1339" s="2" t="b">
        <v>1</v>
      </c>
      <c r="G1339" s="2" t="b">
        <v>0</v>
      </c>
      <c r="H1339" s="2" t="s">
        <v>37</v>
      </c>
      <c r="I1339" s="2" t="s">
        <v>32</v>
      </c>
      <c r="J1339" s="2" t="s">
        <v>729</v>
      </c>
      <c r="K1339" s="2" t="s">
        <v>495</v>
      </c>
      <c r="L1339" s="13" t="s">
        <v>496</v>
      </c>
      <c r="M1339" s="2" t="s">
        <v>26</v>
      </c>
      <c r="N1339" s="11" t="s">
        <v>576</v>
      </c>
      <c r="O1339" s="12" t="s">
        <v>53</v>
      </c>
      <c r="P1339" s="5" t="str">
        <f>IFERROR(__xludf.DUMMYFUNCTION("TEXTJOIN("" | "",TRUE,IF(OR(D1339="""",E1339="""",I1339="""",J1339="""",H1339=""""),""ফাঁকা ঘর"",""""),IF(AND(C1339&lt;&gt;"""",D1339&lt;&gt;"""",C1339=D1339),""gloss=figurative"",""""),IF(LEN(D1339)&lt;15,""figurative ছোট"",""""),IF(AND(I1339=""Positive"",REGEXMATCH(H1"&amp;"339,""মূর্খ|ভণ্ড|প্রতার|অলস|লোভ|স্বার্থ|অক্ষম|অযোগ্য|বোকা|কৃপণ|হিংস"")),""valence-target অমিল"",""""),IF(COUNTIF($B:$B,B1339)&gt;1,""ডুপ্লিকেট"",""""))"),"figurative ছোট")</f>
        <v>figurative ছোট</v>
      </c>
      <c r="Q1339" s="5" t="str">
        <f t="shared" si="1"/>
        <v>১ আগে দেখো</v>
      </c>
    </row>
    <row r="1340">
      <c r="A1340" s="4">
        <v>6879.0</v>
      </c>
      <c r="B1340" s="2" t="s">
        <v>5481</v>
      </c>
      <c r="C1340" s="2" t="s">
        <v>5482</v>
      </c>
      <c r="D1340" s="2" t="s">
        <v>820</v>
      </c>
      <c r="E1340" s="2" t="s">
        <v>5483</v>
      </c>
      <c r="F1340" s="2" t="b">
        <v>1</v>
      </c>
      <c r="G1340" s="2" t="b">
        <v>0</v>
      </c>
      <c r="H1340" s="2" t="s">
        <v>1334</v>
      </c>
      <c r="I1340" s="2" t="s">
        <v>22</v>
      </c>
      <c r="J1340" s="2" t="s">
        <v>820</v>
      </c>
      <c r="K1340" s="2" t="s">
        <v>495</v>
      </c>
      <c r="L1340" s="13" t="s">
        <v>496</v>
      </c>
      <c r="M1340" s="2" t="s">
        <v>26</v>
      </c>
      <c r="N1340" s="11" t="s">
        <v>576</v>
      </c>
      <c r="O1340" s="12" t="s">
        <v>53</v>
      </c>
      <c r="P1340" s="5" t="str">
        <f>IFERROR(__xludf.DUMMYFUNCTION("TEXTJOIN("" | "",TRUE,IF(OR(D1340="""",E1340="""",I1340="""",J1340="""",H1340=""""),""ফাঁকা ঘর"",""""),IF(AND(C1340&lt;&gt;"""",D1340&lt;&gt;"""",C1340=D1340),""gloss=figurative"",""""),IF(LEN(D1340)&lt;15,""figurative ছোট"",""""),IF(AND(I1340=""Positive"",REGEXMATCH(H1"&amp;"340,""মূর্খ|ভণ্ড|প্রতার|অলস|লোভ|স্বার্থ|অক্ষম|অযোগ্য|বোকা|কৃপণ|হিংস"")),""valence-target অমিল"",""""),IF(COUNTIF($B:$B,B1340)&gt;1,""ডুপ্লিকেট"",""""))"),"figurative ছোট")</f>
        <v>figurative ছোট</v>
      </c>
      <c r="Q1340" s="5" t="str">
        <f t="shared" si="1"/>
        <v>১ আগে দেখো</v>
      </c>
    </row>
    <row r="1341">
      <c r="A1341" s="4">
        <v>6880.0</v>
      </c>
      <c r="B1341" s="2" t="s">
        <v>5484</v>
      </c>
      <c r="C1341" s="2" t="s">
        <v>5485</v>
      </c>
      <c r="D1341" s="2" t="s">
        <v>708</v>
      </c>
      <c r="E1341" s="2" t="s">
        <v>5486</v>
      </c>
      <c r="F1341" s="2" t="b">
        <v>1</v>
      </c>
      <c r="G1341" s="2" t="b">
        <v>0</v>
      </c>
      <c r="H1341" s="2" t="s">
        <v>37</v>
      </c>
      <c r="I1341" s="2" t="s">
        <v>22</v>
      </c>
      <c r="J1341" s="2" t="s">
        <v>708</v>
      </c>
      <c r="K1341" s="2" t="s">
        <v>495</v>
      </c>
      <c r="L1341" s="13" t="s">
        <v>496</v>
      </c>
      <c r="M1341" s="2" t="s">
        <v>26</v>
      </c>
      <c r="N1341" s="11" t="s">
        <v>576</v>
      </c>
      <c r="O1341" s="12" t="s">
        <v>53</v>
      </c>
      <c r="P1341" s="5" t="str">
        <f>IFERROR(__xludf.DUMMYFUNCTION("TEXTJOIN("" | "",TRUE,IF(OR(D1341="""",E1341="""",I1341="""",J1341="""",H1341=""""),""ফাঁকা ঘর"",""""),IF(AND(C1341&lt;&gt;"""",D1341&lt;&gt;"""",C1341=D1341),""gloss=figurative"",""""),IF(LEN(D1341)&lt;15,""figurative ছোট"",""""),IF(AND(I1341=""Positive"",REGEXMATCH(H1"&amp;"341,""মূর্খ|ভণ্ড|প্রতার|অলস|লোভ|স্বার্থ|অক্ষম|অযোগ্য|বোকা|কৃপণ|হিংস"")),""valence-target অমিল"",""""),IF(COUNTIF($B:$B,B1341)&gt;1,""ডুপ্লিকেট"",""""))"),"figurative ছোট")</f>
        <v>figurative ছোট</v>
      </c>
      <c r="Q1341" s="5" t="str">
        <f t="shared" si="1"/>
        <v>১ আগে দেখো</v>
      </c>
    </row>
    <row r="1342">
      <c r="A1342" s="4">
        <v>6881.0</v>
      </c>
      <c r="B1342" s="2" t="s">
        <v>5487</v>
      </c>
      <c r="C1342" s="2" t="s">
        <v>5488</v>
      </c>
      <c r="D1342" s="2" t="s">
        <v>1895</v>
      </c>
      <c r="E1342" s="2" t="s">
        <v>5489</v>
      </c>
      <c r="F1342" s="2" t="b">
        <v>1</v>
      </c>
      <c r="G1342" s="2" t="b">
        <v>0</v>
      </c>
      <c r="H1342" s="2" t="s">
        <v>37</v>
      </c>
      <c r="I1342" s="2" t="s">
        <v>22</v>
      </c>
      <c r="J1342" s="2" t="s">
        <v>1895</v>
      </c>
      <c r="K1342" s="2" t="s">
        <v>495</v>
      </c>
      <c r="L1342" s="13" t="s">
        <v>496</v>
      </c>
      <c r="M1342" s="2" t="s">
        <v>26</v>
      </c>
      <c r="N1342" s="11" t="s">
        <v>576</v>
      </c>
      <c r="O1342" s="12" t="s">
        <v>53</v>
      </c>
      <c r="P1342" s="5" t="str">
        <f>IFERROR(__xludf.DUMMYFUNCTION("TEXTJOIN("" | "",TRUE,IF(OR(D1342="""",E1342="""",I1342="""",J1342="""",H1342=""""),""ফাঁকা ঘর"",""""),IF(AND(C1342&lt;&gt;"""",D1342&lt;&gt;"""",C1342=D1342),""gloss=figurative"",""""),IF(LEN(D1342)&lt;15,""figurative ছোট"",""""),IF(AND(I1342=""Positive"",REGEXMATCH(H1"&amp;"342,""মূর্খ|ভণ্ড|প্রতার|অলস|লোভ|স্বার্থ|অক্ষম|অযোগ্য|বোকা|কৃপণ|হিংস"")),""valence-target অমিল"",""""),IF(COUNTIF($B:$B,B1342)&gt;1,""ডুপ্লিকেট"",""""))"),"figurative ছোট")</f>
        <v>figurative ছোট</v>
      </c>
      <c r="Q1342" s="5" t="str">
        <f t="shared" si="1"/>
        <v>১ আগে দেখো</v>
      </c>
    </row>
    <row r="1343">
      <c r="A1343" s="4">
        <v>6882.0</v>
      </c>
      <c r="B1343" s="2" t="s">
        <v>5490</v>
      </c>
      <c r="C1343" s="2" t="s">
        <v>5491</v>
      </c>
      <c r="D1343" s="2" t="s">
        <v>3364</v>
      </c>
      <c r="E1343" s="2" t="s">
        <v>5492</v>
      </c>
      <c r="F1343" s="2" t="b">
        <v>1</v>
      </c>
      <c r="G1343" s="2" t="b">
        <v>0</v>
      </c>
      <c r="H1343" s="2" t="s">
        <v>37</v>
      </c>
      <c r="I1343" s="2" t="s">
        <v>49</v>
      </c>
      <c r="J1343" s="2" t="s">
        <v>3364</v>
      </c>
      <c r="K1343" s="2" t="s">
        <v>495</v>
      </c>
      <c r="L1343" s="13" t="s">
        <v>496</v>
      </c>
      <c r="M1343" s="2" t="s">
        <v>26</v>
      </c>
      <c r="N1343" s="11" t="s">
        <v>576</v>
      </c>
      <c r="O1343" s="12" t="s">
        <v>53</v>
      </c>
      <c r="P1343" s="5" t="str">
        <f>IFERROR(__xludf.DUMMYFUNCTION("TEXTJOIN("" | "",TRUE,IF(OR(D1343="""",E1343="""",I1343="""",J1343="""",H1343=""""),""ফাঁকা ঘর"",""""),IF(AND(C1343&lt;&gt;"""",D1343&lt;&gt;"""",C1343=D1343),""gloss=figurative"",""""),IF(LEN(D1343)&lt;15,""figurative ছোট"",""""),IF(AND(I1343=""Positive"",REGEXMATCH(H1"&amp;"343,""মূর্খ|ভণ্ড|প্রতার|অলস|লোভ|স্বার্থ|অক্ষম|অযোগ্য|বোকা|কৃপণ|হিংস"")),""valence-target অমিল"",""""),IF(COUNTIF($B:$B,B1343)&gt;1,""ডুপ্লিকেট"",""""))"),"figurative ছোট")</f>
        <v>figurative ছোট</v>
      </c>
      <c r="Q1343" s="5" t="str">
        <f t="shared" si="1"/>
        <v>১ আগে দেখো</v>
      </c>
    </row>
    <row r="1344">
      <c r="A1344" s="4">
        <v>6883.0</v>
      </c>
      <c r="B1344" s="2" t="s">
        <v>5493</v>
      </c>
      <c r="C1344" s="2" t="s">
        <v>5494</v>
      </c>
      <c r="D1344" s="2" t="s">
        <v>5495</v>
      </c>
      <c r="E1344" s="2" t="s">
        <v>5496</v>
      </c>
      <c r="F1344" s="2" t="b">
        <v>1</v>
      </c>
      <c r="G1344" s="2" t="b">
        <v>1</v>
      </c>
      <c r="H1344" s="2" t="s">
        <v>4226</v>
      </c>
      <c r="I1344" s="2" t="s">
        <v>32</v>
      </c>
      <c r="J1344" s="2" t="s">
        <v>3327</v>
      </c>
      <c r="K1344" s="2" t="s">
        <v>495</v>
      </c>
      <c r="L1344" s="13" t="s">
        <v>496</v>
      </c>
      <c r="M1344" s="2" t="s">
        <v>26</v>
      </c>
      <c r="N1344" s="11" t="s">
        <v>576</v>
      </c>
      <c r="O1344" s="12" t="s">
        <v>53</v>
      </c>
      <c r="P1344" s="5" t="str">
        <f>IFERROR(__xludf.DUMMYFUNCTION("TEXTJOIN("" | "",TRUE,IF(OR(D1344="""",E1344="""",I1344="""",J1344="""",H1344=""""),""ফাঁকা ঘর"",""""),IF(AND(C1344&lt;&gt;"""",D1344&lt;&gt;"""",C1344=D1344),""gloss=figurative"",""""),IF(LEN(D1344)&lt;15,""figurative ছোট"",""""),IF(AND(I1344=""Positive"",REGEXMATCH(H1"&amp;"344,""মূর্খ|ভণ্ড|প্রতার|অলস|লোভ|স্বার্থ|অক্ষম|অযোগ্য|বোকা|কৃপণ|হিংস"")),""valence-target অমিল"",""""),IF(COUNTIF($B:$B,B1344)&gt;1,""ডুপ্লিকেট"",""""))"),"figurative ছোট")</f>
        <v>figurative ছোট</v>
      </c>
      <c r="Q1344" s="5" t="str">
        <f t="shared" si="1"/>
        <v>১ আগে দেখো</v>
      </c>
    </row>
    <row r="1345">
      <c r="A1345" s="4">
        <v>6884.0</v>
      </c>
      <c r="B1345" s="2" t="s">
        <v>5497</v>
      </c>
      <c r="C1345" s="2" t="s">
        <v>5498</v>
      </c>
      <c r="D1345" s="2" t="s">
        <v>4617</v>
      </c>
      <c r="E1345" s="2" t="s">
        <v>5499</v>
      </c>
      <c r="F1345" s="2" t="b">
        <v>1</v>
      </c>
      <c r="G1345" s="2" t="b">
        <v>0</v>
      </c>
      <c r="H1345" s="2" t="s">
        <v>37</v>
      </c>
      <c r="I1345" s="2" t="s">
        <v>49</v>
      </c>
      <c r="J1345" s="2" t="s">
        <v>4617</v>
      </c>
      <c r="K1345" s="2" t="s">
        <v>495</v>
      </c>
      <c r="L1345" s="13" t="s">
        <v>496</v>
      </c>
      <c r="M1345" s="2" t="s">
        <v>26</v>
      </c>
      <c r="N1345" s="11" t="s">
        <v>5500</v>
      </c>
      <c r="O1345" s="12" t="s">
        <v>53</v>
      </c>
      <c r="P1345" s="5" t="str">
        <f>IFERROR(__xludf.DUMMYFUNCTION("TEXTJOIN("" | "",TRUE,IF(OR(D1345="""",E1345="""",I1345="""",J1345="""",H1345=""""),""ফাঁকা ঘর"",""""),IF(AND(C1345&lt;&gt;"""",D1345&lt;&gt;"""",C1345=D1345),""gloss=figurative"",""""),IF(LEN(D1345)&lt;15,""figurative ছোট"",""""),IF(AND(I1345=""Positive"",REGEXMATCH(H1"&amp;"345,""মূর্খ|ভণ্ড|প্রতার|অলস|লোভ|স্বার্থ|অক্ষম|অযোগ্য|বোকা|কৃপণ|হিংস"")),""valence-target অমিল"",""""),IF(COUNTIF($B:$B,B1345)&gt;1,""ডুপ্লিকেট"",""""))"),"figurative ছোট")</f>
        <v>figurative ছোট</v>
      </c>
      <c r="Q1345" s="5" t="str">
        <f t="shared" si="1"/>
        <v>১ আগে দেখো</v>
      </c>
    </row>
    <row r="1346">
      <c r="A1346" s="4">
        <v>6885.0</v>
      </c>
      <c r="B1346" s="2" t="s">
        <v>5501</v>
      </c>
      <c r="C1346" s="2" t="s">
        <v>5502</v>
      </c>
      <c r="D1346" s="2" t="s">
        <v>4088</v>
      </c>
      <c r="E1346" s="2" t="s">
        <v>5503</v>
      </c>
      <c r="F1346" s="2" t="b">
        <v>1</v>
      </c>
      <c r="G1346" s="2" t="b">
        <v>0</v>
      </c>
      <c r="H1346" s="2" t="s">
        <v>37</v>
      </c>
      <c r="I1346" s="2" t="s">
        <v>49</v>
      </c>
      <c r="J1346" s="2" t="s">
        <v>4617</v>
      </c>
      <c r="K1346" s="2" t="s">
        <v>495</v>
      </c>
      <c r="L1346" s="13" t="s">
        <v>496</v>
      </c>
      <c r="M1346" s="2" t="s">
        <v>26</v>
      </c>
      <c r="N1346" s="11" t="s">
        <v>5500</v>
      </c>
      <c r="O1346" s="12" t="s">
        <v>53</v>
      </c>
      <c r="P1346" s="5" t="str">
        <f>IFERROR(__xludf.DUMMYFUNCTION("TEXTJOIN("" | "",TRUE,IF(OR(D1346="""",E1346="""",I1346="""",J1346="""",H1346=""""),""ফাঁকা ঘর"",""""),IF(AND(C1346&lt;&gt;"""",D1346&lt;&gt;"""",C1346=D1346),""gloss=figurative"",""""),IF(LEN(D1346)&lt;15,""figurative ছোট"",""""),IF(AND(I1346=""Positive"",REGEXMATCH(H1"&amp;"346,""মূর্খ|ভণ্ড|প্রতার|অলস|লোভ|স্বার্থ|অক্ষম|অযোগ্য|বোকা|কৃপণ|হিংস"")),""valence-target অমিল"",""""),IF(COUNTIF($B:$B,B1346)&gt;1,""ডুপ্লিকেট"",""""))"),"figurative ছোট")</f>
        <v>figurative ছোট</v>
      </c>
      <c r="Q1346" s="5" t="str">
        <f t="shared" si="1"/>
        <v>১ আগে দেখো</v>
      </c>
    </row>
    <row r="1347">
      <c r="A1347" s="4">
        <v>6886.0</v>
      </c>
      <c r="B1347" s="2" t="s">
        <v>5504</v>
      </c>
      <c r="C1347" s="2" t="s">
        <v>5505</v>
      </c>
      <c r="D1347" s="2" t="s">
        <v>756</v>
      </c>
      <c r="E1347" s="2" t="s">
        <v>5506</v>
      </c>
      <c r="F1347" s="2" t="b">
        <v>1</v>
      </c>
      <c r="G1347" s="2" t="b">
        <v>0</v>
      </c>
      <c r="H1347" s="2" t="s">
        <v>756</v>
      </c>
      <c r="I1347" s="2" t="s">
        <v>22</v>
      </c>
      <c r="J1347" s="2" t="s">
        <v>1630</v>
      </c>
      <c r="K1347" s="2" t="s">
        <v>495</v>
      </c>
      <c r="L1347" s="13" t="s">
        <v>496</v>
      </c>
      <c r="M1347" s="2" t="s">
        <v>26</v>
      </c>
      <c r="N1347" s="11" t="s">
        <v>576</v>
      </c>
      <c r="O1347" s="12" t="s">
        <v>53</v>
      </c>
      <c r="P1347" s="5" t="str">
        <f>IFERROR(__xludf.DUMMYFUNCTION("TEXTJOIN("" | "",TRUE,IF(OR(D1347="""",E1347="""",I1347="""",J1347="""",H1347=""""),""ফাঁকা ঘর"",""""),IF(AND(C1347&lt;&gt;"""",D1347&lt;&gt;"""",C1347=D1347),""gloss=figurative"",""""),IF(LEN(D1347)&lt;15,""figurative ছোট"",""""),IF(AND(I1347=""Positive"",REGEXMATCH(H1"&amp;"347,""মূর্খ|ভণ্ড|প্রতার|অলস|লোভ|স্বার্থ|অক্ষম|অযোগ্য|বোকা|কৃপণ|হিংস"")),""valence-target অমিল"",""""),IF(COUNTIF($B:$B,B1347)&gt;1,""ডুপ্লিকেট"",""""))"),"figurative ছোট")</f>
        <v>figurative ছোট</v>
      </c>
      <c r="Q1347" s="5" t="str">
        <f t="shared" si="1"/>
        <v>১ আগে দেখো</v>
      </c>
    </row>
    <row r="1348">
      <c r="A1348" s="4">
        <v>6887.0</v>
      </c>
      <c r="B1348" s="2" t="s">
        <v>5507</v>
      </c>
      <c r="C1348" s="2" t="s">
        <v>5508</v>
      </c>
      <c r="D1348" s="2" t="s">
        <v>2240</v>
      </c>
      <c r="E1348" s="2" t="s">
        <v>5509</v>
      </c>
      <c r="F1348" s="2" t="b">
        <v>1</v>
      </c>
      <c r="G1348" s="2" t="b">
        <v>0</v>
      </c>
      <c r="H1348" s="2" t="s">
        <v>37</v>
      </c>
      <c r="I1348" s="2" t="s">
        <v>49</v>
      </c>
      <c r="J1348" s="2" t="s">
        <v>2240</v>
      </c>
      <c r="K1348" s="2" t="s">
        <v>495</v>
      </c>
      <c r="L1348" s="13" t="s">
        <v>496</v>
      </c>
      <c r="M1348" s="2" t="s">
        <v>26</v>
      </c>
      <c r="N1348" s="11" t="s">
        <v>576</v>
      </c>
      <c r="O1348" s="12" t="s">
        <v>53</v>
      </c>
      <c r="P1348" s="5" t="str">
        <f>IFERROR(__xludf.DUMMYFUNCTION("TEXTJOIN("" | "",TRUE,IF(OR(D1348="""",E1348="""",I1348="""",J1348="""",H1348=""""),""ফাঁকা ঘর"",""""),IF(AND(C1348&lt;&gt;"""",D1348&lt;&gt;"""",C1348=D1348),""gloss=figurative"",""""),IF(LEN(D1348)&lt;15,""figurative ছোট"",""""),IF(AND(I1348=""Positive"",REGEXMATCH(H1"&amp;"348,""মূর্খ|ভণ্ড|প্রতার|অলস|লোভ|স্বার্থ|অক্ষম|অযোগ্য|বোকা|কৃপণ|হিংস"")),""valence-target অমিল"",""""),IF(COUNTIF($B:$B,B1348)&gt;1,""ডুপ্লিকেট"",""""))"),"figurative ছোট")</f>
        <v>figurative ছোট</v>
      </c>
      <c r="Q1348" s="5" t="str">
        <f t="shared" si="1"/>
        <v>১ আগে দেখো</v>
      </c>
    </row>
    <row r="1349">
      <c r="A1349" s="4">
        <v>6888.0</v>
      </c>
      <c r="B1349" s="2" t="s">
        <v>5510</v>
      </c>
      <c r="C1349" s="2" t="s">
        <v>5511</v>
      </c>
      <c r="D1349" s="2" t="s">
        <v>1111</v>
      </c>
      <c r="E1349" s="2" t="s">
        <v>5512</v>
      </c>
      <c r="F1349" s="2" t="b">
        <v>1</v>
      </c>
      <c r="G1349" s="2" t="b">
        <v>0</v>
      </c>
      <c r="H1349" s="2" t="s">
        <v>37</v>
      </c>
      <c r="I1349" s="2" t="s">
        <v>49</v>
      </c>
      <c r="J1349" s="2" t="s">
        <v>1111</v>
      </c>
      <c r="K1349" s="2" t="s">
        <v>495</v>
      </c>
      <c r="L1349" s="13" t="s">
        <v>496</v>
      </c>
      <c r="M1349" s="2" t="s">
        <v>26</v>
      </c>
      <c r="N1349" s="11" t="s">
        <v>576</v>
      </c>
      <c r="O1349" s="12" t="s">
        <v>53</v>
      </c>
      <c r="P1349" s="5" t="str">
        <f>IFERROR(__xludf.DUMMYFUNCTION("TEXTJOIN("" | "",TRUE,IF(OR(D1349="""",E1349="""",I1349="""",J1349="""",H1349=""""),""ফাঁকা ঘর"",""""),IF(AND(C1349&lt;&gt;"""",D1349&lt;&gt;"""",C1349=D1349),""gloss=figurative"",""""),IF(LEN(D1349)&lt;15,""figurative ছোট"",""""),IF(AND(I1349=""Positive"",REGEXMATCH(H1"&amp;"349,""মূর্খ|ভণ্ড|প্রতার|অলস|লোভ|স্বার্থ|অক্ষম|অযোগ্য|বোকা|কৃপণ|হিংস"")),""valence-target অমিল"",""""),IF(COUNTIF($B:$B,B1349)&gt;1,""ডুপ্লিকেট"",""""))"),"figurative ছোট")</f>
        <v>figurative ছোট</v>
      </c>
      <c r="Q1349" s="5" t="str">
        <f t="shared" si="1"/>
        <v>১ আগে দেখো</v>
      </c>
    </row>
    <row r="1350">
      <c r="A1350" s="4">
        <v>6889.0</v>
      </c>
      <c r="B1350" s="2" t="s">
        <v>5513</v>
      </c>
      <c r="C1350" s="2" t="s">
        <v>5514</v>
      </c>
      <c r="D1350" s="2" t="s">
        <v>739</v>
      </c>
      <c r="E1350" s="2" t="s">
        <v>5515</v>
      </c>
      <c r="F1350" s="2" t="b">
        <v>1</v>
      </c>
      <c r="G1350" s="2" t="b">
        <v>0</v>
      </c>
      <c r="H1350" s="2" t="s">
        <v>37</v>
      </c>
      <c r="I1350" s="2" t="s">
        <v>49</v>
      </c>
      <c r="J1350" s="2" t="s">
        <v>739</v>
      </c>
      <c r="K1350" s="2" t="s">
        <v>495</v>
      </c>
      <c r="L1350" s="13" t="s">
        <v>496</v>
      </c>
      <c r="M1350" s="2" t="s">
        <v>26</v>
      </c>
      <c r="N1350" s="11" t="s">
        <v>576</v>
      </c>
      <c r="O1350" s="12" t="s">
        <v>53</v>
      </c>
      <c r="P1350" s="5" t="str">
        <f>IFERROR(__xludf.DUMMYFUNCTION("TEXTJOIN("" | "",TRUE,IF(OR(D1350="""",E1350="""",I1350="""",J1350="""",H1350=""""),""ফাঁকা ঘর"",""""),IF(AND(C1350&lt;&gt;"""",D1350&lt;&gt;"""",C1350=D1350),""gloss=figurative"",""""),IF(LEN(D1350)&lt;15,""figurative ছোট"",""""),IF(AND(I1350=""Positive"",REGEXMATCH(H1"&amp;"350,""মূর্খ|ভণ্ড|প্রতার|অলস|লোভ|স্বার্থ|অক্ষম|অযোগ্য|বোকা|কৃপণ|হিংস"")),""valence-target অমিল"",""""),IF(COUNTIF($B:$B,B1350)&gt;1,""ডুপ্লিকেট"",""""))"),"figurative ছোট")</f>
        <v>figurative ছোট</v>
      </c>
      <c r="Q1350" s="5" t="str">
        <f t="shared" si="1"/>
        <v>১ আগে দেখো</v>
      </c>
    </row>
    <row r="1351">
      <c r="A1351" s="4">
        <v>6890.0</v>
      </c>
      <c r="B1351" s="2" t="s">
        <v>5516</v>
      </c>
      <c r="C1351" s="2" t="s">
        <v>5517</v>
      </c>
      <c r="D1351" s="2" t="s">
        <v>939</v>
      </c>
      <c r="E1351" s="2" t="s">
        <v>5518</v>
      </c>
      <c r="F1351" s="2" t="b">
        <v>1</v>
      </c>
      <c r="G1351" s="2" t="b">
        <v>0</v>
      </c>
      <c r="H1351" s="2" t="s">
        <v>37</v>
      </c>
      <c r="I1351" s="2" t="s">
        <v>49</v>
      </c>
      <c r="J1351" s="2" t="s">
        <v>739</v>
      </c>
      <c r="K1351" s="2" t="s">
        <v>495</v>
      </c>
      <c r="L1351" s="13" t="s">
        <v>496</v>
      </c>
      <c r="M1351" s="2" t="s">
        <v>26</v>
      </c>
      <c r="N1351" s="11" t="s">
        <v>576</v>
      </c>
      <c r="O1351" s="12" t="s">
        <v>53</v>
      </c>
      <c r="P1351" s="5" t="str">
        <f>IFERROR(__xludf.DUMMYFUNCTION("TEXTJOIN("" | "",TRUE,IF(OR(D1351="""",E1351="""",I1351="""",J1351="""",H1351=""""),""ফাঁকা ঘর"",""""),IF(AND(C1351&lt;&gt;"""",D1351&lt;&gt;"""",C1351=D1351),""gloss=figurative"",""""),IF(LEN(D1351)&lt;15,""figurative ছোট"",""""),IF(AND(I1351=""Positive"",REGEXMATCH(H1"&amp;"351,""মূর্খ|ভণ্ড|প্রতার|অলস|লোভ|স্বার্থ|অক্ষম|অযোগ্য|বোকা|কৃপণ|হিংস"")),""valence-target অমিল"",""""),IF(COUNTIF($B:$B,B1351)&gt;1,""ডুপ্লিকেট"",""""))"),"figurative ছোট")</f>
        <v>figurative ছোট</v>
      </c>
      <c r="Q1351" s="5" t="str">
        <f t="shared" si="1"/>
        <v>১ আগে দেখো</v>
      </c>
    </row>
    <row r="1352">
      <c r="A1352" s="4">
        <v>6891.0</v>
      </c>
      <c r="B1352" s="2" t="s">
        <v>5519</v>
      </c>
      <c r="C1352" s="2" t="s">
        <v>5520</v>
      </c>
      <c r="D1352" s="2" t="s">
        <v>1686</v>
      </c>
      <c r="E1352" s="2" t="s">
        <v>5521</v>
      </c>
      <c r="F1352" s="2" t="b">
        <v>1</v>
      </c>
      <c r="G1352" s="2" t="b">
        <v>0</v>
      </c>
      <c r="H1352" s="2" t="s">
        <v>37</v>
      </c>
      <c r="I1352" s="2" t="s">
        <v>22</v>
      </c>
      <c r="J1352" s="2" t="s">
        <v>1686</v>
      </c>
      <c r="K1352" s="2" t="s">
        <v>495</v>
      </c>
      <c r="L1352" s="13" t="s">
        <v>496</v>
      </c>
      <c r="M1352" s="2" t="s">
        <v>26</v>
      </c>
      <c r="N1352" s="11" t="s">
        <v>576</v>
      </c>
      <c r="O1352" s="12" t="s">
        <v>53</v>
      </c>
      <c r="P1352" s="5" t="str">
        <f>IFERROR(__xludf.DUMMYFUNCTION("TEXTJOIN("" | "",TRUE,IF(OR(D1352="""",E1352="""",I1352="""",J1352="""",H1352=""""),""ফাঁকা ঘর"",""""),IF(AND(C1352&lt;&gt;"""",D1352&lt;&gt;"""",C1352=D1352),""gloss=figurative"",""""),IF(LEN(D1352)&lt;15,""figurative ছোট"",""""),IF(AND(I1352=""Positive"",REGEXMATCH(H1"&amp;"352,""মূর্খ|ভণ্ড|প্রতার|অলস|লোভ|স্বার্থ|অক্ষম|অযোগ্য|বোকা|কৃপণ|হিংস"")),""valence-target অমিল"",""""),IF(COUNTIF($B:$B,B1352)&gt;1,""ডুপ্লিকেট"",""""))"),"figurative ছোট")</f>
        <v>figurative ছোট</v>
      </c>
      <c r="Q1352" s="5" t="str">
        <f t="shared" si="1"/>
        <v>১ আগে দেখো</v>
      </c>
    </row>
    <row r="1353">
      <c r="A1353" s="4">
        <v>6892.0</v>
      </c>
      <c r="B1353" s="2" t="s">
        <v>5522</v>
      </c>
      <c r="C1353" s="2" t="s">
        <v>5523</v>
      </c>
      <c r="D1353" s="2" t="s">
        <v>5524</v>
      </c>
      <c r="E1353" s="2" t="s">
        <v>5525</v>
      </c>
      <c r="F1353" s="2" t="b">
        <v>1</v>
      </c>
      <c r="G1353" s="2" t="b">
        <v>0</v>
      </c>
      <c r="H1353" s="2" t="s">
        <v>37</v>
      </c>
      <c r="I1353" s="2" t="s">
        <v>49</v>
      </c>
      <c r="J1353" s="2" t="s">
        <v>5524</v>
      </c>
      <c r="K1353" s="2" t="s">
        <v>495</v>
      </c>
      <c r="L1353" s="13" t="s">
        <v>496</v>
      </c>
      <c r="M1353" s="2" t="s">
        <v>26</v>
      </c>
      <c r="N1353" s="11" t="s">
        <v>576</v>
      </c>
      <c r="O1353" s="12" t="s">
        <v>53</v>
      </c>
      <c r="P1353" s="5" t="str">
        <f>IFERROR(__xludf.DUMMYFUNCTION("TEXTJOIN("" | "",TRUE,IF(OR(D1353="""",E1353="""",I1353="""",J1353="""",H1353=""""),""ফাঁকা ঘর"",""""),IF(AND(C1353&lt;&gt;"""",D1353&lt;&gt;"""",C1353=D1353),""gloss=figurative"",""""),IF(LEN(D1353)&lt;15,""figurative ছোট"",""""),IF(AND(I1353=""Positive"",REGEXMATCH(H1"&amp;"353,""মূর্খ|ভণ্ড|প্রতার|অলস|লোভ|স্বার্থ|অক্ষম|অযোগ্য|বোকা|কৃপণ|হিংস"")),""valence-target অমিল"",""""),IF(COUNTIF($B:$B,B1353)&gt;1,""ডুপ্লিকেট"",""""))"),"figurative ছোট")</f>
        <v>figurative ছোট</v>
      </c>
      <c r="Q1353" s="5" t="str">
        <f t="shared" si="1"/>
        <v>১ আগে দেখো</v>
      </c>
    </row>
    <row r="1354">
      <c r="A1354" s="4">
        <v>6893.0</v>
      </c>
      <c r="B1354" s="2" t="s">
        <v>5526</v>
      </c>
      <c r="C1354" s="2" t="s">
        <v>5527</v>
      </c>
      <c r="D1354" s="2" t="s">
        <v>5528</v>
      </c>
      <c r="E1354" s="2" t="s">
        <v>5529</v>
      </c>
      <c r="F1354" s="2" t="b">
        <v>1</v>
      </c>
      <c r="G1354" s="2" t="b">
        <v>0</v>
      </c>
      <c r="H1354" s="2" t="s">
        <v>37</v>
      </c>
      <c r="I1354" s="2" t="s">
        <v>49</v>
      </c>
      <c r="J1354" s="2" t="s">
        <v>3156</v>
      </c>
      <c r="K1354" s="2" t="s">
        <v>495</v>
      </c>
      <c r="L1354" s="13" t="s">
        <v>496</v>
      </c>
      <c r="M1354" s="2" t="s">
        <v>26</v>
      </c>
      <c r="N1354" s="11" t="s">
        <v>576</v>
      </c>
      <c r="O1354" s="12" t="s">
        <v>53</v>
      </c>
      <c r="P1354" s="5" t="str">
        <f>IFERROR(__xludf.DUMMYFUNCTION("TEXTJOIN("" | "",TRUE,IF(OR(D1354="""",E1354="""",I1354="""",J1354="""",H1354=""""),""ফাঁকা ঘর"",""""),IF(AND(C1354&lt;&gt;"""",D1354&lt;&gt;"""",C1354=D1354),""gloss=figurative"",""""),IF(LEN(D1354)&lt;15,""figurative ছোট"",""""),IF(AND(I1354=""Positive"",REGEXMATCH(H1"&amp;"354,""মূর্খ|ভণ্ড|প্রতার|অলস|লোভ|স্বার্থ|অক্ষম|অযোগ্য|বোকা|কৃপণ|হিংস"")),""valence-target অমিল"",""""),IF(COUNTIF($B:$B,B1354)&gt;1,""ডুপ্লিকেট"",""""))"),"figurative ছোট")</f>
        <v>figurative ছোট</v>
      </c>
      <c r="Q1354" s="5" t="str">
        <f t="shared" si="1"/>
        <v>১ আগে দেখো</v>
      </c>
    </row>
    <row r="1355">
      <c r="A1355" s="4">
        <v>6894.0</v>
      </c>
      <c r="B1355" s="2" t="s">
        <v>5530</v>
      </c>
      <c r="C1355" s="2" t="s">
        <v>5531</v>
      </c>
      <c r="D1355" s="2" t="s">
        <v>1603</v>
      </c>
      <c r="E1355" s="2" t="s">
        <v>5532</v>
      </c>
      <c r="F1355" s="2" t="b">
        <v>1</v>
      </c>
      <c r="G1355" s="2" t="b">
        <v>0</v>
      </c>
      <c r="H1355" s="2" t="s">
        <v>37</v>
      </c>
      <c r="I1355" s="2" t="s">
        <v>22</v>
      </c>
      <c r="J1355" s="2" t="s">
        <v>1603</v>
      </c>
      <c r="K1355" s="2" t="s">
        <v>495</v>
      </c>
      <c r="L1355" s="13" t="s">
        <v>496</v>
      </c>
      <c r="M1355" s="2" t="s">
        <v>26</v>
      </c>
      <c r="N1355" s="11" t="s">
        <v>576</v>
      </c>
      <c r="O1355" s="12" t="s">
        <v>53</v>
      </c>
      <c r="P1355" s="5" t="str">
        <f>IFERROR(__xludf.DUMMYFUNCTION("TEXTJOIN("" | "",TRUE,IF(OR(D1355="""",E1355="""",I1355="""",J1355="""",H1355=""""),""ফাঁকা ঘর"",""""),IF(AND(C1355&lt;&gt;"""",D1355&lt;&gt;"""",C1355=D1355),""gloss=figurative"",""""),IF(LEN(D1355)&lt;15,""figurative ছোট"",""""),IF(AND(I1355=""Positive"",REGEXMATCH(H1"&amp;"355,""মূর্খ|ভণ্ড|প্রতার|অলস|লোভ|স্বার্থ|অক্ষম|অযোগ্য|বোকা|কৃপণ|হিংস"")),""valence-target অমিল"",""""),IF(COUNTIF($B:$B,B1355)&gt;1,""ডুপ্লিকেট"",""""))"),"figurative ছোট")</f>
        <v>figurative ছোট</v>
      </c>
      <c r="Q1355" s="5" t="str">
        <f t="shared" si="1"/>
        <v>১ আগে দেখো</v>
      </c>
    </row>
    <row r="1356">
      <c r="A1356" s="4">
        <v>6895.0</v>
      </c>
      <c r="B1356" s="2" t="s">
        <v>5533</v>
      </c>
      <c r="C1356" s="2" t="s">
        <v>5534</v>
      </c>
      <c r="D1356" s="2" t="s">
        <v>4374</v>
      </c>
      <c r="E1356" s="2" t="s">
        <v>5535</v>
      </c>
      <c r="F1356" s="2" t="b">
        <v>1</v>
      </c>
      <c r="G1356" s="2" t="b">
        <v>0</v>
      </c>
      <c r="H1356" s="2" t="s">
        <v>37</v>
      </c>
      <c r="I1356" s="2" t="s">
        <v>22</v>
      </c>
      <c r="J1356" s="2" t="s">
        <v>4374</v>
      </c>
      <c r="K1356" s="2" t="s">
        <v>495</v>
      </c>
      <c r="L1356" s="13" t="s">
        <v>496</v>
      </c>
      <c r="M1356" s="2" t="s">
        <v>26</v>
      </c>
      <c r="N1356" s="11" t="s">
        <v>576</v>
      </c>
      <c r="O1356" s="12" t="s">
        <v>53</v>
      </c>
      <c r="P1356" s="5" t="str">
        <f>IFERROR(__xludf.DUMMYFUNCTION("TEXTJOIN("" | "",TRUE,IF(OR(D1356="""",E1356="""",I1356="""",J1356="""",H1356=""""),""ফাঁকা ঘর"",""""),IF(AND(C1356&lt;&gt;"""",D1356&lt;&gt;"""",C1356=D1356),""gloss=figurative"",""""),IF(LEN(D1356)&lt;15,""figurative ছোট"",""""),IF(AND(I1356=""Positive"",REGEXMATCH(H1"&amp;"356,""মূর্খ|ভণ্ড|প্রতার|অলস|লোভ|স্বার্থ|অক্ষম|অযোগ্য|বোকা|কৃপণ|হিংস"")),""valence-target অমিল"",""""),IF(COUNTIF($B:$B,B1356)&gt;1,""ডুপ্লিকেট"",""""))"),"figurative ছোট")</f>
        <v>figurative ছোট</v>
      </c>
      <c r="Q1356" s="5" t="str">
        <f t="shared" si="1"/>
        <v>১ আগে দেখো</v>
      </c>
    </row>
    <row r="1357">
      <c r="A1357" s="4">
        <v>6896.0</v>
      </c>
      <c r="B1357" s="2" t="s">
        <v>5536</v>
      </c>
      <c r="C1357" s="2" t="s">
        <v>5537</v>
      </c>
      <c r="D1357" s="2" t="s">
        <v>5538</v>
      </c>
      <c r="E1357" s="2" t="s">
        <v>5539</v>
      </c>
      <c r="F1357" s="2" t="b">
        <v>1</v>
      </c>
      <c r="G1357" s="2" t="b">
        <v>0</v>
      </c>
      <c r="H1357" s="2" t="s">
        <v>37</v>
      </c>
      <c r="I1357" s="2" t="s">
        <v>49</v>
      </c>
      <c r="J1357" s="2" t="s">
        <v>565</v>
      </c>
      <c r="K1357" s="2" t="s">
        <v>495</v>
      </c>
      <c r="L1357" s="13" t="s">
        <v>496</v>
      </c>
      <c r="M1357" s="2" t="s">
        <v>26</v>
      </c>
      <c r="N1357" s="11" t="s">
        <v>576</v>
      </c>
      <c r="O1357" s="12" t="s">
        <v>53</v>
      </c>
      <c r="P1357" s="5" t="str">
        <f>IFERROR(__xludf.DUMMYFUNCTION("TEXTJOIN("" | "",TRUE,IF(OR(D1357="""",E1357="""",I1357="""",J1357="""",H1357=""""),""ফাঁকা ঘর"",""""),IF(AND(C1357&lt;&gt;"""",D1357&lt;&gt;"""",C1357=D1357),""gloss=figurative"",""""),IF(LEN(D1357)&lt;15,""figurative ছোট"",""""),IF(AND(I1357=""Positive"",REGEXMATCH(H1"&amp;"357,""মূর্খ|ভণ্ড|প্রতার|অলস|লোভ|স্বার্থ|অক্ষম|অযোগ্য|বোকা|কৃপণ|হিংস"")),""valence-target অমিল"",""""),IF(COUNTIF($B:$B,B1357)&gt;1,""ডুপ্লিকেট"",""""))"),"figurative ছোট")</f>
        <v>figurative ছোট</v>
      </c>
      <c r="Q1357" s="5" t="str">
        <f t="shared" si="1"/>
        <v>১ আগে দেখো</v>
      </c>
    </row>
    <row r="1358">
      <c r="A1358" s="4">
        <v>6897.0</v>
      </c>
      <c r="B1358" s="2" t="s">
        <v>5540</v>
      </c>
      <c r="C1358" s="2" t="s">
        <v>5541</v>
      </c>
      <c r="D1358" s="2" t="s">
        <v>2869</v>
      </c>
      <c r="E1358" s="2" t="s">
        <v>5542</v>
      </c>
      <c r="F1358" s="2" t="b">
        <v>1</v>
      </c>
      <c r="G1358" s="2" t="b">
        <v>0</v>
      </c>
      <c r="H1358" s="2" t="s">
        <v>37</v>
      </c>
      <c r="I1358" s="2" t="s">
        <v>22</v>
      </c>
      <c r="J1358" s="2" t="s">
        <v>2869</v>
      </c>
      <c r="K1358" s="2" t="s">
        <v>495</v>
      </c>
      <c r="L1358" s="13" t="s">
        <v>496</v>
      </c>
      <c r="M1358" s="2" t="s">
        <v>26</v>
      </c>
      <c r="N1358" s="11" t="s">
        <v>576</v>
      </c>
      <c r="O1358" s="12" t="s">
        <v>53</v>
      </c>
      <c r="P1358" s="5" t="str">
        <f>IFERROR(__xludf.DUMMYFUNCTION("TEXTJOIN("" | "",TRUE,IF(OR(D1358="""",E1358="""",I1358="""",J1358="""",H1358=""""),""ফাঁকা ঘর"",""""),IF(AND(C1358&lt;&gt;"""",D1358&lt;&gt;"""",C1358=D1358),""gloss=figurative"",""""),IF(LEN(D1358)&lt;15,""figurative ছোট"",""""),IF(AND(I1358=""Positive"",REGEXMATCH(H1"&amp;"358,""মূর্খ|ভণ্ড|প্রতার|অলস|লোভ|স্বার্থ|অক্ষম|অযোগ্য|বোকা|কৃপণ|হিংস"")),""valence-target অমিল"",""""),IF(COUNTIF($B:$B,B1358)&gt;1,""ডুপ্লিকেট"",""""))"),"figurative ছোট")</f>
        <v>figurative ছোট</v>
      </c>
      <c r="Q1358" s="5" t="str">
        <f t="shared" si="1"/>
        <v>১ আগে দেখো</v>
      </c>
    </row>
    <row r="1359">
      <c r="A1359" s="4">
        <v>6898.0</v>
      </c>
      <c r="B1359" s="2" t="s">
        <v>5543</v>
      </c>
      <c r="C1359" s="2" t="s">
        <v>5544</v>
      </c>
      <c r="D1359" s="2" t="s">
        <v>5545</v>
      </c>
      <c r="E1359" s="2" t="s">
        <v>5546</v>
      </c>
      <c r="F1359" s="2" t="b">
        <v>1</v>
      </c>
      <c r="G1359" s="2" t="b">
        <v>0</v>
      </c>
      <c r="H1359" s="2" t="s">
        <v>37</v>
      </c>
      <c r="I1359" s="2" t="s">
        <v>49</v>
      </c>
      <c r="J1359" s="2" t="s">
        <v>5545</v>
      </c>
      <c r="K1359" s="2" t="s">
        <v>495</v>
      </c>
      <c r="L1359" s="13" t="s">
        <v>496</v>
      </c>
      <c r="M1359" s="2" t="s">
        <v>26</v>
      </c>
      <c r="N1359" s="11" t="s">
        <v>576</v>
      </c>
      <c r="O1359" s="12" t="s">
        <v>53</v>
      </c>
      <c r="P1359" s="5" t="str">
        <f>IFERROR(__xludf.DUMMYFUNCTION("TEXTJOIN("" | "",TRUE,IF(OR(D1359="""",E1359="""",I1359="""",J1359="""",H1359=""""),""ফাঁকা ঘর"",""""),IF(AND(C1359&lt;&gt;"""",D1359&lt;&gt;"""",C1359=D1359),""gloss=figurative"",""""),IF(LEN(D1359)&lt;15,""figurative ছোট"",""""),IF(AND(I1359=""Positive"",REGEXMATCH(H1"&amp;"359,""মূর্খ|ভণ্ড|প্রতার|অলস|লোভ|স্বার্থ|অক্ষম|অযোগ্য|বোকা|কৃপণ|হিংস"")),""valence-target অমিল"",""""),IF(COUNTIF($B:$B,B1359)&gt;1,""ডুপ্লিকেট"",""""))"),"figurative ছোট")</f>
        <v>figurative ছোট</v>
      </c>
      <c r="Q1359" s="5" t="str">
        <f t="shared" si="1"/>
        <v>১ আগে দেখো</v>
      </c>
    </row>
    <row r="1360">
      <c r="A1360" s="4">
        <v>6899.0</v>
      </c>
      <c r="B1360" s="2" t="s">
        <v>5547</v>
      </c>
      <c r="C1360" s="2" t="s">
        <v>5548</v>
      </c>
      <c r="D1360" s="2" t="s">
        <v>1013</v>
      </c>
      <c r="E1360" s="2" t="s">
        <v>5549</v>
      </c>
      <c r="F1360" s="2" t="b">
        <v>1</v>
      </c>
      <c r="G1360" s="2" t="b">
        <v>0</v>
      </c>
      <c r="H1360" s="2" t="s">
        <v>37</v>
      </c>
      <c r="I1360" s="2" t="s">
        <v>22</v>
      </c>
      <c r="J1360" s="2" t="s">
        <v>1013</v>
      </c>
      <c r="K1360" s="2" t="s">
        <v>495</v>
      </c>
      <c r="L1360" s="13" t="s">
        <v>496</v>
      </c>
      <c r="M1360" s="2" t="s">
        <v>26</v>
      </c>
      <c r="N1360" s="11" t="s">
        <v>576</v>
      </c>
      <c r="O1360" s="12" t="s">
        <v>53</v>
      </c>
      <c r="P1360" s="5" t="str">
        <f>IFERROR(__xludf.DUMMYFUNCTION("TEXTJOIN("" | "",TRUE,IF(OR(D1360="""",E1360="""",I1360="""",J1360="""",H1360=""""),""ফাঁকা ঘর"",""""),IF(AND(C1360&lt;&gt;"""",D1360&lt;&gt;"""",C1360=D1360),""gloss=figurative"",""""),IF(LEN(D1360)&lt;15,""figurative ছোট"",""""),IF(AND(I1360=""Positive"",REGEXMATCH(H1"&amp;"360,""মূর্খ|ভণ্ড|প্রতার|অলস|লোভ|স্বার্থ|অক্ষম|অযোগ্য|বোকা|কৃপণ|হিংস"")),""valence-target অমিল"",""""),IF(COUNTIF($B:$B,B1360)&gt;1,""ডুপ্লিকেট"",""""))"),"figurative ছোট")</f>
        <v>figurative ছোট</v>
      </c>
      <c r="Q1360" s="5" t="str">
        <f t="shared" si="1"/>
        <v>১ আগে দেখো</v>
      </c>
    </row>
    <row r="1361">
      <c r="A1361" s="4">
        <v>6900.0</v>
      </c>
      <c r="B1361" s="2" t="s">
        <v>5550</v>
      </c>
      <c r="C1361" s="2" t="s">
        <v>5551</v>
      </c>
      <c r="D1361" s="2" t="s">
        <v>2396</v>
      </c>
      <c r="E1361" s="2" t="s">
        <v>5552</v>
      </c>
      <c r="F1361" s="2" t="b">
        <v>1</v>
      </c>
      <c r="G1361" s="2" t="b">
        <v>0</v>
      </c>
      <c r="H1361" s="2" t="s">
        <v>854</v>
      </c>
      <c r="I1361" s="2" t="s">
        <v>49</v>
      </c>
      <c r="J1361" s="2" t="s">
        <v>855</v>
      </c>
      <c r="K1361" s="2" t="s">
        <v>495</v>
      </c>
      <c r="L1361" s="13" t="s">
        <v>496</v>
      </c>
      <c r="M1361" s="2" t="s">
        <v>26</v>
      </c>
      <c r="N1361" s="11" t="s">
        <v>576</v>
      </c>
      <c r="O1361" s="12" t="s">
        <v>53</v>
      </c>
      <c r="P1361" s="5" t="str">
        <f>IFERROR(__xludf.DUMMYFUNCTION("TEXTJOIN("" | "",TRUE,IF(OR(D1361="""",E1361="""",I1361="""",J1361="""",H1361=""""),""ফাঁকা ঘর"",""""),IF(AND(C1361&lt;&gt;"""",D1361&lt;&gt;"""",C1361=D1361),""gloss=figurative"",""""),IF(LEN(D1361)&lt;15,""figurative ছোট"",""""),IF(AND(I1361=""Positive"",REGEXMATCH(H1"&amp;"361,""মূর্খ|ভণ্ড|প্রতার|অলস|লোভ|স্বার্থ|অক্ষম|অযোগ্য|বোকা|কৃপণ|হিংস"")),""valence-target অমিল"",""""),IF(COUNTIF($B:$B,B1361)&gt;1,""ডুপ্লিকেট"",""""))"),"figurative ছোট")</f>
        <v>figurative ছোট</v>
      </c>
      <c r="Q1361" s="5" t="str">
        <f t="shared" si="1"/>
        <v>১ আগে দেখো</v>
      </c>
    </row>
    <row r="1362">
      <c r="A1362" s="4">
        <v>6901.0</v>
      </c>
      <c r="B1362" s="2" t="s">
        <v>5553</v>
      </c>
      <c r="C1362" s="2" t="s">
        <v>5554</v>
      </c>
      <c r="D1362" s="2" t="s">
        <v>1679</v>
      </c>
      <c r="E1362" s="2" t="s">
        <v>5555</v>
      </c>
      <c r="F1362" s="2" t="b">
        <v>1</v>
      </c>
      <c r="G1362" s="2" t="b">
        <v>0</v>
      </c>
      <c r="H1362" s="2" t="s">
        <v>37</v>
      </c>
      <c r="I1362" s="2" t="s">
        <v>32</v>
      </c>
      <c r="J1362" s="2" t="s">
        <v>1679</v>
      </c>
      <c r="K1362" s="2" t="s">
        <v>495</v>
      </c>
      <c r="L1362" s="13" t="s">
        <v>496</v>
      </c>
      <c r="M1362" s="2" t="s">
        <v>26</v>
      </c>
      <c r="N1362" s="11" t="s">
        <v>576</v>
      </c>
      <c r="O1362" s="12" t="s">
        <v>53</v>
      </c>
      <c r="P1362" s="5" t="str">
        <f>IFERROR(__xludf.DUMMYFUNCTION("TEXTJOIN("" | "",TRUE,IF(OR(D1362="""",E1362="""",I1362="""",J1362="""",H1362=""""),""ফাঁকা ঘর"",""""),IF(AND(C1362&lt;&gt;"""",D1362&lt;&gt;"""",C1362=D1362),""gloss=figurative"",""""),IF(LEN(D1362)&lt;15,""figurative ছোট"",""""),IF(AND(I1362=""Positive"",REGEXMATCH(H1"&amp;"362,""মূর্খ|ভণ্ড|প্রতার|অলস|লোভ|স্বার্থ|অক্ষম|অযোগ্য|বোকা|কৃপণ|হিংস"")),""valence-target অমিল"",""""),IF(COUNTIF($B:$B,B1362)&gt;1,""ডুপ্লিকেট"",""""))"),"figurative ছোট")</f>
        <v>figurative ছোট</v>
      </c>
      <c r="Q1362" s="5" t="str">
        <f t="shared" si="1"/>
        <v>১ আগে দেখো</v>
      </c>
    </row>
    <row r="1363">
      <c r="A1363" s="4">
        <v>6902.0</v>
      </c>
      <c r="B1363" s="2" t="s">
        <v>5556</v>
      </c>
      <c r="C1363" s="2" t="s">
        <v>5557</v>
      </c>
      <c r="D1363" s="2" t="s">
        <v>5558</v>
      </c>
      <c r="E1363" s="2" t="s">
        <v>5559</v>
      </c>
      <c r="F1363" s="2" t="b">
        <v>1</v>
      </c>
      <c r="G1363" s="2" t="b">
        <v>0</v>
      </c>
      <c r="H1363" s="2" t="s">
        <v>37</v>
      </c>
      <c r="I1363" s="2" t="s">
        <v>22</v>
      </c>
      <c r="J1363" s="2" t="s">
        <v>601</v>
      </c>
      <c r="K1363" s="2" t="s">
        <v>495</v>
      </c>
      <c r="L1363" s="13" t="s">
        <v>496</v>
      </c>
      <c r="M1363" s="2" t="s">
        <v>26</v>
      </c>
      <c r="N1363" s="11" t="s">
        <v>576</v>
      </c>
      <c r="O1363" s="12" t="s">
        <v>53</v>
      </c>
      <c r="P1363" s="5" t="str">
        <f>IFERROR(__xludf.DUMMYFUNCTION("TEXTJOIN("" | "",TRUE,IF(OR(D1363="""",E1363="""",I1363="""",J1363="""",H1363=""""),""ফাঁকা ঘর"",""""),IF(AND(C1363&lt;&gt;"""",D1363&lt;&gt;"""",C1363=D1363),""gloss=figurative"",""""),IF(LEN(D1363)&lt;15,""figurative ছোট"",""""),IF(AND(I1363=""Positive"",REGEXMATCH(H1"&amp;"363,""মূর্খ|ভণ্ড|প্রতার|অলস|লোভ|স্বার্থ|অক্ষম|অযোগ্য|বোকা|কৃপণ|হিংস"")),""valence-target অমিল"",""""),IF(COUNTIF($B:$B,B1363)&gt;1,""ডুপ্লিকেট"",""""))"),"figurative ছোট")</f>
        <v>figurative ছোট</v>
      </c>
      <c r="Q1363" s="5" t="str">
        <f t="shared" si="1"/>
        <v>১ আগে দেখো</v>
      </c>
    </row>
    <row r="1364">
      <c r="A1364" s="4">
        <v>6903.0</v>
      </c>
      <c r="B1364" s="2" t="s">
        <v>5560</v>
      </c>
      <c r="C1364" s="2" t="s">
        <v>5561</v>
      </c>
      <c r="D1364" s="2" t="s">
        <v>5562</v>
      </c>
      <c r="E1364" s="2" t="s">
        <v>5563</v>
      </c>
      <c r="F1364" s="2" t="b">
        <v>1</v>
      </c>
      <c r="G1364" s="2" t="b">
        <v>0</v>
      </c>
      <c r="H1364" s="2" t="s">
        <v>37</v>
      </c>
      <c r="I1364" s="2" t="s">
        <v>49</v>
      </c>
      <c r="J1364" s="2" t="s">
        <v>5562</v>
      </c>
      <c r="K1364" s="2" t="s">
        <v>495</v>
      </c>
      <c r="L1364" s="13" t="s">
        <v>496</v>
      </c>
      <c r="M1364" s="2" t="s">
        <v>26</v>
      </c>
      <c r="N1364" s="11" t="s">
        <v>576</v>
      </c>
      <c r="O1364" s="12" t="s">
        <v>53</v>
      </c>
      <c r="P1364" s="5" t="str">
        <f>IFERROR(__xludf.DUMMYFUNCTION("TEXTJOIN("" | "",TRUE,IF(OR(D1364="""",E1364="""",I1364="""",J1364="""",H1364=""""),""ফাঁকা ঘর"",""""),IF(AND(C1364&lt;&gt;"""",D1364&lt;&gt;"""",C1364=D1364),""gloss=figurative"",""""),IF(LEN(D1364)&lt;15,""figurative ছোট"",""""),IF(AND(I1364=""Positive"",REGEXMATCH(H1"&amp;"364,""মূর্খ|ভণ্ড|প্রতার|অলস|লোভ|স্বার্থ|অক্ষম|অযোগ্য|বোকা|কৃপণ|হিংস"")),""valence-target অমিল"",""""),IF(COUNTIF($B:$B,B1364)&gt;1,""ডুপ্লিকেট"",""""))"),"figurative ছোট")</f>
        <v>figurative ছোট</v>
      </c>
      <c r="Q1364" s="5" t="str">
        <f t="shared" si="1"/>
        <v>১ আগে দেখো</v>
      </c>
    </row>
    <row r="1365">
      <c r="A1365" s="4">
        <v>6904.0</v>
      </c>
      <c r="B1365" s="2" t="s">
        <v>5564</v>
      </c>
      <c r="C1365" s="2" t="s">
        <v>5406</v>
      </c>
      <c r="D1365" s="2" t="s">
        <v>5173</v>
      </c>
      <c r="E1365" s="2" t="s">
        <v>5407</v>
      </c>
      <c r="F1365" s="2" t="b">
        <v>1</v>
      </c>
      <c r="G1365" s="2" t="b">
        <v>0</v>
      </c>
      <c r="H1365" s="2" t="s">
        <v>37</v>
      </c>
      <c r="I1365" s="2" t="s">
        <v>32</v>
      </c>
      <c r="J1365" s="2" t="s">
        <v>5173</v>
      </c>
      <c r="K1365" s="2" t="s">
        <v>495</v>
      </c>
      <c r="L1365" s="13" t="s">
        <v>496</v>
      </c>
      <c r="M1365" s="2" t="s">
        <v>26</v>
      </c>
      <c r="N1365" s="11" t="s">
        <v>576</v>
      </c>
      <c r="O1365" s="12" t="s">
        <v>53</v>
      </c>
      <c r="P1365" s="5" t="str">
        <f>IFERROR(__xludf.DUMMYFUNCTION("TEXTJOIN("" | "",TRUE,IF(OR(D1365="""",E1365="""",I1365="""",J1365="""",H1365=""""),""ফাঁকা ঘর"",""""),IF(AND(C1365&lt;&gt;"""",D1365&lt;&gt;"""",C1365=D1365),""gloss=figurative"",""""),IF(LEN(D1365)&lt;15,""figurative ছোট"",""""),IF(AND(I1365=""Positive"",REGEXMATCH(H1"&amp;"365,""মূর্খ|ভণ্ড|প্রতার|অলস|লোভ|স্বার্থ|অক্ষম|অযোগ্য|বোকা|কৃপণ|হিংস"")),""valence-target অমিল"",""""),IF(COUNTIF($B:$B,B1365)&gt;1,""ডুপ্লিকেট"",""""))"),"figurative ছোট")</f>
        <v>figurative ছোট</v>
      </c>
      <c r="Q1365" s="5" t="str">
        <f t="shared" si="1"/>
        <v>১ আগে দেখো</v>
      </c>
    </row>
    <row r="1366">
      <c r="A1366" s="4">
        <v>6905.0</v>
      </c>
      <c r="B1366" s="2" t="s">
        <v>5565</v>
      </c>
      <c r="C1366" s="2" t="s">
        <v>5566</v>
      </c>
      <c r="D1366" s="2" t="s">
        <v>5567</v>
      </c>
      <c r="E1366" s="2" t="s">
        <v>5568</v>
      </c>
      <c r="F1366" s="2" t="b">
        <v>1</v>
      </c>
      <c r="G1366" s="2" t="b">
        <v>0</v>
      </c>
      <c r="H1366" s="2" t="s">
        <v>37</v>
      </c>
      <c r="I1366" s="2" t="s">
        <v>49</v>
      </c>
      <c r="J1366" s="2" t="s">
        <v>176</v>
      </c>
      <c r="K1366" s="2" t="s">
        <v>495</v>
      </c>
      <c r="L1366" s="13" t="s">
        <v>496</v>
      </c>
      <c r="M1366" s="2" t="s">
        <v>26</v>
      </c>
      <c r="N1366" s="11" t="s">
        <v>576</v>
      </c>
      <c r="O1366" s="12" t="s">
        <v>53</v>
      </c>
      <c r="P1366" s="5" t="str">
        <f>IFERROR(__xludf.DUMMYFUNCTION("TEXTJOIN("" | "",TRUE,IF(OR(D1366="""",E1366="""",I1366="""",J1366="""",H1366=""""),""ফাঁকা ঘর"",""""),IF(AND(C1366&lt;&gt;"""",D1366&lt;&gt;"""",C1366=D1366),""gloss=figurative"",""""),IF(LEN(D1366)&lt;15,""figurative ছোট"",""""),IF(AND(I1366=""Positive"",REGEXMATCH(H1"&amp;"366,""মূর্খ|ভণ্ড|প্রতার|অলস|লোভ|স্বার্থ|অক্ষম|অযোগ্য|বোকা|কৃপণ|হিংস"")),""valence-target অমিল"",""""),IF(COUNTIF($B:$B,B1366)&gt;1,""ডুপ্লিকেট"",""""))"),"figurative ছোট")</f>
        <v>figurative ছোট</v>
      </c>
      <c r="Q1366" s="5" t="str">
        <f t="shared" si="1"/>
        <v>১ আগে দেখো</v>
      </c>
    </row>
    <row r="1367">
      <c r="A1367" s="4">
        <v>6906.0</v>
      </c>
      <c r="B1367" s="2" t="s">
        <v>5569</v>
      </c>
      <c r="C1367" s="2" t="s">
        <v>5570</v>
      </c>
      <c r="D1367" s="2" t="s">
        <v>5571</v>
      </c>
      <c r="E1367" s="2" t="s">
        <v>5572</v>
      </c>
      <c r="F1367" s="2" t="b">
        <v>1</v>
      </c>
      <c r="G1367" s="2" t="b">
        <v>0</v>
      </c>
      <c r="H1367" s="2" t="s">
        <v>37</v>
      </c>
      <c r="I1367" s="2" t="s">
        <v>22</v>
      </c>
      <c r="J1367" s="2" t="s">
        <v>2602</v>
      </c>
      <c r="K1367" s="2" t="s">
        <v>495</v>
      </c>
      <c r="L1367" s="13" t="s">
        <v>496</v>
      </c>
      <c r="M1367" s="2" t="s">
        <v>26</v>
      </c>
      <c r="N1367" s="11" t="s">
        <v>5573</v>
      </c>
      <c r="O1367" s="12" t="s">
        <v>53</v>
      </c>
      <c r="P1367" s="5" t="str">
        <f>IFERROR(__xludf.DUMMYFUNCTION("TEXTJOIN("" | "",TRUE,IF(OR(D1367="""",E1367="""",I1367="""",J1367="""",H1367=""""),""ফাঁকা ঘর"",""""),IF(AND(C1367&lt;&gt;"""",D1367&lt;&gt;"""",C1367=D1367),""gloss=figurative"",""""),IF(LEN(D1367)&lt;15,""figurative ছোট"",""""),IF(AND(I1367=""Positive"",REGEXMATCH(H1"&amp;"367,""মূর্খ|ভণ্ড|প্রতার|অলস|লোভ|স্বার্থ|অক্ষম|অযোগ্য|বোকা|কৃপণ|হিংস"")),""valence-target অমিল"",""""),IF(COUNTIF($B:$B,B1367)&gt;1,""ডুপ্লিকেট"",""""))"),"figurative ছোট")</f>
        <v>figurative ছোট</v>
      </c>
      <c r="Q1367" s="5" t="str">
        <f t="shared" si="1"/>
        <v>১ আগে দেখো</v>
      </c>
    </row>
    <row r="1368">
      <c r="A1368" s="4">
        <v>6907.0</v>
      </c>
      <c r="B1368" s="2" t="s">
        <v>5574</v>
      </c>
      <c r="C1368" s="2" t="s">
        <v>5575</v>
      </c>
      <c r="D1368" s="2" t="s">
        <v>5576</v>
      </c>
      <c r="E1368" s="2" t="s">
        <v>5577</v>
      </c>
      <c r="F1368" s="2" t="b">
        <v>1</v>
      </c>
      <c r="G1368" s="2" t="b">
        <v>0</v>
      </c>
      <c r="H1368" s="2" t="s">
        <v>37</v>
      </c>
      <c r="I1368" s="2" t="s">
        <v>22</v>
      </c>
      <c r="J1368" s="2" t="s">
        <v>1572</v>
      </c>
      <c r="K1368" s="2" t="s">
        <v>495</v>
      </c>
      <c r="L1368" s="13" t="s">
        <v>496</v>
      </c>
      <c r="M1368" s="2" t="s">
        <v>26</v>
      </c>
      <c r="N1368" s="11" t="s">
        <v>5578</v>
      </c>
      <c r="O1368" s="12" t="s">
        <v>53</v>
      </c>
      <c r="P1368" s="5" t="str">
        <f>IFERROR(__xludf.DUMMYFUNCTION("TEXTJOIN("" | "",TRUE,IF(OR(D1368="""",E1368="""",I1368="""",J1368="""",H1368=""""),""ফাঁকা ঘর"",""""),IF(AND(C1368&lt;&gt;"""",D1368&lt;&gt;"""",C1368=D1368),""gloss=figurative"",""""),IF(LEN(D1368)&lt;15,""figurative ছোট"",""""),IF(AND(I1368=""Positive"",REGEXMATCH(H1"&amp;"368,""মূর্খ|ভণ্ড|প্রতার|অলস|লোভ|স্বার্থ|অক্ষম|অযোগ্য|বোকা|কৃপণ|হিংস"")),""valence-target অমিল"",""""),IF(COUNTIF($B:$B,B1368)&gt;1,""ডুপ্লিকেট"",""""))"),"figurative ছোট")</f>
        <v>figurative ছোট</v>
      </c>
      <c r="Q1368" s="5" t="str">
        <f t="shared" si="1"/>
        <v>১ আগে দেখো</v>
      </c>
    </row>
    <row r="1369">
      <c r="A1369" s="4">
        <v>6908.0</v>
      </c>
      <c r="B1369" s="2" t="s">
        <v>5579</v>
      </c>
      <c r="C1369" s="2" t="s">
        <v>5579</v>
      </c>
      <c r="D1369" s="2" t="s">
        <v>978</v>
      </c>
      <c r="E1369" s="2" t="s">
        <v>5580</v>
      </c>
      <c r="F1369" s="2" t="b">
        <v>1</v>
      </c>
      <c r="G1369" s="2" t="b">
        <v>0</v>
      </c>
      <c r="H1369" s="2" t="s">
        <v>37</v>
      </c>
      <c r="I1369" s="2" t="s">
        <v>22</v>
      </c>
      <c r="J1369" s="2" t="s">
        <v>1630</v>
      </c>
      <c r="K1369" s="2" t="s">
        <v>495</v>
      </c>
      <c r="L1369" s="13" t="s">
        <v>496</v>
      </c>
      <c r="M1369" s="2" t="s">
        <v>26</v>
      </c>
      <c r="N1369" s="11" t="s">
        <v>576</v>
      </c>
      <c r="O1369" s="12" t="s">
        <v>53</v>
      </c>
      <c r="P1369" s="5" t="str">
        <f>IFERROR(__xludf.DUMMYFUNCTION("TEXTJOIN("" | "",TRUE,IF(OR(D1369="""",E1369="""",I1369="""",J1369="""",H1369=""""),""ফাঁকা ঘর"",""""),IF(AND(C1369&lt;&gt;"""",D1369&lt;&gt;"""",C1369=D1369),""gloss=figurative"",""""),IF(LEN(D1369)&lt;15,""figurative ছোট"",""""),IF(AND(I1369=""Positive"",REGEXMATCH(H1"&amp;"369,""মূর্খ|ভণ্ড|প্রতার|অলস|লোভ|স্বার্থ|অক্ষম|অযোগ্য|বোকা|কৃপণ|হিংস"")),""valence-target অমিল"",""""),IF(COUNTIF($B:$B,B1369)&gt;1,""ডুপ্লিকেট"",""""))"),"figurative ছোট")</f>
        <v>figurative ছোট</v>
      </c>
      <c r="Q1369" s="5" t="str">
        <f t="shared" si="1"/>
        <v>১ আগে দেখো</v>
      </c>
    </row>
    <row r="1370">
      <c r="A1370" s="4">
        <v>6909.0</v>
      </c>
      <c r="B1370" s="2" t="s">
        <v>5581</v>
      </c>
      <c r="C1370" s="2" t="s">
        <v>5582</v>
      </c>
      <c r="D1370" s="2" t="s">
        <v>3917</v>
      </c>
      <c r="E1370" s="2" t="s">
        <v>5583</v>
      </c>
      <c r="F1370" s="2" t="b">
        <v>1</v>
      </c>
      <c r="G1370" s="2" t="b">
        <v>0</v>
      </c>
      <c r="H1370" s="2" t="s">
        <v>37</v>
      </c>
      <c r="I1370" s="2" t="s">
        <v>22</v>
      </c>
      <c r="J1370" s="2" t="s">
        <v>5584</v>
      </c>
      <c r="K1370" s="2" t="s">
        <v>495</v>
      </c>
      <c r="L1370" s="13" t="s">
        <v>496</v>
      </c>
      <c r="M1370" s="2" t="s">
        <v>26</v>
      </c>
      <c r="N1370" s="11" t="s">
        <v>576</v>
      </c>
      <c r="O1370" s="12" t="s">
        <v>53</v>
      </c>
      <c r="P1370" s="5" t="str">
        <f>IFERROR(__xludf.DUMMYFUNCTION("TEXTJOIN("" | "",TRUE,IF(OR(D1370="""",E1370="""",I1370="""",J1370="""",H1370=""""),""ফাঁকা ঘর"",""""),IF(AND(C1370&lt;&gt;"""",D1370&lt;&gt;"""",C1370=D1370),""gloss=figurative"",""""),IF(LEN(D1370)&lt;15,""figurative ছোট"",""""),IF(AND(I1370=""Positive"",REGEXMATCH(H1"&amp;"370,""মূর্খ|ভণ্ড|প্রতার|অলস|লোভ|স্বার্থ|অক্ষম|অযোগ্য|বোকা|কৃপণ|হিংস"")),""valence-target অমিল"",""""),IF(COUNTIF($B:$B,B1370)&gt;1,""ডুপ্লিকেট"",""""))"),"figurative ছোট")</f>
        <v>figurative ছোট</v>
      </c>
      <c r="Q1370" s="5" t="str">
        <f t="shared" si="1"/>
        <v>১ আগে দেখো</v>
      </c>
    </row>
    <row r="1371">
      <c r="A1371" s="4">
        <v>6910.0</v>
      </c>
      <c r="B1371" s="2" t="s">
        <v>5585</v>
      </c>
      <c r="C1371" s="2" t="s">
        <v>5586</v>
      </c>
      <c r="D1371" s="2" t="s">
        <v>5587</v>
      </c>
      <c r="E1371" s="2" t="s">
        <v>5588</v>
      </c>
      <c r="F1371" s="2" t="b">
        <v>1</v>
      </c>
      <c r="G1371" s="2" t="b">
        <v>0</v>
      </c>
      <c r="H1371" s="2" t="s">
        <v>37</v>
      </c>
      <c r="I1371" s="2" t="s">
        <v>49</v>
      </c>
      <c r="J1371" s="2" t="s">
        <v>2040</v>
      </c>
      <c r="K1371" s="2" t="s">
        <v>495</v>
      </c>
      <c r="L1371" s="13" t="s">
        <v>496</v>
      </c>
      <c r="M1371" s="2" t="s">
        <v>26</v>
      </c>
      <c r="N1371" s="11" t="s">
        <v>576</v>
      </c>
      <c r="O1371" s="12" t="s">
        <v>53</v>
      </c>
      <c r="P1371" s="5" t="str">
        <f>IFERROR(__xludf.DUMMYFUNCTION("TEXTJOIN("" | "",TRUE,IF(OR(D1371="""",E1371="""",I1371="""",J1371="""",H1371=""""),""ফাঁকা ঘর"",""""),IF(AND(C1371&lt;&gt;"""",D1371&lt;&gt;"""",C1371=D1371),""gloss=figurative"",""""),IF(LEN(D1371)&lt;15,""figurative ছোট"",""""),IF(AND(I1371=""Positive"",REGEXMATCH(H1"&amp;"371,""মূর্খ|ভণ্ড|প্রতার|অলস|লোভ|স্বার্থ|অক্ষম|অযোগ্য|বোকা|কৃপণ|হিংস"")),""valence-target অমিল"",""""),IF(COUNTIF($B:$B,B1371)&gt;1,""ডুপ্লিকেট"",""""))"),"figurative ছোট")</f>
        <v>figurative ছোট</v>
      </c>
      <c r="Q1371" s="5" t="str">
        <f t="shared" si="1"/>
        <v>১ আগে দেখো</v>
      </c>
    </row>
    <row r="1372">
      <c r="A1372" s="4">
        <v>6911.0</v>
      </c>
      <c r="B1372" s="2" t="s">
        <v>5589</v>
      </c>
      <c r="C1372" s="2" t="s">
        <v>5590</v>
      </c>
      <c r="D1372" s="2" t="s">
        <v>5591</v>
      </c>
      <c r="E1372" s="2" t="s">
        <v>5592</v>
      </c>
      <c r="F1372" s="2" t="b">
        <v>1</v>
      </c>
      <c r="G1372" s="2" t="b">
        <v>0</v>
      </c>
      <c r="H1372" s="2" t="s">
        <v>37</v>
      </c>
      <c r="I1372" s="2" t="s">
        <v>49</v>
      </c>
      <c r="J1372" s="2" t="s">
        <v>1553</v>
      </c>
      <c r="K1372" s="2" t="s">
        <v>495</v>
      </c>
      <c r="L1372" s="13" t="s">
        <v>496</v>
      </c>
      <c r="M1372" s="2" t="s">
        <v>26</v>
      </c>
      <c r="N1372" s="11" t="s">
        <v>576</v>
      </c>
      <c r="O1372" s="12" t="s">
        <v>53</v>
      </c>
      <c r="P1372" s="5" t="str">
        <f>IFERROR(__xludf.DUMMYFUNCTION("TEXTJOIN("" | "",TRUE,IF(OR(D1372="""",E1372="""",I1372="""",J1372="""",H1372=""""),""ফাঁকা ঘর"",""""),IF(AND(C1372&lt;&gt;"""",D1372&lt;&gt;"""",C1372=D1372),""gloss=figurative"",""""),IF(LEN(D1372)&lt;15,""figurative ছোট"",""""),IF(AND(I1372=""Positive"",REGEXMATCH(H1"&amp;"372,""মূর্খ|ভণ্ড|প্রতার|অলস|লোভ|স্বার্থ|অক্ষম|অযোগ্য|বোকা|কৃপণ|হিংস"")),""valence-target অমিল"",""""),IF(COUNTIF($B:$B,B1372)&gt;1,""ডুপ্লিকেট"",""""))"),"figurative ছোট")</f>
        <v>figurative ছোট</v>
      </c>
      <c r="Q1372" s="5" t="str">
        <f t="shared" si="1"/>
        <v>১ আগে দেখো</v>
      </c>
    </row>
    <row r="1373">
      <c r="A1373" s="4">
        <v>6912.0</v>
      </c>
      <c r="B1373" s="2" t="s">
        <v>5593</v>
      </c>
      <c r="C1373" s="2" t="s">
        <v>5594</v>
      </c>
      <c r="D1373" s="2" t="s">
        <v>891</v>
      </c>
      <c r="E1373" s="2" t="s">
        <v>5463</v>
      </c>
      <c r="F1373" s="2" t="b">
        <v>1</v>
      </c>
      <c r="G1373" s="2" t="b">
        <v>0</v>
      </c>
      <c r="H1373" s="2" t="s">
        <v>37</v>
      </c>
      <c r="I1373" s="2" t="s">
        <v>49</v>
      </c>
      <c r="J1373" s="2" t="s">
        <v>891</v>
      </c>
      <c r="K1373" s="2" t="s">
        <v>495</v>
      </c>
      <c r="L1373" s="13" t="s">
        <v>496</v>
      </c>
      <c r="M1373" s="2" t="s">
        <v>26</v>
      </c>
      <c r="N1373" s="11" t="s">
        <v>5595</v>
      </c>
      <c r="O1373" s="12" t="s">
        <v>53</v>
      </c>
      <c r="P1373" s="5" t="str">
        <f>IFERROR(__xludf.DUMMYFUNCTION("TEXTJOIN("" | "",TRUE,IF(OR(D1373="""",E1373="""",I1373="""",J1373="""",H1373=""""),""ফাঁকা ঘর"",""""),IF(AND(C1373&lt;&gt;"""",D1373&lt;&gt;"""",C1373=D1373),""gloss=figurative"",""""),IF(LEN(D1373)&lt;15,""figurative ছোট"",""""),IF(AND(I1373=""Positive"",REGEXMATCH(H1"&amp;"373,""মূর্খ|ভণ্ড|প্রতার|অলস|লোভ|স্বার্থ|অক্ষম|অযোগ্য|বোকা|কৃপণ|হিংস"")),""valence-target অমিল"",""""),IF(COUNTIF($B:$B,B1373)&gt;1,""ডুপ্লিকেট"",""""))"),"figurative ছোট")</f>
        <v>figurative ছোট</v>
      </c>
      <c r="Q1373" s="5" t="str">
        <f t="shared" si="1"/>
        <v>১ আগে দেখো</v>
      </c>
    </row>
    <row r="1374">
      <c r="A1374" s="4">
        <v>6913.0</v>
      </c>
      <c r="B1374" s="2" t="s">
        <v>5596</v>
      </c>
      <c r="C1374" s="2" t="s">
        <v>5597</v>
      </c>
      <c r="D1374" s="2" t="s">
        <v>4862</v>
      </c>
      <c r="E1374" s="2" t="s">
        <v>5598</v>
      </c>
      <c r="F1374" s="2" t="b">
        <v>1</v>
      </c>
      <c r="G1374" s="2" t="b">
        <v>0</v>
      </c>
      <c r="H1374" s="2" t="s">
        <v>37</v>
      </c>
      <c r="I1374" s="2" t="s">
        <v>49</v>
      </c>
      <c r="J1374" s="2" t="s">
        <v>565</v>
      </c>
      <c r="K1374" s="2" t="s">
        <v>495</v>
      </c>
      <c r="L1374" s="13" t="s">
        <v>496</v>
      </c>
      <c r="M1374" s="2" t="s">
        <v>26</v>
      </c>
      <c r="N1374" s="11" t="s">
        <v>5599</v>
      </c>
      <c r="O1374" s="12" t="s">
        <v>53</v>
      </c>
      <c r="P1374" s="5" t="str">
        <f>IFERROR(__xludf.DUMMYFUNCTION("TEXTJOIN("" | "",TRUE,IF(OR(D1374="""",E1374="""",I1374="""",J1374="""",H1374=""""),""ফাঁকা ঘর"",""""),IF(AND(C1374&lt;&gt;"""",D1374&lt;&gt;"""",C1374=D1374),""gloss=figurative"",""""),IF(LEN(D1374)&lt;15,""figurative ছোট"",""""),IF(AND(I1374=""Positive"",REGEXMATCH(H1"&amp;"374,""মূর্খ|ভণ্ড|প্রতার|অলস|লোভ|স্বার্থ|অক্ষম|অযোগ্য|বোকা|কৃপণ|হিংস"")),""valence-target অমিল"",""""),IF(COUNTIF($B:$B,B1374)&gt;1,""ডুপ্লিকেট"",""""))"),"figurative ছোট")</f>
        <v>figurative ছোট</v>
      </c>
      <c r="Q1374" s="5" t="str">
        <f t="shared" si="1"/>
        <v>১ আগে দেখো</v>
      </c>
    </row>
    <row r="1375">
      <c r="A1375" s="4">
        <v>6914.0</v>
      </c>
      <c r="B1375" s="2" t="s">
        <v>5600</v>
      </c>
      <c r="C1375" s="2" t="s">
        <v>5601</v>
      </c>
      <c r="D1375" s="2" t="s">
        <v>1454</v>
      </c>
      <c r="E1375" s="2" t="s">
        <v>5602</v>
      </c>
      <c r="F1375" s="2" t="b">
        <v>1</v>
      </c>
      <c r="G1375" s="2" t="b">
        <v>0</v>
      </c>
      <c r="H1375" s="2" t="s">
        <v>37</v>
      </c>
      <c r="I1375" s="2" t="s">
        <v>49</v>
      </c>
      <c r="J1375" s="2" t="s">
        <v>1454</v>
      </c>
      <c r="K1375" s="2" t="s">
        <v>495</v>
      </c>
      <c r="L1375" s="13" t="s">
        <v>496</v>
      </c>
      <c r="M1375" s="2" t="s">
        <v>26</v>
      </c>
      <c r="N1375" s="11" t="s">
        <v>576</v>
      </c>
      <c r="O1375" s="12" t="s">
        <v>53</v>
      </c>
      <c r="P1375" s="5" t="str">
        <f>IFERROR(__xludf.DUMMYFUNCTION("TEXTJOIN("" | "",TRUE,IF(OR(D1375="""",E1375="""",I1375="""",J1375="""",H1375=""""),""ফাঁকা ঘর"",""""),IF(AND(C1375&lt;&gt;"""",D1375&lt;&gt;"""",C1375=D1375),""gloss=figurative"",""""),IF(LEN(D1375)&lt;15,""figurative ছোট"",""""),IF(AND(I1375=""Positive"",REGEXMATCH(H1"&amp;"375,""মূর্খ|ভণ্ড|প্রতার|অলস|লোভ|স্বার্থ|অক্ষম|অযোগ্য|বোকা|কৃপণ|হিংস"")),""valence-target অমিল"",""""),IF(COUNTIF($B:$B,B1375)&gt;1,""ডুপ্লিকেট"",""""))"),"figurative ছোট")</f>
        <v>figurative ছোট</v>
      </c>
      <c r="Q1375" s="5" t="str">
        <f t="shared" si="1"/>
        <v>১ আগে দেখো</v>
      </c>
    </row>
    <row r="1376">
      <c r="A1376" s="4">
        <v>6915.0</v>
      </c>
      <c r="B1376" s="2" t="s">
        <v>5603</v>
      </c>
      <c r="C1376" s="2" t="s">
        <v>5604</v>
      </c>
      <c r="D1376" s="2" t="s">
        <v>646</v>
      </c>
      <c r="E1376" s="2" t="s">
        <v>5605</v>
      </c>
      <c r="F1376" s="2" t="b">
        <v>1</v>
      </c>
      <c r="G1376" s="2" t="b">
        <v>0</v>
      </c>
      <c r="H1376" s="2" t="s">
        <v>37</v>
      </c>
      <c r="I1376" s="2" t="s">
        <v>32</v>
      </c>
      <c r="J1376" s="2" t="s">
        <v>646</v>
      </c>
      <c r="K1376" s="2" t="s">
        <v>495</v>
      </c>
      <c r="L1376" s="13" t="s">
        <v>496</v>
      </c>
      <c r="M1376" s="2" t="s">
        <v>26</v>
      </c>
      <c r="N1376" s="11" t="s">
        <v>576</v>
      </c>
      <c r="O1376" s="12" t="s">
        <v>53</v>
      </c>
      <c r="P1376" s="5" t="str">
        <f>IFERROR(__xludf.DUMMYFUNCTION("TEXTJOIN("" | "",TRUE,IF(OR(D1376="""",E1376="""",I1376="""",J1376="""",H1376=""""),""ফাঁকা ঘর"",""""),IF(AND(C1376&lt;&gt;"""",D1376&lt;&gt;"""",C1376=D1376),""gloss=figurative"",""""),IF(LEN(D1376)&lt;15,""figurative ছোট"",""""),IF(AND(I1376=""Positive"",REGEXMATCH(H1"&amp;"376,""মূর্খ|ভণ্ড|প্রতার|অলস|লোভ|স্বার্থ|অক্ষম|অযোগ্য|বোকা|কৃপণ|হিংস"")),""valence-target অমিল"",""""),IF(COUNTIF($B:$B,B1376)&gt;1,""ডুপ্লিকেট"",""""))"),"figurative ছোট")</f>
        <v>figurative ছোট</v>
      </c>
      <c r="Q1376" s="5" t="str">
        <f t="shared" si="1"/>
        <v>১ আগে দেখো</v>
      </c>
    </row>
    <row r="1377">
      <c r="A1377" s="4">
        <v>6916.0</v>
      </c>
      <c r="B1377" s="2" t="s">
        <v>5606</v>
      </c>
      <c r="C1377" s="2" t="s">
        <v>5607</v>
      </c>
      <c r="D1377" s="2" t="s">
        <v>441</v>
      </c>
      <c r="E1377" s="2" t="s">
        <v>5608</v>
      </c>
      <c r="F1377" s="2" t="b">
        <v>1</v>
      </c>
      <c r="G1377" s="2" t="b">
        <v>0</v>
      </c>
      <c r="H1377" s="2" t="s">
        <v>37</v>
      </c>
      <c r="I1377" s="2" t="s">
        <v>49</v>
      </c>
      <c r="J1377" s="2" t="s">
        <v>441</v>
      </c>
      <c r="K1377" s="2" t="s">
        <v>495</v>
      </c>
      <c r="L1377" s="13" t="s">
        <v>496</v>
      </c>
      <c r="M1377" s="2" t="s">
        <v>26</v>
      </c>
      <c r="N1377" s="11" t="s">
        <v>576</v>
      </c>
      <c r="O1377" s="12" t="s">
        <v>53</v>
      </c>
      <c r="P1377" s="5" t="str">
        <f>IFERROR(__xludf.DUMMYFUNCTION("TEXTJOIN("" | "",TRUE,IF(OR(D1377="""",E1377="""",I1377="""",J1377="""",H1377=""""),""ফাঁকা ঘর"",""""),IF(AND(C1377&lt;&gt;"""",D1377&lt;&gt;"""",C1377=D1377),""gloss=figurative"",""""),IF(LEN(D1377)&lt;15,""figurative ছোট"",""""),IF(AND(I1377=""Positive"",REGEXMATCH(H1"&amp;"377,""মূর্খ|ভণ্ড|প্রতার|অলস|লোভ|স্বার্থ|অক্ষম|অযোগ্য|বোকা|কৃপণ|হিংস"")),""valence-target অমিল"",""""),IF(COUNTIF($B:$B,B1377)&gt;1,""ডুপ্লিকেট"",""""))"),"figurative ছোট")</f>
        <v>figurative ছোট</v>
      </c>
      <c r="Q1377" s="5" t="str">
        <f t="shared" si="1"/>
        <v>১ আগে দেখো</v>
      </c>
    </row>
    <row r="1378">
      <c r="A1378" s="4">
        <v>6917.0</v>
      </c>
      <c r="B1378" s="2" t="s">
        <v>5609</v>
      </c>
      <c r="C1378" s="2" t="s">
        <v>5610</v>
      </c>
      <c r="D1378" s="2" t="s">
        <v>2113</v>
      </c>
      <c r="E1378" s="2" t="s">
        <v>5611</v>
      </c>
      <c r="F1378" s="2" t="b">
        <v>1</v>
      </c>
      <c r="G1378" s="2" t="b">
        <v>0</v>
      </c>
      <c r="H1378" s="2" t="s">
        <v>37</v>
      </c>
      <c r="I1378" s="2" t="s">
        <v>22</v>
      </c>
      <c r="J1378" s="2" t="s">
        <v>2113</v>
      </c>
      <c r="K1378" s="2" t="s">
        <v>495</v>
      </c>
      <c r="L1378" s="13" t="s">
        <v>496</v>
      </c>
      <c r="M1378" s="2" t="s">
        <v>26</v>
      </c>
      <c r="N1378" s="11" t="s">
        <v>576</v>
      </c>
      <c r="O1378" s="12" t="s">
        <v>53</v>
      </c>
      <c r="P1378" s="5" t="str">
        <f>IFERROR(__xludf.DUMMYFUNCTION("TEXTJOIN("" | "",TRUE,IF(OR(D1378="""",E1378="""",I1378="""",J1378="""",H1378=""""),""ফাঁকা ঘর"",""""),IF(AND(C1378&lt;&gt;"""",D1378&lt;&gt;"""",C1378=D1378),""gloss=figurative"",""""),IF(LEN(D1378)&lt;15,""figurative ছোট"",""""),IF(AND(I1378=""Positive"",REGEXMATCH(H1"&amp;"378,""মূর্খ|ভণ্ড|প্রতার|অলস|লোভ|স্বার্থ|অক্ষম|অযোগ্য|বোকা|কৃপণ|হিংস"")),""valence-target অমিল"",""""),IF(COUNTIF($B:$B,B1378)&gt;1,""ডুপ্লিকেট"",""""))"),"figurative ছোট")</f>
        <v>figurative ছোট</v>
      </c>
      <c r="Q1378" s="5" t="str">
        <f t="shared" si="1"/>
        <v>১ আগে দেখো</v>
      </c>
    </row>
    <row r="1379">
      <c r="A1379" s="4">
        <v>6918.0</v>
      </c>
      <c r="B1379" s="2" t="s">
        <v>5612</v>
      </c>
      <c r="C1379" s="2" t="s">
        <v>5613</v>
      </c>
      <c r="D1379" s="2" t="s">
        <v>2857</v>
      </c>
      <c r="E1379" s="2" t="s">
        <v>5614</v>
      </c>
      <c r="F1379" s="2" t="b">
        <v>1</v>
      </c>
      <c r="G1379" s="2" t="b">
        <v>0</v>
      </c>
      <c r="H1379" s="2" t="s">
        <v>37</v>
      </c>
      <c r="I1379" s="2" t="s">
        <v>22</v>
      </c>
      <c r="J1379" s="2" t="s">
        <v>2857</v>
      </c>
      <c r="K1379" s="2" t="s">
        <v>495</v>
      </c>
      <c r="L1379" s="13" t="s">
        <v>496</v>
      </c>
      <c r="M1379" s="2" t="s">
        <v>26</v>
      </c>
      <c r="N1379" s="11" t="s">
        <v>576</v>
      </c>
      <c r="O1379" s="12" t="s">
        <v>53</v>
      </c>
      <c r="P1379" s="5" t="str">
        <f>IFERROR(__xludf.DUMMYFUNCTION("TEXTJOIN("" | "",TRUE,IF(OR(D1379="""",E1379="""",I1379="""",J1379="""",H1379=""""),""ফাঁকা ঘর"",""""),IF(AND(C1379&lt;&gt;"""",D1379&lt;&gt;"""",C1379=D1379),""gloss=figurative"",""""),IF(LEN(D1379)&lt;15,""figurative ছোট"",""""),IF(AND(I1379=""Positive"",REGEXMATCH(H1"&amp;"379,""মূর্খ|ভণ্ড|প্রতার|অলস|লোভ|স্বার্থ|অক্ষম|অযোগ্য|বোকা|কৃপণ|হিংস"")),""valence-target অমিল"",""""),IF(COUNTIF($B:$B,B1379)&gt;1,""ডুপ্লিকেট"",""""))"),"figurative ছোট")</f>
        <v>figurative ছোট</v>
      </c>
      <c r="Q1379" s="5" t="str">
        <f t="shared" si="1"/>
        <v>১ আগে দেখো</v>
      </c>
    </row>
    <row r="1380">
      <c r="A1380" s="4">
        <v>6919.0</v>
      </c>
      <c r="B1380" s="2" t="s">
        <v>5615</v>
      </c>
      <c r="C1380" s="2" t="s">
        <v>5616</v>
      </c>
      <c r="D1380" s="2" t="s">
        <v>2160</v>
      </c>
      <c r="E1380" s="2" t="s">
        <v>5617</v>
      </c>
      <c r="F1380" s="2" t="b">
        <v>1</v>
      </c>
      <c r="G1380" s="2" t="b">
        <v>0</v>
      </c>
      <c r="H1380" s="2" t="s">
        <v>37</v>
      </c>
      <c r="I1380" s="2" t="s">
        <v>32</v>
      </c>
      <c r="J1380" s="2" t="s">
        <v>2160</v>
      </c>
      <c r="K1380" s="2" t="s">
        <v>495</v>
      </c>
      <c r="L1380" s="13" t="s">
        <v>496</v>
      </c>
      <c r="M1380" s="2" t="s">
        <v>26</v>
      </c>
      <c r="N1380" s="11" t="s">
        <v>576</v>
      </c>
      <c r="O1380" s="12" t="s">
        <v>53</v>
      </c>
      <c r="P1380" s="5" t="str">
        <f>IFERROR(__xludf.DUMMYFUNCTION("TEXTJOIN("" | "",TRUE,IF(OR(D1380="""",E1380="""",I1380="""",J1380="""",H1380=""""),""ফাঁকা ঘর"",""""),IF(AND(C1380&lt;&gt;"""",D1380&lt;&gt;"""",C1380=D1380),""gloss=figurative"",""""),IF(LEN(D1380)&lt;15,""figurative ছোট"",""""),IF(AND(I1380=""Positive"",REGEXMATCH(H1"&amp;"380,""মূর্খ|ভণ্ড|প্রতার|অলস|লোভ|স্বার্থ|অক্ষম|অযোগ্য|বোকা|কৃপণ|হিংস"")),""valence-target অমিল"",""""),IF(COUNTIF($B:$B,B1380)&gt;1,""ডুপ্লিকেট"",""""))"),"figurative ছোট")</f>
        <v>figurative ছোট</v>
      </c>
      <c r="Q1380" s="5" t="str">
        <f t="shared" si="1"/>
        <v>১ আগে দেখো</v>
      </c>
    </row>
    <row r="1381">
      <c r="A1381" s="4">
        <v>6920.0</v>
      </c>
      <c r="B1381" s="2" t="s">
        <v>5618</v>
      </c>
      <c r="C1381" s="2" t="s">
        <v>5619</v>
      </c>
      <c r="D1381" s="2" t="s">
        <v>2300</v>
      </c>
      <c r="E1381" s="2" t="s">
        <v>5620</v>
      </c>
      <c r="F1381" s="2" t="b">
        <v>1</v>
      </c>
      <c r="G1381" s="2" t="b">
        <v>0</v>
      </c>
      <c r="H1381" s="2" t="s">
        <v>37</v>
      </c>
      <c r="I1381" s="2" t="s">
        <v>49</v>
      </c>
      <c r="J1381" s="2" t="s">
        <v>2300</v>
      </c>
      <c r="K1381" s="2" t="s">
        <v>495</v>
      </c>
      <c r="L1381" s="13" t="s">
        <v>496</v>
      </c>
      <c r="M1381" s="2" t="s">
        <v>26</v>
      </c>
      <c r="N1381" s="11" t="s">
        <v>576</v>
      </c>
      <c r="O1381" s="12" t="s">
        <v>53</v>
      </c>
      <c r="P1381" s="5" t="str">
        <f>IFERROR(__xludf.DUMMYFUNCTION("TEXTJOIN("" | "",TRUE,IF(OR(D1381="""",E1381="""",I1381="""",J1381="""",H1381=""""),""ফাঁকা ঘর"",""""),IF(AND(C1381&lt;&gt;"""",D1381&lt;&gt;"""",C1381=D1381),""gloss=figurative"",""""),IF(LEN(D1381)&lt;15,""figurative ছোট"",""""),IF(AND(I1381=""Positive"",REGEXMATCH(H1"&amp;"381,""মূর্খ|ভণ্ড|প্রতার|অলস|লোভ|স্বার্থ|অক্ষম|অযোগ্য|বোকা|কৃপণ|হিংস"")),""valence-target অমিল"",""""),IF(COUNTIF($B:$B,B1381)&gt;1,""ডুপ্লিকেট"",""""))"),"figurative ছোট")</f>
        <v>figurative ছোট</v>
      </c>
      <c r="Q1381" s="5" t="str">
        <f t="shared" si="1"/>
        <v>১ আগে দেখো</v>
      </c>
    </row>
    <row r="1382">
      <c r="A1382" s="4">
        <v>6921.0</v>
      </c>
      <c r="B1382" s="2" t="s">
        <v>5621</v>
      </c>
      <c r="C1382" s="2" t="s">
        <v>5622</v>
      </c>
      <c r="D1382" s="2" t="s">
        <v>5623</v>
      </c>
      <c r="E1382" s="2" t="s">
        <v>5624</v>
      </c>
      <c r="F1382" s="2" t="b">
        <v>1</v>
      </c>
      <c r="G1382" s="2" t="b">
        <v>0</v>
      </c>
      <c r="H1382" s="2" t="s">
        <v>37</v>
      </c>
      <c r="I1382" s="2" t="s">
        <v>22</v>
      </c>
      <c r="J1382" s="2" t="s">
        <v>3506</v>
      </c>
      <c r="K1382" s="2" t="s">
        <v>495</v>
      </c>
      <c r="L1382" s="13" t="s">
        <v>496</v>
      </c>
      <c r="M1382" s="2" t="s">
        <v>26</v>
      </c>
      <c r="N1382" s="11" t="s">
        <v>576</v>
      </c>
      <c r="O1382" s="12" t="s">
        <v>53</v>
      </c>
      <c r="P1382" s="5" t="str">
        <f>IFERROR(__xludf.DUMMYFUNCTION("TEXTJOIN("" | "",TRUE,IF(OR(D1382="""",E1382="""",I1382="""",J1382="""",H1382=""""),""ফাঁকা ঘর"",""""),IF(AND(C1382&lt;&gt;"""",D1382&lt;&gt;"""",C1382=D1382),""gloss=figurative"",""""),IF(LEN(D1382)&lt;15,""figurative ছোট"",""""),IF(AND(I1382=""Positive"",REGEXMATCH(H1"&amp;"382,""মূর্খ|ভণ্ড|প্রতার|অলস|লোভ|স্বার্থ|অক্ষম|অযোগ্য|বোকা|কৃপণ|হিংস"")),""valence-target অমিল"",""""),IF(COUNTIF($B:$B,B1382)&gt;1,""ডুপ্লিকেট"",""""))"),"figurative ছোট")</f>
        <v>figurative ছোট</v>
      </c>
      <c r="Q1382" s="5" t="str">
        <f t="shared" si="1"/>
        <v>১ আগে দেখো</v>
      </c>
    </row>
    <row r="1383">
      <c r="A1383" s="4">
        <v>6922.0</v>
      </c>
      <c r="B1383" s="2" t="s">
        <v>5625</v>
      </c>
      <c r="C1383" s="2" t="s">
        <v>5626</v>
      </c>
      <c r="D1383" s="2" t="s">
        <v>4617</v>
      </c>
      <c r="E1383" s="2" t="s">
        <v>5627</v>
      </c>
      <c r="F1383" s="2" t="b">
        <v>1</v>
      </c>
      <c r="G1383" s="2" t="b">
        <v>0</v>
      </c>
      <c r="H1383" s="2" t="s">
        <v>37</v>
      </c>
      <c r="I1383" s="2" t="s">
        <v>49</v>
      </c>
      <c r="J1383" s="2" t="s">
        <v>4617</v>
      </c>
      <c r="K1383" s="2" t="s">
        <v>495</v>
      </c>
      <c r="L1383" s="13" t="s">
        <v>496</v>
      </c>
      <c r="M1383" s="2" t="s">
        <v>26</v>
      </c>
      <c r="N1383" s="11" t="s">
        <v>576</v>
      </c>
      <c r="O1383" s="12" t="s">
        <v>53</v>
      </c>
      <c r="P1383" s="5" t="str">
        <f>IFERROR(__xludf.DUMMYFUNCTION("TEXTJOIN("" | "",TRUE,IF(OR(D1383="""",E1383="""",I1383="""",J1383="""",H1383=""""),""ফাঁকা ঘর"",""""),IF(AND(C1383&lt;&gt;"""",D1383&lt;&gt;"""",C1383=D1383),""gloss=figurative"",""""),IF(LEN(D1383)&lt;15,""figurative ছোট"",""""),IF(AND(I1383=""Positive"",REGEXMATCH(H1"&amp;"383,""মূর্খ|ভণ্ড|প্রতার|অলস|লোভ|স্বার্থ|অক্ষম|অযোগ্য|বোকা|কৃপণ|হিংস"")),""valence-target অমিল"",""""),IF(COUNTIF($B:$B,B1383)&gt;1,""ডুপ্লিকেট"",""""))"),"figurative ছোট")</f>
        <v>figurative ছোট</v>
      </c>
      <c r="Q1383" s="5" t="str">
        <f t="shared" si="1"/>
        <v>১ আগে দেখো</v>
      </c>
    </row>
    <row r="1384">
      <c r="A1384" s="4">
        <v>6923.0</v>
      </c>
      <c r="B1384" s="2" t="s">
        <v>5628</v>
      </c>
      <c r="C1384" s="2" t="s">
        <v>5629</v>
      </c>
      <c r="D1384" s="2" t="s">
        <v>5630</v>
      </c>
      <c r="E1384" s="2" t="s">
        <v>5631</v>
      </c>
      <c r="F1384" s="2" t="b">
        <v>1</v>
      </c>
      <c r="G1384" s="2" t="b">
        <v>0</v>
      </c>
      <c r="H1384" s="2" t="s">
        <v>37</v>
      </c>
      <c r="I1384" s="2" t="s">
        <v>32</v>
      </c>
      <c r="J1384" s="2" t="s">
        <v>2240</v>
      </c>
      <c r="K1384" s="2" t="s">
        <v>495</v>
      </c>
      <c r="L1384" s="13" t="s">
        <v>496</v>
      </c>
      <c r="M1384" s="2" t="s">
        <v>26</v>
      </c>
      <c r="N1384" s="11" t="s">
        <v>576</v>
      </c>
      <c r="O1384" s="12" t="s">
        <v>53</v>
      </c>
      <c r="P1384" s="5" t="str">
        <f>IFERROR(__xludf.DUMMYFUNCTION("TEXTJOIN("" | "",TRUE,IF(OR(D1384="""",E1384="""",I1384="""",J1384="""",H1384=""""),""ফাঁকা ঘর"",""""),IF(AND(C1384&lt;&gt;"""",D1384&lt;&gt;"""",C1384=D1384),""gloss=figurative"",""""),IF(LEN(D1384)&lt;15,""figurative ছোট"",""""),IF(AND(I1384=""Positive"",REGEXMATCH(H1"&amp;"384,""মূর্খ|ভণ্ড|প্রতার|অলস|লোভ|স্বার্থ|অক্ষম|অযোগ্য|বোকা|কৃপণ|হিংস"")),""valence-target অমিল"",""""),IF(COUNTIF($B:$B,B1384)&gt;1,""ডুপ্লিকেট"",""""))"),"figurative ছোট")</f>
        <v>figurative ছোট</v>
      </c>
      <c r="Q1384" s="5" t="str">
        <f t="shared" si="1"/>
        <v>১ আগে দেখো</v>
      </c>
    </row>
    <row r="1385">
      <c r="A1385" s="4">
        <v>6924.0</v>
      </c>
      <c r="B1385" s="2" t="s">
        <v>5632</v>
      </c>
      <c r="C1385" s="2" t="s">
        <v>5633</v>
      </c>
      <c r="D1385" s="2" t="s">
        <v>2240</v>
      </c>
      <c r="E1385" s="2" t="s">
        <v>5634</v>
      </c>
      <c r="F1385" s="2" t="b">
        <v>1</v>
      </c>
      <c r="G1385" s="2" t="b">
        <v>0</v>
      </c>
      <c r="H1385" s="2" t="s">
        <v>37</v>
      </c>
      <c r="I1385" s="2" t="s">
        <v>32</v>
      </c>
      <c r="J1385" s="2" t="s">
        <v>2240</v>
      </c>
      <c r="K1385" s="2" t="s">
        <v>495</v>
      </c>
      <c r="L1385" s="13" t="s">
        <v>496</v>
      </c>
      <c r="M1385" s="2" t="s">
        <v>26</v>
      </c>
      <c r="N1385" s="11" t="s">
        <v>576</v>
      </c>
      <c r="O1385" s="12" t="s">
        <v>53</v>
      </c>
      <c r="P1385" s="5" t="str">
        <f>IFERROR(__xludf.DUMMYFUNCTION("TEXTJOIN("" | "",TRUE,IF(OR(D1385="""",E1385="""",I1385="""",J1385="""",H1385=""""),""ফাঁকা ঘর"",""""),IF(AND(C1385&lt;&gt;"""",D1385&lt;&gt;"""",C1385=D1385),""gloss=figurative"",""""),IF(LEN(D1385)&lt;15,""figurative ছোট"",""""),IF(AND(I1385=""Positive"",REGEXMATCH(H1"&amp;"385,""মূর্খ|ভণ্ড|প্রতার|অলস|লোভ|স্বার্থ|অক্ষম|অযোগ্য|বোকা|কৃপণ|হিংস"")),""valence-target অমিল"",""""),IF(COUNTIF($B:$B,B1385)&gt;1,""ডুপ্লিকেট"",""""))"),"figurative ছোট")</f>
        <v>figurative ছোট</v>
      </c>
      <c r="Q1385" s="5" t="str">
        <f t="shared" si="1"/>
        <v>১ আগে দেখো</v>
      </c>
    </row>
    <row r="1386">
      <c r="A1386" s="4">
        <v>6925.0</v>
      </c>
      <c r="B1386" s="2" t="s">
        <v>5635</v>
      </c>
      <c r="C1386" s="2" t="s">
        <v>5636</v>
      </c>
      <c r="D1386" s="2" t="s">
        <v>1837</v>
      </c>
      <c r="E1386" s="2" t="s">
        <v>5637</v>
      </c>
      <c r="F1386" s="2" t="b">
        <v>1</v>
      </c>
      <c r="G1386" s="2" t="b">
        <v>0</v>
      </c>
      <c r="H1386" s="2" t="s">
        <v>37</v>
      </c>
      <c r="I1386" s="2" t="s">
        <v>49</v>
      </c>
      <c r="J1386" s="2" t="s">
        <v>300</v>
      </c>
      <c r="K1386" s="2" t="s">
        <v>495</v>
      </c>
      <c r="L1386" s="13" t="s">
        <v>496</v>
      </c>
      <c r="M1386" s="2" t="s">
        <v>26</v>
      </c>
      <c r="N1386" s="11" t="s">
        <v>576</v>
      </c>
      <c r="O1386" s="12" t="s">
        <v>53</v>
      </c>
      <c r="P1386" s="5" t="str">
        <f>IFERROR(__xludf.DUMMYFUNCTION("TEXTJOIN("" | "",TRUE,IF(OR(D1386="""",E1386="""",I1386="""",J1386="""",H1386=""""),""ফাঁকা ঘর"",""""),IF(AND(C1386&lt;&gt;"""",D1386&lt;&gt;"""",C1386=D1386),""gloss=figurative"",""""),IF(LEN(D1386)&lt;15,""figurative ছোট"",""""),IF(AND(I1386=""Positive"",REGEXMATCH(H1"&amp;"386,""মূর্খ|ভণ্ড|প্রতার|অলস|লোভ|স্বার্থ|অক্ষম|অযোগ্য|বোকা|কৃপণ|হিংস"")),""valence-target অমিল"",""""),IF(COUNTIF($B:$B,B1386)&gt;1,""ডুপ্লিকেট"",""""))"),"figurative ছোট")</f>
        <v>figurative ছোট</v>
      </c>
      <c r="Q1386" s="5" t="str">
        <f t="shared" si="1"/>
        <v>১ আগে দেখো</v>
      </c>
    </row>
    <row r="1387">
      <c r="A1387" s="4">
        <v>6926.0</v>
      </c>
      <c r="B1387" s="2" t="s">
        <v>5638</v>
      </c>
      <c r="C1387" s="2" t="s">
        <v>5639</v>
      </c>
      <c r="D1387" s="2" t="s">
        <v>1305</v>
      </c>
      <c r="E1387" s="2" t="s">
        <v>5640</v>
      </c>
      <c r="F1387" s="2" t="b">
        <v>1</v>
      </c>
      <c r="G1387" s="2" t="b">
        <v>0</v>
      </c>
      <c r="H1387" s="2" t="s">
        <v>37</v>
      </c>
      <c r="I1387" s="2" t="s">
        <v>22</v>
      </c>
      <c r="J1387" s="2" t="s">
        <v>1305</v>
      </c>
      <c r="K1387" s="2" t="s">
        <v>495</v>
      </c>
      <c r="L1387" s="13" t="s">
        <v>496</v>
      </c>
      <c r="M1387" s="2" t="s">
        <v>26</v>
      </c>
      <c r="N1387" s="11" t="s">
        <v>576</v>
      </c>
      <c r="O1387" s="12" t="s">
        <v>53</v>
      </c>
      <c r="P1387" s="5" t="str">
        <f>IFERROR(__xludf.DUMMYFUNCTION("TEXTJOIN("" | "",TRUE,IF(OR(D1387="""",E1387="""",I1387="""",J1387="""",H1387=""""),""ফাঁকা ঘর"",""""),IF(AND(C1387&lt;&gt;"""",D1387&lt;&gt;"""",C1387=D1387),""gloss=figurative"",""""),IF(LEN(D1387)&lt;15,""figurative ছোট"",""""),IF(AND(I1387=""Positive"",REGEXMATCH(H1"&amp;"387,""মূর্খ|ভণ্ড|প্রতার|অলস|লোভ|স্বার্থ|অক্ষম|অযোগ্য|বোকা|কৃপণ|হিংস"")),""valence-target অমিল"",""""),IF(COUNTIF($B:$B,B1387)&gt;1,""ডুপ্লিকেট"",""""))"),"figurative ছোট")</f>
        <v>figurative ছোট</v>
      </c>
      <c r="Q1387" s="5" t="str">
        <f t="shared" si="1"/>
        <v>১ আগে দেখো</v>
      </c>
    </row>
    <row r="1388">
      <c r="A1388" s="4">
        <v>6927.0</v>
      </c>
      <c r="B1388" s="2" t="s">
        <v>5641</v>
      </c>
      <c r="C1388" s="2" t="s">
        <v>5642</v>
      </c>
      <c r="D1388" s="2" t="s">
        <v>1414</v>
      </c>
      <c r="E1388" s="2" t="s">
        <v>5643</v>
      </c>
      <c r="F1388" s="2" t="b">
        <v>1</v>
      </c>
      <c r="G1388" s="2" t="b">
        <v>0</v>
      </c>
      <c r="H1388" s="2" t="s">
        <v>756</v>
      </c>
      <c r="I1388" s="2" t="s">
        <v>22</v>
      </c>
      <c r="J1388" s="2" t="s">
        <v>1630</v>
      </c>
      <c r="K1388" s="2" t="s">
        <v>495</v>
      </c>
      <c r="L1388" s="13" t="s">
        <v>496</v>
      </c>
      <c r="M1388" s="2" t="s">
        <v>26</v>
      </c>
      <c r="N1388" s="11" t="s">
        <v>576</v>
      </c>
      <c r="O1388" s="12" t="s">
        <v>53</v>
      </c>
      <c r="P1388" s="5" t="str">
        <f>IFERROR(__xludf.DUMMYFUNCTION("TEXTJOIN("" | "",TRUE,IF(OR(D1388="""",E1388="""",I1388="""",J1388="""",H1388=""""),""ফাঁকা ঘর"",""""),IF(AND(C1388&lt;&gt;"""",D1388&lt;&gt;"""",C1388=D1388),""gloss=figurative"",""""),IF(LEN(D1388)&lt;15,""figurative ছোট"",""""),IF(AND(I1388=""Positive"",REGEXMATCH(H1"&amp;"388,""মূর্খ|ভণ্ড|প্রতার|অলস|লোভ|স্বার্থ|অক্ষম|অযোগ্য|বোকা|কৃপণ|হিংস"")),""valence-target অমিল"",""""),IF(COUNTIF($B:$B,B1388)&gt;1,""ডুপ্লিকেট"",""""))"),"figurative ছোট")</f>
        <v>figurative ছোট</v>
      </c>
      <c r="Q1388" s="5" t="str">
        <f t="shared" si="1"/>
        <v>১ আগে দেখো</v>
      </c>
    </row>
    <row r="1389">
      <c r="A1389" s="4">
        <v>6928.0</v>
      </c>
      <c r="B1389" s="2" t="s">
        <v>5644</v>
      </c>
      <c r="C1389" s="2" t="s">
        <v>5645</v>
      </c>
      <c r="D1389" s="2" t="s">
        <v>488</v>
      </c>
      <c r="E1389" s="2" t="s">
        <v>5646</v>
      </c>
      <c r="F1389" s="2" t="b">
        <v>1</v>
      </c>
      <c r="G1389" s="2" t="b">
        <v>0</v>
      </c>
      <c r="H1389" s="2" t="s">
        <v>488</v>
      </c>
      <c r="I1389" s="2" t="s">
        <v>22</v>
      </c>
      <c r="J1389" s="2" t="s">
        <v>1438</v>
      </c>
      <c r="K1389" s="2" t="s">
        <v>495</v>
      </c>
      <c r="L1389" s="13" t="s">
        <v>496</v>
      </c>
      <c r="M1389" s="2" t="s">
        <v>26</v>
      </c>
      <c r="N1389" s="11" t="s">
        <v>576</v>
      </c>
      <c r="O1389" s="12" t="s">
        <v>53</v>
      </c>
      <c r="P1389" s="5" t="str">
        <f>IFERROR(__xludf.DUMMYFUNCTION("TEXTJOIN("" | "",TRUE,IF(OR(D1389="""",E1389="""",I1389="""",J1389="""",H1389=""""),""ফাঁকা ঘর"",""""),IF(AND(C1389&lt;&gt;"""",D1389&lt;&gt;"""",C1389=D1389),""gloss=figurative"",""""),IF(LEN(D1389)&lt;15,""figurative ছোট"",""""),IF(AND(I1389=""Positive"",REGEXMATCH(H1"&amp;"389,""মূর্খ|ভণ্ড|প্রতার|অলস|লোভ|স্বার্থ|অক্ষম|অযোগ্য|বোকা|কৃপণ|হিংস"")),""valence-target অমিল"",""""),IF(COUNTIF($B:$B,B1389)&gt;1,""ডুপ্লিকেট"",""""))"),"figurative ছোট")</f>
        <v>figurative ছোট</v>
      </c>
      <c r="Q1389" s="5" t="str">
        <f t="shared" si="1"/>
        <v>১ আগে দেখো</v>
      </c>
    </row>
    <row r="1390">
      <c r="A1390" s="4">
        <v>6929.0</v>
      </c>
      <c r="B1390" s="2" t="s">
        <v>5647</v>
      </c>
      <c r="C1390" s="2" t="s">
        <v>5648</v>
      </c>
      <c r="D1390" s="2" t="s">
        <v>2165</v>
      </c>
      <c r="E1390" s="2" t="s">
        <v>5649</v>
      </c>
      <c r="F1390" s="2" t="b">
        <v>1</v>
      </c>
      <c r="G1390" s="2" t="b">
        <v>0</v>
      </c>
      <c r="H1390" s="2" t="s">
        <v>37</v>
      </c>
      <c r="I1390" s="2" t="s">
        <v>22</v>
      </c>
      <c r="J1390" s="2" t="s">
        <v>2165</v>
      </c>
      <c r="K1390" s="2" t="s">
        <v>495</v>
      </c>
      <c r="L1390" s="13" t="s">
        <v>496</v>
      </c>
      <c r="M1390" s="2" t="s">
        <v>26</v>
      </c>
      <c r="N1390" s="11" t="s">
        <v>576</v>
      </c>
      <c r="O1390" s="12" t="s">
        <v>53</v>
      </c>
      <c r="P1390" s="5" t="str">
        <f>IFERROR(__xludf.DUMMYFUNCTION("TEXTJOIN("" | "",TRUE,IF(OR(D1390="""",E1390="""",I1390="""",J1390="""",H1390=""""),""ফাঁকা ঘর"",""""),IF(AND(C1390&lt;&gt;"""",D1390&lt;&gt;"""",C1390=D1390),""gloss=figurative"",""""),IF(LEN(D1390)&lt;15,""figurative ছোট"",""""),IF(AND(I1390=""Positive"",REGEXMATCH(H1"&amp;"390,""মূর্খ|ভণ্ড|প্রতার|অলস|লোভ|স্বার্থ|অক্ষম|অযোগ্য|বোকা|কৃপণ|হিংস"")),""valence-target অমিল"",""""),IF(COUNTIF($B:$B,B1390)&gt;1,""ডুপ্লিকেট"",""""))"),"figurative ছোট")</f>
        <v>figurative ছোট</v>
      </c>
      <c r="Q1390" s="5" t="str">
        <f t="shared" si="1"/>
        <v>১ আগে দেখো</v>
      </c>
    </row>
    <row r="1391">
      <c r="A1391" s="4">
        <v>6930.0</v>
      </c>
      <c r="B1391" s="2" t="s">
        <v>5650</v>
      </c>
      <c r="C1391" s="2" t="s">
        <v>5651</v>
      </c>
      <c r="D1391" s="2" t="s">
        <v>5652</v>
      </c>
      <c r="E1391" s="2" t="s">
        <v>5653</v>
      </c>
      <c r="F1391" s="2" t="b">
        <v>1</v>
      </c>
      <c r="G1391" s="2" t="b">
        <v>0</v>
      </c>
      <c r="H1391" s="2" t="s">
        <v>37</v>
      </c>
      <c r="I1391" s="2" t="s">
        <v>49</v>
      </c>
      <c r="J1391" s="2" t="s">
        <v>5652</v>
      </c>
      <c r="K1391" s="2" t="s">
        <v>495</v>
      </c>
      <c r="L1391" s="13" t="s">
        <v>496</v>
      </c>
      <c r="M1391" s="2" t="s">
        <v>26</v>
      </c>
      <c r="N1391" s="11" t="s">
        <v>576</v>
      </c>
      <c r="O1391" s="12" t="s">
        <v>53</v>
      </c>
      <c r="P1391" s="5" t="str">
        <f>IFERROR(__xludf.DUMMYFUNCTION("TEXTJOIN("" | "",TRUE,IF(OR(D1391="""",E1391="""",I1391="""",J1391="""",H1391=""""),""ফাঁকা ঘর"",""""),IF(AND(C1391&lt;&gt;"""",D1391&lt;&gt;"""",C1391=D1391),""gloss=figurative"",""""),IF(LEN(D1391)&lt;15,""figurative ছোট"",""""),IF(AND(I1391=""Positive"",REGEXMATCH(H1"&amp;"391,""মূর্খ|ভণ্ড|প্রতার|অলস|লোভ|স্বার্থ|অক্ষম|অযোগ্য|বোকা|কৃপণ|হিংস"")),""valence-target অমিল"",""""),IF(COUNTIF($B:$B,B1391)&gt;1,""ডুপ্লিকেট"",""""))"),"figurative ছোট")</f>
        <v>figurative ছোট</v>
      </c>
      <c r="Q1391" s="5" t="str">
        <f t="shared" si="1"/>
        <v>১ আগে দেখো</v>
      </c>
    </row>
    <row r="1392">
      <c r="A1392" s="4">
        <v>6931.0</v>
      </c>
      <c r="B1392" s="2" t="s">
        <v>5654</v>
      </c>
      <c r="C1392" s="2" t="s">
        <v>5655</v>
      </c>
      <c r="D1392" s="2" t="s">
        <v>729</v>
      </c>
      <c r="E1392" s="2" t="s">
        <v>5656</v>
      </c>
      <c r="F1392" s="2" t="b">
        <v>1</v>
      </c>
      <c r="G1392" s="2" t="b">
        <v>0</v>
      </c>
      <c r="H1392" s="2" t="s">
        <v>37</v>
      </c>
      <c r="I1392" s="2" t="s">
        <v>22</v>
      </c>
      <c r="J1392" s="2" t="s">
        <v>729</v>
      </c>
      <c r="K1392" s="2" t="s">
        <v>495</v>
      </c>
      <c r="L1392" s="13" t="s">
        <v>496</v>
      </c>
      <c r="M1392" s="2" t="s">
        <v>26</v>
      </c>
      <c r="N1392" s="11" t="s">
        <v>576</v>
      </c>
      <c r="O1392" s="12" t="s">
        <v>53</v>
      </c>
      <c r="P1392" s="5" t="str">
        <f>IFERROR(__xludf.DUMMYFUNCTION("TEXTJOIN("" | "",TRUE,IF(OR(D1392="""",E1392="""",I1392="""",J1392="""",H1392=""""),""ফাঁকা ঘর"",""""),IF(AND(C1392&lt;&gt;"""",D1392&lt;&gt;"""",C1392=D1392),""gloss=figurative"",""""),IF(LEN(D1392)&lt;15,""figurative ছোট"",""""),IF(AND(I1392=""Positive"",REGEXMATCH(H1"&amp;"392,""মূর্খ|ভণ্ড|প্রতার|অলস|লোভ|স্বার্থ|অক্ষম|অযোগ্য|বোকা|কৃপণ|হিংস"")),""valence-target অমিল"",""""),IF(COUNTIF($B:$B,B1392)&gt;1,""ডুপ্লিকেট"",""""))"),"figurative ছোট")</f>
        <v>figurative ছোট</v>
      </c>
      <c r="Q1392" s="5" t="str">
        <f t="shared" si="1"/>
        <v>১ আগে দেখো</v>
      </c>
    </row>
    <row r="1393">
      <c r="A1393" s="4">
        <v>6932.0</v>
      </c>
      <c r="B1393" s="2" t="s">
        <v>5657</v>
      </c>
      <c r="C1393" s="2" t="s">
        <v>5658</v>
      </c>
      <c r="D1393" s="2" t="s">
        <v>1679</v>
      </c>
      <c r="E1393" s="2" t="s">
        <v>5555</v>
      </c>
      <c r="F1393" s="2" t="b">
        <v>1</v>
      </c>
      <c r="G1393" s="2" t="b">
        <v>0</v>
      </c>
      <c r="H1393" s="2" t="s">
        <v>37</v>
      </c>
      <c r="I1393" s="2" t="s">
        <v>32</v>
      </c>
      <c r="J1393" s="2" t="s">
        <v>1679</v>
      </c>
      <c r="K1393" s="2" t="s">
        <v>495</v>
      </c>
      <c r="L1393" s="13" t="s">
        <v>496</v>
      </c>
      <c r="M1393" s="2" t="s">
        <v>26</v>
      </c>
      <c r="N1393" s="11" t="s">
        <v>576</v>
      </c>
      <c r="O1393" s="12" t="s">
        <v>53</v>
      </c>
      <c r="P1393" s="5" t="str">
        <f>IFERROR(__xludf.DUMMYFUNCTION("TEXTJOIN("" | "",TRUE,IF(OR(D1393="""",E1393="""",I1393="""",J1393="""",H1393=""""),""ফাঁকা ঘর"",""""),IF(AND(C1393&lt;&gt;"""",D1393&lt;&gt;"""",C1393=D1393),""gloss=figurative"",""""),IF(LEN(D1393)&lt;15,""figurative ছোট"",""""),IF(AND(I1393=""Positive"",REGEXMATCH(H1"&amp;"393,""মূর্খ|ভণ্ড|প্রতার|অলস|লোভ|স্বার্থ|অক্ষম|অযোগ্য|বোকা|কৃপণ|হিংস"")),""valence-target অমিল"",""""),IF(COUNTIF($B:$B,B1393)&gt;1,""ডুপ্লিকেট"",""""))"),"figurative ছোট")</f>
        <v>figurative ছোট</v>
      </c>
      <c r="Q1393" s="5" t="str">
        <f t="shared" si="1"/>
        <v>১ আগে দেখো</v>
      </c>
    </row>
    <row r="1394">
      <c r="A1394" s="4">
        <v>6933.0</v>
      </c>
      <c r="B1394" s="2" t="s">
        <v>5659</v>
      </c>
      <c r="C1394" s="2" t="s">
        <v>5660</v>
      </c>
      <c r="D1394" s="2" t="s">
        <v>3284</v>
      </c>
      <c r="E1394" s="2" t="s">
        <v>5661</v>
      </c>
      <c r="F1394" s="2" t="b">
        <v>1</v>
      </c>
      <c r="G1394" s="2" t="b">
        <v>0</v>
      </c>
      <c r="H1394" s="2" t="s">
        <v>37</v>
      </c>
      <c r="I1394" s="2" t="s">
        <v>49</v>
      </c>
      <c r="J1394" s="2" t="s">
        <v>300</v>
      </c>
      <c r="K1394" s="2" t="s">
        <v>495</v>
      </c>
      <c r="L1394" s="13" t="s">
        <v>496</v>
      </c>
      <c r="M1394" s="2" t="s">
        <v>26</v>
      </c>
      <c r="N1394" s="11" t="s">
        <v>576</v>
      </c>
      <c r="O1394" s="12" t="s">
        <v>53</v>
      </c>
      <c r="P1394" s="5" t="str">
        <f>IFERROR(__xludf.DUMMYFUNCTION("TEXTJOIN("" | "",TRUE,IF(OR(D1394="""",E1394="""",I1394="""",J1394="""",H1394=""""),""ফাঁকা ঘর"",""""),IF(AND(C1394&lt;&gt;"""",D1394&lt;&gt;"""",C1394=D1394),""gloss=figurative"",""""),IF(LEN(D1394)&lt;15,""figurative ছোট"",""""),IF(AND(I1394=""Positive"",REGEXMATCH(H1"&amp;"394,""মূর্খ|ভণ্ড|প্রতার|অলস|লোভ|স্বার্থ|অক্ষম|অযোগ্য|বোকা|কৃপণ|হিংস"")),""valence-target অমিল"",""""),IF(COUNTIF($B:$B,B1394)&gt;1,""ডুপ্লিকেট"",""""))"),"figurative ছোট")</f>
        <v>figurative ছোট</v>
      </c>
      <c r="Q1394" s="5" t="str">
        <f t="shared" si="1"/>
        <v>১ আগে দেখো</v>
      </c>
    </row>
    <row r="1395">
      <c r="A1395" s="4">
        <v>6934.0</v>
      </c>
      <c r="B1395" s="2" t="s">
        <v>5662</v>
      </c>
      <c r="C1395" s="2" t="s">
        <v>5663</v>
      </c>
      <c r="D1395" s="2" t="s">
        <v>4463</v>
      </c>
      <c r="E1395" s="2" t="s">
        <v>5664</v>
      </c>
      <c r="F1395" s="2" t="b">
        <v>1</v>
      </c>
      <c r="G1395" s="2" t="b">
        <v>0</v>
      </c>
      <c r="H1395" s="2" t="s">
        <v>37</v>
      </c>
      <c r="I1395" s="2" t="s">
        <v>22</v>
      </c>
      <c r="J1395" s="2" t="s">
        <v>4463</v>
      </c>
      <c r="K1395" s="2" t="s">
        <v>495</v>
      </c>
      <c r="L1395" s="13" t="s">
        <v>496</v>
      </c>
      <c r="M1395" s="2" t="s">
        <v>26</v>
      </c>
      <c r="N1395" s="11" t="s">
        <v>576</v>
      </c>
      <c r="O1395" s="12" t="s">
        <v>53</v>
      </c>
      <c r="P1395" s="5" t="str">
        <f>IFERROR(__xludf.DUMMYFUNCTION("TEXTJOIN("" | "",TRUE,IF(OR(D1395="""",E1395="""",I1395="""",J1395="""",H1395=""""),""ফাঁকা ঘর"",""""),IF(AND(C1395&lt;&gt;"""",D1395&lt;&gt;"""",C1395=D1395),""gloss=figurative"",""""),IF(LEN(D1395)&lt;15,""figurative ছোট"",""""),IF(AND(I1395=""Positive"",REGEXMATCH(H1"&amp;"395,""মূর্খ|ভণ্ড|প্রতার|অলস|লোভ|স্বার্থ|অক্ষম|অযোগ্য|বোকা|কৃপণ|হিংস"")),""valence-target অমিল"",""""),IF(COUNTIF($B:$B,B1395)&gt;1,""ডুপ্লিকেট"",""""))"),"figurative ছোট")</f>
        <v>figurative ছোট</v>
      </c>
      <c r="Q1395" s="5" t="str">
        <f t="shared" si="1"/>
        <v>১ আগে দেখো</v>
      </c>
    </row>
    <row r="1396">
      <c r="A1396" s="4">
        <v>6935.0</v>
      </c>
      <c r="B1396" s="2" t="s">
        <v>5665</v>
      </c>
      <c r="C1396" s="2" t="s">
        <v>5666</v>
      </c>
      <c r="D1396" s="2" t="s">
        <v>581</v>
      </c>
      <c r="E1396" s="2" t="s">
        <v>5667</v>
      </c>
      <c r="F1396" s="2" t="b">
        <v>1</v>
      </c>
      <c r="G1396" s="2" t="b">
        <v>0</v>
      </c>
      <c r="H1396" s="2" t="s">
        <v>37</v>
      </c>
      <c r="I1396" s="2" t="s">
        <v>22</v>
      </c>
      <c r="J1396" s="2" t="s">
        <v>581</v>
      </c>
      <c r="K1396" s="2" t="s">
        <v>495</v>
      </c>
      <c r="L1396" s="13" t="s">
        <v>496</v>
      </c>
      <c r="M1396" s="2" t="s">
        <v>26</v>
      </c>
      <c r="N1396" s="11" t="s">
        <v>576</v>
      </c>
      <c r="O1396" s="12" t="s">
        <v>53</v>
      </c>
      <c r="P1396" s="5" t="str">
        <f>IFERROR(__xludf.DUMMYFUNCTION("TEXTJOIN("" | "",TRUE,IF(OR(D1396="""",E1396="""",I1396="""",J1396="""",H1396=""""),""ফাঁকা ঘর"",""""),IF(AND(C1396&lt;&gt;"""",D1396&lt;&gt;"""",C1396=D1396),""gloss=figurative"",""""),IF(LEN(D1396)&lt;15,""figurative ছোট"",""""),IF(AND(I1396=""Positive"",REGEXMATCH(H1"&amp;"396,""মূর্খ|ভণ্ড|প্রতার|অলস|লোভ|স্বার্থ|অক্ষম|অযোগ্য|বোকা|কৃপণ|হিংস"")),""valence-target অমিল"",""""),IF(COUNTIF($B:$B,B1396)&gt;1,""ডুপ্লিকেট"",""""))"),"figurative ছোট")</f>
        <v>figurative ছোট</v>
      </c>
      <c r="Q1396" s="5" t="str">
        <f t="shared" si="1"/>
        <v>১ আগে দেখো</v>
      </c>
    </row>
    <row r="1397">
      <c r="A1397" s="4">
        <v>6936.0</v>
      </c>
      <c r="B1397" s="2" t="s">
        <v>5668</v>
      </c>
      <c r="C1397" s="2" t="s">
        <v>5669</v>
      </c>
      <c r="D1397" s="2" t="s">
        <v>1571</v>
      </c>
      <c r="E1397" s="2" t="s">
        <v>5670</v>
      </c>
      <c r="F1397" s="2" t="b">
        <v>1</v>
      </c>
      <c r="G1397" s="2" t="b">
        <v>0</v>
      </c>
      <c r="H1397" s="2" t="s">
        <v>1571</v>
      </c>
      <c r="I1397" s="2" t="s">
        <v>22</v>
      </c>
      <c r="J1397" s="2" t="s">
        <v>1572</v>
      </c>
      <c r="K1397" s="2" t="s">
        <v>495</v>
      </c>
      <c r="L1397" s="13" t="s">
        <v>496</v>
      </c>
      <c r="M1397" s="2" t="s">
        <v>26</v>
      </c>
      <c r="N1397" s="11" t="s">
        <v>576</v>
      </c>
      <c r="O1397" s="12" t="s">
        <v>53</v>
      </c>
      <c r="P1397" s="5" t="str">
        <f>IFERROR(__xludf.DUMMYFUNCTION("TEXTJOIN("" | "",TRUE,IF(OR(D1397="""",E1397="""",I1397="""",J1397="""",H1397=""""),""ফাঁকা ঘর"",""""),IF(AND(C1397&lt;&gt;"""",D1397&lt;&gt;"""",C1397=D1397),""gloss=figurative"",""""),IF(LEN(D1397)&lt;15,""figurative ছোট"",""""),IF(AND(I1397=""Positive"",REGEXMATCH(H1"&amp;"397,""মূর্খ|ভণ্ড|প্রতার|অলস|লোভ|স্বার্থ|অক্ষম|অযোগ্য|বোকা|কৃপণ|হিংস"")),""valence-target অমিল"",""""),IF(COUNTIF($B:$B,B1397)&gt;1,""ডুপ্লিকেট"",""""))"),"figurative ছোট")</f>
        <v>figurative ছোট</v>
      </c>
      <c r="Q1397" s="5" t="str">
        <f t="shared" si="1"/>
        <v>১ আগে দেখো</v>
      </c>
    </row>
    <row r="1398">
      <c r="A1398" s="4">
        <v>6937.0</v>
      </c>
      <c r="B1398" s="2" t="s">
        <v>5671</v>
      </c>
      <c r="C1398" s="2" t="s">
        <v>5672</v>
      </c>
      <c r="D1398" s="2" t="s">
        <v>5673</v>
      </c>
      <c r="E1398" s="2" t="s">
        <v>5674</v>
      </c>
      <c r="F1398" s="2" t="b">
        <v>1</v>
      </c>
      <c r="G1398" s="2" t="b">
        <v>0</v>
      </c>
      <c r="H1398" s="2" t="s">
        <v>37</v>
      </c>
      <c r="I1398" s="2" t="s">
        <v>49</v>
      </c>
      <c r="J1398" s="2" t="s">
        <v>2015</v>
      </c>
      <c r="K1398" s="2" t="s">
        <v>495</v>
      </c>
      <c r="L1398" s="13" t="s">
        <v>496</v>
      </c>
      <c r="M1398" s="2" t="s">
        <v>26</v>
      </c>
      <c r="N1398" s="11" t="s">
        <v>576</v>
      </c>
      <c r="O1398" s="12" t="s">
        <v>53</v>
      </c>
      <c r="P1398" s="5" t="str">
        <f>IFERROR(__xludf.DUMMYFUNCTION("TEXTJOIN("" | "",TRUE,IF(OR(D1398="""",E1398="""",I1398="""",J1398="""",H1398=""""),""ফাঁকা ঘর"",""""),IF(AND(C1398&lt;&gt;"""",D1398&lt;&gt;"""",C1398=D1398),""gloss=figurative"",""""),IF(LEN(D1398)&lt;15,""figurative ছোট"",""""),IF(AND(I1398=""Positive"",REGEXMATCH(H1"&amp;"398,""মূর্খ|ভণ্ড|প্রতার|অলস|লোভ|স্বার্থ|অক্ষম|অযোগ্য|বোকা|কৃপণ|হিংস"")),""valence-target অমিল"",""""),IF(COUNTIF($B:$B,B1398)&gt;1,""ডুপ্লিকেট"",""""))"),"figurative ছোট")</f>
        <v>figurative ছোট</v>
      </c>
      <c r="Q1398" s="5" t="str">
        <f t="shared" si="1"/>
        <v>১ আগে দেখো</v>
      </c>
    </row>
    <row r="1399">
      <c r="A1399" s="4">
        <v>6938.0</v>
      </c>
      <c r="B1399" s="2" t="s">
        <v>5675</v>
      </c>
      <c r="C1399" s="2" t="s">
        <v>5676</v>
      </c>
      <c r="D1399" s="2" t="s">
        <v>1603</v>
      </c>
      <c r="E1399" s="2" t="s">
        <v>5677</v>
      </c>
      <c r="F1399" s="2" t="b">
        <v>1</v>
      </c>
      <c r="G1399" s="2" t="b">
        <v>0</v>
      </c>
      <c r="H1399" s="2" t="s">
        <v>37</v>
      </c>
      <c r="I1399" s="2" t="s">
        <v>22</v>
      </c>
      <c r="J1399" s="2" t="s">
        <v>1603</v>
      </c>
      <c r="K1399" s="2" t="s">
        <v>495</v>
      </c>
      <c r="L1399" s="13" t="s">
        <v>496</v>
      </c>
      <c r="M1399" s="2" t="s">
        <v>26</v>
      </c>
      <c r="N1399" s="11" t="s">
        <v>576</v>
      </c>
      <c r="O1399" s="12" t="s">
        <v>53</v>
      </c>
      <c r="P1399" s="5" t="str">
        <f>IFERROR(__xludf.DUMMYFUNCTION("TEXTJOIN("" | "",TRUE,IF(OR(D1399="""",E1399="""",I1399="""",J1399="""",H1399=""""),""ফাঁকা ঘর"",""""),IF(AND(C1399&lt;&gt;"""",D1399&lt;&gt;"""",C1399=D1399),""gloss=figurative"",""""),IF(LEN(D1399)&lt;15,""figurative ছোট"",""""),IF(AND(I1399=""Positive"",REGEXMATCH(H1"&amp;"399,""মূর্খ|ভণ্ড|প্রতার|অলস|লোভ|স্বার্থ|অক্ষম|অযোগ্য|বোকা|কৃপণ|হিংস"")),""valence-target অমিল"",""""),IF(COUNTIF($B:$B,B1399)&gt;1,""ডুপ্লিকেট"",""""))"),"figurative ছোট")</f>
        <v>figurative ছোট</v>
      </c>
      <c r="Q1399" s="5" t="str">
        <f t="shared" si="1"/>
        <v>১ আগে দেখো</v>
      </c>
    </row>
    <row r="1400">
      <c r="A1400" s="4">
        <v>6939.0</v>
      </c>
      <c r="B1400" s="2" t="s">
        <v>5678</v>
      </c>
      <c r="C1400" s="2" t="s">
        <v>5679</v>
      </c>
      <c r="D1400" s="2" t="s">
        <v>4039</v>
      </c>
      <c r="E1400" s="2" t="s">
        <v>5680</v>
      </c>
      <c r="F1400" s="2" t="b">
        <v>1</v>
      </c>
      <c r="G1400" s="2" t="b">
        <v>0</v>
      </c>
      <c r="H1400" s="2" t="s">
        <v>37</v>
      </c>
      <c r="I1400" s="2" t="s">
        <v>49</v>
      </c>
      <c r="J1400" s="2" t="s">
        <v>300</v>
      </c>
      <c r="K1400" s="2" t="s">
        <v>495</v>
      </c>
      <c r="L1400" s="13" t="s">
        <v>496</v>
      </c>
      <c r="M1400" s="2" t="s">
        <v>26</v>
      </c>
      <c r="N1400" s="11" t="s">
        <v>576</v>
      </c>
      <c r="O1400" s="12" t="s">
        <v>53</v>
      </c>
      <c r="P1400" s="5" t="str">
        <f>IFERROR(__xludf.DUMMYFUNCTION("TEXTJOIN("" | "",TRUE,IF(OR(D1400="""",E1400="""",I1400="""",J1400="""",H1400=""""),""ফাঁকা ঘর"",""""),IF(AND(C1400&lt;&gt;"""",D1400&lt;&gt;"""",C1400=D1400),""gloss=figurative"",""""),IF(LEN(D1400)&lt;15,""figurative ছোট"",""""),IF(AND(I1400=""Positive"",REGEXMATCH(H1"&amp;"400,""মূর্খ|ভণ্ড|প্রতার|অলস|লোভ|স্বার্থ|অক্ষম|অযোগ্য|বোকা|কৃপণ|হিংস"")),""valence-target অমিল"",""""),IF(COUNTIF($B:$B,B1400)&gt;1,""ডুপ্লিকেট"",""""))"),"figurative ছোট")</f>
        <v>figurative ছোট</v>
      </c>
      <c r="Q1400" s="5" t="str">
        <f t="shared" si="1"/>
        <v>১ আগে দেখো</v>
      </c>
    </row>
    <row r="1401">
      <c r="A1401" s="4">
        <v>6940.0</v>
      </c>
      <c r="B1401" s="2" t="s">
        <v>5681</v>
      </c>
      <c r="C1401" s="2" t="s">
        <v>5682</v>
      </c>
      <c r="D1401" s="2" t="s">
        <v>1603</v>
      </c>
      <c r="E1401" s="2" t="s">
        <v>5683</v>
      </c>
      <c r="F1401" s="2" t="b">
        <v>1</v>
      </c>
      <c r="G1401" s="2" t="b">
        <v>0</v>
      </c>
      <c r="H1401" s="2" t="s">
        <v>37</v>
      </c>
      <c r="I1401" s="2" t="s">
        <v>22</v>
      </c>
      <c r="J1401" s="2" t="s">
        <v>1603</v>
      </c>
      <c r="K1401" s="2" t="s">
        <v>495</v>
      </c>
      <c r="L1401" s="13" t="s">
        <v>496</v>
      </c>
      <c r="M1401" s="2" t="s">
        <v>26</v>
      </c>
      <c r="N1401" s="11" t="s">
        <v>576</v>
      </c>
      <c r="O1401" s="12" t="s">
        <v>53</v>
      </c>
      <c r="P1401" s="5" t="str">
        <f>IFERROR(__xludf.DUMMYFUNCTION("TEXTJOIN("" | "",TRUE,IF(OR(D1401="""",E1401="""",I1401="""",J1401="""",H1401=""""),""ফাঁকা ঘর"",""""),IF(AND(C1401&lt;&gt;"""",D1401&lt;&gt;"""",C1401=D1401),""gloss=figurative"",""""),IF(LEN(D1401)&lt;15,""figurative ছোট"",""""),IF(AND(I1401=""Positive"",REGEXMATCH(H1"&amp;"401,""মূর্খ|ভণ্ড|প্রতার|অলস|লোভ|স্বার্থ|অক্ষম|অযোগ্য|বোকা|কৃপণ|হিংস"")),""valence-target অমিল"",""""),IF(COUNTIF($B:$B,B1401)&gt;1,""ডুপ্লিকেট"",""""))"),"figurative ছোট")</f>
        <v>figurative ছোট</v>
      </c>
      <c r="Q1401" s="5" t="str">
        <f t="shared" si="1"/>
        <v>১ আগে দেখো</v>
      </c>
    </row>
    <row r="1402">
      <c r="A1402" s="4">
        <v>6941.0</v>
      </c>
      <c r="B1402" s="2" t="s">
        <v>5684</v>
      </c>
      <c r="C1402" s="2" t="s">
        <v>5685</v>
      </c>
      <c r="D1402" s="2" t="s">
        <v>4617</v>
      </c>
      <c r="E1402" s="2" t="s">
        <v>5686</v>
      </c>
      <c r="F1402" s="2" t="b">
        <v>1</v>
      </c>
      <c r="G1402" s="2" t="b">
        <v>0</v>
      </c>
      <c r="H1402" s="2" t="s">
        <v>37</v>
      </c>
      <c r="I1402" s="2" t="s">
        <v>49</v>
      </c>
      <c r="J1402" s="2" t="s">
        <v>4617</v>
      </c>
      <c r="K1402" s="2" t="s">
        <v>495</v>
      </c>
      <c r="L1402" s="13" t="s">
        <v>496</v>
      </c>
      <c r="M1402" s="2" t="s">
        <v>26</v>
      </c>
      <c r="N1402" s="11" t="s">
        <v>576</v>
      </c>
      <c r="O1402" s="12" t="s">
        <v>53</v>
      </c>
      <c r="P1402" s="5" t="str">
        <f>IFERROR(__xludf.DUMMYFUNCTION("TEXTJOIN("" | "",TRUE,IF(OR(D1402="""",E1402="""",I1402="""",J1402="""",H1402=""""),""ফাঁকা ঘর"",""""),IF(AND(C1402&lt;&gt;"""",D1402&lt;&gt;"""",C1402=D1402),""gloss=figurative"",""""),IF(LEN(D1402)&lt;15,""figurative ছোট"",""""),IF(AND(I1402=""Positive"",REGEXMATCH(H1"&amp;"402,""মূর্খ|ভণ্ড|প্রতার|অলস|লোভ|স্বার্থ|অক্ষম|অযোগ্য|বোকা|কৃপণ|হিংস"")),""valence-target অমিল"",""""),IF(COUNTIF($B:$B,B1402)&gt;1,""ডুপ্লিকেট"",""""))"),"figurative ছোট")</f>
        <v>figurative ছোট</v>
      </c>
      <c r="Q1402" s="5" t="str">
        <f t="shared" si="1"/>
        <v>১ আগে দেখো</v>
      </c>
    </row>
    <row r="1403">
      <c r="A1403" s="4">
        <v>6942.0</v>
      </c>
      <c r="B1403" s="2" t="s">
        <v>5687</v>
      </c>
      <c r="C1403" s="2" t="s">
        <v>5688</v>
      </c>
      <c r="D1403" s="2" t="s">
        <v>5689</v>
      </c>
      <c r="E1403" s="2" t="s">
        <v>5690</v>
      </c>
      <c r="F1403" s="2" t="b">
        <v>1</v>
      </c>
      <c r="G1403" s="2" t="b">
        <v>0</v>
      </c>
      <c r="H1403" s="2" t="s">
        <v>37</v>
      </c>
      <c r="I1403" s="2" t="s">
        <v>32</v>
      </c>
      <c r="J1403" s="2" t="s">
        <v>5689</v>
      </c>
      <c r="K1403" s="2" t="s">
        <v>495</v>
      </c>
      <c r="L1403" s="13" t="s">
        <v>496</v>
      </c>
      <c r="M1403" s="2" t="s">
        <v>26</v>
      </c>
      <c r="N1403" s="11" t="s">
        <v>576</v>
      </c>
      <c r="O1403" s="12" t="s">
        <v>53</v>
      </c>
      <c r="P1403" s="5" t="str">
        <f>IFERROR(__xludf.DUMMYFUNCTION("TEXTJOIN("" | "",TRUE,IF(OR(D1403="""",E1403="""",I1403="""",J1403="""",H1403=""""),""ফাঁকা ঘর"",""""),IF(AND(C1403&lt;&gt;"""",D1403&lt;&gt;"""",C1403=D1403),""gloss=figurative"",""""),IF(LEN(D1403)&lt;15,""figurative ছোট"",""""),IF(AND(I1403=""Positive"",REGEXMATCH(H1"&amp;"403,""মূর্খ|ভণ্ড|প্রতার|অলস|লোভ|স্বার্থ|অক্ষম|অযোগ্য|বোকা|কৃপণ|হিংস"")),""valence-target অমিল"",""""),IF(COUNTIF($B:$B,B1403)&gt;1,""ডুপ্লিকেট"",""""))"),"figurative ছোট")</f>
        <v>figurative ছোট</v>
      </c>
      <c r="Q1403" s="5" t="str">
        <f t="shared" si="1"/>
        <v>১ আগে দেখো</v>
      </c>
    </row>
    <row r="1404">
      <c r="A1404" s="4">
        <v>6943.0</v>
      </c>
      <c r="B1404" s="2" t="s">
        <v>5691</v>
      </c>
      <c r="C1404" s="2" t="s">
        <v>5692</v>
      </c>
      <c r="D1404" s="2" t="s">
        <v>565</v>
      </c>
      <c r="E1404" s="2" t="s">
        <v>5693</v>
      </c>
      <c r="F1404" s="2" t="b">
        <v>1</v>
      </c>
      <c r="G1404" s="2" t="b">
        <v>0</v>
      </c>
      <c r="H1404" s="2" t="s">
        <v>37</v>
      </c>
      <c r="I1404" s="2" t="s">
        <v>22</v>
      </c>
      <c r="J1404" s="2" t="s">
        <v>565</v>
      </c>
      <c r="K1404" s="2" t="s">
        <v>495</v>
      </c>
      <c r="L1404" s="13" t="s">
        <v>496</v>
      </c>
      <c r="M1404" s="2" t="s">
        <v>26</v>
      </c>
      <c r="N1404" s="11" t="s">
        <v>576</v>
      </c>
      <c r="O1404" s="12" t="s">
        <v>53</v>
      </c>
      <c r="P1404" s="5" t="str">
        <f>IFERROR(__xludf.DUMMYFUNCTION("TEXTJOIN("" | "",TRUE,IF(OR(D1404="""",E1404="""",I1404="""",J1404="""",H1404=""""),""ফাঁকা ঘর"",""""),IF(AND(C1404&lt;&gt;"""",D1404&lt;&gt;"""",C1404=D1404),""gloss=figurative"",""""),IF(LEN(D1404)&lt;15,""figurative ছোট"",""""),IF(AND(I1404=""Positive"",REGEXMATCH(H1"&amp;"404,""মূর্খ|ভণ্ড|প্রতার|অলস|লোভ|স্বার্থ|অক্ষম|অযোগ্য|বোকা|কৃপণ|হিংস"")),""valence-target অমিল"",""""),IF(COUNTIF($B:$B,B1404)&gt;1,""ডুপ্লিকেট"",""""))"),"figurative ছোট")</f>
        <v>figurative ছোট</v>
      </c>
      <c r="Q1404" s="5" t="str">
        <f t="shared" si="1"/>
        <v>১ আগে দেখো</v>
      </c>
    </row>
    <row r="1405">
      <c r="A1405" s="4">
        <v>6944.0</v>
      </c>
      <c r="B1405" s="2" t="s">
        <v>5694</v>
      </c>
      <c r="C1405" s="2" t="s">
        <v>5695</v>
      </c>
      <c r="D1405" s="2" t="s">
        <v>5696</v>
      </c>
      <c r="E1405" s="2" t="s">
        <v>5697</v>
      </c>
      <c r="F1405" s="2" t="b">
        <v>1</v>
      </c>
      <c r="G1405" s="2" t="b">
        <v>0</v>
      </c>
      <c r="H1405" s="2" t="s">
        <v>37</v>
      </c>
      <c r="I1405" s="2" t="s">
        <v>32</v>
      </c>
      <c r="J1405" s="2" t="s">
        <v>1925</v>
      </c>
      <c r="K1405" s="2" t="s">
        <v>495</v>
      </c>
      <c r="L1405" s="13" t="s">
        <v>496</v>
      </c>
      <c r="M1405" s="2" t="s">
        <v>26</v>
      </c>
      <c r="N1405" s="11" t="s">
        <v>576</v>
      </c>
      <c r="O1405" s="12" t="s">
        <v>53</v>
      </c>
      <c r="P1405" s="5" t="str">
        <f>IFERROR(__xludf.DUMMYFUNCTION("TEXTJOIN("" | "",TRUE,IF(OR(D1405="""",E1405="""",I1405="""",J1405="""",H1405=""""),""ফাঁকা ঘর"",""""),IF(AND(C1405&lt;&gt;"""",D1405&lt;&gt;"""",C1405=D1405),""gloss=figurative"",""""),IF(LEN(D1405)&lt;15,""figurative ছোট"",""""),IF(AND(I1405=""Positive"",REGEXMATCH(H1"&amp;"405,""মূর্খ|ভণ্ড|প্রতার|অলস|লোভ|স্বার্থ|অক্ষম|অযোগ্য|বোকা|কৃপণ|হিংস"")),""valence-target অমিল"",""""),IF(COUNTIF($B:$B,B1405)&gt;1,""ডুপ্লিকেট"",""""))"),"figurative ছোট")</f>
        <v>figurative ছোট</v>
      </c>
      <c r="Q1405" s="5" t="str">
        <f t="shared" si="1"/>
        <v>১ আগে দেখো</v>
      </c>
    </row>
    <row r="1406">
      <c r="A1406" s="4">
        <v>6945.0</v>
      </c>
      <c r="B1406" s="2" t="s">
        <v>5698</v>
      </c>
      <c r="C1406" s="2" t="s">
        <v>5699</v>
      </c>
      <c r="D1406" s="2" t="s">
        <v>4349</v>
      </c>
      <c r="E1406" s="2" t="s">
        <v>5700</v>
      </c>
      <c r="F1406" s="2" t="b">
        <v>1</v>
      </c>
      <c r="G1406" s="2" t="b">
        <v>0</v>
      </c>
      <c r="H1406" s="2" t="s">
        <v>4349</v>
      </c>
      <c r="I1406" s="2" t="s">
        <v>22</v>
      </c>
      <c r="J1406" s="2" t="s">
        <v>581</v>
      </c>
      <c r="K1406" s="2" t="s">
        <v>495</v>
      </c>
      <c r="L1406" s="13" t="s">
        <v>496</v>
      </c>
      <c r="M1406" s="2" t="s">
        <v>26</v>
      </c>
      <c r="N1406" s="11" t="s">
        <v>576</v>
      </c>
      <c r="O1406" s="12" t="s">
        <v>53</v>
      </c>
      <c r="P1406" s="5" t="str">
        <f>IFERROR(__xludf.DUMMYFUNCTION("TEXTJOIN("" | "",TRUE,IF(OR(D1406="""",E1406="""",I1406="""",J1406="""",H1406=""""),""ফাঁকা ঘর"",""""),IF(AND(C1406&lt;&gt;"""",D1406&lt;&gt;"""",C1406=D1406),""gloss=figurative"",""""),IF(LEN(D1406)&lt;15,""figurative ছোট"",""""),IF(AND(I1406=""Positive"",REGEXMATCH(H1"&amp;"406,""মূর্খ|ভণ্ড|প্রতার|অলস|লোভ|স্বার্থ|অক্ষম|অযোগ্য|বোকা|কৃপণ|হিংস"")),""valence-target অমিল"",""""),IF(COUNTIF($B:$B,B1406)&gt;1,""ডুপ্লিকেট"",""""))"),"figurative ছোট")</f>
        <v>figurative ছোট</v>
      </c>
      <c r="Q1406" s="5" t="str">
        <f t="shared" si="1"/>
        <v>১ আগে দেখো</v>
      </c>
    </row>
    <row r="1407">
      <c r="A1407" s="4">
        <v>6946.0</v>
      </c>
      <c r="B1407" s="2" t="s">
        <v>5701</v>
      </c>
      <c r="C1407" s="2" t="s">
        <v>5702</v>
      </c>
      <c r="D1407" s="2" t="s">
        <v>2629</v>
      </c>
      <c r="E1407" s="2" t="s">
        <v>5703</v>
      </c>
      <c r="F1407" s="2" t="b">
        <v>1</v>
      </c>
      <c r="G1407" s="2" t="b">
        <v>0</v>
      </c>
      <c r="H1407" s="2" t="s">
        <v>37</v>
      </c>
      <c r="I1407" s="2" t="s">
        <v>22</v>
      </c>
      <c r="J1407" s="2" t="s">
        <v>2602</v>
      </c>
      <c r="K1407" s="2" t="s">
        <v>495</v>
      </c>
      <c r="L1407" s="13" t="s">
        <v>496</v>
      </c>
      <c r="M1407" s="2" t="s">
        <v>26</v>
      </c>
      <c r="N1407" s="11" t="s">
        <v>576</v>
      </c>
      <c r="O1407" s="12" t="s">
        <v>53</v>
      </c>
      <c r="P1407" s="5" t="str">
        <f>IFERROR(__xludf.DUMMYFUNCTION("TEXTJOIN("" | "",TRUE,IF(OR(D1407="""",E1407="""",I1407="""",J1407="""",H1407=""""),""ফাঁকা ঘর"",""""),IF(AND(C1407&lt;&gt;"""",D1407&lt;&gt;"""",C1407=D1407),""gloss=figurative"",""""),IF(LEN(D1407)&lt;15,""figurative ছোট"",""""),IF(AND(I1407=""Positive"",REGEXMATCH(H1"&amp;"407,""মূর্খ|ভণ্ড|প্রতার|অলস|লোভ|স্বার্থ|অক্ষম|অযোগ্য|বোকা|কৃপণ|হিংস"")),""valence-target অমিল"",""""),IF(COUNTIF($B:$B,B1407)&gt;1,""ডুপ্লিকেট"",""""))"),"figurative ছোট")</f>
        <v>figurative ছোট</v>
      </c>
      <c r="Q1407" s="5" t="str">
        <f t="shared" si="1"/>
        <v>১ আগে দেখো</v>
      </c>
    </row>
    <row r="1408">
      <c r="A1408" s="4">
        <v>6947.0</v>
      </c>
      <c r="B1408" s="2" t="s">
        <v>5704</v>
      </c>
      <c r="C1408" s="2" t="s">
        <v>5705</v>
      </c>
      <c r="D1408" s="2" t="s">
        <v>1635</v>
      </c>
      <c r="E1408" s="2" t="s">
        <v>5706</v>
      </c>
      <c r="F1408" s="2" t="b">
        <v>1</v>
      </c>
      <c r="G1408" s="2" t="b">
        <v>0</v>
      </c>
      <c r="H1408" s="2" t="s">
        <v>37</v>
      </c>
      <c r="I1408" s="2" t="s">
        <v>49</v>
      </c>
      <c r="J1408" s="2" t="s">
        <v>3416</v>
      </c>
      <c r="K1408" s="2" t="s">
        <v>495</v>
      </c>
      <c r="L1408" s="13" t="s">
        <v>496</v>
      </c>
      <c r="M1408" s="2" t="s">
        <v>26</v>
      </c>
      <c r="N1408" s="11" t="s">
        <v>576</v>
      </c>
      <c r="O1408" s="12" t="s">
        <v>53</v>
      </c>
      <c r="P1408" s="5" t="str">
        <f>IFERROR(__xludf.DUMMYFUNCTION("TEXTJOIN("" | "",TRUE,IF(OR(D1408="""",E1408="""",I1408="""",J1408="""",H1408=""""),""ফাঁকা ঘর"",""""),IF(AND(C1408&lt;&gt;"""",D1408&lt;&gt;"""",C1408=D1408),""gloss=figurative"",""""),IF(LEN(D1408)&lt;15,""figurative ছোট"",""""),IF(AND(I1408=""Positive"",REGEXMATCH(H1"&amp;"408,""মূর্খ|ভণ্ড|প্রতার|অলস|লোভ|স্বার্থ|অক্ষম|অযোগ্য|বোকা|কৃপণ|হিংস"")),""valence-target অমিল"",""""),IF(COUNTIF($B:$B,B1408)&gt;1,""ডুপ্লিকেট"",""""))"),"figurative ছোট")</f>
        <v>figurative ছোট</v>
      </c>
      <c r="Q1408" s="5" t="str">
        <f t="shared" si="1"/>
        <v>১ আগে দেখো</v>
      </c>
    </row>
    <row r="1409">
      <c r="A1409" s="4">
        <v>6948.0</v>
      </c>
      <c r="B1409" s="2" t="s">
        <v>5707</v>
      </c>
      <c r="C1409" s="2" t="s">
        <v>5708</v>
      </c>
      <c r="D1409" s="2" t="s">
        <v>5709</v>
      </c>
      <c r="E1409" s="2" t="s">
        <v>5710</v>
      </c>
      <c r="F1409" s="2" t="b">
        <v>1</v>
      </c>
      <c r="G1409" s="2" t="b">
        <v>0</v>
      </c>
      <c r="H1409" s="2" t="s">
        <v>37</v>
      </c>
      <c r="I1409" s="2" t="s">
        <v>32</v>
      </c>
      <c r="J1409" s="2" t="s">
        <v>1775</v>
      </c>
      <c r="K1409" s="2" t="s">
        <v>495</v>
      </c>
      <c r="L1409" s="13" t="s">
        <v>496</v>
      </c>
      <c r="M1409" s="2" t="s">
        <v>26</v>
      </c>
      <c r="N1409" s="11" t="s">
        <v>576</v>
      </c>
      <c r="O1409" s="12" t="s">
        <v>53</v>
      </c>
      <c r="P1409" s="5" t="str">
        <f>IFERROR(__xludf.DUMMYFUNCTION("TEXTJOIN("" | "",TRUE,IF(OR(D1409="""",E1409="""",I1409="""",J1409="""",H1409=""""),""ফাঁকা ঘর"",""""),IF(AND(C1409&lt;&gt;"""",D1409&lt;&gt;"""",C1409=D1409),""gloss=figurative"",""""),IF(LEN(D1409)&lt;15,""figurative ছোট"",""""),IF(AND(I1409=""Positive"",REGEXMATCH(H1"&amp;"409,""মূর্খ|ভণ্ড|প্রতার|অলস|লোভ|স্বার্থ|অক্ষম|অযোগ্য|বোকা|কৃপণ|হিংস"")),""valence-target অমিল"",""""),IF(COUNTIF($B:$B,B1409)&gt;1,""ডুপ্লিকেট"",""""))"),"figurative ছোট")</f>
        <v>figurative ছোট</v>
      </c>
      <c r="Q1409" s="5" t="str">
        <f t="shared" si="1"/>
        <v>১ আগে দেখো</v>
      </c>
    </row>
    <row r="1410">
      <c r="A1410" s="4">
        <v>6949.0</v>
      </c>
      <c r="B1410" s="2" t="s">
        <v>5711</v>
      </c>
      <c r="C1410" s="2" t="s">
        <v>5712</v>
      </c>
      <c r="D1410" s="2" t="s">
        <v>5713</v>
      </c>
      <c r="E1410" s="2" t="s">
        <v>5714</v>
      </c>
      <c r="F1410" s="2" t="b">
        <v>1</v>
      </c>
      <c r="G1410" s="2" t="b">
        <v>0</v>
      </c>
      <c r="H1410" s="2" t="s">
        <v>37</v>
      </c>
      <c r="I1410" s="2" t="s">
        <v>32</v>
      </c>
      <c r="J1410" s="2" t="s">
        <v>5713</v>
      </c>
      <c r="K1410" s="2" t="s">
        <v>495</v>
      </c>
      <c r="L1410" s="13" t="s">
        <v>496</v>
      </c>
      <c r="M1410" s="2" t="s">
        <v>26</v>
      </c>
      <c r="N1410" s="11" t="s">
        <v>576</v>
      </c>
      <c r="O1410" s="12" t="s">
        <v>53</v>
      </c>
      <c r="P1410" s="5" t="str">
        <f>IFERROR(__xludf.DUMMYFUNCTION("TEXTJOIN("" | "",TRUE,IF(OR(D1410="""",E1410="""",I1410="""",J1410="""",H1410=""""),""ফাঁকা ঘর"",""""),IF(AND(C1410&lt;&gt;"""",D1410&lt;&gt;"""",C1410=D1410),""gloss=figurative"",""""),IF(LEN(D1410)&lt;15,""figurative ছোট"",""""),IF(AND(I1410=""Positive"",REGEXMATCH(H1"&amp;"410,""মূর্খ|ভণ্ড|প্রতার|অলস|লোভ|স্বার্থ|অক্ষম|অযোগ্য|বোকা|কৃপণ|হিংস"")),""valence-target অমিল"",""""),IF(COUNTIF($B:$B,B1410)&gt;1,""ডুপ্লিকেট"",""""))"),"figurative ছোট")</f>
        <v>figurative ছোট</v>
      </c>
      <c r="Q1410" s="5" t="str">
        <f t="shared" si="1"/>
        <v>১ আগে দেখো</v>
      </c>
    </row>
    <row r="1411">
      <c r="A1411" s="4">
        <v>6950.0</v>
      </c>
      <c r="B1411" s="2" t="s">
        <v>5715</v>
      </c>
      <c r="C1411" s="2" t="s">
        <v>5716</v>
      </c>
      <c r="D1411" s="2" t="s">
        <v>5696</v>
      </c>
      <c r="E1411" s="2" t="s">
        <v>5717</v>
      </c>
      <c r="F1411" s="2" t="b">
        <v>1</v>
      </c>
      <c r="G1411" s="2" t="b">
        <v>0</v>
      </c>
      <c r="H1411" s="2" t="s">
        <v>37</v>
      </c>
      <c r="I1411" s="2" t="s">
        <v>32</v>
      </c>
      <c r="J1411" s="2" t="s">
        <v>5696</v>
      </c>
      <c r="K1411" s="2" t="s">
        <v>495</v>
      </c>
      <c r="L1411" s="13" t="s">
        <v>496</v>
      </c>
      <c r="M1411" s="2" t="s">
        <v>26</v>
      </c>
      <c r="N1411" s="11" t="s">
        <v>576</v>
      </c>
      <c r="O1411" s="12" t="s">
        <v>53</v>
      </c>
      <c r="P1411" s="5" t="str">
        <f>IFERROR(__xludf.DUMMYFUNCTION("TEXTJOIN("" | "",TRUE,IF(OR(D1411="""",E1411="""",I1411="""",J1411="""",H1411=""""),""ফাঁকা ঘর"",""""),IF(AND(C1411&lt;&gt;"""",D1411&lt;&gt;"""",C1411=D1411),""gloss=figurative"",""""),IF(LEN(D1411)&lt;15,""figurative ছোট"",""""),IF(AND(I1411=""Positive"",REGEXMATCH(H1"&amp;"411,""মূর্খ|ভণ্ড|প্রতার|অলস|লোভ|স্বার্থ|অক্ষম|অযোগ্য|বোকা|কৃপণ|হিংস"")),""valence-target অমিল"",""""),IF(COUNTIF($B:$B,B1411)&gt;1,""ডুপ্লিকেট"",""""))"),"figurative ছোট")</f>
        <v>figurative ছোট</v>
      </c>
      <c r="Q1411" s="5" t="str">
        <f t="shared" si="1"/>
        <v>১ আগে দেখো</v>
      </c>
    </row>
    <row r="1412">
      <c r="A1412" s="4">
        <v>6951.0</v>
      </c>
      <c r="B1412" s="2" t="s">
        <v>5718</v>
      </c>
      <c r="C1412" s="2" t="s">
        <v>5719</v>
      </c>
      <c r="D1412" s="2" t="s">
        <v>5720</v>
      </c>
      <c r="E1412" s="2" t="s">
        <v>5721</v>
      </c>
      <c r="F1412" s="2" t="b">
        <v>1</v>
      </c>
      <c r="G1412" s="2" t="b">
        <v>1</v>
      </c>
      <c r="H1412" s="2" t="s">
        <v>800</v>
      </c>
      <c r="I1412" s="2" t="s">
        <v>32</v>
      </c>
      <c r="J1412" s="2" t="s">
        <v>1925</v>
      </c>
      <c r="K1412" s="2" t="s">
        <v>495</v>
      </c>
      <c r="L1412" s="13" t="s">
        <v>496</v>
      </c>
      <c r="M1412" s="2" t="s">
        <v>26</v>
      </c>
      <c r="N1412" s="11" t="s">
        <v>576</v>
      </c>
      <c r="O1412" s="12" t="s">
        <v>53</v>
      </c>
      <c r="P1412" s="5" t="str">
        <f>IFERROR(__xludf.DUMMYFUNCTION("TEXTJOIN("" | "",TRUE,IF(OR(D1412="""",E1412="""",I1412="""",J1412="""",H1412=""""),""ফাঁকা ঘর"",""""),IF(AND(C1412&lt;&gt;"""",D1412&lt;&gt;"""",C1412=D1412),""gloss=figurative"",""""),IF(LEN(D1412)&lt;15,""figurative ছোট"",""""),IF(AND(I1412=""Positive"",REGEXMATCH(H1"&amp;"412,""মূর্খ|ভণ্ড|প্রতার|অলস|লোভ|স্বার্থ|অক্ষম|অযোগ্য|বোকা|কৃপণ|হিংস"")),""valence-target অমিল"",""""),IF(COUNTIF($B:$B,B1412)&gt;1,""ডুপ্লিকেট"",""""))"),"figurative ছোট")</f>
        <v>figurative ছোট</v>
      </c>
      <c r="Q1412" s="5" t="str">
        <f t="shared" si="1"/>
        <v>১ আগে দেখো</v>
      </c>
    </row>
    <row r="1413">
      <c r="A1413" s="4">
        <v>6952.0</v>
      </c>
      <c r="B1413" s="2" t="s">
        <v>5722</v>
      </c>
      <c r="C1413" s="2" t="s">
        <v>5723</v>
      </c>
      <c r="D1413" s="2" t="s">
        <v>5724</v>
      </c>
      <c r="E1413" s="2" t="s">
        <v>5725</v>
      </c>
      <c r="F1413" s="2" t="b">
        <v>1</v>
      </c>
      <c r="G1413" s="2" t="b">
        <v>1</v>
      </c>
      <c r="H1413" s="2" t="s">
        <v>800</v>
      </c>
      <c r="I1413" s="2" t="s">
        <v>32</v>
      </c>
      <c r="J1413" s="2" t="s">
        <v>1925</v>
      </c>
      <c r="K1413" s="2" t="s">
        <v>495</v>
      </c>
      <c r="L1413" s="13" t="s">
        <v>496</v>
      </c>
      <c r="M1413" s="2" t="s">
        <v>26</v>
      </c>
      <c r="N1413" s="11" t="s">
        <v>576</v>
      </c>
      <c r="O1413" s="12" t="s">
        <v>53</v>
      </c>
      <c r="P1413" s="5" t="str">
        <f>IFERROR(__xludf.DUMMYFUNCTION("TEXTJOIN("" | "",TRUE,IF(OR(D1413="""",E1413="""",I1413="""",J1413="""",H1413=""""),""ফাঁকা ঘর"",""""),IF(AND(C1413&lt;&gt;"""",D1413&lt;&gt;"""",C1413=D1413),""gloss=figurative"",""""),IF(LEN(D1413)&lt;15,""figurative ছোট"",""""),IF(AND(I1413=""Positive"",REGEXMATCH(H1"&amp;"413,""মূর্খ|ভণ্ড|প্রতার|অলস|লোভ|স্বার্থ|অক্ষম|অযোগ্য|বোকা|কৃপণ|হিংস"")),""valence-target অমিল"",""""),IF(COUNTIF($B:$B,B1413)&gt;1,""ডুপ্লিকেট"",""""))"),"figurative ছোট")</f>
        <v>figurative ছোট</v>
      </c>
      <c r="Q1413" s="5" t="str">
        <f t="shared" si="1"/>
        <v>১ আগে দেখো</v>
      </c>
    </row>
    <row r="1414">
      <c r="A1414" s="4">
        <v>6953.0</v>
      </c>
      <c r="B1414" s="2" t="s">
        <v>5726</v>
      </c>
      <c r="C1414" s="2" t="s">
        <v>5727</v>
      </c>
      <c r="D1414" s="2" t="s">
        <v>1603</v>
      </c>
      <c r="E1414" s="2" t="s">
        <v>5728</v>
      </c>
      <c r="F1414" s="2" t="b">
        <v>1</v>
      </c>
      <c r="G1414" s="2" t="b">
        <v>0</v>
      </c>
      <c r="H1414" s="2" t="s">
        <v>37</v>
      </c>
      <c r="I1414" s="2" t="s">
        <v>32</v>
      </c>
      <c r="J1414" s="2" t="s">
        <v>1603</v>
      </c>
      <c r="K1414" s="2" t="s">
        <v>495</v>
      </c>
      <c r="L1414" s="13" t="s">
        <v>496</v>
      </c>
      <c r="M1414" s="2" t="s">
        <v>26</v>
      </c>
      <c r="N1414" s="11" t="s">
        <v>5729</v>
      </c>
      <c r="O1414" s="12" t="s">
        <v>53</v>
      </c>
      <c r="P1414" s="5" t="str">
        <f>IFERROR(__xludf.DUMMYFUNCTION("TEXTJOIN("" | "",TRUE,IF(OR(D1414="""",E1414="""",I1414="""",J1414="""",H1414=""""),""ফাঁকা ঘর"",""""),IF(AND(C1414&lt;&gt;"""",D1414&lt;&gt;"""",C1414=D1414),""gloss=figurative"",""""),IF(LEN(D1414)&lt;15,""figurative ছোট"",""""),IF(AND(I1414=""Positive"",REGEXMATCH(H1"&amp;"414,""মূর্খ|ভণ্ড|প্রতার|অলস|লোভ|স্বার্থ|অক্ষম|অযোগ্য|বোকা|কৃপণ|হিংস"")),""valence-target অমিল"",""""),IF(COUNTIF($B:$B,B1414)&gt;1,""ডুপ্লিকেট"",""""))"),"figurative ছোট")</f>
        <v>figurative ছোট</v>
      </c>
      <c r="Q1414" s="5" t="str">
        <f t="shared" si="1"/>
        <v>১ আগে দেখো</v>
      </c>
    </row>
    <row r="1415">
      <c r="A1415" s="4">
        <v>6954.0</v>
      </c>
      <c r="B1415" s="2" t="s">
        <v>5730</v>
      </c>
      <c r="C1415" s="2" t="s">
        <v>5731</v>
      </c>
      <c r="D1415" s="2" t="s">
        <v>1603</v>
      </c>
      <c r="E1415" s="2" t="s">
        <v>5732</v>
      </c>
      <c r="F1415" s="2" t="b">
        <v>1</v>
      </c>
      <c r="G1415" s="2" t="b">
        <v>0</v>
      </c>
      <c r="H1415" s="2" t="s">
        <v>37</v>
      </c>
      <c r="I1415" s="2" t="s">
        <v>32</v>
      </c>
      <c r="J1415" s="2" t="s">
        <v>1603</v>
      </c>
      <c r="K1415" s="2" t="s">
        <v>495</v>
      </c>
      <c r="L1415" s="13" t="s">
        <v>496</v>
      </c>
      <c r="M1415" s="2" t="s">
        <v>26</v>
      </c>
      <c r="N1415" s="11" t="s">
        <v>576</v>
      </c>
      <c r="O1415" s="12" t="s">
        <v>53</v>
      </c>
      <c r="P1415" s="5" t="str">
        <f>IFERROR(__xludf.DUMMYFUNCTION("TEXTJOIN("" | "",TRUE,IF(OR(D1415="""",E1415="""",I1415="""",J1415="""",H1415=""""),""ফাঁকা ঘর"",""""),IF(AND(C1415&lt;&gt;"""",D1415&lt;&gt;"""",C1415=D1415),""gloss=figurative"",""""),IF(LEN(D1415)&lt;15,""figurative ছোট"",""""),IF(AND(I1415=""Positive"",REGEXMATCH(H1"&amp;"415,""মূর্খ|ভণ্ড|প্রতার|অলস|লোভ|স্বার্থ|অক্ষম|অযোগ্য|বোকা|কৃপণ|হিংস"")),""valence-target অমিল"",""""),IF(COUNTIF($B:$B,B1415)&gt;1,""ডুপ্লিকেট"",""""))"),"figurative ছোট")</f>
        <v>figurative ছোট</v>
      </c>
      <c r="Q1415" s="5" t="str">
        <f t="shared" si="1"/>
        <v>১ আগে দেখো</v>
      </c>
    </row>
    <row r="1416">
      <c r="A1416" s="4">
        <v>6955.0</v>
      </c>
      <c r="B1416" s="2" t="s">
        <v>5733</v>
      </c>
      <c r="C1416" s="2" t="s">
        <v>5734</v>
      </c>
      <c r="D1416" s="2" t="s">
        <v>5709</v>
      </c>
      <c r="E1416" s="2" t="s">
        <v>5735</v>
      </c>
      <c r="F1416" s="2" t="b">
        <v>1</v>
      </c>
      <c r="G1416" s="2" t="b">
        <v>0</v>
      </c>
      <c r="H1416" s="2" t="s">
        <v>37</v>
      </c>
      <c r="I1416" s="2" t="s">
        <v>32</v>
      </c>
      <c r="J1416" s="2" t="s">
        <v>5696</v>
      </c>
      <c r="K1416" s="2" t="s">
        <v>495</v>
      </c>
      <c r="L1416" s="13" t="s">
        <v>496</v>
      </c>
      <c r="M1416" s="2" t="s">
        <v>26</v>
      </c>
      <c r="N1416" s="11" t="s">
        <v>5736</v>
      </c>
      <c r="O1416" s="12" t="s">
        <v>53</v>
      </c>
      <c r="P1416" s="5" t="str">
        <f>IFERROR(__xludf.DUMMYFUNCTION("TEXTJOIN("" | "",TRUE,IF(OR(D1416="""",E1416="""",I1416="""",J1416="""",H1416=""""),""ফাঁকা ঘর"",""""),IF(AND(C1416&lt;&gt;"""",D1416&lt;&gt;"""",C1416=D1416),""gloss=figurative"",""""),IF(LEN(D1416)&lt;15,""figurative ছোট"",""""),IF(AND(I1416=""Positive"",REGEXMATCH(H1"&amp;"416,""মূর্খ|ভণ্ড|প্রতার|অলস|লোভ|স্বার্থ|অক্ষম|অযোগ্য|বোকা|কৃপণ|হিংস"")),""valence-target অমিল"",""""),IF(COUNTIF($B:$B,B1416)&gt;1,""ডুপ্লিকেট"",""""))"),"figurative ছোট")</f>
        <v>figurative ছোট</v>
      </c>
      <c r="Q1416" s="5" t="str">
        <f t="shared" si="1"/>
        <v>১ আগে দেখো</v>
      </c>
    </row>
    <row r="1417">
      <c r="A1417" s="4">
        <v>6956.0</v>
      </c>
      <c r="B1417" s="2" t="s">
        <v>5737</v>
      </c>
      <c r="C1417" s="2" t="s">
        <v>5738</v>
      </c>
      <c r="D1417" s="2" t="s">
        <v>4551</v>
      </c>
      <c r="E1417" s="2" t="s">
        <v>5739</v>
      </c>
      <c r="F1417" s="2" t="b">
        <v>1</v>
      </c>
      <c r="G1417" s="2" t="b">
        <v>0</v>
      </c>
      <c r="H1417" s="2" t="s">
        <v>37</v>
      </c>
      <c r="I1417" s="2" t="s">
        <v>32</v>
      </c>
      <c r="J1417" s="2" t="s">
        <v>4551</v>
      </c>
      <c r="K1417" s="2" t="s">
        <v>495</v>
      </c>
      <c r="L1417" s="13" t="s">
        <v>496</v>
      </c>
      <c r="M1417" s="2" t="s">
        <v>26</v>
      </c>
      <c r="N1417" s="11" t="s">
        <v>5736</v>
      </c>
      <c r="O1417" s="12" t="s">
        <v>53</v>
      </c>
      <c r="P1417" s="5" t="str">
        <f>IFERROR(__xludf.DUMMYFUNCTION("TEXTJOIN("" | "",TRUE,IF(OR(D1417="""",E1417="""",I1417="""",J1417="""",H1417=""""),""ফাঁকা ঘর"",""""),IF(AND(C1417&lt;&gt;"""",D1417&lt;&gt;"""",C1417=D1417),""gloss=figurative"",""""),IF(LEN(D1417)&lt;15,""figurative ছোট"",""""),IF(AND(I1417=""Positive"",REGEXMATCH(H1"&amp;"417,""মূর্খ|ভণ্ড|প্রতার|অলস|লোভ|স্বার্থ|অক্ষম|অযোগ্য|বোকা|কৃপণ|হিংস"")),""valence-target অমিল"",""""),IF(COUNTIF($B:$B,B1417)&gt;1,""ডুপ্লিকেট"",""""))"),"figurative ছোট")</f>
        <v>figurative ছোট</v>
      </c>
      <c r="Q1417" s="5" t="str">
        <f t="shared" si="1"/>
        <v>১ আগে দেখো</v>
      </c>
    </row>
    <row r="1418">
      <c r="A1418" s="4">
        <v>6957.0</v>
      </c>
      <c r="B1418" s="2" t="s">
        <v>5740</v>
      </c>
      <c r="C1418" s="2" t="s">
        <v>5741</v>
      </c>
      <c r="D1418" s="2" t="s">
        <v>5709</v>
      </c>
      <c r="E1418" s="2" t="s">
        <v>5742</v>
      </c>
      <c r="F1418" s="2" t="b">
        <v>1</v>
      </c>
      <c r="G1418" s="2" t="b">
        <v>1</v>
      </c>
      <c r="H1418" s="2" t="s">
        <v>2292</v>
      </c>
      <c r="I1418" s="2" t="s">
        <v>32</v>
      </c>
      <c r="J1418" s="2" t="s">
        <v>1925</v>
      </c>
      <c r="K1418" s="2" t="s">
        <v>495</v>
      </c>
      <c r="L1418" s="13" t="s">
        <v>496</v>
      </c>
      <c r="M1418" s="2" t="s">
        <v>26</v>
      </c>
      <c r="N1418" s="11" t="s">
        <v>576</v>
      </c>
      <c r="O1418" s="12" t="s">
        <v>53</v>
      </c>
      <c r="P1418" s="5" t="str">
        <f>IFERROR(__xludf.DUMMYFUNCTION("TEXTJOIN("" | "",TRUE,IF(OR(D1418="""",E1418="""",I1418="""",J1418="""",H1418=""""),""ফাঁকা ঘর"",""""),IF(AND(C1418&lt;&gt;"""",D1418&lt;&gt;"""",C1418=D1418),""gloss=figurative"",""""),IF(LEN(D1418)&lt;15,""figurative ছোট"",""""),IF(AND(I1418=""Positive"",REGEXMATCH(H1"&amp;"418,""মূর্খ|ভণ্ড|প্রতার|অলস|লোভ|স্বার্থ|অক্ষম|অযোগ্য|বোকা|কৃপণ|হিংস"")),""valence-target অমিল"",""""),IF(COUNTIF($B:$B,B1418)&gt;1,""ডুপ্লিকেট"",""""))"),"figurative ছোট")</f>
        <v>figurative ছোট</v>
      </c>
      <c r="Q1418" s="5" t="str">
        <f t="shared" si="1"/>
        <v>১ আগে দেখো</v>
      </c>
    </row>
    <row r="1419">
      <c r="A1419" s="4">
        <v>6958.0</v>
      </c>
      <c r="B1419" s="2" t="s">
        <v>5743</v>
      </c>
      <c r="C1419" s="2" t="s">
        <v>5744</v>
      </c>
      <c r="D1419" s="2" t="s">
        <v>4890</v>
      </c>
      <c r="E1419" s="2" t="s">
        <v>5745</v>
      </c>
      <c r="F1419" s="2" t="b">
        <v>1</v>
      </c>
      <c r="G1419" s="2" t="b">
        <v>0</v>
      </c>
      <c r="H1419" s="2" t="s">
        <v>37</v>
      </c>
      <c r="I1419" s="2" t="s">
        <v>32</v>
      </c>
      <c r="J1419" s="2" t="s">
        <v>4890</v>
      </c>
      <c r="K1419" s="2" t="s">
        <v>495</v>
      </c>
      <c r="L1419" s="13" t="s">
        <v>496</v>
      </c>
      <c r="M1419" s="2" t="s">
        <v>26</v>
      </c>
      <c r="N1419" s="11" t="s">
        <v>576</v>
      </c>
      <c r="O1419" s="12" t="s">
        <v>53</v>
      </c>
      <c r="P1419" s="5" t="str">
        <f>IFERROR(__xludf.DUMMYFUNCTION("TEXTJOIN("" | "",TRUE,IF(OR(D1419="""",E1419="""",I1419="""",J1419="""",H1419=""""),""ফাঁকা ঘর"",""""),IF(AND(C1419&lt;&gt;"""",D1419&lt;&gt;"""",C1419=D1419),""gloss=figurative"",""""),IF(LEN(D1419)&lt;15,""figurative ছোট"",""""),IF(AND(I1419=""Positive"",REGEXMATCH(H1"&amp;"419,""মূর্খ|ভণ্ড|প্রতার|অলস|লোভ|স্বার্থ|অক্ষম|অযোগ্য|বোকা|কৃপণ|হিংস"")),""valence-target অমিল"",""""),IF(COUNTIF($B:$B,B1419)&gt;1,""ডুপ্লিকেট"",""""))"),"figurative ছোট")</f>
        <v>figurative ছোট</v>
      </c>
      <c r="Q1419" s="5" t="str">
        <f t="shared" si="1"/>
        <v>১ আগে দেখো</v>
      </c>
    </row>
    <row r="1420">
      <c r="A1420" s="4">
        <v>6959.0</v>
      </c>
      <c r="B1420" s="2" t="s">
        <v>5746</v>
      </c>
      <c r="C1420" s="2" t="s">
        <v>5747</v>
      </c>
      <c r="D1420" s="2" t="s">
        <v>989</v>
      </c>
      <c r="E1420" s="2" t="s">
        <v>5748</v>
      </c>
      <c r="F1420" s="2" t="b">
        <v>1</v>
      </c>
      <c r="G1420" s="2" t="b">
        <v>0</v>
      </c>
      <c r="H1420" s="2" t="s">
        <v>989</v>
      </c>
      <c r="I1420" s="2" t="s">
        <v>22</v>
      </c>
      <c r="J1420" s="2" t="s">
        <v>1621</v>
      </c>
      <c r="K1420" s="2" t="s">
        <v>495</v>
      </c>
      <c r="L1420" s="13" t="s">
        <v>496</v>
      </c>
      <c r="M1420" s="2" t="s">
        <v>26</v>
      </c>
      <c r="N1420" s="11" t="s">
        <v>576</v>
      </c>
      <c r="O1420" s="12" t="s">
        <v>53</v>
      </c>
      <c r="P1420" s="5" t="str">
        <f>IFERROR(__xludf.DUMMYFUNCTION("TEXTJOIN("" | "",TRUE,IF(OR(D1420="""",E1420="""",I1420="""",J1420="""",H1420=""""),""ফাঁকা ঘর"",""""),IF(AND(C1420&lt;&gt;"""",D1420&lt;&gt;"""",C1420=D1420),""gloss=figurative"",""""),IF(LEN(D1420)&lt;15,""figurative ছোট"",""""),IF(AND(I1420=""Positive"",REGEXMATCH(H1"&amp;"420,""মূর্খ|ভণ্ড|প্রতার|অলস|লোভ|স্বার্থ|অক্ষম|অযোগ্য|বোকা|কৃপণ|হিংস"")),""valence-target অমিল"",""""),IF(COUNTIF($B:$B,B1420)&gt;1,""ডুপ্লিকেট"",""""))"),"figurative ছোট")</f>
        <v>figurative ছোট</v>
      </c>
      <c r="Q1420" s="5" t="str">
        <f t="shared" si="1"/>
        <v>১ আগে দেখো</v>
      </c>
    </row>
    <row r="1421">
      <c r="A1421" s="4">
        <v>6960.0</v>
      </c>
      <c r="B1421" s="2" t="s">
        <v>5749</v>
      </c>
      <c r="C1421" s="2" t="s">
        <v>5750</v>
      </c>
      <c r="D1421" s="2" t="s">
        <v>5696</v>
      </c>
      <c r="E1421" s="2" t="s">
        <v>5751</v>
      </c>
      <c r="F1421" s="2" t="b">
        <v>1</v>
      </c>
      <c r="G1421" s="2" t="b">
        <v>0</v>
      </c>
      <c r="H1421" s="2" t="s">
        <v>37</v>
      </c>
      <c r="I1421" s="2" t="s">
        <v>32</v>
      </c>
      <c r="J1421" s="2" t="s">
        <v>528</v>
      </c>
      <c r="K1421" s="2" t="s">
        <v>495</v>
      </c>
      <c r="L1421" s="13" t="s">
        <v>496</v>
      </c>
      <c r="M1421" s="2" t="s">
        <v>26</v>
      </c>
      <c r="N1421" s="11" t="s">
        <v>5752</v>
      </c>
      <c r="O1421" s="12" t="s">
        <v>53</v>
      </c>
      <c r="P1421" s="5" t="str">
        <f>IFERROR(__xludf.DUMMYFUNCTION("TEXTJOIN("" | "",TRUE,IF(OR(D1421="""",E1421="""",I1421="""",J1421="""",H1421=""""),""ফাঁকা ঘর"",""""),IF(AND(C1421&lt;&gt;"""",D1421&lt;&gt;"""",C1421=D1421),""gloss=figurative"",""""),IF(LEN(D1421)&lt;15,""figurative ছোট"",""""),IF(AND(I1421=""Positive"",REGEXMATCH(H1"&amp;"421,""মূর্খ|ভণ্ড|প্রতার|অলস|লোভ|স্বার্থ|অক্ষম|অযোগ্য|বোকা|কৃপণ|হিংস"")),""valence-target অমিল"",""""),IF(COUNTIF($B:$B,B1421)&gt;1,""ডুপ্লিকেট"",""""))"),"figurative ছোট")</f>
        <v>figurative ছোট</v>
      </c>
      <c r="Q1421" s="5" t="str">
        <f t="shared" si="1"/>
        <v>১ আগে দেখো</v>
      </c>
    </row>
    <row r="1422">
      <c r="A1422" s="4">
        <v>6969.0</v>
      </c>
      <c r="B1422" s="2" t="s">
        <v>5753</v>
      </c>
      <c r="C1422" s="2" t="s">
        <v>5753</v>
      </c>
      <c r="D1422" s="2" t="s">
        <v>5754</v>
      </c>
      <c r="E1422" s="2" t="s">
        <v>5755</v>
      </c>
      <c r="F1422" s="2" t="b">
        <v>1</v>
      </c>
      <c r="G1422" s="2" t="b">
        <v>0</v>
      </c>
      <c r="H1422" s="2" t="s">
        <v>37</v>
      </c>
      <c r="I1422" s="2" t="s">
        <v>22</v>
      </c>
      <c r="J1422" s="2" t="s">
        <v>1603</v>
      </c>
      <c r="K1422" s="2" t="s">
        <v>495</v>
      </c>
      <c r="L1422" s="13" t="s">
        <v>496</v>
      </c>
      <c r="M1422" s="2" t="s">
        <v>26</v>
      </c>
      <c r="N1422" s="11" t="s">
        <v>576</v>
      </c>
      <c r="O1422" s="12" t="s">
        <v>53</v>
      </c>
      <c r="P1422" s="5" t="str">
        <f>IFERROR(__xludf.DUMMYFUNCTION("TEXTJOIN("" | "",TRUE,IF(OR(D1422="""",E1422="""",I1422="""",J1422="""",H1422=""""),""ফাঁকা ঘর"",""""),IF(AND(C1422&lt;&gt;"""",D1422&lt;&gt;"""",C1422=D1422),""gloss=figurative"",""""),IF(LEN(D1422)&lt;15,""figurative ছোট"",""""),IF(AND(I1422=""Positive"",REGEXMATCH(H1"&amp;"422,""মূর্খ|ভণ্ড|প্রতার|অলস|লোভ|স্বার্থ|অক্ষম|অযোগ্য|বোকা|কৃপণ|হিংস"")),""valence-target অমিল"",""""),IF(COUNTIF($B:$B,B1422)&gt;1,""ডুপ্লিকেট"",""""))"),"figurative ছোট")</f>
        <v>figurative ছোট</v>
      </c>
      <c r="Q1422" s="5" t="str">
        <f t="shared" si="1"/>
        <v>১ আগে দেখো</v>
      </c>
    </row>
    <row r="1423">
      <c r="A1423" s="4">
        <v>6970.0</v>
      </c>
      <c r="B1423" s="2" t="s">
        <v>5756</v>
      </c>
      <c r="C1423" s="2" t="s">
        <v>5757</v>
      </c>
      <c r="D1423" s="2" t="s">
        <v>5758</v>
      </c>
      <c r="E1423" s="2" t="s">
        <v>5759</v>
      </c>
      <c r="F1423" s="2" t="b">
        <v>1</v>
      </c>
      <c r="G1423" s="2" t="b">
        <v>1</v>
      </c>
      <c r="H1423" s="2" t="s">
        <v>2372</v>
      </c>
      <c r="I1423" s="2" t="s">
        <v>32</v>
      </c>
      <c r="J1423" s="2" t="s">
        <v>1310</v>
      </c>
      <c r="K1423" s="2" t="s">
        <v>495</v>
      </c>
      <c r="L1423" s="13" t="s">
        <v>496</v>
      </c>
      <c r="M1423" s="2" t="s">
        <v>26</v>
      </c>
      <c r="N1423" s="11" t="s">
        <v>576</v>
      </c>
      <c r="O1423" s="12" t="s">
        <v>53</v>
      </c>
      <c r="P1423" s="5" t="str">
        <f>IFERROR(__xludf.DUMMYFUNCTION("TEXTJOIN("" | "",TRUE,IF(OR(D1423="""",E1423="""",I1423="""",J1423="""",H1423=""""),""ফাঁকা ঘর"",""""),IF(AND(C1423&lt;&gt;"""",D1423&lt;&gt;"""",C1423=D1423),""gloss=figurative"",""""),IF(LEN(D1423)&lt;15,""figurative ছোট"",""""),IF(AND(I1423=""Positive"",REGEXMATCH(H1"&amp;"423,""মূর্খ|ভণ্ড|প্রতার|অলস|লোভ|স্বার্থ|অক্ষম|অযোগ্য|বোকা|কৃপণ|হিংস"")),""valence-target অমিল"",""""),IF(COUNTIF($B:$B,B1423)&gt;1,""ডুপ্লিকেট"",""""))"),"figurative ছোট")</f>
        <v>figurative ছোট</v>
      </c>
      <c r="Q1423" s="5" t="str">
        <f t="shared" si="1"/>
        <v>১ আগে দেখো</v>
      </c>
    </row>
    <row r="1424">
      <c r="A1424" s="4">
        <v>6975.0</v>
      </c>
      <c r="B1424" s="2" t="s">
        <v>5760</v>
      </c>
      <c r="C1424" s="2" t="s">
        <v>5760</v>
      </c>
      <c r="D1424" s="2" t="s">
        <v>5761</v>
      </c>
      <c r="E1424" s="2" t="s">
        <v>5762</v>
      </c>
      <c r="F1424" s="2" t="b">
        <v>1</v>
      </c>
      <c r="G1424" s="2" t="b">
        <v>0</v>
      </c>
      <c r="H1424" s="2" t="s">
        <v>37</v>
      </c>
      <c r="I1424" s="2" t="s">
        <v>32</v>
      </c>
      <c r="J1424" s="2" t="s">
        <v>1239</v>
      </c>
      <c r="K1424" s="2" t="s">
        <v>495</v>
      </c>
      <c r="L1424" s="13" t="s">
        <v>496</v>
      </c>
      <c r="M1424" s="2" t="s">
        <v>26</v>
      </c>
      <c r="N1424" s="11" t="s">
        <v>576</v>
      </c>
      <c r="O1424" s="12" t="s">
        <v>53</v>
      </c>
      <c r="P1424" s="5" t="str">
        <f>IFERROR(__xludf.DUMMYFUNCTION("TEXTJOIN("" | "",TRUE,IF(OR(D1424="""",E1424="""",I1424="""",J1424="""",H1424=""""),""ফাঁকা ঘর"",""""),IF(AND(C1424&lt;&gt;"""",D1424&lt;&gt;"""",C1424=D1424),""gloss=figurative"",""""),IF(LEN(D1424)&lt;15,""figurative ছোট"",""""),IF(AND(I1424=""Positive"",REGEXMATCH(H1"&amp;"424,""মূর্খ|ভণ্ড|প্রতার|অলস|লোভ|স্বার্থ|অক্ষম|অযোগ্য|বোকা|কৃপণ|হিংস"")),""valence-target অমিল"",""""),IF(COUNTIF($B:$B,B1424)&gt;1,""ডুপ্লিকেট"",""""))"),"figurative ছোট")</f>
        <v>figurative ছোট</v>
      </c>
      <c r="Q1424" s="5" t="str">
        <f t="shared" si="1"/>
        <v>১ আগে দেখো</v>
      </c>
    </row>
    <row r="1425">
      <c r="A1425" s="4">
        <v>6976.0</v>
      </c>
      <c r="B1425" s="2" t="s">
        <v>5763</v>
      </c>
      <c r="C1425" s="2" t="s">
        <v>5764</v>
      </c>
      <c r="D1425" s="2" t="s">
        <v>5765</v>
      </c>
      <c r="E1425" s="2" t="s">
        <v>5766</v>
      </c>
      <c r="F1425" s="2" t="b">
        <v>1</v>
      </c>
      <c r="G1425" s="2" t="b">
        <v>1</v>
      </c>
      <c r="H1425" s="2" t="s">
        <v>5767</v>
      </c>
      <c r="I1425" s="2" t="s">
        <v>32</v>
      </c>
      <c r="J1425" s="2" t="s">
        <v>1310</v>
      </c>
      <c r="K1425" s="2" t="s">
        <v>495</v>
      </c>
      <c r="L1425" s="13" t="s">
        <v>496</v>
      </c>
      <c r="M1425" s="2" t="s">
        <v>26</v>
      </c>
      <c r="N1425" s="11" t="s">
        <v>5768</v>
      </c>
      <c r="O1425" s="12" t="s">
        <v>53</v>
      </c>
      <c r="P1425" s="5" t="str">
        <f>IFERROR(__xludf.DUMMYFUNCTION("TEXTJOIN("" | "",TRUE,IF(OR(D1425="""",E1425="""",I1425="""",J1425="""",H1425=""""),""ফাঁকা ঘর"",""""),IF(AND(C1425&lt;&gt;"""",D1425&lt;&gt;"""",C1425=D1425),""gloss=figurative"",""""),IF(LEN(D1425)&lt;15,""figurative ছোট"",""""),IF(AND(I1425=""Positive"",REGEXMATCH(H1"&amp;"425,""মূর্খ|ভণ্ড|প্রতার|অলস|লোভ|স্বার্থ|অক্ষম|অযোগ্য|বোকা|কৃপণ|হিংস"")),""valence-target অমিল"",""""),IF(COUNTIF($B:$B,B1425)&gt;1,""ডুপ্লিকেট"",""""))"),"figurative ছোট | ডুপ্লিকেট")</f>
        <v>figurative ছোট | ডুপ্লিকেট</v>
      </c>
      <c r="Q1425" s="5" t="str">
        <f t="shared" si="1"/>
        <v>১ আগে দেখো</v>
      </c>
    </row>
    <row r="1426">
      <c r="A1426" s="4">
        <v>6977.0</v>
      </c>
      <c r="B1426" s="2" t="s">
        <v>5763</v>
      </c>
      <c r="C1426" s="2" t="s">
        <v>5769</v>
      </c>
      <c r="D1426" s="2" t="s">
        <v>5770</v>
      </c>
      <c r="E1426" s="2" t="s">
        <v>5771</v>
      </c>
      <c r="F1426" s="2" t="b">
        <v>1</v>
      </c>
      <c r="G1426" s="2" t="b">
        <v>1</v>
      </c>
      <c r="H1426" s="2" t="s">
        <v>5767</v>
      </c>
      <c r="I1426" s="2" t="s">
        <v>32</v>
      </c>
      <c r="J1426" s="2" t="s">
        <v>1310</v>
      </c>
      <c r="K1426" s="2" t="s">
        <v>495</v>
      </c>
      <c r="L1426" s="13" t="s">
        <v>496</v>
      </c>
      <c r="M1426" s="2" t="s">
        <v>26</v>
      </c>
      <c r="N1426" s="11" t="s">
        <v>5772</v>
      </c>
      <c r="O1426" s="12" t="s">
        <v>53</v>
      </c>
      <c r="P1426" s="5" t="str">
        <f>IFERROR(__xludf.DUMMYFUNCTION("TEXTJOIN("" | "",TRUE,IF(OR(D1426="""",E1426="""",I1426="""",J1426="""",H1426=""""),""ফাঁকা ঘর"",""""),IF(AND(C1426&lt;&gt;"""",D1426&lt;&gt;"""",C1426=D1426),""gloss=figurative"",""""),IF(LEN(D1426)&lt;15,""figurative ছোট"",""""),IF(AND(I1426=""Positive"",REGEXMATCH(H1"&amp;"426,""মূর্খ|ভণ্ড|প্রতার|অলস|লোভ|স্বার্থ|অক্ষম|অযোগ্য|বোকা|কৃপণ|হিংস"")),""valence-target অমিল"",""""),IF(COUNTIF($B:$B,B1426)&gt;1,""ডুপ্লিকেট"",""""))"),"ডুপ্লিকেট")</f>
        <v>ডুপ্লিকেট</v>
      </c>
      <c r="Q1426" s="5" t="str">
        <f t="shared" si="1"/>
        <v>১ আগে দেখো</v>
      </c>
    </row>
    <row r="1427">
      <c r="A1427" s="4">
        <v>6980.0</v>
      </c>
      <c r="B1427" s="2" t="s">
        <v>5773</v>
      </c>
      <c r="C1427" s="2" t="s">
        <v>5774</v>
      </c>
      <c r="D1427" s="2" t="s">
        <v>5775</v>
      </c>
      <c r="E1427" s="2" t="s">
        <v>5776</v>
      </c>
      <c r="F1427" s="2" t="b">
        <v>1</v>
      </c>
      <c r="G1427" s="2" t="b">
        <v>0</v>
      </c>
      <c r="H1427" s="2" t="s">
        <v>37</v>
      </c>
      <c r="I1427" s="2" t="s">
        <v>32</v>
      </c>
      <c r="J1427" s="2" t="s">
        <v>5696</v>
      </c>
      <c r="K1427" s="2" t="s">
        <v>495</v>
      </c>
      <c r="L1427" s="13" t="s">
        <v>496</v>
      </c>
      <c r="M1427" s="2" t="s">
        <v>26</v>
      </c>
      <c r="N1427" s="11" t="s">
        <v>5777</v>
      </c>
      <c r="O1427" s="12" t="s">
        <v>53</v>
      </c>
      <c r="P1427" s="5" t="str">
        <f>IFERROR(__xludf.DUMMYFUNCTION("TEXTJOIN("" | "",TRUE,IF(OR(D1427="""",E1427="""",I1427="""",J1427="""",H1427=""""),""ফাঁকা ঘর"",""""),IF(AND(C1427&lt;&gt;"""",D1427&lt;&gt;"""",C1427=D1427),""gloss=figurative"",""""),IF(LEN(D1427)&lt;15,""figurative ছোট"",""""),IF(AND(I1427=""Positive"",REGEXMATCH(H1"&amp;"427,""মূর্খ|ভণ্ড|প্রতার|অলস|লোভ|স্বার্থ|অক্ষম|অযোগ্য|বোকা|কৃপণ|হিংস"")),""valence-target অমিল"",""""),IF(COUNTIF($B:$B,B1427)&gt;1,""ডুপ্লিকেট"",""""))"),"ডুপ্লিকেট")</f>
        <v>ডুপ্লিকেট</v>
      </c>
      <c r="Q1427" s="5" t="str">
        <f t="shared" si="1"/>
        <v>১ আগে দেখো</v>
      </c>
    </row>
    <row r="1428">
      <c r="A1428" s="4">
        <v>6981.0</v>
      </c>
      <c r="B1428" s="2" t="s">
        <v>5773</v>
      </c>
      <c r="C1428" s="2" t="s">
        <v>5778</v>
      </c>
      <c r="D1428" s="2" t="s">
        <v>5779</v>
      </c>
      <c r="E1428" s="2" t="s">
        <v>5780</v>
      </c>
      <c r="F1428" s="2" t="b">
        <v>1</v>
      </c>
      <c r="G1428" s="2" t="b">
        <v>0</v>
      </c>
      <c r="H1428" s="2" t="s">
        <v>37</v>
      </c>
      <c r="I1428" s="2" t="s">
        <v>32</v>
      </c>
      <c r="J1428" s="2" t="s">
        <v>5696</v>
      </c>
      <c r="K1428" s="2" t="s">
        <v>495</v>
      </c>
      <c r="L1428" s="13" t="s">
        <v>496</v>
      </c>
      <c r="M1428" s="2" t="s">
        <v>26</v>
      </c>
      <c r="N1428" s="11" t="s">
        <v>5781</v>
      </c>
      <c r="O1428" s="12" t="s">
        <v>53</v>
      </c>
      <c r="P1428" s="5" t="str">
        <f>IFERROR(__xludf.DUMMYFUNCTION("TEXTJOIN("" | "",TRUE,IF(OR(D1428="""",E1428="""",I1428="""",J1428="""",H1428=""""),""ফাঁকা ঘর"",""""),IF(AND(C1428&lt;&gt;"""",D1428&lt;&gt;"""",C1428=D1428),""gloss=figurative"",""""),IF(LEN(D1428)&lt;15,""figurative ছোট"",""""),IF(AND(I1428=""Positive"",REGEXMATCH(H1"&amp;"428,""মূর্খ|ভণ্ড|প্রতার|অলস|লোভ|স্বার্থ|অক্ষম|অযোগ্য|বোকা|কৃপণ|হিংস"")),""valence-target অমিল"",""""),IF(COUNTIF($B:$B,B1428)&gt;1,""ডুপ্লিকেট"",""""))"),"ডুপ্লিকেট")</f>
        <v>ডুপ্লিকেট</v>
      </c>
      <c r="Q1428" s="5" t="str">
        <f t="shared" si="1"/>
        <v>১ আগে দেখো</v>
      </c>
    </row>
    <row r="1429">
      <c r="A1429" s="4">
        <v>6984.0</v>
      </c>
      <c r="B1429" s="2" t="s">
        <v>5782</v>
      </c>
      <c r="C1429" s="2" t="s">
        <v>5783</v>
      </c>
      <c r="D1429" s="2" t="s">
        <v>5784</v>
      </c>
      <c r="E1429" s="2" t="s">
        <v>5785</v>
      </c>
      <c r="F1429" s="2" t="b">
        <v>1</v>
      </c>
      <c r="G1429" s="2" t="b">
        <v>0</v>
      </c>
      <c r="H1429" s="2" t="s">
        <v>37</v>
      </c>
      <c r="I1429" s="2" t="s">
        <v>49</v>
      </c>
      <c r="J1429" s="2" t="s">
        <v>5652</v>
      </c>
      <c r="K1429" s="2" t="s">
        <v>495</v>
      </c>
      <c r="L1429" s="13" t="s">
        <v>496</v>
      </c>
      <c r="M1429" s="2" t="s">
        <v>26</v>
      </c>
      <c r="N1429" s="11" t="s">
        <v>5786</v>
      </c>
      <c r="O1429" s="12" t="s">
        <v>53</v>
      </c>
      <c r="P1429" s="5" t="str">
        <f>IFERROR(__xludf.DUMMYFUNCTION("TEXTJOIN("" | "",TRUE,IF(OR(D1429="""",E1429="""",I1429="""",J1429="""",H1429=""""),""ফাঁকা ঘর"",""""),IF(AND(C1429&lt;&gt;"""",D1429&lt;&gt;"""",C1429=D1429),""gloss=figurative"",""""),IF(LEN(D1429)&lt;15,""figurative ছোট"",""""),IF(AND(I1429=""Positive"",REGEXMATCH(H1"&amp;"429,""মূর্খ|ভণ্ড|প্রতার|অলস|লোভ|স্বার্থ|অক্ষম|অযোগ্য|বোকা|কৃপণ|হিংস"")),""valence-target অমিল"",""""),IF(COUNTIF($B:$B,B1429)&gt;1,""ডুপ্লিকেট"",""""))"),"figurative ছোট")</f>
        <v>figurative ছোট</v>
      </c>
      <c r="Q1429" s="5" t="str">
        <f t="shared" si="1"/>
        <v>১ আগে দেখো</v>
      </c>
    </row>
    <row r="1430">
      <c r="A1430" s="4">
        <v>6989.0</v>
      </c>
      <c r="B1430" s="2" t="s">
        <v>5787</v>
      </c>
      <c r="C1430" s="2" t="s">
        <v>5788</v>
      </c>
      <c r="D1430" s="2" t="s">
        <v>5789</v>
      </c>
      <c r="E1430" s="2" t="s">
        <v>5790</v>
      </c>
      <c r="F1430" s="2" t="b">
        <v>1</v>
      </c>
      <c r="G1430" s="2" t="b">
        <v>0</v>
      </c>
      <c r="H1430" s="2" t="s">
        <v>4349</v>
      </c>
      <c r="I1430" s="2" t="s">
        <v>22</v>
      </c>
      <c r="J1430" s="2" t="s">
        <v>43</v>
      </c>
      <c r="K1430" s="2" t="s">
        <v>495</v>
      </c>
      <c r="L1430" s="13" t="s">
        <v>496</v>
      </c>
      <c r="M1430" s="2" t="s">
        <v>26</v>
      </c>
      <c r="N1430" s="11" t="s">
        <v>576</v>
      </c>
      <c r="O1430" s="12" t="s">
        <v>53</v>
      </c>
      <c r="P1430" s="5" t="str">
        <f>IFERROR(__xludf.DUMMYFUNCTION("TEXTJOIN("" | "",TRUE,IF(OR(D1430="""",E1430="""",I1430="""",J1430="""",H1430=""""),""ফাঁকা ঘর"",""""),IF(AND(C1430&lt;&gt;"""",D1430&lt;&gt;"""",C1430=D1430),""gloss=figurative"",""""),IF(LEN(D1430)&lt;15,""figurative ছোট"",""""),IF(AND(I1430=""Positive"",REGEXMATCH(H1"&amp;"430,""মূর্খ|ভণ্ড|প্রতার|অলস|লোভ|স্বার্থ|অক্ষম|অযোগ্য|বোকা|কৃপণ|হিংস"")),""valence-target অমিল"",""""),IF(COUNTIF($B:$B,B1430)&gt;1,""ডুপ্লিকেট"",""""))"),"figurative ছোট")</f>
        <v>figurative ছোট</v>
      </c>
      <c r="Q1430" s="5" t="str">
        <f t="shared" si="1"/>
        <v>১ আগে দেখো</v>
      </c>
    </row>
    <row r="1431">
      <c r="A1431" s="4">
        <v>6990.0</v>
      </c>
      <c r="B1431" s="2" t="s">
        <v>5791</v>
      </c>
      <c r="C1431" s="2" t="s">
        <v>5792</v>
      </c>
      <c r="D1431" s="2" t="s">
        <v>5524</v>
      </c>
      <c r="E1431" s="2" t="s">
        <v>5793</v>
      </c>
      <c r="F1431" s="2" t="b">
        <v>1</v>
      </c>
      <c r="G1431" s="2" t="b">
        <v>1</v>
      </c>
      <c r="H1431" s="2" t="s">
        <v>1106</v>
      </c>
      <c r="I1431" s="2" t="s">
        <v>49</v>
      </c>
      <c r="J1431" s="2" t="s">
        <v>5524</v>
      </c>
      <c r="K1431" s="2" t="s">
        <v>495</v>
      </c>
      <c r="L1431" s="13" t="s">
        <v>496</v>
      </c>
      <c r="M1431" s="2" t="s">
        <v>26</v>
      </c>
      <c r="N1431" s="11" t="s">
        <v>576</v>
      </c>
      <c r="O1431" s="12" t="s">
        <v>53</v>
      </c>
      <c r="P1431" s="5" t="str">
        <f>IFERROR(__xludf.DUMMYFUNCTION("TEXTJOIN("" | "",TRUE,IF(OR(D1431="""",E1431="""",I1431="""",J1431="""",H1431=""""),""ফাঁকা ঘর"",""""),IF(AND(C1431&lt;&gt;"""",D1431&lt;&gt;"""",C1431=D1431),""gloss=figurative"",""""),IF(LEN(D1431)&lt;15,""figurative ছোট"",""""),IF(AND(I1431=""Positive"",REGEXMATCH(H1"&amp;"431,""মূর্খ|ভণ্ড|প্রতার|অলস|লোভ|স্বার্থ|অক্ষম|অযোগ্য|বোকা|কৃপণ|হিংস"")),""valence-target অমিল"",""""),IF(COUNTIF($B:$B,B1431)&gt;1,""ডুপ্লিকেট"",""""))"),"figurative ছোট")</f>
        <v>figurative ছোট</v>
      </c>
      <c r="Q1431" s="5" t="str">
        <f t="shared" si="1"/>
        <v>১ আগে দেখো</v>
      </c>
    </row>
    <row r="1432">
      <c r="A1432" s="4">
        <v>6991.0</v>
      </c>
      <c r="B1432" s="2" t="s">
        <v>5794</v>
      </c>
      <c r="C1432" s="2" t="s">
        <v>5795</v>
      </c>
      <c r="D1432" s="2" t="s">
        <v>820</v>
      </c>
      <c r="E1432" s="2" t="s">
        <v>5796</v>
      </c>
      <c r="F1432" s="2" t="b">
        <v>1</v>
      </c>
      <c r="G1432" s="2" t="b">
        <v>0</v>
      </c>
      <c r="H1432" s="2" t="s">
        <v>1334</v>
      </c>
      <c r="I1432" s="2" t="s">
        <v>22</v>
      </c>
      <c r="J1432" s="2" t="s">
        <v>820</v>
      </c>
      <c r="K1432" s="2" t="s">
        <v>495</v>
      </c>
      <c r="L1432" s="13" t="s">
        <v>496</v>
      </c>
      <c r="M1432" s="2" t="s">
        <v>26</v>
      </c>
      <c r="N1432" s="11" t="s">
        <v>576</v>
      </c>
      <c r="O1432" s="12" t="s">
        <v>53</v>
      </c>
      <c r="P1432" s="5" t="str">
        <f>IFERROR(__xludf.DUMMYFUNCTION("TEXTJOIN("" | "",TRUE,IF(OR(D1432="""",E1432="""",I1432="""",J1432="""",H1432=""""),""ফাঁকা ঘর"",""""),IF(AND(C1432&lt;&gt;"""",D1432&lt;&gt;"""",C1432=D1432),""gloss=figurative"",""""),IF(LEN(D1432)&lt;15,""figurative ছোট"",""""),IF(AND(I1432=""Positive"",REGEXMATCH(H1"&amp;"432,""মূর্খ|ভণ্ড|প্রতার|অলস|লোভ|স্বার্থ|অক্ষম|অযোগ্য|বোকা|কৃপণ|হিংস"")),""valence-target অমিল"",""""),IF(COUNTIF($B:$B,B1432)&gt;1,""ডুপ্লিকেট"",""""))"),"figurative ছোট")</f>
        <v>figurative ছোট</v>
      </c>
      <c r="Q1432" s="5" t="str">
        <f t="shared" si="1"/>
        <v>১ আগে দেখো</v>
      </c>
    </row>
    <row r="1433">
      <c r="A1433" s="4">
        <v>6992.0</v>
      </c>
      <c r="B1433" s="2" t="s">
        <v>5797</v>
      </c>
      <c r="C1433" s="2" t="s">
        <v>5798</v>
      </c>
      <c r="D1433" s="2" t="s">
        <v>5799</v>
      </c>
      <c r="E1433" s="2" t="s">
        <v>4746</v>
      </c>
      <c r="F1433" s="2" t="b">
        <v>1</v>
      </c>
      <c r="G1433" s="2" t="b">
        <v>0</v>
      </c>
      <c r="H1433" s="2" t="s">
        <v>749</v>
      </c>
      <c r="I1433" s="2" t="s">
        <v>22</v>
      </c>
      <c r="J1433" s="2" t="s">
        <v>750</v>
      </c>
      <c r="K1433" s="2" t="s">
        <v>495</v>
      </c>
      <c r="L1433" s="13" t="s">
        <v>496</v>
      </c>
      <c r="M1433" s="2" t="s">
        <v>26</v>
      </c>
      <c r="N1433" s="11" t="s">
        <v>576</v>
      </c>
      <c r="O1433" s="12" t="s">
        <v>53</v>
      </c>
      <c r="P1433" s="5" t="str">
        <f>IFERROR(__xludf.DUMMYFUNCTION("TEXTJOIN("" | "",TRUE,IF(OR(D1433="""",E1433="""",I1433="""",J1433="""",H1433=""""),""ফাঁকা ঘর"",""""),IF(AND(C1433&lt;&gt;"""",D1433&lt;&gt;"""",C1433=D1433),""gloss=figurative"",""""),IF(LEN(D1433)&lt;15,""figurative ছোট"",""""),IF(AND(I1433=""Positive"",REGEXMATCH(H1"&amp;"433,""মূর্খ|ভণ্ড|প্রতার|অলস|লোভ|স্বার্থ|অক্ষম|অযোগ্য|বোকা|কৃপণ|হিংস"")),""valence-target অমিল"",""""),IF(COUNTIF($B:$B,B1433)&gt;1,""ডুপ্লিকেট"",""""))"),"figurative ছোট")</f>
        <v>figurative ছোট</v>
      </c>
      <c r="Q1433" s="5" t="str">
        <f t="shared" si="1"/>
        <v>১ আগে দেখো</v>
      </c>
    </row>
    <row r="1434">
      <c r="A1434" s="4">
        <v>6993.0</v>
      </c>
      <c r="B1434" s="2" t="s">
        <v>5800</v>
      </c>
      <c r="C1434" s="2" t="s">
        <v>5800</v>
      </c>
      <c r="D1434" s="2" t="s">
        <v>5801</v>
      </c>
      <c r="E1434" s="2" t="s">
        <v>5802</v>
      </c>
      <c r="F1434" s="2" t="b">
        <v>1</v>
      </c>
      <c r="G1434" s="2" t="b">
        <v>0</v>
      </c>
      <c r="H1434" s="2" t="s">
        <v>37</v>
      </c>
      <c r="I1434" s="2" t="s">
        <v>49</v>
      </c>
      <c r="J1434" s="2" t="s">
        <v>1018</v>
      </c>
      <c r="K1434" s="2" t="s">
        <v>495</v>
      </c>
      <c r="L1434" s="13" t="s">
        <v>496</v>
      </c>
      <c r="M1434" s="2" t="s">
        <v>26</v>
      </c>
      <c r="N1434" s="11" t="s">
        <v>576</v>
      </c>
      <c r="O1434" s="12" t="s">
        <v>53</v>
      </c>
      <c r="P1434" s="5" t="str">
        <f>IFERROR(__xludf.DUMMYFUNCTION("TEXTJOIN("" | "",TRUE,IF(OR(D1434="""",E1434="""",I1434="""",J1434="""",H1434=""""),""ফাঁকা ঘর"",""""),IF(AND(C1434&lt;&gt;"""",D1434&lt;&gt;"""",C1434=D1434),""gloss=figurative"",""""),IF(LEN(D1434)&lt;15,""figurative ছোট"",""""),IF(AND(I1434=""Positive"",REGEXMATCH(H1"&amp;"434,""মূর্খ|ভণ্ড|প্রতার|অলস|লোভ|স্বার্থ|অক্ষম|অযোগ্য|বোকা|কৃপণ|হিংস"")),""valence-target অমিল"",""""),IF(COUNTIF($B:$B,B1434)&gt;1,""ডুপ্লিকেট"",""""))"),"figurative ছোট")</f>
        <v>figurative ছোট</v>
      </c>
      <c r="Q1434" s="5" t="str">
        <f t="shared" si="1"/>
        <v>১ আগে দেখো</v>
      </c>
    </row>
    <row r="1435">
      <c r="A1435" s="4">
        <v>6995.0</v>
      </c>
      <c r="B1435" s="2" t="s">
        <v>5803</v>
      </c>
      <c r="C1435" s="2" t="s">
        <v>5804</v>
      </c>
      <c r="D1435" s="2" t="s">
        <v>1603</v>
      </c>
      <c r="E1435" s="2" t="s">
        <v>5805</v>
      </c>
      <c r="F1435" s="2" t="b">
        <v>1</v>
      </c>
      <c r="G1435" s="2" t="b">
        <v>0</v>
      </c>
      <c r="H1435" s="2" t="s">
        <v>37</v>
      </c>
      <c r="I1435" s="2" t="s">
        <v>32</v>
      </c>
      <c r="J1435" s="2" t="s">
        <v>1603</v>
      </c>
      <c r="K1435" s="2" t="s">
        <v>495</v>
      </c>
      <c r="L1435" s="13" t="s">
        <v>496</v>
      </c>
      <c r="M1435" s="2" t="s">
        <v>26</v>
      </c>
      <c r="N1435" s="11" t="s">
        <v>576</v>
      </c>
      <c r="O1435" s="12" t="s">
        <v>53</v>
      </c>
      <c r="P1435" s="5" t="str">
        <f>IFERROR(__xludf.DUMMYFUNCTION("TEXTJOIN("" | "",TRUE,IF(OR(D1435="""",E1435="""",I1435="""",J1435="""",H1435=""""),""ফাঁকা ঘর"",""""),IF(AND(C1435&lt;&gt;"""",D1435&lt;&gt;"""",C1435=D1435),""gloss=figurative"",""""),IF(LEN(D1435)&lt;15,""figurative ছোট"",""""),IF(AND(I1435=""Positive"",REGEXMATCH(H1"&amp;"435,""মূর্খ|ভণ্ড|প্রতার|অলস|লোভ|স্বার্থ|অক্ষম|অযোগ্য|বোকা|কৃপণ|হিংস"")),""valence-target অমিল"",""""),IF(COUNTIF($B:$B,B1435)&gt;1,""ডুপ্লিকেট"",""""))"),"figurative ছোট")</f>
        <v>figurative ছোট</v>
      </c>
      <c r="Q1435" s="5" t="str">
        <f t="shared" si="1"/>
        <v>১ আগে দেখো</v>
      </c>
    </row>
    <row r="1436">
      <c r="A1436" s="4">
        <v>6996.0</v>
      </c>
      <c r="B1436" s="2" t="s">
        <v>5806</v>
      </c>
      <c r="C1436" s="2" t="s">
        <v>5807</v>
      </c>
      <c r="D1436" s="2" t="s">
        <v>5808</v>
      </c>
      <c r="E1436" s="2" t="s">
        <v>5809</v>
      </c>
      <c r="F1436" s="2" t="b">
        <v>1</v>
      </c>
      <c r="G1436" s="2" t="b">
        <v>0</v>
      </c>
      <c r="H1436" s="2" t="s">
        <v>37</v>
      </c>
      <c r="I1436" s="2" t="s">
        <v>32</v>
      </c>
      <c r="J1436" s="2" t="s">
        <v>5810</v>
      </c>
      <c r="K1436" s="2" t="s">
        <v>495</v>
      </c>
      <c r="L1436" s="13" t="s">
        <v>496</v>
      </c>
      <c r="M1436" s="2" t="s">
        <v>26</v>
      </c>
      <c r="N1436" s="11" t="s">
        <v>576</v>
      </c>
      <c r="O1436" s="12" t="s">
        <v>53</v>
      </c>
      <c r="P1436" s="5" t="str">
        <f>IFERROR(__xludf.DUMMYFUNCTION("TEXTJOIN("" | "",TRUE,IF(OR(D1436="""",E1436="""",I1436="""",J1436="""",H1436=""""),""ফাঁকা ঘর"",""""),IF(AND(C1436&lt;&gt;"""",D1436&lt;&gt;"""",C1436=D1436),""gloss=figurative"",""""),IF(LEN(D1436)&lt;15,""figurative ছোট"",""""),IF(AND(I1436=""Positive"",REGEXMATCH(H1"&amp;"436,""মূর্খ|ভণ্ড|প্রতার|অলস|লোভ|স্বার্থ|অক্ষম|অযোগ্য|বোকা|কৃপণ|হিংস"")),""valence-target অমিল"",""""),IF(COUNTIF($B:$B,B1436)&gt;1,""ডুপ্লিকেট"",""""))"),"figurative ছোট")</f>
        <v>figurative ছোট</v>
      </c>
      <c r="Q1436" s="5" t="str">
        <f t="shared" si="1"/>
        <v>১ আগে দেখো</v>
      </c>
    </row>
    <row r="1437">
      <c r="A1437" s="4">
        <v>6998.0</v>
      </c>
      <c r="B1437" s="2" t="s">
        <v>5811</v>
      </c>
      <c r="C1437" s="2" t="s">
        <v>5812</v>
      </c>
      <c r="D1437" s="2" t="s">
        <v>5813</v>
      </c>
      <c r="E1437" s="2" t="s">
        <v>5814</v>
      </c>
      <c r="F1437" s="2" t="b">
        <v>1</v>
      </c>
      <c r="G1437" s="2" t="b">
        <v>0</v>
      </c>
      <c r="H1437" s="2" t="s">
        <v>37</v>
      </c>
      <c r="I1437" s="2" t="s">
        <v>22</v>
      </c>
      <c r="J1437" s="2" t="s">
        <v>4088</v>
      </c>
      <c r="K1437" s="2" t="s">
        <v>495</v>
      </c>
      <c r="L1437" s="13" t="s">
        <v>496</v>
      </c>
      <c r="M1437" s="2" t="s">
        <v>26</v>
      </c>
      <c r="N1437" s="11" t="s">
        <v>5815</v>
      </c>
      <c r="O1437" s="12" t="s">
        <v>53</v>
      </c>
      <c r="P1437" s="5" t="str">
        <f>IFERROR(__xludf.DUMMYFUNCTION("TEXTJOIN("" | "",TRUE,IF(OR(D1437="""",E1437="""",I1437="""",J1437="""",H1437=""""),""ফাঁকা ঘর"",""""),IF(AND(C1437&lt;&gt;"""",D1437&lt;&gt;"""",C1437=D1437),""gloss=figurative"",""""),IF(LEN(D1437)&lt;15,""figurative ছোট"",""""),IF(AND(I1437=""Positive"",REGEXMATCH(H1"&amp;"437,""মূর্খ|ভণ্ড|প্রতার|অলস|লোভ|স্বার্থ|অক্ষম|অযোগ্য|বোকা|কৃপণ|হিংস"")),""valence-target অমিল"",""""),IF(COUNTIF($B:$B,B1437)&gt;1,""ডুপ্লিকেট"",""""))"),"figurative ছোট")</f>
        <v>figurative ছোট</v>
      </c>
      <c r="Q1437" s="5" t="str">
        <f t="shared" si="1"/>
        <v>১ আগে দেখো</v>
      </c>
    </row>
    <row r="1438">
      <c r="A1438" s="4">
        <v>7000.0</v>
      </c>
      <c r="B1438" s="2" t="s">
        <v>5816</v>
      </c>
      <c r="C1438" s="2" t="s">
        <v>5817</v>
      </c>
      <c r="D1438" s="2" t="s">
        <v>5818</v>
      </c>
      <c r="E1438" s="2" t="s">
        <v>5819</v>
      </c>
      <c r="F1438" s="2" t="b">
        <v>1</v>
      </c>
      <c r="G1438" s="2" t="b">
        <v>0</v>
      </c>
      <c r="H1438" s="2" t="s">
        <v>37</v>
      </c>
      <c r="I1438" s="2" t="s">
        <v>32</v>
      </c>
      <c r="J1438" s="2" t="s">
        <v>5820</v>
      </c>
      <c r="K1438" s="2" t="s">
        <v>495</v>
      </c>
      <c r="L1438" s="13" t="s">
        <v>496</v>
      </c>
      <c r="M1438" s="2" t="s">
        <v>26</v>
      </c>
      <c r="N1438" s="11" t="s">
        <v>5821</v>
      </c>
      <c r="O1438" s="12" t="s">
        <v>53</v>
      </c>
      <c r="P1438" s="5" t="str">
        <f>IFERROR(__xludf.DUMMYFUNCTION("TEXTJOIN("" | "",TRUE,IF(OR(D1438="""",E1438="""",I1438="""",J1438="""",H1438=""""),""ফাঁকা ঘর"",""""),IF(AND(C1438&lt;&gt;"""",D1438&lt;&gt;"""",C1438=D1438),""gloss=figurative"",""""),IF(LEN(D1438)&lt;15,""figurative ছোট"",""""),IF(AND(I1438=""Positive"",REGEXMATCH(H1"&amp;"438,""মূর্খ|ভণ্ড|প্রতার|অলস|লোভ|স্বার্থ|অক্ষম|অযোগ্য|বোকা|কৃপণ|হিংস"")),""valence-target অমিল"",""""),IF(COUNTIF($B:$B,B1438)&gt;1,""ডুপ্লিকেট"",""""))"),"figurative ছোট")</f>
        <v>figurative ছোট</v>
      </c>
      <c r="Q1438" s="5" t="str">
        <f t="shared" si="1"/>
        <v>১ আগে দেখো</v>
      </c>
    </row>
    <row r="1439">
      <c r="A1439" s="4">
        <v>7001.0</v>
      </c>
      <c r="B1439" s="2" t="s">
        <v>5822</v>
      </c>
      <c r="C1439" s="2" t="s">
        <v>5823</v>
      </c>
      <c r="D1439" s="2" t="s">
        <v>3710</v>
      </c>
      <c r="E1439" s="2" t="s">
        <v>5824</v>
      </c>
      <c r="F1439" s="2" t="b">
        <v>1</v>
      </c>
      <c r="G1439" s="2" t="b">
        <v>0</v>
      </c>
      <c r="H1439" s="2" t="s">
        <v>37</v>
      </c>
      <c r="I1439" s="2" t="s">
        <v>32</v>
      </c>
      <c r="J1439" s="2" t="s">
        <v>3710</v>
      </c>
      <c r="K1439" s="2" t="s">
        <v>495</v>
      </c>
      <c r="L1439" s="13" t="s">
        <v>496</v>
      </c>
      <c r="M1439" s="2" t="s">
        <v>26</v>
      </c>
      <c r="N1439" s="11" t="s">
        <v>576</v>
      </c>
      <c r="O1439" s="12" t="s">
        <v>53</v>
      </c>
      <c r="P1439" s="5" t="str">
        <f>IFERROR(__xludf.DUMMYFUNCTION("TEXTJOIN("" | "",TRUE,IF(OR(D1439="""",E1439="""",I1439="""",J1439="""",H1439=""""),""ফাঁকা ঘর"",""""),IF(AND(C1439&lt;&gt;"""",D1439&lt;&gt;"""",C1439=D1439),""gloss=figurative"",""""),IF(LEN(D1439)&lt;15,""figurative ছোট"",""""),IF(AND(I1439=""Positive"",REGEXMATCH(H1"&amp;"439,""মূর্খ|ভণ্ড|প্রতার|অলস|লোভ|স্বার্থ|অক্ষম|অযোগ্য|বোকা|কৃপণ|হিংস"")),""valence-target অমিল"",""""),IF(COUNTIF($B:$B,B1439)&gt;1,""ডুপ্লিকেট"",""""))"),"figurative ছোট")</f>
        <v>figurative ছোট</v>
      </c>
      <c r="Q1439" s="5" t="str">
        <f t="shared" si="1"/>
        <v>১ আগে দেখো</v>
      </c>
    </row>
    <row r="1440">
      <c r="A1440" s="4">
        <v>7003.0</v>
      </c>
      <c r="B1440" s="2" t="s">
        <v>5825</v>
      </c>
      <c r="C1440" s="2" t="s">
        <v>5826</v>
      </c>
      <c r="D1440" s="2" t="s">
        <v>5827</v>
      </c>
      <c r="E1440" s="2" t="s">
        <v>5828</v>
      </c>
      <c r="F1440" s="2" t="b">
        <v>1</v>
      </c>
      <c r="G1440" s="2" t="b">
        <v>0</v>
      </c>
      <c r="H1440" s="2" t="s">
        <v>37</v>
      </c>
      <c r="I1440" s="2" t="s">
        <v>22</v>
      </c>
      <c r="J1440" s="2" t="s">
        <v>5829</v>
      </c>
      <c r="K1440" s="2" t="s">
        <v>495</v>
      </c>
      <c r="L1440" s="13" t="s">
        <v>496</v>
      </c>
      <c r="M1440" s="2" t="s">
        <v>26</v>
      </c>
      <c r="N1440" s="11" t="s">
        <v>5830</v>
      </c>
      <c r="O1440" s="12" t="s">
        <v>53</v>
      </c>
      <c r="P1440" s="5" t="str">
        <f>IFERROR(__xludf.DUMMYFUNCTION("TEXTJOIN("" | "",TRUE,IF(OR(D1440="""",E1440="""",I1440="""",J1440="""",H1440=""""),""ফাঁকা ঘর"",""""),IF(AND(C1440&lt;&gt;"""",D1440&lt;&gt;"""",C1440=D1440),""gloss=figurative"",""""),IF(LEN(D1440)&lt;15,""figurative ছোট"",""""),IF(AND(I1440=""Positive"",REGEXMATCH(H1"&amp;"440,""মূর্খ|ভণ্ড|প্রতার|অলস|লোভ|স্বার্থ|অক্ষম|অযোগ্য|বোকা|কৃপণ|হিংস"")),""valence-target অমিল"",""""),IF(COUNTIF($B:$B,B1440)&gt;1,""ডুপ্লিকেট"",""""))"),"figurative ছোট")</f>
        <v>figurative ছোট</v>
      </c>
      <c r="Q1440" s="5" t="str">
        <f t="shared" si="1"/>
        <v>১ আগে দেখো</v>
      </c>
    </row>
    <row r="1441">
      <c r="A1441" s="4">
        <v>7004.0</v>
      </c>
      <c r="B1441" s="2" t="s">
        <v>5831</v>
      </c>
      <c r="C1441" s="2" t="s">
        <v>5831</v>
      </c>
      <c r="D1441" s="2" t="s">
        <v>5832</v>
      </c>
      <c r="E1441" s="2" t="s">
        <v>5833</v>
      </c>
      <c r="F1441" s="2" t="b">
        <v>1</v>
      </c>
      <c r="G1441" s="2" t="b">
        <v>1</v>
      </c>
      <c r="H1441" s="2" t="s">
        <v>1106</v>
      </c>
      <c r="I1441" s="2" t="s">
        <v>49</v>
      </c>
      <c r="J1441" s="2" t="s">
        <v>5524</v>
      </c>
      <c r="K1441" s="2" t="s">
        <v>495</v>
      </c>
      <c r="L1441" s="13" t="s">
        <v>496</v>
      </c>
      <c r="M1441" s="2" t="s">
        <v>26</v>
      </c>
      <c r="N1441" s="11" t="s">
        <v>576</v>
      </c>
      <c r="O1441" s="12" t="s">
        <v>53</v>
      </c>
      <c r="P1441" s="5" t="str">
        <f>IFERROR(__xludf.DUMMYFUNCTION("TEXTJOIN("" | "",TRUE,IF(OR(D1441="""",E1441="""",I1441="""",J1441="""",H1441=""""),""ফাঁকা ঘর"",""""),IF(AND(C1441&lt;&gt;"""",D1441&lt;&gt;"""",C1441=D1441),""gloss=figurative"",""""),IF(LEN(D1441)&lt;15,""figurative ছোট"",""""),IF(AND(I1441=""Positive"",REGEXMATCH(H1"&amp;"441,""মূর্খ|ভণ্ড|প্রতার|অলস|লোভ|স্বার্থ|অক্ষম|অযোগ্য|বোকা|কৃপণ|হিংস"")),""valence-target অমিল"",""""),IF(COUNTIF($B:$B,B1441)&gt;1,""ডুপ্লিকেট"",""""))"),"figurative ছোট")</f>
        <v>figurative ছোট</v>
      </c>
      <c r="Q1441" s="5" t="str">
        <f t="shared" si="1"/>
        <v>১ আগে দেখো</v>
      </c>
    </row>
    <row r="1442">
      <c r="A1442" s="4">
        <v>7005.0</v>
      </c>
      <c r="B1442" s="2" t="s">
        <v>5834</v>
      </c>
      <c r="C1442" s="2" t="s">
        <v>5835</v>
      </c>
      <c r="D1442" s="2" t="s">
        <v>5591</v>
      </c>
      <c r="E1442" s="2" t="s">
        <v>5836</v>
      </c>
      <c r="F1442" s="2" t="b">
        <v>1</v>
      </c>
      <c r="G1442" s="2" t="b">
        <v>0</v>
      </c>
      <c r="H1442" s="2" t="s">
        <v>37</v>
      </c>
      <c r="I1442" s="2" t="s">
        <v>49</v>
      </c>
      <c r="J1442" s="2" t="s">
        <v>1553</v>
      </c>
      <c r="K1442" s="2" t="s">
        <v>495</v>
      </c>
      <c r="L1442" s="13" t="s">
        <v>496</v>
      </c>
      <c r="M1442" s="2" t="s">
        <v>26</v>
      </c>
      <c r="N1442" s="11" t="s">
        <v>576</v>
      </c>
      <c r="O1442" s="12" t="s">
        <v>53</v>
      </c>
      <c r="P1442" s="5" t="str">
        <f>IFERROR(__xludf.DUMMYFUNCTION("TEXTJOIN("" | "",TRUE,IF(OR(D1442="""",E1442="""",I1442="""",J1442="""",H1442=""""),""ফাঁকা ঘর"",""""),IF(AND(C1442&lt;&gt;"""",D1442&lt;&gt;"""",C1442=D1442),""gloss=figurative"",""""),IF(LEN(D1442)&lt;15,""figurative ছোট"",""""),IF(AND(I1442=""Positive"",REGEXMATCH(H1"&amp;"442,""মূর্খ|ভণ্ড|প্রতার|অলস|লোভ|স্বার্থ|অক্ষম|অযোগ্য|বোকা|কৃপণ|হিংস"")),""valence-target অমিল"",""""),IF(COUNTIF($B:$B,B1442)&gt;1,""ডুপ্লিকেট"",""""))"),"figurative ছোট")</f>
        <v>figurative ছোট</v>
      </c>
      <c r="Q1442" s="5" t="str">
        <f t="shared" si="1"/>
        <v>১ আগে দেখো</v>
      </c>
    </row>
    <row r="1443">
      <c r="A1443" s="4">
        <v>7006.0</v>
      </c>
      <c r="B1443" s="2" t="s">
        <v>5837</v>
      </c>
      <c r="C1443" s="2" t="s">
        <v>5838</v>
      </c>
      <c r="D1443" s="2" t="s">
        <v>5839</v>
      </c>
      <c r="E1443" s="2" t="s">
        <v>5840</v>
      </c>
      <c r="F1443" s="2" t="b">
        <v>1</v>
      </c>
      <c r="G1443" s="2" t="b">
        <v>0</v>
      </c>
      <c r="H1443" s="2" t="s">
        <v>37</v>
      </c>
      <c r="I1443" s="2" t="s">
        <v>49</v>
      </c>
      <c r="J1443" s="2" t="s">
        <v>5841</v>
      </c>
      <c r="K1443" s="2" t="s">
        <v>495</v>
      </c>
      <c r="L1443" s="13" t="s">
        <v>496</v>
      </c>
      <c r="M1443" s="2" t="s">
        <v>26</v>
      </c>
      <c r="N1443" s="11" t="s">
        <v>576</v>
      </c>
      <c r="O1443" s="12" t="s">
        <v>53</v>
      </c>
      <c r="P1443" s="5" t="str">
        <f>IFERROR(__xludf.DUMMYFUNCTION("TEXTJOIN("" | "",TRUE,IF(OR(D1443="""",E1443="""",I1443="""",J1443="""",H1443=""""),""ফাঁকা ঘর"",""""),IF(AND(C1443&lt;&gt;"""",D1443&lt;&gt;"""",C1443=D1443),""gloss=figurative"",""""),IF(LEN(D1443)&lt;15,""figurative ছোট"",""""),IF(AND(I1443=""Positive"",REGEXMATCH(H1"&amp;"443,""মূর্খ|ভণ্ড|প্রতার|অলস|লোভ|স্বার্থ|অক্ষম|অযোগ্য|বোকা|কৃপণ|হিংস"")),""valence-target অমিল"",""""),IF(COUNTIF($B:$B,B1443)&gt;1,""ডুপ্লিকেট"",""""))"),"figurative ছোট")</f>
        <v>figurative ছোট</v>
      </c>
      <c r="Q1443" s="5" t="str">
        <f t="shared" si="1"/>
        <v>১ আগে দেখো</v>
      </c>
    </row>
    <row r="1444">
      <c r="A1444" s="4">
        <v>7007.0</v>
      </c>
      <c r="B1444" s="2" t="s">
        <v>5842</v>
      </c>
      <c r="C1444" s="2" t="s">
        <v>5843</v>
      </c>
      <c r="D1444" s="2" t="s">
        <v>5844</v>
      </c>
      <c r="E1444" s="2" t="s">
        <v>5845</v>
      </c>
      <c r="F1444" s="2" t="b">
        <v>1</v>
      </c>
      <c r="G1444" s="2" t="b">
        <v>0</v>
      </c>
      <c r="H1444" s="2" t="s">
        <v>37</v>
      </c>
      <c r="I1444" s="2" t="s">
        <v>32</v>
      </c>
      <c r="J1444" s="2" t="s">
        <v>5278</v>
      </c>
      <c r="K1444" s="2" t="s">
        <v>495</v>
      </c>
      <c r="L1444" s="13" t="s">
        <v>496</v>
      </c>
      <c r="M1444" s="2" t="s">
        <v>26</v>
      </c>
      <c r="N1444" s="11" t="s">
        <v>5846</v>
      </c>
      <c r="O1444" s="12" t="s">
        <v>53</v>
      </c>
      <c r="P1444" s="5" t="str">
        <f>IFERROR(__xludf.DUMMYFUNCTION("TEXTJOIN("" | "",TRUE,IF(OR(D1444="""",E1444="""",I1444="""",J1444="""",H1444=""""),""ফাঁকা ঘর"",""""),IF(AND(C1444&lt;&gt;"""",D1444&lt;&gt;"""",C1444=D1444),""gloss=figurative"",""""),IF(LEN(D1444)&lt;15,""figurative ছোট"",""""),IF(AND(I1444=""Positive"",REGEXMATCH(H1"&amp;"444,""মূর্খ|ভণ্ড|প্রতার|অলস|লোভ|স্বার্থ|অক্ষম|অযোগ্য|বোকা|কৃপণ|হিংস"")),""valence-target অমিল"",""""),IF(COUNTIF($B:$B,B1444)&gt;1,""ডুপ্লিকেট"",""""))"),"figurative ছোট")</f>
        <v>figurative ছোট</v>
      </c>
      <c r="Q1444" s="5" t="str">
        <f t="shared" si="1"/>
        <v>১ আগে দেখো</v>
      </c>
    </row>
    <row r="1445">
      <c r="A1445" s="4">
        <v>7008.0</v>
      </c>
      <c r="B1445" s="2" t="s">
        <v>5847</v>
      </c>
      <c r="C1445" s="2" t="s">
        <v>5848</v>
      </c>
      <c r="D1445" s="2" t="s">
        <v>5849</v>
      </c>
      <c r="E1445" s="2" t="s">
        <v>5850</v>
      </c>
      <c r="F1445" s="2" t="b">
        <v>1</v>
      </c>
      <c r="G1445" s="2" t="b">
        <v>0</v>
      </c>
      <c r="H1445" s="2" t="s">
        <v>37</v>
      </c>
      <c r="I1445" s="2" t="s">
        <v>32</v>
      </c>
      <c r="J1445" s="2" t="s">
        <v>5278</v>
      </c>
      <c r="K1445" s="2" t="s">
        <v>495</v>
      </c>
      <c r="L1445" s="13" t="s">
        <v>496</v>
      </c>
      <c r="M1445" s="2" t="s">
        <v>26</v>
      </c>
      <c r="N1445" s="11" t="s">
        <v>5851</v>
      </c>
      <c r="O1445" s="12" t="s">
        <v>53</v>
      </c>
      <c r="P1445" s="5" t="str">
        <f>IFERROR(__xludf.DUMMYFUNCTION("TEXTJOIN("" | "",TRUE,IF(OR(D1445="""",E1445="""",I1445="""",J1445="""",H1445=""""),""ফাঁকা ঘর"",""""),IF(AND(C1445&lt;&gt;"""",D1445&lt;&gt;"""",C1445=D1445),""gloss=figurative"",""""),IF(LEN(D1445)&lt;15,""figurative ছোট"",""""),IF(AND(I1445=""Positive"",REGEXMATCH(H1"&amp;"445,""মূর্খ|ভণ্ড|প্রতার|অলস|লোভ|স্বার্থ|অক্ষম|অযোগ্য|বোকা|কৃপণ|হিংস"")),""valence-target অমিল"",""""),IF(COUNTIF($B:$B,B1445)&gt;1,""ডুপ্লিকেট"",""""))"),"figurative ছোট")</f>
        <v>figurative ছোট</v>
      </c>
      <c r="Q1445" s="5" t="str">
        <f t="shared" si="1"/>
        <v>১ আগে দেখো</v>
      </c>
    </row>
    <row r="1446">
      <c r="A1446" s="4">
        <v>7011.0</v>
      </c>
      <c r="B1446" s="2" t="s">
        <v>5852</v>
      </c>
      <c r="C1446" s="2" t="s">
        <v>5853</v>
      </c>
      <c r="D1446" s="2" t="s">
        <v>5854</v>
      </c>
      <c r="E1446" s="2" t="s">
        <v>5855</v>
      </c>
      <c r="F1446" s="2" t="b">
        <v>1</v>
      </c>
      <c r="G1446" s="2" t="b">
        <v>0</v>
      </c>
      <c r="H1446" s="2" t="s">
        <v>37</v>
      </c>
      <c r="I1446" s="2" t="s">
        <v>49</v>
      </c>
      <c r="J1446" s="2" t="s">
        <v>2575</v>
      </c>
      <c r="K1446" s="2" t="s">
        <v>495</v>
      </c>
      <c r="L1446" s="13" t="s">
        <v>496</v>
      </c>
      <c r="M1446" s="2" t="s">
        <v>26</v>
      </c>
      <c r="N1446" s="11" t="s">
        <v>576</v>
      </c>
      <c r="O1446" s="12" t="s">
        <v>53</v>
      </c>
      <c r="P1446" s="5" t="str">
        <f>IFERROR(__xludf.DUMMYFUNCTION("TEXTJOIN("" | "",TRUE,IF(OR(D1446="""",E1446="""",I1446="""",J1446="""",H1446=""""),""ফাঁকা ঘর"",""""),IF(AND(C1446&lt;&gt;"""",D1446&lt;&gt;"""",C1446=D1446),""gloss=figurative"",""""),IF(LEN(D1446)&lt;15,""figurative ছোট"",""""),IF(AND(I1446=""Positive"",REGEXMATCH(H1"&amp;"446,""মূর্খ|ভণ্ড|প্রতার|অলস|লোভ|স্বার্থ|অক্ষম|অযোগ্য|বোকা|কৃপণ|হিংস"")),""valence-target অমিল"",""""),IF(COUNTIF($B:$B,B1446)&gt;1,""ডুপ্লিকেট"",""""))"),"figurative ছোট")</f>
        <v>figurative ছোট</v>
      </c>
      <c r="Q1446" s="5" t="str">
        <f t="shared" si="1"/>
        <v>১ আগে দেখো</v>
      </c>
    </row>
    <row r="1447">
      <c r="A1447" s="4">
        <v>7012.0</v>
      </c>
      <c r="B1447" s="2" t="s">
        <v>5856</v>
      </c>
      <c r="C1447" s="2" t="s">
        <v>5857</v>
      </c>
      <c r="D1447" s="2" t="s">
        <v>5858</v>
      </c>
      <c r="E1447" s="2" t="s">
        <v>5859</v>
      </c>
      <c r="F1447" s="2" t="b">
        <v>1</v>
      </c>
      <c r="G1447" s="2" t="b">
        <v>0</v>
      </c>
      <c r="H1447" s="2" t="s">
        <v>37</v>
      </c>
      <c r="I1447" s="2" t="s">
        <v>49</v>
      </c>
      <c r="J1447" s="2" t="s">
        <v>447</v>
      </c>
      <c r="K1447" s="2" t="s">
        <v>495</v>
      </c>
      <c r="L1447" s="13" t="s">
        <v>496</v>
      </c>
      <c r="M1447" s="2" t="s">
        <v>26</v>
      </c>
      <c r="N1447" s="11" t="s">
        <v>576</v>
      </c>
      <c r="O1447" s="12" t="s">
        <v>53</v>
      </c>
      <c r="P1447" s="5" t="str">
        <f>IFERROR(__xludf.DUMMYFUNCTION("TEXTJOIN("" | "",TRUE,IF(OR(D1447="""",E1447="""",I1447="""",J1447="""",H1447=""""),""ফাঁকা ঘর"",""""),IF(AND(C1447&lt;&gt;"""",D1447&lt;&gt;"""",C1447=D1447),""gloss=figurative"",""""),IF(LEN(D1447)&lt;15,""figurative ছোট"",""""),IF(AND(I1447=""Positive"",REGEXMATCH(H1"&amp;"447,""মূর্খ|ভণ্ড|প্রতার|অলস|লোভ|স্বার্থ|অক্ষম|অযোগ্য|বোকা|কৃপণ|হিংস"")),""valence-target অমিল"",""""),IF(COUNTIF($B:$B,B1447)&gt;1,""ডুপ্লিকেট"",""""))"),"figurative ছোট")</f>
        <v>figurative ছোট</v>
      </c>
      <c r="Q1447" s="5" t="str">
        <f t="shared" si="1"/>
        <v>১ আগে দেখো</v>
      </c>
    </row>
    <row r="1448">
      <c r="A1448" s="4">
        <v>7013.0</v>
      </c>
      <c r="B1448" s="2" t="s">
        <v>5860</v>
      </c>
      <c r="C1448" s="2" t="s">
        <v>5861</v>
      </c>
      <c r="D1448" s="2" t="s">
        <v>5862</v>
      </c>
      <c r="E1448" s="2" t="s">
        <v>5863</v>
      </c>
      <c r="F1448" s="2" t="b">
        <v>1</v>
      </c>
      <c r="G1448" s="2" t="b">
        <v>0</v>
      </c>
      <c r="H1448" s="2" t="s">
        <v>37</v>
      </c>
      <c r="I1448" s="2" t="s">
        <v>32</v>
      </c>
      <c r="J1448" s="2" t="s">
        <v>300</v>
      </c>
      <c r="K1448" s="2" t="s">
        <v>495</v>
      </c>
      <c r="L1448" s="13" t="s">
        <v>496</v>
      </c>
      <c r="M1448" s="2" t="s">
        <v>26</v>
      </c>
      <c r="N1448" s="11" t="s">
        <v>576</v>
      </c>
      <c r="O1448" s="12" t="s">
        <v>53</v>
      </c>
      <c r="P1448" s="5" t="str">
        <f>IFERROR(__xludf.DUMMYFUNCTION("TEXTJOIN("" | "",TRUE,IF(OR(D1448="""",E1448="""",I1448="""",J1448="""",H1448=""""),""ফাঁকা ঘর"",""""),IF(AND(C1448&lt;&gt;"""",D1448&lt;&gt;"""",C1448=D1448),""gloss=figurative"",""""),IF(LEN(D1448)&lt;15,""figurative ছোট"",""""),IF(AND(I1448=""Positive"",REGEXMATCH(H1"&amp;"448,""মূর্খ|ভণ্ড|প্রতার|অলস|লোভ|স্বার্থ|অক্ষম|অযোগ্য|বোকা|কৃপণ|হিংস"")),""valence-target অমিল"",""""),IF(COUNTIF($B:$B,B1448)&gt;1,""ডুপ্লিকেট"",""""))"),"figurative ছোট")</f>
        <v>figurative ছোট</v>
      </c>
      <c r="Q1448" s="5" t="str">
        <f t="shared" si="1"/>
        <v>১ আগে দেখো</v>
      </c>
    </row>
    <row r="1449">
      <c r="A1449" s="4">
        <v>7014.0</v>
      </c>
      <c r="B1449" s="2" t="s">
        <v>5864</v>
      </c>
      <c r="C1449" s="2" t="s">
        <v>5388</v>
      </c>
      <c r="D1449" s="2" t="s">
        <v>3701</v>
      </c>
      <c r="E1449" s="2" t="s">
        <v>5865</v>
      </c>
      <c r="F1449" s="2" t="b">
        <v>1</v>
      </c>
      <c r="G1449" s="2" t="b">
        <v>0</v>
      </c>
      <c r="H1449" s="2" t="s">
        <v>37</v>
      </c>
      <c r="I1449" s="2" t="s">
        <v>22</v>
      </c>
      <c r="J1449" s="2" t="s">
        <v>3701</v>
      </c>
      <c r="K1449" s="2" t="s">
        <v>495</v>
      </c>
      <c r="L1449" s="13" t="s">
        <v>496</v>
      </c>
      <c r="M1449" s="2" t="s">
        <v>26</v>
      </c>
      <c r="N1449" s="11" t="s">
        <v>576</v>
      </c>
      <c r="O1449" s="12" t="s">
        <v>53</v>
      </c>
      <c r="P1449" s="5" t="str">
        <f>IFERROR(__xludf.DUMMYFUNCTION("TEXTJOIN("" | "",TRUE,IF(OR(D1449="""",E1449="""",I1449="""",J1449="""",H1449=""""),""ফাঁকা ঘর"",""""),IF(AND(C1449&lt;&gt;"""",D1449&lt;&gt;"""",C1449=D1449),""gloss=figurative"",""""),IF(LEN(D1449)&lt;15,""figurative ছোট"",""""),IF(AND(I1449=""Positive"",REGEXMATCH(H1"&amp;"449,""মূর্খ|ভণ্ড|প্রতার|অলস|লোভ|স্বার্থ|অক্ষম|অযোগ্য|বোকা|কৃপণ|হিংস"")),""valence-target অমিল"",""""),IF(COUNTIF($B:$B,B1449)&gt;1,""ডুপ্লিকেট"",""""))"),"figurative ছোট")</f>
        <v>figurative ছোট</v>
      </c>
      <c r="Q1449" s="5" t="str">
        <f t="shared" si="1"/>
        <v>১ আগে দেখো</v>
      </c>
    </row>
    <row r="1450">
      <c r="A1450" s="4">
        <v>7015.0</v>
      </c>
      <c r="B1450" s="2" t="s">
        <v>5866</v>
      </c>
      <c r="C1450" s="2" t="s">
        <v>5867</v>
      </c>
      <c r="D1450" s="2" t="s">
        <v>2165</v>
      </c>
      <c r="E1450" s="2" t="s">
        <v>5868</v>
      </c>
      <c r="F1450" s="2" t="b">
        <v>1</v>
      </c>
      <c r="G1450" s="2" t="b">
        <v>0</v>
      </c>
      <c r="H1450" s="2" t="s">
        <v>37</v>
      </c>
      <c r="I1450" s="2" t="s">
        <v>49</v>
      </c>
      <c r="J1450" s="2" t="s">
        <v>2165</v>
      </c>
      <c r="K1450" s="2" t="s">
        <v>495</v>
      </c>
      <c r="L1450" s="13" t="s">
        <v>496</v>
      </c>
      <c r="M1450" s="2" t="s">
        <v>26</v>
      </c>
      <c r="N1450" s="11" t="s">
        <v>576</v>
      </c>
      <c r="O1450" s="12" t="s">
        <v>53</v>
      </c>
      <c r="P1450" s="5" t="str">
        <f>IFERROR(__xludf.DUMMYFUNCTION("TEXTJOIN("" | "",TRUE,IF(OR(D1450="""",E1450="""",I1450="""",J1450="""",H1450=""""),""ফাঁকা ঘর"",""""),IF(AND(C1450&lt;&gt;"""",D1450&lt;&gt;"""",C1450=D1450),""gloss=figurative"",""""),IF(LEN(D1450)&lt;15,""figurative ছোট"",""""),IF(AND(I1450=""Positive"",REGEXMATCH(H1"&amp;"450,""মূর্খ|ভণ্ড|প্রতার|অলস|লোভ|স্বার্থ|অক্ষম|অযোগ্য|বোকা|কৃপণ|হিংস"")),""valence-target অমিল"",""""),IF(COUNTIF($B:$B,B1450)&gt;1,""ডুপ্লিকেট"",""""))"),"figurative ছোট")</f>
        <v>figurative ছোট</v>
      </c>
      <c r="Q1450" s="5" t="str">
        <f t="shared" si="1"/>
        <v>১ আগে দেখো</v>
      </c>
    </row>
    <row r="1451">
      <c r="A1451" s="4">
        <v>7016.0</v>
      </c>
      <c r="B1451" s="2" t="s">
        <v>398</v>
      </c>
      <c r="C1451" s="2" t="s">
        <v>5869</v>
      </c>
      <c r="D1451" s="2" t="s">
        <v>3156</v>
      </c>
      <c r="E1451" s="2" t="s">
        <v>5870</v>
      </c>
      <c r="F1451" s="2" t="b">
        <v>1</v>
      </c>
      <c r="G1451" s="2" t="b">
        <v>0</v>
      </c>
      <c r="H1451" s="2" t="s">
        <v>37</v>
      </c>
      <c r="I1451" s="2" t="s">
        <v>49</v>
      </c>
      <c r="J1451" s="2" t="s">
        <v>3156</v>
      </c>
      <c r="K1451" s="2" t="s">
        <v>495</v>
      </c>
      <c r="L1451" s="13" t="s">
        <v>496</v>
      </c>
      <c r="M1451" s="2" t="s">
        <v>26</v>
      </c>
      <c r="N1451" s="11" t="s">
        <v>5871</v>
      </c>
      <c r="O1451" s="12" t="s">
        <v>53</v>
      </c>
      <c r="P1451" s="5" t="str">
        <f>IFERROR(__xludf.DUMMYFUNCTION("TEXTJOIN("" | "",TRUE,IF(OR(D1451="""",E1451="""",I1451="""",J1451="""",H1451=""""),""ফাঁকা ঘর"",""""),IF(AND(C1451&lt;&gt;"""",D1451&lt;&gt;"""",C1451=D1451),""gloss=figurative"",""""),IF(LEN(D1451)&lt;15,""figurative ছোট"",""""),IF(AND(I1451=""Positive"",REGEXMATCH(H1"&amp;"451,""মূর্খ|ভণ্ড|প্রতার|অলস|লোভ|স্বার্থ|অক্ষম|অযোগ্য|বোকা|কৃপণ|হিংস"")),""valence-target অমিল"",""""),IF(COUNTIF($B:$B,B1451)&gt;1,""ডুপ্লিকেট"",""""))"),"figurative ছোট | ডুপ্লিকেট")</f>
        <v>figurative ছোট | ডুপ্লিকেট</v>
      </c>
      <c r="Q1451" s="5" t="str">
        <f t="shared" si="1"/>
        <v>১ আগে দেখো</v>
      </c>
    </row>
    <row r="1452">
      <c r="A1452" s="4">
        <v>7017.0</v>
      </c>
      <c r="B1452" s="2" t="s">
        <v>5872</v>
      </c>
      <c r="C1452" s="2" t="s">
        <v>5873</v>
      </c>
      <c r="D1452" s="2" t="s">
        <v>5874</v>
      </c>
      <c r="E1452" s="2" t="s">
        <v>5875</v>
      </c>
      <c r="F1452" s="2" t="b">
        <v>1</v>
      </c>
      <c r="G1452" s="2" t="b">
        <v>0</v>
      </c>
      <c r="H1452" s="2" t="s">
        <v>37</v>
      </c>
      <c r="I1452" s="2" t="s">
        <v>32</v>
      </c>
      <c r="J1452" s="2" t="s">
        <v>4802</v>
      </c>
      <c r="K1452" s="2" t="s">
        <v>495</v>
      </c>
      <c r="L1452" s="13" t="s">
        <v>496</v>
      </c>
      <c r="M1452" s="2" t="s">
        <v>26</v>
      </c>
      <c r="N1452" s="11" t="s">
        <v>576</v>
      </c>
      <c r="O1452" s="12" t="s">
        <v>53</v>
      </c>
      <c r="P1452" s="5" t="str">
        <f>IFERROR(__xludf.DUMMYFUNCTION("TEXTJOIN("" | "",TRUE,IF(OR(D1452="""",E1452="""",I1452="""",J1452="""",H1452=""""),""ফাঁকা ঘর"",""""),IF(AND(C1452&lt;&gt;"""",D1452&lt;&gt;"""",C1452=D1452),""gloss=figurative"",""""),IF(LEN(D1452)&lt;15,""figurative ছোট"",""""),IF(AND(I1452=""Positive"",REGEXMATCH(H1"&amp;"452,""মূর্খ|ভণ্ড|প্রতার|অলস|লোভ|স্বার্থ|অক্ষম|অযোগ্য|বোকা|কৃপণ|হিংস"")),""valence-target অমিল"",""""),IF(COUNTIF($B:$B,B1452)&gt;1,""ডুপ্লিকেট"",""""))"),"figurative ছোট")</f>
        <v>figurative ছোট</v>
      </c>
      <c r="Q1452" s="5" t="str">
        <f t="shared" si="1"/>
        <v>১ আগে দেখো</v>
      </c>
    </row>
    <row r="1453">
      <c r="A1453" s="4">
        <v>7018.0</v>
      </c>
      <c r="B1453" s="2" t="s">
        <v>5876</v>
      </c>
      <c r="C1453" s="2" t="s">
        <v>5877</v>
      </c>
      <c r="D1453" s="2" t="s">
        <v>5878</v>
      </c>
      <c r="E1453" s="2" t="s">
        <v>5879</v>
      </c>
      <c r="F1453" s="2" t="b">
        <v>1</v>
      </c>
      <c r="G1453" s="2" t="b">
        <v>0</v>
      </c>
      <c r="H1453" s="2" t="s">
        <v>37</v>
      </c>
      <c r="I1453" s="2" t="s">
        <v>49</v>
      </c>
      <c r="J1453" s="2" t="s">
        <v>2040</v>
      </c>
      <c r="K1453" s="2" t="s">
        <v>495</v>
      </c>
      <c r="L1453" s="13" t="s">
        <v>496</v>
      </c>
      <c r="M1453" s="2" t="s">
        <v>26</v>
      </c>
      <c r="N1453" s="11" t="s">
        <v>576</v>
      </c>
      <c r="O1453" s="12" t="s">
        <v>53</v>
      </c>
      <c r="P1453" s="5" t="str">
        <f>IFERROR(__xludf.DUMMYFUNCTION("TEXTJOIN("" | "",TRUE,IF(OR(D1453="""",E1453="""",I1453="""",J1453="""",H1453=""""),""ফাঁকা ঘর"",""""),IF(AND(C1453&lt;&gt;"""",D1453&lt;&gt;"""",C1453=D1453),""gloss=figurative"",""""),IF(LEN(D1453)&lt;15,""figurative ছোট"",""""),IF(AND(I1453=""Positive"",REGEXMATCH(H1"&amp;"453,""মূর্খ|ভণ্ড|প্রতার|অলস|লোভ|স্বার্থ|অক্ষম|অযোগ্য|বোকা|কৃপণ|হিংস"")),""valence-target অমিল"",""""),IF(COUNTIF($B:$B,B1453)&gt;1,""ডুপ্লিকেট"",""""))"),"figurative ছোট")</f>
        <v>figurative ছোট</v>
      </c>
      <c r="Q1453" s="5" t="str">
        <f t="shared" si="1"/>
        <v>১ আগে দেখো</v>
      </c>
    </row>
    <row r="1454">
      <c r="A1454" s="4">
        <v>7019.0</v>
      </c>
      <c r="B1454" s="2" t="s">
        <v>5880</v>
      </c>
      <c r="C1454" s="2" t="s">
        <v>5881</v>
      </c>
      <c r="D1454" s="2" t="s">
        <v>5882</v>
      </c>
      <c r="E1454" s="2" t="s">
        <v>5883</v>
      </c>
      <c r="F1454" s="2" t="b">
        <v>1</v>
      </c>
      <c r="G1454" s="2" t="b">
        <v>0</v>
      </c>
      <c r="H1454" s="2" t="s">
        <v>37</v>
      </c>
      <c r="I1454" s="2" t="s">
        <v>49</v>
      </c>
      <c r="J1454" s="2" t="s">
        <v>528</v>
      </c>
      <c r="K1454" s="2" t="s">
        <v>495</v>
      </c>
      <c r="L1454" s="13" t="s">
        <v>496</v>
      </c>
      <c r="M1454" s="2" t="s">
        <v>26</v>
      </c>
      <c r="N1454" s="11" t="s">
        <v>576</v>
      </c>
      <c r="O1454" s="12" t="s">
        <v>53</v>
      </c>
      <c r="P1454" s="5" t="str">
        <f>IFERROR(__xludf.DUMMYFUNCTION("TEXTJOIN("" | "",TRUE,IF(OR(D1454="""",E1454="""",I1454="""",J1454="""",H1454=""""),""ফাঁকা ঘর"",""""),IF(AND(C1454&lt;&gt;"""",D1454&lt;&gt;"""",C1454=D1454),""gloss=figurative"",""""),IF(LEN(D1454)&lt;15,""figurative ছোট"",""""),IF(AND(I1454=""Positive"",REGEXMATCH(H1"&amp;"454,""মূর্খ|ভণ্ড|প্রতার|অলস|লোভ|স্বার্থ|অক্ষম|অযোগ্য|বোকা|কৃপণ|হিংস"")),""valence-target অমিল"",""""),IF(COUNTIF($B:$B,B1454)&gt;1,""ডুপ্লিকেট"",""""))"),"figurative ছোট")</f>
        <v>figurative ছোট</v>
      </c>
      <c r="Q1454" s="5" t="str">
        <f t="shared" si="1"/>
        <v>১ আগে দেখো</v>
      </c>
    </row>
    <row r="1455">
      <c r="A1455" s="4">
        <v>7020.0</v>
      </c>
      <c r="B1455" s="2" t="s">
        <v>5884</v>
      </c>
      <c r="C1455" s="2" t="s">
        <v>5885</v>
      </c>
      <c r="D1455" s="2" t="s">
        <v>5886</v>
      </c>
      <c r="E1455" s="2" t="s">
        <v>5887</v>
      </c>
      <c r="F1455" s="2" t="b">
        <v>1</v>
      </c>
      <c r="G1455" s="2" t="b">
        <v>0</v>
      </c>
      <c r="H1455" s="2" t="s">
        <v>37</v>
      </c>
      <c r="I1455" s="2" t="s">
        <v>22</v>
      </c>
      <c r="J1455" s="2" t="s">
        <v>750</v>
      </c>
      <c r="K1455" s="2" t="s">
        <v>495</v>
      </c>
      <c r="L1455" s="13" t="s">
        <v>496</v>
      </c>
      <c r="M1455" s="2" t="s">
        <v>26</v>
      </c>
      <c r="N1455" s="11" t="s">
        <v>576</v>
      </c>
      <c r="O1455" s="12" t="s">
        <v>53</v>
      </c>
      <c r="P1455" s="5" t="str">
        <f>IFERROR(__xludf.DUMMYFUNCTION("TEXTJOIN("" | "",TRUE,IF(OR(D1455="""",E1455="""",I1455="""",J1455="""",H1455=""""),""ফাঁকা ঘর"",""""),IF(AND(C1455&lt;&gt;"""",D1455&lt;&gt;"""",C1455=D1455),""gloss=figurative"",""""),IF(LEN(D1455)&lt;15,""figurative ছোট"",""""),IF(AND(I1455=""Positive"",REGEXMATCH(H1"&amp;"455,""মূর্খ|ভণ্ড|প্রতার|অলস|লোভ|স্বার্থ|অক্ষম|অযোগ্য|বোকা|কৃপণ|হিংস"")),""valence-target অমিল"",""""),IF(COUNTIF($B:$B,B1455)&gt;1,""ডুপ্লিকেট"",""""))"),"figurative ছোট")</f>
        <v>figurative ছোট</v>
      </c>
      <c r="Q1455" s="5" t="str">
        <f t="shared" si="1"/>
        <v>১ আগে দেখো</v>
      </c>
    </row>
    <row r="1456">
      <c r="A1456" s="4">
        <v>7021.0</v>
      </c>
      <c r="B1456" s="2" t="s">
        <v>5888</v>
      </c>
      <c r="C1456" s="2" t="s">
        <v>5889</v>
      </c>
      <c r="D1456" s="2" t="s">
        <v>4924</v>
      </c>
      <c r="E1456" s="2" t="s">
        <v>5890</v>
      </c>
      <c r="F1456" s="2" t="b">
        <v>1</v>
      </c>
      <c r="G1456" s="2" t="b">
        <v>0</v>
      </c>
      <c r="H1456" s="2" t="s">
        <v>37</v>
      </c>
      <c r="I1456" s="2" t="s">
        <v>49</v>
      </c>
      <c r="J1456" s="2" t="s">
        <v>4924</v>
      </c>
      <c r="K1456" s="2" t="s">
        <v>495</v>
      </c>
      <c r="L1456" s="13" t="s">
        <v>496</v>
      </c>
      <c r="M1456" s="2" t="s">
        <v>26</v>
      </c>
      <c r="N1456" s="11" t="s">
        <v>576</v>
      </c>
      <c r="O1456" s="12" t="s">
        <v>53</v>
      </c>
      <c r="P1456" s="5" t="str">
        <f>IFERROR(__xludf.DUMMYFUNCTION("TEXTJOIN("" | "",TRUE,IF(OR(D1456="""",E1456="""",I1456="""",J1456="""",H1456=""""),""ফাঁকা ঘর"",""""),IF(AND(C1456&lt;&gt;"""",D1456&lt;&gt;"""",C1456=D1456),""gloss=figurative"",""""),IF(LEN(D1456)&lt;15,""figurative ছোট"",""""),IF(AND(I1456=""Positive"",REGEXMATCH(H1"&amp;"456,""মূর্খ|ভণ্ড|প্রতার|অলস|লোভ|স্বার্থ|অক্ষম|অযোগ্য|বোকা|কৃপণ|হিংস"")),""valence-target অমিল"",""""),IF(COUNTIF($B:$B,B1456)&gt;1,""ডুপ্লিকেট"",""""))"),"figurative ছোট")</f>
        <v>figurative ছোট</v>
      </c>
      <c r="Q1456" s="5" t="str">
        <f t="shared" si="1"/>
        <v>১ আগে দেখো</v>
      </c>
    </row>
    <row r="1457">
      <c r="A1457" s="4">
        <v>7022.0</v>
      </c>
      <c r="B1457" s="2" t="s">
        <v>5891</v>
      </c>
      <c r="C1457" s="2" t="s">
        <v>5892</v>
      </c>
      <c r="D1457" s="2" t="s">
        <v>5233</v>
      </c>
      <c r="E1457" s="2" t="s">
        <v>5893</v>
      </c>
      <c r="F1457" s="2" t="b">
        <v>1</v>
      </c>
      <c r="G1457" s="2" t="b">
        <v>0</v>
      </c>
      <c r="H1457" s="2" t="s">
        <v>5894</v>
      </c>
      <c r="I1457" s="2" t="s">
        <v>22</v>
      </c>
      <c r="J1457" s="2" t="s">
        <v>5235</v>
      </c>
      <c r="K1457" s="2" t="s">
        <v>495</v>
      </c>
      <c r="L1457" s="13" t="s">
        <v>496</v>
      </c>
      <c r="M1457" s="2" t="s">
        <v>26</v>
      </c>
      <c r="N1457" s="11" t="s">
        <v>576</v>
      </c>
      <c r="O1457" s="12" t="s">
        <v>53</v>
      </c>
      <c r="P1457" s="5" t="str">
        <f>IFERROR(__xludf.DUMMYFUNCTION("TEXTJOIN("" | "",TRUE,IF(OR(D1457="""",E1457="""",I1457="""",J1457="""",H1457=""""),""ফাঁকা ঘর"",""""),IF(AND(C1457&lt;&gt;"""",D1457&lt;&gt;"""",C1457=D1457),""gloss=figurative"",""""),IF(LEN(D1457)&lt;15,""figurative ছোট"",""""),IF(AND(I1457=""Positive"",REGEXMATCH(H1"&amp;"457,""মূর্খ|ভণ্ড|প্রতার|অলস|লোভ|স্বার্থ|অক্ষম|অযোগ্য|বোকা|কৃপণ|হিংস"")),""valence-target অমিল"",""""),IF(COUNTIF($B:$B,B1457)&gt;1,""ডুপ্লিকেট"",""""))"),"figurative ছোট")</f>
        <v>figurative ছোট</v>
      </c>
      <c r="Q1457" s="5" t="str">
        <f t="shared" si="1"/>
        <v>১ আগে দেখো</v>
      </c>
    </row>
    <row r="1458">
      <c r="A1458" s="4">
        <v>7023.0</v>
      </c>
      <c r="B1458" s="2" t="s">
        <v>5895</v>
      </c>
      <c r="C1458" s="2" t="s">
        <v>5896</v>
      </c>
      <c r="D1458" s="2" t="s">
        <v>1264</v>
      </c>
      <c r="E1458" s="2" t="s">
        <v>5897</v>
      </c>
      <c r="F1458" s="2" t="b">
        <v>1</v>
      </c>
      <c r="G1458" s="2" t="b">
        <v>0</v>
      </c>
      <c r="H1458" s="2" t="s">
        <v>37</v>
      </c>
      <c r="I1458" s="2" t="s">
        <v>49</v>
      </c>
      <c r="J1458" s="2" t="s">
        <v>1264</v>
      </c>
      <c r="K1458" s="2" t="s">
        <v>495</v>
      </c>
      <c r="L1458" s="13" t="s">
        <v>496</v>
      </c>
      <c r="M1458" s="2" t="s">
        <v>26</v>
      </c>
      <c r="N1458" s="11" t="s">
        <v>576</v>
      </c>
      <c r="O1458" s="12" t="s">
        <v>53</v>
      </c>
      <c r="P1458" s="5" t="str">
        <f>IFERROR(__xludf.DUMMYFUNCTION("TEXTJOIN("" | "",TRUE,IF(OR(D1458="""",E1458="""",I1458="""",J1458="""",H1458=""""),""ফাঁকা ঘর"",""""),IF(AND(C1458&lt;&gt;"""",D1458&lt;&gt;"""",C1458=D1458),""gloss=figurative"",""""),IF(LEN(D1458)&lt;15,""figurative ছোট"",""""),IF(AND(I1458=""Positive"",REGEXMATCH(H1"&amp;"458,""মূর্খ|ভণ্ড|প্রতার|অলস|লোভ|স্বার্থ|অক্ষম|অযোগ্য|বোকা|কৃপণ|হিংস"")),""valence-target অমিল"",""""),IF(COUNTIF($B:$B,B1458)&gt;1,""ডুপ্লিকেট"",""""))"),"figurative ছোট")</f>
        <v>figurative ছোট</v>
      </c>
      <c r="Q1458" s="5" t="str">
        <f t="shared" si="1"/>
        <v>১ আগে দেখো</v>
      </c>
    </row>
    <row r="1459">
      <c r="A1459" s="4">
        <v>7024.0</v>
      </c>
      <c r="B1459" s="2" t="s">
        <v>5898</v>
      </c>
      <c r="C1459" s="2" t="s">
        <v>5899</v>
      </c>
      <c r="D1459" s="2" t="s">
        <v>5900</v>
      </c>
      <c r="E1459" s="2" t="s">
        <v>5901</v>
      </c>
      <c r="F1459" s="2" t="b">
        <v>1</v>
      </c>
      <c r="G1459" s="2" t="b">
        <v>0</v>
      </c>
      <c r="H1459" s="2" t="s">
        <v>37</v>
      </c>
      <c r="I1459" s="2" t="s">
        <v>32</v>
      </c>
      <c r="J1459" s="2" t="s">
        <v>1060</v>
      </c>
      <c r="K1459" s="2" t="s">
        <v>495</v>
      </c>
      <c r="L1459" s="13" t="s">
        <v>496</v>
      </c>
      <c r="M1459" s="2" t="s">
        <v>26</v>
      </c>
      <c r="N1459" s="11" t="s">
        <v>576</v>
      </c>
      <c r="O1459" s="12" t="s">
        <v>53</v>
      </c>
      <c r="P1459" s="5" t="str">
        <f>IFERROR(__xludf.DUMMYFUNCTION("TEXTJOIN("" | "",TRUE,IF(OR(D1459="""",E1459="""",I1459="""",J1459="""",H1459=""""),""ফাঁকা ঘর"",""""),IF(AND(C1459&lt;&gt;"""",D1459&lt;&gt;"""",C1459=D1459),""gloss=figurative"",""""),IF(LEN(D1459)&lt;15,""figurative ছোট"",""""),IF(AND(I1459=""Positive"",REGEXMATCH(H1"&amp;"459,""মূর্খ|ভণ্ড|প্রতার|অলস|লোভ|স্বার্থ|অক্ষম|অযোগ্য|বোকা|কৃপণ|হিংস"")),""valence-target অমিল"",""""),IF(COUNTIF($B:$B,B1459)&gt;1,""ডুপ্লিকেট"",""""))"),"figurative ছোট")</f>
        <v>figurative ছোট</v>
      </c>
      <c r="Q1459" s="5" t="str">
        <f t="shared" si="1"/>
        <v>১ আগে দেখো</v>
      </c>
    </row>
    <row r="1460">
      <c r="A1460" s="4">
        <v>7025.0</v>
      </c>
      <c r="B1460" s="2" t="s">
        <v>5902</v>
      </c>
      <c r="C1460" s="2" t="s">
        <v>5903</v>
      </c>
      <c r="D1460" s="2" t="s">
        <v>5904</v>
      </c>
      <c r="E1460" s="2" t="s">
        <v>5905</v>
      </c>
      <c r="F1460" s="2" t="b">
        <v>1</v>
      </c>
      <c r="G1460" s="2" t="b">
        <v>0</v>
      </c>
      <c r="H1460" s="2" t="s">
        <v>37</v>
      </c>
      <c r="I1460" s="2" t="s">
        <v>49</v>
      </c>
      <c r="J1460" s="2" t="s">
        <v>5696</v>
      </c>
      <c r="K1460" s="2" t="s">
        <v>495</v>
      </c>
      <c r="L1460" s="13" t="s">
        <v>496</v>
      </c>
      <c r="M1460" s="2" t="s">
        <v>26</v>
      </c>
      <c r="N1460" s="11" t="s">
        <v>576</v>
      </c>
      <c r="O1460" s="12" t="s">
        <v>53</v>
      </c>
      <c r="P1460" s="5" t="str">
        <f>IFERROR(__xludf.DUMMYFUNCTION("TEXTJOIN("" | "",TRUE,IF(OR(D1460="""",E1460="""",I1460="""",J1460="""",H1460=""""),""ফাঁকা ঘর"",""""),IF(AND(C1460&lt;&gt;"""",D1460&lt;&gt;"""",C1460=D1460),""gloss=figurative"",""""),IF(LEN(D1460)&lt;15,""figurative ছোট"",""""),IF(AND(I1460=""Positive"",REGEXMATCH(H1"&amp;"460,""মূর্খ|ভণ্ড|প্রতার|অলস|লোভ|স্বার্থ|অক্ষম|অযোগ্য|বোকা|কৃপণ|হিংস"")),""valence-target অমিল"",""""),IF(COUNTIF($B:$B,B1460)&gt;1,""ডুপ্লিকেট"",""""))"),"figurative ছোট")</f>
        <v>figurative ছোট</v>
      </c>
      <c r="Q1460" s="5" t="str">
        <f t="shared" si="1"/>
        <v>১ আগে দেখো</v>
      </c>
    </row>
    <row r="1461">
      <c r="A1461" s="4">
        <v>7027.0</v>
      </c>
      <c r="B1461" s="2" t="s">
        <v>5906</v>
      </c>
      <c r="C1461" s="2" t="s">
        <v>5907</v>
      </c>
      <c r="D1461" s="2" t="s">
        <v>5908</v>
      </c>
      <c r="E1461" s="2" t="s">
        <v>5909</v>
      </c>
      <c r="F1461" s="2" t="b">
        <v>1</v>
      </c>
      <c r="G1461" s="2" t="b">
        <v>0</v>
      </c>
      <c r="H1461" s="2" t="s">
        <v>37</v>
      </c>
      <c r="I1461" s="2" t="s">
        <v>32</v>
      </c>
      <c r="J1461" s="2" t="s">
        <v>5910</v>
      </c>
      <c r="K1461" s="2" t="s">
        <v>495</v>
      </c>
      <c r="L1461" s="13" t="s">
        <v>496</v>
      </c>
      <c r="M1461" s="2" t="s">
        <v>26</v>
      </c>
      <c r="N1461" s="11" t="s">
        <v>5911</v>
      </c>
      <c r="O1461" s="12" t="s">
        <v>53</v>
      </c>
      <c r="P1461" s="5" t="str">
        <f>IFERROR(__xludf.DUMMYFUNCTION("TEXTJOIN("" | "",TRUE,IF(OR(D1461="""",E1461="""",I1461="""",J1461="""",H1461=""""),""ফাঁকা ঘর"",""""),IF(AND(C1461&lt;&gt;"""",D1461&lt;&gt;"""",C1461=D1461),""gloss=figurative"",""""),IF(LEN(D1461)&lt;15,""figurative ছোট"",""""),IF(AND(I1461=""Positive"",REGEXMATCH(H1"&amp;"461,""মূর্খ|ভণ্ড|প্রতার|অলস|লোভ|স্বার্থ|অক্ষম|অযোগ্য|বোকা|কৃপণ|হিংস"")),""valence-target অমিল"",""""),IF(COUNTIF($B:$B,B1461)&gt;1,""ডুপ্লিকেট"",""""))"),"figurative ছোট")</f>
        <v>figurative ছোট</v>
      </c>
      <c r="Q1461" s="5" t="str">
        <f t="shared" si="1"/>
        <v>১ আগে দেখো</v>
      </c>
    </row>
    <row r="1462">
      <c r="A1462" s="4">
        <v>7028.0</v>
      </c>
      <c r="B1462" s="2" t="s">
        <v>5912</v>
      </c>
      <c r="C1462" s="2" t="s">
        <v>5913</v>
      </c>
      <c r="D1462" s="2" t="s">
        <v>5914</v>
      </c>
      <c r="E1462" s="2" t="s">
        <v>5915</v>
      </c>
      <c r="F1462" s="2" t="b">
        <v>1</v>
      </c>
      <c r="G1462" s="2" t="b">
        <v>0</v>
      </c>
      <c r="H1462" s="2" t="s">
        <v>37</v>
      </c>
      <c r="I1462" s="2" t="s">
        <v>22</v>
      </c>
      <c r="J1462" s="2" t="s">
        <v>5916</v>
      </c>
      <c r="K1462" s="2" t="s">
        <v>495</v>
      </c>
      <c r="L1462" s="13" t="s">
        <v>496</v>
      </c>
      <c r="M1462" s="2" t="s">
        <v>26</v>
      </c>
      <c r="N1462" s="11" t="s">
        <v>576</v>
      </c>
      <c r="O1462" s="12" t="s">
        <v>53</v>
      </c>
      <c r="P1462" s="5" t="str">
        <f>IFERROR(__xludf.DUMMYFUNCTION("TEXTJOIN("" | "",TRUE,IF(OR(D1462="""",E1462="""",I1462="""",J1462="""",H1462=""""),""ফাঁকা ঘর"",""""),IF(AND(C1462&lt;&gt;"""",D1462&lt;&gt;"""",C1462=D1462),""gloss=figurative"",""""),IF(LEN(D1462)&lt;15,""figurative ছোট"",""""),IF(AND(I1462=""Positive"",REGEXMATCH(H1"&amp;"462,""মূর্খ|ভণ্ড|প্রতার|অলস|লোভ|স্বার্থ|অক্ষম|অযোগ্য|বোকা|কৃপণ|হিংস"")),""valence-target অমিল"",""""),IF(COUNTIF($B:$B,B1462)&gt;1,""ডুপ্লিকেট"",""""))"),"figurative ছোট")</f>
        <v>figurative ছোট</v>
      </c>
      <c r="Q1462" s="5" t="str">
        <f t="shared" si="1"/>
        <v>১ আগে দেখো</v>
      </c>
    </row>
    <row r="1463">
      <c r="A1463" s="4">
        <v>7030.0</v>
      </c>
      <c r="B1463" s="2" t="s">
        <v>5917</v>
      </c>
      <c r="C1463" s="2" t="s">
        <v>5918</v>
      </c>
      <c r="D1463" s="2" t="s">
        <v>5919</v>
      </c>
      <c r="E1463" s="2" t="s">
        <v>5920</v>
      </c>
      <c r="F1463" s="2" t="b">
        <v>1</v>
      </c>
      <c r="G1463" s="2" t="b">
        <v>0</v>
      </c>
      <c r="H1463" s="2" t="s">
        <v>37</v>
      </c>
      <c r="I1463" s="2" t="s">
        <v>22</v>
      </c>
      <c r="J1463" s="2" t="s">
        <v>729</v>
      </c>
      <c r="K1463" s="2" t="s">
        <v>495</v>
      </c>
      <c r="L1463" s="13" t="s">
        <v>496</v>
      </c>
      <c r="M1463" s="2" t="s">
        <v>26</v>
      </c>
      <c r="N1463" s="11" t="s">
        <v>576</v>
      </c>
      <c r="O1463" s="12" t="s">
        <v>53</v>
      </c>
      <c r="P1463" s="5" t="str">
        <f>IFERROR(__xludf.DUMMYFUNCTION("TEXTJOIN("" | "",TRUE,IF(OR(D1463="""",E1463="""",I1463="""",J1463="""",H1463=""""),""ফাঁকা ঘর"",""""),IF(AND(C1463&lt;&gt;"""",D1463&lt;&gt;"""",C1463=D1463),""gloss=figurative"",""""),IF(LEN(D1463)&lt;15,""figurative ছোট"",""""),IF(AND(I1463=""Positive"",REGEXMATCH(H1"&amp;"463,""মূর্খ|ভণ্ড|প্রতার|অলস|লোভ|স্বার্থ|অক্ষম|অযোগ্য|বোকা|কৃপণ|হিংস"")),""valence-target অমিল"",""""),IF(COUNTIF($B:$B,B1463)&gt;1,""ডুপ্লিকেট"",""""))"),"figurative ছোট")</f>
        <v>figurative ছোট</v>
      </c>
      <c r="Q1463" s="5" t="str">
        <f t="shared" si="1"/>
        <v>১ আগে দেখো</v>
      </c>
    </row>
    <row r="1464">
      <c r="A1464" s="4">
        <v>7032.0</v>
      </c>
      <c r="B1464" s="2" t="s">
        <v>5921</v>
      </c>
      <c r="C1464" s="2" t="s">
        <v>5922</v>
      </c>
      <c r="D1464" s="2" t="s">
        <v>5923</v>
      </c>
      <c r="E1464" s="2" t="s">
        <v>5924</v>
      </c>
      <c r="F1464" s="2" t="b">
        <v>1</v>
      </c>
      <c r="G1464" s="2" t="b">
        <v>0</v>
      </c>
      <c r="H1464" s="2" t="s">
        <v>37</v>
      </c>
      <c r="I1464" s="2" t="s">
        <v>49</v>
      </c>
      <c r="J1464" s="2" t="s">
        <v>1239</v>
      </c>
      <c r="K1464" s="2" t="s">
        <v>495</v>
      </c>
      <c r="L1464" s="13" t="s">
        <v>496</v>
      </c>
      <c r="M1464" s="2" t="s">
        <v>26</v>
      </c>
      <c r="N1464" s="11" t="s">
        <v>576</v>
      </c>
      <c r="O1464" s="12" t="s">
        <v>53</v>
      </c>
      <c r="P1464" s="5" t="str">
        <f>IFERROR(__xludf.DUMMYFUNCTION("TEXTJOIN("" | "",TRUE,IF(OR(D1464="""",E1464="""",I1464="""",J1464="""",H1464=""""),""ফাঁকা ঘর"",""""),IF(AND(C1464&lt;&gt;"""",D1464&lt;&gt;"""",C1464=D1464),""gloss=figurative"",""""),IF(LEN(D1464)&lt;15,""figurative ছোট"",""""),IF(AND(I1464=""Positive"",REGEXMATCH(H1"&amp;"464,""মূর্খ|ভণ্ড|প্রতার|অলস|লোভ|স্বার্থ|অক্ষম|অযোগ্য|বোকা|কৃপণ|হিংস"")),""valence-target অমিল"",""""),IF(COUNTIF($B:$B,B1464)&gt;1,""ডুপ্লিকেট"",""""))"),"figurative ছোট")</f>
        <v>figurative ছোট</v>
      </c>
      <c r="Q1464" s="5" t="str">
        <f t="shared" si="1"/>
        <v>১ আগে দেখো</v>
      </c>
    </row>
    <row r="1465">
      <c r="A1465" s="4">
        <v>7033.0</v>
      </c>
      <c r="B1465" s="2" t="s">
        <v>5925</v>
      </c>
      <c r="C1465" s="2" t="s">
        <v>5926</v>
      </c>
      <c r="D1465" s="2" t="s">
        <v>5927</v>
      </c>
      <c r="E1465" s="2" t="s">
        <v>5928</v>
      </c>
      <c r="F1465" s="2" t="b">
        <v>1</v>
      </c>
      <c r="G1465" s="2" t="b">
        <v>0</v>
      </c>
      <c r="H1465" s="2" t="s">
        <v>3407</v>
      </c>
      <c r="I1465" s="2" t="s">
        <v>22</v>
      </c>
      <c r="J1465" s="2" t="s">
        <v>1310</v>
      </c>
      <c r="K1465" s="2" t="s">
        <v>495</v>
      </c>
      <c r="L1465" s="13" t="s">
        <v>496</v>
      </c>
      <c r="M1465" s="2" t="s">
        <v>26</v>
      </c>
      <c r="N1465" s="11" t="s">
        <v>576</v>
      </c>
      <c r="O1465" s="12" t="s">
        <v>53</v>
      </c>
      <c r="P1465" s="5" t="str">
        <f>IFERROR(__xludf.DUMMYFUNCTION("TEXTJOIN("" | "",TRUE,IF(OR(D1465="""",E1465="""",I1465="""",J1465="""",H1465=""""),""ফাঁকা ঘর"",""""),IF(AND(C1465&lt;&gt;"""",D1465&lt;&gt;"""",C1465=D1465),""gloss=figurative"",""""),IF(LEN(D1465)&lt;15,""figurative ছোট"",""""),IF(AND(I1465=""Positive"",REGEXMATCH(H1"&amp;"465,""মূর্খ|ভণ্ড|প্রতার|অলস|লোভ|স্বার্থ|অক্ষম|অযোগ্য|বোকা|কৃপণ|হিংস"")),""valence-target অমিল"",""""),IF(COUNTIF($B:$B,B1465)&gt;1,""ডুপ্লিকেট"",""""))"),"figurative ছোট")</f>
        <v>figurative ছোট</v>
      </c>
      <c r="Q1465" s="5" t="str">
        <f t="shared" si="1"/>
        <v>১ আগে দেখো</v>
      </c>
    </row>
    <row r="1466">
      <c r="A1466" s="4">
        <v>7034.0</v>
      </c>
      <c r="B1466" s="2" t="s">
        <v>2563</v>
      </c>
      <c r="C1466" s="2" t="s">
        <v>5929</v>
      </c>
      <c r="D1466" s="2" t="s">
        <v>2564</v>
      </c>
      <c r="E1466" s="2" t="s">
        <v>5930</v>
      </c>
      <c r="F1466" s="2" t="b">
        <v>1</v>
      </c>
      <c r="G1466" s="2" t="b">
        <v>0</v>
      </c>
      <c r="H1466" s="2" t="s">
        <v>37</v>
      </c>
      <c r="I1466" s="2" t="s">
        <v>22</v>
      </c>
      <c r="J1466" s="2" t="s">
        <v>1700</v>
      </c>
      <c r="K1466" s="2" t="s">
        <v>495</v>
      </c>
      <c r="L1466" s="13" t="s">
        <v>496</v>
      </c>
      <c r="M1466" s="2" t="s">
        <v>26</v>
      </c>
      <c r="N1466" s="11" t="s">
        <v>576</v>
      </c>
      <c r="O1466" s="12" t="s">
        <v>53</v>
      </c>
      <c r="P1466" s="5" t="str">
        <f>IFERROR(__xludf.DUMMYFUNCTION("TEXTJOIN("" | "",TRUE,IF(OR(D1466="""",E1466="""",I1466="""",J1466="""",H1466=""""),""ফাঁকা ঘর"",""""),IF(AND(C1466&lt;&gt;"""",D1466&lt;&gt;"""",C1466=D1466),""gloss=figurative"",""""),IF(LEN(D1466)&lt;15,""figurative ছোট"",""""),IF(AND(I1466=""Positive"",REGEXMATCH(H1"&amp;"466,""মূর্খ|ভণ্ড|প্রতার|অলস|লোভ|স্বার্থ|অক্ষম|অযোগ্য|বোকা|কৃপণ|হিংস"")),""valence-target অমিল"",""""),IF(COUNTIF($B:$B,B1466)&gt;1,""ডুপ্লিকেট"",""""))"),"figurative ছোট")</f>
        <v>figurative ছোট</v>
      </c>
      <c r="Q1466" s="5" t="str">
        <f t="shared" si="1"/>
        <v>১ আগে দেখো</v>
      </c>
    </row>
    <row r="1467">
      <c r="A1467" s="4">
        <v>7035.0</v>
      </c>
      <c r="B1467" s="2" t="s">
        <v>5931</v>
      </c>
      <c r="C1467" s="2" t="s">
        <v>5932</v>
      </c>
      <c r="D1467" s="2" t="s">
        <v>5923</v>
      </c>
      <c r="E1467" s="2" t="s">
        <v>5933</v>
      </c>
      <c r="F1467" s="2" t="b">
        <v>1</v>
      </c>
      <c r="G1467" s="2" t="b">
        <v>0</v>
      </c>
      <c r="H1467" s="2" t="s">
        <v>37</v>
      </c>
      <c r="I1467" s="2" t="s">
        <v>49</v>
      </c>
      <c r="J1467" s="2" t="s">
        <v>1239</v>
      </c>
      <c r="K1467" s="2" t="s">
        <v>495</v>
      </c>
      <c r="L1467" s="13" t="s">
        <v>496</v>
      </c>
      <c r="M1467" s="2" t="s">
        <v>26</v>
      </c>
      <c r="N1467" s="11" t="s">
        <v>5934</v>
      </c>
      <c r="O1467" s="12" t="s">
        <v>53</v>
      </c>
      <c r="P1467" s="5" t="str">
        <f>IFERROR(__xludf.DUMMYFUNCTION("TEXTJOIN("" | "",TRUE,IF(OR(D1467="""",E1467="""",I1467="""",J1467="""",H1467=""""),""ফাঁকা ঘর"",""""),IF(AND(C1467&lt;&gt;"""",D1467&lt;&gt;"""",C1467=D1467),""gloss=figurative"",""""),IF(LEN(D1467)&lt;15,""figurative ছোট"",""""),IF(AND(I1467=""Positive"",REGEXMATCH(H1"&amp;"467,""মূর্খ|ভণ্ড|প্রতার|অলস|লোভ|স্বার্থ|অক্ষম|অযোগ্য|বোকা|কৃপণ|হিংস"")),""valence-target অমিল"",""""),IF(COUNTIF($B:$B,B1467)&gt;1,""ডুপ্লিকেট"",""""))"),"figurative ছোট")</f>
        <v>figurative ছোট</v>
      </c>
      <c r="Q1467" s="5" t="str">
        <f t="shared" si="1"/>
        <v>১ আগে দেখো</v>
      </c>
    </row>
    <row r="1468">
      <c r="A1468" s="4">
        <v>7037.0</v>
      </c>
      <c r="B1468" s="2" t="s">
        <v>5935</v>
      </c>
      <c r="C1468" s="2" t="s">
        <v>5936</v>
      </c>
      <c r="D1468" s="2" t="s">
        <v>5937</v>
      </c>
      <c r="E1468" s="2" t="s">
        <v>5938</v>
      </c>
      <c r="F1468" s="2" t="b">
        <v>1</v>
      </c>
      <c r="G1468" s="2" t="b">
        <v>0</v>
      </c>
      <c r="H1468" s="2" t="s">
        <v>37</v>
      </c>
      <c r="I1468" s="2" t="s">
        <v>22</v>
      </c>
      <c r="J1468" s="2" t="s">
        <v>5829</v>
      </c>
      <c r="K1468" s="2" t="s">
        <v>495</v>
      </c>
      <c r="L1468" s="13" t="s">
        <v>496</v>
      </c>
      <c r="M1468" s="2" t="s">
        <v>26</v>
      </c>
      <c r="N1468" s="11" t="s">
        <v>576</v>
      </c>
      <c r="O1468" s="12" t="s">
        <v>53</v>
      </c>
      <c r="P1468" s="5" t="str">
        <f>IFERROR(__xludf.DUMMYFUNCTION("TEXTJOIN("" | "",TRUE,IF(OR(D1468="""",E1468="""",I1468="""",J1468="""",H1468=""""),""ফাঁকা ঘর"",""""),IF(AND(C1468&lt;&gt;"""",D1468&lt;&gt;"""",C1468=D1468),""gloss=figurative"",""""),IF(LEN(D1468)&lt;15,""figurative ছোট"",""""),IF(AND(I1468=""Positive"",REGEXMATCH(H1"&amp;"468,""মূর্খ|ভণ্ড|প্রতার|অলস|লোভ|স্বার্থ|অক্ষম|অযোগ্য|বোকা|কৃপণ|হিংস"")),""valence-target অমিল"",""""),IF(COUNTIF($B:$B,B1468)&gt;1,""ডুপ্লিকেট"",""""))"),"figurative ছোট")</f>
        <v>figurative ছোট</v>
      </c>
      <c r="Q1468" s="5" t="str">
        <f t="shared" si="1"/>
        <v>১ আগে দেখো</v>
      </c>
    </row>
    <row r="1469">
      <c r="A1469" s="4">
        <v>7040.0</v>
      </c>
      <c r="B1469" s="2" t="s">
        <v>5939</v>
      </c>
      <c r="C1469" s="2" t="s">
        <v>5940</v>
      </c>
      <c r="D1469" s="2" t="s">
        <v>5941</v>
      </c>
      <c r="E1469" s="2" t="s">
        <v>5942</v>
      </c>
      <c r="F1469" s="2" t="b">
        <v>1</v>
      </c>
      <c r="G1469" s="2" t="b">
        <v>0</v>
      </c>
      <c r="H1469" s="2" t="s">
        <v>37</v>
      </c>
      <c r="I1469" s="2" t="s">
        <v>32</v>
      </c>
      <c r="J1469" s="2" t="s">
        <v>669</v>
      </c>
      <c r="K1469" s="2" t="s">
        <v>495</v>
      </c>
      <c r="L1469" s="13" t="s">
        <v>496</v>
      </c>
      <c r="M1469" s="2" t="s">
        <v>26</v>
      </c>
      <c r="N1469" s="11" t="s">
        <v>576</v>
      </c>
      <c r="O1469" s="12" t="s">
        <v>53</v>
      </c>
      <c r="P1469" s="5" t="str">
        <f>IFERROR(__xludf.DUMMYFUNCTION("TEXTJOIN("" | "",TRUE,IF(OR(D1469="""",E1469="""",I1469="""",J1469="""",H1469=""""),""ফাঁকা ঘর"",""""),IF(AND(C1469&lt;&gt;"""",D1469&lt;&gt;"""",C1469=D1469),""gloss=figurative"",""""),IF(LEN(D1469)&lt;15,""figurative ছোট"",""""),IF(AND(I1469=""Positive"",REGEXMATCH(H1"&amp;"469,""মূর্খ|ভণ্ড|প্রতার|অলস|লোভ|স্বার্থ|অক্ষম|অযোগ্য|বোকা|কৃপণ|হিংস"")),""valence-target অমিল"",""""),IF(COUNTIF($B:$B,B1469)&gt;1,""ডুপ্লিকেট"",""""))"),"figurative ছোট")</f>
        <v>figurative ছোট</v>
      </c>
      <c r="Q1469" s="5" t="str">
        <f t="shared" si="1"/>
        <v>১ আগে দেখো</v>
      </c>
    </row>
    <row r="1470">
      <c r="A1470" s="4">
        <v>7041.0</v>
      </c>
      <c r="B1470" s="2" t="s">
        <v>5943</v>
      </c>
      <c r="C1470" s="2" t="s">
        <v>5943</v>
      </c>
      <c r="D1470" s="2" t="s">
        <v>5944</v>
      </c>
      <c r="E1470" s="2" t="s">
        <v>5945</v>
      </c>
      <c r="F1470" s="2" t="b">
        <v>1</v>
      </c>
      <c r="G1470" s="2" t="b">
        <v>0</v>
      </c>
      <c r="H1470" s="2" t="s">
        <v>37</v>
      </c>
      <c r="I1470" s="2" t="s">
        <v>32</v>
      </c>
      <c r="J1470" s="2" t="s">
        <v>5365</v>
      </c>
      <c r="K1470" s="2" t="s">
        <v>495</v>
      </c>
      <c r="L1470" s="13" t="s">
        <v>496</v>
      </c>
      <c r="M1470" s="2" t="s">
        <v>26</v>
      </c>
      <c r="N1470" s="11" t="s">
        <v>576</v>
      </c>
      <c r="O1470" s="12" t="s">
        <v>53</v>
      </c>
      <c r="P1470" s="5" t="str">
        <f>IFERROR(__xludf.DUMMYFUNCTION("TEXTJOIN("" | "",TRUE,IF(OR(D1470="""",E1470="""",I1470="""",J1470="""",H1470=""""),""ফাঁকা ঘর"",""""),IF(AND(C1470&lt;&gt;"""",D1470&lt;&gt;"""",C1470=D1470),""gloss=figurative"",""""),IF(LEN(D1470)&lt;15,""figurative ছোট"",""""),IF(AND(I1470=""Positive"",REGEXMATCH(H1"&amp;"470,""মূর্খ|ভণ্ড|প্রতার|অলস|লোভ|স্বার্থ|অক্ষম|অযোগ্য|বোকা|কৃপণ|হিংস"")),""valence-target অমিল"",""""),IF(COUNTIF($B:$B,B1470)&gt;1,""ডুপ্লিকেট"",""""))"),"figurative ছোট")</f>
        <v>figurative ছোট</v>
      </c>
      <c r="Q1470" s="5" t="str">
        <f t="shared" si="1"/>
        <v>১ আগে দেখো</v>
      </c>
    </row>
    <row r="1471">
      <c r="A1471" s="4">
        <v>7042.0</v>
      </c>
      <c r="B1471" s="2" t="s">
        <v>5946</v>
      </c>
      <c r="C1471" s="2" t="s">
        <v>5947</v>
      </c>
      <c r="D1471" s="2" t="s">
        <v>5948</v>
      </c>
      <c r="E1471" s="2" t="s">
        <v>5949</v>
      </c>
      <c r="F1471" s="2" t="b">
        <v>1</v>
      </c>
      <c r="G1471" s="2" t="b">
        <v>0</v>
      </c>
      <c r="H1471" s="2" t="s">
        <v>37</v>
      </c>
      <c r="I1471" s="2" t="s">
        <v>49</v>
      </c>
      <c r="J1471" s="2" t="s">
        <v>762</v>
      </c>
      <c r="K1471" s="2" t="s">
        <v>495</v>
      </c>
      <c r="L1471" s="13" t="s">
        <v>496</v>
      </c>
      <c r="M1471" s="2" t="s">
        <v>26</v>
      </c>
      <c r="N1471" s="11" t="s">
        <v>5950</v>
      </c>
      <c r="O1471" s="12" t="s">
        <v>53</v>
      </c>
      <c r="P1471" s="5" t="str">
        <f>IFERROR(__xludf.DUMMYFUNCTION("TEXTJOIN("" | "",TRUE,IF(OR(D1471="""",E1471="""",I1471="""",J1471="""",H1471=""""),""ফাঁকা ঘর"",""""),IF(AND(C1471&lt;&gt;"""",D1471&lt;&gt;"""",C1471=D1471),""gloss=figurative"",""""),IF(LEN(D1471)&lt;15,""figurative ছোট"",""""),IF(AND(I1471=""Positive"",REGEXMATCH(H1"&amp;"471,""মূর্খ|ভণ্ড|প্রতার|অলস|লোভ|স্বার্থ|অক্ষম|অযোগ্য|বোকা|কৃপণ|হিংস"")),""valence-target অমিল"",""""),IF(COUNTIF($B:$B,B1471)&gt;1,""ডুপ্লিকেট"",""""))"),"figurative ছোট")</f>
        <v>figurative ছোট</v>
      </c>
      <c r="Q1471" s="5" t="str">
        <f t="shared" si="1"/>
        <v>১ আগে দেখো</v>
      </c>
    </row>
    <row r="1472">
      <c r="A1472" s="4">
        <v>7043.0</v>
      </c>
      <c r="B1472" s="2" t="s">
        <v>5951</v>
      </c>
      <c r="C1472" s="2" t="s">
        <v>5952</v>
      </c>
      <c r="D1472" s="2" t="s">
        <v>3991</v>
      </c>
      <c r="E1472" s="2" t="s">
        <v>5953</v>
      </c>
      <c r="F1472" s="2" t="b">
        <v>1</v>
      </c>
      <c r="G1472" s="2" t="b">
        <v>0</v>
      </c>
      <c r="H1472" s="2" t="s">
        <v>37</v>
      </c>
      <c r="I1472" s="2" t="s">
        <v>49</v>
      </c>
      <c r="J1472" s="2" t="s">
        <v>762</v>
      </c>
      <c r="K1472" s="2" t="s">
        <v>495</v>
      </c>
      <c r="L1472" s="13" t="s">
        <v>496</v>
      </c>
      <c r="M1472" s="2" t="s">
        <v>26</v>
      </c>
      <c r="N1472" s="11" t="s">
        <v>5950</v>
      </c>
      <c r="O1472" s="12" t="s">
        <v>53</v>
      </c>
      <c r="P1472" s="5" t="str">
        <f>IFERROR(__xludf.DUMMYFUNCTION("TEXTJOIN("" | "",TRUE,IF(OR(D1472="""",E1472="""",I1472="""",J1472="""",H1472=""""),""ফাঁকা ঘর"",""""),IF(AND(C1472&lt;&gt;"""",D1472&lt;&gt;"""",C1472=D1472),""gloss=figurative"",""""),IF(LEN(D1472)&lt;15,""figurative ছোট"",""""),IF(AND(I1472=""Positive"",REGEXMATCH(H1"&amp;"472,""মূর্খ|ভণ্ড|প্রতার|অলস|লোভ|স্বার্থ|অক্ষম|অযোগ্য|বোকা|কৃপণ|হিংস"")),""valence-target অমিল"",""""),IF(COUNTIF($B:$B,B1472)&gt;1,""ডুপ্লিকেট"",""""))"),"figurative ছোট")</f>
        <v>figurative ছোট</v>
      </c>
      <c r="Q1472" s="5" t="str">
        <f t="shared" si="1"/>
        <v>১ আগে দেখো</v>
      </c>
    </row>
    <row r="1473">
      <c r="A1473" s="4">
        <v>7045.0</v>
      </c>
      <c r="B1473" s="2" t="s">
        <v>5954</v>
      </c>
      <c r="C1473" s="2" t="s">
        <v>5955</v>
      </c>
      <c r="D1473" s="2" t="s">
        <v>5956</v>
      </c>
      <c r="E1473" s="2" t="s">
        <v>5957</v>
      </c>
      <c r="F1473" s="2" t="b">
        <v>1</v>
      </c>
      <c r="G1473" s="2" t="b">
        <v>0</v>
      </c>
      <c r="H1473" s="2" t="s">
        <v>37</v>
      </c>
      <c r="I1473" s="2" t="s">
        <v>49</v>
      </c>
      <c r="J1473" s="2" t="s">
        <v>762</v>
      </c>
      <c r="K1473" s="2" t="s">
        <v>495</v>
      </c>
      <c r="L1473" s="13" t="s">
        <v>496</v>
      </c>
      <c r="M1473" s="2" t="s">
        <v>26</v>
      </c>
      <c r="N1473" s="11" t="s">
        <v>576</v>
      </c>
      <c r="O1473" s="12" t="s">
        <v>53</v>
      </c>
      <c r="P1473" s="5" t="str">
        <f>IFERROR(__xludf.DUMMYFUNCTION("TEXTJOIN("" | "",TRUE,IF(OR(D1473="""",E1473="""",I1473="""",J1473="""",H1473=""""),""ফাঁকা ঘর"",""""),IF(AND(C1473&lt;&gt;"""",D1473&lt;&gt;"""",C1473=D1473),""gloss=figurative"",""""),IF(LEN(D1473)&lt;15,""figurative ছোট"",""""),IF(AND(I1473=""Positive"",REGEXMATCH(H1"&amp;"473,""মূর্খ|ভণ্ড|প্রতার|অলস|লোভ|স্বার্থ|অক্ষম|অযোগ্য|বোকা|কৃপণ|হিংস"")),""valence-target অমিল"",""""),IF(COUNTIF($B:$B,B1473)&gt;1,""ডুপ্লিকেট"",""""))"),"figurative ছোট")</f>
        <v>figurative ছোট</v>
      </c>
      <c r="Q1473" s="5" t="str">
        <f t="shared" si="1"/>
        <v>১ আগে দেখো</v>
      </c>
    </row>
    <row r="1474">
      <c r="A1474" s="4">
        <v>7047.0</v>
      </c>
      <c r="B1474" s="2" t="s">
        <v>5958</v>
      </c>
      <c r="C1474" s="2" t="s">
        <v>5959</v>
      </c>
      <c r="D1474" s="2" t="s">
        <v>5960</v>
      </c>
      <c r="E1474" s="2" t="s">
        <v>5961</v>
      </c>
      <c r="F1474" s="2" t="b">
        <v>1</v>
      </c>
      <c r="G1474" s="2" t="b">
        <v>1</v>
      </c>
      <c r="H1474" s="2" t="s">
        <v>1106</v>
      </c>
      <c r="I1474" s="2" t="s">
        <v>49</v>
      </c>
      <c r="J1474" s="2" t="s">
        <v>762</v>
      </c>
      <c r="K1474" s="2" t="s">
        <v>495</v>
      </c>
      <c r="L1474" s="13" t="s">
        <v>496</v>
      </c>
      <c r="M1474" s="2" t="s">
        <v>26</v>
      </c>
      <c r="N1474" s="11" t="s">
        <v>5962</v>
      </c>
      <c r="O1474" s="12" t="s">
        <v>53</v>
      </c>
      <c r="P1474" s="5" t="str">
        <f>IFERROR(__xludf.DUMMYFUNCTION("TEXTJOIN("" | "",TRUE,IF(OR(D1474="""",E1474="""",I1474="""",J1474="""",H1474=""""),""ফাঁকা ঘর"",""""),IF(AND(C1474&lt;&gt;"""",D1474&lt;&gt;"""",C1474=D1474),""gloss=figurative"",""""),IF(LEN(D1474)&lt;15,""figurative ছোট"",""""),IF(AND(I1474=""Positive"",REGEXMATCH(H1"&amp;"474,""মূর্খ|ভণ্ড|প্রতার|অলস|লোভ|স্বার্থ|অক্ষম|অযোগ্য|বোকা|কৃপণ|হিংস"")),""valence-target অমিল"",""""),IF(COUNTIF($B:$B,B1474)&gt;1,""ডুপ্লিকেট"",""""))"),"figurative ছোট")</f>
        <v>figurative ছোট</v>
      </c>
      <c r="Q1474" s="5" t="str">
        <f t="shared" si="1"/>
        <v>১ আগে দেখো</v>
      </c>
    </row>
    <row r="1475">
      <c r="A1475" s="4">
        <v>7051.0</v>
      </c>
      <c r="B1475" s="2" t="s">
        <v>5963</v>
      </c>
      <c r="C1475" s="2" t="s">
        <v>5964</v>
      </c>
      <c r="D1475" s="2" t="s">
        <v>3815</v>
      </c>
      <c r="E1475" s="2" t="s">
        <v>5965</v>
      </c>
      <c r="F1475" s="2" t="b">
        <v>1</v>
      </c>
      <c r="G1475" s="2" t="b">
        <v>1</v>
      </c>
      <c r="H1475" s="2" t="s">
        <v>1065</v>
      </c>
      <c r="I1475" s="2" t="s">
        <v>49</v>
      </c>
      <c r="J1475" s="2" t="s">
        <v>762</v>
      </c>
      <c r="K1475" s="2" t="s">
        <v>495</v>
      </c>
      <c r="L1475" s="13" t="s">
        <v>496</v>
      </c>
      <c r="M1475" s="2" t="s">
        <v>26</v>
      </c>
      <c r="N1475" s="11" t="s">
        <v>5966</v>
      </c>
      <c r="O1475" s="12" t="s">
        <v>53</v>
      </c>
      <c r="P1475" s="5" t="str">
        <f>IFERROR(__xludf.DUMMYFUNCTION("TEXTJOIN("" | "",TRUE,IF(OR(D1475="""",E1475="""",I1475="""",J1475="""",H1475=""""),""ফাঁকা ঘর"",""""),IF(AND(C1475&lt;&gt;"""",D1475&lt;&gt;"""",C1475=D1475),""gloss=figurative"",""""),IF(LEN(D1475)&lt;15,""figurative ছোট"",""""),IF(AND(I1475=""Positive"",REGEXMATCH(H1"&amp;"475,""মূর্খ|ভণ্ড|প্রতার|অলস|লোভ|স্বার্থ|অক্ষম|অযোগ্য|বোকা|কৃপণ|হিংস"")),""valence-target অমিল"",""""),IF(COUNTIF($B:$B,B1475)&gt;1,""ডুপ্লিকেট"",""""))"),"figurative ছোট")</f>
        <v>figurative ছোট</v>
      </c>
      <c r="Q1475" s="5" t="str">
        <f t="shared" si="1"/>
        <v>১ আগে দেখো</v>
      </c>
    </row>
    <row r="1476">
      <c r="A1476" s="4">
        <v>7052.0</v>
      </c>
      <c r="B1476" s="2" t="s">
        <v>5967</v>
      </c>
      <c r="C1476" s="2" t="s">
        <v>5968</v>
      </c>
      <c r="D1476" s="2" t="s">
        <v>5969</v>
      </c>
      <c r="E1476" s="2" t="s">
        <v>5970</v>
      </c>
      <c r="F1476" s="2" t="b">
        <v>1</v>
      </c>
      <c r="G1476" s="2" t="b">
        <v>0</v>
      </c>
      <c r="H1476" s="2" t="s">
        <v>37</v>
      </c>
      <c r="I1476" s="2" t="s">
        <v>49</v>
      </c>
      <c r="J1476" s="2" t="s">
        <v>924</v>
      </c>
      <c r="K1476" s="2" t="s">
        <v>495</v>
      </c>
      <c r="L1476" s="13" t="s">
        <v>496</v>
      </c>
      <c r="M1476" s="2" t="s">
        <v>26</v>
      </c>
      <c r="N1476" s="11" t="s">
        <v>576</v>
      </c>
      <c r="O1476" s="12" t="s">
        <v>53</v>
      </c>
      <c r="P1476" s="5" t="str">
        <f>IFERROR(__xludf.DUMMYFUNCTION("TEXTJOIN("" | "",TRUE,IF(OR(D1476="""",E1476="""",I1476="""",J1476="""",H1476=""""),""ফাঁকা ঘর"",""""),IF(AND(C1476&lt;&gt;"""",D1476&lt;&gt;"""",C1476=D1476),""gloss=figurative"",""""),IF(LEN(D1476)&lt;15,""figurative ছোট"",""""),IF(AND(I1476=""Positive"",REGEXMATCH(H1"&amp;"476,""মূর্খ|ভণ্ড|প্রতার|অলস|লোভ|স্বার্থ|অক্ষম|অযোগ্য|বোকা|কৃপণ|হিংস"")),""valence-target অমিল"",""""),IF(COUNTIF($B:$B,B1476)&gt;1,""ডুপ্লিকেট"",""""))"),"figurative ছোট")</f>
        <v>figurative ছোট</v>
      </c>
      <c r="Q1476" s="5" t="str">
        <f t="shared" si="1"/>
        <v>১ আগে দেখো</v>
      </c>
    </row>
    <row r="1477">
      <c r="A1477" s="4">
        <v>7055.0</v>
      </c>
      <c r="B1477" s="2" t="s">
        <v>5971</v>
      </c>
      <c r="C1477" s="2" t="s">
        <v>5972</v>
      </c>
      <c r="D1477" s="2" t="s">
        <v>5973</v>
      </c>
      <c r="E1477" s="2" t="s">
        <v>5974</v>
      </c>
      <c r="F1477" s="2" t="b">
        <v>1</v>
      </c>
      <c r="G1477" s="2" t="b">
        <v>0</v>
      </c>
      <c r="H1477" s="2" t="s">
        <v>37</v>
      </c>
      <c r="I1477" s="2" t="s">
        <v>22</v>
      </c>
      <c r="J1477" s="2" t="s">
        <v>1013</v>
      </c>
      <c r="K1477" s="2" t="s">
        <v>495</v>
      </c>
      <c r="L1477" s="13" t="s">
        <v>496</v>
      </c>
      <c r="M1477" s="2" t="s">
        <v>26</v>
      </c>
      <c r="N1477" s="11" t="s">
        <v>5975</v>
      </c>
      <c r="O1477" s="12" t="s">
        <v>53</v>
      </c>
      <c r="P1477" s="5" t="str">
        <f>IFERROR(__xludf.DUMMYFUNCTION("TEXTJOIN("" | "",TRUE,IF(OR(D1477="""",E1477="""",I1477="""",J1477="""",H1477=""""),""ফাঁকা ঘর"",""""),IF(AND(C1477&lt;&gt;"""",D1477&lt;&gt;"""",C1477=D1477),""gloss=figurative"",""""),IF(LEN(D1477)&lt;15,""figurative ছোট"",""""),IF(AND(I1477=""Positive"",REGEXMATCH(H1"&amp;"477,""মূর্খ|ভণ্ড|প্রতার|অলস|লোভ|স্বার্থ|অক্ষম|অযোগ্য|বোকা|কৃপণ|হিংস"")),""valence-target অমিল"",""""),IF(COUNTIF($B:$B,B1477)&gt;1,""ডুপ্লিকেট"",""""))"),"figurative ছোট")</f>
        <v>figurative ছোট</v>
      </c>
      <c r="Q1477" s="5" t="str">
        <f t="shared" si="1"/>
        <v>১ আগে দেখো</v>
      </c>
    </row>
    <row r="1478">
      <c r="A1478" s="4">
        <v>7056.0</v>
      </c>
      <c r="B1478" s="2" t="s">
        <v>5976</v>
      </c>
      <c r="C1478" s="2" t="s">
        <v>5977</v>
      </c>
      <c r="D1478" s="2" t="s">
        <v>5978</v>
      </c>
      <c r="E1478" s="2" t="s">
        <v>5979</v>
      </c>
      <c r="F1478" s="2" t="b">
        <v>1</v>
      </c>
      <c r="G1478" s="2" t="b">
        <v>0</v>
      </c>
      <c r="H1478" s="2" t="s">
        <v>37</v>
      </c>
      <c r="I1478" s="2" t="s">
        <v>32</v>
      </c>
      <c r="J1478" s="2" t="s">
        <v>5980</v>
      </c>
      <c r="K1478" s="2" t="s">
        <v>495</v>
      </c>
      <c r="L1478" s="13" t="s">
        <v>496</v>
      </c>
      <c r="M1478" s="2" t="s">
        <v>26</v>
      </c>
      <c r="N1478" s="11" t="s">
        <v>576</v>
      </c>
      <c r="O1478" s="12" t="s">
        <v>53</v>
      </c>
      <c r="P1478" s="5" t="str">
        <f>IFERROR(__xludf.DUMMYFUNCTION("TEXTJOIN("" | "",TRUE,IF(OR(D1478="""",E1478="""",I1478="""",J1478="""",H1478=""""),""ফাঁকা ঘর"",""""),IF(AND(C1478&lt;&gt;"""",D1478&lt;&gt;"""",C1478=D1478),""gloss=figurative"",""""),IF(LEN(D1478)&lt;15,""figurative ছোট"",""""),IF(AND(I1478=""Positive"",REGEXMATCH(H1"&amp;"478,""মূর্খ|ভণ্ড|প্রতার|অলস|লোভ|স্বার্থ|অক্ষম|অযোগ্য|বোকা|কৃপণ|হিংস"")),""valence-target অমিল"",""""),IF(COUNTIF($B:$B,B1478)&gt;1,""ডুপ্লিকেট"",""""))"),"figurative ছোট")</f>
        <v>figurative ছোট</v>
      </c>
      <c r="Q1478" s="5" t="str">
        <f t="shared" si="1"/>
        <v>১ আগে দেখো</v>
      </c>
    </row>
    <row r="1479">
      <c r="A1479" s="4">
        <v>7058.0</v>
      </c>
      <c r="B1479" s="2" t="s">
        <v>5981</v>
      </c>
      <c r="C1479" s="2" t="s">
        <v>5982</v>
      </c>
      <c r="D1479" s="2" t="s">
        <v>5983</v>
      </c>
      <c r="E1479" s="2" t="s">
        <v>5984</v>
      </c>
      <c r="F1479" s="2" t="b">
        <v>1</v>
      </c>
      <c r="G1479" s="2" t="b">
        <v>0</v>
      </c>
      <c r="H1479" s="2" t="s">
        <v>37</v>
      </c>
      <c r="I1479" s="2" t="s">
        <v>22</v>
      </c>
      <c r="J1479" s="2" t="s">
        <v>1008</v>
      </c>
      <c r="K1479" s="2" t="s">
        <v>495</v>
      </c>
      <c r="L1479" s="13" t="s">
        <v>496</v>
      </c>
      <c r="M1479" s="2" t="s">
        <v>26</v>
      </c>
      <c r="N1479" s="11" t="s">
        <v>576</v>
      </c>
      <c r="O1479" s="12" t="s">
        <v>53</v>
      </c>
      <c r="P1479" s="5" t="str">
        <f>IFERROR(__xludf.DUMMYFUNCTION("TEXTJOIN("" | "",TRUE,IF(OR(D1479="""",E1479="""",I1479="""",J1479="""",H1479=""""),""ফাঁকা ঘর"",""""),IF(AND(C1479&lt;&gt;"""",D1479&lt;&gt;"""",C1479=D1479),""gloss=figurative"",""""),IF(LEN(D1479)&lt;15,""figurative ছোট"",""""),IF(AND(I1479=""Positive"",REGEXMATCH(H1"&amp;"479,""মূর্খ|ভণ্ড|প্রতার|অলস|লোভ|স্বার্থ|অক্ষম|অযোগ্য|বোকা|কৃপণ|হিংস"")),""valence-target অমিল"",""""),IF(COUNTIF($B:$B,B1479)&gt;1,""ডুপ্লিকেট"",""""))"),"figurative ছোট")</f>
        <v>figurative ছোট</v>
      </c>
      <c r="Q1479" s="5" t="str">
        <f t="shared" si="1"/>
        <v>১ আগে দেখো</v>
      </c>
    </row>
    <row r="1480">
      <c r="A1480" s="4">
        <v>7059.0</v>
      </c>
      <c r="B1480" s="2" t="s">
        <v>5985</v>
      </c>
      <c r="C1480" s="2" t="s">
        <v>5986</v>
      </c>
      <c r="D1480" s="2" t="s">
        <v>3356</v>
      </c>
      <c r="E1480" s="2" t="s">
        <v>5987</v>
      </c>
      <c r="F1480" s="2" t="b">
        <v>1</v>
      </c>
      <c r="G1480" s="2" t="b">
        <v>0</v>
      </c>
      <c r="H1480" s="2" t="s">
        <v>37</v>
      </c>
      <c r="I1480" s="2" t="s">
        <v>22</v>
      </c>
      <c r="J1480" s="2" t="s">
        <v>3356</v>
      </c>
      <c r="K1480" s="2" t="s">
        <v>495</v>
      </c>
      <c r="L1480" s="13" t="s">
        <v>496</v>
      </c>
      <c r="M1480" s="2" t="s">
        <v>26</v>
      </c>
      <c r="N1480" s="11" t="s">
        <v>576</v>
      </c>
      <c r="O1480" s="12" t="s">
        <v>53</v>
      </c>
      <c r="P1480" s="5" t="str">
        <f>IFERROR(__xludf.DUMMYFUNCTION("TEXTJOIN("" | "",TRUE,IF(OR(D1480="""",E1480="""",I1480="""",J1480="""",H1480=""""),""ফাঁকা ঘর"",""""),IF(AND(C1480&lt;&gt;"""",D1480&lt;&gt;"""",C1480=D1480),""gloss=figurative"",""""),IF(LEN(D1480)&lt;15,""figurative ছোট"",""""),IF(AND(I1480=""Positive"",REGEXMATCH(H1"&amp;"480,""মূর্খ|ভণ্ড|প্রতার|অলস|লোভ|স্বার্থ|অক্ষম|অযোগ্য|বোকা|কৃপণ|হিংস"")),""valence-target অমিল"",""""),IF(COUNTIF($B:$B,B1480)&gt;1,""ডুপ্লিকেট"",""""))"),"figurative ছোট")</f>
        <v>figurative ছোট</v>
      </c>
      <c r="Q1480" s="5" t="str">
        <f t="shared" si="1"/>
        <v>১ আগে দেখো</v>
      </c>
    </row>
    <row r="1481">
      <c r="A1481" s="4">
        <v>7060.0</v>
      </c>
      <c r="B1481" s="2" t="s">
        <v>5988</v>
      </c>
      <c r="C1481" s="2" t="s">
        <v>5989</v>
      </c>
      <c r="D1481" s="2" t="s">
        <v>1603</v>
      </c>
      <c r="E1481" s="2" t="s">
        <v>5990</v>
      </c>
      <c r="F1481" s="2" t="b">
        <v>1</v>
      </c>
      <c r="G1481" s="2" t="b">
        <v>0</v>
      </c>
      <c r="H1481" s="2" t="s">
        <v>37</v>
      </c>
      <c r="I1481" s="2" t="s">
        <v>32</v>
      </c>
      <c r="J1481" s="2" t="s">
        <v>1603</v>
      </c>
      <c r="K1481" s="2" t="s">
        <v>495</v>
      </c>
      <c r="L1481" s="13" t="s">
        <v>496</v>
      </c>
      <c r="M1481" s="2" t="s">
        <v>26</v>
      </c>
      <c r="N1481" s="11" t="s">
        <v>576</v>
      </c>
      <c r="O1481" s="12" t="s">
        <v>53</v>
      </c>
      <c r="P1481" s="5" t="str">
        <f>IFERROR(__xludf.DUMMYFUNCTION("TEXTJOIN("" | "",TRUE,IF(OR(D1481="""",E1481="""",I1481="""",J1481="""",H1481=""""),""ফাঁকা ঘর"",""""),IF(AND(C1481&lt;&gt;"""",D1481&lt;&gt;"""",C1481=D1481),""gloss=figurative"",""""),IF(LEN(D1481)&lt;15,""figurative ছোট"",""""),IF(AND(I1481=""Positive"",REGEXMATCH(H1"&amp;"481,""মূর্খ|ভণ্ড|প্রতার|অলস|লোভ|স্বার্থ|অক্ষম|অযোগ্য|বোকা|কৃপণ|হিংস"")),""valence-target অমিল"",""""),IF(COUNTIF($B:$B,B1481)&gt;1,""ডুপ্লিকেট"",""""))"),"figurative ছোট")</f>
        <v>figurative ছোট</v>
      </c>
      <c r="Q1481" s="5" t="str">
        <f t="shared" si="1"/>
        <v>১ আগে দেখো</v>
      </c>
    </row>
    <row r="1482">
      <c r="A1482" s="4">
        <v>7063.0</v>
      </c>
      <c r="B1482" s="2" t="s">
        <v>5991</v>
      </c>
      <c r="C1482" s="2" t="s">
        <v>5992</v>
      </c>
      <c r="D1482" s="2" t="s">
        <v>967</v>
      </c>
      <c r="E1482" s="2" t="s">
        <v>5993</v>
      </c>
      <c r="F1482" s="2" t="b">
        <v>1</v>
      </c>
      <c r="G1482" s="2" t="b">
        <v>0</v>
      </c>
      <c r="H1482" s="2" t="s">
        <v>37</v>
      </c>
      <c r="I1482" s="2" t="s">
        <v>49</v>
      </c>
      <c r="J1482" s="2" t="s">
        <v>3004</v>
      </c>
      <c r="K1482" s="2" t="s">
        <v>495</v>
      </c>
      <c r="L1482" s="13" t="s">
        <v>496</v>
      </c>
      <c r="M1482" s="2" t="s">
        <v>26</v>
      </c>
      <c r="N1482" s="11" t="s">
        <v>5994</v>
      </c>
      <c r="O1482" s="12" t="s">
        <v>53</v>
      </c>
      <c r="P1482" s="5" t="str">
        <f>IFERROR(__xludf.DUMMYFUNCTION("TEXTJOIN("" | "",TRUE,IF(OR(D1482="""",E1482="""",I1482="""",J1482="""",H1482=""""),""ফাঁকা ঘর"",""""),IF(AND(C1482&lt;&gt;"""",D1482&lt;&gt;"""",C1482=D1482),""gloss=figurative"",""""),IF(LEN(D1482)&lt;15,""figurative ছোট"",""""),IF(AND(I1482=""Positive"",REGEXMATCH(H1"&amp;"482,""মূর্খ|ভণ্ড|প্রতার|অলস|লোভ|স্বার্থ|অক্ষম|অযোগ্য|বোকা|কৃপণ|হিংস"")),""valence-target অমিল"",""""),IF(COUNTIF($B:$B,B1482)&gt;1,""ডুপ্লিকেট"",""""))"),"figurative ছোট")</f>
        <v>figurative ছোট</v>
      </c>
      <c r="Q1482" s="5" t="str">
        <f t="shared" si="1"/>
        <v>১ আগে দেখো</v>
      </c>
    </row>
    <row r="1483">
      <c r="A1483" s="4">
        <v>7064.0</v>
      </c>
      <c r="B1483" s="2" t="s">
        <v>5995</v>
      </c>
      <c r="C1483" s="2" t="s">
        <v>5996</v>
      </c>
      <c r="D1483" s="2" t="s">
        <v>5997</v>
      </c>
      <c r="E1483" s="2" t="s">
        <v>5998</v>
      </c>
      <c r="F1483" s="2" t="b">
        <v>1</v>
      </c>
      <c r="G1483" s="2" t="b">
        <v>1</v>
      </c>
      <c r="H1483" s="2" t="s">
        <v>1982</v>
      </c>
      <c r="I1483" s="2" t="s">
        <v>49</v>
      </c>
      <c r="J1483" s="2" t="s">
        <v>1925</v>
      </c>
      <c r="K1483" s="2" t="s">
        <v>495</v>
      </c>
      <c r="L1483" s="13" t="s">
        <v>496</v>
      </c>
      <c r="M1483" s="2" t="s">
        <v>26</v>
      </c>
      <c r="N1483" s="11" t="s">
        <v>576</v>
      </c>
      <c r="O1483" s="12" t="s">
        <v>53</v>
      </c>
      <c r="P1483" s="5" t="str">
        <f>IFERROR(__xludf.DUMMYFUNCTION("TEXTJOIN("" | "",TRUE,IF(OR(D1483="""",E1483="""",I1483="""",J1483="""",H1483=""""),""ফাঁকা ঘর"",""""),IF(AND(C1483&lt;&gt;"""",D1483&lt;&gt;"""",C1483=D1483),""gloss=figurative"",""""),IF(LEN(D1483)&lt;15,""figurative ছোট"",""""),IF(AND(I1483=""Positive"",REGEXMATCH(H1"&amp;"483,""মূর্খ|ভণ্ড|প্রতার|অলস|লোভ|স্বার্থ|অক্ষম|অযোগ্য|বোকা|কৃপণ|হিংস"")),""valence-target অমিল"",""""),IF(COUNTIF($B:$B,B1483)&gt;1,""ডুপ্লিকেট"",""""))"),"figurative ছোট")</f>
        <v>figurative ছোট</v>
      </c>
      <c r="Q1483" s="5" t="str">
        <f t="shared" si="1"/>
        <v>১ আগে দেখো</v>
      </c>
    </row>
    <row r="1484">
      <c r="A1484" s="4">
        <v>7068.0</v>
      </c>
      <c r="B1484" s="2" t="s">
        <v>5999</v>
      </c>
      <c r="C1484" s="2" t="s">
        <v>6000</v>
      </c>
      <c r="D1484" s="2" t="s">
        <v>6001</v>
      </c>
      <c r="E1484" s="2" t="s">
        <v>6002</v>
      </c>
      <c r="F1484" s="2" t="b">
        <v>1</v>
      </c>
      <c r="G1484" s="2" t="b">
        <v>0</v>
      </c>
      <c r="H1484" s="2" t="s">
        <v>37</v>
      </c>
      <c r="I1484" s="2" t="s">
        <v>49</v>
      </c>
      <c r="J1484" s="2" t="s">
        <v>1060</v>
      </c>
      <c r="K1484" s="2" t="s">
        <v>495</v>
      </c>
      <c r="L1484" s="13" t="s">
        <v>496</v>
      </c>
      <c r="M1484" s="2" t="s">
        <v>26</v>
      </c>
      <c r="N1484" s="11" t="s">
        <v>576</v>
      </c>
      <c r="O1484" s="12" t="s">
        <v>53</v>
      </c>
      <c r="P1484" s="5" t="str">
        <f>IFERROR(__xludf.DUMMYFUNCTION("TEXTJOIN("" | "",TRUE,IF(OR(D1484="""",E1484="""",I1484="""",J1484="""",H1484=""""),""ফাঁকা ঘর"",""""),IF(AND(C1484&lt;&gt;"""",D1484&lt;&gt;"""",C1484=D1484),""gloss=figurative"",""""),IF(LEN(D1484)&lt;15,""figurative ছোট"",""""),IF(AND(I1484=""Positive"",REGEXMATCH(H1"&amp;"484,""মূর্খ|ভণ্ড|প্রতার|অলস|লোভ|স্বার্থ|অক্ষম|অযোগ্য|বোকা|কৃপণ|হিংস"")),""valence-target অমিল"",""""),IF(COUNTIF($B:$B,B1484)&gt;1,""ডুপ্লিকেট"",""""))"),"figurative ছোট")</f>
        <v>figurative ছোট</v>
      </c>
      <c r="Q1484" s="5" t="str">
        <f t="shared" si="1"/>
        <v>১ আগে দেখো</v>
      </c>
    </row>
    <row r="1485">
      <c r="A1485" s="4">
        <v>7069.0</v>
      </c>
      <c r="B1485" s="2" t="s">
        <v>6003</v>
      </c>
      <c r="C1485" s="2" t="s">
        <v>6004</v>
      </c>
      <c r="D1485" s="2" t="s">
        <v>6005</v>
      </c>
      <c r="E1485" s="2" t="s">
        <v>6006</v>
      </c>
      <c r="F1485" s="2" t="b">
        <v>1</v>
      </c>
      <c r="G1485" s="2" t="b">
        <v>0</v>
      </c>
      <c r="H1485" s="2" t="s">
        <v>37</v>
      </c>
      <c r="I1485" s="2" t="s">
        <v>32</v>
      </c>
      <c r="J1485" s="2" t="s">
        <v>1060</v>
      </c>
      <c r="K1485" s="2" t="s">
        <v>495</v>
      </c>
      <c r="L1485" s="13" t="s">
        <v>496</v>
      </c>
      <c r="M1485" s="2" t="s">
        <v>26</v>
      </c>
      <c r="N1485" s="11" t="s">
        <v>576</v>
      </c>
      <c r="O1485" s="12" t="s">
        <v>53</v>
      </c>
      <c r="P1485" s="5" t="str">
        <f>IFERROR(__xludf.DUMMYFUNCTION("TEXTJOIN("" | "",TRUE,IF(OR(D1485="""",E1485="""",I1485="""",J1485="""",H1485=""""),""ফাঁকা ঘর"",""""),IF(AND(C1485&lt;&gt;"""",D1485&lt;&gt;"""",C1485=D1485),""gloss=figurative"",""""),IF(LEN(D1485)&lt;15,""figurative ছোট"",""""),IF(AND(I1485=""Positive"",REGEXMATCH(H1"&amp;"485,""মূর্খ|ভণ্ড|প্রতার|অলস|লোভ|স্বার্থ|অক্ষম|অযোগ্য|বোকা|কৃপণ|হিংস"")),""valence-target অমিল"",""""),IF(COUNTIF($B:$B,B1485)&gt;1,""ডুপ্লিকেট"",""""))"),"figurative ছোট")</f>
        <v>figurative ছোট</v>
      </c>
      <c r="Q1485" s="5" t="str">
        <f t="shared" si="1"/>
        <v>১ আগে দেখো</v>
      </c>
    </row>
    <row r="1486">
      <c r="A1486" s="4">
        <v>7071.0</v>
      </c>
      <c r="B1486" s="2" t="s">
        <v>6007</v>
      </c>
      <c r="C1486" s="2" t="s">
        <v>6008</v>
      </c>
      <c r="D1486" s="2" t="s">
        <v>2206</v>
      </c>
      <c r="E1486" s="2" t="s">
        <v>6009</v>
      </c>
      <c r="F1486" s="2" t="b">
        <v>1</v>
      </c>
      <c r="G1486" s="2" t="b">
        <v>0</v>
      </c>
      <c r="H1486" s="2" t="s">
        <v>37</v>
      </c>
      <c r="I1486" s="2" t="s">
        <v>49</v>
      </c>
      <c r="J1486" s="2" t="s">
        <v>6010</v>
      </c>
      <c r="K1486" s="2" t="s">
        <v>495</v>
      </c>
      <c r="L1486" s="13" t="s">
        <v>496</v>
      </c>
      <c r="M1486" s="2" t="s">
        <v>26</v>
      </c>
      <c r="N1486" s="11" t="s">
        <v>576</v>
      </c>
      <c r="O1486" s="12" t="s">
        <v>53</v>
      </c>
      <c r="P1486" s="5" t="str">
        <f>IFERROR(__xludf.DUMMYFUNCTION("TEXTJOIN("" | "",TRUE,IF(OR(D1486="""",E1486="""",I1486="""",J1486="""",H1486=""""),""ফাঁকা ঘর"",""""),IF(AND(C1486&lt;&gt;"""",D1486&lt;&gt;"""",C1486=D1486),""gloss=figurative"",""""),IF(LEN(D1486)&lt;15,""figurative ছোট"",""""),IF(AND(I1486=""Positive"",REGEXMATCH(H1"&amp;"486,""মূর্খ|ভণ্ড|প্রতার|অলস|লোভ|স্বার্থ|অক্ষম|অযোগ্য|বোকা|কৃপণ|হিংস"")),""valence-target অমিল"",""""),IF(COUNTIF($B:$B,B1486)&gt;1,""ডুপ্লিকেট"",""""))"),"figurative ছোট")</f>
        <v>figurative ছোট</v>
      </c>
      <c r="Q1486" s="5" t="str">
        <f t="shared" si="1"/>
        <v>১ আগে দেখো</v>
      </c>
    </row>
    <row r="1487">
      <c r="A1487" s="4">
        <v>7073.0</v>
      </c>
      <c r="B1487" s="2" t="s">
        <v>6011</v>
      </c>
      <c r="C1487" s="2" t="s">
        <v>6011</v>
      </c>
      <c r="D1487" s="2" t="s">
        <v>6012</v>
      </c>
      <c r="E1487" s="2" t="s">
        <v>6013</v>
      </c>
      <c r="F1487" s="2" t="b">
        <v>1</v>
      </c>
      <c r="G1487" s="2" t="b">
        <v>0</v>
      </c>
      <c r="H1487" s="2" t="s">
        <v>37</v>
      </c>
      <c r="I1487" s="2" t="s">
        <v>49</v>
      </c>
      <c r="J1487" s="2" t="s">
        <v>6010</v>
      </c>
      <c r="K1487" s="2" t="s">
        <v>495</v>
      </c>
      <c r="L1487" s="13" t="s">
        <v>496</v>
      </c>
      <c r="M1487" s="2" t="s">
        <v>26</v>
      </c>
      <c r="N1487" s="11" t="s">
        <v>576</v>
      </c>
      <c r="O1487" s="12" t="s">
        <v>53</v>
      </c>
      <c r="P1487" s="5" t="str">
        <f>IFERROR(__xludf.DUMMYFUNCTION("TEXTJOIN("" | "",TRUE,IF(OR(D1487="""",E1487="""",I1487="""",J1487="""",H1487=""""),""ফাঁকা ঘর"",""""),IF(AND(C1487&lt;&gt;"""",D1487&lt;&gt;"""",C1487=D1487),""gloss=figurative"",""""),IF(LEN(D1487)&lt;15,""figurative ছোট"",""""),IF(AND(I1487=""Positive"",REGEXMATCH(H1"&amp;"487,""মূর্খ|ভণ্ড|প্রতার|অলস|লোভ|স্বার্থ|অক্ষম|অযোগ্য|বোকা|কৃপণ|হিংস"")),""valence-target অমিল"",""""),IF(COUNTIF($B:$B,B1487)&gt;1,""ডুপ্লিকেট"",""""))"),"figurative ছোট")</f>
        <v>figurative ছোট</v>
      </c>
      <c r="Q1487" s="5" t="str">
        <f t="shared" si="1"/>
        <v>১ আগে দেখো</v>
      </c>
    </row>
    <row r="1488">
      <c r="A1488" s="4">
        <v>7075.0</v>
      </c>
      <c r="B1488" s="2" t="s">
        <v>6014</v>
      </c>
      <c r="C1488" s="2" t="s">
        <v>6014</v>
      </c>
      <c r="D1488" s="2" t="s">
        <v>6015</v>
      </c>
      <c r="E1488" s="2" t="s">
        <v>6016</v>
      </c>
      <c r="F1488" s="2" t="b">
        <v>1</v>
      </c>
      <c r="G1488" s="2" t="b">
        <v>0</v>
      </c>
      <c r="H1488" s="2" t="s">
        <v>37</v>
      </c>
      <c r="I1488" s="2" t="s">
        <v>32</v>
      </c>
      <c r="J1488" s="2" t="s">
        <v>3475</v>
      </c>
      <c r="K1488" s="2" t="s">
        <v>495</v>
      </c>
      <c r="L1488" s="13" t="s">
        <v>496</v>
      </c>
      <c r="M1488" s="2" t="s">
        <v>26</v>
      </c>
      <c r="N1488" s="11" t="s">
        <v>576</v>
      </c>
      <c r="O1488" s="12" t="s">
        <v>53</v>
      </c>
      <c r="P1488" s="5" t="str">
        <f>IFERROR(__xludf.DUMMYFUNCTION("TEXTJOIN("" | "",TRUE,IF(OR(D1488="""",E1488="""",I1488="""",J1488="""",H1488=""""),""ফাঁকা ঘর"",""""),IF(AND(C1488&lt;&gt;"""",D1488&lt;&gt;"""",C1488=D1488),""gloss=figurative"",""""),IF(LEN(D1488)&lt;15,""figurative ছোট"",""""),IF(AND(I1488=""Positive"",REGEXMATCH(H1"&amp;"488,""মূর্খ|ভণ্ড|প্রতার|অলস|লোভ|স্বার্থ|অক্ষম|অযোগ্য|বোকা|কৃপণ|হিংস"")),""valence-target অমিল"",""""),IF(COUNTIF($B:$B,B1488)&gt;1,""ডুপ্লিকেট"",""""))"),"figurative ছোট")</f>
        <v>figurative ছোট</v>
      </c>
      <c r="Q1488" s="5" t="str">
        <f t="shared" si="1"/>
        <v>১ আগে দেখো</v>
      </c>
    </row>
    <row r="1489">
      <c r="A1489" s="4">
        <v>7076.0</v>
      </c>
      <c r="B1489" s="2" t="s">
        <v>6017</v>
      </c>
      <c r="C1489" s="2" t="s">
        <v>6018</v>
      </c>
      <c r="D1489" s="2" t="s">
        <v>6019</v>
      </c>
      <c r="E1489" s="2" t="s">
        <v>6020</v>
      </c>
      <c r="F1489" s="2" t="b">
        <v>1</v>
      </c>
      <c r="G1489" s="2" t="b">
        <v>0</v>
      </c>
      <c r="H1489" s="2" t="s">
        <v>37</v>
      </c>
      <c r="I1489" s="2" t="s">
        <v>49</v>
      </c>
      <c r="J1489" s="2" t="s">
        <v>2040</v>
      </c>
      <c r="K1489" s="2" t="s">
        <v>495</v>
      </c>
      <c r="L1489" s="13" t="s">
        <v>496</v>
      </c>
      <c r="M1489" s="2" t="s">
        <v>26</v>
      </c>
      <c r="N1489" s="11" t="s">
        <v>576</v>
      </c>
      <c r="O1489" s="12" t="s">
        <v>53</v>
      </c>
      <c r="P1489" s="5" t="str">
        <f>IFERROR(__xludf.DUMMYFUNCTION("TEXTJOIN("" | "",TRUE,IF(OR(D1489="""",E1489="""",I1489="""",J1489="""",H1489=""""),""ফাঁকা ঘর"",""""),IF(AND(C1489&lt;&gt;"""",D1489&lt;&gt;"""",C1489=D1489),""gloss=figurative"",""""),IF(LEN(D1489)&lt;15,""figurative ছোট"",""""),IF(AND(I1489=""Positive"",REGEXMATCH(H1"&amp;"489,""মূর্খ|ভণ্ড|প্রতার|অলস|লোভ|স্বার্থ|অক্ষম|অযোগ্য|বোকা|কৃপণ|হিংস"")),""valence-target অমিল"",""""),IF(COUNTIF($B:$B,B1489)&gt;1,""ডুপ্লিকেট"",""""))"),"figurative ছোট")</f>
        <v>figurative ছোট</v>
      </c>
      <c r="Q1489" s="5" t="str">
        <f t="shared" si="1"/>
        <v>১ আগে দেখো</v>
      </c>
    </row>
    <row r="1490">
      <c r="A1490" s="4">
        <v>7077.0</v>
      </c>
      <c r="B1490" s="2" t="s">
        <v>6021</v>
      </c>
      <c r="C1490" s="2" t="s">
        <v>6022</v>
      </c>
      <c r="D1490" s="2" t="s">
        <v>6023</v>
      </c>
      <c r="E1490" s="2" t="s">
        <v>6024</v>
      </c>
      <c r="F1490" s="2" t="b">
        <v>1</v>
      </c>
      <c r="G1490" s="2" t="b">
        <v>0</v>
      </c>
      <c r="H1490" s="2" t="s">
        <v>37</v>
      </c>
      <c r="I1490" s="2" t="s">
        <v>32</v>
      </c>
      <c r="J1490" s="2" t="s">
        <v>1934</v>
      </c>
      <c r="K1490" s="2" t="s">
        <v>495</v>
      </c>
      <c r="L1490" s="13" t="s">
        <v>496</v>
      </c>
      <c r="M1490" s="2" t="s">
        <v>26</v>
      </c>
      <c r="N1490" s="11" t="s">
        <v>576</v>
      </c>
      <c r="O1490" s="12" t="s">
        <v>53</v>
      </c>
      <c r="P1490" s="5" t="str">
        <f>IFERROR(__xludf.DUMMYFUNCTION("TEXTJOIN("" | "",TRUE,IF(OR(D1490="""",E1490="""",I1490="""",J1490="""",H1490=""""),""ফাঁকা ঘর"",""""),IF(AND(C1490&lt;&gt;"""",D1490&lt;&gt;"""",C1490=D1490),""gloss=figurative"",""""),IF(LEN(D1490)&lt;15,""figurative ছোট"",""""),IF(AND(I1490=""Positive"",REGEXMATCH(H1"&amp;"490,""মূর্খ|ভণ্ড|প্রতার|অলস|লোভ|স্বার্থ|অক্ষম|অযোগ্য|বোকা|কৃপণ|হিংস"")),""valence-target অমিল"",""""),IF(COUNTIF($B:$B,B1490)&gt;1,""ডুপ্লিকেট"",""""))"),"figurative ছোট")</f>
        <v>figurative ছোট</v>
      </c>
      <c r="Q1490" s="5" t="str">
        <f t="shared" si="1"/>
        <v>১ আগে দেখো</v>
      </c>
    </row>
    <row r="1491">
      <c r="A1491" s="4">
        <v>7078.0</v>
      </c>
      <c r="B1491" s="2" t="s">
        <v>6025</v>
      </c>
      <c r="C1491" s="2" t="s">
        <v>6026</v>
      </c>
      <c r="D1491" s="2" t="s">
        <v>6027</v>
      </c>
      <c r="E1491" s="2" t="s">
        <v>6028</v>
      </c>
      <c r="F1491" s="2" t="b">
        <v>1</v>
      </c>
      <c r="G1491" s="2" t="b">
        <v>0</v>
      </c>
      <c r="H1491" s="2" t="s">
        <v>37</v>
      </c>
      <c r="I1491" s="2" t="s">
        <v>32</v>
      </c>
      <c r="J1491" s="2" t="s">
        <v>674</v>
      </c>
      <c r="K1491" s="2" t="s">
        <v>495</v>
      </c>
      <c r="L1491" s="13" t="s">
        <v>496</v>
      </c>
      <c r="M1491" s="2" t="s">
        <v>26</v>
      </c>
      <c r="N1491" s="11" t="s">
        <v>6029</v>
      </c>
      <c r="O1491" s="12" t="s">
        <v>53</v>
      </c>
      <c r="P1491" s="5" t="str">
        <f>IFERROR(__xludf.DUMMYFUNCTION("TEXTJOIN("" | "",TRUE,IF(OR(D1491="""",E1491="""",I1491="""",J1491="""",H1491=""""),""ফাঁকা ঘর"",""""),IF(AND(C1491&lt;&gt;"""",D1491&lt;&gt;"""",C1491=D1491),""gloss=figurative"",""""),IF(LEN(D1491)&lt;15,""figurative ছোট"",""""),IF(AND(I1491=""Positive"",REGEXMATCH(H1"&amp;"491,""মূর্খ|ভণ্ড|প্রতার|অলস|লোভ|স্বার্থ|অক্ষম|অযোগ্য|বোকা|কৃপণ|হিংস"")),""valence-target অমিল"",""""),IF(COUNTIF($B:$B,B1491)&gt;1,""ডুপ্লিকেট"",""""))"),"figurative ছোট")</f>
        <v>figurative ছোট</v>
      </c>
      <c r="Q1491" s="5" t="str">
        <f t="shared" si="1"/>
        <v>১ আগে দেখো</v>
      </c>
    </row>
    <row r="1492">
      <c r="A1492" s="4">
        <v>7079.0</v>
      </c>
      <c r="B1492" s="2" t="s">
        <v>6030</v>
      </c>
      <c r="C1492" s="2" t="s">
        <v>6031</v>
      </c>
      <c r="D1492" s="2" t="s">
        <v>6032</v>
      </c>
      <c r="E1492" s="2" t="s">
        <v>6033</v>
      </c>
      <c r="F1492" s="2" t="b">
        <v>1</v>
      </c>
      <c r="G1492" s="2" t="b">
        <v>0</v>
      </c>
      <c r="H1492" s="2" t="s">
        <v>37</v>
      </c>
      <c r="I1492" s="2" t="s">
        <v>32</v>
      </c>
      <c r="J1492" s="2" t="s">
        <v>674</v>
      </c>
      <c r="K1492" s="2" t="s">
        <v>495</v>
      </c>
      <c r="L1492" s="13" t="s">
        <v>496</v>
      </c>
      <c r="M1492" s="2" t="s">
        <v>26</v>
      </c>
      <c r="N1492" s="11" t="s">
        <v>6034</v>
      </c>
      <c r="O1492" s="12" t="s">
        <v>53</v>
      </c>
      <c r="P1492" s="5" t="str">
        <f>IFERROR(__xludf.DUMMYFUNCTION("TEXTJOIN("" | "",TRUE,IF(OR(D1492="""",E1492="""",I1492="""",J1492="""",H1492=""""),""ফাঁকা ঘর"",""""),IF(AND(C1492&lt;&gt;"""",D1492&lt;&gt;"""",C1492=D1492),""gloss=figurative"",""""),IF(LEN(D1492)&lt;15,""figurative ছোট"",""""),IF(AND(I1492=""Positive"",REGEXMATCH(H1"&amp;"492,""মূর্খ|ভণ্ড|প্রতার|অলস|লোভ|স্বার্থ|অক্ষম|অযোগ্য|বোকা|কৃপণ|হিংস"")),""valence-target অমিল"",""""),IF(COUNTIF($B:$B,B1492)&gt;1,""ডুপ্লিকেট"",""""))"),"figurative ছোট")</f>
        <v>figurative ছোট</v>
      </c>
      <c r="Q1492" s="5" t="str">
        <f t="shared" si="1"/>
        <v>১ আগে দেখো</v>
      </c>
    </row>
    <row r="1493">
      <c r="A1493" s="4">
        <v>7081.0</v>
      </c>
      <c r="B1493" s="2" t="s">
        <v>6035</v>
      </c>
      <c r="C1493" s="2" t="s">
        <v>6036</v>
      </c>
      <c r="D1493" s="2" t="s">
        <v>6037</v>
      </c>
      <c r="E1493" s="2" t="s">
        <v>6038</v>
      </c>
      <c r="F1493" s="2" t="b">
        <v>1</v>
      </c>
      <c r="G1493" s="2" t="b">
        <v>0</v>
      </c>
      <c r="H1493" s="2" t="s">
        <v>37</v>
      </c>
      <c r="I1493" s="2" t="s">
        <v>32</v>
      </c>
      <c r="J1493" s="2" t="s">
        <v>669</v>
      </c>
      <c r="K1493" s="2" t="s">
        <v>495</v>
      </c>
      <c r="L1493" s="13" t="s">
        <v>496</v>
      </c>
      <c r="M1493" s="2" t="s">
        <v>26</v>
      </c>
      <c r="N1493" s="11" t="s">
        <v>576</v>
      </c>
      <c r="O1493" s="12" t="s">
        <v>53</v>
      </c>
      <c r="P1493" s="5" t="str">
        <f>IFERROR(__xludf.DUMMYFUNCTION("TEXTJOIN("" | "",TRUE,IF(OR(D1493="""",E1493="""",I1493="""",J1493="""",H1493=""""),""ফাঁকা ঘর"",""""),IF(AND(C1493&lt;&gt;"""",D1493&lt;&gt;"""",C1493=D1493),""gloss=figurative"",""""),IF(LEN(D1493)&lt;15,""figurative ছোট"",""""),IF(AND(I1493=""Positive"",REGEXMATCH(H1"&amp;"493,""মূর্খ|ভণ্ড|প্রতার|অলস|লোভ|স্বার্থ|অক্ষম|অযোগ্য|বোকা|কৃপণ|হিংস"")),""valence-target অমিল"",""""),IF(COUNTIF($B:$B,B1493)&gt;1,""ডুপ্লিকেট"",""""))"),"figurative ছোট")</f>
        <v>figurative ছোট</v>
      </c>
      <c r="Q1493" s="5" t="str">
        <f t="shared" si="1"/>
        <v>১ আগে দেখো</v>
      </c>
    </row>
    <row r="1494">
      <c r="A1494" s="4">
        <v>7082.0</v>
      </c>
      <c r="B1494" s="2" t="s">
        <v>6039</v>
      </c>
      <c r="C1494" s="2" t="s">
        <v>6040</v>
      </c>
      <c r="D1494" s="2" t="s">
        <v>6041</v>
      </c>
      <c r="E1494" s="2" t="s">
        <v>6042</v>
      </c>
      <c r="F1494" s="2" t="b">
        <v>1</v>
      </c>
      <c r="G1494" s="2" t="b">
        <v>0</v>
      </c>
      <c r="H1494" s="2" t="s">
        <v>37</v>
      </c>
      <c r="I1494" s="2" t="s">
        <v>49</v>
      </c>
      <c r="J1494" s="2" t="s">
        <v>1264</v>
      </c>
      <c r="K1494" s="2" t="s">
        <v>495</v>
      </c>
      <c r="L1494" s="13" t="s">
        <v>496</v>
      </c>
      <c r="M1494" s="2" t="s">
        <v>26</v>
      </c>
      <c r="N1494" s="11" t="s">
        <v>6043</v>
      </c>
      <c r="O1494" s="12" t="s">
        <v>53</v>
      </c>
      <c r="P1494" s="5" t="str">
        <f>IFERROR(__xludf.DUMMYFUNCTION("TEXTJOIN("" | "",TRUE,IF(OR(D1494="""",E1494="""",I1494="""",J1494="""",H1494=""""),""ফাঁকা ঘর"",""""),IF(AND(C1494&lt;&gt;"""",D1494&lt;&gt;"""",C1494=D1494),""gloss=figurative"",""""),IF(LEN(D1494)&lt;15,""figurative ছোট"",""""),IF(AND(I1494=""Positive"",REGEXMATCH(H1"&amp;"494,""মূর্খ|ভণ্ড|প্রতার|অলস|লোভ|স্বার্থ|অক্ষম|অযোগ্য|বোকা|কৃপণ|হিংস"")),""valence-target অমিল"",""""),IF(COUNTIF($B:$B,B1494)&gt;1,""ডুপ্লিকেট"",""""))"),"figurative ছোট")</f>
        <v>figurative ছোট</v>
      </c>
      <c r="Q1494" s="5" t="str">
        <f t="shared" si="1"/>
        <v>১ আগে দেখো</v>
      </c>
    </row>
    <row r="1495">
      <c r="A1495" s="4">
        <v>7083.0</v>
      </c>
      <c r="B1495" s="2" t="s">
        <v>6044</v>
      </c>
      <c r="C1495" s="2" t="s">
        <v>6045</v>
      </c>
      <c r="D1495" s="2" t="s">
        <v>2839</v>
      </c>
      <c r="E1495" s="2" t="s">
        <v>6046</v>
      </c>
      <c r="F1495" s="2" t="b">
        <v>1</v>
      </c>
      <c r="G1495" s="2" t="b">
        <v>0</v>
      </c>
      <c r="H1495" s="2" t="s">
        <v>37</v>
      </c>
      <c r="I1495" s="2" t="s">
        <v>49</v>
      </c>
      <c r="J1495" s="2" t="s">
        <v>1264</v>
      </c>
      <c r="K1495" s="2" t="s">
        <v>495</v>
      </c>
      <c r="L1495" s="13" t="s">
        <v>496</v>
      </c>
      <c r="M1495" s="2" t="s">
        <v>26</v>
      </c>
      <c r="N1495" s="11" t="s">
        <v>6047</v>
      </c>
      <c r="O1495" s="12" t="s">
        <v>53</v>
      </c>
      <c r="P1495" s="5" t="str">
        <f>IFERROR(__xludf.DUMMYFUNCTION("TEXTJOIN("" | "",TRUE,IF(OR(D1495="""",E1495="""",I1495="""",J1495="""",H1495=""""),""ফাঁকা ঘর"",""""),IF(AND(C1495&lt;&gt;"""",D1495&lt;&gt;"""",C1495=D1495),""gloss=figurative"",""""),IF(LEN(D1495)&lt;15,""figurative ছোট"",""""),IF(AND(I1495=""Positive"",REGEXMATCH(H1"&amp;"495,""মূর্খ|ভণ্ড|প্রতার|অলস|লোভ|স্বার্থ|অক্ষম|অযোগ্য|বোকা|কৃপণ|হিংস"")),""valence-target অমিল"",""""),IF(COUNTIF($B:$B,B1495)&gt;1,""ডুপ্লিকেট"",""""))"),"figurative ছোট")</f>
        <v>figurative ছোট</v>
      </c>
      <c r="Q1495" s="5" t="str">
        <f t="shared" si="1"/>
        <v>১ আগে দেখো</v>
      </c>
    </row>
    <row r="1496">
      <c r="A1496" s="4">
        <v>7084.0</v>
      </c>
      <c r="B1496" s="2" t="s">
        <v>6048</v>
      </c>
      <c r="C1496" s="2" t="s">
        <v>6049</v>
      </c>
      <c r="D1496" s="2" t="s">
        <v>6050</v>
      </c>
      <c r="E1496" s="2" t="s">
        <v>6051</v>
      </c>
      <c r="F1496" s="2" t="b">
        <v>1</v>
      </c>
      <c r="G1496" s="2" t="b">
        <v>0</v>
      </c>
      <c r="H1496" s="2" t="s">
        <v>1188</v>
      </c>
      <c r="I1496" s="2" t="s">
        <v>22</v>
      </c>
      <c r="J1496" s="2" t="s">
        <v>640</v>
      </c>
      <c r="K1496" s="2" t="s">
        <v>495</v>
      </c>
      <c r="L1496" s="13" t="s">
        <v>496</v>
      </c>
      <c r="M1496" s="2" t="s">
        <v>26</v>
      </c>
      <c r="N1496" s="11" t="s">
        <v>576</v>
      </c>
      <c r="O1496" s="12" t="s">
        <v>53</v>
      </c>
      <c r="P1496" s="5" t="str">
        <f>IFERROR(__xludf.DUMMYFUNCTION("TEXTJOIN("" | "",TRUE,IF(OR(D1496="""",E1496="""",I1496="""",J1496="""",H1496=""""),""ফাঁকা ঘর"",""""),IF(AND(C1496&lt;&gt;"""",D1496&lt;&gt;"""",C1496=D1496),""gloss=figurative"",""""),IF(LEN(D1496)&lt;15,""figurative ছোট"",""""),IF(AND(I1496=""Positive"",REGEXMATCH(H1"&amp;"496,""মূর্খ|ভণ্ড|প্রতার|অলস|লোভ|স্বার্থ|অক্ষম|অযোগ্য|বোকা|কৃপণ|হিংস"")),""valence-target অমিল"",""""),IF(COUNTIF($B:$B,B1496)&gt;1,""ডুপ্লিকেট"",""""))"),"figurative ছোট")</f>
        <v>figurative ছোট</v>
      </c>
      <c r="Q1496" s="5" t="str">
        <f t="shared" si="1"/>
        <v>১ আগে দেখো</v>
      </c>
    </row>
    <row r="1497">
      <c r="A1497" s="4">
        <v>7085.0</v>
      </c>
      <c r="B1497" s="2" t="s">
        <v>6052</v>
      </c>
      <c r="C1497" s="2" t="s">
        <v>6052</v>
      </c>
      <c r="D1497" s="2" t="s">
        <v>6053</v>
      </c>
      <c r="E1497" s="2" t="s">
        <v>6054</v>
      </c>
      <c r="F1497" s="2" t="b">
        <v>1</v>
      </c>
      <c r="G1497" s="2" t="b">
        <v>0</v>
      </c>
      <c r="H1497" s="2" t="s">
        <v>6055</v>
      </c>
      <c r="I1497" s="2" t="s">
        <v>22</v>
      </c>
      <c r="J1497" s="2" t="s">
        <v>1934</v>
      </c>
      <c r="K1497" s="2" t="s">
        <v>495</v>
      </c>
      <c r="L1497" s="13" t="s">
        <v>496</v>
      </c>
      <c r="M1497" s="2" t="s">
        <v>26</v>
      </c>
      <c r="N1497" s="11" t="s">
        <v>576</v>
      </c>
      <c r="O1497" s="12" t="s">
        <v>53</v>
      </c>
      <c r="P1497" s="5" t="str">
        <f>IFERROR(__xludf.DUMMYFUNCTION("TEXTJOIN("" | "",TRUE,IF(OR(D1497="""",E1497="""",I1497="""",J1497="""",H1497=""""),""ফাঁকা ঘর"",""""),IF(AND(C1497&lt;&gt;"""",D1497&lt;&gt;"""",C1497=D1497),""gloss=figurative"",""""),IF(LEN(D1497)&lt;15,""figurative ছোট"",""""),IF(AND(I1497=""Positive"",REGEXMATCH(H1"&amp;"497,""মূর্খ|ভণ্ড|প্রতার|অলস|লোভ|স্বার্থ|অক্ষম|অযোগ্য|বোকা|কৃপণ|হিংস"")),""valence-target অমিল"",""""),IF(COUNTIF($B:$B,B1497)&gt;1,""ডুপ্লিকেট"",""""))"),"figurative ছোট")</f>
        <v>figurative ছোট</v>
      </c>
      <c r="Q1497" s="5" t="str">
        <f t="shared" si="1"/>
        <v>১ আগে দেখো</v>
      </c>
    </row>
    <row r="1498">
      <c r="A1498" s="4">
        <v>7086.0</v>
      </c>
      <c r="B1498" s="2" t="s">
        <v>6056</v>
      </c>
      <c r="C1498" s="2" t="s">
        <v>6057</v>
      </c>
      <c r="D1498" s="2" t="s">
        <v>6058</v>
      </c>
      <c r="E1498" s="2" t="s">
        <v>6059</v>
      </c>
      <c r="F1498" s="2" t="b">
        <v>1</v>
      </c>
      <c r="G1498" s="2" t="b">
        <v>1</v>
      </c>
      <c r="H1498" s="2" t="s">
        <v>1106</v>
      </c>
      <c r="I1498" s="2" t="s">
        <v>32</v>
      </c>
      <c r="J1498" s="2" t="s">
        <v>1175</v>
      </c>
      <c r="K1498" s="2" t="s">
        <v>495</v>
      </c>
      <c r="L1498" s="13" t="s">
        <v>496</v>
      </c>
      <c r="M1498" s="2" t="s">
        <v>26</v>
      </c>
      <c r="N1498" s="11" t="s">
        <v>576</v>
      </c>
      <c r="O1498" s="12" t="s">
        <v>53</v>
      </c>
      <c r="P1498" s="5" t="str">
        <f>IFERROR(__xludf.DUMMYFUNCTION("TEXTJOIN("" | "",TRUE,IF(OR(D1498="""",E1498="""",I1498="""",J1498="""",H1498=""""),""ফাঁকা ঘর"",""""),IF(AND(C1498&lt;&gt;"""",D1498&lt;&gt;"""",C1498=D1498),""gloss=figurative"",""""),IF(LEN(D1498)&lt;15,""figurative ছোট"",""""),IF(AND(I1498=""Positive"",REGEXMATCH(H1"&amp;"498,""মূর্খ|ভণ্ড|প্রতার|অলস|লোভ|স্বার্থ|অক্ষম|অযোগ্য|বোকা|কৃপণ|হিংস"")),""valence-target অমিল"",""""),IF(COUNTIF($B:$B,B1498)&gt;1,""ডুপ্লিকেট"",""""))"),"figurative ছোট")</f>
        <v>figurative ছোট</v>
      </c>
      <c r="Q1498" s="5" t="str">
        <f t="shared" si="1"/>
        <v>১ আগে দেখো</v>
      </c>
    </row>
    <row r="1499">
      <c r="A1499" s="4">
        <v>7087.0</v>
      </c>
      <c r="B1499" s="2" t="s">
        <v>6060</v>
      </c>
      <c r="C1499" s="2" t="s">
        <v>6061</v>
      </c>
      <c r="D1499" s="2" t="s">
        <v>6062</v>
      </c>
      <c r="E1499" s="2" t="s">
        <v>6063</v>
      </c>
      <c r="F1499" s="2" t="b">
        <v>1</v>
      </c>
      <c r="G1499" s="2" t="b">
        <v>1</v>
      </c>
      <c r="H1499" s="2" t="s">
        <v>6064</v>
      </c>
      <c r="I1499" s="2" t="s">
        <v>22</v>
      </c>
      <c r="J1499" s="2" t="s">
        <v>739</v>
      </c>
      <c r="K1499" s="2" t="s">
        <v>495</v>
      </c>
      <c r="L1499" s="13" t="s">
        <v>496</v>
      </c>
      <c r="M1499" s="2" t="s">
        <v>26</v>
      </c>
      <c r="N1499" s="11" t="s">
        <v>576</v>
      </c>
      <c r="O1499" s="12" t="s">
        <v>53</v>
      </c>
      <c r="P1499" s="5" t="str">
        <f>IFERROR(__xludf.DUMMYFUNCTION("TEXTJOIN("" | "",TRUE,IF(OR(D1499="""",E1499="""",I1499="""",J1499="""",H1499=""""),""ফাঁকা ঘর"",""""),IF(AND(C1499&lt;&gt;"""",D1499&lt;&gt;"""",C1499=D1499),""gloss=figurative"",""""),IF(LEN(D1499)&lt;15,""figurative ছোট"",""""),IF(AND(I1499=""Positive"",REGEXMATCH(H1"&amp;"499,""মূর্খ|ভণ্ড|প্রতার|অলস|লোভ|স্বার্থ|অক্ষম|অযোগ্য|বোকা|কৃপণ|হিংস"")),""valence-target অমিল"",""""),IF(COUNTIF($B:$B,B1499)&gt;1,""ডুপ্লিকেট"",""""))"),"figurative ছোট")</f>
        <v>figurative ছোট</v>
      </c>
      <c r="Q1499" s="5" t="str">
        <f t="shared" si="1"/>
        <v>১ আগে দেখো</v>
      </c>
    </row>
    <row r="1500">
      <c r="A1500" s="4">
        <v>7088.0</v>
      </c>
      <c r="B1500" s="2" t="s">
        <v>6065</v>
      </c>
      <c r="C1500" s="2" t="s">
        <v>6066</v>
      </c>
      <c r="D1500" s="2" t="s">
        <v>6067</v>
      </c>
      <c r="E1500" s="2" t="s">
        <v>6068</v>
      </c>
      <c r="F1500" s="2" t="b">
        <v>1</v>
      </c>
      <c r="G1500" s="2" t="b">
        <v>0</v>
      </c>
      <c r="H1500" s="2" t="s">
        <v>37</v>
      </c>
      <c r="I1500" s="2" t="s">
        <v>49</v>
      </c>
      <c r="J1500" s="2" t="s">
        <v>2249</v>
      </c>
      <c r="K1500" s="2" t="s">
        <v>495</v>
      </c>
      <c r="L1500" s="13" t="s">
        <v>496</v>
      </c>
      <c r="M1500" s="2" t="s">
        <v>26</v>
      </c>
      <c r="N1500" s="11" t="s">
        <v>576</v>
      </c>
      <c r="O1500" s="12" t="s">
        <v>53</v>
      </c>
      <c r="P1500" s="5" t="str">
        <f>IFERROR(__xludf.DUMMYFUNCTION("TEXTJOIN("" | "",TRUE,IF(OR(D1500="""",E1500="""",I1500="""",J1500="""",H1500=""""),""ফাঁকা ঘর"",""""),IF(AND(C1500&lt;&gt;"""",D1500&lt;&gt;"""",C1500=D1500),""gloss=figurative"",""""),IF(LEN(D1500)&lt;15,""figurative ছোট"",""""),IF(AND(I1500=""Positive"",REGEXMATCH(H1"&amp;"500,""মূর্খ|ভণ্ড|প্রতার|অলস|লোভ|স্বার্থ|অক্ষম|অযোগ্য|বোকা|কৃপণ|হিংস"")),""valence-target অমিল"",""""),IF(COUNTIF($B:$B,B1500)&gt;1,""ডুপ্লিকেট"",""""))"),"figurative ছোট")</f>
        <v>figurative ছোট</v>
      </c>
      <c r="Q1500" s="5" t="str">
        <f t="shared" si="1"/>
        <v>১ আগে দেখো</v>
      </c>
    </row>
    <row r="1501">
      <c r="A1501" s="4">
        <v>7089.0</v>
      </c>
      <c r="B1501" s="2" t="s">
        <v>6069</v>
      </c>
      <c r="C1501" s="2" t="s">
        <v>6070</v>
      </c>
      <c r="D1501" s="2" t="s">
        <v>3898</v>
      </c>
      <c r="E1501" s="2" t="s">
        <v>6071</v>
      </c>
      <c r="F1501" s="2" t="b">
        <v>1</v>
      </c>
      <c r="G1501" s="2" t="b">
        <v>0</v>
      </c>
      <c r="H1501" s="2" t="s">
        <v>37</v>
      </c>
      <c r="I1501" s="2" t="s">
        <v>32</v>
      </c>
      <c r="J1501" s="2" t="s">
        <v>669</v>
      </c>
      <c r="K1501" s="2" t="s">
        <v>495</v>
      </c>
      <c r="L1501" s="13" t="s">
        <v>496</v>
      </c>
      <c r="M1501" s="2" t="s">
        <v>26</v>
      </c>
      <c r="N1501" s="11" t="s">
        <v>576</v>
      </c>
      <c r="O1501" s="12" t="s">
        <v>53</v>
      </c>
      <c r="P1501" s="5" t="str">
        <f>IFERROR(__xludf.DUMMYFUNCTION("TEXTJOIN("" | "",TRUE,IF(OR(D1501="""",E1501="""",I1501="""",J1501="""",H1501=""""),""ফাঁকা ঘর"",""""),IF(AND(C1501&lt;&gt;"""",D1501&lt;&gt;"""",C1501=D1501),""gloss=figurative"",""""),IF(LEN(D1501)&lt;15,""figurative ছোট"",""""),IF(AND(I1501=""Positive"",REGEXMATCH(H1"&amp;"501,""মূর্খ|ভণ্ড|প্রতার|অলস|লোভ|স্বার্থ|অক্ষম|অযোগ্য|বোকা|কৃপণ|হিংস"")),""valence-target অমিল"",""""),IF(COUNTIF($B:$B,B1501)&gt;1,""ডুপ্লিকেট"",""""))"),"figurative ছোট")</f>
        <v>figurative ছোট</v>
      </c>
      <c r="Q1501" s="5" t="str">
        <f t="shared" si="1"/>
        <v>১ আগে দেখো</v>
      </c>
    </row>
    <row r="1502">
      <c r="A1502" s="4">
        <v>7090.0</v>
      </c>
      <c r="B1502" s="2" t="s">
        <v>6072</v>
      </c>
      <c r="C1502" s="2" t="s">
        <v>6073</v>
      </c>
      <c r="D1502" s="2" t="s">
        <v>5904</v>
      </c>
      <c r="E1502" s="2" t="s">
        <v>6074</v>
      </c>
      <c r="F1502" s="2" t="b">
        <v>1</v>
      </c>
      <c r="G1502" s="2" t="b">
        <v>1</v>
      </c>
      <c r="H1502" s="2" t="s">
        <v>1106</v>
      </c>
      <c r="I1502" s="2" t="s">
        <v>32</v>
      </c>
      <c r="J1502" s="2" t="s">
        <v>1925</v>
      </c>
      <c r="K1502" s="2" t="s">
        <v>495</v>
      </c>
      <c r="L1502" s="13" t="s">
        <v>496</v>
      </c>
      <c r="M1502" s="2" t="s">
        <v>26</v>
      </c>
      <c r="N1502" s="11" t="s">
        <v>576</v>
      </c>
      <c r="O1502" s="12" t="s">
        <v>53</v>
      </c>
      <c r="P1502" s="5" t="str">
        <f>IFERROR(__xludf.DUMMYFUNCTION("TEXTJOIN("" | "",TRUE,IF(OR(D1502="""",E1502="""",I1502="""",J1502="""",H1502=""""),""ফাঁকা ঘর"",""""),IF(AND(C1502&lt;&gt;"""",D1502&lt;&gt;"""",C1502=D1502),""gloss=figurative"",""""),IF(LEN(D1502)&lt;15,""figurative ছোট"",""""),IF(AND(I1502=""Positive"",REGEXMATCH(H1"&amp;"502,""মূর্খ|ভণ্ড|প্রতার|অলস|লোভ|স্বার্থ|অক্ষম|অযোগ্য|বোকা|কৃপণ|হিংস"")),""valence-target অমিল"",""""),IF(COUNTIF($B:$B,B1502)&gt;1,""ডুপ্লিকেট"",""""))"),"figurative ছোট")</f>
        <v>figurative ছোট</v>
      </c>
      <c r="Q1502" s="5" t="str">
        <f t="shared" si="1"/>
        <v>১ আগে দেখো</v>
      </c>
    </row>
    <row r="1503">
      <c r="A1503" s="4">
        <v>7092.0</v>
      </c>
      <c r="B1503" s="2" t="s">
        <v>6075</v>
      </c>
      <c r="C1503" s="2" t="s">
        <v>6076</v>
      </c>
      <c r="D1503" s="2" t="s">
        <v>6077</v>
      </c>
      <c r="E1503" s="2" t="s">
        <v>6078</v>
      </c>
      <c r="F1503" s="2" t="b">
        <v>1</v>
      </c>
      <c r="G1503" s="2" t="b">
        <v>0</v>
      </c>
      <c r="H1503" s="2" t="s">
        <v>37</v>
      </c>
      <c r="I1503" s="2" t="s">
        <v>32</v>
      </c>
      <c r="J1503" s="2" t="s">
        <v>3653</v>
      </c>
      <c r="K1503" s="2" t="s">
        <v>495</v>
      </c>
      <c r="L1503" s="13" t="s">
        <v>496</v>
      </c>
      <c r="M1503" s="2" t="s">
        <v>26</v>
      </c>
      <c r="N1503" s="11" t="s">
        <v>576</v>
      </c>
      <c r="O1503" s="12" t="s">
        <v>53</v>
      </c>
      <c r="P1503" s="5" t="str">
        <f>IFERROR(__xludf.DUMMYFUNCTION("TEXTJOIN("" | "",TRUE,IF(OR(D1503="""",E1503="""",I1503="""",J1503="""",H1503=""""),""ফাঁকা ঘর"",""""),IF(AND(C1503&lt;&gt;"""",D1503&lt;&gt;"""",C1503=D1503),""gloss=figurative"",""""),IF(LEN(D1503)&lt;15,""figurative ছোট"",""""),IF(AND(I1503=""Positive"",REGEXMATCH(H1"&amp;"503,""মূর্খ|ভণ্ড|প্রতার|অলস|লোভ|স্বার্থ|অক্ষম|অযোগ্য|বোকা|কৃপণ|হিংস"")),""valence-target অমিল"",""""),IF(COUNTIF($B:$B,B1503)&gt;1,""ডুপ্লিকেট"",""""))"),"figurative ছোট")</f>
        <v>figurative ছোট</v>
      </c>
      <c r="Q1503" s="5" t="str">
        <f t="shared" si="1"/>
        <v>১ আগে দেখো</v>
      </c>
    </row>
    <row r="1504">
      <c r="A1504" s="4">
        <v>7093.0</v>
      </c>
      <c r="B1504" s="2" t="s">
        <v>6079</v>
      </c>
      <c r="C1504" s="2" t="s">
        <v>6080</v>
      </c>
      <c r="D1504" s="2" t="s">
        <v>3773</v>
      </c>
      <c r="E1504" s="2" t="s">
        <v>6081</v>
      </c>
      <c r="F1504" s="2" t="b">
        <v>1</v>
      </c>
      <c r="G1504" s="2" t="b">
        <v>0</v>
      </c>
      <c r="H1504" s="2" t="s">
        <v>37</v>
      </c>
      <c r="I1504" s="2" t="s">
        <v>49</v>
      </c>
      <c r="J1504" s="2" t="s">
        <v>3701</v>
      </c>
      <c r="K1504" s="2" t="s">
        <v>495</v>
      </c>
      <c r="L1504" s="13" t="s">
        <v>496</v>
      </c>
      <c r="M1504" s="2" t="s">
        <v>26</v>
      </c>
      <c r="N1504" s="11" t="s">
        <v>576</v>
      </c>
      <c r="O1504" s="12" t="s">
        <v>53</v>
      </c>
      <c r="P1504" s="5" t="str">
        <f>IFERROR(__xludf.DUMMYFUNCTION("TEXTJOIN("" | "",TRUE,IF(OR(D1504="""",E1504="""",I1504="""",J1504="""",H1504=""""),""ফাঁকা ঘর"",""""),IF(AND(C1504&lt;&gt;"""",D1504&lt;&gt;"""",C1504=D1504),""gloss=figurative"",""""),IF(LEN(D1504)&lt;15,""figurative ছোট"",""""),IF(AND(I1504=""Positive"",REGEXMATCH(H1"&amp;"504,""মূর্খ|ভণ্ড|প্রতার|অলস|লোভ|স্বার্থ|অক্ষম|অযোগ্য|বোকা|কৃপণ|হিংস"")),""valence-target অমিল"",""""),IF(COUNTIF($B:$B,B1504)&gt;1,""ডুপ্লিকেট"",""""))"),"figurative ছোট")</f>
        <v>figurative ছোট</v>
      </c>
      <c r="Q1504" s="5" t="str">
        <f t="shared" si="1"/>
        <v>১ আগে দেখো</v>
      </c>
    </row>
    <row r="1505">
      <c r="A1505" s="4">
        <v>7094.0</v>
      </c>
      <c r="B1505" s="2" t="s">
        <v>6082</v>
      </c>
      <c r="C1505" s="2" t="s">
        <v>6083</v>
      </c>
      <c r="D1505" s="2" t="s">
        <v>6084</v>
      </c>
      <c r="E1505" s="2" t="s">
        <v>6085</v>
      </c>
      <c r="F1505" s="2" t="b">
        <v>1</v>
      </c>
      <c r="G1505" s="2" t="b">
        <v>0</v>
      </c>
      <c r="H1505" s="2" t="s">
        <v>37</v>
      </c>
      <c r="I1505" s="2" t="s">
        <v>32</v>
      </c>
      <c r="J1505" s="2" t="s">
        <v>1895</v>
      </c>
      <c r="K1505" s="2" t="s">
        <v>495</v>
      </c>
      <c r="L1505" s="13" t="s">
        <v>496</v>
      </c>
      <c r="M1505" s="2" t="s">
        <v>26</v>
      </c>
      <c r="N1505" s="11" t="s">
        <v>576</v>
      </c>
      <c r="O1505" s="12" t="s">
        <v>53</v>
      </c>
      <c r="P1505" s="5" t="str">
        <f>IFERROR(__xludf.DUMMYFUNCTION("TEXTJOIN("" | "",TRUE,IF(OR(D1505="""",E1505="""",I1505="""",J1505="""",H1505=""""),""ফাঁকা ঘর"",""""),IF(AND(C1505&lt;&gt;"""",D1505&lt;&gt;"""",C1505=D1505),""gloss=figurative"",""""),IF(LEN(D1505)&lt;15,""figurative ছোট"",""""),IF(AND(I1505=""Positive"",REGEXMATCH(H1"&amp;"505,""মূর্খ|ভণ্ড|প্রতার|অলস|লোভ|স্বার্থ|অক্ষম|অযোগ্য|বোকা|কৃপণ|হিংস"")),""valence-target অমিল"",""""),IF(COUNTIF($B:$B,B1505)&gt;1,""ডুপ্লিকেট"",""""))"),"figurative ছোট")</f>
        <v>figurative ছোট</v>
      </c>
      <c r="Q1505" s="5" t="str">
        <f t="shared" si="1"/>
        <v>১ আগে দেখো</v>
      </c>
    </row>
    <row r="1506">
      <c r="A1506" s="4">
        <v>7095.0</v>
      </c>
      <c r="B1506" s="2" t="s">
        <v>6086</v>
      </c>
      <c r="C1506" s="2" t="s">
        <v>6087</v>
      </c>
      <c r="D1506" s="2" t="s">
        <v>6088</v>
      </c>
      <c r="E1506" s="2" t="s">
        <v>6089</v>
      </c>
      <c r="F1506" s="2" t="b">
        <v>1</v>
      </c>
      <c r="G1506" s="2" t="b">
        <v>0</v>
      </c>
      <c r="H1506" s="2" t="s">
        <v>37</v>
      </c>
      <c r="I1506" s="2" t="s">
        <v>22</v>
      </c>
      <c r="J1506" s="2" t="s">
        <v>6090</v>
      </c>
      <c r="K1506" s="2" t="s">
        <v>495</v>
      </c>
      <c r="L1506" s="13" t="s">
        <v>496</v>
      </c>
      <c r="M1506" s="2" t="s">
        <v>26</v>
      </c>
      <c r="N1506" s="11" t="s">
        <v>576</v>
      </c>
      <c r="O1506" s="12" t="s">
        <v>53</v>
      </c>
      <c r="P1506" s="5" t="str">
        <f>IFERROR(__xludf.DUMMYFUNCTION("TEXTJOIN("" | "",TRUE,IF(OR(D1506="""",E1506="""",I1506="""",J1506="""",H1506=""""),""ফাঁকা ঘর"",""""),IF(AND(C1506&lt;&gt;"""",D1506&lt;&gt;"""",C1506=D1506),""gloss=figurative"",""""),IF(LEN(D1506)&lt;15,""figurative ছোট"",""""),IF(AND(I1506=""Positive"",REGEXMATCH(H1"&amp;"506,""মূর্খ|ভণ্ড|প্রতার|অলস|লোভ|স্বার্থ|অক্ষম|অযোগ্য|বোকা|কৃপণ|হিংস"")),""valence-target অমিল"",""""),IF(COUNTIF($B:$B,B1506)&gt;1,""ডুপ্লিকেট"",""""))"),"figurative ছোট")</f>
        <v>figurative ছোট</v>
      </c>
      <c r="Q1506" s="5" t="str">
        <f t="shared" si="1"/>
        <v>১ আগে দেখো</v>
      </c>
    </row>
    <row r="1507">
      <c r="A1507" s="4">
        <v>7096.0</v>
      </c>
      <c r="B1507" s="2" t="s">
        <v>6091</v>
      </c>
      <c r="C1507" s="2" t="s">
        <v>6092</v>
      </c>
      <c r="D1507" s="2" t="s">
        <v>1013</v>
      </c>
      <c r="E1507" s="2" t="s">
        <v>6093</v>
      </c>
      <c r="F1507" s="2" t="b">
        <v>1</v>
      </c>
      <c r="G1507" s="2" t="b">
        <v>0</v>
      </c>
      <c r="H1507" s="2" t="s">
        <v>37</v>
      </c>
      <c r="I1507" s="2" t="s">
        <v>22</v>
      </c>
      <c r="J1507" s="2" t="s">
        <v>1013</v>
      </c>
      <c r="K1507" s="2" t="s">
        <v>495</v>
      </c>
      <c r="L1507" s="13" t="s">
        <v>496</v>
      </c>
      <c r="M1507" s="2" t="s">
        <v>26</v>
      </c>
      <c r="N1507" s="11" t="s">
        <v>6094</v>
      </c>
      <c r="O1507" s="12" t="s">
        <v>53</v>
      </c>
      <c r="P1507" s="5" t="str">
        <f>IFERROR(__xludf.DUMMYFUNCTION("TEXTJOIN("" | "",TRUE,IF(OR(D1507="""",E1507="""",I1507="""",J1507="""",H1507=""""),""ফাঁকা ঘর"",""""),IF(AND(C1507&lt;&gt;"""",D1507&lt;&gt;"""",C1507=D1507),""gloss=figurative"",""""),IF(LEN(D1507)&lt;15,""figurative ছোট"",""""),IF(AND(I1507=""Positive"",REGEXMATCH(H1"&amp;"507,""মূর্খ|ভণ্ড|প্রতার|অলস|লোভ|স্বার্থ|অক্ষম|অযোগ্য|বোকা|কৃপণ|হিংস"")),""valence-target অমিল"",""""),IF(COUNTIF($B:$B,B1507)&gt;1,""ডুপ্লিকেট"",""""))"),"figurative ছোট | ডুপ্লিকেট")</f>
        <v>figurative ছোট | ডুপ্লিকেট</v>
      </c>
      <c r="Q1507" s="5" t="str">
        <f t="shared" si="1"/>
        <v>১ আগে দেখো</v>
      </c>
    </row>
    <row r="1508">
      <c r="A1508" s="4">
        <v>7097.0</v>
      </c>
      <c r="B1508" s="2" t="s">
        <v>6091</v>
      </c>
      <c r="C1508" s="2" t="s">
        <v>6095</v>
      </c>
      <c r="D1508" s="2" t="s">
        <v>5973</v>
      </c>
      <c r="E1508" s="2" t="s">
        <v>6096</v>
      </c>
      <c r="F1508" s="2" t="b">
        <v>1</v>
      </c>
      <c r="G1508" s="2" t="b">
        <v>0</v>
      </c>
      <c r="H1508" s="2" t="s">
        <v>37</v>
      </c>
      <c r="I1508" s="2" t="s">
        <v>22</v>
      </c>
      <c r="J1508" s="2" t="s">
        <v>1013</v>
      </c>
      <c r="K1508" s="2" t="s">
        <v>495</v>
      </c>
      <c r="L1508" s="13" t="s">
        <v>496</v>
      </c>
      <c r="M1508" s="2" t="s">
        <v>26</v>
      </c>
      <c r="N1508" s="11" t="s">
        <v>6097</v>
      </c>
      <c r="O1508" s="12" t="s">
        <v>53</v>
      </c>
      <c r="P1508" s="5" t="str">
        <f>IFERROR(__xludf.DUMMYFUNCTION("TEXTJOIN("" | "",TRUE,IF(OR(D1508="""",E1508="""",I1508="""",J1508="""",H1508=""""),""ফাঁকা ঘর"",""""),IF(AND(C1508&lt;&gt;"""",D1508&lt;&gt;"""",C1508=D1508),""gloss=figurative"",""""),IF(LEN(D1508)&lt;15,""figurative ছোট"",""""),IF(AND(I1508=""Positive"",REGEXMATCH(H1"&amp;"508,""মূর্খ|ভণ্ড|প্রতার|অলস|লোভ|স্বার্থ|অক্ষম|অযোগ্য|বোকা|কৃপণ|হিংস"")),""valence-target অমিল"",""""),IF(COUNTIF($B:$B,B1508)&gt;1,""ডুপ্লিকেট"",""""))"),"figurative ছোট | ডুপ্লিকেট")</f>
        <v>figurative ছোট | ডুপ্লিকেট</v>
      </c>
      <c r="Q1508" s="5" t="str">
        <f t="shared" si="1"/>
        <v>১ আগে দেখো</v>
      </c>
    </row>
    <row r="1509">
      <c r="A1509" s="4">
        <v>7098.0</v>
      </c>
      <c r="B1509" s="2" t="s">
        <v>6098</v>
      </c>
      <c r="C1509" s="2" t="s">
        <v>6098</v>
      </c>
      <c r="D1509" s="2" t="s">
        <v>3356</v>
      </c>
      <c r="E1509" s="2" t="s">
        <v>6099</v>
      </c>
      <c r="F1509" s="2" t="b">
        <v>1</v>
      </c>
      <c r="G1509" s="2" t="b">
        <v>0</v>
      </c>
      <c r="H1509" s="2" t="s">
        <v>37</v>
      </c>
      <c r="I1509" s="2" t="s">
        <v>22</v>
      </c>
      <c r="J1509" s="2" t="s">
        <v>3356</v>
      </c>
      <c r="K1509" s="2" t="s">
        <v>495</v>
      </c>
      <c r="L1509" s="13" t="s">
        <v>496</v>
      </c>
      <c r="M1509" s="2" t="s">
        <v>26</v>
      </c>
      <c r="N1509" s="11" t="s">
        <v>576</v>
      </c>
      <c r="O1509" s="12" t="s">
        <v>53</v>
      </c>
      <c r="P1509" s="5" t="str">
        <f>IFERROR(__xludf.DUMMYFUNCTION("TEXTJOIN("" | "",TRUE,IF(OR(D1509="""",E1509="""",I1509="""",J1509="""",H1509=""""),""ফাঁকা ঘর"",""""),IF(AND(C1509&lt;&gt;"""",D1509&lt;&gt;"""",C1509=D1509),""gloss=figurative"",""""),IF(LEN(D1509)&lt;15,""figurative ছোট"",""""),IF(AND(I1509=""Positive"",REGEXMATCH(H1"&amp;"509,""মূর্খ|ভণ্ড|প্রতার|অলস|লোভ|স্বার্থ|অক্ষম|অযোগ্য|বোকা|কৃপণ|হিংস"")),""valence-target অমিল"",""""),IF(COUNTIF($B:$B,B1509)&gt;1,""ডুপ্লিকেট"",""""))"),"figurative ছোট")</f>
        <v>figurative ছোট</v>
      </c>
      <c r="Q1509" s="5" t="str">
        <f t="shared" si="1"/>
        <v>১ আগে দেখো</v>
      </c>
    </row>
    <row r="1510">
      <c r="A1510" s="4">
        <v>7100.0</v>
      </c>
      <c r="B1510" s="2" t="s">
        <v>6100</v>
      </c>
      <c r="C1510" s="2" t="s">
        <v>6100</v>
      </c>
      <c r="D1510" s="2" t="s">
        <v>6101</v>
      </c>
      <c r="E1510" s="2" t="s">
        <v>6102</v>
      </c>
      <c r="F1510" s="2" t="b">
        <v>1</v>
      </c>
      <c r="G1510" s="2" t="b">
        <v>0</v>
      </c>
      <c r="H1510" s="2" t="s">
        <v>37</v>
      </c>
      <c r="I1510" s="2" t="s">
        <v>22</v>
      </c>
      <c r="J1510" s="2" t="s">
        <v>6101</v>
      </c>
      <c r="K1510" s="2" t="s">
        <v>495</v>
      </c>
      <c r="L1510" s="13" t="s">
        <v>496</v>
      </c>
      <c r="M1510" s="2" t="s">
        <v>26</v>
      </c>
      <c r="N1510" s="11" t="s">
        <v>576</v>
      </c>
      <c r="O1510" s="12" t="s">
        <v>53</v>
      </c>
      <c r="P1510" s="5" t="str">
        <f>IFERROR(__xludf.DUMMYFUNCTION("TEXTJOIN("" | "",TRUE,IF(OR(D1510="""",E1510="""",I1510="""",J1510="""",H1510=""""),""ফাঁকা ঘর"",""""),IF(AND(C1510&lt;&gt;"""",D1510&lt;&gt;"""",C1510=D1510),""gloss=figurative"",""""),IF(LEN(D1510)&lt;15,""figurative ছোট"",""""),IF(AND(I1510=""Positive"",REGEXMATCH(H1"&amp;"510,""মূর্খ|ভণ্ড|প্রতার|অলস|লোভ|স্বার্থ|অক্ষম|অযোগ্য|বোকা|কৃপণ|হিংস"")),""valence-target অমিল"",""""),IF(COUNTIF($B:$B,B1510)&gt;1,""ডুপ্লিকেট"",""""))"),"figurative ছোট")</f>
        <v>figurative ছোট</v>
      </c>
      <c r="Q1510" s="5" t="str">
        <f t="shared" si="1"/>
        <v>১ আগে দেখো</v>
      </c>
    </row>
    <row r="1511">
      <c r="A1511" s="4">
        <v>7102.0</v>
      </c>
      <c r="B1511" s="2" t="s">
        <v>6103</v>
      </c>
      <c r="C1511" s="2" t="s">
        <v>6103</v>
      </c>
      <c r="D1511" s="2" t="s">
        <v>6104</v>
      </c>
      <c r="E1511" s="2" t="s">
        <v>6105</v>
      </c>
      <c r="F1511" s="2" t="b">
        <v>1</v>
      </c>
      <c r="G1511" s="2" t="b">
        <v>0</v>
      </c>
      <c r="H1511" s="2" t="s">
        <v>37</v>
      </c>
      <c r="I1511" s="2" t="s">
        <v>22</v>
      </c>
      <c r="J1511" s="2" t="s">
        <v>6106</v>
      </c>
      <c r="K1511" s="2" t="s">
        <v>495</v>
      </c>
      <c r="L1511" s="13" t="s">
        <v>496</v>
      </c>
      <c r="M1511" s="2" t="s">
        <v>26</v>
      </c>
      <c r="N1511" s="11" t="s">
        <v>576</v>
      </c>
      <c r="O1511" s="12" t="s">
        <v>53</v>
      </c>
      <c r="P1511" s="5" t="str">
        <f>IFERROR(__xludf.DUMMYFUNCTION("TEXTJOIN("" | "",TRUE,IF(OR(D1511="""",E1511="""",I1511="""",J1511="""",H1511=""""),""ফাঁকা ঘর"",""""),IF(AND(C1511&lt;&gt;"""",D1511&lt;&gt;"""",C1511=D1511),""gloss=figurative"",""""),IF(LEN(D1511)&lt;15,""figurative ছোট"",""""),IF(AND(I1511=""Positive"",REGEXMATCH(H1"&amp;"511,""মূর্খ|ভণ্ড|প্রতার|অলস|লোভ|স্বার্থ|অক্ষম|অযোগ্য|বোকা|কৃপণ|হিংস"")),""valence-target অমিল"",""""),IF(COUNTIF($B:$B,B1511)&gt;1,""ডুপ্লিকেট"",""""))"),"figurative ছোট")</f>
        <v>figurative ছোট</v>
      </c>
      <c r="Q1511" s="5" t="str">
        <f t="shared" si="1"/>
        <v>১ আগে দেখো</v>
      </c>
    </row>
    <row r="1512">
      <c r="A1512" s="4">
        <v>7103.0</v>
      </c>
      <c r="B1512" s="2" t="s">
        <v>6107</v>
      </c>
      <c r="C1512" s="2" t="s">
        <v>6108</v>
      </c>
      <c r="D1512" s="2" t="s">
        <v>6109</v>
      </c>
      <c r="E1512" s="2" t="s">
        <v>6110</v>
      </c>
      <c r="F1512" s="2" t="b">
        <v>1</v>
      </c>
      <c r="G1512" s="2" t="b">
        <v>0</v>
      </c>
      <c r="H1512" s="2" t="s">
        <v>37</v>
      </c>
      <c r="I1512" s="2" t="s">
        <v>49</v>
      </c>
      <c r="J1512" s="2" t="s">
        <v>6111</v>
      </c>
      <c r="K1512" s="2" t="s">
        <v>495</v>
      </c>
      <c r="L1512" s="13" t="s">
        <v>496</v>
      </c>
      <c r="M1512" s="2" t="s">
        <v>26</v>
      </c>
      <c r="N1512" s="11" t="s">
        <v>576</v>
      </c>
      <c r="O1512" s="12" t="s">
        <v>53</v>
      </c>
      <c r="P1512" s="5" t="str">
        <f>IFERROR(__xludf.DUMMYFUNCTION("TEXTJOIN("" | "",TRUE,IF(OR(D1512="""",E1512="""",I1512="""",J1512="""",H1512=""""),""ফাঁকা ঘর"",""""),IF(AND(C1512&lt;&gt;"""",D1512&lt;&gt;"""",C1512=D1512),""gloss=figurative"",""""),IF(LEN(D1512)&lt;15,""figurative ছোট"",""""),IF(AND(I1512=""Positive"",REGEXMATCH(H1"&amp;"512,""মূর্খ|ভণ্ড|প্রতার|অলস|লোভ|স্বার্থ|অক্ষম|অযোগ্য|বোকা|কৃপণ|হিংস"")),""valence-target অমিল"",""""),IF(COUNTIF($B:$B,B1512)&gt;1,""ডুপ্লিকেট"",""""))"),"figurative ছোট")</f>
        <v>figurative ছোট</v>
      </c>
      <c r="Q1512" s="5" t="str">
        <f t="shared" si="1"/>
        <v>১ আগে দেখো</v>
      </c>
    </row>
    <row r="1513">
      <c r="A1513" s="4">
        <v>7104.0</v>
      </c>
      <c r="B1513" s="2" t="s">
        <v>6112</v>
      </c>
      <c r="C1513" s="2" t="s">
        <v>6113</v>
      </c>
      <c r="D1513" s="2" t="s">
        <v>6114</v>
      </c>
      <c r="E1513" s="2" t="s">
        <v>6115</v>
      </c>
      <c r="F1513" s="2" t="b">
        <v>1</v>
      </c>
      <c r="G1513" s="2" t="b">
        <v>0</v>
      </c>
      <c r="H1513" s="2" t="s">
        <v>37</v>
      </c>
      <c r="I1513" s="2" t="s">
        <v>32</v>
      </c>
      <c r="J1513" s="2" t="s">
        <v>1060</v>
      </c>
      <c r="K1513" s="2" t="s">
        <v>495</v>
      </c>
      <c r="L1513" s="13" t="s">
        <v>496</v>
      </c>
      <c r="M1513" s="2" t="s">
        <v>26</v>
      </c>
      <c r="N1513" s="11" t="s">
        <v>576</v>
      </c>
      <c r="O1513" s="12" t="s">
        <v>53</v>
      </c>
      <c r="P1513" s="5" t="str">
        <f>IFERROR(__xludf.DUMMYFUNCTION("TEXTJOIN("" | "",TRUE,IF(OR(D1513="""",E1513="""",I1513="""",J1513="""",H1513=""""),""ফাঁকা ঘর"",""""),IF(AND(C1513&lt;&gt;"""",D1513&lt;&gt;"""",C1513=D1513),""gloss=figurative"",""""),IF(LEN(D1513)&lt;15,""figurative ছোট"",""""),IF(AND(I1513=""Positive"",REGEXMATCH(H1"&amp;"513,""মূর্খ|ভণ্ড|প্রতার|অলস|লোভ|স্বার্থ|অক্ষম|অযোগ্য|বোকা|কৃপণ|হিংস"")),""valence-target অমিল"",""""),IF(COUNTIF($B:$B,B1513)&gt;1,""ডুপ্লিকেট"",""""))"),"figurative ছোট")</f>
        <v>figurative ছোট</v>
      </c>
      <c r="Q1513" s="5" t="str">
        <f t="shared" si="1"/>
        <v>১ আগে দেখো</v>
      </c>
    </row>
    <row r="1514">
      <c r="A1514" s="4">
        <v>7105.0</v>
      </c>
      <c r="B1514" s="2" t="s">
        <v>6116</v>
      </c>
      <c r="C1514" s="2" t="s">
        <v>6117</v>
      </c>
      <c r="D1514" s="2" t="s">
        <v>6118</v>
      </c>
      <c r="E1514" s="2" t="s">
        <v>6119</v>
      </c>
      <c r="F1514" s="2" t="b">
        <v>1</v>
      </c>
      <c r="G1514" s="2" t="b">
        <v>0</v>
      </c>
      <c r="H1514" s="2" t="s">
        <v>37</v>
      </c>
      <c r="I1514" s="2" t="s">
        <v>49</v>
      </c>
      <c r="J1514" s="2" t="s">
        <v>1060</v>
      </c>
      <c r="K1514" s="2" t="s">
        <v>495</v>
      </c>
      <c r="L1514" s="13" t="s">
        <v>496</v>
      </c>
      <c r="M1514" s="2" t="s">
        <v>26</v>
      </c>
      <c r="N1514" s="11" t="s">
        <v>576</v>
      </c>
      <c r="O1514" s="12" t="s">
        <v>53</v>
      </c>
      <c r="P1514" s="5" t="str">
        <f>IFERROR(__xludf.DUMMYFUNCTION("TEXTJOIN("" | "",TRUE,IF(OR(D1514="""",E1514="""",I1514="""",J1514="""",H1514=""""),""ফাঁকা ঘর"",""""),IF(AND(C1514&lt;&gt;"""",D1514&lt;&gt;"""",C1514=D1514),""gloss=figurative"",""""),IF(LEN(D1514)&lt;15,""figurative ছোট"",""""),IF(AND(I1514=""Positive"",REGEXMATCH(H1"&amp;"514,""মূর্খ|ভণ্ড|প্রতার|অলস|লোভ|স্বার্থ|অক্ষম|অযোগ্য|বোকা|কৃপণ|হিংস"")),""valence-target অমিল"",""""),IF(COUNTIF($B:$B,B1514)&gt;1,""ডুপ্লিকেট"",""""))"),"figurative ছোট")</f>
        <v>figurative ছোট</v>
      </c>
      <c r="Q1514" s="5" t="str">
        <f t="shared" si="1"/>
        <v>১ আগে দেখো</v>
      </c>
    </row>
    <row r="1515">
      <c r="A1515" s="4">
        <v>7106.0</v>
      </c>
      <c r="B1515" s="2" t="s">
        <v>6120</v>
      </c>
      <c r="C1515" s="2" t="s">
        <v>6121</v>
      </c>
      <c r="D1515" s="2" t="s">
        <v>6122</v>
      </c>
      <c r="E1515" s="2" t="s">
        <v>6123</v>
      </c>
      <c r="F1515" s="2" t="b">
        <v>1</v>
      </c>
      <c r="G1515" s="2" t="b">
        <v>0</v>
      </c>
      <c r="H1515" s="2" t="s">
        <v>37</v>
      </c>
      <c r="I1515" s="2" t="s">
        <v>49</v>
      </c>
      <c r="J1515" s="2" t="s">
        <v>1934</v>
      </c>
      <c r="K1515" s="2" t="s">
        <v>495</v>
      </c>
      <c r="L1515" s="13" t="s">
        <v>496</v>
      </c>
      <c r="M1515" s="2" t="s">
        <v>26</v>
      </c>
      <c r="N1515" s="11" t="s">
        <v>6124</v>
      </c>
      <c r="O1515" s="12" t="s">
        <v>53</v>
      </c>
      <c r="P1515" s="5" t="str">
        <f>IFERROR(__xludf.DUMMYFUNCTION("TEXTJOIN("" | "",TRUE,IF(OR(D1515="""",E1515="""",I1515="""",J1515="""",H1515=""""),""ফাঁকা ঘর"",""""),IF(AND(C1515&lt;&gt;"""",D1515&lt;&gt;"""",C1515=D1515),""gloss=figurative"",""""),IF(LEN(D1515)&lt;15,""figurative ছোট"",""""),IF(AND(I1515=""Positive"",REGEXMATCH(H1"&amp;"515,""মূর্খ|ভণ্ড|প্রতার|অলস|লোভ|স্বার্থ|অক্ষম|অযোগ্য|বোকা|কৃপণ|হিংস"")),""valence-target অমিল"",""""),IF(COUNTIF($B:$B,B1515)&gt;1,""ডুপ্লিকেট"",""""))"),"figurative ছোট")</f>
        <v>figurative ছোট</v>
      </c>
      <c r="Q1515" s="5" t="str">
        <f t="shared" si="1"/>
        <v>১ আগে দেখো</v>
      </c>
    </row>
    <row r="1516">
      <c r="A1516" s="4">
        <v>7107.0</v>
      </c>
      <c r="B1516" s="2" t="s">
        <v>6125</v>
      </c>
      <c r="C1516" s="2" t="s">
        <v>6126</v>
      </c>
      <c r="D1516" s="2" t="s">
        <v>6127</v>
      </c>
      <c r="E1516" s="2" t="s">
        <v>6128</v>
      </c>
      <c r="F1516" s="2" t="b">
        <v>1</v>
      </c>
      <c r="G1516" s="2" t="b">
        <v>0</v>
      </c>
      <c r="H1516" s="2" t="s">
        <v>37</v>
      </c>
      <c r="I1516" s="2" t="s">
        <v>49</v>
      </c>
      <c r="J1516" s="2" t="s">
        <v>1934</v>
      </c>
      <c r="K1516" s="2" t="s">
        <v>495</v>
      </c>
      <c r="L1516" s="13" t="s">
        <v>496</v>
      </c>
      <c r="M1516" s="2" t="s">
        <v>26</v>
      </c>
      <c r="N1516" s="11" t="s">
        <v>6129</v>
      </c>
      <c r="O1516" s="12" t="s">
        <v>53</v>
      </c>
      <c r="P1516" s="5" t="str">
        <f>IFERROR(__xludf.DUMMYFUNCTION("TEXTJOIN("" | "",TRUE,IF(OR(D1516="""",E1516="""",I1516="""",J1516="""",H1516=""""),""ফাঁকা ঘর"",""""),IF(AND(C1516&lt;&gt;"""",D1516&lt;&gt;"""",C1516=D1516),""gloss=figurative"",""""),IF(LEN(D1516)&lt;15,""figurative ছোট"",""""),IF(AND(I1516=""Positive"",REGEXMATCH(H1"&amp;"516,""মূর্খ|ভণ্ড|প্রতার|অলস|লোভ|স্বার্থ|অক্ষম|অযোগ্য|বোকা|কৃপণ|হিংস"")),""valence-target অমিল"",""""),IF(COUNTIF($B:$B,B1516)&gt;1,""ডুপ্লিকেট"",""""))"),"figurative ছোট")</f>
        <v>figurative ছোট</v>
      </c>
      <c r="Q1516" s="5" t="str">
        <f t="shared" si="1"/>
        <v>১ আগে দেখো</v>
      </c>
    </row>
    <row r="1517">
      <c r="A1517" s="4">
        <v>7109.0</v>
      </c>
      <c r="B1517" s="2" t="s">
        <v>6130</v>
      </c>
      <c r="C1517" s="2" t="s">
        <v>6131</v>
      </c>
      <c r="D1517" s="2" t="s">
        <v>6132</v>
      </c>
      <c r="E1517" s="2" t="s">
        <v>6133</v>
      </c>
      <c r="F1517" s="2" t="b">
        <v>1</v>
      </c>
      <c r="G1517" s="2" t="b">
        <v>0</v>
      </c>
      <c r="H1517" s="2" t="s">
        <v>37</v>
      </c>
      <c r="I1517" s="2" t="s">
        <v>32</v>
      </c>
      <c r="J1517" s="2" t="s">
        <v>660</v>
      </c>
      <c r="K1517" s="2" t="s">
        <v>495</v>
      </c>
      <c r="L1517" s="13" t="s">
        <v>496</v>
      </c>
      <c r="M1517" s="2" t="s">
        <v>26</v>
      </c>
      <c r="N1517" s="11" t="s">
        <v>576</v>
      </c>
      <c r="O1517" s="12" t="s">
        <v>53</v>
      </c>
      <c r="P1517" s="5" t="str">
        <f>IFERROR(__xludf.DUMMYFUNCTION("TEXTJOIN("" | "",TRUE,IF(OR(D1517="""",E1517="""",I1517="""",J1517="""",H1517=""""),""ফাঁকা ঘর"",""""),IF(AND(C1517&lt;&gt;"""",D1517&lt;&gt;"""",C1517=D1517),""gloss=figurative"",""""),IF(LEN(D1517)&lt;15,""figurative ছোট"",""""),IF(AND(I1517=""Positive"",REGEXMATCH(H1"&amp;"517,""মূর্খ|ভণ্ড|প্রতার|অলস|লোভ|স্বার্থ|অক্ষম|অযোগ্য|বোকা|কৃপণ|হিংস"")),""valence-target অমিল"",""""),IF(COUNTIF($B:$B,B1517)&gt;1,""ডুপ্লিকেট"",""""))"),"figurative ছোট")</f>
        <v>figurative ছোট</v>
      </c>
      <c r="Q1517" s="5" t="str">
        <f t="shared" si="1"/>
        <v>১ আগে দেখো</v>
      </c>
    </row>
    <row r="1518">
      <c r="A1518" s="4">
        <v>7111.0</v>
      </c>
      <c r="B1518" s="2" t="s">
        <v>6134</v>
      </c>
      <c r="C1518" s="2" t="s">
        <v>6134</v>
      </c>
      <c r="D1518" s="2" t="s">
        <v>6135</v>
      </c>
      <c r="E1518" s="2" t="s">
        <v>6136</v>
      </c>
      <c r="F1518" s="2" t="b">
        <v>1</v>
      </c>
      <c r="G1518" s="2" t="b">
        <v>0</v>
      </c>
      <c r="H1518" s="2" t="s">
        <v>37</v>
      </c>
      <c r="I1518" s="2" t="s">
        <v>49</v>
      </c>
      <c r="J1518" s="2" t="s">
        <v>868</v>
      </c>
      <c r="K1518" s="2" t="s">
        <v>495</v>
      </c>
      <c r="L1518" s="13" t="s">
        <v>496</v>
      </c>
      <c r="M1518" s="2" t="s">
        <v>26</v>
      </c>
      <c r="N1518" s="11" t="s">
        <v>576</v>
      </c>
      <c r="O1518" s="12" t="s">
        <v>53</v>
      </c>
      <c r="P1518" s="5" t="str">
        <f>IFERROR(__xludf.DUMMYFUNCTION("TEXTJOIN("" | "",TRUE,IF(OR(D1518="""",E1518="""",I1518="""",J1518="""",H1518=""""),""ফাঁকা ঘর"",""""),IF(AND(C1518&lt;&gt;"""",D1518&lt;&gt;"""",C1518=D1518),""gloss=figurative"",""""),IF(LEN(D1518)&lt;15,""figurative ছোট"",""""),IF(AND(I1518=""Positive"",REGEXMATCH(H1"&amp;"518,""মূর্খ|ভণ্ড|প্রতার|অলস|লোভ|স্বার্থ|অক্ষম|অযোগ্য|বোকা|কৃপণ|হিংস"")),""valence-target অমিল"",""""),IF(COUNTIF($B:$B,B1518)&gt;1,""ডুপ্লিকেট"",""""))"),"figurative ছোট")</f>
        <v>figurative ছোট</v>
      </c>
      <c r="Q1518" s="5" t="str">
        <f t="shared" si="1"/>
        <v>১ আগে দেখো</v>
      </c>
    </row>
    <row r="1519">
      <c r="A1519" s="4">
        <v>7112.0</v>
      </c>
      <c r="B1519" s="2" t="s">
        <v>6137</v>
      </c>
      <c r="C1519" s="2" t="s">
        <v>6138</v>
      </c>
      <c r="D1519" s="2" t="s">
        <v>6139</v>
      </c>
      <c r="E1519" s="2" t="s">
        <v>6140</v>
      </c>
      <c r="F1519" s="2" t="b">
        <v>1</v>
      </c>
      <c r="G1519" s="2" t="b">
        <v>0</v>
      </c>
      <c r="H1519" s="2" t="s">
        <v>37</v>
      </c>
      <c r="I1519" s="2" t="s">
        <v>22</v>
      </c>
      <c r="J1519" s="2" t="s">
        <v>1712</v>
      </c>
      <c r="K1519" s="2" t="s">
        <v>495</v>
      </c>
      <c r="L1519" s="13" t="s">
        <v>496</v>
      </c>
      <c r="M1519" s="2" t="s">
        <v>26</v>
      </c>
      <c r="N1519" s="11" t="s">
        <v>576</v>
      </c>
      <c r="O1519" s="12" t="s">
        <v>53</v>
      </c>
      <c r="P1519" s="5" t="str">
        <f>IFERROR(__xludf.DUMMYFUNCTION("TEXTJOIN("" | "",TRUE,IF(OR(D1519="""",E1519="""",I1519="""",J1519="""",H1519=""""),""ফাঁকা ঘর"",""""),IF(AND(C1519&lt;&gt;"""",D1519&lt;&gt;"""",C1519=D1519),""gloss=figurative"",""""),IF(LEN(D1519)&lt;15,""figurative ছোট"",""""),IF(AND(I1519=""Positive"",REGEXMATCH(H1"&amp;"519,""মূর্খ|ভণ্ড|প্রতার|অলস|লোভ|স্বার্থ|অক্ষম|অযোগ্য|বোকা|কৃপণ|হিংস"")),""valence-target অমিল"",""""),IF(COUNTIF($B:$B,B1519)&gt;1,""ডুপ্লিকেট"",""""))"),"figurative ছোট")</f>
        <v>figurative ছোট</v>
      </c>
      <c r="Q1519" s="5" t="str">
        <f t="shared" si="1"/>
        <v>১ আগে দেখো</v>
      </c>
    </row>
    <row r="1520">
      <c r="A1520" s="4">
        <v>7113.0</v>
      </c>
      <c r="B1520" s="2" t="s">
        <v>6141</v>
      </c>
      <c r="C1520" s="2" t="s">
        <v>6142</v>
      </c>
      <c r="D1520" s="2" t="s">
        <v>6143</v>
      </c>
      <c r="E1520" s="2" t="s">
        <v>6144</v>
      </c>
      <c r="F1520" s="2" t="b">
        <v>1</v>
      </c>
      <c r="G1520" s="2" t="b">
        <v>1</v>
      </c>
      <c r="H1520" s="2" t="s">
        <v>4226</v>
      </c>
      <c r="I1520" s="2" t="s">
        <v>49</v>
      </c>
      <c r="J1520" s="2" t="s">
        <v>3327</v>
      </c>
      <c r="K1520" s="2" t="s">
        <v>495</v>
      </c>
      <c r="L1520" s="13" t="s">
        <v>496</v>
      </c>
      <c r="M1520" s="2" t="s">
        <v>26</v>
      </c>
      <c r="N1520" s="11" t="s">
        <v>6145</v>
      </c>
      <c r="O1520" s="12" t="s">
        <v>53</v>
      </c>
      <c r="P1520" s="5" t="str">
        <f>IFERROR(__xludf.DUMMYFUNCTION("TEXTJOIN("" | "",TRUE,IF(OR(D1520="""",E1520="""",I1520="""",J1520="""",H1520=""""),""ফাঁকা ঘর"",""""),IF(AND(C1520&lt;&gt;"""",D1520&lt;&gt;"""",C1520=D1520),""gloss=figurative"",""""),IF(LEN(D1520)&lt;15,""figurative ছোট"",""""),IF(AND(I1520=""Positive"",REGEXMATCH(H1"&amp;"520,""মূর্খ|ভণ্ড|প্রতার|অলস|লোভ|স্বার্থ|অক্ষম|অযোগ্য|বোকা|কৃপণ|হিংস"")),""valence-target অমিল"",""""),IF(COUNTIF($B:$B,B1520)&gt;1,""ডুপ্লিকেট"",""""))"),"figurative ছোট")</f>
        <v>figurative ছোট</v>
      </c>
      <c r="Q1520" s="5" t="str">
        <f t="shared" si="1"/>
        <v>১ আগে দেখো</v>
      </c>
    </row>
    <row r="1521">
      <c r="A1521" s="4">
        <v>7114.0</v>
      </c>
      <c r="B1521" s="2" t="s">
        <v>6146</v>
      </c>
      <c r="C1521" s="2" t="s">
        <v>6147</v>
      </c>
      <c r="D1521" s="2" t="s">
        <v>4226</v>
      </c>
      <c r="E1521" s="2" t="s">
        <v>6148</v>
      </c>
      <c r="F1521" s="2" t="b">
        <v>1</v>
      </c>
      <c r="G1521" s="2" t="b">
        <v>1</v>
      </c>
      <c r="H1521" s="2" t="s">
        <v>4226</v>
      </c>
      <c r="I1521" s="2" t="s">
        <v>49</v>
      </c>
      <c r="J1521" s="2" t="s">
        <v>3327</v>
      </c>
      <c r="K1521" s="2" t="s">
        <v>495</v>
      </c>
      <c r="L1521" s="13" t="s">
        <v>496</v>
      </c>
      <c r="M1521" s="2" t="s">
        <v>26</v>
      </c>
      <c r="N1521" s="11" t="s">
        <v>6149</v>
      </c>
      <c r="O1521" s="12" t="s">
        <v>53</v>
      </c>
      <c r="P1521" s="5" t="str">
        <f>IFERROR(__xludf.DUMMYFUNCTION("TEXTJOIN("" | "",TRUE,IF(OR(D1521="""",E1521="""",I1521="""",J1521="""",H1521=""""),""ফাঁকা ঘর"",""""),IF(AND(C1521&lt;&gt;"""",D1521&lt;&gt;"""",C1521=D1521),""gloss=figurative"",""""),IF(LEN(D1521)&lt;15,""figurative ছোট"",""""),IF(AND(I1521=""Positive"",REGEXMATCH(H1"&amp;"521,""মূর্খ|ভণ্ড|প্রতার|অলস|লোভ|স্বার্থ|অক্ষম|অযোগ্য|বোকা|কৃপণ|হিংস"")),""valence-target অমিল"",""""),IF(COUNTIF($B:$B,B1521)&gt;1,""ডুপ্লিকেট"",""""))"),"figurative ছোট")</f>
        <v>figurative ছোট</v>
      </c>
      <c r="Q1521" s="5" t="str">
        <f t="shared" si="1"/>
        <v>১ আগে দেখো</v>
      </c>
    </row>
    <row r="1522">
      <c r="A1522" s="4">
        <v>7115.0</v>
      </c>
      <c r="B1522" s="2" t="s">
        <v>6150</v>
      </c>
      <c r="C1522" s="2" t="s">
        <v>6151</v>
      </c>
      <c r="D1522" s="2" t="s">
        <v>6152</v>
      </c>
      <c r="E1522" s="2" t="s">
        <v>6153</v>
      </c>
      <c r="F1522" s="2" t="b">
        <v>1</v>
      </c>
      <c r="G1522" s="2" t="b">
        <v>1</v>
      </c>
      <c r="H1522" s="2" t="s">
        <v>1982</v>
      </c>
      <c r="I1522" s="2" t="s">
        <v>49</v>
      </c>
      <c r="J1522" s="2" t="s">
        <v>1925</v>
      </c>
      <c r="K1522" s="2" t="s">
        <v>495</v>
      </c>
      <c r="L1522" s="13" t="s">
        <v>496</v>
      </c>
      <c r="M1522" s="2" t="s">
        <v>26</v>
      </c>
      <c r="N1522" s="11" t="s">
        <v>576</v>
      </c>
      <c r="O1522" s="12" t="s">
        <v>53</v>
      </c>
      <c r="P1522" s="5" t="str">
        <f>IFERROR(__xludf.DUMMYFUNCTION("TEXTJOIN("" | "",TRUE,IF(OR(D1522="""",E1522="""",I1522="""",J1522="""",H1522=""""),""ফাঁকা ঘর"",""""),IF(AND(C1522&lt;&gt;"""",D1522&lt;&gt;"""",C1522=D1522),""gloss=figurative"",""""),IF(LEN(D1522)&lt;15,""figurative ছোট"",""""),IF(AND(I1522=""Positive"",REGEXMATCH(H1"&amp;"522,""মূর্খ|ভণ্ড|প্রতার|অলস|লোভ|স্বার্থ|অক্ষম|অযোগ্য|বোকা|কৃপণ|হিংস"")),""valence-target অমিল"",""""),IF(COUNTIF($B:$B,B1522)&gt;1,""ডুপ্লিকেট"",""""))"),"figurative ছোট")</f>
        <v>figurative ছোট</v>
      </c>
      <c r="Q1522" s="5" t="str">
        <f t="shared" si="1"/>
        <v>১ আগে দেখো</v>
      </c>
    </row>
    <row r="1523">
      <c r="A1523" s="4">
        <v>7116.0</v>
      </c>
      <c r="B1523" s="2" t="s">
        <v>6154</v>
      </c>
      <c r="C1523" s="2" t="s">
        <v>6155</v>
      </c>
      <c r="D1523" s="2" t="s">
        <v>6156</v>
      </c>
      <c r="E1523" s="2" t="s">
        <v>6157</v>
      </c>
      <c r="F1523" s="2" t="b">
        <v>1</v>
      </c>
      <c r="G1523" s="2" t="b">
        <v>0</v>
      </c>
      <c r="H1523" s="2" t="s">
        <v>37</v>
      </c>
      <c r="I1523" s="2" t="s">
        <v>49</v>
      </c>
      <c r="J1523" s="2" t="s">
        <v>1443</v>
      </c>
      <c r="K1523" s="2" t="s">
        <v>495</v>
      </c>
      <c r="L1523" s="13" t="s">
        <v>496</v>
      </c>
      <c r="M1523" s="2" t="s">
        <v>26</v>
      </c>
      <c r="N1523" s="11" t="s">
        <v>6158</v>
      </c>
      <c r="O1523" s="12" t="s">
        <v>53</v>
      </c>
      <c r="P1523" s="5" t="str">
        <f>IFERROR(__xludf.DUMMYFUNCTION("TEXTJOIN("" | "",TRUE,IF(OR(D1523="""",E1523="""",I1523="""",J1523="""",H1523=""""),""ফাঁকা ঘর"",""""),IF(AND(C1523&lt;&gt;"""",D1523&lt;&gt;"""",C1523=D1523),""gloss=figurative"",""""),IF(LEN(D1523)&lt;15,""figurative ছোট"",""""),IF(AND(I1523=""Positive"",REGEXMATCH(H1"&amp;"523,""মূর্খ|ভণ্ড|প্রতার|অলস|লোভ|স্বার্থ|অক্ষম|অযোগ্য|বোকা|কৃপণ|হিংস"")),""valence-target অমিল"",""""),IF(COUNTIF($B:$B,B1523)&gt;1,""ডুপ্লিকেট"",""""))"),"figurative ছোট")</f>
        <v>figurative ছোট</v>
      </c>
      <c r="Q1523" s="5" t="str">
        <f t="shared" si="1"/>
        <v>১ আগে দেখো</v>
      </c>
    </row>
    <row r="1524">
      <c r="A1524" s="4">
        <v>7117.0</v>
      </c>
      <c r="B1524" s="2" t="s">
        <v>6159</v>
      </c>
      <c r="C1524" s="2" t="s">
        <v>6160</v>
      </c>
      <c r="D1524" s="2" t="s">
        <v>6161</v>
      </c>
      <c r="E1524" s="2" t="s">
        <v>6162</v>
      </c>
      <c r="F1524" s="2" t="b">
        <v>1</v>
      </c>
      <c r="G1524" s="2" t="b">
        <v>0</v>
      </c>
      <c r="H1524" s="2" t="s">
        <v>37</v>
      </c>
      <c r="I1524" s="2" t="s">
        <v>49</v>
      </c>
      <c r="J1524" s="2" t="s">
        <v>1443</v>
      </c>
      <c r="K1524" s="2" t="s">
        <v>495</v>
      </c>
      <c r="L1524" s="13" t="s">
        <v>496</v>
      </c>
      <c r="M1524" s="2" t="s">
        <v>26</v>
      </c>
      <c r="N1524" s="11" t="s">
        <v>6163</v>
      </c>
      <c r="O1524" s="12" t="s">
        <v>53</v>
      </c>
      <c r="P1524" s="5" t="str">
        <f>IFERROR(__xludf.DUMMYFUNCTION("TEXTJOIN("" | "",TRUE,IF(OR(D1524="""",E1524="""",I1524="""",J1524="""",H1524=""""),""ফাঁকা ঘর"",""""),IF(AND(C1524&lt;&gt;"""",D1524&lt;&gt;"""",C1524=D1524),""gloss=figurative"",""""),IF(LEN(D1524)&lt;15,""figurative ছোট"",""""),IF(AND(I1524=""Positive"",REGEXMATCH(H1"&amp;"524,""মূর্খ|ভণ্ড|প্রতার|অলস|লোভ|স্বার্থ|অক্ষম|অযোগ্য|বোকা|কৃপণ|হিংস"")),""valence-target অমিল"",""""),IF(COUNTIF($B:$B,B1524)&gt;1,""ডুপ্লিকেট"",""""))"),"figurative ছোট")</f>
        <v>figurative ছোট</v>
      </c>
      <c r="Q1524" s="5" t="str">
        <f t="shared" si="1"/>
        <v>১ আগে দেখো</v>
      </c>
    </row>
    <row r="1525">
      <c r="A1525" s="4">
        <v>7118.0</v>
      </c>
      <c r="B1525" s="2" t="s">
        <v>6164</v>
      </c>
      <c r="C1525" s="2" t="s">
        <v>6164</v>
      </c>
      <c r="D1525" s="2" t="s">
        <v>2448</v>
      </c>
      <c r="E1525" s="2" t="s">
        <v>6165</v>
      </c>
      <c r="F1525" s="2" t="b">
        <v>1</v>
      </c>
      <c r="G1525" s="2" t="b">
        <v>0</v>
      </c>
      <c r="H1525" s="2" t="s">
        <v>37</v>
      </c>
      <c r="I1525" s="2" t="s">
        <v>22</v>
      </c>
      <c r="J1525" s="2" t="s">
        <v>739</v>
      </c>
      <c r="K1525" s="2" t="s">
        <v>495</v>
      </c>
      <c r="L1525" s="13" t="s">
        <v>496</v>
      </c>
      <c r="M1525" s="2" t="s">
        <v>26</v>
      </c>
      <c r="N1525" s="11" t="s">
        <v>576</v>
      </c>
      <c r="O1525" s="12" t="s">
        <v>53</v>
      </c>
      <c r="P1525" s="5" t="str">
        <f>IFERROR(__xludf.DUMMYFUNCTION("TEXTJOIN("" | "",TRUE,IF(OR(D1525="""",E1525="""",I1525="""",J1525="""",H1525=""""),""ফাঁকা ঘর"",""""),IF(AND(C1525&lt;&gt;"""",D1525&lt;&gt;"""",C1525=D1525),""gloss=figurative"",""""),IF(LEN(D1525)&lt;15,""figurative ছোট"",""""),IF(AND(I1525=""Positive"",REGEXMATCH(H1"&amp;"525,""মূর্খ|ভণ্ড|প্রতার|অলস|লোভ|স্বার্থ|অক্ষম|অযোগ্য|বোকা|কৃপণ|হিংস"")),""valence-target অমিল"",""""),IF(COUNTIF($B:$B,B1525)&gt;1,""ডুপ্লিকেট"",""""))"),"figurative ছোট")</f>
        <v>figurative ছোট</v>
      </c>
      <c r="Q1525" s="5" t="str">
        <f t="shared" si="1"/>
        <v>১ আগে দেখো</v>
      </c>
    </row>
    <row r="1526">
      <c r="A1526" s="4">
        <v>7119.0</v>
      </c>
      <c r="B1526" s="2" t="s">
        <v>6166</v>
      </c>
      <c r="C1526" s="2" t="s">
        <v>6167</v>
      </c>
      <c r="D1526" s="2" t="s">
        <v>6168</v>
      </c>
      <c r="E1526" s="2" t="s">
        <v>6169</v>
      </c>
      <c r="F1526" s="2" t="b">
        <v>1</v>
      </c>
      <c r="G1526" s="2" t="b">
        <v>0</v>
      </c>
      <c r="H1526" s="2" t="s">
        <v>37</v>
      </c>
      <c r="I1526" s="2" t="s">
        <v>32</v>
      </c>
      <c r="J1526" s="2" t="s">
        <v>1895</v>
      </c>
      <c r="K1526" s="2" t="s">
        <v>495</v>
      </c>
      <c r="L1526" s="13" t="s">
        <v>496</v>
      </c>
      <c r="M1526" s="2" t="s">
        <v>26</v>
      </c>
      <c r="N1526" s="11" t="s">
        <v>576</v>
      </c>
      <c r="O1526" s="12" t="s">
        <v>53</v>
      </c>
      <c r="P1526" s="5" t="str">
        <f>IFERROR(__xludf.DUMMYFUNCTION("TEXTJOIN("" | "",TRUE,IF(OR(D1526="""",E1526="""",I1526="""",J1526="""",H1526=""""),""ফাঁকা ঘর"",""""),IF(AND(C1526&lt;&gt;"""",D1526&lt;&gt;"""",C1526=D1526),""gloss=figurative"",""""),IF(LEN(D1526)&lt;15,""figurative ছোট"",""""),IF(AND(I1526=""Positive"",REGEXMATCH(H1"&amp;"526,""মূর্খ|ভণ্ড|প্রতার|অলস|লোভ|স্বার্থ|অক্ষম|অযোগ্য|বোকা|কৃপণ|হিংস"")),""valence-target অমিল"",""""),IF(COUNTIF($B:$B,B1526)&gt;1,""ডুপ্লিকেট"",""""))"),"figurative ছোট")</f>
        <v>figurative ছোট</v>
      </c>
      <c r="Q1526" s="5" t="str">
        <f t="shared" si="1"/>
        <v>১ আগে দেখো</v>
      </c>
    </row>
    <row r="1527">
      <c r="A1527" s="4">
        <v>7121.0</v>
      </c>
      <c r="B1527" s="2" t="s">
        <v>6170</v>
      </c>
      <c r="C1527" s="2" t="s">
        <v>6171</v>
      </c>
      <c r="D1527" s="2" t="s">
        <v>5216</v>
      </c>
      <c r="E1527" s="2" t="s">
        <v>6172</v>
      </c>
      <c r="F1527" s="2" t="b">
        <v>1</v>
      </c>
      <c r="G1527" s="2" t="b">
        <v>0</v>
      </c>
      <c r="H1527" s="2" t="s">
        <v>37</v>
      </c>
      <c r="I1527" s="2" t="s">
        <v>49</v>
      </c>
      <c r="J1527" s="2" t="s">
        <v>1264</v>
      </c>
      <c r="K1527" s="2" t="s">
        <v>495</v>
      </c>
      <c r="L1527" s="13" t="s">
        <v>496</v>
      </c>
      <c r="M1527" s="2" t="s">
        <v>26</v>
      </c>
      <c r="N1527" s="11" t="s">
        <v>576</v>
      </c>
      <c r="O1527" s="12" t="s">
        <v>53</v>
      </c>
      <c r="P1527" s="5" t="str">
        <f>IFERROR(__xludf.DUMMYFUNCTION("TEXTJOIN("" | "",TRUE,IF(OR(D1527="""",E1527="""",I1527="""",J1527="""",H1527=""""),""ফাঁকা ঘর"",""""),IF(AND(C1527&lt;&gt;"""",D1527&lt;&gt;"""",C1527=D1527),""gloss=figurative"",""""),IF(LEN(D1527)&lt;15,""figurative ছোট"",""""),IF(AND(I1527=""Positive"",REGEXMATCH(H1"&amp;"527,""মূর্খ|ভণ্ড|প্রতার|অলস|লোভ|স্বার্থ|অক্ষম|অযোগ্য|বোকা|কৃপণ|হিংস"")),""valence-target অমিল"",""""),IF(COUNTIF($B:$B,B1527)&gt;1,""ডুপ্লিকেট"",""""))"),"figurative ছোট")</f>
        <v>figurative ছোট</v>
      </c>
      <c r="Q1527" s="5" t="str">
        <f t="shared" si="1"/>
        <v>১ আগে দেখো</v>
      </c>
    </row>
    <row r="1528">
      <c r="A1528" s="4">
        <v>7122.0</v>
      </c>
      <c r="B1528" s="2" t="s">
        <v>6173</v>
      </c>
      <c r="C1528" s="2" t="s">
        <v>6174</v>
      </c>
      <c r="D1528" s="2" t="s">
        <v>6175</v>
      </c>
      <c r="E1528" s="2" t="s">
        <v>6176</v>
      </c>
      <c r="F1528" s="2" t="b">
        <v>1</v>
      </c>
      <c r="G1528" s="2" t="b">
        <v>0</v>
      </c>
      <c r="H1528" s="2" t="s">
        <v>37</v>
      </c>
      <c r="I1528" s="2" t="s">
        <v>22</v>
      </c>
      <c r="J1528" s="2" t="s">
        <v>6010</v>
      </c>
      <c r="K1528" s="2" t="s">
        <v>495</v>
      </c>
      <c r="L1528" s="13" t="s">
        <v>496</v>
      </c>
      <c r="M1528" s="2" t="s">
        <v>26</v>
      </c>
      <c r="N1528" s="11" t="s">
        <v>576</v>
      </c>
      <c r="O1528" s="12" t="s">
        <v>53</v>
      </c>
      <c r="P1528" s="5" t="str">
        <f>IFERROR(__xludf.DUMMYFUNCTION("TEXTJOIN("" | "",TRUE,IF(OR(D1528="""",E1528="""",I1528="""",J1528="""",H1528=""""),""ফাঁকা ঘর"",""""),IF(AND(C1528&lt;&gt;"""",D1528&lt;&gt;"""",C1528=D1528),""gloss=figurative"",""""),IF(LEN(D1528)&lt;15,""figurative ছোট"",""""),IF(AND(I1528=""Positive"",REGEXMATCH(H1"&amp;"528,""মূর্খ|ভণ্ড|প্রতার|অলস|লোভ|স্বার্থ|অক্ষম|অযোগ্য|বোকা|কৃপণ|হিংস"")),""valence-target অমিল"",""""),IF(COUNTIF($B:$B,B1528)&gt;1,""ডুপ্লিকেট"",""""))"),"figurative ছোট")</f>
        <v>figurative ছোট</v>
      </c>
      <c r="Q1528" s="5" t="str">
        <f t="shared" si="1"/>
        <v>১ আগে দেখো</v>
      </c>
    </row>
    <row r="1529">
      <c r="A1529" s="4">
        <v>7125.0</v>
      </c>
      <c r="B1529" s="2" t="s">
        <v>6177</v>
      </c>
      <c r="C1529" s="2" t="s">
        <v>6178</v>
      </c>
      <c r="D1529" s="2" t="s">
        <v>967</v>
      </c>
      <c r="E1529" s="2" t="s">
        <v>6179</v>
      </c>
      <c r="F1529" s="2" t="b">
        <v>1</v>
      </c>
      <c r="G1529" s="2" t="b">
        <v>0</v>
      </c>
      <c r="H1529" s="2" t="s">
        <v>37</v>
      </c>
      <c r="I1529" s="2" t="s">
        <v>49</v>
      </c>
      <c r="J1529" s="2" t="s">
        <v>762</v>
      </c>
      <c r="K1529" s="2" t="s">
        <v>495</v>
      </c>
      <c r="L1529" s="13" t="s">
        <v>496</v>
      </c>
      <c r="M1529" s="2" t="s">
        <v>26</v>
      </c>
      <c r="N1529" s="11" t="s">
        <v>576</v>
      </c>
      <c r="O1529" s="12" t="s">
        <v>53</v>
      </c>
      <c r="P1529" s="5" t="str">
        <f>IFERROR(__xludf.DUMMYFUNCTION("TEXTJOIN("" | "",TRUE,IF(OR(D1529="""",E1529="""",I1529="""",J1529="""",H1529=""""),""ফাঁকা ঘর"",""""),IF(AND(C1529&lt;&gt;"""",D1529&lt;&gt;"""",C1529=D1529),""gloss=figurative"",""""),IF(LEN(D1529)&lt;15,""figurative ছোট"",""""),IF(AND(I1529=""Positive"",REGEXMATCH(H1"&amp;"529,""মূর্খ|ভণ্ড|প্রতার|অলস|লোভ|স্বার্থ|অক্ষম|অযোগ্য|বোকা|কৃপণ|হিংস"")),""valence-target অমিল"",""""),IF(COUNTIF($B:$B,B1529)&gt;1,""ডুপ্লিকেট"",""""))"),"figurative ছোট")</f>
        <v>figurative ছোট</v>
      </c>
      <c r="Q1529" s="5" t="str">
        <f t="shared" si="1"/>
        <v>১ আগে দেখো</v>
      </c>
    </row>
    <row r="1530">
      <c r="A1530" s="4">
        <v>7126.0</v>
      </c>
      <c r="B1530" s="2" t="s">
        <v>6180</v>
      </c>
      <c r="C1530" s="2" t="s">
        <v>6181</v>
      </c>
      <c r="D1530" s="2" t="s">
        <v>6182</v>
      </c>
      <c r="E1530" s="2" t="s">
        <v>6183</v>
      </c>
      <c r="F1530" s="2" t="b">
        <v>1</v>
      </c>
      <c r="G1530" s="2" t="b">
        <v>1</v>
      </c>
      <c r="H1530" s="2" t="s">
        <v>1106</v>
      </c>
      <c r="I1530" s="2" t="s">
        <v>49</v>
      </c>
      <c r="J1530" s="2" t="s">
        <v>762</v>
      </c>
      <c r="K1530" s="2" t="s">
        <v>495</v>
      </c>
      <c r="L1530" s="13" t="s">
        <v>496</v>
      </c>
      <c r="M1530" s="2" t="s">
        <v>26</v>
      </c>
      <c r="N1530" s="11" t="s">
        <v>6184</v>
      </c>
      <c r="O1530" s="12" t="s">
        <v>53</v>
      </c>
      <c r="P1530" s="5" t="str">
        <f>IFERROR(__xludf.DUMMYFUNCTION("TEXTJOIN("" | "",TRUE,IF(OR(D1530="""",E1530="""",I1530="""",J1530="""",H1530=""""),""ফাঁকা ঘর"",""""),IF(AND(C1530&lt;&gt;"""",D1530&lt;&gt;"""",C1530=D1530),""gloss=figurative"",""""),IF(LEN(D1530)&lt;15,""figurative ছোট"",""""),IF(AND(I1530=""Positive"",REGEXMATCH(H1"&amp;"530,""মূর্খ|ভণ্ড|প্রতার|অলস|লোভ|স্বার্থ|অক্ষম|অযোগ্য|বোকা|কৃপণ|হিংস"")),""valence-target অমিল"",""""),IF(COUNTIF($B:$B,B1530)&gt;1,""ডুপ্লিকেট"",""""))"),"figurative ছোট")</f>
        <v>figurative ছোট</v>
      </c>
      <c r="Q1530" s="5" t="str">
        <f t="shared" si="1"/>
        <v>১ আগে দেখো</v>
      </c>
    </row>
    <row r="1531">
      <c r="A1531" s="4">
        <v>7127.0</v>
      </c>
      <c r="B1531" s="2" t="s">
        <v>6185</v>
      </c>
      <c r="C1531" s="2" t="s">
        <v>6186</v>
      </c>
      <c r="D1531" s="2" t="s">
        <v>762</v>
      </c>
      <c r="E1531" s="2" t="s">
        <v>6187</v>
      </c>
      <c r="F1531" s="2" t="b">
        <v>1</v>
      </c>
      <c r="G1531" s="2" t="b">
        <v>0</v>
      </c>
      <c r="H1531" s="2" t="s">
        <v>37</v>
      </c>
      <c r="I1531" s="2" t="s">
        <v>49</v>
      </c>
      <c r="J1531" s="2" t="s">
        <v>762</v>
      </c>
      <c r="K1531" s="2" t="s">
        <v>495</v>
      </c>
      <c r="L1531" s="13" t="s">
        <v>496</v>
      </c>
      <c r="M1531" s="2" t="s">
        <v>26</v>
      </c>
      <c r="N1531" s="11" t="s">
        <v>576</v>
      </c>
      <c r="O1531" s="12" t="s">
        <v>53</v>
      </c>
      <c r="P1531" s="5" t="str">
        <f>IFERROR(__xludf.DUMMYFUNCTION("TEXTJOIN("" | "",TRUE,IF(OR(D1531="""",E1531="""",I1531="""",J1531="""",H1531=""""),""ফাঁকা ঘর"",""""),IF(AND(C1531&lt;&gt;"""",D1531&lt;&gt;"""",C1531=D1531),""gloss=figurative"",""""),IF(LEN(D1531)&lt;15,""figurative ছোট"",""""),IF(AND(I1531=""Positive"",REGEXMATCH(H1"&amp;"531,""মূর্খ|ভণ্ড|প্রতার|অলস|লোভ|স্বার্থ|অক্ষম|অযোগ্য|বোকা|কৃপণ|হিংস"")),""valence-target অমিল"",""""),IF(COUNTIF($B:$B,B1531)&gt;1,""ডুপ্লিকেট"",""""))"),"figurative ছোট")</f>
        <v>figurative ছোট</v>
      </c>
      <c r="Q1531" s="5" t="str">
        <f t="shared" si="1"/>
        <v>১ আগে দেখো</v>
      </c>
    </row>
    <row r="1532">
      <c r="A1532" s="4">
        <v>7128.0</v>
      </c>
      <c r="B1532" s="2" t="s">
        <v>6188</v>
      </c>
      <c r="C1532" s="2" t="s">
        <v>6189</v>
      </c>
      <c r="D1532" s="2" t="s">
        <v>6190</v>
      </c>
      <c r="E1532" s="2" t="s">
        <v>6191</v>
      </c>
      <c r="F1532" s="2" t="b">
        <v>1</v>
      </c>
      <c r="G1532" s="2" t="b">
        <v>1</v>
      </c>
      <c r="H1532" s="2" t="s">
        <v>1106</v>
      </c>
      <c r="I1532" s="2" t="s">
        <v>22</v>
      </c>
      <c r="J1532" s="2" t="s">
        <v>1175</v>
      </c>
      <c r="K1532" s="2" t="s">
        <v>495</v>
      </c>
      <c r="L1532" s="13" t="s">
        <v>496</v>
      </c>
      <c r="M1532" s="2" t="s">
        <v>26</v>
      </c>
      <c r="N1532" s="11" t="s">
        <v>576</v>
      </c>
      <c r="O1532" s="12" t="s">
        <v>53</v>
      </c>
      <c r="P1532" s="5" t="str">
        <f>IFERROR(__xludf.DUMMYFUNCTION("TEXTJOIN("" | "",TRUE,IF(OR(D1532="""",E1532="""",I1532="""",J1532="""",H1532=""""),""ফাঁকা ঘর"",""""),IF(AND(C1532&lt;&gt;"""",D1532&lt;&gt;"""",C1532=D1532),""gloss=figurative"",""""),IF(LEN(D1532)&lt;15,""figurative ছোট"",""""),IF(AND(I1532=""Positive"",REGEXMATCH(H1"&amp;"532,""মূর্খ|ভণ্ড|প্রতার|অলস|লোভ|স্বার্থ|অক্ষম|অযোগ্য|বোকা|কৃপণ|হিংস"")),""valence-target অমিল"",""""),IF(COUNTIF($B:$B,B1532)&gt;1,""ডুপ্লিকেট"",""""))"),"figurative ছোট")</f>
        <v>figurative ছোট</v>
      </c>
      <c r="Q1532" s="5" t="str">
        <f t="shared" si="1"/>
        <v>১ আগে দেখো</v>
      </c>
    </row>
    <row r="1533">
      <c r="A1533" s="4">
        <v>7129.0</v>
      </c>
      <c r="B1533" s="2" t="s">
        <v>6192</v>
      </c>
      <c r="C1533" s="2" t="s">
        <v>6193</v>
      </c>
      <c r="D1533" s="2" t="s">
        <v>6194</v>
      </c>
      <c r="E1533" s="2" t="s">
        <v>6195</v>
      </c>
      <c r="F1533" s="2" t="b">
        <v>1</v>
      </c>
      <c r="G1533" s="2" t="b">
        <v>0</v>
      </c>
      <c r="H1533" s="2" t="s">
        <v>37</v>
      </c>
      <c r="I1533" s="2" t="s">
        <v>22</v>
      </c>
      <c r="J1533" s="2" t="s">
        <v>2857</v>
      </c>
      <c r="K1533" s="2" t="s">
        <v>495</v>
      </c>
      <c r="L1533" s="13" t="s">
        <v>496</v>
      </c>
      <c r="M1533" s="2" t="s">
        <v>26</v>
      </c>
      <c r="N1533" s="11" t="s">
        <v>576</v>
      </c>
      <c r="O1533" s="12" t="s">
        <v>53</v>
      </c>
      <c r="P1533" s="5" t="str">
        <f>IFERROR(__xludf.DUMMYFUNCTION("TEXTJOIN("" | "",TRUE,IF(OR(D1533="""",E1533="""",I1533="""",J1533="""",H1533=""""),""ফাঁকা ঘর"",""""),IF(AND(C1533&lt;&gt;"""",D1533&lt;&gt;"""",C1533=D1533),""gloss=figurative"",""""),IF(LEN(D1533)&lt;15,""figurative ছোট"",""""),IF(AND(I1533=""Positive"",REGEXMATCH(H1"&amp;"533,""মূর্খ|ভণ্ড|প্রতার|অলস|লোভ|স্বার্থ|অক্ষম|অযোগ্য|বোকা|কৃপণ|হিংস"")),""valence-target অমিল"",""""),IF(COUNTIF($B:$B,B1533)&gt;1,""ডুপ্লিকেট"",""""))"),"figurative ছোট")</f>
        <v>figurative ছোট</v>
      </c>
      <c r="Q1533" s="5" t="str">
        <f t="shared" si="1"/>
        <v>১ আগে দেখো</v>
      </c>
    </row>
    <row r="1534">
      <c r="A1534" s="4">
        <v>7130.0</v>
      </c>
      <c r="B1534" s="2" t="s">
        <v>6196</v>
      </c>
      <c r="C1534" s="2" t="s">
        <v>6197</v>
      </c>
      <c r="D1534" s="2" t="s">
        <v>762</v>
      </c>
      <c r="E1534" s="2" t="s">
        <v>6198</v>
      </c>
      <c r="F1534" s="2" t="b">
        <v>1</v>
      </c>
      <c r="G1534" s="2" t="b">
        <v>0</v>
      </c>
      <c r="H1534" s="2" t="s">
        <v>37</v>
      </c>
      <c r="I1534" s="2" t="s">
        <v>49</v>
      </c>
      <c r="J1534" s="2" t="s">
        <v>762</v>
      </c>
      <c r="K1534" s="2" t="s">
        <v>495</v>
      </c>
      <c r="L1534" s="13" t="s">
        <v>496</v>
      </c>
      <c r="M1534" s="2" t="s">
        <v>26</v>
      </c>
      <c r="N1534" s="11" t="s">
        <v>6199</v>
      </c>
      <c r="O1534" s="12" t="s">
        <v>53</v>
      </c>
      <c r="P1534" s="5" t="str">
        <f>IFERROR(__xludf.DUMMYFUNCTION("TEXTJOIN("" | "",TRUE,IF(OR(D1534="""",E1534="""",I1534="""",J1534="""",H1534=""""),""ফাঁকা ঘর"",""""),IF(AND(C1534&lt;&gt;"""",D1534&lt;&gt;"""",C1534=D1534),""gloss=figurative"",""""),IF(LEN(D1534)&lt;15,""figurative ছোট"",""""),IF(AND(I1534=""Positive"",REGEXMATCH(H1"&amp;"534,""মূর্খ|ভণ্ড|প্রতার|অলস|লোভ|স্বার্থ|অক্ষম|অযোগ্য|বোকা|কৃপণ|হিংস"")),""valence-target অমিল"",""""),IF(COUNTIF($B:$B,B1534)&gt;1,""ডুপ্লিকেট"",""""))"),"figurative ছোট")</f>
        <v>figurative ছোট</v>
      </c>
      <c r="Q1534" s="5" t="str">
        <f t="shared" si="1"/>
        <v>১ আগে দেখো</v>
      </c>
    </row>
    <row r="1535">
      <c r="A1535" s="4">
        <v>7131.0</v>
      </c>
      <c r="B1535" s="2" t="s">
        <v>6200</v>
      </c>
      <c r="C1535" s="2" t="s">
        <v>6200</v>
      </c>
      <c r="D1535" s="2" t="s">
        <v>6201</v>
      </c>
      <c r="E1535" s="2" t="s">
        <v>6202</v>
      </c>
      <c r="F1535" s="2" t="b">
        <v>1</v>
      </c>
      <c r="G1535" s="2" t="b">
        <v>0</v>
      </c>
      <c r="H1535" s="2" t="s">
        <v>37</v>
      </c>
      <c r="I1535" s="2" t="s">
        <v>32</v>
      </c>
      <c r="J1535" s="2" t="s">
        <v>729</v>
      </c>
      <c r="K1535" s="2" t="s">
        <v>495</v>
      </c>
      <c r="L1535" s="13" t="s">
        <v>496</v>
      </c>
      <c r="M1535" s="2" t="s">
        <v>26</v>
      </c>
      <c r="N1535" s="11" t="s">
        <v>576</v>
      </c>
      <c r="O1535" s="12" t="s">
        <v>53</v>
      </c>
      <c r="P1535" s="5" t="str">
        <f>IFERROR(__xludf.DUMMYFUNCTION("TEXTJOIN("" | "",TRUE,IF(OR(D1535="""",E1535="""",I1535="""",J1535="""",H1535=""""),""ফাঁকা ঘর"",""""),IF(AND(C1535&lt;&gt;"""",D1535&lt;&gt;"""",C1535=D1535),""gloss=figurative"",""""),IF(LEN(D1535)&lt;15,""figurative ছোট"",""""),IF(AND(I1535=""Positive"",REGEXMATCH(H1"&amp;"535,""মূর্খ|ভণ্ড|প্রতার|অলস|লোভ|স্বার্থ|অক্ষম|অযোগ্য|বোকা|কৃপণ|হিংস"")),""valence-target অমিল"",""""),IF(COUNTIF($B:$B,B1535)&gt;1,""ডুপ্লিকেট"",""""))"),"figurative ছোট")</f>
        <v>figurative ছোট</v>
      </c>
      <c r="Q1535" s="5" t="str">
        <f t="shared" si="1"/>
        <v>১ আগে দেখো</v>
      </c>
    </row>
    <row r="1536">
      <c r="A1536" s="4">
        <v>7132.0</v>
      </c>
      <c r="B1536" s="2" t="s">
        <v>6203</v>
      </c>
      <c r="C1536" s="2" t="s">
        <v>6204</v>
      </c>
      <c r="D1536" s="2" t="s">
        <v>3401</v>
      </c>
      <c r="E1536" s="2" t="s">
        <v>6205</v>
      </c>
      <c r="F1536" s="2" t="b">
        <v>1</v>
      </c>
      <c r="G1536" s="2" t="b">
        <v>0</v>
      </c>
      <c r="H1536" s="2" t="s">
        <v>37</v>
      </c>
      <c r="I1536" s="2" t="s">
        <v>22</v>
      </c>
      <c r="J1536" s="2" t="s">
        <v>1008</v>
      </c>
      <c r="K1536" s="2" t="s">
        <v>495</v>
      </c>
      <c r="L1536" s="13" t="s">
        <v>496</v>
      </c>
      <c r="M1536" s="2" t="s">
        <v>26</v>
      </c>
      <c r="N1536" s="11" t="s">
        <v>576</v>
      </c>
      <c r="O1536" s="12" t="s">
        <v>53</v>
      </c>
      <c r="P1536" s="5" t="str">
        <f>IFERROR(__xludf.DUMMYFUNCTION("TEXTJOIN("" | "",TRUE,IF(OR(D1536="""",E1536="""",I1536="""",J1536="""",H1536=""""),""ফাঁকা ঘর"",""""),IF(AND(C1536&lt;&gt;"""",D1536&lt;&gt;"""",C1536=D1536),""gloss=figurative"",""""),IF(LEN(D1536)&lt;15,""figurative ছোট"",""""),IF(AND(I1536=""Positive"",REGEXMATCH(H1"&amp;"536,""মূর্খ|ভণ্ড|প্রতার|অলস|লোভ|স্বার্থ|অক্ষম|অযোগ্য|বোকা|কৃপণ|হিংস"")),""valence-target অমিল"",""""),IF(COUNTIF($B:$B,B1536)&gt;1,""ডুপ্লিকেট"",""""))"),"figurative ছোট")</f>
        <v>figurative ছোট</v>
      </c>
      <c r="Q1536" s="5" t="str">
        <f t="shared" si="1"/>
        <v>১ আগে দেখো</v>
      </c>
    </row>
    <row r="1537">
      <c r="A1537" s="4">
        <v>7133.0</v>
      </c>
      <c r="B1537" s="2" t="s">
        <v>6206</v>
      </c>
      <c r="C1537" s="2" t="s">
        <v>6207</v>
      </c>
      <c r="D1537" s="2" t="s">
        <v>6208</v>
      </c>
      <c r="E1537" s="2" t="s">
        <v>6209</v>
      </c>
      <c r="F1537" s="2" t="b">
        <v>1</v>
      </c>
      <c r="G1537" s="2" t="b">
        <v>0</v>
      </c>
      <c r="H1537" s="2" t="s">
        <v>37</v>
      </c>
      <c r="I1537" s="2" t="s">
        <v>49</v>
      </c>
      <c r="J1537" s="2" t="s">
        <v>1008</v>
      </c>
      <c r="K1537" s="2" t="s">
        <v>495</v>
      </c>
      <c r="L1537" s="13" t="s">
        <v>496</v>
      </c>
      <c r="M1537" s="2" t="s">
        <v>26</v>
      </c>
      <c r="N1537" s="11" t="s">
        <v>576</v>
      </c>
      <c r="O1537" s="12" t="s">
        <v>53</v>
      </c>
      <c r="P1537" s="5" t="str">
        <f>IFERROR(__xludf.DUMMYFUNCTION("TEXTJOIN("" | "",TRUE,IF(OR(D1537="""",E1537="""",I1537="""",J1537="""",H1537=""""),""ফাঁকা ঘর"",""""),IF(AND(C1537&lt;&gt;"""",D1537&lt;&gt;"""",C1537=D1537),""gloss=figurative"",""""),IF(LEN(D1537)&lt;15,""figurative ছোট"",""""),IF(AND(I1537=""Positive"",REGEXMATCH(H1"&amp;"537,""মূর্খ|ভণ্ড|প্রতার|অলস|লোভ|স্বার্থ|অক্ষম|অযোগ্য|বোকা|কৃপণ|হিংস"")),""valence-target অমিল"",""""),IF(COUNTIF($B:$B,B1537)&gt;1,""ডুপ্লিকেট"",""""))"),"figurative ছোট")</f>
        <v>figurative ছোট</v>
      </c>
      <c r="Q1537" s="5" t="str">
        <f t="shared" si="1"/>
        <v>১ আগে দেখো</v>
      </c>
    </row>
    <row r="1538">
      <c r="A1538" s="4">
        <v>7135.0</v>
      </c>
      <c r="B1538" s="2" t="s">
        <v>6210</v>
      </c>
      <c r="C1538" s="2" t="s">
        <v>6211</v>
      </c>
      <c r="D1538" s="2" t="s">
        <v>6212</v>
      </c>
      <c r="E1538" s="2" t="s">
        <v>6213</v>
      </c>
      <c r="F1538" s="2" t="b">
        <v>1</v>
      </c>
      <c r="G1538" s="2" t="b">
        <v>0</v>
      </c>
      <c r="H1538" s="2" t="s">
        <v>37</v>
      </c>
      <c r="I1538" s="2" t="s">
        <v>22</v>
      </c>
      <c r="J1538" s="2" t="s">
        <v>2611</v>
      </c>
      <c r="K1538" s="2" t="s">
        <v>495</v>
      </c>
      <c r="L1538" s="13" t="s">
        <v>496</v>
      </c>
      <c r="M1538" s="2" t="s">
        <v>26</v>
      </c>
      <c r="N1538" s="11" t="s">
        <v>576</v>
      </c>
      <c r="O1538" s="12" t="s">
        <v>53</v>
      </c>
      <c r="P1538" s="5" t="str">
        <f>IFERROR(__xludf.DUMMYFUNCTION("TEXTJOIN("" | "",TRUE,IF(OR(D1538="""",E1538="""",I1538="""",J1538="""",H1538=""""),""ফাঁকা ঘর"",""""),IF(AND(C1538&lt;&gt;"""",D1538&lt;&gt;"""",C1538=D1538),""gloss=figurative"",""""),IF(LEN(D1538)&lt;15,""figurative ছোট"",""""),IF(AND(I1538=""Positive"",REGEXMATCH(H1"&amp;"538,""মূর্খ|ভণ্ড|প্রতার|অলস|লোভ|স্বার্থ|অক্ষম|অযোগ্য|বোকা|কৃপণ|হিংস"")),""valence-target অমিল"",""""),IF(COUNTIF($B:$B,B1538)&gt;1,""ডুপ্লিকেট"",""""))"),"figurative ছোট")</f>
        <v>figurative ছোট</v>
      </c>
      <c r="Q1538" s="5" t="str">
        <f t="shared" si="1"/>
        <v>১ আগে দেখো</v>
      </c>
    </row>
    <row r="1539">
      <c r="A1539" s="4">
        <v>7136.0</v>
      </c>
      <c r="B1539" s="2" t="s">
        <v>6214</v>
      </c>
      <c r="C1539" s="2" t="s">
        <v>6215</v>
      </c>
      <c r="D1539" s="2" t="s">
        <v>2557</v>
      </c>
      <c r="E1539" s="2" t="s">
        <v>6216</v>
      </c>
      <c r="F1539" s="2" t="b">
        <v>1</v>
      </c>
      <c r="G1539" s="2" t="b">
        <v>0</v>
      </c>
      <c r="H1539" s="2" t="s">
        <v>37</v>
      </c>
      <c r="I1539" s="2" t="s">
        <v>32</v>
      </c>
      <c r="J1539" s="2" t="s">
        <v>1060</v>
      </c>
      <c r="K1539" s="2" t="s">
        <v>495</v>
      </c>
      <c r="L1539" s="13" t="s">
        <v>496</v>
      </c>
      <c r="M1539" s="2" t="s">
        <v>26</v>
      </c>
      <c r="N1539" s="11" t="s">
        <v>576</v>
      </c>
      <c r="O1539" s="12" t="s">
        <v>53</v>
      </c>
      <c r="P1539" s="5" t="str">
        <f>IFERROR(__xludf.DUMMYFUNCTION("TEXTJOIN("" | "",TRUE,IF(OR(D1539="""",E1539="""",I1539="""",J1539="""",H1539=""""),""ফাঁকা ঘর"",""""),IF(AND(C1539&lt;&gt;"""",D1539&lt;&gt;"""",C1539=D1539),""gloss=figurative"",""""),IF(LEN(D1539)&lt;15,""figurative ছোট"",""""),IF(AND(I1539=""Positive"",REGEXMATCH(H1"&amp;"539,""মূর্খ|ভণ্ড|প্রতার|অলস|লোভ|স্বার্থ|অক্ষম|অযোগ্য|বোকা|কৃপণ|হিংস"")),""valence-target অমিল"",""""),IF(COUNTIF($B:$B,B1539)&gt;1,""ডুপ্লিকেট"",""""))"),"figurative ছোট")</f>
        <v>figurative ছোট</v>
      </c>
      <c r="Q1539" s="5" t="str">
        <f t="shared" si="1"/>
        <v>১ আগে দেখো</v>
      </c>
    </row>
    <row r="1540">
      <c r="A1540" s="4">
        <v>7137.0</v>
      </c>
      <c r="B1540" s="2" t="s">
        <v>6217</v>
      </c>
      <c r="C1540" s="2" t="s">
        <v>6217</v>
      </c>
      <c r="D1540" s="2" t="s">
        <v>5139</v>
      </c>
      <c r="E1540" s="2" t="s">
        <v>6218</v>
      </c>
      <c r="F1540" s="2" t="b">
        <v>1</v>
      </c>
      <c r="G1540" s="2" t="b">
        <v>0</v>
      </c>
      <c r="H1540" s="2" t="s">
        <v>37</v>
      </c>
      <c r="I1540" s="2" t="s">
        <v>49</v>
      </c>
      <c r="J1540" s="2" t="s">
        <v>708</v>
      </c>
      <c r="K1540" s="2" t="s">
        <v>495</v>
      </c>
      <c r="L1540" s="13" t="s">
        <v>496</v>
      </c>
      <c r="M1540" s="2" t="s">
        <v>26</v>
      </c>
      <c r="N1540" s="11" t="s">
        <v>576</v>
      </c>
      <c r="O1540" s="12" t="s">
        <v>53</v>
      </c>
      <c r="P1540" s="5" t="str">
        <f>IFERROR(__xludf.DUMMYFUNCTION("TEXTJOIN("" | "",TRUE,IF(OR(D1540="""",E1540="""",I1540="""",J1540="""",H1540=""""),""ফাঁকা ঘর"",""""),IF(AND(C1540&lt;&gt;"""",D1540&lt;&gt;"""",C1540=D1540),""gloss=figurative"",""""),IF(LEN(D1540)&lt;15,""figurative ছোট"",""""),IF(AND(I1540=""Positive"",REGEXMATCH(H1"&amp;"540,""মূর্খ|ভণ্ড|প্রতার|অলস|লোভ|স্বার্থ|অক্ষম|অযোগ্য|বোকা|কৃপণ|হিংস"")),""valence-target অমিল"",""""),IF(COUNTIF($B:$B,B1540)&gt;1,""ডুপ্লিকেট"",""""))"),"figurative ছোট")</f>
        <v>figurative ছোট</v>
      </c>
      <c r="Q1540" s="5" t="str">
        <f t="shared" si="1"/>
        <v>১ আগে দেখো</v>
      </c>
    </row>
    <row r="1541">
      <c r="A1541" s="4">
        <v>7138.0</v>
      </c>
      <c r="B1541" s="2" t="s">
        <v>6219</v>
      </c>
      <c r="C1541" s="2" t="s">
        <v>6220</v>
      </c>
      <c r="D1541" s="2" t="s">
        <v>6221</v>
      </c>
      <c r="E1541" s="2" t="s">
        <v>6222</v>
      </c>
      <c r="F1541" s="2" t="b">
        <v>1</v>
      </c>
      <c r="G1541" s="2" t="b">
        <v>0</v>
      </c>
      <c r="H1541" s="2" t="s">
        <v>37</v>
      </c>
      <c r="I1541" s="2" t="s">
        <v>22</v>
      </c>
      <c r="J1541" s="2" t="s">
        <v>5207</v>
      </c>
      <c r="K1541" s="2" t="s">
        <v>495</v>
      </c>
      <c r="L1541" s="13" t="s">
        <v>496</v>
      </c>
      <c r="M1541" s="2" t="s">
        <v>26</v>
      </c>
      <c r="N1541" s="11" t="s">
        <v>576</v>
      </c>
      <c r="O1541" s="12" t="s">
        <v>53</v>
      </c>
      <c r="P1541" s="5" t="str">
        <f>IFERROR(__xludf.DUMMYFUNCTION("TEXTJOIN("" | "",TRUE,IF(OR(D1541="""",E1541="""",I1541="""",J1541="""",H1541=""""),""ফাঁকা ঘর"",""""),IF(AND(C1541&lt;&gt;"""",D1541&lt;&gt;"""",C1541=D1541),""gloss=figurative"",""""),IF(LEN(D1541)&lt;15,""figurative ছোট"",""""),IF(AND(I1541=""Positive"",REGEXMATCH(H1"&amp;"541,""মূর্খ|ভণ্ড|প্রতার|অলস|লোভ|স্বার্থ|অক্ষম|অযোগ্য|বোকা|কৃপণ|হিংস"")),""valence-target অমিল"",""""),IF(COUNTIF($B:$B,B1541)&gt;1,""ডুপ্লিকেট"",""""))"),"figurative ছোট")</f>
        <v>figurative ছোট</v>
      </c>
      <c r="Q1541" s="5" t="str">
        <f t="shared" si="1"/>
        <v>১ আগে দেখো</v>
      </c>
    </row>
    <row r="1542">
      <c r="A1542" s="4">
        <v>7139.0</v>
      </c>
      <c r="B1542" s="2" t="s">
        <v>6223</v>
      </c>
      <c r="C1542" s="2" t="s">
        <v>6223</v>
      </c>
      <c r="D1542" s="2" t="s">
        <v>964</v>
      </c>
      <c r="E1542" s="2" t="s">
        <v>6224</v>
      </c>
      <c r="F1542" s="2" t="b">
        <v>1</v>
      </c>
      <c r="G1542" s="2" t="b">
        <v>0</v>
      </c>
      <c r="H1542" s="2" t="s">
        <v>37</v>
      </c>
      <c r="I1542" s="2" t="s">
        <v>49</v>
      </c>
      <c r="J1542" s="2" t="s">
        <v>964</v>
      </c>
      <c r="K1542" s="2" t="s">
        <v>495</v>
      </c>
      <c r="L1542" s="13" t="s">
        <v>496</v>
      </c>
      <c r="M1542" s="2" t="s">
        <v>26</v>
      </c>
      <c r="N1542" s="11" t="s">
        <v>576</v>
      </c>
      <c r="O1542" s="12" t="s">
        <v>53</v>
      </c>
      <c r="P1542" s="5" t="str">
        <f>IFERROR(__xludf.DUMMYFUNCTION("TEXTJOIN("" | "",TRUE,IF(OR(D1542="""",E1542="""",I1542="""",J1542="""",H1542=""""),""ফাঁকা ঘর"",""""),IF(AND(C1542&lt;&gt;"""",D1542&lt;&gt;"""",C1542=D1542),""gloss=figurative"",""""),IF(LEN(D1542)&lt;15,""figurative ছোট"",""""),IF(AND(I1542=""Positive"",REGEXMATCH(H1"&amp;"542,""মূর্খ|ভণ্ড|প্রতার|অলস|লোভ|স্বার্থ|অক্ষম|অযোগ্য|বোকা|কৃপণ|হিংস"")),""valence-target অমিল"",""""),IF(COUNTIF($B:$B,B1542)&gt;1,""ডুপ্লিকেট"",""""))"),"figurative ছোট")</f>
        <v>figurative ছোট</v>
      </c>
      <c r="Q1542" s="5" t="str">
        <f t="shared" si="1"/>
        <v>১ আগে দেখো</v>
      </c>
    </row>
    <row r="1543">
      <c r="A1543" s="4">
        <v>7140.0</v>
      </c>
      <c r="B1543" s="2" t="s">
        <v>6225</v>
      </c>
      <c r="C1543" s="2" t="s">
        <v>6226</v>
      </c>
      <c r="D1543" s="2" t="s">
        <v>913</v>
      </c>
      <c r="E1543" s="2" t="s">
        <v>6227</v>
      </c>
      <c r="F1543" s="2" t="b">
        <v>1</v>
      </c>
      <c r="G1543" s="2" t="b">
        <v>0</v>
      </c>
      <c r="H1543" s="2" t="s">
        <v>37</v>
      </c>
      <c r="I1543" s="2" t="s">
        <v>49</v>
      </c>
      <c r="J1543" s="2" t="s">
        <v>913</v>
      </c>
      <c r="K1543" s="2" t="s">
        <v>495</v>
      </c>
      <c r="L1543" s="13" t="s">
        <v>496</v>
      </c>
      <c r="M1543" s="2" t="s">
        <v>26</v>
      </c>
      <c r="N1543" s="11" t="s">
        <v>576</v>
      </c>
      <c r="O1543" s="12" t="s">
        <v>53</v>
      </c>
      <c r="P1543" s="5" t="str">
        <f>IFERROR(__xludf.DUMMYFUNCTION("TEXTJOIN("" | "",TRUE,IF(OR(D1543="""",E1543="""",I1543="""",J1543="""",H1543=""""),""ফাঁকা ঘর"",""""),IF(AND(C1543&lt;&gt;"""",D1543&lt;&gt;"""",C1543=D1543),""gloss=figurative"",""""),IF(LEN(D1543)&lt;15,""figurative ছোট"",""""),IF(AND(I1543=""Positive"",REGEXMATCH(H1"&amp;"543,""মূর্খ|ভণ্ড|প্রতার|অলস|লোভ|স্বার্থ|অক্ষম|অযোগ্য|বোকা|কৃপণ|হিংস"")),""valence-target অমিল"",""""),IF(COUNTIF($B:$B,B1543)&gt;1,""ডুপ্লিকেট"",""""))"),"figurative ছোট")</f>
        <v>figurative ছোট</v>
      </c>
      <c r="Q1543" s="5" t="str">
        <f t="shared" si="1"/>
        <v>১ আগে দেখো</v>
      </c>
    </row>
    <row r="1544">
      <c r="A1544" s="4">
        <v>7141.0</v>
      </c>
      <c r="B1544" s="2" t="s">
        <v>6228</v>
      </c>
      <c r="C1544" s="2" t="s">
        <v>6229</v>
      </c>
      <c r="D1544" s="2" t="s">
        <v>6230</v>
      </c>
      <c r="E1544" s="2" t="s">
        <v>6231</v>
      </c>
      <c r="F1544" s="2" t="b">
        <v>1</v>
      </c>
      <c r="G1544" s="2" t="b">
        <v>0</v>
      </c>
      <c r="H1544" s="2" t="s">
        <v>37</v>
      </c>
      <c r="I1544" s="2" t="s">
        <v>32</v>
      </c>
      <c r="J1544" s="2" t="s">
        <v>6232</v>
      </c>
      <c r="K1544" s="2" t="s">
        <v>495</v>
      </c>
      <c r="L1544" s="13" t="s">
        <v>496</v>
      </c>
      <c r="M1544" s="2" t="s">
        <v>26</v>
      </c>
      <c r="N1544" s="11" t="s">
        <v>576</v>
      </c>
      <c r="O1544" s="12" t="s">
        <v>53</v>
      </c>
      <c r="P1544" s="5" t="str">
        <f>IFERROR(__xludf.DUMMYFUNCTION("TEXTJOIN("" | "",TRUE,IF(OR(D1544="""",E1544="""",I1544="""",J1544="""",H1544=""""),""ফাঁকা ঘর"",""""),IF(AND(C1544&lt;&gt;"""",D1544&lt;&gt;"""",C1544=D1544),""gloss=figurative"",""""),IF(LEN(D1544)&lt;15,""figurative ছোট"",""""),IF(AND(I1544=""Positive"",REGEXMATCH(H1"&amp;"544,""মূর্খ|ভণ্ড|প্রতার|অলস|লোভ|স্বার্থ|অক্ষম|অযোগ্য|বোকা|কৃপণ|হিংস"")),""valence-target অমিল"",""""),IF(COUNTIF($B:$B,B1544)&gt;1,""ডুপ্লিকেট"",""""))"),"figurative ছোট")</f>
        <v>figurative ছোট</v>
      </c>
      <c r="Q1544" s="5" t="str">
        <f t="shared" si="1"/>
        <v>১ আগে দেখো</v>
      </c>
    </row>
    <row r="1545">
      <c r="A1545" s="4">
        <v>7142.0</v>
      </c>
      <c r="B1545" s="2" t="s">
        <v>6233</v>
      </c>
      <c r="C1545" s="2" t="s">
        <v>6234</v>
      </c>
      <c r="D1545" s="2" t="s">
        <v>208</v>
      </c>
      <c r="E1545" s="2" t="s">
        <v>6235</v>
      </c>
      <c r="F1545" s="2" t="b">
        <v>1</v>
      </c>
      <c r="G1545" s="2" t="b">
        <v>0</v>
      </c>
      <c r="H1545" s="2" t="s">
        <v>37</v>
      </c>
      <c r="I1545" s="2" t="s">
        <v>49</v>
      </c>
      <c r="J1545" s="2" t="s">
        <v>208</v>
      </c>
      <c r="K1545" s="2" t="s">
        <v>495</v>
      </c>
      <c r="L1545" s="13" t="s">
        <v>496</v>
      </c>
      <c r="M1545" s="2" t="s">
        <v>26</v>
      </c>
      <c r="N1545" s="11" t="s">
        <v>576</v>
      </c>
      <c r="O1545" s="12" t="s">
        <v>53</v>
      </c>
      <c r="P1545" s="5" t="str">
        <f>IFERROR(__xludf.DUMMYFUNCTION("TEXTJOIN("" | "",TRUE,IF(OR(D1545="""",E1545="""",I1545="""",J1545="""",H1545=""""),""ফাঁকা ঘর"",""""),IF(AND(C1545&lt;&gt;"""",D1545&lt;&gt;"""",C1545=D1545),""gloss=figurative"",""""),IF(LEN(D1545)&lt;15,""figurative ছোট"",""""),IF(AND(I1545=""Positive"",REGEXMATCH(H1"&amp;"545,""মূর্খ|ভণ্ড|প্রতার|অলস|লোভ|স্বার্থ|অক্ষম|অযোগ্য|বোকা|কৃপণ|হিংস"")),""valence-target অমিল"",""""),IF(COUNTIF($B:$B,B1545)&gt;1,""ডুপ্লিকেট"",""""))"),"figurative ছোট")</f>
        <v>figurative ছোট</v>
      </c>
      <c r="Q1545" s="5" t="str">
        <f t="shared" si="1"/>
        <v>১ আগে দেখো</v>
      </c>
    </row>
    <row r="1546">
      <c r="A1546" s="4">
        <v>7144.0</v>
      </c>
      <c r="B1546" s="2" t="s">
        <v>6236</v>
      </c>
      <c r="C1546" s="2" t="s">
        <v>6237</v>
      </c>
      <c r="D1546" s="2" t="s">
        <v>6238</v>
      </c>
      <c r="E1546" s="2" t="s">
        <v>6239</v>
      </c>
      <c r="F1546" s="2" t="b">
        <v>1</v>
      </c>
      <c r="G1546" s="2" t="b">
        <v>0</v>
      </c>
      <c r="H1546" s="2" t="s">
        <v>37</v>
      </c>
      <c r="I1546" s="2" t="s">
        <v>22</v>
      </c>
      <c r="J1546" s="2" t="s">
        <v>6010</v>
      </c>
      <c r="K1546" s="2" t="s">
        <v>495</v>
      </c>
      <c r="L1546" s="13" t="s">
        <v>496</v>
      </c>
      <c r="M1546" s="2" t="s">
        <v>26</v>
      </c>
      <c r="N1546" s="11" t="s">
        <v>576</v>
      </c>
      <c r="O1546" s="12" t="s">
        <v>53</v>
      </c>
      <c r="P1546" s="5" t="str">
        <f>IFERROR(__xludf.DUMMYFUNCTION("TEXTJOIN("" | "",TRUE,IF(OR(D1546="""",E1546="""",I1546="""",J1546="""",H1546=""""),""ফাঁকা ঘর"",""""),IF(AND(C1546&lt;&gt;"""",D1546&lt;&gt;"""",C1546=D1546),""gloss=figurative"",""""),IF(LEN(D1546)&lt;15,""figurative ছোট"",""""),IF(AND(I1546=""Positive"",REGEXMATCH(H1"&amp;"546,""মূর্খ|ভণ্ড|প্রতার|অলস|লোভ|স্বার্থ|অক্ষম|অযোগ্য|বোকা|কৃপণ|হিংস"")),""valence-target অমিল"",""""),IF(COUNTIF($B:$B,B1546)&gt;1,""ডুপ্লিকেট"",""""))"),"figurative ছোট")</f>
        <v>figurative ছোট</v>
      </c>
      <c r="Q1546" s="5" t="str">
        <f t="shared" si="1"/>
        <v>১ আগে দেখো</v>
      </c>
    </row>
    <row r="1547">
      <c r="A1547" s="4">
        <v>7146.0</v>
      </c>
      <c r="B1547" s="2" t="s">
        <v>6240</v>
      </c>
      <c r="C1547" s="2" t="s">
        <v>6241</v>
      </c>
      <c r="D1547" s="2" t="s">
        <v>1111</v>
      </c>
      <c r="E1547" s="2" t="s">
        <v>6242</v>
      </c>
      <c r="F1547" s="2" t="b">
        <v>1</v>
      </c>
      <c r="G1547" s="2" t="b">
        <v>0</v>
      </c>
      <c r="H1547" s="2" t="s">
        <v>37</v>
      </c>
      <c r="I1547" s="2" t="s">
        <v>49</v>
      </c>
      <c r="J1547" s="2" t="s">
        <v>1111</v>
      </c>
      <c r="K1547" s="2" t="s">
        <v>495</v>
      </c>
      <c r="L1547" s="13" t="s">
        <v>496</v>
      </c>
      <c r="M1547" s="2" t="s">
        <v>26</v>
      </c>
      <c r="N1547" s="11" t="s">
        <v>576</v>
      </c>
      <c r="O1547" s="12" t="s">
        <v>53</v>
      </c>
      <c r="P1547" s="5" t="str">
        <f>IFERROR(__xludf.DUMMYFUNCTION("TEXTJOIN("" | "",TRUE,IF(OR(D1547="""",E1547="""",I1547="""",J1547="""",H1547=""""),""ফাঁকা ঘর"",""""),IF(AND(C1547&lt;&gt;"""",D1547&lt;&gt;"""",C1547=D1547),""gloss=figurative"",""""),IF(LEN(D1547)&lt;15,""figurative ছোট"",""""),IF(AND(I1547=""Positive"",REGEXMATCH(H1"&amp;"547,""মূর্খ|ভণ্ড|প্রতার|অলস|লোভ|স্বার্থ|অক্ষম|অযোগ্য|বোকা|কৃপণ|হিংস"")),""valence-target অমিল"",""""),IF(COUNTIF($B:$B,B1547)&gt;1,""ডুপ্লিকেট"",""""))"),"figurative ছোট")</f>
        <v>figurative ছোট</v>
      </c>
      <c r="Q1547" s="5" t="str">
        <f t="shared" si="1"/>
        <v>১ আগে দেখো</v>
      </c>
    </row>
    <row r="1548">
      <c r="A1548" s="4">
        <v>7147.0</v>
      </c>
      <c r="B1548" s="2" t="s">
        <v>6243</v>
      </c>
      <c r="C1548" s="2" t="s">
        <v>6243</v>
      </c>
      <c r="D1548" s="2" t="s">
        <v>6244</v>
      </c>
      <c r="E1548" s="2" t="s">
        <v>6245</v>
      </c>
      <c r="F1548" s="2" t="b">
        <v>1</v>
      </c>
      <c r="G1548" s="2" t="b">
        <v>0</v>
      </c>
      <c r="H1548" s="2" t="s">
        <v>37</v>
      </c>
      <c r="I1548" s="2" t="s">
        <v>22</v>
      </c>
      <c r="J1548" s="2" t="s">
        <v>4463</v>
      </c>
      <c r="K1548" s="2" t="s">
        <v>495</v>
      </c>
      <c r="L1548" s="13" t="s">
        <v>496</v>
      </c>
      <c r="M1548" s="2" t="s">
        <v>26</v>
      </c>
      <c r="N1548" s="11" t="s">
        <v>576</v>
      </c>
      <c r="O1548" s="12" t="s">
        <v>53</v>
      </c>
      <c r="P1548" s="5" t="str">
        <f>IFERROR(__xludf.DUMMYFUNCTION("TEXTJOIN("" | "",TRUE,IF(OR(D1548="""",E1548="""",I1548="""",J1548="""",H1548=""""),""ফাঁকা ঘর"",""""),IF(AND(C1548&lt;&gt;"""",D1548&lt;&gt;"""",C1548=D1548),""gloss=figurative"",""""),IF(LEN(D1548)&lt;15,""figurative ছোট"",""""),IF(AND(I1548=""Positive"",REGEXMATCH(H1"&amp;"548,""মূর্খ|ভণ্ড|প্রতার|অলস|লোভ|স্বার্থ|অক্ষম|অযোগ্য|বোকা|কৃপণ|হিংস"")),""valence-target অমিল"",""""),IF(COUNTIF($B:$B,B1548)&gt;1,""ডুপ্লিকেট"",""""))"),"figurative ছোট")</f>
        <v>figurative ছোট</v>
      </c>
      <c r="Q1548" s="5" t="str">
        <f t="shared" si="1"/>
        <v>১ আগে দেখো</v>
      </c>
    </row>
    <row r="1549">
      <c r="A1549" s="4">
        <v>7148.0</v>
      </c>
      <c r="B1549" s="2" t="s">
        <v>6246</v>
      </c>
      <c r="C1549" s="2" t="s">
        <v>6247</v>
      </c>
      <c r="D1549" s="2" t="s">
        <v>6248</v>
      </c>
      <c r="E1549" s="2" t="s">
        <v>6249</v>
      </c>
      <c r="F1549" s="2" t="b">
        <v>1</v>
      </c>
      <c r="G1549" s="2" t="b">
        <v>1</v>
      </c>
      <c r="H1549" s="2" t="s">
        <v>1982</v>
      </c>
      <c r="I1549" s="2" t="s">
        <v>49</v>
      </c>
      <c r="J1549" s="2" t="s">
        <v>3327</v>
      </c>
      <c r="K1549" s="2" t="s">
        <v>495</v>
      </c>
      <c r="L1549" s="13" t="s">
        <v>496</v>
      </c>
      <c r="M1549" s="2" t="s">
        <v>26</v>
      </c>
      <c r="N1549" s="11" t="s">
        <v>576</v>
      </c>
      <c r="O1549" s="12" t="s">
        <v>53</v>
      </c>
      <c r="P1549" s="5" t="str">
        <f>IFERROR(__xludf.DUMMYFUNCTION("TEXTJOIN("" | "",TRUE,IF(OR(D1549="""",E1549="""",I1549="""",J1549="""",H1549=""""),""ফাঁকা ঘর"",""""),IF(AND(C1549&lt;&gt;"""",D1549&lt;&gt;"""",C1549=D1549),""gloss=figurative"",""""),IF(LEN(D1549)&lt;15,""figurative ছোট"",""""),IF(AND(I1549=""Positive"",REGEXMATCH(H1"&amp;"549,""মূর্খ|ভণ্ড|প্রতার|অলস|লোভ|স্বার্থ|অক্ষম|অযোগ্য|বোকা|কৃপণ|হিংস"")),""valence-target অমিল"",""""),IF(COUNTIF($B:$B,B1549)&gt;1,""ডুপ্লিকেট"",""""))"),"figurative ছোট")</f>
        <v>figurative ছোট</v>
      </c>
      <c r="Q1549" s="5" t="str">
        <f t="shared" si="1"/>
        <v>১ আগে দেখো</v>
      </c>
    </row>
    <row r="1550">
      <c r="A1550" s="4">
        <v>7149.0</v>
      </c>
      <c r="B1550" s="2" t="s">
        <v>6250</v>
      </c>
      <c r="C1550" s="2" t="s">
        <v>6251</v>
      </c>
      <c r="D1550" s="2" t="s">
        <v>6252</v>
      </c>
      <c r="E1550" s="2" t="s">
        <v>6253</v>
      </c>
      <c r="F1550" s="2" t="b">
        <v>1</v>
      </c>
      <c r="G1550" s="2" t="b">
        <v>1</v>
      </c>
      <c r="H1550" s="2" t="s">
        <v>4226</v>
      </c>
      <c r="I1550" s="2" t="s">
        <v>49</v>
      </c>
      <c r="J1550" s="2" t="s">
        <v>3327</v>
      </c>
      <c r="K1550" s="2" t="s">
        <v>495</v>
      </c>
      <c r="L1550" s="13" t="s">
        <v>496</v>
      </c>
      <c r="M1550" s="2" t="s">
        <v>26</v>
      </c>
      <c r="N1550" s="11" t="s">
        <v>576</v>
      </c>
      <c r="O1550" s="12" t="s">
        <v>53</v>
      </c>
      <c r="P1550" s="5" t="str">
        <f>IFERROR(__xludf.DUMMYFUNCTION("TEXTJOIN("" | "",TRUE,IF(OR(D1550="""",E1550="""",I1550="""",J1550="""",H1550=""""),""ফাঁকা ঘর"",""""),IF(AND(C1550&lt;&gt;"""",D1550&lt;&gt;"""",C1550=D1550),""gloss=figurative"",""""),IF(LEN(D1550)&lt;15,""figurative ছোট"",""""),IF(AND(I1550=""Positive"",REGEXMATCH(H1"&amp;"550,""মূর্খ|ভণ্ড|প্রতার|অলস|লোভ|স্বার্থ|অক্ষম|অযোগ্য|বোকা|কৃপণ|হিংস"")),""valence-target অমিল"",""""),IF(COUNTIF($B:$B,B1550)&gt;1,""ডুপ্লিকেট"",""""))"),"figurative ছোট")</f>
        <v>figurative ছোট</v>
      </c>
      <c r="Q1550" s="5" t="str">
        <f t="shared" si="1"/>
        <v>১ আগে দেখো</v>
      </c>
    </row>
    <row r="1551">
      <c r="A1551" s="4">
        <v>7152.0</v>
      </c>
      <c r="B1551" s="2" t="s">
        <v>6254</v>
      </c>
      <c r="C1551" s="2" t="s">
        <v>6255</v>
      </c>
      <c r="D1551" s="2" t="s">
        <v>2078</v>
      </c>
      <c r="E1551" s="2" t="s">
        <v>6256</v>
      </c>
      <c r="F1551" s="2" t="b">
        <v>1</v>
      </c>
      <c r="G1551" s="2" t="b">
        <v>0</v>
      </c>
      <c r="H1551" s="2" t="s">
        <v>2078</v>
      </c>
      <c r="I1551" s="2" t="s">
        <v>22</v>
      </c>
      <c r="J1551" s="2" t="s">
        <v>669</v>
      </c>
      <c r="K1551" s="2" t="s">
        <v>495</v>
      </c>
      <c r="L1551" s="13" t="s">
        <v>496</v>
      </c>
      <c r="M1551" s="2" t="s">
        <v>26</v>
      </c>
      <c r="N1551" s="11" t="s">
        <v>576</v>
      </c>
      <c r="O1551" s="12" t="s">
        <v>53</v>
      </c>
      <c r="P1551" s="5" t="str">
        <f>IFERROR(__xludf.DUMMYFUNCTION("TEXTJOIN("" | "",TRUE,IF(OR(D1551="""",E1551="""",I1551="""",J1551="""",H1551=""""),""ফাঁকা ঘর"",""""),IF(AND(C1551&lt;&gt;"""",D1551&lt;&gt;"""",C1551=D1551),""gloss=figurative"",""""),IF(LEN(D1551)&lt;15,""figurative ছোট"",""""),IF(AND(I1551=""Positive"",REGEXMATCH(H1"&amp;"551,""মূর্খ|ভণ্ড|প্রতার|অলস|লোভ|স্বার্থ|অক্ষম|অযোগ্য|বোকা|কৃপণ|হিংস"")),""valence-target অমিল"",""""),IF(COUNTIF($B:$B,B1551)&gt;1,""ডুপ্লিকেট"",""""))"),"figurative ছোট")</f>
        <v>figurative ছোট</v>
      </c>
      <c r="Q1551" s="5" t="str">
        <f t="shared" si="1"/>
        <v>১ আগে দেখো</v>
      </c>
    </row>
    <row r="1552">
      <c r="A1552" s="4">
        <v>7153.0</v>
      </c>
      <c r="B1552" s="2" t="s">
        <v>6257</v>
      </c>
      <c r="C1552" s="2" t="s">
        <v>6257</v>
      </c>
      <c r="D1552" s="2" t="s">
        <v>6258</v>
      </c>
      <c r="E1552" s="2" t="s">
        <v>6259</v>
      </c>
      <c r="F1552" s="2" t="b">
        <v>1</v>
      </c>
      <c r="G1552" s="2" t="b">
        <v>0</v>
      </c>
      <c r="H1552" s="2" t="s">
        <v>2078</v>
      </c>
      <c r="I1552" s="2" t="s">
        <v>22</v>
      </c>
      <c r="J1552" s="2" t="s">
        <v>669</v>
      </c>
      <c r="K1552" s="2" t="s">
        <v>495</v>
      </c>
      <c r="L1552" s="13" t="s">
        <v>496</v>
      </c>
      <c r="M1552" s="2" t="s">
        <v>26</v>
      </c>
      <c r="N1552" s="11" t="s">
        <v>576</v>
      </c>
      <c r="O1552" s="12" t="s">
        <v>53</v>
      </c>
      <c r="P1552" s="5" t="str">
        <f>IFERROR(__xludf.DUMMYFUNCTION("TEXTJOIN("" | "",TRUE,IF(OR(D1552="""",E1552="""",I1552="""",J1552="""",H1552=""""),""ফাঁকা ঘর"",""""),IF(AND(C1552&lt;&gt;"""",D1552&lt;&gt;"""",C1552=D1552),""gloss=figurative"",""""),IF(LEN(D1552)&lt;15,""figurative ছোট"",""""),IF(AND(I1552=""Positive"",REGEXMATCH(H1"&amp;"552,""মূর্খ|ভণ্ড|প্রতার|অলস|লোভ|স্বার্থ|অক্ষম|অযোগ্য|বোকা|কৃপণ|হিংস"")),""valence-target অমিল"",""""),IF(COUNTIF($B:$B,B1552)&gt;1,""ডুপ্লিকেট"",""""))"),"figurative ছোট")</f>
        <v>figurative ছোট</v>
      </c>
      <c r="Q1552" s="5" t="str">
        <f t="shared" si="1"/>
        <v>১ আগে দেখো</v>
      </c>
    </row>
    <row r="1553">
      <c r="A1553" s="4">
        <v>7154.0</v>
      </c>
      <c r="B1553" s="2" t="s">
        <v>6260</v>
      </c>
      <c r="C1553" s="2" t="s">
        <v>6260</v>
      </c>
      <c r="D1553" s="2" t="s">
        <v>6261</v>
      </c>
      <c r="E1553" s="2" t="s">
        <v>6262</v>
      </c>
      <c r="F1553" s="2" t="b">
        <v>1</v>
      </c>
      <c r="G1553" s="2" t="b">
        <v>0</v>
      </c>
      <c r="H1553" s="2" t="s">
        <v>37</v>
      </c>
      <c r="I1553" s="2" t="s">
        <v>22</v>
      </c>
      <c r="J1553" s="2" t="s">
        <v>2490</v>
      </c>
      <c r="K1553" s="2" t="s">
        <v>495</v>
      </c>
      <c r="L1553" s="13" t="s">
        <v>496</v>
      </c>
      <c r="M1553" s="2" t="s">
        <v>26</v>
      </c>
      <c r="N1553" s="11" t="s">
        <v>576</v>
      </c>
      <c r="O1553" s="12" t="s">
        <v>53</v>
      </c>
      <c r="P1553" s="5" t="str">
        <f>IFERROR(__xludf.DUMMYFUNCTION("TEXTJOIN("" | "",TRUE,IF(OR(D1553="""",E1553="""",I1553="""",J1553="""",H1553=""""),""ফাঁকা ঘর"",""""),IF(AND(C1553&lt;&gt;"""",D1553&lt;&gt;"""",C1553=D1553),""gloss=figurative"",""""),IF(LEN(D1553)&lt;15,""figurative ছোট"",""""),IF(AND(I1553=""Positive"",REGEXMATCH(H1"&amp;"553,""মূর্খ|ভণ্ড|প্রতার|অলস|লোভ|স্বার্থ|অক্ষম|অযোগ্য|বোকা|কৃপণ|হিংস"")),""valence-target অমিল"",""""),IF(COUNTIF($B:$B,B1553)&gt;1,""ডুপ্লিকেট"",""""))"),"figurative ছোট")</f>
        <v>figurative ছোট</v>
      </c>
      <c r="Q1553" s="5" t="str">
        <f t="shared" si="1"/>
        <v>১ আগে দেখো</v>
      </c>
    </row>
    <row r="1554">
      <c r="A1554" s="4">
        <v>7155.0</v>
      </c>
      <c r="B1554" s="2" t="s">
        <v>6263</v>
      </c>
      <c r="C1554" s="2" t="s">
        <v>6264</v>
      </c>
      <c r="D1554" s="2" t="s">
        <v>939</v>
      </c>
      <c r="E1554" s="2" t="s">
        <v>6265</v>
      </c>
      <c r="F1554" s="2" t="b">
        <v>1</v>
      </c>
      <c r="G1554" s="2" t="b">
        <v>0</v>
      </c>
      <c r="H1554" s="2" t="s">
        <v>37</v>
      </c>
      <c r="I1554" s="2" t="s">
        <v>49</v>
      </c>
      <c r="J1554" s="2" t="s">
        <v>739</v>
      </c>
      <c r="K1554" s="2" t="s">
        <v>495</v>
      </c>
      <c r="L1554" s="13" t="s">
        <v>496</v>
      </c>
      <c r="M1554" s="2" t="s">
        <v>26</v>
      </c>
      <c r="N1554" s="11" t="s">
        <v>576</v>
      </c>
      <c r="O1554" s="12" t="s">
        <v>53</v>
      </c>
      <c r="P1554" s="5" t="str">
        <f>IFERROR(__xludf.DUMMYFUNCTION("TEXTJOIN("" | "",TRUE,IF(OR(D1554="""",E1554="""",I1554="""",J1554="""",H1554=""""),""ফাঁকা ঘর"",""""),IF(AND(C1554&lt;&gt;"""",D1554&lt;&gt;"""",C1554=D1554),""gloss=figurative"",""""),IF(LEN(D1554)&lt;15,""figurative ছোট"",""""),IF(AND(I1554=""Positive"",REGEXMATCH(H1"&amp;"554,""মূর্খ|ভণ্ড|প্রতার|অলস|লোভ|স্বার্থ|অক্ষম|অযোগ্য|বোকা|কৃপণ|হিংস"")),""valence-target অমিল"",""""),IF(COUNTIF($B:$B,B1554)&gt;1,""ডুপ্লিকেট"",""""))"),"figurative ছোট")</f>
        <v>figurative ছোট</v>
      </c>
      <c r="Q1554" s="5" t="str">
        <f t="shared" si="1"/>
        <v>১ আগে দেখো</v>
      </c>
    </row>
    <row r="1555">
      <c r="A1555" s="4">
        <v>7156.0</v>
      </c>
      <c r="B1555" s="2" t="s">
        <v>6266</v>
      </c>
      <c r="C1555" s="2" t="s">
        <v>6267</v>
      </c>
      <c r="D1555" s="2" t="s">
        <v>6062</v>
      </c>
      <c r="E1555" s="2" t="s">
        <v>6268</v>
      </c>
      <c r="F1555" s="2" t="b">
        <v>1</v>
      </c>
      <c r="G1555" s="2" t="b">
        <v>1</v>
      </c>
      <c r="H1555" s="2" t="s">
        <v>6269</v>
      </c>
      <c r="I1555" s="2" t="s">
        <v>22</v>
      </c>
      <c r="J1555" s="2" t="s">
        <v>739</v>
      </c>
      <c r="K1555" s="2" t="s">
        <v>495</v>
      </c>
      <c r="L1555" s="13" t="s">
        <v>496</v>
      </c>
      <c r="M1555" s="2" t="s">
        <v>26</v>
      </c>
      <c r="N1555" s="11" t="s">
        <v>6270</v>
      </c>
      <c r="O1555" s="12" t="s">
        <v>53</v>
      </c>
      <c r="P1555" s="5" t="str">
        <f>IFERROR(__xludf.DUMMYFUNCTION("TEXTJOIN("" | "",TRUE,IF(OR(D1555="""",E1555="""",I1555="""",J1555="""",H1555=""""),""ফাঁকা ঘর"",""""),IF(AND(C1555&lt;&gt;"""",D1555&lt;&gt;"""",C1555=D1555),""gloss=figurative"",""""),IF(LEN(D1555)&lt;15,""figurative ছোট"",""""),IF(AND(I1555=""Positive"",REGEXMATCH(H1"&amp;"555,""মূর্খ|ভণ্ড|প্রতার|অলস|লোভ|স্বার্থ|অক্ষম|অযোগ্য|বোকা|কৃপণ|হিংস"")),""valence-target অমিল"",""""),IF(COUNTIF($B:$B,B1555)&gt;1,""ডুপ্লিকেট"",""""))"),"figurative ছোট")</f>
        <v>figurative ছোট</v>
      </c>
      <c r="Q1555" s="5" t="str">
        <f t="shared" si="1"/>
        <v>১ আগে দেখো</v>
      </c>
    </row>
    <row r="1556">
      <c r="A1556" s="4">
        <v>7157.0</v>
      </c>
      <c r="B1556" s="2" t="s">
        <v>6271</v>
      </c>
      <c r="C1556" s="2" t="s">
        <v>6272</v>
      </c>
      <c r="D1556" s="2" t="s">
        <v>2448</v>
      </c>
      <c r="E1556" s="2" t="s">
        <v>6273</v>
      </c>
      <c r="F1556" s="2" t="b">
        <v>1</v>
      </c>
      <c r="G1556" s="2" t="b">
        <v>1</v>
      </c>
      <c r="H1556" s="2" t="s">
        <v>6269</v>
      </c>
      <c r="I1556" s="2" t="s">
        <v>22</v>
      </c>
      <c r="J1556" s="2" t="s">
        <v>739</v>
      </c>
      <c r="K1556" s="2" t="s">
        <v>495</v>
      </c>
      <c r="L1556" s="13" t="s">
        <v>496</v>
      </c>
      <c r="M1556" s="2" t="s">
        <v>26</v>
      </c>
      <c r="N1556" s="11" t="s">
        <v>6274</v>
      </c>
      <c r="O1556" s="12" t="s">
        <v>53</v>
      </c>
      <c r="P1556" s="5" t="str">
        <f>IFERROR(__xludf.DUMMYFUNCTION("TEXTJOIN("" | "",TRUE,IF(OR(D1556="""",E1556="""",I1556="""",J1556="""",H1556=""""),""ফাঁকা ঘর"",""""),IF(AND(C1556&lt;&gt;"""",D1556&lt;&gt;"""",C1556=D1556),""gloss=figurative"",""""),IF(LEN(D1556)&lt;15,""figurative ছোট"",""""),IF(AND(I1556=""Positive"",REGEXMATCH(H1"&amp;"556,""মূর্খ|ভণ্ড|প্রতার|অলস|লোভ|স্বার্থ|অক্ষম|অযোগ্য|বোকা|কৃপণ|হিংস"")),""valence-target অমিল"",""""),IF(COUNTIF($B:$B,B1556)&gt;1,""ডুপ্লিকেট"",""""))"),"figurative ছোট")</f>
        <v>figurative ছোট</v>
      </c>
      <c r="Q1556" s="5" t="str">
        <f t="shared" si="1"/>
        <v>১ আগে দেখো</v>
      </c>
    </row>
    <row r="1557">
      <c r="A1557" s="4">
        <v>7158.0</v>
      </c>
      <c r="B1557" s="2" t="s">
        <v>6275</v>
      </c>
      <c r="C1557" s="2" t="s">
        <v>6276</v>
      </c>
      <c r="D1557" s="2" t="s">
        <v>6277</v>
      </c>
      <c r="E1557" s="2" t="s">
        <v>6278</v>
      </c>
      <c r="F1557" s="2" t="b">
        <v>1</v>
      </c>
      <c r="G1557" s="2" t="b">
        <v>0</v>
      </c>
      <c r="H1557" s="2" t="s">
        <v>37</v>
      </c>
      <c r="I1557" s="2" t="s">
        <v>22</v>
      </c>
      <c r="J1557" s="2" t="s">
        <v>739</v>
      </c>
      <c r="K1557" s="2" t="s">
        <v>495</v>
      </c>
      <c r="L1557" s="13" t="s">
        <v>496</v>
      </c>
      <c r="M1557" s="2" t="s">
        <v>26</v>
      </c>
      <c r="N1557" s="11" t="s">
        <v>576</v>
      </c>
      <c r="O1557" s="12" t="s">
        <v>53</v>
      </c>
      <c r="P1557" s="5" t="str">
        <f>IFERROR(__xludf.DUMMYFUNCTION("TEXTJOIN("" | "",TRUE,IF(OR(D1557="""",E1557="""",I1557="""",J1557="""",H1557=""""),""ফাঁকা ঘর"",""""),IF(AND(C1557&lt;&gt;"""",D1557&lt;&gt;"""",C1557=D1557),""gloss=figurative"",""""),IF(LEN(D1557)&lt;15,""figurative ছোট"",""""),IF(AND(I1557=""Positive"",REGEXMATCH(H1"&amp;"557,""মূর্খ|ভণ্ড|প্রতার|অলস|লোভ|স্বার্থ|অক্ষম|অযোগ্য|বোকা|কৃপণ|হিংস"")),""valence-target অমিল"",""""),IF(COUNTIF($B:$B,B1557)&gt;1,""ডুপ্লিকেট"",""""))"),"figurative ছোট")</f>
        <v>figurative ছোট</v>
      </c>
      <c r="Q1557" s="5" t="str">
        <f t="shared" si="1"/>
        <v>১ আগে দেখো</v>
      </c>
    </row>
    <row r="1558">
      <c r="A1558" s="4">
        <v>7159.0</v>
      </c>
      <c r="B1558" s="2" t="s">
        <v>6279</v>
      </c>
      <c r="C1558" s="2" t="s">
        <v>6280</v>
      </c>
      <c r="D1558" s="2" t="s">
        <v>2113</v>
      </c>
      <c r="E1558" s="2" t="s">
        <v>6281</v>
      </c>
      <c r="F1558" s="2" t="b">
        <v>1</v>
      </c>
      <c r="G1558" s="2" t="b">
        <v>0</v>
      </c>
      <c r="H1558" s="2" t="s">
        <v>37</v>
      </c>
      <c r="I1558" s="2" t="s">
        <v>49</v>
      </c>
      <c r="J1558" s="2" t="s">
        <v>2113</v>
      </c>
      <c r="K1558" s="2" t="s">
        <v>495</v>
      </c>
      <c r="L1558" s="13" t="s">
        <v>496</v>
      </c>
      <c r="M1558" s="2" t="s">
        <v>26</v>
      </c>
      <c r="N1558" s="11" t="s">
        <v>576</v>
      </c>
      <c r="O1558" s="12" t="s">
        <v>53</v>
      </c>
      <c r="P1558" s="5" t="str">
        <f>IFERROR(__xludf.DUMMYFUNCTION("TEXTJOIN("" | "",TRUE,IF(OR(D1558="""",E1558="""",I1558="""",J1558="""",H1558=""""),""ফাঁকা ঘর"",""""),IF(AND(C1558&lt;&gt;"""",D1558&lt;&gt;"""",C1558=D1558),""gloss=figurative"",""""),IF(LEN(D1558)&lt;15,""figurative ছোট"",""""),IF(AND(I1558=""Positive"",REGEXMATCH(H1"&amp;"558,""মূর্খ|ভণ্ড|প্রতার|অলস|লোভ|স্বার্থ|অক্ষম|অযোগ্য|বোকা|কৃপণ|হিংস"")),""valence-target অমিল"",""""),IF(COUNTIF($B:$B,B1558)&gt;1,""ডুপ্লিকেট"",""""))"),"figurative ছোট")</f>
        <v>figurative ছোট</v>
      </c>
      <c r="Q1558" s="5" t="str">
        <f t="shared" si="1"/>
        <v>১ আগে দেখো</v>
      </c>
    </row>
    <row r="1559">
      <c r="A1559" s="4">
        <v>7160.0</v>
      </c>
      <c r="B1559" s="2" t="s">
        <v>6282</v>
      </c>
      <c r="C1559" s="2" t="s">
        <v>6283</v>
      </c>
      <c r="D1559" s="2" t="s">
        <v>4374</v>
      </c>
      <c r="E1559" s="2" t="s">
        <v>6284</v>
      </c>
      <c r="F1559" s="2" t="b">
        <v>1</v>
      </c>
      <c r="G1559" s="2" t="b">
        <v>0</v>
      </c>
      <c r="H1559" s="2" t="s">
        <v>37</v>
      </c>
      <c r="I1559" s="2" t="s">
        <v>22</v>
      </c>
      <c r="J1559" s="2" t="s">
        <v>4374</v>
      </c>
      <c r="K1559" s="2" t="s">
        <v>495</v>
      </c>
      <c r="L1559" s="13" t="s">
        <v>496</v>
      </c>
      <c r="M1559" s="2" t="s">
        <v>26</v>
      </c>
      <c r="N1559" s="11" t="s">
        <v>576</v>
      </c>
      <c r="O1559" s="12" t="s">
        <v>53</v>
      </c>
      <c r="P1559" s="5" t="str">
        <f>IFERROR(__xludf.DUMMYFUNCTION("TEXTJOIN("" | "",TRUE,IF(OR(D1559="""",E1559="""",I1559="""",J1559="""",H1559=""""),""ফাঁকা ঘর"",""""),IF(AND(C1559&lt;&gt;"""",D1559&lt;&gt;"""",C1559=D1559),""gloss=figurative"",""""),IF(LEN(D1559)&lt;15,""figurative ছোট"",""""),IF(AND(I1559=""Positive"",REGEXMATCH(H1"&amp;"559,""মূর্খ|ভণ্ড|প্রতার|অলস|লোভ|স্বার্থ|অক্ষম|অযোগ্য|বোকা|কৃপণ|হিংস"")),""valence-target অমিল"",""""),IF(COUNTIF($B:$B,B1559)&gt;1,""ডুপ্লিকেট"",""""))"),"figurative ছোট")</f>
        <v>figurative ছোট</v>
      </c>
      <c r="Q1559" s="5" t="str">
        <f t="shared" si="1"/>
        <v>১ আগে দেখো</v>
      </c>
    </row>
    <row r="1560">
      <c r="A1560" s="4">
        <v>7161.0</v>
      </c>
      <c r="B1560" s="2" t="s">
        <v>6285</v>
      </c>
      <c r="C1560" s="2" t="s">
        <v>6286</v>
      </c>
      <c r="D1560" s="2" t="s">
        <v>739</v>
      </c>
      <c r="E1560" s="2" t="s">
        <v>6287</v>
      </c>
      <c r="F1560" s="2" t="b">
        <v>1</v>
      </c>
      <c r="G1560" s="2" t="b">
        <v>0</v>
      </c>
      <c r="H1560" s="2" t="s">
        <v>37</v>
      </c>
      <c r="I1560" s="2" t="s">
        <v>22</v>
      </c>
      <c r="J1560" s="2" t="s">
        <v>739</v>
      </c>
      <c r="K1560" s="2" t="s">
        <v>495</v>
      </c>
      <c r="L1560" s="13" t="s">
        <v>496</v>
      </c>
      <c r="M1560" s="2" t="s">
        <v>26</v>
      </c>
      <c r="N1560" s="11" t="s">
        <v>576</v>
      </c>
      <c r="O1560" s="12" t="s">
        <v>53</v>
      </c>
      <c r="P1560" s="5" t="str">
        <f>IFERROR(__xludf.DUMMYFUNCTION("TEXTJOIN("" | "",TRUE,IF(OR(D1560="""",E1560="""",I1560="""",J1560="""",H1560=""""),""ফাঁকা ঘর"",""""),IF(AND(C1560&lt;&gt;"""",D1560&lt;&gt;"""",C1560=D1560),""gloss=figurative"",""""),IF(LEN(D1560)&lt;15,""figurative ছোট"",""""),IF(AND(I1560=""Positive"",REGEXMATCH(H1"&amp;"560,""মূর্খ|ভণ্ড|প্রতার|অলস|লোভ|স্বার্থ|অক্ষম|অযোগ্য|বোকা|কৃপণ|হিংস"")),""valence-target অমিল"",""""),IF(COUNTIF($B:$B,B1560)&gt;1,""ডুপ্লিকেট"",""""))"),"figurative ছোট")</f>
        <v>figurative ছোট</v>
      </c>
      <c r="Q1560" s="5" t="str">
        <f t="shared" si="1"/>
        <v>১ আগে দেখো</v>
      </c>
    </row>
    <row r="1561">
      <c r="A1561" s="4">
        <v>7162.0</v>
      </c>
      <c r="B1561" s="2" t="s">
        <v>6288</v>
      </c>
      <c r="C1561" s="2" t="s">
        <v>6288</v>
      </c>
      <c r="D1561" s="2" t="s">
        <v>6289</v>
      </c>
      <c r="E1561" s="2" t="s">
        <v>6290</v>
      </c>
      <c r="F1561" s="2" t="b">
        <v>1</v>
      </c>
      <c r="G1561" s="2" t="b">
        <v>0</v>
      </c>
      <c r="H1561" s="2" t="s">
        <v>37</v>
      </c>
      <c r="I1561" s="2" t="s">
        <v>22</v>
      </c>
      <c r="J1561" s="2" t="s">
        <v>660</v>
      </c>
      <c r="K1561" s="2" t="s">
        <v>495</v>
      </c>
      <c r="L1561" s="13" t="s">
        <v>496</v>
      </c>
      <c r="M1561" s="2" t="s">
        <v>26</v>
      </c>
      <c r="N1561" s="11" t="s">
        <v>576</v>
      </c>
      <c r="O1561" s="12" t="s">
        <v>53</v>
      </c>
      <c r="P1561" s="5" t="str">
        <f>IFERROR(__xludf.DUMMYFUNCTION("TEXTJOIN("" | "",TRUE,IF(OR(D1561="""",E1561="""",I1561="""",J1561="""",H1561=""""),""ফাঁকা ঘর"",""""),IF(AND(C1561&lt;&gt;"""",D1561&lt;&gt;"""",C1561=D1561),""gloss=figurative"",""""),IF(LEN(D1561)&lt;15,""figurative ছোট"",""""),IF(AND(I1561=""Positive"",REGEXMATCH(H1"&amp;"561,""মূর্খ|ভণ্ড|প্রতার|অলস|লোভ|স্বার্থ|অক্ষম|অযোগ্য|বোকা|কৃপণ|হিংস"")),""valence-target অমিল"",""""),IF(COUNTIF($B:$B,B1561)&gt;1,""ডুপ্লিকেট"",""""))"),"figurative ছোট")</f>
        <v>figurative ছোট</v>
      </c>
      <c r="Q1561" s="5" t="str">
        <f t="shared" si="1"/>
        <v>১ আগে দেখো</v>
      </c>
    </row>
    <row r="1562">
      <c r="A1562" s="4">
        <v>7163.0</v>
      </c>
      <c r="B1562" s="2" t="s">
        <v>6291</v>
      </c>
      <c r="C1562" s="2" t="s">
        <v>6291</v>
      </c>
      <c r="D1562" s="2" t="s">
        <v>6292</v>
      </c>
      <c r="E1562" s="2" t="s">
        <v>6293</v>
      </c>
      <c r="F1562" s="2" t="b">
        <v>1</v>
      </c>
      <c r="G1562" s="2" t="b">
        <v>0</v>
      </c>
      <c r="H1562" s="2" t="s">
        <v>37</v>
      </c>
      <c r="I1562" s="2" t="s">
        <v>22</v>
      </c>
      <c r="J1562" s="2" t="s">
        <v>5278</v>
      </c>
      <c r="K1562" s="2" t="s">
        <v>495</v>
      </c>
      <c r="L1562" s="13" t="s">
        <v>496</v>
      </c>
      <c r="M1562" s="2" t="s">
        <v>26</v>
      </c>
      <c r="N1562" s="11" t="s">
        <v>576</v>
      </c>
      <c r="O1562" s="12" t="s">
        <v>53</v>
      </c>
      <c r="P1562" s="5" t="str">
        <f>IFERROR(__xludf.DUMMYFUNCTION("TEXTJOIN("" | "",TRUE,IF(OR(D1562="""",E1562="""",I1562="""",J1562="""",H1562=""""),""ফাঁকা ঘর"",""""),IF(AND(C1562&lt;&gt;"""",D1562&lt;&gt;"""",C1562=D1562),""gloss=figurative"",""""),IF(LEN(D1562)&lt;15,""figurative ছোট"",""""),IF(AND(I1562=""Positive"",REGEXMATCH(H1"&amp;"562,""মূর্খ|ভণ্ড|প্রতার|অলস|লোভ|স্বার্থ|অক্ষম|অযোগ্য|বোকা|কৃপণ|হিংস"")),""valence-target অমিল"",""""),IF(COUNTIF($B:$B,B1562)&gt;1,""ডুপ্লিকেট"",""""))"),"figurative ছোট")</f>
        <v>figurative ছোট</v>
      </c>
      <c r="Q1562" s="5" t="str">
        <f t="shared" si="1"/>
        <v>১ আগে দেখো</v>
      </c>
    </row>
    <row r="1563">
      <c r="A1563" s="4">
        <v>7164.0</v>
      </c>
      <c r="B1563" s="2" t="s">
        <v>6294</v>
      </c>
      <c r="C1563" s="2" t="s">
        <v>6295</v>
      </c>
      <c r="D1563" s="2" t="s">
        <v>3867</v>
      </c>
      <c r="E1563" s="2" t="s">
        <v>6296</v>
      </c>
      <c r="F1563" s="2" t="b">
        <v>1</v>
      </c>
      <c r="G1563" s="2" t="b">
        <v>0</v>
      </c>
      <c r="H1563" s="2" t="s">
        <v>37</v>
      </c>
      <c r="I1563" s="2" t="s">
        <v>22</v>
      </c>
      <c r="J1563" s="2" t="s">
        <v>3869</v>
      </c>
      <c r="K1563" s="2" t="s">
        <v>495</v>
      </c>
      <c r="L1563" s="13" t="s">
        <v>496</v>
      </c>
      <c r="M1563" s="2" t="s">
        <v>26</v>
      </c>
      <c r="N1563" s="11" t="s">
        <v>576</v>
      </c>
      <c r="O1563" s="12" t="s">
        <v>53</v>
      </c>
      <c r="P1563" s="5" t="str">
        <f>IFERROR(__xludf.DUMMYFUNCTION("TEXTJOIN("" | "",TRUE,IF(OR(D1563="""",E1563="""",I1563="""",J1563="""",H1563=""""),""ফাঁকা ঘর"",""""),IF(AND(C1563&lt;&gt;"""",D1563&lt;&gt;"""",C1563=D1563),""gloss=figurative"",""""),IF(LEN(D1563)&lt;15,""figurative ছোট"",""""),IF(AND(I1563=""Positive"",REGEXMATCH(H1"&amp;"563,""মূর্খ|ভণ্ড|প্রতার|অলস|লোভ|স্বার্থ|অক্ষম|অযোগ্য|বোকা|কৃপণ|হিংস"")),""valence-target অমিল"",""""),IF(COUNTIF($B:$B,B1563)&gt;1,""ডুপ্লিকেট"",""""))"),"figurative ছোট")</f>
        <v>figurative ছোট</v>
      </c>
      <c r="Q1563" s="5" t="str">
        <f t="shared" si="1"/>
        <v>১ আগে দেখো</v>
      </c>
    </row>
    <row r="1564">
      <c r="A1564" s="4">
        <v>7165.0</v>
      </c>
      <c r="B1564" s="2" t="s">
        <v>6297</v>
      </c>
      <c r="C1564" s="2" t="s">
        <v>6298</v>
      </c>
      <c r="D1564" s="2" t="s">
        <v>2440</v>
      </c>
      <c r="E1564" s="2" t="s">
        <v>6299</v>
      </c>
      <c r="F1564" s="2" t="b">
        <v>1</v>
      </c>
      <c r="G1564" s="2" t="b">
        <v>0</v>
      </c>
      <c r="H1564" s="2" t="s">
        <v>37</v>
      </c>
      <c r="I1564" s="2" t="s">
        <v>49</v>
      </c>
      <c r="J1564" s="2" t="s">
        <v>2440</v>
      </c>
      <c r="K1564" s="2" t="s">
        <v>495</v>
      </c>
      <c r="L1564" s="13" t="s">
        <v>496</v>
      </c>
      <c r="M1564" s="2" t="s">
        <v>26</v>
      </c>
      <c r="N1564" s="11" t="s">
        <v>6300</v>
      </c>
      <c r="O1564" s="12" t="s">
        <v>53</v>
      </c>
      <c r="P1564" s="5" t="str">
        <f>IFERROR(__xludf.DUMMYFUNCTION("TEXTJOIN("" | "",TRUE,IF(OR(D1564="""",E1564="""",I1564="""",J1564="""",H1564=""""),""ফাঁকা ঘর"",""""),IF(AND(C1564&lt;&gt;"""",D1564&lt;&gt;"""",C1564=D1564),""gloss=figurative"",""""),IF(LEN(D1564)&lt;15,""figurative ছোট"",""""),IF(AND(I1564=""Positive"",REGEXMATCH(H1"&amp;"564,""মূর্খ|ভণ্ড|প্রতার|অলস|লোভ|স্বার্থ|অক্ষম|অযোগ্য|বোকা|কৃপণ|হিংস"")),""valence-target অমিল"",""""),IF(COUNTIF($B:$B,B1564)&gt;1,""ডুপ্লিকেট"",""""))"),"figurative ছোট")</f>
        <v>figurative ছোট</v>
      </c>
      <c r="Q1564" s="5" t="str">
        <f t="shared" si="1"/>
        <v>১ আগে দেখো</v>
      </c>
    </row>
    <row r="1565">
      <c r="A1565" s="4">
        <v>7166.0</v>
      </c>
      <c r="B1565" s="2" t="s">
        <v>6301</v>
      </c>
      <c r="C1565" s="2" t="s">
        <v>6302</v>
      </c>
      <c r="D1565" s="2" t="s">
        <v>6303</v>
      </c>
      <c r="E1565" s="2" t="s">
        <v>6299</v>
      </c>
      <c r="F1565" s="2" t="b">
        <v>1</v>
      </c>
      <c r="G1565" s="2" t="b">
        <v>0</v>
      </c>
      <c r="H1565" s="2" t="s">
        <v>37</v>
      </c>
      <c r="I1565" s="2" t="s">
        <v>49</v>
      </c>
      <c r="J1565" s="2" t="s">
        <v>2440</v>
      </c>
      <c r="K1565" s="2" t="s">
        <v>495</v>
      </c>
      <c r="L1565" s="13" t="s">
        <v>496</v>
      </c>
      <c r="M1565" s="2" t="s">
        <v>26</v>
      </c>
      <c r="N1565" s="11" t="s">
        <v>6304</v>
      </c>
      <c r="O1565" s="12" t="s">
        <v>53</v>
      </c>
      <c r="P1565" s="5" t="str">
        <f>IFERROR(__xludf.DUMMYFUNCTION("TEXTJOIN("" | "",TRUE,IF(OR(D1565="""",E1565="""",I1565="""",J1565="""",H1565=""""),""ফাঁকা ঘর"",""""),IF(AND(C1565&lt;&gt;"""",D1565&lt;&gt;"""",C1565=D1565),""gloss=figurative"",""""),IF(LEN(D1565)&lt;15,""figurative ছোট"",""""),IF(AND(I1565=""Positive"",REGEXMATCH(H1"&amp;"565,""মূর্খ|ভণ্ড|প্রতার|অলস|লোভ|স্বার্থ|অক্ষম|অযোগ্য|বোকা|কৃপণ|হিংস"")),""valence-target অমিল"",""""),IF(COUNTIF($B:$B,B1565)&gt;1,""ডুপ্লিকেট"",""""))"),"figurative ছোট")</f>
        <v>figurative ছোট</v>
      </c>
      <c r="Q1565" s="5" t="str">
        <f t="shared" si="1"/>
        <v>১ আগে দেখো</v>
      </c>
    </row>
    <row r="1566">
      <c r="A1566" s="4">
        <v>7169.0</v>
      </c>
      <c r="B1566" s="2" t="s">
        <v>6305</v>
      </c>
      <c r="C1566" s="2" t="s">
        <v>6306</v>
      </c>
      <c r="D1566" s="2" t="s">
        <v>6307</v>
      </c>
      <c r="E1566" s="2" t="s">
        <v>6308</v>
      </c>
      <c r="F1566" s="2" t="b">
        <v>1</v>
      </c>
      <c r="G1566" s="2" t="b">
        <v>0</v>
      </c>
      <c r="H1566" s="2" t="s">
        <v>37</v>
      </c>
      <c r="I1566" s="2" t="s">
        <v>22</v>
      </c>
      <c r="J1566" s="2" t="s">
        <v>1686</v>
      </c>
      <c r="K1566" s="2" t="s">
        <v>495</v>
      </c>
      <c r="L1566" s="13" t="s">
        <v>496</v>
      </c>
      <c r="M1566" s="2" t="s">
        <v>26</v>
      </c>
      <c r="N1566" s="11" t="s">
        <v>576</v>
      </c>
      <c r="O1566" s="12" t="s">
        <v>53</v>
      </c>
      <c r="P1566" s="5" t="str">
        <f>IFERROR(__xludf.DUMMYFUNCTION("TEXTJOIN("" | "",TRUE,IF(OR(D1566="""",E1566="""",I1566="""",J1566="""",H1566=""""),""ফাঁকা ঘর"",""""),IF(AND(C1566&lt;&gt;"""",D1566&lt;&gt;"""",C1566=D1566),""gloss=figurative"",""""),IF(LEN(D1566)&lt;15,""figurative ছোট"",""""),IF(AND(I1566=""Positive"",REGEXMATCH(H1"&amp;"566,""মূর্খ|ভণ্ড|প্রতার|অলস|লোভ|স্বার্থ|অক্ষম|অযোগ্য|বোকা|কৃপণ|হিংস"")),""valence-target অমিল"",""""),IF(COUNTIF($B:$B,B1566)&gt;1,""ডুপ্লিকেট"",""""))"),"figurative ছোট")</f>
        <v>figurative ছোট</v>
      </c>
      <c r="Q1566" s="5" t="str">
        <f t="shared" si="1"/>
        <v>১ আগে দেখো</v>
      </c>
    </row>
    <row r="1567">
      <c r="A1567" s="4">
        <v>7170.0</v>
      </c>
      <c r="B1567" s="2" t="s">
        <v>6309</v>
      </c>
      <c r="C1567" s="2" t="s">
        <v>6310</v>
      </c>
      <c r="D1567" s="2" t="s">
        <v>6311</v>
      </c>
      <c r="E1567" s="2" t="s">
        <v>6312</v>
      </c>
      <c r="F1567" s="2" t="b">
        <v>1</v>
      </c>
      <c r="G1567" s="2" t="b">
        <v>0</v>
      </c>
      <c r="H1567" s="2" t="s">
        <v>37</v>
      </c>
      <c r="I1567" s="2" t="s">
        <v>22</v>
      </c>
      <c r="J1567" s="2" t="s">
        <v>616</v>
      </c>
      <c r="K1567" s="2" t="s">
        <v>495</v>
      </c>
      <c r="L1567" s="13" t="s">
        <v>496</v>
      </c>
      <c r="M1567" s="2" t="s">
        <v>26</v>
      </c>
      <c r="N1567" s="11" t="s">
        <v>576</v>
      </c>
      <c r="O1567" s="12" t="s">
        <v>53</v>
      </c>
      <c r="P1567" s="5" t="str">
        <f>IFERROR(__xludf.DUMMYFUNCTION("TEXTJOIN("" | "",TRUE,IF(OR(D1567="""",E1567="""",I1567="""",J1567="""",H1567=""""),""ফাঁকা ঘর"",""""),IF(AND(C1567&lt;&gt;"""",D1567&lt;&gt;"""",C1567=D1567),""gloss=figurative"",""""),IF(LEN(D1567)&lt;15,""figurative ছোট"",""""),IF(AND(I1567=""Positive"",REGEXMATCH(H1"&amp;"567,""মূর্খ|ভণ্ড|প্রতার|অলস|লোভ|স্বার্থ|অক্ষম|অযোগ্য|বোকা|কৃপণ|হিংস"")),""valence-target অমিল"",""""),IF(COUNTIF($B:$B,B1567)&gt;1,""ডুপ্লিকেট"",""""))"),"figurative ছোট")</f>
        <v>figurative ছোট</v>
      </c>
      <c r="Q1567" s="5" t="str">
        <f t="shared" si="1"/>
        <v>১ আগে দেখো</v>
      </c>
    </row>
    <row r="1568">
      <c r="A1568" s="4">
        <v>7173.0</v>
      </c>
      <c r="B1568" s="2" t="s">
        <v>6313</v>
      </c>
      <c r="C1568" s="2" t="s">
        <v>6314</v>
      </c>
      <c r="D1568" s="2" t="s">
        <v>739</v>
      </c>
      <c r="E1568" s="2" t="s">
        <v>6315</v>
      </c>
      <c r="F1568" s="2" t="b">
        <v>1</v>
      </c>
      <c r="G1568" s="2" t="b">
        <v>0</v>
      </c>
      <c r="H1568" s="2" t="s">
        <v>37</v>
      </c>
      <c r="I1568" s="2" t="s">
        <v>32</v>
      </c>
      <c r="J1568" s="2" t="s">
        <v>739</v>
      </c>
      <c r="K1568" s="2" t="s">
        <v>495</v>
      </c>
      <c r="L1568" s="13" t="s">
        <v>496</v>
      </c>
      <c r="M1568" s="2" t="s">
        <v>26</v>
      </c>
      <c r="N1568" s="11" t="s">
        <v>576</v>
      </c>
      <c r="O1568" s="12" t="s">
        <v>53</v>
      </c>
      <c r="P1568" s="5" t="str">
        <f>IFERROR(__xludf.DUMMYFUNCTION("TEXTJOIN("" | "",TRUE,IF(OR(D1568="""",E1568="""",I1568="""",J1568="""",H1568=""""),""ফাঁকা ঘর"",""""),IF(AND(C1568&lt;&gt;"""",D1568&lt;&gt;"""",C1568=D1568),""gloss=figurative"",""""),IF(LEN(D1568)&lt;15,""figurative ছোট"",""""),IF(AND(I1568=""Positive"",REGEXMATCH(H1"&amp;"568,""মূর্খ|ভণ্ড|প্রতার|অলস|লোভ|স্বার্থ|অক্ষম|অযোগ্য|বোকা|কৃপণ|হিংস"")),""valence-target অমিল"",""""),IF(COUNTIF($B:$B,B1568)&gt;1,""ডুপ্লিকেট"",""""))"),"figurative ছোট")</f>
        <v>figurative ছোট</v>
      </c>
      <c r="Q1568" s="5" t="str">
        <f t="shared" si="1"/>
        <v>১ আগে দেখো</v>
      </c>
    </row>
    <row r="1569">
      <c r="A1569" s="4">
        <v>7175.0</v>
      </c>
      <c r="B1569" s="2" t="s">
        <v>6316</v>
      </c>
      <c r="C1569" s="2" t="s">
        <v>6317</v>
      </c>
      <c r="D1569" s="2" t="s">
        <v>6318</v>
      </c>
      <c r="E1569" s="2" t="s">
        <v>6319</v>
      </c>
      <c r="F1569" s="2" t="b">
        <v>1</v>
      </c>
      <c r="G1569" s="2" t="b">
        <v>0</v>
      </c>
      <c r="H1569" s="2" t="s">
        <v>37</v>
      </c>
      <c r="I1569" s="2" t="s">
        <v>22</v>
      </c>
      <c r="J1569" s="2" t="s">
        <v>447</v>
      </c>
      <c r="K1569" s="2" t="s">
        <v>495</v>
      </c>
      <c r="L1569" s="13" t="s">
        <v>496</v>
      </c>
      <c r="M1569" s="2" t="s">
        <v>26</v>
      </c>
      <c r="N1569" s="11" t="s">
        <v>576</v>
      </c>
      <c r="O1569" s="12" t="s">
        <v>53</v>
      </c>
      <c r="P1569" s="5" t="str">
        <f>IFERROR(__xludf.DUMMYFUNCTION("TEXTJOIN("" | "",TRUE,IF(OR(D1569="""",E1569="""",I1569="""",J1569="""",H1569=""""),""ফাঁকা ঘর"",""""),IF(AND(C1569&lt;&gt;"""",D1569&lt;&gt;"""",C1569=D1569),""gloss=figurative"",""""),IF(LEN(D1569)&lt;15,""figurative ছোট"",""""),IF(AND(I1569=""Positive"",REGEXMATCH(H1"&amp;"569,""মূর্খ|ভণ্ড|প্রতার|অলস|লোভ|স্বার্থ|অক্ষম|অযোগ্য|বোকা|কৃপণ|হিংস"")),""valence-target অমিল"",""""),IF(COUNTIF($B:$B,B1569)&gt;1,""ডুপ্লিকেট"",""""))"),"figurative ছোট")</f>
        <v>figurative ছোট</v>
      </c>
      <c r="Q1569" s="5" t="str">
        <f t="shared" si="1"/>
        <v>১ আগে দেখো</v>
      </c>
    </row>
    <row r="1570">
      <c r="A1570" s="4">
        <v>7176.0</v>
      </c>
      <c r="B1570" s="2" t="s">
        <v>6320</v>
      </c>
      <c r="C1570" s="2" t="s">
        <v>6321</v>
      </c>
      <c r="D1570" s="2" t="s">
        <v>6322</v>
      </c>
      <c r="E1570" s="2" t="s">
        <v>6323</v>
      </c>
      <c r="F1570" s="2" t="b">
        <v>1</v>
      </c>
      <c r="G1570" s="2" t="b">
        <v>0</v>
      </c>
      <c r="H1570" s="2" t="s">
        <v>1985</v>
      </c>
      <c r="I1570" s="2" t="s">
        <v>22</v>
      </c>
      <c r="J1570" s="2" t="s">
        <v>1987</v>
      </c>
      <c r="K1570" s="2" t="s">
        <v>495</v>
      </c>
      <c r="L1570" s="13" t="s">
        <v>496</v>
      </c>
      <c r="M1570" s="2" t="s">
        <v>26</v>
      </c>
      <c r="N1570" s="11" t="s">
        <v>576</v>
      </c>
      <c r="O1570" s="12" t="s">
        <v>53</v>
      </c>
      <c r="P1570" s="5" t="str">
        <f>IFERROR(__xludf.DUMMYFUNCTION("TEXTJOIN("" | "",TRUE,IF(OR(D1570="""",E1570="""",I1570="""",J1570="""",H1570=""""),""ফাঁকা ঘর"",""""),IF(AND(C1570&lt;&gt;"""",D1570&lt;&gt;"""",C1570=D1570),""gloss=figurative"",""""),IF(LEN(D1570)&lt;15,""figurative ছোট"",""""),IF(AND(I1570=""Positive"",REGEXMATCH(H1"&amp;"570,""মূর্খ|ভণ্ড|প্রতার|অলস|লোভ|স্বার্থ|অক্ষম|অযোগ্য|বোকা|কৃপণ|হিংস"")),""valence-target অমিল"",""""),IF(COUNTIF($B:$B,B1570)&gt;1,""ডুপ্লিকেট"",""""))"),"figurative ছোট")</f>
        <v>figurative ছোট</v>
      </c>
      <c r="Q1570" s="5" t="str">
        <f t="shared" si="1"/>
        <v>১ আগে দেখো</v>
      </c>
    </row>
    <row r="1571">
      <c r="A1571" s="4">
        <v>7177.0</v>
      </c>
      <c r="B1571" s="2" t="s">
        <v>6324</v>
      </c>
      <c r="C1571" s="2" t="s">
        <v>6325</v>
      </c>
      <c r="D1571" s="2" t="s">
        <v>6326</v>
      </c>
      <c r="E1571" s="2" t="s">
        <v>6327</v>
      </c>
      <c r="F1571" s="2" t="b">
        <v>1</v>
      </c>
      <c r="G1571" s="2" t="b">
        <v>0</v>
      </c>
      <c r="H1571" s="2" t="s">
        <v>37</v>
      </c>
      <c r="I1571" s="2" t="s">
        <v>22</v>
      </c>
      <c r="J1571" s="2" t="s">
        <v>1925</v>
      </c>
      <c r="K1571" s="2" t="s">
        <v>495</v>
      </c>
      <c r="L1571" s="13" t="s">
        <v>496</v>
      </c>
      <c r="M1571" s="2" t="s">
        <v>26</v>
      </c>
      <c r="N1571" s="11" t="s">
        <v>576</v>
      </c>
      <c r="O1571" s="12" t="s">
        <v>53</v>
      </c>
      <c r="P1571" s="5" t="str">
        <f>IFERROR(__xludf.DUMMYFUNCTION("TEXTJOIN("" | "",TRUE,IF(OR(D1571="""",E1571="""",I1571="""",J1571="""",H1571=""""),""ফাঁকা ঘর"",""""),IF(AND(C1571&lt;&gt;"""",D1571&lt;&gt;"""",C1571=D1571),""gloss=figurative"",""""),IF(LEN(D1571)&lt;15,""figurative ছোট"",""""),IF(AND(I1571=""Positive"",REGEXMATCH(H1"&amp;"571,""মূর্খ|ভণ্ড|প্রতার|অলস|লোভ|স্বার্থ|অক্ষম|অযোগ্য|বোকা|কৃপণ|হিংস"")),""valence-target অমিল"",""""),IF(COUNTIF($B:$B,B1571)&gt;1,""ডুপ্লিকেট"",""""))"),"figurative ছোট")</f>
        <v>figurative ছোট</v>
      </c>
      <c r="Q1571" s="5" t="str">
        <f t="shared" si="1"/>
        <v>১ আগে দেখো</v>
      </c>
    </row>
    <row r="1572">
      <c r="A1572" s="4">
        <v>7178.0</v>
      </c>
      <c r="B1572" s="2" t="s">
        <v>6328</v>
      </c>
      <c r="C1572" s="2" t="s">
        <v>6329</v>
      </c>
      <c r="D1572" s="2" t="s">
        <v>6330</v>
      </c>
      <c r="E1572" s="2" t="s">
        <v>6331</v>
      </c>
      <c r="F1572" s="2" t="b">
        <v>1</v>
      </c>
      <c r="G1572" s="2" t="b">
        <v>0</v>
      </c>
      <c r="H1572" s="2" t="s">
        <v>37</v>
      </c>
      <c r="I1572" s="2" t="s">
        <v>49</v>
      </c>
      <c r="J1572" s="2" t="s">
        <v>729</v>
      </c>
      <c r="K1572" s="2" t="s">
        <v>495</v>
      </c>
      <c r="L1572" s="13" t="s">
        <v>496</v>
      </c>
      <c r="M1572" s="2" t="s">
        <v>26</v>
      </c>
      <c r="N1572" s="11" t="s">
        <v>6332</v>
      </c>
      <c r="O1572" s="12" t="s">
        <v>53</v>
      </c>
      <c r="P1572" s="5" t="str">
        <f>IFERROR(__xludf.DUMMYFUNCTION("TEXTJOIN("" | "",TRUE,IF(OR(D1572="""",E1572="""",I1572="""",J1572="""",H1572=""""),""ফাঁকা ঘর"",""""),IF(AND(C1572&lt;&gt;"""",D1572&lt;&gt;"""",C1572=D1572),""gloss=figurative"",""""),IF(LEN(D1572)&lt;15,""figurative ছোট"",""""),IF(AND(I1572=""Positive"",REGEXMATCH(H1"&amp;"572,""মূর্খ|ভণ্ড|প্রতার|অলস|লোভ|স্বার্থ|অক্ষম|অযোগ্য|বোকা|কৃপণ|হিংস"")),""valence-target অমিল"",""""),IF(COUNTIF($B:$B,B1572)&gt;1,""ডুপ্লিকেট"",""""))"),"figurative ছোট")</f>
        <v>figurative ছোট</v>
      </c>
      <c r="Q1572" s="5" t="str">
        <f t="shared" si="1"/>
        <v>১ আগে দেখো</v>
      </c>
    </row>
    <row r="1573">
      <c r="A1573" s="4">
        <v>7179.0</v>
      </c>
      <c r="B1573" s="2" t="s">
        <v>6333</v>
      </c>
      <c r="C1573" s="2" t="s">
        <v>6333</v>
      </c>
      <c r="D1573" s="2" t="s">
        <v>739</v>
      </c>
      <c r="E1573" s="2" t="s">
        <v>6334</v>
      </c>
      <c r="F1573" s="2" t="b">
        <v>1</v>
      </c>
      <c r="G1573" s="2" t="b">
        <v>0</v>
      </c>
      <c r="H1573" s="2" t="s">
        <v>37</v>
      </c>
      <c r="I1573" s="2" t="s">
        <v>32</v>
      </c>
      <c r="J1573" s="2" t="s">
        <v>739</v>
      </c>
      <c r="K1573" s="2" t="s">
        <v>495</v>
      </c>
      <c r="L1573" s="13" t="s">
        <v>496</v>
      </c>
      <c r="M1573" s="2" t="s">
        <v>26</v>
      </c>
      <c r="N1573" s="11" t="s">
        <v>576</v>
      </c>
      <c r="O1573" s="12" t="s">
        <v>53</v>
      </c>
      <c r="P1573" s="5" t="str">
        <f>IFERROR(__xludf.DUMMYFUNCTION("TEXTJOIN("" | "",TRUE,IF(OR(D1573="""",E1573="""",I1573="""",J1573="""",H1573=""""),""ফাঁকা ঘর"",""""),IF(AND(C1573&lt;&gt;"""",D1573&lt;&gt;"""",C1573=D1573),""gloss=figurative"",""""),IF(LEN(D1573)&lt;15,""figurative ছোট"",""""),IF(AND(I1573=""Positive"",REGEXMATCH(H1"&amp;"573,""মূর্খ|ভণ্ড|প্রতার|অলস|লোভ|স্বার্থ|অক্ষম|অযোগ্য|বোকা|কৃপণ|হিংস"")),""valence-target অমিল"",""""),IF(COUNTIF($B:$B,B1573)&gt;1,""ডুপ্লিকেট"",""""))"),"figurative ছোট")</f>
        <v>figurative ছোট</v>
      </c>
      <c r="Q1573" s="5" t="str">
        <f t="shared" si="1"/>
        <v>১ আগে দেখো</v>
      </c>
    </row>
    <row r="1574">
      <c r="A1574" s="4">
        <v>7180.0</v>
      </c>
      <c r="B1574" s="2" t="s">
        <v>6335</v>
      </c>
      <c r="C1574" s="2" t="s">
        <v>6336</v>
      </c>
      <c r="D1574" s="2" t="s">
        <v>913</v>
      </c>
      <c r="E1574" s="2" t="s">
        <v>6337</v>
      </c>
      <c r="F1574" s="2" t="b">
        <v>1</v>
      </c>
      <c r="G1574" s="2" t="b">
        <v>0</v>
      </c>
      <c r="H1574" s="2" t="s">
        <v>37</v>
      </c>
      <c r="I1574" s="2" t="s">
        <v>49</v>
      </c>
      <c r="J1574" s="2" t="s">
        <v>913</v>
      </c>
      <c r="K1574" s="2" t="s">
        <v>495</v>
      </c>
      <c r="L1574" s="13" t="s">
        <v>496</v>
      </c>
      <c r="M1574" s="2" t="s">
        <v>26</v>
      </c>
      <c r="N1574" s="11" t="s">
        <v>576</v>
      </c>
      <c r="O1574" s="12" t="s">
        <v>53</v>
      </c>
      <c r="P1574" s="5" t="str">
        <f>IFERROR(__xludf.DUMMYFUNCTION("TEXTJOIN("" | "",TRUE,IF(OR(D1574="""",E1574="""",I1574="""",J1574="""",H1574=""""),""ফাঁকা ঘর"",""""),IF(AND(C1574&lt;&gt;"""",D1574&lt;&gt;"""",C1574=D1574),""gloss=figurative"",""""),IF(LEN(D1574)&lt;15,""figurative ছোট"",""""),IF(AND(I1574=""Positive"",REGEXMATCH(H1"&amp;"574,""মূর্খ|ভণ্ড|প্রতার|অলস|লোভ|স্বার্থ|অক্ষম|অযোগ্য|বোকা|কৃপণ|হিংস"")),""valence-target অমিল"",""""),IF(COUNTIF($B:$B,B1574)&gt;1,""ডুপ্লিকেট"",""""))"),"figurative ছোট")</f>
        <v>figurative ছোট</v>
      </c>
      <c r="Q1574" s="5" t="str">
        <f t="shared" si="1"/>
        <v>১ আগে দেখো</v>
      </c>
    </row>
    <row r="1575">
      <c r="A1575" s="4">
        <v>7181.0</v>
      </c>
      <c r="B1575" s="2" t="s">
        <v>6338</v>
      </c>
      <c r="C1575" s="2" t="s">
        <v>6339</v>
      </c>
      <c r="D1575" s="2" t="s">
        <v>6340</v>
      </c>
      <c r="E1575" s="2" t="s">
        <v>6341</v>
      </c>
      <c r="F1575" s="2" t="b">
        <v>1</v>
      </c>
      <c r="G1575" s="2" t="b">
        <v>0</v>
      </c>
      <c r="H1575" s="2" t="s">
        <v>37</v>
      </c>
      <c r="I1575" s="2" t="s">
        <v>49</v>
      </c>
      <c r="J1575" s="2" t="s">
        <v>708</v>
      </c>
      <c r="K1575" s="2" t="s">
        <v>495</v>
      </c>
      <c r="L1575" s="13" t="s">
        <v>496</v>
      </c>
      <c r="M1575" s="2" t="s">
        <v>26</v>
      </c>
      <c r="N1575" s="11" t="s">
        <v>576</v>
      </c>
      <c r="O1575" s="12" t="s">
        <v>53</v>
      </c>
      <c r="P1575" s="5" t="str">
        <f>IFERROR(__xludf.DUMMYFUNCTION("TEXTJOIN("" | "",TRUE,IF(OR(D1575="""",E1575="""",I1575="""",J1575="""",H1575=""""),""ফাঁকা ঘর"",""""),IF(AND(C1575&lt;&gt;"""",D1575&lt;&gt;"""",C1575=D1575),""gloss=figurative"",""""),IF(LEN(D1575)&lt;15,""figurative ছোট"",""""),IF(AND(I1575=""Positive"",REGEXMATCH(H1"&amp;"575,""মূর্খ|ভণ্ড|প্রতার|অলস|লোভ|স্বার্থ|অক্ষম|অযোগ্য|বোকা|কৃপণ|হিংস"")),""valence-target অমিল"",""""),IF(COUNTIF($B:$B,B1575)&gt;1,""ডুপ্লিকেট"",""""))"),"figurative ছোট")</f>
        <v>figurative ছোট</v>
      </c>
      <c r="Q1575" s="5" t="str">
        <f t="shared" si="1"/>
        <v>১ আগে দেখো</v>
      </c>
    </row>
    <row r="1576">
      <c r="A1576" s="4">
        <v>7182.0</v>
      </c>
      <c r="B1576" s="2" t="s">
        <v>5256</v>
      </c>
      <c r="C1576" s="2" t="s">
        <v>5256</v>
      </c>
      <c r="D1576" s="2" t="s">
        <v>868</v>
      </c>
      <c r="E1576" s="2" t="s">
        <v>5257</v>
      </c>
      <c r="F1576" s="2" t="b">
        <v>1</v>
      </c>
      <c r="G1576" s="2" t="b">
        <v>0</v>
      </c>
      <c r="H1576" s="2" t="s">
        <v>37</v>
      </c>
      <c r="I1576" s="2" t="s">
        <v>22</v>
      </c>
      <c r="J1576" s="2" t="s">
        <v>868</v>
      </c>
      <c r="K1576" s="2" t="s">
        <v>495</v>
      </c>
      <c r="L1576" s="13" t="s">
        <v>496</v>
      </c>
      <c r="M1576" s="2" t="s">
        <v>26</v>
      </c>
      <c r="N1576" s="11" t="s">
        <v>576</v>
      </c>
      <c r="O1576" s="12" t="s">
        <v>53</v>
      </c>
      <c r="P1576" s="5" t="str">
        <f>IFERROR(__xludf.DUMMYFUNCTION("TEXTJOIN("" | "",TRUE,IF(OR(D1576="""",E1576="""",I1576="""",J1576="""",H1576=""""),""ফাঁকা ঘর"",""""),IF(AND(C1576&lt;&gt;"""",D1576&lt;&gt;"""",C1576=D1576),""gloss=figurative"",""""),IF(LEN(D1576)&lt;15,""figurative ছোট"",""""),IF(AND(I1576=""Positive"",REGEXMATCH(H1"&amp;"576,""মূর্খ|ভণ্ড|প্রতার|অলস|লোভ|স্বার্থ|অক্ষম|অযোগ্য|বোকা|কৃপণ|হিংস"")),""valence-target অমিল"",""""),IF(COUNTIF($B:$B,B1576)&gt;1,""ডুপ্লিকেট"",""""))"),"figurative ছোট")</f>
        <v>figurative ছোট</v>
      </c>
      <c r="Q1576" s="5" t="str">
        <f t="shared" si="1"/>
        <v>১ আগে দেখো</v>
      </c>
    </row>
    <row r="1577">
      <c r="A1577" s="4">
        <v>7183.0</v>
      </c>
      <c r="B1577" s="2" t="s">
        <v>6342</v>
      </c>
      <c r="C1577" s="2" t="s">
        <v>6343</v>
      </c>
      <c r="D1577" s="2" t="s">
        <v>6344</v>
      </c>
      <c r="E1577" s="2" t="s">
        <v>6345</v>
      </c>
      <c r="F1577" s="2" t="b">
        <v>1</v>
      </c>
      <c r="G1577" s="2" t="b">
        <v>0</v>
      </c>
      <c r="H1577" s="2" t="s">
        <v>37</v>
      </c>
      <c r="I1577" s="2" t="s">
        <v>49</v>
      </c>
      <c r="J1577" s="2" t="s">
        <v>868</v>
      </c>
      <c r="K1577" s="2" t="s">
        <v>495</v>
      </c>
      <c r="L1577" s="13" t="s">
        <v>496</v>
      </c>
      <c r="M1577" s="2" t="s">
        <v>26</v>
      </c>
      <c r="N1577" s="11" t="s">
        <v>576</v>
      </c>
      <c r="O1577" s="12" t="s">
        <v>53</v>
      </c>
      <c r="P1577" s="5" t="str">
        <f>IFERROR(__xludf.DUMMYFUNCTION("TEXTJOIN("" | "",TRUE,IF(OR(D1577="""",E1577="""",I1577="""",J1577="""",H1577=""""),""ফাঁকা ঘর"",""""),IF(AND(C1577&lt;&gt;"""",D1577&lt;&gt;"""",C1577=D1577),""gloss=figurative"",""""),IF(LEN(D1577)&lt;15,""figurative ছোট"",""""),IF(AND(I1577=""Positive"",REGEXMATCH(H1"&amp;"577,""মূর্খ|ভণ্ড|প্রতার|অলস|লোভ|স্বার্থ|অক্ষম|অযোগ্য|বোকা|কৃপণ|হিংস"")),""valence-target অমিল"",""""),IF(COUNTIF($B:$B,B1577)&gt;1,""ডুপ্লিকেট"",""""))"),"figurative ছোট")</f>
        <v>figurative ছোট</v>
      </c>
      <c r="Q1577" s="5" t="str">
        <f t="shared" si="1"/>
        <v>১ আগে দেখো</v>
      </c>
    </row>
    <row r="1578">
      <c r="A1578" s="4">
        <v>7184.0</v>
      </c>
      <c r="B1578" s="2" t="s">
        <v>6346</v>
      </c>
      <c r="C1578" s="2" t="s">
        <v>6347</v>
      </c>
      <c r="D1578" s="2" t="s">
        <v>1712</v>
      </c>
      <c r="E1578" s="2" t="s">
        <v>6348</v>
      </c>
      <c r="F1578" s="2" t="b">
        <v>1</v>
      </c>
      <c r="G1578" s="2" t="b">
        <v>0</v>
      </c>
      <c r="H1578" s="2" t="s">
        <v>37</v>
      </c>
      <c r="I1578" s="2" t="s">
        <v>22</v>
      </c>
      <c r="J1578" s="2" t="s">
        <v>1712</v>
      </c>
      <c r="K1578" s="2" t="s">
        <v>495</v>
      </c>
      <c r="L1578" s="13" t="s">
        <v>496</v>
      </c>
      <c r="M1578" s="2" t="s">
        <v>26</v>
      </c>
      <c r="N1578" s="11" t="s">
        <v>576</v>
      </c>
      <c r="O1578" s="12" t="s">
        <v>53</v>
      </c>
      <c r="P1578" s="5" t="str">
        <f>IFERROR(__xludf.DUMMYFUNCTION("TEXTJOIN("" | "",TRUE,IF(OR(D1578="""",E1578="""",I1578="""",J1578="""",H1578=""""),""ফাঁকা ঘর"",""""),IF(AND(C1578&lt;&gt;"""",D1578&lt;&gt;"""",C1578=D1578),""gloss=figurative"",""""),IF(LEN(D1578)&lt;15,""figurative ছোট"",""""),IF(AND(I1578=""Positive"",REGEXMATCH(H1"&amp;"578,""মূর্খ|ভণ্ড|প্রতার|অলস|লোভ|স্বার্থ|অক্ষম|অযোগ্য|বোকা|কৃপণ|হিংস"")),""valence-target অমিল"",""""),IF(COUNTIF($B:$B,B1578)&gt;1,""ডুপ্লিকেট"",""""))"),"figurative ছোট")</f>
        <v>figurative ছোট</v>
      </c>
      <c r="Q1578" s="5" t="str">
        <f t="shared" si="1"/>
        <v>১ আগে দেখো</v>
      </c>
    </row>
    <row r="1579">
      <c r="A1579" s="4">
        <v>7186.0</v>
      </c>
      <c r="B1579" s="2" t="s">
        <v>6349</v>
      </c>
      <c r="C1579" s="2" t="s">
        <v>6350</v>
      </c>
      <c r="D1579" s="2" t="s">
        <v>2243</v>
      </c>
      <c r="E1579" s="2" t="s">
        <v>6351</v>
      </c>
      <c r="F1579" s="2" t="b">
        <v>1</v>
      </c>
      <c r="G1579" s="2" t="b">
        <v>0</v>
      </c>
      <c r="H1579" s="2" t="s">
        <v>1334</v>
      </c>
      <c r="I1579" s="2" t="s">
        <v>22</v>
      </c>
      <c r="J1579" s="2" t="s">
        <v>820</v>
      </c>
      <c r="K1579" s="2" t="s">
        <v>495</v>
      </c>
      <c r="L1579" s="13" t="s">
        <v>496</v>
      </c>
      <c r="M1579" s="2" t="s">
        <v>26</v>
      </c>
      <c r="N1579" s="11" t="s">
        <v>6352</v>
      </c>
      <c r="O1579" s="12" t="s">
        <v>53</v>
      </c>
      <c r="P1579" s="5" t="str">
        <f>IFERROR(__xludf.DUMMYFUNCTION("TEXTJOIN("" | "",TRUE,IF(OR(D1579="""",E1579="""",I1579="""",J1579="""",H1579=""""),""ফাঁকা ঘর"",""""),IF(AND(C1579&lt;&gt;"""",D1579&lt;&gt;"""",C1579=D1579),""gloss=figurative"",""""),IF(LEN(D1579)&lt;15,""figurative ছোট"",""""),IF(AND(I1579=""Positive"",REGEXMATCH(H1"&amp;"579,""মূর্খ|ভণ্ড|প্রতার|অলস|লোভ|স্বার্থ|অক্ষম|অযোগ্য|বোকা|কৃপণ|হিংস"")),""valence-target অমিল"",""""),IF(COUNTIF($B:$B,B1579)&gt;1,""ডুপ্লিকেট"",""""))"),"figurative ছোট")</f>
        <v>figurative ছোট</v>
      </c>
      <c r="Q1579" s="5" t="str">
        <f t="shared" si="1"/>
        <v>১ আগে দেখো</v>
      </c>
    </row>
    <row r="1580">
      <c r="A1580" s="4">
        <v>7188.0</v>
      </c>
      <c r="B1580" s="2" t="s">
        <v>6353</v>
      </c>
      <c r="C1580" s="2" t="s">
        <v>6354</v>
      </c>
      <c r="D1580" s="2" t="s">
        <v>1712</v>
      </c>
      <c r="E1580" s="2" t="s">
        <v>6355</v>
      </c>
      <c r="F1580" s="2" t="b">
        <v>1</v>
      </c>
      <c r="G1580" s="2" t="b">
        <v>0</v>
      </c>
      <c r="H1580" s="2" t="s">
        <v>37</v>
      </c>
      <c r="I1580" s="2" t="s">
        <v>22</v>
      </c>
      <c r="J1580" s="2" t="s">
        <v>1712</v>
      </c>
      <c r="K1580" s="2" t="s">
        <v>495</v>
      </c>
      <c r="L1580" s="13" t="s">
        <v>496</v>
      </c>
      <c r="M1580" s="2" t="s">
        <v>26</v>
      </c>
      <c r="N1580" s="11" t="s">
        <v>576</v>
      </c>
      <c r="O1580" s="12" t="s">
        <v>53</v>
      </c>
      <c r="P1580" s="5" t="str">
        <f>IFERROR(__xludf.DUMMYFUNCTION("TEXTJOIN("" | "",TRUE,IF(OR(D1580="""",E1580="""",I1580="""",J1580="""",H1580=""""),""ফাঁকা ঘর"",""""),IF(AND(C1580&lt;&gt;"""",D1580&lt;&gt;"""",C1580=D1580),""gloss=figurative"",""""),IF(LEN(D1580)&lt;15,""figurative ছোট"",""""),IF(AND(I1580=""Positive"",REGEXMATCH(H1"&amp;"580,""মূর্খ|ভণ্ড|প্রতার|অলস|লোভ|স্বার্থ|অক্ষম|অযোগ্য|বোকা|কৃপণ|হিংস"")),""valence-target অমিল"",""""),IF(COUNTIF($B:$B,B1580)&gt;1,""ডুপ্লিকেট"",""""))"),"figurative ছোট")</f>
        <v>figurative ছোট</v>
      </c>
      <c r="Q1580" s="5" t="str">
        <f t="shared" si="1"/>
        <v>১ আগে দেখো</v>
      </c>
    </row>
    <row r="1581">
      <c r="A1581" s="4">
        <v>7189.0</v>
      </c>
      <c r="B1581" s="2" t="s">
        <v>6356</v>
      </c>
      <c r="C1581" s="2" t="s">
        <v>6356</v>
      </c>
      <c r="D1581" s="2" t="s">
        <v>6357</v>
      </c>
      <c r="E1581" s="2" t="s">
        <v>6358</v>
      </c>
      <c r="F1581" s="2" t="b">
        <v>1</v>
      </c>
      <c r="G1581" s="2" t="b">
        <v>0</v>
      </c>
      <c r="H1581" s="2" t="s">
        <v>37</v>
      </c>
      <c r="I1581" s="2" t="s">
        <v>22</v>
      </c>
      <c r="J1581" s="2" t="s">
        <v>1717</v>
      </c>
      <c r="K1581" s="2" t="s">
        <v>495</v>
      </c>
      <c r="L1581" s="13" t="s">
        <v>496</v>
      </c>
      <c r="M1581" s="2" t="s">
        <v>26</v>
      </c>
      <c r="N1581" s="11" t="s">
        <v>576</v>
      </c>
      <c r="O1581" s="12" t="s">
        <v>53</v>
      </c>
      <c r="P1581" s="5" t="str">
        <f>IFERROR(__xludf.DUMMYFUNCTION("TEXTJOIN("" | "",TRUE,IF(OR(D1581="""",E1581="""",I1581="""",J1581="""",H1581=""""),""ফাঁকা ঘর"",""""),IF(AND(C1581&lt;&gt;"""",D1581&lt;&gt;"""",C1581=D1581),""gloss=figurative"",""""),IF(LEN(D1581)&lt;15,""figurative ছোট"",""""),IF(AND(I1581=""Positive"",REGEXMATCH(H1"&amp;"581,""মূর্খ|ভণ্ড|প্রতার|অলস|লোভ|স্বার্থ|অক্ষম|অযোগ্য|বোকা|কৃপণ|হিংস"")),""valence-target অমিল"",""""),IF(COUNTIF($B:$B,B1581)&gt;1,""ডুপ্লিকেট"",""""))"),"figurative ছোট")</f>
        <v>figurative ছোট</v>
      </c>
      <c r="Q1581" s="5" t="str">
        <f t="shared" si="1"/>
        <v>১ আগে দেখো</v>
      </c>
    </row>
    <row r="1582">
      <c r="A1582" s="4">
        <v>7190.0</v>
      </c>
      <c r="B1582" s="2" t="s">
        <v>6359</v>
      </c>
      <c r="C1582" s="2" t="s">
        <v>6360</v>
      </c>
      <c r="D1582" s="2" t="s">
        <v>565</v>
      </c>
      <c r="E1582" s="2" t="s">
        <v>6361</v>
      </c>
      <c r="F1582" s="2" t="b">
        <v>1</v>
      </c>
      <c r="G1582" s="2" t="b">
        <v>0</v>
      </c>
      <c r="H1582" s="2" t="s">
        <v>37</v>
      </c>
      <c r="I1582" s="2" t="s">
        <v>49</v>
      </c>
      <c r="J1582" s="2" t="s">
        <v>565</v>
      </c>
      <c r="K1582" s="2" t="s">
        <v>495</v>
      </c>
      <c r="L1582" s="13" t="s">
        <v>496</v>
      </c>
      <c r="M1582" s="2" t="s">
        <v>26</v>
      </c>
      <c r="N1582" s="11" t="s">
        <v>576</v>
      </c>
      <c r="O1582" s="12" t="s">
        <v>53</v>
      </c>
      <c r="P1582" s="5" t="str">
        <f>IFERROR(__xludf.DUMMYFUNCTION("TEXTJOIN("" | "",TRUE,IF(OR(D1582="""",E1582="""",I1582="""",J1582="""",H1582=""""),""ফাঁকা ঘর"",""""),IF(AND(C1582&lt;&gt;"""",D1582&lt;&gt;"""",C1582=D1582),""gloss=figurative"",""""),IF(LEN(D1582)&lt;15,""figurative ছোট"",""""),IF(AND(I1582=""Positive"",REGEXMATCH(H1"&amp;"582,""মূর্খ|ভণ্ড|প্রতার|অলস|লোভ|স্বার্থ|অক্ষম|অযোগ্য|বোকা|কৃপণ|হিংস"")),""valence-target অমিল"",""""),IF(COUNTIF($B:$B,B1582)&gt;1,""ডুপ্লিকেট"",""""))"),"figurative ছোট")</f>
        <v>figurative ছোট</v>
      </c>
      <c r="Q1582" s="5" t="str">
        <f t="shared" si="1"/>
        <v>১ আগে দেখো</v>
      </c>
    </row>
    <row r="1583">
      <c r="A1583" s="4">
        <v>7191.0</v>
      </c>
      <c r="B1583" s="2" t="s">
        <v>6362</v>
      </c>
      <c r="C1583" s="2" t="s">
        <v>6363</v>
      </c>
      <c r="D1583" s="2" t="s">
        <v>590</v>
      </c>
      <c r="E1583" s="2" t="s">
        <v>6364</v>
      </c>
      <c r="F1583" s="2" t="b">
        <v>1</v>
      </c>
      <c r="G1583" s="2" t="b">
        <v>0</v>
      </c>
      <c r="H1583" s="2" t="s">
        <v>37</v>
      </c>
      <c r="I1583" s="2" t="s">
        <v>22</v>
      </c>
      <c r="J1583" s="2" t="s">
        <v>590</v>
      </c>
      <c r="K1583" s="2" t="s">
        <v>495</v>
      </c>
      <c r="L1583" s="13" t="s">
        <v>496</v>
      </c>
      <c r="M1583" s="2" t="s">
        <v>26</v>
      </c>
      <c r="N1583" s="11" t="s">
        <v>6365</v>
      </c>
      <c r="O1583" s="12" t="s">
        <v>53</v>
      </c>
      <c r="P1583" s="5" t="str">
        <f>IFERROR(__xludf.DUMMYFUNCTION("TEXTJOIN("" | "",TRUE,IF(OR(D1583="""",E1583="""",I1583="""",J1583="""",H1583=""""),""ফাঁকা ঘর"",""""),IF(AND(C1583&lt;&gt;"""",D1583&lt;&gt;"""",C1583=D1583),""gloss=figurative"",""""),IF(LEN(D1583)&lt;15,""figurative ছোট"",""""),IF(AND(I1583=""Positive"",REGEXMATCH(H1"&amp;"583,""মূর্খ|ভণ্ড|প্রতার|অলস|লোভ|স্বার্থ|অক্ষম|অযোগ্য|বোকা|কৃপণ|হিংস"")),""valence-target অমিল"",""""),IF(COUNTIF($B:$B,B1583)&gt;1,""ডুপ্লিকেট"",""""))"),"figurative ছোট")</f>
        <v>figurative ছোট</v>
      </c>
      <c r="Q1583" s="5" t="str">
        <f t="shared" si="1"/>
        <v>১ আগে দেখো</v>
      </c>
    </row>
    <row r="1584">
      <c r="A1584" s="4">
        <v>7192.0</v>
      </c>
      <c r="B1584" s="2" t="s">
        <v>6366</v>
      </c>
      <c r="C1584" s="2" t="s">
        <v>6367</v>
      </c>
      <c r="D1584" s="2" t="s">
        <v>6368</v>
      </c>
      <c r="E1584" s="2" t="s">
        <v>6369</v>
      </c>
      <c r="F1584" s="2" t="b">
        <v>1</v>
      </c>
      <c r="G1584" s="2" t="b">
        <v>0</v>
      </c>
      <c r="H1584" s="2" t="s">
        <v>37</v>
      </c>
      <c r="I1584" s="2" t="s">
        <v>22</v>
      </c>
      <c r="J1584" s="2" t="s">
        <v>590</v>
      </c>
      <c r="K1584" s="2" t="s">
        <v>495</v>
      </c>
      <c r="L1584" s="13" t="s">
        <v>496</v>
      </c>
      <c r="M1584" s="2" t="s">
        <v>26</v>
      </c>
      <c r="N1584" s="11" t="s">
        <v>6370</v>
      </c>
      <c r="O1584" s="12" t="s">
        <v>53</v>
      </c>
      <c r="P1584" s="5" t="str">
        <f>IFERROR(__xludf.DUMMYFUNCTION("TEXTJOIN("" | "",TRUE,IF(OR(D1584="""",E1584="""",I1584="""",J1584="""",H1584=""""),""ফাঁকা ঘর"",""""),IF(AND(C1584&lt;&gt;"""",D1584&lt;&gt;"""",C1584=D1584),""gloss=figurative"",""""),IF(LEN(D1584)&lt;15,""figurative ছোট"",""""),IF(AND(I1584=""Positive"",REGEXMATCH(H1"&amp;"584,""মূর্খ|ভণ্ড|প্রতার|অলস|লোভ|স্বার্থ|অক্ষম|অযোগ্য|বোকা|কৃপণ|হিংস"")),""valence-target অমিল"",""""),IF(COUNTIF($B:$B,B1584)&gt;1,""ডুপ্লিকেট"",""""))"),"figurative ছোট")</f>
        <v>figurative ছোট</v>
      </c>
      <c r="Q1584" s="5" t="str">
        <f t="shared" si="1"/>
        <v>১ আগে দেখো</v>
      </c>
    </row>
    <row r="1585">
      <c r="A1585" s="4">
        <v>7194.0</v>
      </c>
      <c r="B1585" s="2" t="s">
        <v>6371</v>
      </c>
      <c r="C1585" s="2" t="s">
        <v>6372</v>
      </c>
      <c r="D1585" s="2" t="s">
        <v>750</v>
      </c>
      <c r="E1585" s="2" t="s">
        <v>6373</v>
      </c>
      <c r="F1585" s="2" t="b">
        <v>1</v>
      </c>
      <c r="G1585" s="2" t="b">
        <v>0</v>
      </c>
      <c r="H1585" s="2" t="s">
        <v>749</v>
      </c>
      <c r="I1585" s="2" t="s">
        <v>22</v>
      </c>
      <c r="J1585" s="2" t="s">
        <v>750</v>
      </c>
      <c r="K1585" s="2" t="s">
        <v>495</v>
      </c>
      <c r="L1585" s="13" t="s">
        <v>496</v>
      </c>
      <c r="M1585" s="2" t="s">
        <v>26</v>
      </c>
      <c r="N1585" s="11" t="s">
        <v>6374</v>
      </c>
      <c r="O1585" s="12" t="s">
        <v>53</v>
      </c>
      <c r="P1585" s="5" t="str">
        <f>IFERROR(__xludf.DUMMYFUNCTION("TEXTJOIN("" | "",TRUE,IF(OR(D1585="""",E1585="""",I1585="""",J1585="""",H1585=""""),""ফাঁকা ঘর"",""""),IF(AND(C1585&lt;&gt;"""",D1585&lt;&gt;"""",C1585=D1585),""gloss=figurative"",""""),IF(LEN(D1585)&lt;15,""figurative ছোট"",""""),IF(AND(I1585=""Positive"",REGEXMATCH(H1"&amp;"585,""মূর্খ|ভণ্ড|প্রতার|অলস|লোভ|স্বার্থ|অক্ষম|অযোগ্য|বোকা|কৃপণ|হিংস"")),""valence-target অমিল"",""""),IF(COUNTIF($B:$B,B1585)&gt;1,""ডুপ্লিকেট"",""""))"),"figurative ছোট")</f>
        <v>figurative ছোট</v>
      </c>
      <c r="Q1585" s="5" t="str">
        <f t="shared" si="1"/>
        <v>১ আগে দেখো</v>
      </c>
    </row>
    <row r="1586">
      <c r="A1586" s="4">
        <v>7195.0</v>
      </c>
      <c r="B1586" s="2" t="s">
        <v>6375</v>
      </c>
      <c r="C1586" s="2" t="s">
        <v>6376</v>
      </c>
      <c r="D1586" s="2" t="s">
        <v>723</v>
      </c>
      <c r="E1586" s="2" t="s">
        <v>6377</v>
      </c>
      <c r="F1586" s="2" t="b">
        <v>1</v>
      </c>
      <c r="G1586" s="2" t="b">
        <v>0</v>
      </c>
      <c r="H1586" s="2" t="s">
        <v>749</v>
      </c>
      <c r="I1586" s="2" t="s">
        <v>22</v>
      </c>
      <c r="J1586" s="2" t="s">
        <v>750</v>
      </c>
      <c r="K1586" s="2" t="s">
        <v>495</v>
      </c>
      <c r="L1586" s="13" t="s">
        <v>496</v>
      </c>
      <c r="M1586" s="2" t="s">
        <v>26</v>
      </c>
      <c r="N1586" s="11" t="s">
        <v>6378</v>
      </c>
      <c r="O1586" s="12" t="s">
        <v>53</v>
      </c>
      <c r="P1586" s="5" t="str">
        <f>IFERROR(__xludf.DUMMYFUNCTION("TEXTJOIN("" | "",TRUE,IF(OR(D1586="""",E1586="""",I1586="""",J1586="""",H1586=""""),""ফাঁকা ঘর"",""""),IF(AND(C1586&lt;&gt;"""",D1586&lt;&gt;"""",C1586=D1586),""gloss=figurative"",""""),IF(LEN(D1586)&lt;15,""figurative ছোট"",""""),IF(AND(I1586=""Positive"",REGEXMATCH(H1"&amp;"586,""মূর্খ|ভণ্ড|প্রতার|অলস|লোভ|স্বার্থ|অক্ষম|অযোগ্য|বোকা|কৃপণ|হিংস"")),""valence-target অমিল"",""""),IF(COUNTIF($B:$B,B1586)&gt;1,""ডুপ্লিকেট"",""""))"),"figurative ছোট")</f>
        <v>figurative ছোট</v>
      </c>
      <c r="Q1586" s="5" t="str">
        <f t="shared" si="1"/>
        <v>১ আগে দেখো</v>
      </c>
    </row>
    <row r="1587">
      <c r="A1587" s="4">
        <v>7196.0</v>
      </c>
      <c r="B1587" s="2" t="s">
        <v>6379</v>
      </c>
      <c r="C1587" s="2" t="s">
        <v>6379</v>
      </c>
      <c r="D1587" s="2" t="s">
        <v>6380</v>
      </c>
      <c r="E1587" s="2" t="s">
        <v>6381</v>
      </c>
      <c r="F1587" s="2" t="b">
        <v>1</v>
      </c>
      <c r="G1587" s="2" t="b">
        <v>0</v>
      </c>
      <c r="H1587" s="2" t="s">
        <v>37</v>
      </c>
      <c r="I1587" s="2" t="s">
        <v>49</v>
      </c>
      <c r="J1587" s="2" t="s">
        <v>1813</v>
      </c>
      <c r="K1587" s="2" t="s">
        <v>495</v>
      </c>
      <c r="L1587" s="13" t="s">
        <v>496</v>
      </c>
      <c r="M1587" s="2" t="s">
        <v>26</v>
      </c>
      <c r="N1587" s="11" t="s">
        <v>576</v>
      </c>
      <c r="O1587" s="12" t="s">
        <v>53</v>
      </c>
      <c r="P1587" s="5" t="str">
        <f>IFERROR(__xludf.DUMMYFUNCTION("TEXTJOIN("" | "",TRUE,IF(OR(D1587="""",E1587="""",I1587="""",J1587="""",H1587=""""),""ফাঁকা ঘর"",""""),IF(AND(C1587&lt;&gt;"""",D1587&lt;&gt;"""",C1587=D1587),""gloss=figurative"",""""),IF(LEN(D1587)&lt;15,""figurative ছোট"",""""),IF(AND(I1587=""Positive"",REGEXMATCH(H1"&amp;"587,""মূর্খ|ভণ্ড|প্রতার|অলস|লোভ|স্বার্থ|অক্ষম|অযোগ্য|বোকা|কৃপণ|হিংস"")),""valence-target অমিল"",""""),IF(COUNTIF($B:$B,B1587)&gt;1,""ডুপ্লিকেট"",""""))"),"figurative ছোট")</f>
        <v>figurative ছোট</v>
      </c>
      <c r="Q1587" s="5" t="str">
        <f t="shared" si="1"/>
        <v>১ আগে দেখো</v>
      </c>
    </row>
    <row r="1588">
      <c r="A1588" s="4">
        <v>7197.0</v>
      </c>
      <c r="B1588" s="2" t="s">
        <v>6382</v>
      </c>
      <c r="C1588" s="2" t="s">
        <v>6383</v>
      </c>
      <c r="D1588" s="2" t="s">
        <v>6384</v>
      </c>
      <c r="E1588" s="2" t="s">
        <v>6385</v>
      </c>
      <c r="F1588" s="2" t="b">
        <v>1</v>
      </c>
      <c r="G1588" s="2" t="b">
        <v>0</v>
      </c>
      <c r="H1588" s="2" t="s">
        <v>37</v>
      </c>
      <c r="I1588" s="2" t="s">
        <v>22</v>
      </c>
      <c r="J1588" s="2" t="s">
        <v>729</v>
      </c>
      <c r="K1588" s="2" t="s">
        <v>495</v>
      </c>
      <c r="L1588" s="13" t="s">
        <v>496</v>
      </c>
      <c r="M1588" s="2" t="s">
        <v>26</v>
      </c>
      <c r="N1588" s="11" t="s">
        <v>576</v>
      </c>
      <c r="O1588" s="12" t="s">
        <v>53</v>
      </c>
      <c r="P1588" s="5" t="str">
        <f>IFERROR(__xludf.DUMMYFUNCTION("TEXTJOIN("" | "",TRUE,IF(OR(D1588="""",E1588="""",I1588="""",J1588="""",H1588=""""),""ফাঁকা ঘর"",""""),IF(AND(C1588&lt;&gt;"""",D1588&lt;&gt;"""",C1588=D1588),""gloss=figurative"",""""),IF(LEN(D1588)&lt;15,""figurative ছোট"",""""),IF(AND(I1588=""Positive"",REGEXMATCH(H1"&amp;"588,""মূর্খ|ভণ্ড|প্রতার|অলস|লোভ|স্বার্থ|অক্ষম|অযোগ্য|বোকা|কৃপণ|হিংস"")),""valence-target অমিল"",""""),IF(COUNTIF($B:$B,B1588)&gt;1,""ডুপ্লিকেট"",""""))"),"figurative ছোট")</f>
        <v>figurative ছোট</v>
      </c>
      <c r="Q1588" s="5" t="str">
        <f t="shared" si="1"/>
        <v>১ আগে দেখো</v>
      </c>
    </row>
    <row r="1589">
      <c r="A1589" s="4">
        <v>7198.0</v>
      </c>
      <c r="B1589" s="2" t="s">
        <v>6386</v>
      </c>
      <c r="C1589" s="2" t="s">
        <v>6387</v>
      </c>
      <c r="D1589" s="2" t="s">
        <v>6388</v>
      </c>
      <c r="E1589" s="2" t="s">
        <v>6389</v>
      </c>
      <c r="F1589" s="2" t="b">
        <v>1</v>
      </c>
      <c r="G1589" s="2" t="b">
        <v>0</v>
      </c>
      <c r="H1589" s="2" t="s">
        <v>37</v>
      </c>
      <c r="I1589" s="2" t="s">
        <v>22</v>
      </c>
      <c r="J1589" s="2" t="s">
        <v>1013</v>
      </c>
      <c r="K1589" s="2" t="s">
        <v>495</v>
      </c>
      <c r="L1589" s="13" t="s">
        <v>496</v>
      </c>
      <c r="M1589" s="2" t="s">
        <v>26</v>
      </c>
      <c r="N1589" s="11" t="s">
        <v>6390</v>
      </c>
      <c r="O1589" s="12" t="s">
        <v>53</v>
      </c>
      <c r="P1589" s="5" t="str">
        <f>IFERROR(__xludf.DUMMYFUNCTION("TEXTJOIN("" | "",TRUE,IF(OR(D1589="""",E1589="""",I1589="""",J1589="""",H1589=""""),""ফাঁকা ঘর"",""""),IF(AND(C1589&lt;&gt;"""",D1589&lt;&gt;"""",C1589=D1589),""gloss=figurative"",""""),IF(LEN(D1589)&lt;15,""figurative ছোট"",""""),IF(AND(I1589=""Positive"",REGEXMATCH(H1"&amp;"589,""মূর্খ|ভণ্ড|প্রতার|অলস|লোভ|স্বার্থ|অক্ষম|অযোগ্য|বোকা|কৃপণ|হিংস"")),""valence-target অমিল"",""""),IF(COUNTIF($B:$B,B1589)&gt;1,""ডুপ্লিকেট"",""""))"),"figurative ছোট")</f>
        <v>figurative ছোট</v>
      </c>
      <c r="Q1589" s="5" t="str">
        <f t="shared" si="1"/>
        <v>১ আগে দেখো</v>
      </c>
    </row>
    <row r="1590">
      <c r="A1590" s="4">
        <v>7199.0</v>
      </c>
      <c r="B1590" s="2" t="s">
        <v>6391</v>
      </c>
      <c r="C1590" s="2" t="s">
        <v>6392</v>
      </c>
      <c r="D1590" s="2" t="s">
        <v>4792</v>
      </c>
      <c r="E1590" s="2" t="s">
        <v>6393</v>
      </c>
      <c r="F1590" s="2" t="b">
        <v>1</v>
      </c>
      <c r="G1590" s="2" t="b">
        <v>0</v>
      </c>
      <c r="H1590" s="2" t="s">
        <v>37</v>
      </c>
      <c r="I1590" s="2" t="s">
        <v>22</v>
      </c>
      <c r="J1590" s="2" t="s">
        <v>1117</v>
      </c>
      <c r="K1590" s="2" t="s">
        <v>495</v>
      </c>
      <c r="L1590" s="13" t="s">
        <v>496</v>
      </c>
      <c r="M1590" s="2" t="s">
        <v>26</v>
      </c>
      <c r="N1590" s="11" t="s">
        <v>6394</v>
      </c>
      <c r="O1590" s="12" t="s">
        <v>53</v>
      </c>
      <c r="P1590" s="5" t="str">
        <f>IFERROR(__xludf.DUMMYFUNCTION("TEXTJOIN("" | "",TRUE,IF(OR(D1590="""",E1590="""",I1590="""",J1590="""",H1590=""""),""ফাঁকা ঘর"",""""),IF(AND(C1590&lt;&gt;"""",D1590&lt;&gt;"""",C1590=D1590),""gloss=figurative"",""""),IF(LEN(D1590)&lt;15,""figurative ছোট"",""""),IF(AND(I1590=""Positive"",REGEXMATCH(H1"&amp;"590,""মূর্খ|ভণ্ড|প্রতার|অলস|লোভ|স্বার্থ|অক্ষম|অযোগ্য|বোকা|কৃপণ|হিংস"")),""valence-target অমিল"",""""),IF(COUNTIF($B:$B,B1590)&gt;1,""ডুপ্লিকেট"",""""))"),"figurative ছোট")</f>
        <v>figurative ছোট</v>
      </c>
      <c r="Q1590" s="5" t="str">
        <f t="shared" si="1"/>
        <v>১ আগে দেখো</v>
      </c>
    </row>
    <row r="1591">
      <c r="A1591" s="4">
        <v>7200.0</v>
      </c>
      <c r="B1591" s="2" t="s">
        <v>6395</v>
      </c>
      <c r="C1591" s="2" t="s">
        <v>6396</v>
      </c>
      <c r="D1591" s="2" t="s">
        <v>6397</v>
      </c>
      <c r="E1591" s="2" t="s">
        <v>6398</v>
      </c>
      <c r="F1591" s="2" t="b">
        <v>1</v>
      </c>
      <c r="G1591" s="2" t="b">
        <v>1</v>
      </c>
      <c r="H1591" s="2" t="s">
        <v>1106</v>
      </c>
      <c r="I1591" s="2" t="s">
        <v>22</v>
      </c>
      <c r="J1591" s="2" t="s">
        <v>750</v>
      </c>
      <c r="K1591" s="2" t="s">
        <v>495</v>
      </c>
      <c r="L1591" s="13" t="s">
        <v>496</v>
      </c>
      <c r="M1591" s="2" t="s">
        <v>26</v>
      </c>
      <c r="N1591" s="11" t="s">
        <v>576</v>
      </c>
      <c r="O1591" s="12" t="s">
        <v>53</v>
      </c>
      <c r="P1591" s="5" t="str">
        <f>IFERROR(__xludf.DUMMYFUNCTION("TEXTJOIN("" | "",TRUE,IF(OR(D1591="""",E1591="""",I1591="""",J1591="""",H1591=""""),""ফাঁকা ঘর"",""""),IF(AND(C1591&lt;&gt;"""",D1591&lt;&gt;"""",C1591=D1591),""gloss=figurative"",""""),IF(LEN(D1591)&lt;15,""figurative ছোট"",""""),IF(AND(I1591=""Positive"",REGEXMATCH(H1"&amp;"591,""মূর্খ|ভণ্ড|প্রতার|অলস|লোভ|স্বার্থ|অক্ষম|অযোগ্য|বোকা|কৃপণ|হিংস"")),""valence-target অমিল"",""""),IF(COUNTIF($B:$B,B1591)&gt;1,""ডুপ্লিকেট"",""""))"),"figurative ছোট")</f>
        <v>figurative ছোট</v>
      </c>
      <c r="Q1591" s="5" t="str">
        <f t="shared" si="1"/>
        <v>১ আগে দেখো</v>
      </c>
    </row>
    <row r="1592">
      <c r="A1592" s="4">
        <v>7201.0</v>
      </c>
      <c r="B1592" s="2" t="s">
        <v>6399</v>
      </c>
      <c r="C1592" s="2" t="s">
        <v>6400</v>
      </c>
      <c r="D1592" s="2" t="s">
        <v>6401</v>
      </c>
      <c r="E1592" s="2" t="s">
        <v>6402</v>
      </c>
      <c r="F1592" s="2" t="b">
        <v>1</v>
      </c>
      <c r="G1592" s="2" t="b">
        <v>1</v>
      </c>
      <c r="H1592" s="2" t="s">
        <v>2173</v>
      </c>
      <c r="I1592" s="2" t="s">
        <v>49</v>
      </c>
      <c r="J1592" s="2" t="s">
        <v>1621</v>
      </c>
      <c r="K1592" s="2" t="s">
        <v>495</v>
      </c>
      <c r="L1592" s="13" t="s">
        <v>496</v>
      </c>
      <c r="M1592" s="2" t="s">
        <v>26</v>
      </c>
      <c r="N1592" s="11" t="s">
        <v>576</v>
      </c>
      <c r="O1592" s="12" t="s">
        <v>53</v>
      </c>
      <c r="P1592" s="5" t="str">
        <f>IFERROR(__xludf.DUMMYFUNCTION("TEXTJOIN("" | "",TRUE,IF(OR(D1592="""",E1592="""",I1592="""",J1592="""",H1592=""""),""ফাঁকা ঘর"",""""),IF(AND(C1592&lt;&gt;"""",D1592&lt;&gt;"""",C1592=D1592),""gloss=figurative"",""""),IF(LEN(D1592)&lt;15,""figurative ছোট"",""""),IF(AND(I1592=""Positive"",REGEXMATCH(H1"&amp;"592,""মূর্খ|ভণ্ড|প্রতার|অলস|লোভ|স্বার্থ|অক্ষম|অযোগ্য|বোকা|কৃপণ|হিংস"")),""valence-target অমিল"",""""),IF(COUNTIF($B:$B,B1592)&gt;1,""ডুপ্লিকেট"",""""))"),"figurative ছোট")</f>
        <v>figurative ছোট</v>
      </c>
      <c r="Q1592" s="5" t="str">
        <f t="shared" si="1"/>
        <v>১ আগে দেখো</v>
      </c>
    </row>
    <row r="1593">
      <c r="A1593" s="4">
        <v>7202.0</v>
      </c>
      <c r="B1593" s="2" t="s">
        <v>6403</v>
      </c>
      <c r="C1593" s="2" t="s">
        <v>6404</v>
      </c>
      <c r="D1593" s="2" t="s">
        <v>742</v>
      </c>
      <c r="E1593" s="2" t="s">
        <v>6405</v>
      </c>
      <c r="F1593" s="2" t="b">
        <v>1</v>
      </c>
      <c r="G1593" s="2" t="b">
        <v>0</v>
      </c>
      <c r="H1593" s="2" t="s">
        <v>989</v>
      </c>
      <c r="I1593" s="2" t="s">
        <v>22</v>
      </c>
      <c r="J1593" s="2" t="s">
        <v>990</v>
      </c>
      <c r="K1593" s="2" t="s">
        <v>495</v>
      </c>
      <c r="L1593" s="13" t="s">
        <v>496</v>
      </c>
      <c r="M1593" s="2" t="s">
        <v>26</v>
      </c>
      <c r="N1593" s="11" t="s">
        <v>576</v>
      </c>
      <c r="O1593" s="12" t="s">
        <v>53</v>
      </c>
      <c r="P1593" s="5" t="str">
        <f>IFERROR(__xludf.DUMMYFUNCTION("TEXTJOIN("" | "",TRUE,IF(OR(D1593="""",E1593="""",I1593="""",J1593="""",H1593=""""),""ফাঁকা ঘর"",""""),IF(AND(C1593&lt;&gt;"""",D1593&lt;&gt;"""",C1593=D1593),""gloss=figurative"",""""),IF(LEN(D1593)&lt;15,""figurative ছোট"",""""),IF(AND(I1593=""Positive"",REGEXMATCH(H1"&amp;"593,""মূর্খ|ভণ্ড|প্রতার|অলস|লোভ|স্বার্থ|অক্ষম|অযোগ্য|বোকা|কৃপণ|হিংস"")),""valence-target অমিল"",""""),IF(COUNTIF($B:$B,B1593)&gt;1,""ডুপ্লিকেট"",""""))"),"figurative ছোট")</f>
        <v>figurative ছোট</v>
      </c>
      <c r="Q1593" s="5" t="str">
        <f t="shared" si="1"/>
        <v>১ আগে দেখো</v>
      </c>
    </row>
    <row r="1594">
      <c r="A1594" s="4">
        <v>7203.0</v>
      </c>
      <c r="B1594" s="2" t="s">
        <v>6406</v>
      </c>
      <c r="C1594" s="2" t="s">
        <v>6406</v>
      </c>
      <c r="D1594" s="2" t="s">
        <v>6407</v>
      </c>
      <c r="E1594" s="2" t="s">
        <v>6408</v>
      </c>
      <c r="F1594" s="2" t="b">
        <v>1</v>
      </c>
      <c r="G1594" s="2" t="b">
        <v>0</v>
      </c>
      <c r="H1594" s="2" t="s">
        <v>37</v>
      </c>
      <c r="I1594" s="2" t="s">
        <v>22</v>
      </c>
      <c r="J1594" s="2" t="s">
        <v>990</v>
      </c>
      <c r="K1594" s="2" t="s">
        <v>495</v>
      </c>
      <c r="L1594" s="13" t="s">
        <v>496</v>
      </c>
      <c r="M1594" s="2" t="s">
        <v>26</v>
      </c>
      <c r="N1594" s="11" t="s">
        <v>576</v>
      </c>
      <c r="O1594" s="12" t="s">
        <v>53</v>
      </c>
      <c r="P1594" s="5" t="str">
        <f>IFERROR(__xludf.DUMMYFUNCTION("TEXTJOIN("" | "",TRUE,IF(OR(D1594="""",E1594="""",I1594="""",J1594="""",H1594=""""),""ফাঁকা ঘর"",""""),IF(AND(C1594&lt;&gt;"""",D1594&lt;&gt;"""",C1594=D1594),""gloss=figurative"",""""),IF(LEN(D1594)&lt;15,""figurative ছোট"",""""),IF(AND(I1594=""Positive"",REGEXMATCH(H1"&amp;"594,""মূর্খ|ভণ্ড|প্রতার|অলস|লোভ|স্বার্থ|অক্ষম|অযোগ্য|বোকা|কৃপণ|হিংস"")),""valence-target অমিল"",""""),IF(COUNTIF($B:$B,B1594)&gt;1,""ডুপ্লিকেট"",""""))"),"figurative ছোট")</f>
        <v>figurative ছোট</v>
      </c>
      <c r="Q1594" s="5" t="str">
        <f t="shared" si="1"/>
        <v>১ আগে দেখো</v>
      </c>
    </row>
    <row r="1595">
      <c r="A1595" s="4">
        <v>7204.0</v>
      </c>
      <c r="B1595" s="2" t="s">
        <v>6409</v>
      </c>
      <c r="C1595" s="2" t="s">
        <v>6410</v>
      </c>
      <c r="D1595" s="2" t="s">
        <v>2160</v>
      </c>
      <c r="E1595" s="2" t="s">
        <v>6411</v>
      </c>
      <c r="F1595" s="2" t="b">
        <v>1</v>
      </c>
      <c r="G1595" s="2" t="b">
        <v>0</v>
      </c>
      <c r="H1595" s="2" t="s">
        <v>37</v>
      </c>
      <c r="I1595" s="2" t="s">
        <v>49</v>
      </c>
      <c r="J1595" s="2" t="s">
        <v>2160</v>
      </c>
      <c r="K1595" s="2" t="s">
        <v>495</v>
      </c>
      <c r="L1595" s="13" t="s">
        <v>496</v>
      </c>
      <c r="M1595" s="2" t="s">
        <v>26</v>
      </c>
      <c r="N1595" s="11" t="s">
        <v>576</v>
      </c>
      <c r="O1595" s="12" t="s">
        <v>53</v>
      </c>
      <c r="P1595" s="5" t="str">
        <f>IFERROR(__xludf.DUMMYFUNCTION("TEXTJOIN("" | "",TRUE,IF(OR(D1595="""",E1595="""",I1595="""",J1595="""",H1595=""""),""ফাঁকা ঘর"",""""),IF(AND(C1595&lt;&gt;"""",D1595&lt;&gt;"""",C1595=D1595),""gloss=figurative"",""""),IF(LEN(D1595)&lt;15,""figurative ছোট"",""""),IF(AND(I1595=""Positive"",REGEXMATCH(H1"&amp;"595,""মূর্খ|ভণ্ড|প্রতার|অলস|লোভ|স্বার্থ|অক্ষম|অযোগ্য|বোকা|কৃপণ|হিংস"")),""valence-target অমিল"",""""),IF(COUNTIF($B:$B,B1595)&gt;1,""ডুপ্লিকেট"",""""))"),"figurative ছোট")</f>
        <v>figurative ছোট</v>
      </c>
      <c r="Q1595" s="5" t="str">
        <f t="shared" si="1"/>
        <v>১ আগে দেখো</v>
      </c>
    </row>
    <row r="1596">
      <c r="A1596" s="4">
        <v>7205.0</v>
      </c>
      <c r="B1596" s="2" t="s">
        <v>6412</v>
      </c>
      <c r="C1596" s="2" t="s">
        <v>6413</v>
      </c>
      <c r="D1596" s="2" t="s">
        <v>750</v>
      </c>
      <c r="E1596" s="2" t="s">
        <v>6414</v>
      </c>
      <c r="F1596" s="2" t="b">
        <v>1</v>
      </c>
      <c r="G1596" s="2" t="b">
        <v>0</v>
      </c>
      <c r="H1596" s="2" t="s">
        <v>749</v>
      </c>
      <c r="I1596" s="2" t="s">
        <v>22</v>
      </c>
      <c r="J1596" s="2" t="s">
        <v>750</v>
      </c>
      <c r="K1596" s="2" t="s">
        <v>495</v>
      </c>
      <c r="L1596" s="13" t="s">
        <v>496</v>
      </c>
      <c r="M1596" s="2" t="s">
        <v>26</v>
      </c>
      <c r="N1596" s="11" t="s">
        <v>576</v>
      </c>
      <c r="O1596" s="12" t="s">
        <v>53</v>
      </c>
      <c r="P1596" s="5" t="str">
        <f>IFERROR(__xludf.DUMMYFUNCTION("TEXTJOIN("" | "",TRUE,IF(OR(D1596="""",E1596="""",I1596="""",J1596="""",H1596=""""),""ফাঁকা ঘর"",""""),IF(AND(C1596&lt;&gt;"""",D1596&lt;&gt;"""",C1596=D1596),""gloss=figurative"",""""),IF(LEN(D1596)&lt;15,""figurative ছোট"",""""),IF(AND(I1596=""Positive"",REGEXMATCH(H1"&amp;"596,""মূর্খ|ভণ্ড|প্রতার|অলস|লোভ|স্বার্থ|অক্ষম|অযোগ্য|বোকা|কৃপণ|হিংস"")),""valence-target অমিল"",""""),IF(COUNTIF($B:$B,B1596)&gt;1,""ডুপ্লিকেট"",""""))"),"figurative ছোট")</f>
        <v>figurative ছোট</v>
      </c>
      <c r="Q1596" s="5" t="str">
        <f t="shared" si="1"/>
        <v>১ আগে দেখো</v>
      </c>
    </row>
    <row r="1597">
      <c r="A1597" s="4">
        <v>7206.0</v>
      </c>
      <c r="B1597" s="2" t="s">
        <v>6415</v>
      </c>
      <c r="C1597" s="2" t="s">
        <v>6416</v>
      </c>
      <c r="D1597" s="2" t="s">
        <v>6417</v>
      </c>
      <c r="E1597" s="2" t="s">
        <v>6418</v>
      </c>
      <c r="F1597" s="2" t="b">
        <v>1</v>
      </c>
      <c r="G1597" s="2" t="b">
        <v>1</v>
      </c>
      <c r="H1597" s="2" t="s">
        <v>3079</v>
      </c>
      <c r="I1597" s="2" t="s">
        <v>22</v>
      </c>
      <c r="J1597" s="2" t="s">
        <v>1315</v>
      </c>
      <c r="K1597" s="2" t="s">
        <v>495</v>
      </c>
      <c r="L1597" s="13" t="s">
        <v>496</v>
      </c>
      <c r="M1597" s="2" t="s">
        <v>26</v>
      </c>
      <c r="N1597" s="11" t="s">
        <v>576</v>
      </c>
      <c r="O1597" s="12" t="s">
        <v>53</v>
      </c>
      <c r="P1597" s="5" t="str">
        <f>IFERROR(__xludf.DUMMYFUNCTION("TEXTJOIN("" | "",TRUE,IF(OR(D1597="""",E1597="""",I1597="""",J1597="""",H1597=""""),""ফাঁকা ঘর"",""""),IF(AND(C1597&lt;&gt;"""",D1597&lt;&gt;"""",C1597=D1597),""gloss=figurative"",""""),IF(LEN(D1597)&lt;15,""figurative ছোট"",""""),IF(AND(I1597=""Positive"",REGEXMATCH(H1"&amp;"597,""মূর্খ|ভণ্ড|প্রতার|অলস|লোভ|স্বার্থ|অক্ষম|অযোগ্য|বোকা|কৃপণ|হিংস"")),""valence-target অমিল"",""""),IF(COUNTIF($B:$B,B1597)&gt;1,""ডুপ্লিকেট"",""""))"),"figurative ছোট")</f>
        <v>figurative ছোট</v>
      </c>
      <c r="Q1597" s="5" t="str">
        <f t="shared" si="1"/>
        <v>১ আগে দেখো</v>
      </c>
    </row>
    <row r="1598">
      <c r="A1598" s="4">
        <v>7208.0</v>
      </c>
      <c r="B1598" s="2" t="s">
        <v>6419</v>
      </c>
      <c r="C1598" s="2" t="s">
        <v>6420</v>
      </c>
      <c r="D1598" s="2" t="s">
        <v>6421</v>
      </c>
      <c r="E1598" s="2" t="s">
        <v>6422</v>
      </c>
      <c r="F1598" s="2" t="b">
        <v>1</v>
      </c>
      <c r="G1598" s="2" t="b">
        <v>0</v>
      </c>
      <c r="H1598" s="2" t="s">
        <v>37</v>
      </c>
      <c r="I1598" s="2" t="s">
        <v>49</v>
      </c>
      <c r="J1598" s="2" t="s">
        <v>1621</v>
      </c>
      <c r="K1598" s="2" t="s">
        <v>495</v>
      </c>
      <c r="L1598" s="13" t="s">
        <v>496</v>
      </c>
      <c r="M1598" s="2" t="s">
        <v>26</v>
      </c>
      <c r="N1598" s="11" t="s">
        <v>576</v>
      </c>
      <c r="O1598" s="12" t="s">
        <v>53</v>
      </c>
      <c r="P1598" s="5" t="str">
        <f>IFERROR(__xludf.DUMMYFUNCTION("TEXTJOIN("" | "",TRUE,IF(OR(D1598="""",E1598="""",I1598="""",J1598="""",H1598=""""),""ফাঁকা ঘর"",""""),IF(AND(C1598&lt;&gt;"""",D1598&lt;&gt;"""",C1598=D1598),""gloss=figurative"",""""),IF(LEN(D1598)&lt;15,""figurative ছোট"",""""),IF(AND(I1598=""Positive"",REGEXMATCH(H1"&amp;"598,""মূর্খ|ভণ্ড|প্রতার|অলস|লোভ|স্বার্থ|অক্ষম|অযোগ্য|বোকা|কৃপণ|হিংস"")),""valence-target অমিল"",""""),IF(COUNTIF($B:$B,B1598)&gt;1,""ডুপ্লিকেট"",""""))"),"figurative ছোট")</f>
        <v>figurative ছোট</v>
      </c>
      <c r="Q1598" s="5" t="str">
        <f t="shared" si="1"/>
        <v>১ আগে দেখো</v>
      </c>
    </row>
    <row r="1599">
      <c r="A1599" s="4">
        <v>7209.0</v>
      </c>
      <c r="B1599" s="2" t="s">
        <v>6423</v>
      </c>
      <c r="C1599" s="2" t="s">
        <v>6424</v>
      </c>
      <c r="D1599" s="2" t="s">
        <v>2160</v>
      </c>
      <c r="E1599" s="2" t="s">
        <v>6425</v>
      </c>
      <c r="F1599" s="2" t="b">
        <v>1</v>
      </c>
      <c r="G1599" s="2" t="b">
        <v>0</v>
      </c>
      <c r="H1599" s="2" t="s">
        <v>37</v>
      </c>
      <c r="I1599" s="2" t="s">
        <v>49</v>
      </c>
      <c r="J1599" s="2" t="s">
        <v>2160</v>
      </c>
      <c r="K1599" s="2" t="s">
        <v>495</v>
      </c>
      <c r="L1599" s="13" t="s">
        <v>496</v>
      </c>
      <c r="M1599" s="2" t="s">
        <v>26</v>
      </c>
      <c r="N1599" s="11" t="s">
        <v>576</v>
      </c>
      <c r="O1599" s="12" t="s">
        <v>53</v>
      </c>
      <c r="P1599" s="5" t="str">
        <f>IFERROR(__xludf.DUMMYFUNCTION("TEXTJOIN("" | "",TRUE,IF(OR(D1599="""",E1599="""",I1599="""",J1599="""",H1599=""""),""ফাঁকা ঘর"",""""),IF(AND(C1599&lt;&gt;"""",D1599&lt;&gt;"""",C1599=D1599),""gloss=figurative"",""""),IF(LEN(D1599)&lt;15,""figurative ছোট"",""""),IF(AND(I1599=""Positive"",REGEXMATCH(H1"&amp;"599,""মূর্খ|ভণ্ড|প্রতার|অলস|লোভ|স্বার্থ|অক্ষম|অযোগ্য|বোকা|কৃপণ|হিংস"")),""valence-target অমিল"",""""),IF(COUNTIF($B:$B,B1599)&gt;1,""ডুপ্লিকেট"",""""))"),"figurative ছোট")</f>
        <v>figurative ছোট</v>
      </c>
      <c r="Q1599" s="5" t="str">
        <f t="shared" si="1"/>
        <v>১ আগে দেখো</v>
      </c>
    </row>
    <row r="1600">
      <c r="A1600" s="4">
        <v>7210.0</v>
      </c>
      <c r="B1600" s="2" t="s">
        <v>6426</v>
      </c>
      <c r="C1600" s="2" t="s">
        <v>6427</v>
      </c>
      <c r="D1600" s="2" t="s">
        <v>190</v>
      </c>
      <c r="E1600" s="2" t="s">
        <v>5836</v>
      </c>
      <c r="F1600" s="2" t="b">
        <v>1</v>
      </c>
      <c r="G1600" s="2" t="b">
        <v>0</v>
      </c>
      <c r="H1600" s="2" t="s">
        <v>37</v>
      </c>
      <c r="I1600" s="2" t="s">
        <v>49</v>
      </c>
      <c r="J1600" s="2" t="s">
        <v>1553</v>
      </c>
      <c r="K1600" s="2" t="s">
        <v>495</v>
      </c>
      <c r="L1600" s="13" t="s">
        <v>496</v>
      </c>
      <c r="M1600" s="2" t="s">
        <v>26</v>
      </c>
      <c r="N1600" s="11" t="s">
        <v>576</v>
      </c>
      <c r="O1600" s="12" t="s">
        <v>53</v>
      </c>
      <c r="P1600" s="5" t="str">
        <f>IFERROR(__xludf.DUMMYFUNCTION("TEXTJOIN("" | "",TRUE,IF(OR(D1600="""",E1600="""",I1600="""",J1600="""",H1600=""""),""ফাঁকা ঘর"",""""),IF(AND(C1600&lt;&gt;"""",D1600&lt;&gt;"""",C1600=D1600),""gloss=figurative"",""""),IF(LEN(D1600)&lt;15,""figurative ছোট"",""""),IF(AND(I1600=""Positive"",REGEXMATCH(H1"&amp;"600,""মূর্খ|ভণ্ড|প্রতার|অলস|লোভ|স্বার্থ|অক্ষম|অযোগ্য|বোকা|কৃপণ|হিংস"")),""valence-target অমিল"",""""),IF(COUNTIF($B:$B,B1600)&gt;1,""ডুপ্লিকেট"",""""))"),"figurative ছোট")</f>
        <v>figurative ছোট</v>
      </c>
      <c r="Q1600" s="5" t="str">
        <f t="shared" si="1"/>
        <v>১ আগে দেখো</v>
      </c>
    </row>
    <row r="1601">
      <c r="A1601" s="4">
        <v>7211.0</v>
      </c>
      <c r="B1601" s="2" t="s">
        <v>6428</v>
      </c>
      <c r="C1601" s="2" t="s">
        <v>6429</v>
      </c>
      <c r="D1601" s="2" t="s">
        <v>3783</v>
      </c>
      <c r="E1601" s="2" t="s">
        <v>6430</v>
      </c>
      <c r="F1601" s="2" t="b">
        <v>1</v>
      </c>
      <c r="G1601" s="2" t="b">
        <v>0</v>
      </c>
      <c r="H1601" s="2" t="s">
        <v>37</v>
      </c>
      <c r="I1601" s="2" t="s">
        <v>32</v>
      </c>
      <c r="J1601" s="2" t="s">
        <v>3783</v>
      </c>
      <c r="K1601" s="2" t="s">
        <v>495</v>
      </c>
      <c r="L1601" s="13" t="s">
        <v>496</v>
      </c>
      <c r="M1601" s="2" t="s">
        <v>26</v>
      </c>
      <c r="N1601" s="11" t="s">
        <v>576</v>
      </c>
      <c r="O1601" s="12" t="s">
        <v>53</v>
      </c>
      <c r="P1601" s="5" t="str">
        <f>IFERROR(__xludf.DUMMYFUNCTION("TEXTJOIN("" | "",TRUE,IF(OR(D1601="""",E1601="""",I1601="""",J1601="""",H1601=""""),""ফাঁকা ঘর"",""""),IF(AND(C1601&lt;&gt;"""",D1601&lt;&gt;"""",C1601=D1601),""gloss=figurative"",""""),IF(LEN(D1601)&lt;15,""figurative ছোট"",""""),IF(AND(I1601=""Positive"",REGEXMATCH(H1"&amp;"601,""মূর্খ|ভণ্ড|প্রতার|অলস|লোভ|স্বার্থ|অক্ষম|অযোগ্য|বোকা|কৃপণ|হিংস"")),""valence-target অমিল"",""""),IF(COUNTIF($B:$B,B1601)&gt;1,""ডুপ্লিকেট"",""""))"),"figurative ছোট")</f>
        <v>figurative ছোট</v>
      </c>
      <c r="Q1601" s="5" t="str">
        <f t="shared" si="1"/>
        <v>১ আগে দেখো</v>
      </c>
    </row>
    <row r="1602">
      <c r="A1602" s="4">
        <v>7212.0</v>
      </c>
      <c r="B1602" s="2" t="s">
        <v>6431</v>
      </c>
      <c r="C1602" s="2" t="s">
        <v>6432</v>
      </c>
      <c r="D1602" s="2" t="s">
        <v>6433</v>
      </c>
      <c r="E1602" s="2" t="s">
        <v>6434</v>
      </c>
      <c r="F1602" s="2" t="b">
        <v>1</v>
      </c>
      <c r="G1602" s="2" t="b">
        <v>0</v>
      </c>
      <c r="H1602" s="2" t="s">
        <v>37</v>
      </c>
      <c r="I1602" s="2" t="s">
        <v>22</v>
      </c>
      <c r="J1602" s="2" t="s">
        <v>2140</v>
      </c>
      <c r="K1602" s="2" t="s">
        <v>495</v>
      </c>
      <c r="L1602" s="13" t="s">
        <v>496</v>
      </c>
      <c r="M1602" s="2" t="s">
        <v>26</v>
      </c>
      <c r="N1602" s="11" t="s">
        <v>576</v>
      </c>
      <c r="O1602" s="12" t="s">
        <v>53</v>
      </c>
      <c r="P1602" s="5" t="str">
        <f>IFERROR(__xludf.DUMMYFUNCTION("TEXTJOIN("" | "",TRUE,IF(OR(D1602="""",E1602="""",I1602="""",J1602="""",H1602=""""),""ফাঁকা ঘর"",""""),IF(AND(C1602&lt;&gt;"""",D1602&lt;&gt;"""",C1602=D1602),""gloss=figurative"",""""),IF(LEN(D1602)&lt;15,""figurative ছোট"",""""),IF(AND(I1602=""Positive"",REGEXMATCH(H1"&amp;"602,""মূর্খ|ভণ্ড|প্রতার|অলস|লোভ|স্বার্থ|অক্ষম|অযোগ্য|বোকা|কৃপণ|হিংস"")),""valence-target অমিল"",""""),IF(COUNTIF($B:$B,B1602)&gt;1,""ডুপ্লিকেট"",""""))"),"figurative ছোট")</f>
        <v>figurative ছোট</v>
      </c>
      <c r="Q1602" s="5" t="str">
        <f t="shared" si="1"/>
        <v>১ আগে দেখো</v>
      </c>
    </row>
    <row r="1603">
      <c r="A1603" s="4">
        <v>7213.0</v>
      </c>
      <c r="B1603" s="2" t="s">
        <v>6435</v>
      </c>
      <c r="C1603" s="2" t="s">
        <v>6436</v>
      </c>
      <c r="D1603" s="2" t="s">
        <v>2869</v>
      </c>
      <c r="E1603" s="2" t="s">
        <v>6437</v>
      </c>
      <c r="F1603" s="2" t="b">
        <v>1</v>
      </c>
      <c r="G1603" s="2" t="b">
        <v>0</v>
      </c>
      <c r="H1603" s="2" t="s">
        <v>37</v>
      </c>
      <c r="I1603" s="2" t="s">
        <v>22</v>
      </c>
      <c r="J1603" s="2" t="s">
        <v>2869</v>
      </c>
      <c r="K1603" s="2" t="s">
        <v>495</v>
      </c>
      <c r="L1603" s="13" t="s">
        <v>496</v>
      </c>
      <c r="M1603" s="2" t="s">
        <v>26</v>
      </c>
      <c r="N1603" s="11" t="s">
        <v>576</v>
      </c>
      <c r="O1603" s="12" t="s">
        <v>53</v>
      </c>
      <c r="P1603" s="5" t="str">
        <f>IFERROR(__xludf.DUMMYFUNCTION("TEXTJOIN("" | "",TRUE,IF(OR(D1603="""",E1603="""",I1603="""",J1603="""",H1603=""""),""ফাঁকা ঘর"",""""),IF(AND(C1603&lt;&gt;"""",D1603&lt;&gt;"""",C1603=D1603),""gloss=figurative"",""""),IF(LEN(D1603)&lt;15,""figurative ছোট"",""""),IF(AND(I1603=""Positive"",REGEXMATCH(H1"&amp;"603,""মূর্খ|ভণ্ড|প্রতার|অলস|লোভ|স্বার্থ|অক্ষম|অযোগ্য|বোকা|কৃপণ|হিংস"")),""valence-target অমিল"",""""),IF(COUNTIF($B:$B,B1603)&gt;1,""ডুপ্লিকেট"",""""))"),"figurative ছোট")</f>
        <v>figurative ছোট</v>
      </c>
      <c r="Q1603" s="5" t="str">
        <f t="shared" si="1"/>
        <v>১ আগে দেখো</v>
      </c>
    </row>
    <row r="1604">
      <c r="A1604" s="4">
        <v>7214.0</v>
      </c>
      <c r="B1604" s="2" t="s">
        <v>6438</v>
      </c>
      <c r="C1604" s="2" t="s">
        <v>6439</v>
      </c>
      <c r="D1604" s="2" t="s">
        <v>6440</v>
      </c>
      <c r="E1604" s="2" t="s">
        <v>6441</v>
      </c>
      <c r="F1604" s="2" t="b">
        <v>1</v>
      </c>
      <c r="G1604" s="2" t="b">
        <v>0</v>
      </c>
      <c r="H1604" s="2" t="s">
        <v>37</v>
      </c>
      <c r="I1604" s="2" t="s">
        <v>22</v>
      </c>
      <c r="J1604" s="2" t="s">
        <v>6442</v>
      </c>
      <c r="K1604" s="2" t="s">
        <v>495</v>
      </c>
      <c r="L1604" s="13" t="s">
        <v>496</v>
      </c>
      <c r="M1604" s="2" t="s">
        <v>26</v>
      </c>
      <c r="N1604" s="11" t="s">
        <v>576</v>
      </c>
      <c r="O1604" s="12" t="s">
        <v>53</v>
      </c>
      <c r="P1604" s="5" t="str">
        <f>IFERROR(__xludf.DUMMYFUNCTION("TEXTJOIN("" | "",TRUE,IF(OR(D1604="""",E1604="""",I1604="""",J1604="""",H1604=""""),""ফাঁকা ঘর"",""""),IF(AND(C1604&lt;&gt;"""",D1604&lt;&gt;"""",C1604=D1604),""gloss=figurative"",""""),IF(LEN(D1604)&lt;15,""figurative ছোট"",""""),IF(AND(I1604=""Positive"",REGEXMATCH(H1"&amp;"604,""মূর্খ|ভণ্ড|প্রতার|অলস|লোভ|স্বার্থ|অক্ষম|অযোগ্য|বোকা|কৃপণ|হিংস"")),""valence-target অমিল"",""""),IF(COUNTIF($B:$B,B1604)&gt;1,""ডুপ্লিকেট"",""""))"),"figurative ছোট")</f>
        <v>figurative ছোট</v>
      </c>
      <c r="Q1604" s="5" t="str">
        <f t="shared" si="1"/>
        <v>১ আগে দেখো</v>
      </c>
    </row>
    <row r="1605">
      <c r="A1605" s="4">
        <v>7215.0</v>
      </c>
      <c r="B1605" s="2" t="s">
        <v>6443</v>
      </c>
      <c r="C1605" s="2" t="s">
        <v>6444</v>
      </c>
      <c r="D1605" s="2" t="s">
        <v>6445</v>
      </c>
      <c r="E1605" s="2" t="s">
        <v>6446</v>
      </c>
      <c r="F1605" s="2" t="b">
        <v>1</v>
      </c>
      <c r="G1605" s="2" t="b">
        <v>0</v>
      </c>
      <c r="H1605" s="2" t="s">
        <v>1612</v>
      </c>
      <c r="I1605" s="2" t="s">
        <v>22</v>
      </c>
      <c r="J1605" s="2" t="s">
        <v>836</v>
      </c>
      <c r="K1605" s="2" t="s">
        <v>495</v>
      </c>
      <c r="L1605" s="13" t="s">
        <v>496</v>
      </c>
      <c r="M1605" s="2" t="s">
        <v>26</v>
      </c>
      <c r="N1605" s="11" t="s">
        <v>6447</v>
      </c>
      <c r="O1605" s="12" t="s">
        <v>53</v>
      </c>
      <c r="P1605" s="5" t="str">
        <f>IFERROR(__xludf.DUMMYFUNCTION("TEXTJOIN("" | "",TRUE,IF(OR(D1605="""",E1605="""",I1605="""",J1605="""",H1605=""""),""ফাঁকা ঘর"",""""),IF(AND(C1605&lt;&gt;"""",D1605&lt;&gt;"""",C1605=D1605),""gloss=figurative"",""""),IF(LEN(D1605)&lt;15,""figurative ছোট"",""""),IF(AND(I1605=""Positive"",REGEXMATCH(H1"&amp;"605,""মূর্খ|ভণ্ড|প্রতার|অলস|লোভ|স্বার্থ|অক্ষম|অযোগ্য|বোকা|কৃপণ|হিংস"")),""valence-target অমিল"",""""),IF(COUNTIF($B:$B,B1605)&gt;1,""ডুপ্লিকেট"",""""))"),"figurative ছোট")</f>
        <v>figurative ছোট</v>
      </c>
      <c r="Q1605" s="5" t="str">
        <f t="shared" si="1"/>
        <v>১ আগে দেখো</v>
      </c>
    </row>
    <row r="1606">
      <c r="A1606" s="4">
        <v>7216.0</v>
      </c>
      <c r="B1606" s="2" t="s">
        <v>6448</v>
      </c>
      <c r="C1606" s="2" t="s">
        <v>6449</v>
      </c>
      <c r="D1606" s="2" t="s">
        <v>6450</v>
      </c>
      <c r="E1606" s="2" t="s">
        <v>6451</v>
      </c>
      <c r="F1606" s="2" t="b">
        <v>1</v>
      </c>
      <c r="G1606" s="2" t="b">
        <v>0</v>
      </c>
      <c r="H1606" s="2" t="s">
        <v>1612</v>
      </c>
      <c r="I1606" s="2" t="s">
        <v>22</v>
      </c>
      <c r="J1606" s="2" t="s">
        <v>836</v>
      </c>
      <c r="K1606" s="2" t="s">
        <v>495</v>
      </c>
      <c r="L1606" s="13" t="s">
        <v>496</v>
      </c>
      <c r="M1606" s="2" t="s">
        <v>26</v>
      </c>
      <c r="N1606" s="11" t="s">
        <v>6452</v>
      </c>
      <c r="O1606" s="12" t="s">
        <v>53</v>
      </c>
      <c r="P1606" s="5" t="str">
        <f>IFERROR(__xludf.DUMMYFUNCTION("TEXTJOIN("" | "",TRUE,IF(OR(D1606="""",E1606="""",I1606="""",J1606="""",H1606=""""),""ফাঁকা ঘর"",""""),IF(AND(C1606&lt;&gt;"""",D1606&lt;&gt;"""",C1606=D1606),""gloss=figurative"",""""),IF(LEN(D1606)&lt;15,""figurative ছোট"",""""),IF(AND(I1606=""Positive"",REGEXMATCH(H1"&amp;"606,""মূর্খ|ভণ্ড|প্রতার|অলস|লোভ|স্বার্থ|অক্ষম|অযোগ্য|বোকা|কৃপণ|হিংস"")),""valence-target অমিল"",""""),IF(COUNTIF($B:$B,B1606)&gt;1,""ডুপ্লিকেট"",""""))"),"figurative ছোট")</f>
        <v>figurative ছোট</v>
      </c>
      <c r="Q1606" s="5" t="str">
        <f t="shared" si="1"/>
        <v>১ আগে দেখো</v>
      </c>
    </row>
    <row r="1607">
      <c r="A1607" s="4">
        <v>7217.0</v>
      </c>
      <c r="B1607" s="2" t="s">
        <v>6453</v>
      </c>
      <c r="C1607" s="2" t="s">
        <v>6454</v>
      </c>
      <c r="D1607" s="2" t="s">
        <v>6455</v>
      </c>
      <c r="E1607" s="2" t="s">
        <v>6456</v>
      </c>
      <c r="F1607" s="2" t="b">
        <v>1</v>
      </c>
      <c r="G1607" s="2" t="b">
        <v>0</v>
      </c>
      <c r="H1607" s="2" t="s">
        <v>37</v>
      </c>
      <c r="I1607" s="2" t="s">
        <v>49</v>
      </c>
      <c r="J1607" s="2" t="s">
        <v>581</v>
      </c>
      <c r="K1607" s="2" t="s">
        <v>495</v>
      </c>
      <c r="L1607" s="13" t="s">
        <v>496</v>
      </c>
      <c r="M1607" s="2" t="s">
        <v>26</v>
      </c>
      <c r="N1607" s="11" t="s">
        <v>576</v>
      </c>
      <c r="O1607" s="12" t="s">
        <v>53</v>
      </c>
      <c r="P1607" s="5" t="str">
        <f>IFERROR(__xludf.DUMMYFUNCTION("TEXTJOIN("" | "",TRUE,IF(OR(D1607="""",E1607="""",I1607="""",J1607="""",H1607=""""),""ফাঁকা ঘর"",""""),IF(AND(C1607&lt;&gt;"""",D1607&lt;&gt;"""",C1607=D1607),""gloss=figurative"",""""),IF(LEN(D1607)&lt;15,""figurative ছোট"",""""),IF(AND(I1607=""Positive"",REGEXMATCH(H1"&amp;"607,""মূর্খ|ভণ্ড|প্রতার|অলস|লোভ|স্বার্থ|অক্ষম|অযোগ্য|বোকা|কৃপণ|হিংস"")),""valence-target অমিল"",""""),IF(COUNTIF($B:$B,B1607)&gt;1,""ডুপ্লিকেট"",""""))"),"figurative ছোট")</f>
        <v>figurative ছোট</v>
      </c>
      <c r="Q1607" s="5" t="str">
        <f t="shared" si="1"/>
        <v>১ আগে দেখো</v>
      </c>
    </row>
    <row r="1608">
      <c r="A1608" s="4">
        <v>7218.0</v>
      </c>
      <c r="B1608" s="2" t="s">
        <v>6457</v>
      </c>
      <c r="C1608" s="2" t="s">
        <v>6457</v>
      </c>
      <c r="D1608" s="2" t="s">
        <v>6458</v>
      </c>
      <c r="E1608" s="2" t="s">
        <v>6459</v>
      </c>
      <c r="F1608" s="2" t="b">
        <v>1</v>
      </c>
      <c r="G1608" s="2" t="b">
        <v>0</v>
      </c>
      <c r="H1608" s="2" t="s">
        <v>37</v>
      </c>
      <c r="I1608" s="2" t="s">
        <v>49</v>
      </c>
      <c r="J1608" s="2" t="s">
        <v>6460</v>
      </c>
      <c r="K1608" s="2" t="s">
        <v>495</v>
      </c>
      <c r="L1608" s="13" t="s">
        <v>496</v>
      </c>
      <c r="M1608" s="2" t="s">
        <v>26</v>
      </c>
      <c r="N1608" s="11" t="s">
        <v>576</v>
      </c>
      <c r="O1608" s="12" t="s">
        <v>53</v>
      </c>
      <c r="P1608" s="5" t="str">
        <f>IFERROR(__xludf.DUMMYFUNCTION("TEXTJOIN("" | "",TRUE,IF(OR(D1608="""",E1608="""",I1608="""",J1608="""",H1608=""""),""ফাঁকা ঘর"",""""),IF(AND(C1608&lt;&gt;"""",D1608&lt;&gt;"""",C1608=D1608),""gloss=figurative"",""""),IF(LEN(D1608)&lt;15,""figurative ছোট"",""""),IF(AND(I1608=""Positive"",REGEXMATCH(H1"&amp;"608,""মূর্খ|ভণ্ড|প্রতার|অলস|লোভ|স্বার্থ|অক্ষম|অযোগ্য|বোকা|কৃপণ|হিংস"")),""valence-target অমিল"",""""),IF(COUNTIF($B:$B,B1608)&gt;1,""ডুপ্লিকেট"",""""))"),"figurative ছোট")</f>
        <v>figurative ছোট</v>
      </c>
      <c r="Q1608" s="5" t="str">
        <f t="shared" si="1"/>
        <v>১ আগে দেখো</v>
      </c>
    </row>
    <row r="1609">
      <c r="A1609" s="4">
        <v>7219.0</v>
      </c>
      <c r="B1609" s="2" t="s">
        <v>6461</v>
      </c>
      <c r="C1609" s="2" t="s">
        <v>6462</v>
      </c>
      <c r="D1609" s="2" t="s">
        <v>6440</v>
      </c>
      <c r="E1609" s="2" t="s">
        <v>6463</v>
      </c>
      <c r="F1609" s="2" t="b">
        <v>1</v>
      </c>
      <c r="G1609" s="2" t="b">
        <v>0</v>
      </c>
      <c r="H1609" s="2" t="s">
        <v>37</v>
      </c>
      <c r="I1609" s="2" t="s">
        <v>22</v>
      </c>
      <c r="J1609" s="2" t="s">
        <v>6442</v>
      </c>
      <c r="K1609" s="2" t="s">
        <v>495</v>
      </c>
      <c r="L1609" s="13" t="s">
        <v>496</v>
      </c>
      <c r="M1609" s="2" t="s">
        <v>26</v>
      </c>
      <c r="N1609" s="11" t="s">
        <v>576</v>
      </c>
      <c r="O1609" s="12" t="s">
        <v>53</v>
      </c>
      <c r="P1609" s="5" t="str">
        <f>IFERROR(__xludf.DUMMYFUNCTION("TEXTJOIN("" | "",TRUE,IF(OR(D1609="""",E1609="""",I1609="""",J1609="""",H1609=""""),""ফাঁকা ঘর"",""""),IF(AND(C1609&lt;&gt;"""",D1609&lt;&gt;"""",C1609=D1609),""gloss=figurative"",""""),IF(LEN(D1609)&lt;15,""figurative ছোট"",""""),IF(AND(I1609=""Positive"",REGEXMATCH(H1"&amp;"609,""মূর্খ|ভণ্ড|প্রতার|অলস|লোভ|স্বার্থ|অক্ষম|অযোগ্য|বোকা|কৃপণ|হিংস"")),""valence-target অমিল"",""""),IF(COUNTIF($B:$B,B1609)&gt;1,""ডুপ্লিকেট"",""""))"),"figurative ছোট")</f>
        <v>figurative ছোট</v>
      </c>
      <c r="Q1609" s="5" t="str">
        <f t="shared" si="1"/>
        <v>১ আগে দেখো</v>
      </c>
    </row>
    <row r="1610">
      <c r="A1610" s="4">
        <v>7220.0</v>
      </c>
      <c r="B1610" s="2" t="s">
        <v>6464</v>
      </c>
      <c r="C1610" s="2" t="s">
        <v>6465</v>
      </c>
      <c r="D1610" s="2" t="s">
        <v>6466</v>
      </c>
      <c r="E1610" s="2" t="s">
        <v>6467</v>
      </c>
      <c r="F1610" s="2" t="b">
        <v>1</v>
      </c>
      <c r="G1610" s="2" t="b">
        <v>0</v>
      </c>
      <c r="H1610" s="2" t="s">
        <v>37</v>
      </c>
      <c r="I1610" s="2" t="s">
        <v>22</v>
      </c>
      <c r="J1610" s="2" t="s">
        <v>6466</v>
      </c>
      <c r="K1610" s="2" t="s">
        <v>495</v>
      </c>
      <c r="L1610" s="13" t="s">
        <v>496</v>
      </c>
      <c r="M1610" s="2" t="s">
        <v>26</v>
      </c>
      <c r="N1610" s="11" t="s">
        <v>576</v>
      </c>
      <c r="O1610" s="12" t="s">
        <v>53</v>
      </c>
      <c r="P1610" s="5" t="str">
        <f>IFERROR(__xludf.DUMMYFUNCTION("TEXTJOIN("" | "",TRUE,IF(OR(D1610="""",E1610="""",I1610="""",J1610="""",H1610=""""),""ফাঁকা ঘর"",""""),IF(AND(C1610&lt;&gt;"""",D1610&lt;&gt;"""",C1610=D1610),""gloss=figurative"",""""),IF(LEN(D1610)&lt;15,""figurative ছোট"",""""),IF(AND(I1610=""Positive"",REGEXMATCH(H1"&amp;"610,""মূর্খ|ভণ্ড|প্রতার|অলস|লোভ|স্বার্থ|অক্ষম|অযোগ্য|বোকা|কৃপণ|হিংস"")),""valence-target অমিল"",""""),IF(COUNTIF($B:$B,B1610)&gt;1,""ডুপ্লিকেট"",""""))"),"figurative ছোট")</f>
        <v>figurative ছোট</v>
      </c>
      <c r="Q1610" s="5" t="str">
        <f t="shared" si="1"/>
        <v>১ আগে দেখো</v>
      </c>
    </row>
    <row r="1611">
      <c r="A1611" s="4">
        <v>7221.0</v>
      </c>
      <c r="B1611" s="2" t="s">
        <v>6468</v>
      </c>
      <c r="C1611" s="2" t="s">
        <v>6469</v>
      </c>
      <c r="D1611" s="2" t="s">
        <v>6470</v>
      </c>
      <c r="E1611" s="2" t="s">
        <v>6471</v>
      </c>
      <c r="F1611" s="2" t="b">
        <v>1</v>
      </c>
      <c r="G1611" s="2" t="b">
        <v>0</v>
      </c>
      <c r="H1611" s="2" t="s">
        <v>37</v>
      </c>
      <c r="I1611" s="2" t="s">
        <v>32</v>
      </c>
      <c r="J1611" s="2" t="s">
        <v>6470</v>
      </c>
      <c r="K1611" s="2" t="s">
        <v>495</v>
      </c>
      <c r="L1611" s="13" t="s">
        <v>496</v>
      </c>
      <c r="M1611" s="2" t="s">
        <v>26</v>
      </c>
      <c r="N1611" s="11" t="s">
        <v>576</v>
      </c>
      <c r="O1611" s="12" t="s">
        <v>53</v>
      </c>
      <c r="P1611" s="5" t="str">
        <f>IFERROR(__xludf.DUMMYFUNCTION("TEXTJOIN("" | "",TRUE,IF(OR(D1611="""",E1611="""",I1611="""",J1611="""",H1611=""""),""ফাঁকা ঘর"",""""),IF(AND(C1611&lt;&gt;"""",D1611&lt;&gt;"""",C1611=D1611),""gloss=figurative"",""""),IF(LEN(D1611)&lt;15,""figurative ছোট"",""""),IF(AND(I1611=""Positive"",REGEXMATCH(H1"&amp;"611,""মূর্খ|ভণ্ড|প্রতার|অলস|লোভ|স্বার্থ|অক্ষম|অযোগ্য|বোকা|কৃপণ|হিংস"")),""valence-target অমিল"",""""),IF(COUNTIF($B:$B,B1611)&gt;1,""ডুপ্লিকেট"",""""))"),"figurative ছোট")</f>
        <v>figurative ছোট</v>
      </c>
      <c r="Q1611" s="5" t="str">
        <f t="shared" si="1"/>
        <v>১ আগে দেখো</v>
      </c>
    </row>
    <row r="1612">
      <c r="A1612" s="4">
        <v>7222.0</v>
      </c>
      <c r="B1612" s="2" t="s">
        <v>6472</v>
      </c>
      <c r="C1612" s="2" t="s">
        <v>6473</v>
      </c>
      <c r="D1612" s="2" t="s">
        <v>6474</v>
      </c>
      <c r="E1612" s="2" t="s">
        <v>6475</v>
      </c>
      <c r="F1612" s="2" t="b">
        <v>1</v>
      </c>
      <c r="G1612" s="2" t="b">
        <v>0</v>
      </c>
      <c r="H1612" s="2" t="s">
        <v>37</v>
      </c>
      <c r="I1612" s="2" t="s">
        <v>49</v>
      </c>
      <c r="J1612" s="2" t="s">
        <v>6476</v>
      </c>
      <c r="K1612" s="2" t="s">
        <v>495</v>
      </c>
      <c r="L1612" s="13" t="s">
        <v>496</v>
      </c>
      <c r="M1612" s="2" t="s">
        <v>26</v>
      </c>
      <c r="N1612" s="11" t="s">
        <v>576</v>
      </c>
      <c r="O1612" s="12" t="s">
        <v>53</v>
      </c>
      <c r="P1612" s="5" t="str">
        <f>IFERROR(__xludf.DUMMYFUNCTION("TEXTJOIN("" | "",TRUE,IF(OR(D1612="""",E1612="""",I1612="""",J1612="""",H1612=""""),""ফাঁকা ঘর"",""""),IF(AND(C1612&lt;&gt;"""",D1612&lt;&gt;"""",C1612=D1612),""gloss=figurative"",""""),IF(LEN(D1612)&lt;15,""figurative ছোট"",""""),IF(AND(I1612=""Positive"",REGEXMATCH(H1"&amp;"612,""মূর্খ|ভণ্ড|প্রতার|অলস|লোভ|স্বার্থ|অক্ষম|অযোগ্য|বোকা|কৃপণ|হিংস"")),""valence-target অমিল"",""""),IF(COUNTIF($B:$B,B1612)&gt;1,""ডুপ্লিকেট"",""""))"),"figurative ছোট")</f>
        <v>figurative ছোট</v>
      </c>
      <c r="Q1612" s="5" t="str">
        <f t="shared" si="1"/>
        <v>১ আগে দেখো</v>
      </c>
    </row>
    <row r="1613">
      <c r="A1613" s="4">
        <v>7223.0</v>
      </c>
      <c r="B1613" s="2" t="s">
        <v>6477</v>
      </c>
      <c r="C1613" s="2" t="s">
        <v>6478</v>
      </c>
      <c r="D1613" s="2" t="s">
        <v>6479</v>
      </c>
      <c r="E1613" s="2" t="s">
        <v>6480</v>
      </c>
      <c r="F1613" s="2" t="b">
        <v>1</v>
      </c>
      <c r="G1613" s="2" t="b">
        <v>0</v>
      </c>
      <c r="H1613" s="2" t="s">
        <v>37</v>
      </c>
      <c r="I1613" s="2" t="s">
        <v>49</v>
      </c>
      <c r="J1613" s="2" t="s">
        <v>581</v>
      </c>
      <c r="K1613" s="2" t="s">
        <v>495</v>
      </c>
      <c r="L1613" s="13" t="s">
        <v>496</v>
      </c>
      <c r="M1613" s="2" t="s">
        <v>26</v>
      </c>
      <c r="N1613" s="11" t="s">
        <v>576</v>
      </c>
      <c r="O1613" s="12" t="s">
        <v>53</v>
      </c>
      <c r="P1613" s="5" t="str">
        <f>IFERROR(__xludf.DUMMYFUNCTION("TEXTJOIN("" | "",TRUE,IF(OR(D1613="""",E1613="""",I1613="""",J1613="""",H1613=""""),""ফাঁকা ঘর"",""""),IF(AND(C1613&lt;&gt;"""",D1613&lt;&gt;"""",C1613=D1613),""gloss=figurative"",""""),IF(LEN(D1613)&lt;15,""figurative ছোট"",""""),IF(AND(I1613=""Positive"",REGEXMATCH(H1"&amp;"613,""মূর্খ|ভণ্ড|প্রতার|অলস|লোভ|স্বার্থ|অক্ষম|অযোগ্য|বোকা|কৃপণ|হিংস"")),""valence-target অমিল"",""""),IF(COUNTIF($B:$B,B1613)&gt;1,""ডুপ্লিকেট"",""""))"),"figurative ছোট")</f>
        <v>figurative ছোট</v>
      </c>
      <c r="Q1613" s="5" t="str">
        <f t="shared" si="1"/>
        <v>১ আগে দেখো</v>
      </c>
    </row>
    <row r="1614">
      <c r="A1614" s="4">
        <v>7224.0</v>
      </c>
      <c r="B1614" s="2" t="s">
        <v>6481</v>
      </c>
      <c r="C1614" s="2" t="s">
        <v>6482</v>
      </c>
      <c r="D1614" s="2" t="s">
        <v>6483</v>
      </c>
      <c r="E1614" s="2" t="s">
        <v>6484</v>
      </c>
      <c r="F1614" s="2" t="b">
        <v>1</v>
      </c>
      <c r="G1614" s="2" t="b">
        <v>0</v>
      </c>
      <c r="H1614" s="2" t="s">
        <v>37</v>
      </c>
      <c r="I1614" s="2" t="s">
        <v>49</v>
      </c>
      <c r="J1614" s="2" t="s">
        <v>176</v>
      </c>
      <c r="K1614" s="2" t="s">
        <v>495</v>
      </c>
      <c r="L1614" s="13" t="s">
        <v>496</v>
      </c>
      <c r="M1614" s="2" t="s">
        <v>26</v>
      </c>
      <c r="N1614" s="11" t="s">
        <v>576</v>
      </c>
      <c r="O1614" s="12" t="s">
        <v>53</v>
      </c>
      <c r="P1614" s="5" t="str">
        <f>IFERROR(__xludf.DUMMYFUNCTION("TEXTJOIN("" | "",TRUE,IF(OR(D1614="""",E1614="""",I1614="""",J1614="""",H1614=""""),""ফাঁকা ঘর"",""""),IF(AND(C1614&lt;&gt;"""",D1614&lt;&gt;"""",C1614=D1614),""gloss=figurative"",""""),IF(LEN(D1614)&lt;15,""figurative ছোট"",""""),IF(AND(I1614=""Positive"",REGEXMATCH(H1"&amp;"614,""মূর্খ|ভণ্ড|প্রতার|অলস|লোভ|স্বার্থ|অক্ষম|অযোগ্য|বোকা|কৃপণ|হিংস"")),""valence-target অমিল"",""""),IF(COUNTIF($B:$B,B1614)&gt;1,""ডুপ্লিকেট"",""""))"),"figurative ছোট")</f>
        <v>figurative ছোট</v>
      </c>
      <c r="Q1614" s="5" t="str">
        <f t="shared" si="1"/>
        <v>১ আগে দেখো</v>
      </c>
    </row>
    <row r="1615">
      <c r="A1615" s="4">
        <v>7225.0</v>
      </c>
      <c r="B1615" s="2" t="s">
        <v>6485</v>
      </c>
      <c r="C1615" s="2" t="s">
        <v>6486</v>
      </c>
      <c r="D1615" s="2" t="s">
        <v>6487</v>
      </c>
      <c r="E1615" s="2" t="s">
        <v>6488</v>
      </c>
      <c r="F1615" s="2" t="b">
        <v>1</v>
      </c>
      <c r="G1615" s="2" t="b">
        <v>0</v>
      </c>
      <c r="H1615" s="2" t="s">
        <v>1334</v>
      </c>
      <c r="I1615" s="2" t="s">
        <v>22</v>
      </c>
      <c r="J1615" s="2" t="s">
        <v>820</v>
      </c>
      <c r="K1615" s="2" t="s">
        <v>495</v>
      </c>
      <c r="L1615" s="13" t="s">
        <v>496</v>
      </c>
      <c r="M1615" s="2" t="s">
        <v>26</v>
      </c>
      <c r="N1615" s="11" t="s">
        <v>576</v>
      </c>
      <c r="O1615" s="12" t="s">
        <v>53</v>
      </c>
      <c r="P1615" s="5" t="str">
        <f>IFERROR(__xludf.DUMMYFUNCTION("TEXTJOIN("" | "",TRUE,IF(OR(D1615="""",E1615="""",I1615="""",J1615="""",H1615=""""),""ফাঁকা ঘর"",""""),IF(AND(C1615&lt;&gt;"""",D1615&lt;&gt;"""",C1615=D1615),""gloss=figurative"",""""),IF(LEN(D1615)&lt;15,""figurative ছোট"",""""),IF(AND(I1615=""Positive"",REGEXMATCH(H1"&amp;"615,""মূর্খ|ভণ্ড|প্রতার|অলস|লোভ|স্বার্থ|অক্ষম|অযোগ্য|বোকা|কৃপণ|হিংস"")),""valence-target অমিল"",""""),IF(COUNTIF($B:$B,B1615)&gt;1,""ডুপ্লিকেট"",""""))"),"figurative ছোট")</f>
        <v>figurative ছোট</v>
      </c>
      <c r="Q1615" s="5" t="str">
        <f t="shared" si="1"/>
        <v>১ আগে দেখো</v>
      </c>
    </row>
    <row r="1616">
      <c r="A1616" s="4">
        <v>7226.0</v>
      </c>
      <c r="B1616" s="2" t="s">
        <v>6489</v>
      </c>
      <c r="C1616" s="2" t="s">
        <v>6489</v>
      </c>
      <c r="D1616" s="2" t="s">
        <v>750</v>
      </c>
      <c r="E1616" s="2" t="s">
        <v>6490</v>
      </c>
      <c r="F1616" s="2" t="b">
        <v>1</v>
      </c>
      <c r="G1616" s="2" t="b">
        <v>0</v>
      </c>
      <c r="H1616" s="2" t="s">
        <v>749</v>
      </c>
      <c r="I1616" s="2" t="s">
        <v>22</v>
      </c>
      <c r="J1616" s="2" t="s">
        <v>750</v>
      </c>
      <c r="K1616" s="2" t="s">
        <v>495</v>
      </c>
      <c r="L1616" s="13" t="s">
        <v>496</v>
      </c>
      <c r="M1616" s="2" t="s">
        <v>26</v>
      </c>
      <c r="N1616" s="11" t="s">
        <v>6491</v>
      </c>
      <c r="O1616" s="12" t="s">
        <v>53</v>
      </c>
      <c r="P1616" s="5" t="str">
        <f>IFERROR(__xludf.DUMMYFUNCTION("TEXTJOIN("" | "",TRUE,IF(OR(D1616="""",E1616="""",I1616="""",J1616="""",H1616=""""),""ফাঁকা ঘর"",""""),IF(AND(C1616&lt;&gt;"""",D1616&lt;&gt;"""",C1616=D1616),""gloss=figurative"",""""),IF(LEN(D1616)&lt;15,""figurative ছোট"",""""),IF(AND(I1616=""Positive"",REGEXMATCH(H1"&amp;"616,""মূর্খ|ভণ্ড|প্রতার|অলস|লোভ|স্বার্থ|অক্ষম|অযোগ্য|বোকা|কৃপণ|হিংস"")),""valence-target অমিল"",""""),IF(COUNTIF($B:$B,B1616)&gt;1,""ডুপ্লিকেট"",""""))"),"figurative ছোট")</f>
        <v>figurative ছোট</v>
      </c>
      <c r="Q1616" s="5" t="str">
        <f t="shared" si="1"/>
        <v>১ আগে দেখো</v>
      </c>
    </row>
    <row r="1617">
      <c r="A1617" s="4">
        <v>7227.0</v>
      </c>
      <c r="B1617" s="2" t="s">
        <v>6492</v>
      </c>
      <c r="C1617" s="2" t="s">
        <v>6493</v>
      </c>
      <c r="D1617" s="2" t="s">
        <v>750</v>
      </c>
      <c r="E1617" s="2" t="s">
        <v>6494</v>
      </c>
      <c r="F1617" s="2" t="b">
        <v>1</v>
      </c>
      <c r="G1617" s="2" t="b">
        <v>0</v>
      </c>
      <c r="H1617" s="2" t="s">
        <v>749</v>
      </c>
      <c r="I1617" s="2" t="s">
        <v>22</v>
      </c>
      <c r="J1617" s="2" t="s">
        <v>750</v>
      </c>
      <c r="K1617" s="2" t="s">
        <v>495</v>
      </c>
      <c r="L1617" s="13" t="s">
        <v>496</v>
      </c>
      <c r="M1617" s="2" t="s">
        <v>26</v>
      </c>
      <c r="N1617" s="11" t="s">
        <v>576</v>
      </c>
      <c r="O1617" s="12" t="s">
        <v>53</v>
      </c>
      <c r="P1617" s="5" t="str">
        <f>IFERROR(__xludf.DUMMYFUNCTION("TEXTJOIN("" | "",TRUE,IF(OR(D1617="""",E1617="""",I1617="""",J1617="""",H1617=""""),""ফাঁকা ঘর"",""""),IF(AND(C1617&lt;&gt;"""",D1617&lt;&gt;"""",C1617=D1617),""gloss=figurative"",""""),IF(LEN(D1617)&lt;15,""figurative ছোট"",""""),IF(AND(I1617=""Positive"",REGEXMATCH(H1"&amp;"617,""মূর্খ|ভণ্ড|প্রতার|অলস|লোভ|স্বার্থ|অক্ষম|অযোগ্য|বোকা|কৃপণ|হিংস"")),""valence-target অমিল"",""""),IF(COUNTIF($B:$B,B1617)&gt;1,""ডুপ্লিকেট"",""""))"),"figurative ছোট")</f>
        <v>figurative ছোট</v>
      </c>
      <c r="Q1617" s="5" t="str">
        <f t="shared" si="1"/>
        <v>১ আগে দেখো</v>
      </c>
    </row>
    <row r="1618">
      <c r="A1618" s="4">
        <v>7228.0</v>
      </c>
      <c r="B1618" s="2" t="s">
        <v>6495</v>
      </c>
      <c r="C1618" s="2" t="s">
        <v>6496</v>
      </c>
      <c r="D1618" s="2" t="s">
        <v>6497</v>
      </c>
      <c r="E1618" s="2" t="s">
        <v>6498</v>
      </c>
      <c r="F1618" s="2" t="b">
        <v>1</v>
      </c>
      <c r="G1618" s="2" t="b">
        <v>0</v>
      </c>
      <c r="H1618" s="2" t="s">
        <v>37</v>
      </c>
      <c r="I1618" s="2" t="s">
        <v>22</v>
      </c>
      <c r="J1618" s="2" t="s">
        <v>6499</v>
      </c>
      <c r="K1618" s="2" t="s">
        <v>495</v>
      </c>
      <c r="L1618" s="13" t="s">
        <v>496</v>
      </c>
      <c r="M1618" s="2" t="s">
        <v>26</v>
      </c>
      <c r="N1618" s="11" t="s">
        <v>576</v>
      </c>
      <c r="O1618" s="12" t="s">
        <v>53</v>
      </c>
      <c r="P1618" s="5" t="str">
        <f>IFERROR(__xludf.DUMMYFUNCTION("TEXTJOIN("" | "",TRUE,IF(OR(D1618="""",E1618="""",I1618="""",J1618="""",H1618=""""),""ফাঁকা ঘর"",""""),IF(AND(C1618&lt;&gt;"""",D1618&lt;&gt;"""",C1618=D1618),""gloss=figurative"",""""),IF(LEN(D1618)&lt;15,""figurative ছোট"",""""),IF(AND(I1618=""Positive"",REGEXMATCH(H1"&amp;"618,""মূর্খ|ভণ্ড|প্রতার|অলস|লোভ|স্বার্থ|অক্ষম|অযোগ্য|বোকা|কৃপণ|হিংস"")),""valence-target অমিল"",""""),IF(COUNTIF($B:$B,B1618)&gt;1,""ডুপ্লিকেট"",""""))"),"figurative ছোট")</f>
        <v>figurative ছোট</v>
      </c>
      <c r="Q1618" s="5" t="str">
        <f t="shared" si="1"/>
        <v>১ আগে দেখো</v>
      </c>
    </row>
    <row r="1619">
      <c r="A1619" s="4">
        <v>7230.0</v>
      </c>
      <c r="B1619" s="2" t="s">
        <v>6500</v>
      </c>
      <c r="C1619" s="2" t="s">
        <v>6501</v>
      </c>
      <c r="D1619" s="2" t="s">
        <v>6502</v>
      </c>
      <c r="E1619" s="2" t="s">
        <v>6503</v>
      </c>
      <c r="F1619" s="2" t="b">
        <v>1</v>
      </c>
      <c r="G1619" s="2" t="b">
        <v>0</v>
      </c>
      <c r="H1619" s="2" t="s">
        <v>37</v>
      </c>
      <c r="I1619" s="2" t="s">
        <v>22</v>
      </c>
      <c r="J1619" s="2" t="s">
        <v>5829</v>
      </c>
      <c r="K1619" s="2" t="s">
        <v>495</v>
      </c>
      <c r="L1619" s="13" t="s">
        <v>496</v>
      </c>
      <c r="M1619" s="2" t="s">
        <v>26</v>
      </c>
      <c r="N1619" s="11" t="s">
        <v>6504</v>
      </c>
      <c r="O1619" s="12" t="s">
        <v>53</v>
      </c>
      <c r="P1619" s="5" t="str">
        <f>IFERROR(__xludf.DUMMYFUNCTION("TEXTJOIN("" | "",TRUE,IF(OR(D1619="""",E1619="""",I1619="""",J1619="""",H1619=""""),""ফাঁকা ঘর"",""""),IF(AND(C1619&lt;&gt;"""",D1619&lt;&gt;"""",C1619=D1619),""gloss=figurative"",""""),IF(LEN(D1619)&lt;15,""figurative ছোট"",""""),IF(AND(I1619=""Positive"",REGEXMATCH(H1"&amp;"619,""মূর্খ|ভণ্ড|প্রতার|অলস|লোভ|স্বার্থ|অক্ষম|অযোগ্য|বোকা|কৃপণ|হিংস"")),""valence-target অমিল"",""""),IF(COUNTIF($B:$B,B1619)&gt;1,""ডুপ্লিকেট"",""""))"),"figurative ছোট")</f>
        <v>figurative ছোট</v>
      </c>
      <c r="Q1619" s="5" t="str">
        <f t="shared" si="1"/>
        <v>১ আগে দেখো</v>
      </c>
    </row>
    <row r="1620">
      <c r="A1620" s="4">
        <v>7231.0</v>
      </c>
      <c r="B1620" s="2" t="s">
        <v>6505</v>
      </c>
      <c r="C1620" s="2" t="s">
        <v>6505</v>
      </c>
      <c r="D1620" s="2" t="s">
        <v>6506</v>
      </c>
      <c r="E1620" s="2" t="s">
        <v>6507</v>
      </c>
      <c r="F1620" s="2" t="b">
        <v>1</v>
      </c>
      <c r="G1620" s="2" t="b">
        <v>0</v>
      </c>
      <c r="H1620" s="2" t="s">
        <v>37</v>
      </c>
      <c r="I1620" s="2" t="s">
        <v>32</v>
      </c>
      <c r="J1620" s="2" t="s">
        <v>868</v>
      </c>
      <c r="K1620" s="2" t="s">
        <v>495</v>
      </c>
      <c r="L1620" s="13" t="s">
        <v>496</v>
      </c>
      <c r="M1620" s="2" t="s">
        <v>26</v>
      </c>
      <c r="N1620" s="11" t="s">
        <v>576</v>
      </c>
      <c r="O1620" s="12" t="s">
        <v>53</v>
      </c>
      <c r="P1620" s="5" t="str">
        <f>IFERROR(__xludf.DUMMYFUNCTION("TEXTJOIN("" | "",TRUE,IF(OR(D1620="""",E1620="""",I1620="""",J1620="""",H1620=""""),""ফাঁকা ঘর"",""""),IF(AND(C1620&lt;&gt;"""",D1620&lt;&gt;"""",C1620=D1620),""gloss=figurative"",""""),IF(LEN(D1620)&lt;15,""figurative ছোট"",""""),IF(AND(I1620=""Positive"",REGEXMATCH(H1"&amp;"620,""মূর্খ|ভণ্ড|প্রতার|অলস|লোভ|স্বার্থ|অক্ষম|অযোগ্য|বোকা|কৃপণ|হিংস"")),""valence-target অমিল"",""""),IF(COUNTIF($B:$B,B1620)&gt;1,""ডুপ্লিকেট"",""""))"),"figurative ছোট")</f>
        <v>figurative ছোট</v>
      </c>
      <c r="Q1620" s="5" t="str">
        <f t="shared" si="1"/>
        <v>১ আগে দেখো</v>
      </c>
    </row>
    <row r="1621">
      <c r="A1621" s="4">
        <v>7232.0</v>
      </c>
      <c r="B1621" s="2" t="s">
        <v>6508</v>
      </c>
      <c r="C1621" s="2" t="s">
        <v>6509</v>
      </c>
      <c r="D1621" s="2" t="s">
        <v>3783</v>
      </c>
      <c r="E1621" s="2" t="s">
        <v>6510</v>
      </c>
      <c r="F1621" s="2" t="b">
        <v>1</v>
      </c>
      <c r="G1621" s="2" t="b">
        <v>0</v>
      </c>
      <c r="H1621" s="2" t="s">
        <v>37</v>
      </c>
      <c r="I1621" s="2" t="s">
        <v>32</v>
      </c>
      <c r="J1621" s="2" t="s">
        <v>3783</v>
      </c>
      <c r="K1621" s="2" t="s">
        <v>495</v>
      </c>
      <c r="L1621" s="13" t="s">
        <v>496</v>
      </c>
      <c r="M1621" s="2" t="s">
        <v>26</v>
      </c>
      <c r="N1621" s="11" t="s">
        <v>576</v>
      </c>
      <c r="O1621" s="12" t="s">
        <v>53</v>
      </c>
      <c r="P1621" s="5" t="str">
        <f>IFERROR(__xludf.DUMMYFUNCTION("TEXTJOIN("" | "",TRUE,IF(OR(D1621="""",E1621="""",I1621="""",J1621="""",H1621=""""),""ফাঁকা ঘর"",""""),IF(AND(C1621&lt;&gt;"""",D1621&lt;&gt;"""",C1621=D1621),""gloss=figurative"",""""),IF(LEN(D1621)&lt;15,""figurative ছোট"",""""),IF(AND(I1621=""Positive"",REGEXMATCH(H1"&amp;"621,""মূর্খ|ভণ্ড|প্রতার|অলস|লোভ|স্বার্থ|অক্ষম|অযোগ্য|বোকা|কৃপণ|হিংস"")),""valence-target অমিল"",""""),IF(COUNTIF($B:$B,B1621)&gt;1,""ডুপ্লিকেট"",""""))"),"figurative ছোট")</f>
        <v>figurative ছোট</v>
      </c>
      <c r="Q1621" s="5" t="str">
        <f t="shared" si="1"/>
        <v>১ আগে দেখো</v>
      </c>
    </row>
    <row r="1622">
      <c r="A1622" s="4">
        <v>7233.0</v>
      </c>
      <c r="B1622" s="2" t="s">
        <v>6511</v>
      </c>
      <c r="C1622" s="2" t="s">
        <v>6512</v>
      </c>
      <c r="D1622" s="2" t="s">
        <v>669</v>
      </c>
      <c r="E1622" s="2" t="s">
        <v>6513</v>
      </c>
      <c r="F1622" s="2" t="b">
        <v>1</v>
      </c>
      <c r="G1622" s="2" t="b">
        <v>0</v>
      </c>
      <c r="H1622" s="2" t="s">
        <v>37</v>
      </c>
      <c r="I1622" s="2" t="s">
        <v>22</v>
      </c>
      <c r="J1622" s="2" t="s">
        <v>669</v>
      </c>
      <c r="K1622" s="2" t="s">
        <v>495</v>
      </c>
      <c r="L1622" s="13" t="s">
        <v>496</v>
      </c>
      <c r="M1622" s="2" t="s">
        <v>26</v>
      </c>
      <c r="N1622" s="11" t="s">
        <v>576</v>
      </c>
      <c r="O1622" s="12" t="s">
        <v>53</v>
      </c>
      <c r="P1622" s="5" t="str">
        <f>IFERROR(__xludf.DUMMYFUNCTION("TEXTJOIN("" | "",TRUE,IF(OR(D1622="""",E1622="""",I1622="""",J1622="""",H1622=""""),""ফাঁকা ঘর"",""""),IF(AND(C1622&lt;&gt;"""",D1622&lt;&gt;"""",C1622=D1622),""gloss=figurative"",""""),IF(LEN(D1622)&lt;15,""figurative ছোট"",""""),IF(AND(I1622=""Positive"",REGEXMATCH(H1"&amp;"622,""মূর্খ|ভণ্ড|প্রতার|অলস|লোভ|স্বার্থ|অক্ষম|অযোগ্য|বোকা|কৃপণ|হিংস"")),""valence-target অমিল"",""""),IF(COUNTIF($B:$B,B1622)&gt;1,""ডুপ্লিকেট"",""""))"),"figurative ছোট")</f>
        <v>figurative ছোট</v>
      </c>
      <c r="Q1622" s="5" t="str">
        <f t="shared" si="1"/>
        <v>১ আগে দেখো</v>
      </c>
    </row>
    <row r="1623">
      <c r="A1623" s="4">
        <v>7235.0</v>
      </c>
      <c r="B1623" s="2" t="s">
        <v>6514</v>
      </c>
      <c r="C1623" s="2" t="s">
        <v>6514</v>
      </c>
      <c r="D1623" s="2" t="s">
        <v>669</v>
      </c>
      <c r="E1623" s="2" t="s">
        <v>6515</v>
      </c>
      <c r="F1623" s="2" t="b">
        <v>1</v>
      </c>
      <c r="G1623" s="2" t="b">
        <v>0</v>
      </c>
      <c r="H1623" s="2" t="s">
        <v>37</v>
      </c>
      <c r="I1623" s="2" t="s">
        <v>22</v>
      </c>
      <c r="J1623" s="2" t="s">
        <v>669</v>
      </c>
      <c r="K1623" s="2" t="s">
        <v>495</v>
      </c>
      <c r="L1623" s="13" t="s">
        <v>496</v>
      </c>
      <c r="M1623" s="2" t="s">
        <v>26</v>
      </c>
      <c r="N1623" s="11" t="s">
        <v>576</v>
      </c>
      <c r="O1623" s="12" t="s">
        <v>53</v>
      </c>
      <c r="P1623" s="5" t="str">
        <f>IFERROR(__xludf.DUMMYFUNCTION("TEXTJOIN("" | "",TRUE,IF(OR(D1623="""",E1623="""",I1623="""",J1623="""",H1623=""""),""ফাঁকা ঘর"",""""),IF(AND(C1623&lt;&gt;"""",D1623&lt;&gt;"""",C1623=D1623),""gloss=figurative"",""""),IF(LEN(D1623)&lt;15,""figurative ছোট"",""""),IF(AND(I1623=""Positive"",REGEXMATCH(H1"&amp;"623,""মূর্খ|ভণ্ড|প্রতার|অলস|লোভ|স্বার্থ|অক্ষম|অযোগ্য|বোকা|কৃপণ|হিংস"")),""valence-target অমিল"",""""),IF(COUNTIF($B:$B,B1623)&gt;1,""ডুপ্লিকেট"",""""))"),"figurative ছোট")</f>
        <v>figurative ছোট</v>
      </c>
      <c r="Q1623" s="5" t="str">
        <f t="shared" si="1"/>
        <v>১ আগে দেখো</v>
      </c>
    </row>
    <row r="1624">
      <c r="A1624" s="4">
        <v>7236.0</v>
      </c>
      <c r="B1624" s="2" t="s">
        <v>6516</v>
      </c>
      <c r="C1624" s="2" t="s">
        <v>6517</v>
      </c>
      <c r="D1624" s="2" t="s">
        <v>6518</v>
      </c>
      <c r="E1624" s="2" t="s">
        <v>6519</v>
      </c>
      <c r="F1624" s="2" t="b">
        <v>1</v>
      </c>
      <c r="G1624" s="2" t="b">
        <v>0</v>
      </c>
      <c r="H1624" s="2" t="s">
        <v>37</v>
      </c>
      <c r="I1624" s="2" t="s">
        <v>22</v>
      </c>
      <c r="J1624" s="2" t="s">
        <v>447</v>
      </c>
      <c r="K1624" s="2" t="s">
        <v>495</v>
      </c>
      <c r="L1624" s="13" t="s">
        <v>496</v>
      </c>
      <c r="M1624" s="2" t="s">
        <v>26</v>
      </c>
      <c r="N1624" s="11" t="s">
        <v>576</v>
      </c>
      <c r="O1624" s="12" t="s">
        <v>53</v>
      </c>
      <c r="P1624" s="5" t="str">
        <f>IFERROR(__xludf.DUMMYFUNCTION("TEXTJOIN("" | "",TRUE,IF(OR(D1624="""",E1624="""",I1624="""",J1624="""",H1624=""""),""ফাঁকা ঘর"",""""),IF(AND(C1624&lt;&gt;"""",D1624&lt;&gt;"""",C1624=D1624),""gloss=figurative"",""""),IF(LEN(D1624)&lt;15,""figurative ছোট"",""""),IF(AND(I1624=""Positive"",REGEXMATCH(H1"&amp;"624,""মূর্খ|ভণ্ড|প্রতার|অলস|লোভ|স্বার্থ|অক্ষম|অযোগ্য|বোকা|কৃপণ|হিংস"")),""valence-target অমিল"",""""),IF(COUNTIF($B:$B,B1624)&gt;1,""ডুপ্লিকেট"",""""))"),"figurative ছোট")</f>
        <v>figurative ছোট</v>
      </c>
      <c r="Q1624" s="5" t="str">
        <f t="shared" si="1"/>
        <v>১ আগে দেখো</v>
      </c>
    </row>
    <row r="1625">
      <c r="A1625" s="4">
        <v>7237.0</v>
      </c>
      <c r="B1625" s="2" t="s">
        <v>6520</v>
      </c>
      <c r="C1625" s="2" t="s">
        <v>6521</v>
      </c>
      <c r="D1625" s="2" t="s">
        <v>6522</v>
      </c>
      <c r="E1625" s="2" t="s">
        <v>6523</v>
      </c>
      <c r="F1625" s="2" t="b">
        <v>1</v>
      </c>
      <c r="G1625" s="2" t="b">
        <v>0</v>
      </c>
      <c r="H1625" s="2" t="s">
        <v>37</v>
      </c>
      <c r="I1625" s="2" t="s">
        <v>32</v>
      </c>
      <c r="J1625" s="2" t="s">
        <v>581</v>
      </c>
      <c r="K1625" s="2" t="s">
        <v>495</v>
      </c>
      <c r="L1625" s="13" t="s">
        <v>496</v>
      </c>
      <c r="M1625" s="2" t="s">
        <v>26</v>
      </c>
      <c r="N1625" s="11" t="s">
        <v>576</v>
      </c>
      <c r="O1625" s="12" t="s">
        <v>53</v>
      </c>
      <c r="P1625" s="5" t="str">
        <f>IFERROR(__xludf.DUMMYFUNCTION("TEXTJOIN("" | "",TRUE,IF(OR(D1625="""",E1625="""",I1625="""",J1625="""",H1625=""""),""ফাঁকা ঘর"",""""),IF(AND(C1625&lt;&gt;"""",D1625&lt;&gt;"""",C1625=D1625),""gloss=figurative"",""""),IF(LEN(D1625)&lt;15,""figurative ছোট"",""""),IF(AND(I1625=""Positive"",REGEXMATCH(H1"&amp;"625,""মূর্খ|ভণ্ড|প্রতার|অলস|লোভ|স্বার্থ|অক্ষম|অযোগ্য|বোকা|কৃপণ|হিংস"")),""valence-target অমিল"",""""),IF(COUNTIF($B:$B,B1625)&gt;1,""ডুপ্লিকেট"",""""))"),"figurative ছোট")</f>
        <v>figurative ছোট</v>
      </c>
      <c r="Q1625" s="5" t="str">
        <f t="shared" si="1"/>
        <v>১ আগে দেখো</v>
      </c>
    </row>
    <row r="1626">
      <c r="A1626" s="4">
        <v>7238.0</v>
      </c>
      <c r="B1626" s="2" t="s">
        <v>6524</v>
      </c>
      <c r="C1626" s="2" t="s">
        <v>6524</v>
      </c>
      <c r="D1626" s="2" t="s">
        <v>6525</v>
      </c>
      <c r="E1626" s="2" t="s">
        <v>6526</v>
      </c>
      <c r="F1626" s="2" t="b">
        <v>1</v>
      </c>
      <c r="G1626" s="2" t="b">
        <v>0</v>
      </c>
      <c r="H1626" s="2" t="s">
        <v>37</v>
      </c>
      <c r="I1626" s="2" t="s">
        <v>22</v>
      </c>
      <c r="J1626" s="2" t="s">
        <v>1027</v>
      </c>
      <c r="K1626" s="2" t="s">
        <v>495</v>
      </c>
      <c r="L1626" s="13" t="s">
        <v>496</v>
      </c>
      <c r="M1626" s="2" t="s">
        <v>26</v>
      </c>
      <c r="N1626" s="11" t="s">
        <v>576</v>
      </c>
      <c r="O1626" s="12" t="s">
        <v>53</v>
      </c>
      <c r="P1626" s="5" t="str">
        <f>IFERROR(__xludf.DUMMYFUNCTION("TEXTJOIN("" | "",TRUE,IF(OR(D1626="""",E1626="""",I1626="""",J1626="""",H1626=""""),""ফাঁকা ঘর"",""""),IF(AND(C1626&lt;&gt;"""",D1626&lt;&gt;"""",C1626=D1626),""gloss=figurative"",""""),IF(LEN(D1626)&lt;15,""figurative ছোট"",""""),IF(AND(I1626=""Positive"",REGEXMATCH(H1"&amp;"626,""মূর্খ|ভণ্ড|প্রতার|অলস|লোভ|স্বার্থ|অক্ষম|অযোগ্য|বোকা|কৃপণ|হিংস"")),""valence-target অমিল"",""""),IF(COUNTIF($B:$B,B1626)&gt;1,""ডুপ্লিকেট"",""""))"),"figurative ছোট")</f>
        <v>figurative ছোট</v>
      </c>
      <c r="Q1626" s="5" t="str">
        <f t="shared" si="1"/>
        <v>১ আগে দেখো</v>
      </c>
    </row>
    <row r="1627">
      <c r="A1627" s="4">
        <v>7239.0</v>
      </c>
      <c r="B1627" s="2" t="s">
        <v>6527</v>
      </c>
      <c r="C1627" s="2" t="s">
        <v>6528</v>
      </c>
      <c r="D1627" s="2" t="s">
        <v>1025</v>
      </c>
      <c r="E1627" s="2" t="s">
        <v>6529</v>
      </c>
      <c r="F1627" s="2" t="b">
        <v>1</v>
      </c>
      <c r="G1627" s="2" t="b">
        <v>0</v>
      </c>
      <c r="H1627" s="2" t="s">
        <v>1025</v>
      </c>
      <c r="I1627" s="2" t="s">
        <v>22</v>
      </c>
      <c r="J1627" s="2" t="s">
        <v>1027</v>
      </c>
      <c r="K1627" s="2" t="s">
        <v>495</v>
      </c>
      <c r="L1627" s="13" t="s">
        <v>496</v>
      </c>
      <c r="M1627" s="2" t="s">
        <v>26</v>
      </c>
      <c r="N1627" s="11" t="s">
        <v>576</v>
      </c>
      <c r="O1627" s="12" t="s">
        <v>53</v>
      </c>
      <c r="P1627" s="5" t="str">
        <f>IFERROR(__xludf.DUMMYFUNCTION("TEXTJOIN("" | "",TRUE,IF(OR(D1627="""",E1627="""",I1627="""",J1627="""",H1627=""""),""ফাঁকা ঘর"",""""),IF(AND(C1627&lt;&gt;"""",D1627&lt;&gt;"""",C1627=D1627),""gloss=figurative"",""""),IF(LEN(D1627)&lt;15,""figurative ছোট"",""""),IF(AND(I1627=""Positive"",REGEXMATCH(H1"&amp;"627,""মূর্খ|ভণ্ড|প্রতার|অলস|লোভ|স্বার্থ|অক্ষম|অযোগ্য|বোকা|কৃপণ|হিংস"")),""valence-target অমিল"",""""),IF(COUNTIF($B:$B,B1627)&gt;1,""ডুপ্লিকেট"",""""))"),"figurative ছোট")</f>
        <v>figurative ছোট</v>
      </c>
      <c r="Q1627" s="5" t="str">
        <f t="shared" si="1"/>
        <v>১ আগে দেখো</v>
      </c>
    </row>
    <row r="1628">
      <c r="A1628" s="4">
        <v>7240.0</v>
      </c>
      <c r="B1628" s="2" t="s">
        <v>6530</v>
      </c>
      <c r="C1628" s="2" t="s">
        <v>6530</v>
      </c>
      <c r="D1628" s="2" t="s">
        <v>868</v>
      </c>
      <c r="E1628" s="2" t="s">
        <v>6531</v>
      </c>
      <c r="F1628" s="2" t="b">
        <v>1</v>
      </c>
      <c r="G1628" s="2" t="b">
        <v>0</v>
      </c>
      <c r="H1628" s="2" t="s">
        <v>37</v>
      </c>
      <c r="I1628" s="2" t="s">
        <v>22</v>
      </c>
      <c r="J1628" s="2" t="s">
        <v>868</v>
      </c>
      <c r="K1628" s="2" t="s">
        <v>495</v>
      </c>
      <c r="L1628" s="13" t="s">
        <v>496</v>
      </c>
      <c r="M1628" s="2" t="s">
        <v>26</v>
      </c>
      <c r="N1628" s="11" t="s">
        <v>576</v>
      </c>
      <c r="O1628" s="12" t="s">
        <v>53</v>
      </c>
      <c r="P1628" s="5" t="str">
        <f>IFERROR(__xludf.DUMMYFUNCTION("TEXTJOIN("" | "",TRUE,IF(OR(D1628="""",E1628="""",I1628="""",J1628="""",H1628=""""),""ফাঁকা ঘর"",""""),IF(AND(C1628&lt;&gt;"""",D1628&lt;&gt;"""",C1628=D1628),""gloss=figurative"",""""),IF(LEN(D1628)&lt;15,""figurative ছোট"",""""),IF(AND(I1628=""Positive"",REGEXMATCH(H1"&amp;"628,""মূর্খ|ভণ্ড|প্রতার|অলস|লোভ|স্বার্থ|অক্ষম|অযোগ্য|বোকা|কৃপণ|হিংস"")),""valence-target অমিল"",""""),IF(COUNTIF($B:$B,B1628)&gt;1,""ডুপ্লিকেট"",""""))"),"figurative ছোট")</f>
        <v>figurative ছোট</v>
      </c>
      <c r="Q1628" s="5" t="str">
        <f t="shared" si="1"/>
        <v>১ আগে দেখো</v>
      </c>
    </row>
    <row r="1629">
      <c r="A1629" s="4">
        <v>7241.0</v>
      </c>
      <c r="B1629" s="2" t="s">
        <v>6532</v>
      </c>
      <c r="C1629" s="2" t="s">
        <v>6533</v>
      </c>
      <c r="D1629" s="2" t="s">
        <v>1115</v>
      </c>
      <c r="E1629" s="2" t="s">
        <v>6534</v>
      </c>
      <c r="F1629" s="2" t="b">
        <v>1</v>
      </c>
      <c r="G1629" s="2" t="b">
        <v>0</v>
      </c>
      <c r="H1629" s="2" t="s">
        <v>37</v>
      </c>
      <c r="I1629" s="2" t="s">
        <v>22</v>
      </c>
      <c r="J1629" s="2" t="s">
        <v>5689</v>
      </c>
      <c r="K1629" s="2" t="s">
        <v>495</v>
      </c>
      <c r="L1629" s="13" t="s">
        <v>496</v>
      </c>
      <c r="M1629" s="2" t="s">
        <v>26</v>
      </c>
      <c r="N1629" s="11" t="s">
        <v>6535</v>
      </c>
      <c r="O1629" s="12" t="s">
        <v>53</v>
      </c>
      <c r="P1629" s="5" t="str">
        <f>IFERROR(__xludf.DUMMYFUNCTION("TEXTJOIN("" | "",TRUE,IF(OR(D1629="""",E1629="""",I1629="""",J1629="""",H1629=""""),""ফাঁকা ঘর"",""""),IF(AND(C1629&lt;&gt;"""",D1629&lt;&gt;"""",C1629=D1629),""gloss=figurative"",""""),IF(LEN(D1629)&lt;15,""figurative ছোট"",""""),IF(AND(I1629=""Positive"",REGEXMATCH(H1"&amp;"629,""মূর্খ|ভণ্ড|প্রতার|অলস|লোভ|স্বার্থ|অক্ষম|অযোগ্য|বোকা|কৃপণ|হিংস"")),""valence-target অমিল"",""""),IF(COUNTIF($B:$B,B1629)&gt;1,""ডুপ্লিকেট"",""""))"),"figurative ছোট")</f>
        <v>figurative ছোট</v>
      </c>
      <c r="Q1629" s="5" t="str">
        <f t="shared" si="1"/>
        <v>১ আগে দেখো</v>
      </c>
    </row>
    <row r="1630">
      <c r="A1630" s="4">
        <v>7243.0</v>
      </c>
      <c r="B1630" s="2" t="s">
        <v>6536</v>
      </c>
      <c r="C1630" s="2" t="s">
        <v>6537</v>
      </c>
      <c r="D1630" s="2" t="s">
        <v>6538</v>
      </c>
      <c r="E1630" s="2" t="s">
        <v>6539</v>
      </c>
      <c r="F1630" s="2" t="b">
        <v>1</v>
      </c>
      <c r="G1630" s="2" t="b">
        <v>0</v>
      </c>
      <c r="H1630" s="2" t="s">
        <v>37</v>
      </c>
      <c r="I1630" s="2" t="s">
        <v>22</v>
      </c>
      <c r="J1630" s="2" t="s">
        <v>2255</v>
      </c>
      <c r="K1630" s="2" t="s">
        <v>495</v>
      </c>
      <c r="L1630" s="13" t="s">
        <v>496</v>
      </c>
      <c r="M1630" s="2" t="s">
        <v>26</v>
      </c>
      <c r="N1630" s="11" t="s">
        <v>576</v>
      </c>
      <c r="O1630" s="12" t="s">
        <v>53</v>
      </c>
      <c r="P1630" s="5" t="str">
        <f>IFERROR(__xludf.DUMMYFUNCTION("TEXTJOIN("" | "",TRUE,IF(OR(D1630="""",E1630="""",I1630="""",J1630="""",H1630=""""),""ফাঁকা ঘর"",""""),IF(AND(C1630&lt;&gt;"""",D1630&lt;&gt;"""",C1630=D1630),""gloss=figurative"",""""),IF(LEN(D1630)&lt;15,""figurative ছোট"",""""),IF(AND(I1630=""Positive"",REGEXMATCH(H1"&amp;"630,""মূর্খ|ভণ্ড|প্রতার|অলস|লোভ|স্বার্থ|অক্ষম|অযোগ্য|বোকা|কৃপণ|হিংস"")),""valence-target অমিল"",""""),IF(COUNTIF($B:$B,B1630)&gt;1,""ডুপ্লিকেট"",""""))"),"figurative ছোট")</f>
        <v>figurative ছোট</v>
      </c>
      <c r="Q1630" s="5" t="str">
        <f t="shared" si="1"/>
        <v>১ আগে দেখো</v>
      </c>
    </row>
    <row r="1631">
      <c r="A1631" s="4">
        <v>7244.0</v>
      </c>
      <c r="B1631" s="2" t="s">
        <v>6540</v>
      </c>
      <c r="C1631" s="2" t="s">
        <v>6541</v>
      </c>
      <c r="D1631" s="2" t="s">
        <v>1684</v>
      </c>
      <c r="E1631" s="2" t="s">
        <v>6542</v>
      </c>
      <c r="F1631" s="2" t="b">
        <v>1</v>
      </c>
      <c r="G1631" s="2" t="b">
        <v>0</v>
      </c>
      <c r="H1631" s="2" t="s">
        <v>37</v>
      </c>
      <c r="I1631" s="2" t="s">
        <v>22</v>
      </c>
      <c r="J1631" s="2" t="s">
        <v>1686</v>
      </c>
      <c r="K1631" s="2" t="s">
        <v>495</v>
      </c>
      <c r="L1631" s="13" t="s">
        <v>496</v>
      </c>
      <c r="M1631" s="2" t="s">
        <v>26</v>
      </c>
      <c r="N1631" s="11" t="s">
        <v>576</v>
      </c>
      <c r="O1631" s="12" t="s">
        <v>53</v>
      </c>
      <c r="P1631" s="5" t="str">
        <f>IFERROR(__xludf.DUMMYFUNCTION("TEXTJOIN("" | "",TRUE,IF(OR(D1631="""",E1631="""",I1631="""",J1631="""",H1631=""""),""ফাঁকা ঘর"",""""),IF(AND(C1631&lt;&gt;"""",D1631&lt;&gt;"""",C1631=D1631),""gloss=figurative"",""""),IF(LEN(D1631)&lt;15,""figurative ছোট"",""""),IF(AND(I1631=""Positive"",REGEXMATCH(H1"&amp;"631,""মূর্খ|ভণ্ড|প্রতার|অলস|লোভ|স্বার্থ|অক্ষম|অযোগ্য|বোকা|কৃপণ|হিংস"")),""valence-target অমিল"",""""),IF(COUNTIF($B:$B,B1631)&gt;1,""ডুপ্লিকেট"",""""))"),"figurative ছোট")</f>
        <v>figurative ছোট</v>
      </c>
      <c r="Q1631" s="5" t="str">
        <f t="shared" si="1"/>
        <v>১ আগে দেখো</v>
      </c>
    </row>
    <row r="1632">
      <c r="A1632" s="4">
        <v>7245.0</v>
      </c>
      <c r="B1632" s="2" t="s">
        <v>6543</v>
      </c>
      <c r="C1632" s="2" t="s">
        <v>6544</v>
      </c>
      <c r="D1632" s="2" t="s">
        <v>2249</v>
      </c>
      <c r="E1632" s="2" t="s">
        <v>6545</v>
      </c>
      <c r="F1632" s="2" t="b">
        <v>1</v>
      </c>
      <c r="G1632" s="2" t="b">
        <v>0</v>
      </c>
      <c r="H1632" s="2" t="s">
        <v>37</v>
      </c>
      <c r="I1632" s="2" t="s">
        <v>49</v>
      </c>
      <c r="J1632" s="2" t="s">
        <v>447</v>
      </c>
      <c r="K1632" s="2" t="s">
        <v>495</v>
      </c>
      <c r="L1632" s="13" t="s">
        <v>496</v>
      </c>
      <c r="M1632" s="2" t="s">
        <v>26</v>
      </c>
      <c r="N1632" s="11" t="s">
        <v>576</v>
      </c>
      <c r="O1632" s="12" t="s">
        <v>53</v>
      </c>
      <c r="P1632" s="5" t="str">
        <f>IFERROR(__xludf.DUMMYFUNCTION("TEXTJOIN("" | "",TRUE,IF(OR(D1632="""",E1632="""",I1632="""",J1632="""",H1632=""""),""ফাঁকা ঘর"",""""),IF(AND(C1632&lt;&gt;"""",D1632&lt;&gt;"""",C1632=D1632),""gloss=figurative"",""""),IF(LEN(D1632)&lt;15,""figurative ছোট"",""""),IF(AND(I1632=""Positive"",REGEXMATCH(H1"&amp;"632,""মূর্খ|ভণ্ড|প্রতার|অলস|লোভ|স্বার্থ|অক্ষম|অযোগ্য|বোকা|কৃপণ|হিংস"")),""valence-target অমিল"",""""),IF(COUNTIF($B:$B,B1632)&gt;1,""ডুপ্লিকেট"",""""))"),"figurative ছোট")</f>
        <v>figurative ছোট</v>
      </c>
      <c r="Q1632" s="5" t="str">
        <f t="shared" si="1"/>
        <v>১ আগে দেখো</v>
      </c>
    </row>
    <row r="1633">
      <c r="A1633" s="4">
        <v>7246.0</v>
      </c>
      <c r="B1633" s="2" t="s">
        <v>6546</v>
      </c>
      <c r="C1633" s="2" t="s">
        <v>6547</v>
      </c>
      <c r="D1633" s="2" t="s">
        <v>842</v>
      </c>
      <c r="E1633" s="2" t="s">
        <v>6548</v>
      </c>
      <c r="F1633" s="2" t="b">
        <v>1</v>
      </c>
      <c r="G1633" s="2" t="b">
        <v>0</v>
      </c>
      <c r="H1633" s="2" t="s">
        <v>6549</v>
      </c>
      <c r="I1633" s="2" t="s">
        <v>22</v>
      </c>
      <c r="J1633" s="2" t="s">
        <v>2040</v>
      </c>
      <c r="K1633" s="2" t="s">
        <v>495</v>
      </c>
      <c r="L1633" s="13" t="s">
        <v>496</v>
      </c>
      <c r="M1633" s="2" t="s">
        <v>26</v>
      </c>
      <c r="N1633" s="11" t="s">
        <v>576</v>
      </c>
      <c r="O1633" s="12" t="s">
        <v>53</v>
      </c>
      <c r="P1633" s="5" t="str">
        <f>IFERROR(__xludf.DUMMYFUNCTION("TEXTJOIN("" | "",TRUE,IF(OR(D1633="""",E1633="""",I1633="""",J1633="""",H1633=""""),""ফাঁকা ঘর"",""""),IF(AND(C1633&lt;&gt;"""",D1633&lt;&gt;"""",C1633=D1633),""gloss=figurative"",""""),IF(LEN(D1633)&lt;15,""figurative ছোট"",""""),IF(AND(I1633=""Positive"",REGEXMATCH(H1"&amp;"633,""মূর্খ|ভণ্ড|প্রতার|অলস|লোভ|স্বার্থ|অক্ষম|অযোগ্য|বোকা|কৃপণ|হিংস"")),""valence-target অমিল"",""""),IF(COUNTIF($B:$B,B1633)&gt;1,""ডুপ্লিকেট"",""""))"),"figurative ছোট")</f>
        <v>figurative ছোট</v>
      </c>
      <c r="Q1633" s="5" t="str">
        <f t="shared" si="1"/>
        <v>১ আগে দেখো</v>
      </c>
    </row>
    <row r="1634">
      <c r="A1634" s="4">
        <v>7248.0</v>
      </c>
      <c r="B1634" s="2" t="s">
        <v>6550</v>
      </c>
      <c r="C1634" s="2" t="s">
        <v>6551</v>
      </c>
      <c r="D1634" s="2" t="s">
        <v>4400</v>
      </c>
      <c r="E1634" s="2" t="s">
        <v>6552</v>
      </c>
      <c r="F1634" s="2" t="b">
        <v>1</v>
      </c>
      <c r="G1634" s="2" t="b">
        <v>0</v>
      </c>
      <c r="H1634" s="2" t="s">
        <v>6549</v>
      </c>
      <c r="I1634" s="2" t="s">
        <v>22</v>
      </c>
      <c r="J1634" s="2" t="s">
        <v>820</v>
      </c>
      <c r="K1634" s="2" t="s">
        <v>495</v>
      </c>
      <c r="L1634" s="13" t="s">
        <v>496</v>
      </c>
      <c r="M1634" s="2" t="s">
        <v>26</v>
      </c>
      <c r="N1634" s="11" t="s">
        <v>576</v>
      </c>
      <c r="O1634" s="12" t="s">
        <v>53</v>
      </c>
      <c r="P1634" s="5" t="str">
        <f>IFERROR(__xludf.DUMMYFUNCTION("TEXTJOIN("" | "",TRUE,IF(OR(D1634="""",E1634="""",I1634="""",J1634="""",H1634=""""),""ফাঁকা ঘর"",""""),IF(AND(C1634&lt;&gt;"""",D1634&lt;&gt;"""",C1634=D1634),""gloss=figurative"",""""),IF(LEN(D1634)&lt;15,""figurative ছোট"",""""),IF(AND(I1634=""Positive"",REGEXMATCH(H1"&amp;"634,""মূর্খ|ভণ্ড|প্রতার|অলস|লোভ|স্বার্থ|অক্ষম|অযোগ্য|বোকা|কৃপণ|হিংস"")),""valence-target অমিল"",""""),IF(COUNTIF($B:$B,B1634)&gt;1,""ডুপ্লিকেট"",""""))"),"figurative ছোট")</f>
        <v>figurative ছোট</v>
      </c>
      <c r="Q1634" s="5" t="str">
        <f t="shared" si="1"/>
        <v>১ আগে দেখো</v>
      </c>
    </row>
    <row r="1635">
      <c r="A1635" s="4">
        <v>7249.0</v>
      </c>
      <c r="B1635" s="2" t="s">
        <v>6553</v>
      </c>
      <c r="C1635" s="2" t="s">
        <v>6553</v>
      </c>
      <c r="D1635" s="2" t="s">
        <v>1074</v>
      </c>
      <c r="E1635" s="2" t="s">
        <v>6554</v>
      </c>
      <c r="F1635" s="2" t="b">
        <v>1</v>
      </c>
      <c r="G1635" s="2" t="b">
        <v>0</v>
      </c>
      <c r="H1635" s="2" t="s">
        <v>6549</v>
      </c>
      <c r="I1635" s="2" t="s">
        <v>22</v>
      </c>
      <c r="J1635" s="2" t="s">
        <v>820</v>
      </c>
      <c r="K1635" s="2" t="s">
        <v>495</v>
      </c>
      <c r="L1635" s="13" t="s">
        <v>496</v>
      </c>
      <c r="M1635" s="2" t="s">
        <v>26</v>
      </c>
      <c r="N1635" s="11" t="s">
        <v>576</v>
      </c>
      <c r="O1635" s="12" t="s">
        <v>53</v>
      </c>
      <c r="P1635" s="5" t="str">
        <f>IFERROR(__xludf.DUMMYFUNCTION("TEXTJOIN("" | "",TRUE,IF(OR(D1635="""",E1635="""",I1635="""",J1635="""",H1635=""""),""ফাঁকা ঘর"",""""),IF(AND(C1635&lt;&gt;"""",D1635&lt;&gt;"""",C1635=D1635),""gloss=figurative"",""""),IF(LEN(D1635)&lt;15,""figurative ছোট"",""""),IF(AND(I1635=""Positive"",REGEXMATCH(H1"&amp;"635,""মূর্খ|ভণ্ড|প্রতার|অলস|লোভ|স্বার্থ|অক্ষম|অযোগ্য|বোকা|কৃপণ|হিংস"")),""valence-target অমিল"",""""),IF(COUNTIF($B:$B,B1635)&gt;1,""ডুপ্লিকেট"",""""))"),"figurative ছোট")</f>
        <v>figurative ছোট</v>
      </c>
      <c r="Q1635" s="5" t="str">
        <f t="shared" si="1"/>
        <v>১ আগে দেখো</v>
      </c>
    </row>
    <row r="1636">
      <c r="A1636" s="4">
        <v>7250.0</v>
      </c>
      <c r="B1636" s="2" t="s">
        <v>6555</v>
      </c>
      <c r="C1636" s="2" t="s">
        <v>6556</v>
      </c>
      <c r="D1636" s="2" t="s">
        <v>6557</v>
      </c>
      <c r="E1636" s="2" t="s">
        <v>6558</v>
      </c>
      <c r="F1636" s="2" t="b">
        <v>1</v>
      </c>
      <c r="G1636" s="2" t="b">
        <v>0</v>
      </c>
      <c r="H1636" s="2" t="s">
        <v>37</v>
      </c>
      <c r="I1636" s="2" t="s">
        <v>49</v>
      </c>
      <c r="J1636" s="2" t="s">
        <v>6559</v>
      </c>
      <c r="K1636" s="2" t="s">
        <v>495</v>
      </c>
      <c r="L1636" s="13" t="s">
        <v>496</v>
      </c>
      <c r="M1636" s="2" t="s">
        <v>26</v>
      </c>
      <c r="N1636" s="11" t="s">
        <v>576</v>
      </c>
      <c r="O1636" s="12" t="s">
        <v>53</v>
      </c>
      <c r="P1636" s="5" t="str">
        <f>IFERROR(__xludf.DUMMYFUNCTION("TEXTJOIN("" | "",TRUE,IF(OR(D1636="""",E1636="""",I1636="""",J1636="""",H1636=""""),""ফাঁকা ঘর"",""""),IF(AND(C1636&lt;&gt;"""",D1636&lt;&gt;"""",C1636=D1636),""gloss=figurative"",""""),IF(LEN(D1636)&lt;15,""figurative ছোট"",""""),IF(AND(I1636=""Positive"",REGEXMATCH(H1"&amp;"636,""মূর্খ|ভণ্ড|প্রতার|অলস|লোভ|স্বার্থ|অক্ষম|অযোগ্য|বোকা|কৃপণ|হিংস"")),""valence-target অমিল"",""""),IF(COUNTIF($B:$B,B1636)&gt;1,""ডুপ্লিকেট"",""""))"),"figurative ছোট")</f>
        <v>figurative ছোট</v>
      </c>
      <c r="Q1636" s="5" t="str">
        <f t="shared" si="1"/>
        <v>১ আগে দেখো</v>
      </c>
    </row>
    <row r="1637">
      <c r="A1637" s="4">
        <v>7251.0</v>
      </c>
      <c r="B1637" s="2" t="s">
        <v>6560</v>
      </c>
      <c r="C1637" s="2" t="s">
        <v>6561</v>
      </c>
      <c r="D1637" s="2" t="s">
        <v>581</v>
      </c>
      <c r="E1637" s="2" t="s">
        <v>6562</v>
      </c>
      <c r="F1637" s="2" t="b">
        <v>1</v>
      </c>
      <c r="G1637" s="2" t="b">
        <v>0</v>
      </c>
      <c r="H1637" s="2" t="s">
        <v>37</v>
      </c>
      <c r="I1637" s="2" t="s">
        <v>32</v>
      </c>
      <c r="J1637" s="2" t="s">
        <v>581</v>
      </c>
      <c r="K1637" s="2" t="s">
        <v>495</v>
      </c>
      <c r="L1637" s="13" t="s">
        <v>496</v>
      </c>
      <c r="M1637" s="2" t="s">
        <v>26</v>
      </c>
      <c r="N1637" s="11" t="s">
        <v>576</v>
      </c>
      <c r="O1637" s="12" t="s">
        <v>53</v>
      </c>
      <c r="P1637" s="5" t="str">
        <f>IFERROR(__xludf.DUMMYFUNCTION("TEXTJOIN("" | "",TRUE,IF(OR(D1637="""",E1637="""",I1637="""",J1637="""",H1637=""""),""ফাঁকা ঘর"",""""),IF(AND(C1637&lt;&gt;"""",D1637&lt;&gt;"""",C1637=D1637),""gloss=figurative"",""""),IF(LEN(D1637)&lt;15,""figurative ছোট"",""""),IF(AND(I1637=""Positive"",REGEXMATCH(H1"&amp;"637,""মূর্খ|ভণ্ড|প্রতার|অলস|লোভ|স্বার্থ|অক্ষম|অযোগ্য|বোকা|কৃপণ|হিংস"")),""valence-target অমিল"",""""),IF(COUNTIF($B:$B,B1637)&gt;1,""ডুপ্লিকেট"",""""))"),"figurative ছোট")</f>
        <v>figurative ছোট</v>
      </c>
      <c r="Q1637" s="5" t="str">
        <f t="shared" si="1"/>
        <v>১ আগে দেখো</v>
      </c>
    </row>
    <row r="1638">
      <c r="A1638" s="4">
        <v>7252.0</v>
      </c>
      <c r="B1638" s="2" t="s">
        <v>6563</v>
      </c>
      <c r="C1638" s="2" t="s">
        <v>6564</v>
      </c>
      <c r="D1638" s="2" t="s">
        <v>1679</v>
      </c>
      <c r="E1638" s="2" t="s">
        <v>6565</v>
      </c>
      <c r="F1638" s="2" t="b">
        <v>1</v>
      </c>
      <c r="G1638" s="2" t="b">
        <v>0</v>
      </c>
      <c r="H1638" s="2" t="s">
        <v>37</v>
      </c>
      <c r="I1638" s="2" t="s">
        <v>22</v>
      </c>
      <c r="J1638" s="2" t="s">
        <v>6566</v>
      </c>
      <c r="K1638" s="2" t="s">
        <v>495</v>
      </c>
      <c r="L1638" s="13" t="s">
        <v>496</v>
      </c>
      <c r="M1638" s="2" t="s">
        <v>26</v>
      </c>
      <c r="N1638" s="11" t="s">
        <v>576</v>
      </c>
      <c r="O1638" s="12" t="s">
        <v>53</v>
      </c>
      <c r="P1638" s="5" t="str">
        <f>IFERROR(__xludf.DUMMYFUNCTION("TEXTJOIN("" | "",TRUE,IF(OR(D1638="""",E1638="""",I1638="""",J1638="""",H1638=""""),""ফাঁকা ঘর"",""""),IF(AND(C1638&lt;&gt;"""",D1638&lt;&gt;"""",C1638=D1638),""gloss=figurative"",""""),IF(LEN(D1638)&lt;15,""figurative ছোট"",""""),IF(AND(I1638=""Positive"",REGEXMATCH(H1"&amp;"638,""মূর্খ|ভণ্ড|প্রতার|অলস|লোভ|স্বার্থ|অক্ষম|অযোগ্য|বোকা|কৃপণ|হিংস"")),""valence-target অমিল"",""""),IF(COUNTIF($B:$B,B1638)&gt;1,""ডুপ্লিকেট"",""""))"),"figurative ছোট")</f>
        <v>figurative ছোট</v>
      </c>
      <c r="Q1638" s="5" t="str">
        <f t="shared" si="1"/>
        <v>১ আগে দেখো</v>
      </c>
    </row>
    <row r="1639">
      <c r="A1639" s="4">
        <v>7253.0</v>
      </c>
      <c r="B1639" s="2" t="s">
        <v>6567</v>
      </c>
      <c r="C1639" s="2" t="s">
        <v>6568</v>
      </c>
      <c r="D1639" s="2" t="s">
        <v>2732</v>
      </c>
      <c r="E1639" s="2" t="s">
        <v>6569</v>
      </c>
      <c r="F1639" s="2" t="b">
        <v>1</v>
      </c>
      <c r="G1639" s="2" t="b">
        <v>0</v>
      </c>
      <c r="H1639" s="2" t="s">
        <v>756</v>
      </c>
      <c r="I1639" s="2" t="s">
        <v>22</v>
      </c>
      <c r="J1639" s="2" t="s">
        <v>1630</v>
      </c>
      <c r="K1639" s="2" t="s">
        <v>495</v>
      </c>
      <c r="L1639" s="13" t="s">
        <v>496</v>
      </c>
      <c r="M1639" s="2" t="s">
        <v>26</v>
      </c>
      <c r="N1639" s="11" t="s">
        <v>576</v>
      </c>
      <c r="O1639" s="12" t="s">
        <v>53</v>
      </c>
      <c r="P1639" s="5" t="str">
        <f>IFERROR(__xludf.DUMMYFUNCTION("TEXTJOIN("" | "",TRUE,IF(OR(D1639="""",E1639="""",I1639="""",J1639="""",H1639=""""),""ফাঁকা ঘর"",""""),IF(AND(C1639&lt;&gt;"""",D1639&lt;&gt;"""",C1639=D1639),""gloss=figurative"",""""),IF(LEN(D1639)&lt;15,""figurative ছোট"",""""),IF(AND(I1639=""Positive"",REGEXMATCH(H1"&amp;"639,""মূর্খ|ভণ্ড|প্রতার|অলস|লোভ|স্বার্থ|অক্ষম|অযোগ্য|বোকা|কৃপণ|হিংস"")),""valence-target অমিল"",""""),IF(COUNTIF($B:$B,B1639)&gt;1,""ডুপ্লিকেট"",""""))"),"figurative ছোট")</f>
        <v>figurative ছোট</v>
      </c>
      <c r="Q1639" s="5" t="str">
        <f t="shared" si="1"/>
        <v>১ আগে দেখো</v>
      </c>
    </row>
    <row r="1640">
      <c r="A1640" s="4">
        <v>7254.0</v>
      </c>
      <c r="B1640" s="2" t="s">
        <v>6570</v>
      </c>
      <c r="C1640" s="2" t="s">
        <v>6571</v>
      </c>
      <c r="D1640" s="2" t="s">
        <v>762</v>
      </c>
      <c r="E1640" s="2" t="s">
        <v>2172</v>
      </c>
      <c r="F1640" s="2" t="b">
        <v>1</v>
      </c>
      <c r="G1640" s="2" t="b">
        <v>1</v>
      </c>
      <c r="H1640" s="2" t="s">
        <v>2173</v>
      </c>
      <c r="I1640" s="2" t="s">
        <v>49</v>
      </c>
      <c r="J1640" s="2" t="s">
        <v>762</v>
      </c>
      <c r="K1640" s="2" t="s">
        <v>495</v>
      </c>
      <c r="L1640" s="13" t="s">
        <v>496</v>
      </c>
      <c r="M1640" s="2" t="s">
        <v>26</v>
      </c>
      <c r="N1640" s="11" t="s">
        <v>576</v>
      </c>
      <c r="O1640" s="12" t="s">
        <v>53</v>
      </c>
      <c r="P1640" s="5" t="str">
        <f>IFERROR(__xludf.DUMMYFUNCTION("TEXTJOIN("" | "",TRUE,IF(OR(D1640="""",E1640="""",I1640="""",J1640="""",H1640=""""),""ফাঁকা ঘর"",""""),IF(AND(C1640&lt;&gt;"""",D1640&lt;&gt;"""",C1640=D1640),""gloss=figurative"",""""),IF(LEN(D1640)&lt;15,""figurative ছোট"",""""),IF(AND(I1640=""Positive"",REGEXMATCH(H1"&amp;"640,""মূর্খ|ভণ্ড|প্রতার|অলস|লোভ|স্বার্থ|অক্ষম|অযোগ্য|বোকা|কৃপণ|হিংস"")),""valence-target অমিল"",""""),IF(COUNTIF($B:$B,B1640)&gt;1,""ডুপ্লিকেট"",""""))"),"figurative ছোট")</f>
        <v>figurative ছোট</v>
      </c>
      <c r="Q1640" s="5" t="str">
        <f t="shared" si="1"/>
        <v>১ আগে দেখো</v>
      </c>
    </row>
    <row r="1641">
      <c r="A1641" s="4">
        <v>7255.0</v>
      </c>
      <c r="B1641" s="2" t="s">
        <v>6572</v>
      </c>
      <c r="C1641" s="2" t="s">
        <v>6573</v>
      </c>
      <c r="D1641" s="2" t="s">
        <v>1111</v>
      </c>
      <c r="E1641" s="2" t="s">
        <v>6574</v>
      </c>
      <c r="F1641" s="2" t="b">
        <v>1</v>
      </c>
      <c r="G1641" s="2" t="b">
        <v>0</v>
      </c>
      <c r="H1641" s="2" t="s">
        <v>37</v>
      </c>
      <c r="I1641" s="2" t="s">
        <v>49</v>
      </c>
      <c r="J1641" s="2" t="s">
        <v>1111</v>
      </c>
      <c r="K1641" s="2" t="s">
        <v>495</v>
      </c>
      <c r="L1641" s="13" t="s">
        <v>496</v>
      </c>
      <c r="M1641" s="2" t="s">
        <v>26</v>
      </c>
      <c r="N1641" s="11" t="s">
        <v>576</v>
      </c>
      <c r="O1641" s="12" t="s">
        <v>53</v>
      </c>
      <c r="P1641" s="5" t="str">
        <f>IFERROR(__xludf.DUMMYFUNCTION("TEXTJOIN("" | "",TRUE,IF(OR(D1641="""",E1641="""",I1641="""",J1641="""",H1641=""""),""ফাঁকা ঘর"",""""),IF(AND(C1641&lt;&gt;"""",D1641&lt;&gt;"""",C1641=D1641),""gloss=figurative"",""""),IF(LEN(D1641)&lt;15,""figurative ছোট"",""""),IF(AND(I1641=""Positive"",REGEXMATCH(H1"&amp;"641,""মূর্খ|ভণ্ড|প্রতার|অলস|লোভ|স্বার্থ|অক্ষম|অযোগ্য|বোকা|কৃপণ|হিংস"")),""valence-target অমিল"",""""),IF(COUNTIF($B:$B,B1641)&gt;1,""ডুপ্লিকেট"",""""))"),"figurative ছোট")</f>
        <v>figurative ছোট</v>
      </c>
      <c r="Q1641" s="5" t="str">
        <f t="shared" si="1"/>
        <v>১ আগে দেখো</v>
      </c>
    </row>
    <row r="1642">
      <c r="A1642" s="4">
        <v>7256.0</v>
      </c>
      <c r="B1642" s="2" t="s">
        <v>6575</v>
      </c>
      <c r="C1642" s="2" t="s">
        <v>6576</v>
      </c>
      <c r="D1642" s="2" t="s">
        <v>6577</v>
      </c>
      <c r="E1642" s="2" t="s">
        <v>6578</v>
      </c>
      <c r="F1642" s="2" t="b">
        <v>1</v>
      </c>
      <c r="G1642" s="2" t="b">
        <v>0</v>
      </c>
      <c r="H1642" s="2" t="s">
        <v>6577</v>
      </c>
      <c r="I1642" s="2" t="s">
        <v>22</v>
      </c>
      <c r="J1642" s="2" t="s">
        <v>2629</v>
      </c>
      <c r="K1642" s="2" t="s">
        <v>495</v>
      </c>
      <c r="L1642" s="13" t="s">
        <v>496</v>
      </c>
      <c r="M1642" s="2" t="s">
        <v>26</v>
      </c>
      <c r="N1642" s="11" t="s">
        <v>576</v>
      </c>
      <c r="O1642" s="12" t="s">
        <v>53</v>
      </c>
      <c r="P1642" s="5" t="str">
        <f>IFERROR(__xludf.DUMMYFUNCTION("TEXTJOIN("" | "",TRUE,IF(OR(D1642="""",E1642="""",I1642="""",J1642="""",H1642=""""),""ফাঁকা ঘর"",""""),IF(AND(C1642&lt;&gt;"""",D1642&lt;&gt;"""",C1642=D1642),""gloss=figurative"",""""),IF(LEN(D1642)&lt;15,""figurative ছোট"",""""),IF(AND(I1642=""Positive"",REGEXMATCH(H1"&amp;"642,""মূর্খ|ভণ্ড|প্রতার|অলস|লোভ|স্বার্থ|অক্ষম|অযোগ্য|বোকা|কৃপণ|হিংস"")),""valence-target অমিল"",""""),IF(COUNTIF($B:$B,B1642)&gt;1,""ডুপ্লিকেট"",""""))"),"figurative ছোট")</f>
        <v>figurative ছোট</v>
      </c>
      <c r="Q1642" s="5" t="str">
        <f t="shared" si="1"/>
        <v>১ আগে দেখো</v>
      </c>
    </row>
    <row r="1643">
      <c r="A1643" s="4">
        <v>7257.0</v>
      </c>
      <c r="B1643" s="2" t="s">
        <v>6579</v>
      </c>
      <c r="C1643" s="2" t="s">
        <v>6580</v>
      </c>
      <c r="D1643" s="2" t="s">
        <v>2803</v>
      </c>
      <c r="E1643" s="2" t="s">
        <v>6581</v>
      </c>
      <c r="F1643" s="2" t="b">
        <v>1</v>
      </c>
      <c r="G1643" s="2" t="b">
        <v>0</v>
      </c>
      <c r="H1643" s="2" t="s">
        <v>37</v>
      </c>
      <c r="I1643" s="2" t="s">
        <v>49</v>
      </c>
      <c r="J1643" s="2" t="s">
        <v>565</v>
      </c>
      <c r="K1643" s="2" t="s">
        <v>495</v>
      </c>
      <c r="L1643" s="13" t="s">
        <v>496</v>
      </c>
      <c r="M1643" s="2" t="s">
        <v>26</v>
      </c>
      <c r="N1643" s="11" t="s">
        <v>576</v>
      </c>
      <c r="O1643" s="12" t="s">
        <v>53</v>
      </c>
      <c r="P1643" s="5" t="str">
        <f>IFERROR(__xludf.DUMMYFUNCTION("TEXTJOIN("" | "",TRUE,IF(OR(D1643="""",E1643="""",I1643="""",J1643="""",H1643=""""),""ফাঁকা ঘর"",""""),IF(AND(C1643&lt;&gt;"""",D1643&lt;&gt;"""",C1643=D1643),""gloss=figurative"",""""),IF(LEN(D1643)&lt;15,""figurative ছোট"",""""),IF(AND(I1643=""Positive"",REGEXMATCH(H1"&amp;"643,""মূর্খ|ভণ্ড|প্রতার|অলস|লোভ|স্বার্থ|অক্ষম|অযোগ্য|বোকা|কৃপণ|হিংস"")),""valence-target অমিল"",""""),IF(COUNTIF($B:$B,B1643)&gt;1,""ডুপ্লিকেট"",""""))"),"figurative ছোট")</f>
        <v>figurative ছোট</v>
      </c>
      <c r="Q1643" s="5" t="str">
        <f t="shared" si="1"/>
        <v>১ আগে দেখো</v>
      </c>
    </row>
    <row r="1644">
      <c r="A1644" s="4">
        <v>7258.0</v>
      </c>
      <c r="B1644" s="2" t="s">
        <v>6582</v>
      </c>
      <c r="C1644" s="2" t="s">
        <v>6583</v>
      </c>
      <c r="D1644" s="2" t="s">
        <v>2206</v>
      </c>
      <c r="E1644" s="2" t="s">
        <v>6584</v>
      </c>
      <c r="F1644" s="2" t="b">
        <v>1</v>
      </c>
      <c r="G1644" s="2" t="b">
        <v>0</v>
      </c>
      <c r="H1644" s="2" t="s">
        <v>37</v>
      </c>
      <c r="I1644" s="2" t="s">
        <v>49</v>
      </c>
      <c r="J1644" s="2" t="s">
        <v>2206</v>
      </c>
      <c r="K1644" s="2" t="s">
        <v>495</v>
      </c>
      <c r="L1644" s="13" t="s">
        <v>496</v>
      </c>
      <c r="M1644" s="2" t="s">
        <v>26</v>
      </c>
      <c r="N1644" s="11" t="s">
        <v>576</v>
      </c>
      <c r="O1644" s="12" t="s">
        <v>53</v>
      </c>
      <c r="P1644" s="5" t="str">
        <f>IFERROR(__xludf.DUMMYFUNCTION("TEXTJOIN("" | "",TRUE,IF(OR(D1644="""",E1644="""",I1644="""",J1644="""",H1644=""""),""ফাঁকা ঘর"",""""),IF(AND(C1644&lt;&gt;"""",D1644&lt;&gt;"""",C1644=D1644),""gloss=figurative"",""""),IF(LEN(D1644)&lt;15,""figurative ছোট"",""""),IF(AND(I1644=""Positive"",REGEXMATCH(H1"&amp;"644,""মূর্খ|ভণ্ড|প্রতার|অলস|লোভ|স্বার্থ|অক্ষম|অযোগ্য|বোকা|কৃপণ|হিংস"")),""valence-target অমিল"",""""),IF(COUNTIF($B:$B,B1644)&gt;1,""ডুপ্লিকেট"",""""))"),"figurative ছোট")</f>
        <v>figurative ছোট</v>
      </c>
      <c r="Q1644" s="5" t="str">
        <f t="shared" si="1"/>
        <v>১ আগে দেখো</v>
      </c>
    </row>
    <row r="1645">
      <c r="A1645" s="4">
        <v>7259.0</v>
      </c>
      <c r="B1645" s="2" t="s">
        <v>6585</v>
      </c>
      <c r="C1645" s="2" t="s">
        <v>6586</v>
      </c>
      <c r="D1645" s="2" t="s">
        <v>2882</v>
      </c>
      <c r="E1645" s="2" t="s">
        <v>6587</v>
      </c>
      <c r="F1645" s="2" t="b">
        <v>1</v>
      </c>
      <c r="G1645" s="2" t="b">
        <v>0</v>
      </c>
      <c r="H1645" s="2" t="s">
        <v>37</v>
      </c>
      <c r="I1645" s="2" t="s">
        <v>49</v>
      </c>
      <c r="J1645" s="2" t="s">
        <v>2882</v>
      </c>
      <c r="K1645" s="2" t="s">
        <v>495</v>
      </c>
      <c r="L1645" s="13" t="s">
        <v>496</v>
      </c>
      <c r="M1645" s="2" t="s">
        <v>26</v>
      </c>
      <c r="N1645" s="11" t="s">
        <v>576</v>
      </c>
      <c r="O1645" s="12" t="s">
        <v>53</v>
      </c>
      <c r="P1645" s="5" t="str">
        <f>IFERROR(__xludf.DUMMYFUNCTION("TEXTJOIN("" | "",TRUE,IF(OR(D1645="""",E1645="""",I1645="""",J1645="""",H1645=""""),""ফাঁকা ঘর"",""""),IF(AND(C1645&lt;&gt;"""",D1645&lt;&gt;"""",C1645=D1645),""gloss=figurative"",""""),IF(LEN(D1645)&lt;15,""figurative ছোট"",""""),IF(AND(I1645=""Positive"",REGEXMATCH(H1"&amp;"645,""মূর্খ|ভণ্ড|প্রতার|অলস|লোভ|স্বার্থ|অক্ষম|অযোগ্য|বোকা|কৃপণ|হিংস"")),""valence-target অমিল"",""""),IF(COUNTIF($B:$B,B1645)&gt;1,""ডুপ্লিকেট"",""""))"),"figurative ছোট")</f>
        <v>figurative ছোট</v>
      </c>
      <c r="Q1645" s="5" t="str">
        <f t="shared" si="1"/>
        <v>১ আগে দেখো</v>
      </c>
    </row>
    <row r="1646">
      <c r="A1646" s="4">
        <v>7260.0</v>
      </c>
      <c r="B1646" s="2" t="s">
        <v>6588</v>
      </c>
      <c r="C1646" s="2" t="s">
        <v>6589</v>
      </c>
      <c r="D1646" s="2" t="s">
        <v>2206</v>
      </c>
      <c r="E1646" s="2" t="s">
        <v>6590</v>
      </c>
      <c r="F1646" s="2" t="b">
        <v>1</v>
      </c>
      <c r="G1646" s="2" t="b">
        <v>0</v>
      </c>
      <c r="H1646" s="2" t="s">
        <v>37</v>
      </c>
      <c r="I1646" s="2" t="s">
        <v>49</v>
      </c>
      <c r="J1646" s="2" t="s">
        <v>2206</v>
      </c>
      <c r="K1646" s="2" t="s">
        <v>495</v>
      </c>
      <c r="L1646" s="13" t="s">
        <v>496</v>
      </c>
      <c r="M1646" s="2" t="s">
        <v>26</v>
      </c>
      <c r="N1646" s="11" t="s">
        <v>576</v>
      </c>
      <c r="O1646" s="12" t="s">
        <v>53</v>
      </c>
      <c r="P1646" s="5" t="str">
        <f>IFERROR(__xludf.DUMMYFUNCTION("TEXTJOIN("" | "",TRUE,IF(OR(D1646="""",E1646="""",I1646="""",J1646="""",H1646=""""),""ফাঁকা ঘর"",""""),IF(AND(C1646&lt;&gt;"""",D1646&lt;&gt;"""",C1646=D1646),""gloss=figurative"",""""),IF(LEN(D1646)&lt;15,""figurative ছোট"",""""),IF(AND(I1646=""Positive"",REGEXMATCH(H1"&amp;"646,""মূর্খ|ভণ্ড|প্রতার|অলস|লোভ|স্বার্থ|অক্ষম|অযোগ্য|বোকা|কৃপণ|হিংস"")),""valence-target অমিল"",""""),IF(COUNTIF($B:$B,B1646)&gt;1,""ডুপ্লিকেট"",""""))"),"figurative ছোট")</f>
        <v>figurative ছোট</v>
      </c>
      <c r="Q1646" s="5" t="str">
        <f t="shared" si="1"/>
        <v>১ আগে দেখো</v>
      </c>
    </row>
    <row r="1647">
      <c r="A1647" s="4">
        <v>7261.0</v>
      </c>
      <c r="B1647" s="2" t="s">
        <v>6591</v>
      </c>
      <c r="C1647" s="2" t="s">
        <v>6591</v>
      </c>
      <c r="D1647" s="2" t="s">
        <v>5027</v>
      </c>
      <c r="E1647" s="2" t="s">
        <v>6592</v>
      </c>
      <c r="F1647" s="2" t="b">
        <v>1</v>
      </c>
      <c r="G1647" s="2" t="b">
        <v>0</v>
      </c>
      <c r="H1647" s="2" t="s">
        <v>37</v>
      </c>
      <c r="I1647" s="2" t="s">
        <v>49</v>
      </c>
      <c r="J1647" s="2" t="s">
        <v>665</v>
      </c>
      <c r="K1647" s="2" t="s">
        <v>495</v>
      </c>
      <c r="L1647" s="13" t="s">
        <v>496</v>
      </c>
      <c r="M1647" s="2" t="s">
        <v>26</v>
      </c>
      <c r="N1647" s="11" t="s">
        <v>576</v>
      </c>
      <c r="O1647" s="12" t="s">
        <v>53</v>
      </c>
      <c r="P1647" s="5" t="str">
        <f>IFERROR(__xludf.DUMMYFUNCTION("TEXTJOIN("" | "",TRUE,IF(OR(D1647="""",E1647="""",I1647="""",J1647="""",H1647=""""),""ফাঁকা ঘর"",""""),IF(AND(C1647&lt;&gt;"""",D1647&lt;&gt;"""",C1647=D1647),""gloss=figurative"",""""),IF(LEN(D1647)&lt;15,""figurative ছোট"",""""),IF(AND(I1647=""Positive"",REGEXMATCH(H1"&amp;"647,""মূর্খ|ভণ্ড|প্রতার|অলস|লোভ|স্বার্থ|অক্ষম|অযোগ্য|বোকা|কৃপণ|হিংস"")),""valence-target অমিল"",""""),IF(COUNTIF($B:$B,B1647)&gt;1,""ডুপ্লিকেট"",""""))"),"figurative ছোট")</f>
        <v>figurative ছোট</v>
      </c>
      <c r="Q1647" s="5" t="str">
        <f t="shared" si="1"/>
        <v>১ আগে দেখো</v>
      </c>
    </row>
    <row r="1648">
      <c r="A1648" s="4">
        <v>7262.0</v>
      </c>
      <c r="B1648" s="2" t="s">
        <v>6593</v>
      </c>
      <c r="C1648" s="2" t="s">
        <v>6594</v>
      </c>
      <c r="D1648" s="2" t="s">
        <v>1111</v>
      </c>
      <c r="E1648" s="2" t="s">
        <v>6595</v>
      </c>
      <c r="F1648" s="2" t="b">
        <v>1</v>
      </c>
      <c r="G1648" s="2" t="b">
        <v>0</v>
      </c>
      <c r="H1648" s="2" t="s">
        <v>37</v>
      </c>
      <c r="I1648" s="2" t="s">
        <v>49</v>
      </c>
      <c r="J1648" s="2" t="s">
        <v>1111</v>
      </c>
      <c r="K1648" s="2" t="s">
        <v>495</v>
      </c>
      <c r="L1648" s="13" t="s">
        <v>496</v>
      </c>
      <c r="M1648" s="2" t="s">
        <v>26</v>
      </c>
      <c r="N1648" s="11" t="s">
        <v>576</v>
      </c>
      <c r="O1648" s="12" t="s">
        <v>53</v>
      </c>
      <c r="P1648" s="5" t="str">
        <f>IFERROR(__xludf.DUMMYFUNCTION("TEXTJOIN("" | "",TRUE,IF(OR(D1648="""",E1648="""",I1648="""",J1648="""",H1648=""""),""ফাঁকা ঘর"",""""),IF(AND(C1648&lt;&gt;"""",D1648&lt;&gt;"""",C1648=D1648),""gloss=figurative"",""""),IF(LEN(D1648)&lt;15,""figurative ছোট"",""""),IF(AND(I1648=""Positive"",REGEXMATCH(H1"&amp;"648,""মূর্খ|ভণ্ড|প্রতার|অলস|লোভ|স্বার্থ|অক্ষম|অযোগ্য|বোকা|কৃপণ|হিংস"")),""valence-target অমিল"",""""),IF(COUNTIF($B:$B,B1648)&gt;1,""ডুপ্লিকেট"",""""))"),"figurative ছোট")</f>
        <v>figurative ছোট</v>
      </c>
      <c r="Q1648" s="5" t="str">
        <f t="shared" si="1"/>
        <v>১ আগে দেখো</v>
      </c>
    </row>
    <row r="1649">
      <c r="A1649" s="4">
        <v>7263.0</v>
      </c>
      <c r="B1649" s="2" t="s">
        <v>6596</v>
      </c>
      <c r="C1649" s="2" t="s">
        <v>6597</v>
      </c>
      <c r="D1649" s="2" t="s">
        <v>5027</v>
      </c>
      <c r="E1649" s="2" t="s">
        <v>6598</v>
      </c>
      <c r="F1649" s="2" t="b">
        <v>1</v>
      </c>
      <c r="G1649" s="2" t="b">
        <v>0</v>
      </c>
      <c r="H1649" s="2" t="s">
        <v>37</v>
      </c>
      <c r="I1649" s="2" t="s">
        <v>49</v>
      </c>
      <c r="J1649" s="2" t="s">
        <v>665</v>
      </c>
      <c r="K1649" s="2" t="s">
        <v>495</v>
      </c>
      <c r="L1649" s="13" t="s">
        <v>496</v>
      </c>
      <c r="M1649" s="2" t="s">
        <v>26</v>
      </c>
      <c r="N1649" s="11" t="s">
        <v>576</v>
      </c>
      <c r="O1649" s="12" t="s">
        <v>53</v>
      </c>
      <c r="P1649" s="5" t="str">
        <f>IFERROR(__xludf.DUMMYFUNCTION("TEXTJOIN("" | "",TRUE,IF(OR(D1649="""",E1649="""",I1649="""",J1649="""",H1649=""""),""ফাঁকা ঘর"",""""),IF(AND(C1649&lt;&gt;"""",D1649&lt;&gt;"""",C1649=D1649),""gloss=figurative"",""""),IF(LEN(D1649)&lt;15,""figurative ছোট"",""""),IF(AND(I1649=""Positive"",REGEXMATCH(H1"&amp;"649,""মূর্খ|ভণ্ড|প্রতার|অলস|লোভ|স্বার্থ|অক্ষম|অযোগ্য|বোকা|কৃপণ|হিংস"")),""valence-target অমিল"",""""),IF(COUNTIF($B:$B,B1649)&gt;1,""ডুপ্লিকেট"",""""))"),"figurative ছোট")</f>
        <v>figurative ছোট</v>
      </c>
      <c r="Q1649" s="5" t="str">
        <f t="shared" si="1"/>
        <v>১ আগে দেখো</v>
      </c>
    </row>
    <row r="1650">
      <c r="A1650" s="4">
        <v>7264.0</v>
      </c>
      <c r="B1650" s="2" t="s">
        <v>6599</v>
      </c>
      <c r="C1650" s="2" t="s">
        <v>6600</v>
      </c>
      <c r="D1650" s="2" t="s">
        <v>5587</v>
      </c>
      <c r="E1650" s="2" t="s">
        <v>6601</v>
      </c>
      <c r="F1650" s="2" t="b">
        <v>1</v>
      </c>
      <c r="G1650" s="2" t="b">
        <v>0</v>
      </c>
      <c r="H1650" s="2" t="s">
        <v>37</v>
      </c>
      <c r="I1650" s="2" t="s">
        <v>49</v>
      </c>
      <c r="J1650" s="2" t="s">
        <v>2040</v>
      </c>
      <c r="K1650" s="2" t="s">
        <v>495</v>
      </c>
      <c r="L1650" s="13" t="s">
        <v>496</v>
      </c>
      <c r="M1650" s="2" t="s">
        <v>26</v>
      </c>
      <c r="N1650" s="11" t="s">
        <v>576</v>
      </c>
      <c r="O1650" s="12" t="s">
        <v>53</v>
      </c>
      <c r="P1650" s="5" t="str">
        <f>IFERROR(__xludf.DUMMYFUNCTION("TEXTJOIN("" | "",TRUE,IF(OR(D1650="""",E1650="""",I1650="""",J1650="""",H1650=""""),""ফাঁকা ঘর"",""""),IF(AND(C1650&lt;&gt;"""",D1650&lt;&gt;"""",C1650=D1650),""gloss=figurative"",""""),IF(LEN(D1650)&lt;15,""figurative ছোট"",""""),IF(AND(I1650=""Positive"",REGEXMATCH(H1"&amp;"650,""মূর্খ|ভণ্ড|প্রতার|অলস|লোভ|স্বার্থ|অক্ষম|অযোগ্য|বোকা|কৃপণ|হিংস"")),""valence-target অমিল"",""""),IF(COUNTIF($B:$B,B1650)&gt;1,""ডুপ্লিকেট"",""""))"),"figurative ছোট")</f>
        <v>figurative ছোট</v>
      </c>
      <c r="Q1650" s="5" t="str">
        <f t="shared" si="1"/>
        <v>১ আগে দেখো</v>
      </c>
    </row>
    <row r="1651">
      <c r="A1651" s="4">
        <v>7265.0</v>
      </c>
      <c r="B1651" s="2" t="s">
        <v>6602</v>
      </c>
      <c r="C1651" s="2" t="s">
        <v>6603</v>
      </c>
      <c r="D1651" s="2" t="s">
        <v>2882</v>
      </c>
      <c r="E1651" s="2" t="s">
        <v>6604</v>
      </c>
      <c r="F1651" s="2" t="b">
        <v>1</v>
      </c>
      <c r="G1651" s="2" t="b">
        <v>0</v>
      </c>
      <c r="H1651" s="2" t="s">
        <v>37</v>
      </c>
      <c r="I1651" s="2" t="s">
        <v>49</v>
      </c>
      <c r="J1651" s="2" t="s">
        <v>2882</v>
      </c>
      <c r="K1651" s="2" t="s">
        <v>495</v>
      </c>
      <c r="L1651" s="13" t="s">
        <v>496</v>
      </c>
      <c r="M1651" s="2" t="s">
        <v>26</v>
      </c>
      <c r="N1651" s="11" t="s">
        <v>576</v>
      </c>
      <c r="O1651" s="12" t="s">
        <v>53</v>
      </c>
      <c r="P1651" s="5" t="str">
        <f>IFERROR(__xludf.DUMMYFUNCTION("TEXTJOIN("" | "",TRUE,IF(OR(D1651="""",E1651="""",I1651="""",J1651="""",H1651=""""),""ফাঁকা ঘর"",""""),IF(AND(C1651&lt;&gt;"""",D1651&lt;&gt;"""",C1651=D1651),""gloss=figurative"",""""),IF(LEN(D1651)&lt;15,""figurative ছোট"",""""),IF(AND(I1651=""Positive"",REGEXMATCH(H1"&amp;"651,""মূর্খ|ভণ্ড|প্রতার|অলস|লোভ|স্বার্থ|অক্ষম|অযোগ্য|বোকা|কৃপণ|হিংস"")),""valence-target অমিল"",""""),IF(COUNTIF($B:$B,B1651)&gt;1,""ডুপ্লিকেট"",""""))"),"figurative ছোট")</f>
        <v>figurative ছোট</v>
      </c>
      <c r="Q1651" s="5" t="str">
        <f t="shared" si="1"/>
        <v>১ আগে দেখো</v>
      </c>
    </row>
    <row r="1652">
      <c r="A1652" s="4">
        <v>7266.0</v>
      </c>
      <c r="B1652" s="2" t="s">
        <v>6605</v>
      </c>
      <c r="C1652" s="2" t="s">
        <v>6606</v>
      </c>
      <c r="D1652" s="2" t="s">
        <v>6607</v>
      </c>
      <c r="E1652" s="2" t="s">
        <v>6608</v>
      </c>
      <c r="F1652" s="2" t="b">
        <v>1</v>
      </c>
      <c r="G1652" s="2" t="b">
        <v>0</v>
      </c>
      <c r="H1652" s="2" t="s">
        <v>37</v>
      </c>
      <c r="I1652" s="2" t="s">
        <v>22</v>
      </c>
      <c r="J1652" s="2" t="s">
        <v>1895</v>
      </c>
      <c r="K1652" s="2" t="s">
        <v>495</v>
      </c>
      <c r="L1652" s="13" t="s">
        <v>496</v>
      </c>
      <c r="M1652" s="2" t="s">
        <v>26</v>
      </c>
      <c r="N1652" s="11" t="s">
        <v>6609</v>
      </c>
      <c r="O1652" s="12" t="s">
        <v>53</v>
      </c>
      <c r="P1652" s="5" t="str">
        <f>IFERROR(__xludf.DUMMYFUNCTION("TEXTJOIN("" | "",TRUE,IF(OR(D1652="""",E1652="""",I1652="""",J1652="""",H1652=""""),""ফাঁকা ঘর"",""""),IF(AND(C1652&lt;&gt;"""",D1652&lt;&gt;"""",C1652=D1652),""gloss=figurative"",""""),IF(LEN(D1652)&lt;15,""figurative ছোট"",""""),IF(AND(I1652=""Positive"",REGEXMATCH(H1"&amp;"652,""মূর্খ|ভণ্ড|প্রতার|অলস|লোভ|স্বার্থ|অক্ষম|অযোগ্য|বোকা|কৃপণ|হিংস"")),""valence-target অমিল"",""""),IF(COUNTIF($B:$B,B1652)&gt;1,""ডুপ্লিকেট"",""""))"),"figurative ছোট")</f>
        <v>figurative ছোট</v>
      </c>
      <c r="Q1652" s="5" t="str">
        <f t="shared" si="1"/>
        <v>১ আগে দেখো</v>
      </c>
    </row>
    <row r="1653">
      <c r="A1653" s="4">
        <v>7267.0</v>
      </c>
      <c r="B1653" s="2" t="s">
        <v>6610</v>
      </c>
      <c r="C1653" s="2" t="s">
        <v>6611</v>
      </c>
      <c r="D1653" s="2" t="s">
        <v>6612</v>
      </c>
      <c r="E1653" s="2" t="s">
        <v>6613</v>
      </c>
      <c r="F1653" s="2" t="b">
        <v>1</v>
      </c>
      <c r="G1653" s="2" t="b">
        <v>0</v>
      </c>
      <c r="H1653" s="2" t="s">
        <v>37</v>
      </c>
      <c r="I1653" s="2" t="s">
        <v>22</v>
      </c>
      <c r="J1653" s="2" t="s">
        <v>1895</v>
      </c>
      <c r="K1653" s="2" t="s">
        <v>495</v>
      </c>
      <c r="L1653" s="13" t="s">
        <v>496</v>
      </c>
      <c r="M1653" s="2" t="s">
        <v>26</v>
      </c>
      <c r="N1653" s="11" t="s">
        <v>6614</v>
      </c>
      <c r="O1653" s="12" t="s">
        <v>53</v>
      </c>
      <c r="P1653" s="5" t="str">
        <f>IFERROR(__xludf.DUMMYFUNCTION("TEXTJOIN("" | "",TRUE,IF(OR(D1653="""",E1653="""",I1653="""",J1653="""",H1653=""""),""ফাঁকা ঘর"",""""),IF(AND(C1653&lt;&gt;"""",D1653&lt;&gt;"""",C1653=D1653),""gloss=figurative"",""""),IF(LEN(D1653)&lt;15,""figurative ছোট"",""""),IF(AND(I1653=""Positive"",REGEXMATCH(H1"&amp;"653,""মূর্খ|ভণ্ড|প্রতার|অলস|লোভ|স্বার্থ|অক্ষম|অযোগ্য|বোকা|কৃপণ|হিংস"")),""valence-target অমিল"",""""),IF(COUNTIF($B:$B,B1653)&gt;1,""ডুপ্লিকেট"",""""))"),"figurative ছোট")</f>
        <v>figurative ছোট</v>
      </c>
      <c r="Q1653" s="5" t="str">
        <f t="shared" si="1"/>
        <v>১ আগে দেখো</v>
      </c>
    </row>
    <row r="1654">
      <c r="A1654" s="4">
        <v>7268.0</v>
      </c>
      <c r="B1654" s="2" t="s">
        <v>6615</v>
      </c>
      <c r="C1654" s="2" t="s">
        <v>6616</v>
      </c>
      <c r="D1654" s="2" t="s">
        <v>2448</v>
      </c>
      <c r="E1654" s="2" t="s">
        <v>6617</v>
      </c>
      <c r="F1654" s="2" t="b">
        <v>1</v>
      </c>
      <c r="G1654" s="2" t="b">
        <v>0</v>
      </c>
      <c r="H1654" s="2" t="s">
        <v>37</v>
      </c>
      <c r="I1654" s="2" t="s">
        <v>22</v>
      </c>
      <c r="J1654" s="2" t="s">
        <v>739</v>
      </c>
      <c r="K1654" s="2" t="s">
        <v>495</v>
      </c>
      <c r="L1654" s="13" t="s">
        <v>496</v>
      </c>
      <c r="M1654" s="2" t="s">
        <v>26</v>
      </c>
      <c r="N1654" s="11" t="s">
        <v>576</v>
      </c>
      <c r="O1654" s="12" t="s">
        <v>53</v>
      </c>
      <c r="P1654" s="5" t="str">
        <f>IFERROR(__xludf.DUMMYFUNCTION("TEXTJOIN("" | "",TRUE,IF(OR(D1654="""",E1654="""",I1654="""",J1654="""",H1654=""""),""ফাঁকা ঘর"",""""),IF(AND(C1654&lt;&gt;"""",D1654&lt;&gt;"""",C1654=D1654),""gloss=figurative"",""""),IF(LEN(D1654)&lt;15,""figurative ছোট"",""""),IF(AND(I1654=""Positive"",REGEXMATCH(H1"&amp;"654,""মূর্খ|ভণ্ড|প্রতার|অলস|লোভ|স্বার্থ|অক্ষম|অযোগ্য|বোকা|কৃপণ|হিংস"")),""valence-target অমিল"",""""),IF(COUNTIF($B:$B,B1654)&gt;1,""ডুপ্লিকেট"",""""))"),"figurative ছোট")</f>
        <v>figurative ছোট</v>
      </c>
      <c r="Q1654" s="5" t="str">
        <f t="shared" si="1"/>
        <v>১ আগে দেখো</v>
      </c>
    </row>
    <row r="1655">
      <c r="A1655" s="4">
        <v>7269.0</v>
      </c>
      <c r="B1655" s="2" t="s">
        <v>6618</v>
      </c>
      <c r="C1655" s="2" t="s">
        <v>6619</v>
      </c>
      <c r="D1655" s="2" t="s">
        <v>6620</v>
      </c>
      <c r="E1655" s="2" t="s">
        <v>6621</v>
      </c>
      <c r="F1655" s="2" t="b">
        <v>1</v>
      </c>
      <c r="G1655" s="2" t="b">
        <v>0</v>
      </c>
      <c r="H1655" s="2" t="s">
        <v>37</v>
      </c>
      <c r="I1655" s="2" t="s">
        <v>32</v>
      </c>
      <c r="J1655" s="2" t="s">
        <v>5980</v>
      </c>
      <c r="K1655" s="2" t="s">
        <v>495</v>
      </c>
      <c r="L1655" s="13" t="s">
        <v>496</v>
      </c>
      <c r="M1655" s="2" t="s">
        <v>26</v>
      </c>
      <c r="N1655" s="11" t="s">
        <v>576</v>
      </c>
      <c r="O1655" s="12" t="s">
        <v>53</v>
      </c>
      <c r="P1655" s="5" t="str">
        <f>IFERROR(__xludf.DUMMYFUNCTION("TEXTJOIN("" | "",TRUE,IF(OR(D1655="""",E1655="""",I1655="""",J1655="""",H1655=""""),""ফাঁকা ঘর"",""""),IF(AND(C1655&lt;&gt;"""",D1655&lt;&gt;"""",C1655=D1655),""gloss=figurative"",""""),IF(LEN(D1655)&lt;15,""figurative ছোট"",""""),IF(AND(I1655=""Positive"",REGEXMATCH(H1"&amp;"655,""মূর্খ|ভণ্ড|প্রতার|অলস|লোভ|স্বার্থ|অক্ষম|অযোগ্য|বোকা|কৃপণ|হিংস"")),""valence-target অমিল"",""""),IF(COUNTIF($B:$B,B1655)&gt;1,""ডুপ্লিকেট"",""""))"),"figurative ছোট")</f>
        <v>figurative ছোট</v>
      </c>
      <c r="Q1655" s="5" t="str">
        <f t="shared" si="1"/>
        <v>১ আগে দেখো</v>
      </c>
    </row>
    <row r="1656">
      <c r="A1656" s="4">
        <v>7270.0</v>
      </c>
      <c r="B1656" s="2" t="s">
        <v>6622</v>
      </c>
      <c r="C1656" s="2" t="s">
        <v>6623</v>
      </c>
      <c r="D1656" s="2" t="s">
        <v>6624</v>
      </c>
      <c r="E1656" s="2" t="s">
        <v>6625</v>
      </c>
      <c r="F1656" s="2" t="b">
        <v>1</v>
      </c>
      <c r="G1656" s="2" t="b">
        <v>0</v>
      </c>
      <c r="H1656" s="2" t="s">
        <v>37</v>
      </c>
      <c r="I1656" s="2" t="s">
        <v>49</v>
      </c>
      <c r="J1656" s="2" t="s">
        <v>208</v>
      </c>
      <c r="K1656" s="2" t="s">
        <v>495</v>
      </c>
      <c r="L1656" s="13" t="s">
        <v>496</v>
      </c>
      <c r="M1656" s="2" t="s">
        <v>26</v>
      </c>
      <c r="N1656" s="11" t="s">
        <v>576</v>
      </c>
      <c r="O1656" s="12" t="s">
        <v>53</v>
      </c>
      <c r="P1656" s="5" t="str">
        <f>IFERROR(__xludf.DUMMYFUNCTION("TEXTJOIN("" | "",TRUE,IF(OR(D1656="""",E1656="""",I1656="""",J1656="""",H1656=""""),""ফাঁকা ঘর"",""""),IF(AND(C1656&lt;&gt;"""",D1656&lt;&gt;"""",C1656=D1656),""gloss=figurative"",""""),IF(LEN(D1656)&lt;15,""figurative ছোট"",""""),IF(AND(I1656=""Positive"",REGEXMATCH(H1"&amp;"656,""মূর্খ|ভণ্ড|প্রতার|অলস|লোভ|স্বার্থ|অক্ষম|অযোগ্য|বোকা|কৃপণ|হিংস"")),""valence-target অমিল"",""""),IF(COUNTIF($B:$B,B1656)&gt;1,""ডুপ্লিকেট"",""""))"),"figurative ছোট")</f>
        <v>figurative ছোট</v>
      </c>
      <c r="Q1656" s="5" t="str">
        <f t="shared" si="1"/>
        <v>১ আগে দেখো</v>
      </c>
    </row>
    <row r="1657">
      <c r="A1657" s="4">
        <v>7271.0</v>
      </c>
      <c r="B1657" s="2" t="s">
        <v>6626</v>
      </c>
      <c r="C1657" s="2" t="s">
        <v>6627</v>
      </c>
      <c r="D1657" s="2" t="s">
        <v>6624</v>
      </c>
      <c r="E1657" s="2" t="s">
        <v>6628</v>
      </c>
      <c r="F1657" s="2" t="b">
        <v>1</v>
      </c>
      <c r="G1657" s="2" t="b">
        <v>0</v>
      </c>
      <c r="H1657" s="2" t="s">
        <v>37</v>
      </c>
      <c r="I1657" s="2" t="s">
        <v>49</v>
      </c>
      <c r="J1657" s="2" t="s">
        <v>208</v>
      </c>
      <c r="K1657" s="2" t="s">
        <v>495</v>
      </c>
      <c r="L1657" s="13" t="s">
        <v>496</v>
      </c>
      <c r="M1657" s="2" t="s">
        <v>26</v>
      </c>
      <c r="N1657" s="11" t="s">
        <v>576</v>
      </c>
      <c r="O1657" s="12" t="s">
        <v>53</v>
      </c>
      <c r="P1657" s="5" t="str">
        <f>IFERROR(__xludf.DUMMYFUNCTION("TEXTJOIN("" | "",TRUE,IF(OR(D1657="""",E1657="""",I1657="""",J1657="""",H1657=""""),""ফাঁকা ঘর"",""""),IF(AND(C1657&lt;&gt;"""",D1657&lt;&gt;"""",C1657=D1657),""gloss=figurative"",""""),IF(LEN(D1657)&lt;15,""figurative ছোট"",""""),IF(AND(I1657=""Positive"",REGEXMATCH(H1"&amp;"657,""মূর্খ|ভণ্ড|প্রতার|অলস|লোভ|স্বার্থ|অক্ষম|অযোগ্য|বোকা|কৃপণ|হিংস"")),""valence-target অমিল"",""""),IF(COUNTIF($B:$B,B1657)&gt;1,""ডুপ্লিকেট"",""""))"),"figurative ছোট")</f>
        <v>figurative ছোট</v>
      </c>
      <c r="Q1657" s="5" t="str">
        <f t="shared" si="1"/>
        <v>১ আগে দেখো</v>
      </c>
    </row>
    <row r="1658">
      <c r="A1658" s="4">
        <v>7272.0</v>
      </c>
      <c r="B1658" s="2" t="s">
        <v>6629</v>
      </c>
      <c r="C1658" s="2" t="s">
        <v>6630</v>
      </c>
      <c r="D1658" s="2" t="s">
        <v>868</v>
      </c>
      <c r="E1658" s="2" t="s">
        <v>6631</v>
      </c>
      <c r="F1658" s="2" t="b">
        <v>1</v>
      </c>
      <c r="G1658" s="2" t="b">
        <v>0</v>
      </c>
      <c r="H1658" s="2" t="s">
        <v>37</v>
      </c>
      <c r="I1658" s="2" t="s">
        <v>49</v>
      </c>
      <c r="J1658" s="2" t="s">
        <v>868</v>
      </c>
      <c r="K1658" s="2" t="s">
        <v>495</v>
      </c>
      <c r="L1658" s="13" t="s">
        <v>496</v>
      </c>
      <c r="M1658" s="2" t="s">
        <v>26</v>
      </c>
      <c r="N1658" s="11" t="s">
        <v>576</v>
      </c>
      <c r="O1658" s="12" t="s">
        <v>53</v>
      </c>
      <c r="P1658" s="5" t="str">
        <f>IFERROR(__xludf.DUMMYFUNCTION("TEXTJOIN("" | "",TRUE,IF(OR(D1658="""",E1658="""",I1658="""",J1658="""",H1658=""""),""ফাঁকা ঘর"",""""),IF(AND(C1658&lt;&gt;"""",D1658&lt;&gt;"""",C1658=D1658),""gloss=figurative"",""""),IF(LEN(D1658)&lt;15,""figurative ছোট"",""""),IF(AND(I1658=""Positive"",REGEXMATCH(H1"&amp;"658,""মূর্খ|ভণ্ড|প্রতার|অলস|লোভ|স্বার্থ|অক্ষম|অযোগ্য|বোকা|কৃপণ|হিংস"")),""valence-target অমিল"",""""),IF(COUNTIF($B:$B,B1658)&gt;1,""ডুপ্লিকেট"",""""))"),"figurative ছোট")</f>
        <v>figurative ছোট</v>
      </c>
      <c r="Q1658" s="5" t="str">
        <f t="shared" si="1"/>
        <v>১ আগে দেখো</v>
      </c>
    </row>
    <row r="1659">
      <c r="A1659" s="4">
        <v>7273.0</v>
      </c>
      <c r="B1659" s="2" t="s">
        <v>6632</v>
      </c>
      <c r="C1659" s="2" t="s">
        <v>6633</v>
      </c>
      <c r="D1659" s="2" t="s">
        <v>6634</v>
      </c>
      <c r="E1659" s="2" t="s">
        <v>6635</v>
      </c>
      <c r="F1659" s="2" t="b">
        <v>1</v>
      </c>
      <c r="G1659" s="2" t="b">
        <v>0</v>
      </c>
      <c r="H1659" s="2" t="s">
        <v>37</v>
      </c>
      <c r="I1659" s="2" t="s">
        <v>49</v>
      </c>
      <c r="J1659" s="2" t="s">
        <v>565</v>
      </c>
      <c r="K1659" s="2" t="s">
        <v>495</v>
      </c>
      <c r="L1659" s="13" t="s">
        <v>496</v>
      </c>
      <c r="M1659" s="2" t="s">
        <v>26</v>
      </c>
      <c r="N1659" s="11" t="s">
        <v>576</v>
      </c>
      <c r="O1659" s="12" t="s">
        <v>53</v>
      </c>
      <c r="P1659" s="5" t="str">
        <f>IFERROR(__xludf.DUMMYFUNCTION("TEXTJOIN("" | "",TRUE,IF(OR(D1659="""",E1659="""",I1659="""",J1659="""",H1659=""""),""ফাঁকা ঘর"",""""),IF(AND(C1659&lt;&gt;"""",D1659&lt;&gt;"""",C1659=D1659),""gloss=figurative"",""""),IF(LEN(D1659)&lt;15,""figurative ছোট"",""""),IF(AND(I1659=""Positive"",REGEXMATCH(H1"&amp;"659,""মূর্খ|ভণ্ড|প্রতার|অলস|লোভ|স্বার্থ|অক্ষম|অযোগ্য|বোকা|কৃপণ|হিংস"")),""valence-target অমিল"",""""),IF(COUNTIF($B:$B,B1659)&gt;1,""ডুপ্লিকেট"",""""))"),"figurative ছোট")</f>
        <v>figurative ছোট</v>
      </c>
      <c r="Q1659" s="5" t="str">
        <f t="shared" si="1"/>
        <v>১ আগে দেখো</v>
      </c>
    </row>
    <row r="1660">
      <c r="A1660" s="4">
        <v>7274.0</v>
      </c>
      <c r="B1660" s="2" t="s">
        <v>6636</v>
      </c>
      <c r="C1660" s="2" t="s">
        <v>6637</v>
      </c>
      <c r="D1660" s="2" t="s">
        <v>669</v>
      </c>
      <c r="E1660" s="2" t="s">
        <v>6638</v>
      </c>
      <c r="F1660" s="2" t="b">
        <v>1</v>
      </c>
      <c r="G1660" s="2" t="b">
        <v>0</v>
      </c>
      <c r="H1660" s="2" t="s">
        <v>3407</v>
      </c>
      <c r="I1660" s="2" t="s">
        <v>22</v>
      </c>
      <c r="J1660" s="2" t="s">
        <v>669</v>
      </c>
      <c r="K1660" s="2" t="s">
        <v>495</v>
      </c>
      <c r="L1660" s="13" t="s">
        <v>496</v>
      </c>
      <c r="M1660" s="2" t="s">
        <v>26</v>
      </c>
      <c r="N1660" s="11" t="s">
        <v>576</v>
      </c>
      <c r="O1660" s="12" t="s">
        <v>53</v>
      </c>
      <c r="P1660" s="5" t="str">
        <f>IFERROR(__xludf.DUMMYFUNCTION("TEXTJOIN("" | "",TRUE,IF(OR(D1660="""",E1660="""",I1660="""",J1660="""",H1660=""""),""ফাঁকা ঘর"",""""),IF(AND(C1660&lt;&gt;"""",D1660&lt;&gt;"""",C1660=D1660),""gloss=figurative"",""""),IF(LEN(D1660)&lt;15,""figurative ছোট"",""""),IF(AND(I1660=""Positive"",REGEXMATCH(H1"&amp;"660,""মূর্খ|ভণ্ড|প্রতার|অলস|লোভ|স্বার্থ|অক্ষম|অযোগ্য|বোকা|কৃপণ|হিংস"")),""valence-target অমিল"",""""),IF(COUNTIF($B:$B,B1660)&gt;1,""ডুপ্লিকেট"",""""))"),"figurative ছোট")</f>
        <v>figurative ছোট</v>
      </c>
      <c r="Q1660" s="5" t="str">
        <f t="shared" si="1"/>
        <v>১ আগে দেখো</v>
      </c>
    </row>
    <row r="1661">
      <c r="A1661" s="4">
        <v>7275.0</v>
      </c>
      <c r="B1661" s="2" t="s">
        <v>6639</v>
      </c>
      <c r="C1661" s="2" t="s">
        <v>6640</v>
      </c>
      <c r="D1661" s="2" t="s">
        <v>6634</v>
      </c>
      <c r="E1661" s="2" t="s">
        <v>6641</v>
      </c>
      <c r="F1661" s="2" t="b">
        <v>1</v>
      </c>
      <c r="G1661" s="2" t="b">
        <v>0</v>
      </c>
      <c r="H1661" s="2" t="s">
        <v>37</v>
      </c>
      <c r="I1661" s="2" t="s">
        <v>22</v>
      </c>
      <c r="J1661" s="2" t="s">
        <v>565</v>
      </c>
      <c r="K1661" s="2" t="s">
        <v>495</v>
      </c>
      <c r="L1661" s="13" t="s">
        <v>496</v>
      </c>
      <c r="M1661" s="2" t="s">
        <v>26</v>
      </c>
      <c r="N1661" s="11" t="s">
        <v>576</v>
      </c>
      <c r="O1661" s="12" t="s">
        <v>53</v>
      </c>
      <c r="P1661" s="5" t="str">
        <f>IFERROR(__xludf.DUMMYFUNCTION("TEXTJOIN("" | "",TRUE,IF(OR(D1661="""",E1661="""",I1661="""",J1661="""",H1661=""""),""ফাঁকা ঘর"",""""),IF(AND(C1661&lt;&gt;"""",D1661&lt;&gt;"""",C1661=D1661),""gloss=figurative"",""""),IF(LEN(D1661)&lt;15,""figurative ছোট"",""""),IF(AND(I1661=""Positive"",REGEXMATCH(H1"&amp;"661,""মূর্খ|ভণ্ড|প্রতার|অলস|লোভ|স্বার্থ|অক্ষম|অযোগ্য|বোকা|কৃপণ|হিংস"")),""valence-target অমিল"",""""),IF(COUNTIF($B:$B,B1661)&gt;1,""ডুপ্লিকেট"",""""))"),"figurative ছোট")</f>
        <v>figurative ছোট</v>
      </c>
      <c r="Q1661" s="5" t="str">
        <f t="shared" si="1"/>
        <v>১ আগে দেখো</v>
      </c>
    </row>
    <row r="1662">
      <c r="A1662" s="4">
        <v>7276.0</v>
      </c>
      <c r="B1662" s="2" t="s">
        <v>6642</v>
      </c>
      <c r="C1662" s="2" t="s">
        <v>6643</v>
      </c>
      <c r="D1662" s="2" t="s">
        <v>1895</v>
      </c>
      <c r="E1662" s="2" t="s">
        <v>6644</v>
      </c>
      <c r="F1662" s="2" t="b">
        <v>1</v>
      </c>
      <c r="G1662" s="2" t="b">
        <v>0</v>
      </c>
      <c r="H1662" s="2" t="s">
        <v>37</v>
      </c>
      <c r="I1662" s="2" t="s">
        <v>32</v>
      </c>
      <c r="J1662" s="2" t="s">
        <v>6645</v>
      </c>
      <c r="K1662" s="2" t="s">
        <v>495</v>
      </c>
      <c r="L1662" s="13" t="s">
        <v>496</v>
      </c>
      <c r="M1662" s="2" t="s">
        <v>26</v>
      </c>
      <c r="N1662" s="11" t="s">
        <v>6646</v>
      </c>
      <c r="O1662" s="12" t="s">
        <v>53</v>
      </c>
      <c r="P1662" s="5" t="str">
        <f>IFERROR(__xludf.DUMMYFUNCTION("TEXTJOIN("" | "",TRUE,IF(OR(D1662="""",E1662="""",I1662="""",J1662="""",H1662=""""),""ফাঁকা ঘর"",""""),IF(AND(C1662&lt;&gt;"""",D1662&lt;&gt;"""",C1662=D1662),""gloss=figurative"",""""),IF(LEN(D1662)&lt;15,""figurative ছোট"",""""),IF(AND(I1662=""Positive"",REGEXMATCH(H1"&amp;"662,""মূর্খ|ভণ্ড|প্রতার|অলস|লোভ|স্বার্থ|অক্ষম|অযোগ্য|বোকা|কৃপণ|হিংস"")),""valence-target অমিল"",""""),IF(COUNTIF($B:$B,B1662)&gt;1,""ডুপ্লিকেট"",""""))"),"figurative ছোট")</f>
        <v>figurative ছোট</v>
      </c>
      <c r="Q1662" s="5" t="str">
        <f t="shared" si="1"/>
        <v>১ আগে দেখো</v>
      </c>
    </row>
    <row r="1663">
      <c r="A1663" s="4">
        <v>7277.0</v>
      </c>
      <c r="B1663" s="2" t="s">
        <v>6647</v>
      </c>
      <c r="C1663" s="2" t="s">
        <v>6648</v>
      </c>
      <c r="D1663" s="2" t="s">
        <v>6649</v>
      </c>
      <c r="E1663" s="2" t="s">
        <v>6650</v>
      </c>
      <c r="F1663" s="2" t="b">
        <v>1</v>
      </c>
      <c r="G1663" s="2" t="b">
        <v>0</v>
      </c>
      <c r="H1663" s="2" t="s">
        <v>37</v>
      </c>
      <c r="I1663" s="2" t="s">
        <v>32</v>
      </c>
      <c r="J1663" s="2" t="s">
        <v>6645</v>
      </c>
      <c r="K1663" s="2" t="s">
        <v>495</v>
      </c>
      <c r="L1663" s="13" t="s">
        <v>496</v>
      </c>
      <c r="M1663" s="2" t="s">
        <v>26</v>
      </c>
      <c r="N1663" s="11" t="s">
        <v>6651</v>
      </c>
      <c r="O1663" s="12" t="s">
        <v>53</v>
      </c>
      <c r="P1663" s="5" t="str">
        <f>IFERROR(__xludf.DUMMYFUNCTION("TEXTJOIN("" | "",TRUE,IF(OR(D1663="""",E1663="""",I1663="""",J1663="""",H1663=""""),""ফাঁকা ঘর"",""""),IF(AND(C1663&lt;&gt;"""",D1663&lt;&gt;"""",C1663=D1663),""gloss=figurative"",""""),IF(LEN(D1663)&lt;15,""figurative ছোট"",""""),IF(AND(I1663=""Positive"",REGEXMATCH(H1"&amp;"663,""মূর্খ|ভণ্ড|প্রতার|অলস|লোভ|স্বার্থ|অক্ষম|অযোগ্য|বোকা|কৃপণ|হিংস"")),""valence-target অমিল"",""""),IF(COUNTIF($B:$B,B1663)&gt;1,""ডুপ্লিকেট"",""""))"),"figurative ছোট")</f>
        <v>figurative ছোট</v>
      </c>
      <c r="Q1663" s="5" t="str">
        <f t="shared" si="1"/>
        <v>১ আগে দেখো</v>
      </c>
    </row>
    <row r="1664">
      <c r="A1664" s="4">
        <v>7278.0</v>
      </c>
      <c r="B1664" s="2" t="s">
        <v>6652</v>
      </c>
      <c r="C1664" s="2" t="s">
        <v>6653</v>
      </c>
      <c r="D1664" s="2" t="s">
        <v>208</v>
      </c>
      <c r="E1664" s="2" t="s">
        <v>6654</v>
      </c>
      <c r="F1664" s="2" t="b">
        <v>1</v>
      </c>
      <c r="G1664" s="2" t="b">
        <v>0</v>
      </c>
      <c r="H1664" s="2" t="s">
        <v>37</v>
      </c>
      <c r="I1664" s="2" t="s">
        <v>49</v>
      </c>
      <c r="J1664" s="2" t="s">
        <v>208</v>
      </c>
      <c r="K1664" s="2" t="s">
        <v>495</v>
      </c>
      <c r="L1664" s="13" t="s">
        <v>496</v>
      </c>
      <c r="M1664" s="2" t="s">
        <v>26</v>
      </c>
      <c r="N1664" s="11" t="s">
        <v>6655</v>
      </c>
      <c r="O1664" s="12" t="s">
        <v>53</v>
      </c>
      <c r="P1664" s="5" t="str">
        <f>IFERROR(__xludf.DUMMYFUNCTION("TEXTJOIN("" | "",TRUE,IF(OR(D1664="""",E1664="""",I1664="""",J1664="""",H1664=""""),""ফাঁকা ঘর"",""""),IF(AND(C1664&lt;&gt;"""",D1664&lt;&gt;"""",C1664=D1664),""gloss=figurative"",""""),IF(LEN(D1664)&lt;15,""figurative ছোট"",""""),IF(AND(I1664=""Positive"",REGEXMATCH(H1"&amp;"664,""মূর্খ|ভণ্ড|প্রতার|অলস|লোভ|স্বার্থ|অক্ষম|অযোগ্য|বোকা|কৃপণ|হিংস"")),""valence-target অমিল"",""""),IF(COUNTIF($B:$B,B1664)&gt;1,""ডুপ্লিকেট"",""""))"),"figurative ছোট")</f>
        <v>figurative ছোট</v>
      </c>
      <c r="Q1664" s="5" t="str">
        <f t="shared" si="1"/>
        <v>১ আগে দেখো</v>
      </c>
    </row>
    <row r="1665">
      <c r="A1665" s="4">
        <v>7279.0</v>
      </c>
      <c r="B1665" s="2" t="s">
        <v>6656</v>
      </c>
      <c r="C1665" s="2" t="s">
        <v>6657</v>
      </c>
      <c r="D1665" s="2" t="s">
        <v>2206</v>
      </c>
      <c r="E1665" s="2" t="s">
        <v>6658</v>
      </c>
      <c r="F1665" s="2" t="b">
        <v>1</v>
      </c>
      <c r="G1665" s="2" t="b">
        <v>0</v>
      </c>
      <c r="H1665" s="2" t="s">
        <v>37</v>
      </c>
      <c r="I1665" s="2" t="s">
        <v>49</v>
      </c>
      <c r="J1665" s="2" t="s">
        <v>208</v>
      </c>
      <c r="K1665" s="2" t="s">
        <v>495</v>
      </c>
      <c r="L1665" s="13" t="s">
        <v>496</v>
      </c>
      <c r="M1665" s="2" t="s">
        <v>26</v>
      </c>
      <c r="N1665" s="11" t="s">
        <v>6659</v>
      </c>
      <c r="O1665" s="12" t="s">
        <v>53</v>
      </c>
      <c r="P1665" s="5" t="str">
        <f>IFERROR(__xludf.DUMMYFUNCTION("TEXTJOIN("" | "",TRUE,IF(OR(D1665="""",E1665="""",I1665="""",J1665="""",H1665=""""),""ফাঁকা ঘর"",""""),IF(AND(C1665&lt;&gt;"""",D1665&lt;&gt;"""",C1665=D1665),""gloss=figurative"",""""),IF(LEN(D1665)&lt;15,""figurative ছোট"",""""),IF(AND(I1665=""Positive"",REGEXMATCH(H1"&amp;"665,""মূর্খ|ভণ্ড|প্রতার|অলস|লোভ|স্বার্থ|অক্ষম|অযোগ্য|বোকা|কৃপণ|হিংস"")),""valence-target অমিল"",""""),IF(COUNTIF($B:$B,B1665)&gt;1,""ডুপ্লিকেট"",""""))"),"figurative ছোট")</f>
        <v>figurative ছোট</v>
      </c>
      <c r="Q1665" s="5" t="str">
        <f t="shared" si="1"/>
        <v>১ আগে দেখো</v>
      </c>
    </row>
    <row r="1666">
      <c r="A1666" s="4">
        <v>7280.0</v>
      </c>
      <c r="B1666" s="2" t="s">
        <v>6660</v>
      </c>
      <c r="C1666" s="2" t="s">
        <v>6661</v>
      </c>
      <c r="D1666" s="2" t="s">
        <v>2857</v>
      </c>
      <c r="E1666" s="2" t="s">
        <v>6662</v>
      </c>
      <c r="F1666" s="2" t="b">
        <v>1</v>
      </c>
      <c r="G1666" s="2" t="b">
        <v>0</v>
      </c>
      <c r="H1666" s="2" t="s">
        <v>37</v>
      </c>
      <c r="I1666" s="2" t="s">
        <v>22</v>
      </c>
      <c r="J1666" s="2" t="s">
        <v>2857</v>
      </c>
      <c r="K1666" s="2" t="s">
        <v>495</v>
      </c>
      <c r="L1666" s="13" t="s">
        <v>496</v>
      </c>
      <c r="M1666" s="2" t="s">
        <v>26</v>
      </c>
      <c r="N1666" s="11" t="s">
        <v>576</v>
      </c>
      <c r="O1666" s="12" t="s">
        <v>53</v>
      </c>
      <c r="P1666" s="5" t="str">
        <f>IFERROR(__xludf.DUMMYFUNCTION("TEXTJOIN("" | "",TRUE,IF(OR(D1666="""",E1666="""",I1666="""",J1666="""",H1666=""""),""ফাঁকা ঘর"",""""),IF(AND(C1666&lt;&gt;"""",D1666&lt;&gt;"""",C1666=D1666),""gloss=figurative"",""""),IF(LEN(D1666)&lt;15,""figurative ছোট"",""""),IF(AND(I1666=""Positive"",REGEXMATCH(H1"&amp;"666,""মূর্খ|ভণ্ড|প্রতার|অলস|লোভ|স্বার্থ|অক্ষম|অযোগ্য|বোকা|কৃপণ|হিংস"")),""valence-target অমিল"",""""),IF(COUNTIF($B:$B,B1666)&gt;1,""ডুপ্লিকেট"",""""))"),"figurative ছোট")</f>
        <v>figurative ছোট</v>
      </c>
      <c r="Q1666" s="5" t="str">
        <f t="shared" si="1"/>
        <v>১ আগে দেখো</v>
      </c>
    </row>
    <row r="1667">
      <c r="A1667" s="4">
        <v>7281.0</v>
      </c>
      <c r="B1667" s="2" t="s">
        <v>6663</v>
      </c>
      <c r="C1667" s="2" t="s">
        <v>6664</v>
      </c>
      <c r="D1667" s="2" t="s">
        <v>1008</v>
      </c>
      <c r="E1667" s="2" t="s">
        <v>6665</v>
      </c>
      <c r="F1667" s="2" t="b">
        <v>1</v>
      </c>
      <c r="G1667" s="2" t="b">
        <v>0</v>
      </c>
      <c r="H1667" s="2" t="s">
        <v>37</v>
      </c>
      <c r="I1667" s="2" t="s">
        <v>22</v>
      </c>
      <c r="J1667" s="2" t="s">
        <v>1008</v>
      </c>
      <c r="K1667" s="2" t="s">
        <v>495</v>
      </c>
      <c r="L1667" s="13" t="s">
        <v>496</v>
      </c>
      <c r="M1667" s="2" t="s">
        <v>26</v>
      </c>
      <c r="N1667" s="11" t="s">
        <v>576</v>
      </c>
      <c r="O1667" s="12" t="s">
        <v>53</v>
      </c>
      <c r="P1667" s="5" t="str">
        <f>IFERROR(__xludf.DUMMYFUNCTION("TEXTJOIN("" | "",TRUE,IF(OR(D1667="""",E1667="""",I1667="""",J1667="""",H1667=""""),""ফাঁকা ঘর"",""""),IF(AND(C1667&lt;&gt;"""",D1667&lt;&gt;"""",C1667=D1667),""gloss=figurative"",""""),IF(LEN(D1667)&lt;15,""figurative ছোট"",""""),IF(AND(I1667=""Positive"",REGEXMATCH(H1"&amp;"667,""মূর্খ|ভণ্ড|প্রতার|অলস|লোভ|স্বার্থ|অক্ষম|অযোগ্য|বোকা|কৃপণ|হিংস"")),""valence-target অমিল"",""""),IF(COUNTIF($B:$B,B1667)&gt;1,""ডুপ্লিকেট"",""""))"),"figurative ছোট")</f>
        <v>figurative ছোট</v>
      </c>
      <c r="Q1667" s="5" t="str">
        <f t="shared" si="1"/>
        <v>১ আগে দেখো</v>
      </c>
    </row>
    <row r="1668">
      <c r="A1668" s="4">
        <v>7282.0</v>
      </c>
      <c r="B1668" s="2" t="s">
        <v>6666</v>
      </c>
      <c r="C1668" s="2" t="s">
        <v>6667</v>
      </c>
      <c r="D1668" s="2" t="s">
        <v>2742</v>
      </c>
      <c r="E1668" s="2" t="s">
        <v>6668</v>
      </c>
      <c r="F1668" s="2" t="b">
        <v>1</v>
      </c>
      <c r="G1668" s="2" t="b">
        <v>0</v>
      </c>
      <c r="H1668" s="2" t="s">
        <v>37</v>
      </c>
      <c r="I1668" s="2" t="s">
        <v>49</v>
      </c>
      <c r="J1668" s="2" t="s">
        <v>2742</v>
      </c>
      <c r="K1668" s="2" t="s">
        <v>495</v>
      </c>
      <c r="L1668" s="13" t="s">
        <v>496</v>
      </c>
      <c r="M1668" s="2" t="s">
        <v>26</v>
      </c>
      <c r="N1668" s="11" t="s">
        <v>576</v>
      </c>
      <c r="O1668" s="12" t="s">
        <v>53</v>
      </c>
      <c r="P1668" s="5" t="str">
        <f>IFERROR(__xludf.DUMMYFUNCTION("TEXTJOIN("" | "",TRUE,IF(OR(D1668="""",E1668="""",I1668="""",J1668="""",H1668=""""),""ফাঁকা ঘর"",""""),IF(AND(C1668&lt;&gt;"""",D1668&lt;&gt;"""",C1668=D1668),""gloss=figurative"",""""),IF(LEN(D1668)&lt;15,""figurative ছোট"",""""),IF(AND(I1668=""Positive"",REGEXMATCH(H1"&amp;"668,""মূর্খ|ভণ্ড|প্রতার|অলস|লোভ|স্বার্থ|অক্ষম|অযোগ্য|বোকা|কৃপণ|হিংস"")),""valence-target অমিল"",""""),IF(COUNTIF($B:$B,B1668)&gt;1,""ডুপ্লিকেট"",""""))"),"figurative ছোট")</f>
        <v>figurative ছোট</v>
      </c>
      <c r="Q1668" s="5" t="str">
        <f t="shared" si="1"/>
        <v>১ আগে দেখো</v>
      </c>
    </row>
    <row r="1669">
      <c r="A1669" s="4">
        <v>7283.0</v>
      </c>
      <c r="B1669" s="2" t="s">
        <v>6669</v>
      </c>
      <c r="C1669" s="2" t="s">
        <v>6670</v>
      </c>
      <c r="D1669" s="2" t="s">
        <v>6671</v>
      </c>
      <c r="E1669" s="2" t="s">
        <v>6672</v>
      </c>
      <c r="F1669" s="2" t="b">
        <v>1</v>
      </c>
      <c r="G1669" s="2" t="b">
        <v>0</v>
      </c>
      <c r="H1669" s="2" t="s">
        <v>37</v>
      </c>
      <c r="I1669" s="2" t="s">
        <v>49</v>
      </c>
      <c r="J1669" s="2" t="s">
        <v>1008</v>
      </c>
      <c r="K1669" s="2" t="s">
        <v>495</v>
      </c>
      <c r="L1669" s="13" t="s">
        <v>496</v>
      </c>
      <c r="M1669" s="2" t="s">
        <v>26</v>
      </c>
      <c r="N1669" s="11" t="s">
        <v>576</v>
      </c>
      <c r="O1669" s="12" t="s">
        <v>53</v>
      </c>
      <c r="P1669" s="5" t="str">
        <f>IFERROR(__xludf.DUMMYFUNCTION("TEXTJOIN("" | "",TRUE,IF(OR(D1669="""",E1669="""",I1669="""",J1669="""",H1669=""""),""ফাঁকা ঘর"",""""),IF(AND(C1669&lt;&gt;"""",D1669&lt;&gt;"""",C1669=D1669),""gloss=figurative"",""""),IF(LEN(D1669)&lt;15,""figurative ছোট"",""""),IF(AND(I1669=""Positive"",REGEXMATCH(H1"&amp;"669,""মূর্খ|ভণ্ড|প্রতার|অলস|লোভ|স্বার্থ|অক্ষম|অযোগ্য|বোকা|কৃপণ|হিংস"")),""valence-target অমিল"",""""),IF(COUNTIF($B:$B,B1669)&gt;1,""ডুপ্লিকেট"",""""))"),"figurative ছোট")</f>
        <v>figurative ছোট</v>
      </c>
      <c r="Q1669" s="5" t="str">
        <f t="shared" si="1"/>
        <v>১ আগে দেখো</v>
      </c>
    </row>
    <row r="1670">
      <c r="A1670" s="4">
        <v>7284.0</v>
      </c>
      <c r="B1670" s="2" t="s">
        <v>6673</v>
      </c>
      <c r="C1670" s="2" t="s">
        <v>6674</v>
      </c>
      <c r="D1670" s="2" t="s">
        <v>2675</v>
      </c>
      <c r="E1670" s="2" t="s">
        <v>6675</v>
      </c>
      <c r="F1670" s="2" t="b">
        <v>1</v>
      </c>
      <c r="G1670" s="2" t="b">
        <v>0</v>
      </c>
      <c r="H1670" s="2" t="s">
        <v>37</v>
      </c>
      <c r="I1670" s="2" t="s">
        <v>49</v>
      </c>
      <c r="J1670" s="2" t="s">
        <v>1621</v>
      </c>
      <c r="K1670" s="2" t="s">
        <v>495</v>
      </c>
      <c r="L1670" s="13" t="s">
        <v>496</v>
      </c>
      <c r="M1670" s="2" t="s">
        <v>26</v>
      </c>
      <c r="N1670" s="11" t="s">
        <v>576</v>
      </c>
      <c r="O1670" s="12" t="s">
        <v>53</v>
      </c>
      <c r="P1670" s="5" t="str">
        <f>IFERROR(__xludf.DUMMYFUNCTION("TEXTJOIN("" | "",TRUE,IF(OR(D1670="""",E1670="""",I1670="""",J1670="""",H1670=""""),""ফাঁকা ঘর"",""""),IF(AND(C1670&lt;&gt;"""",D1670&lt;&gt;"""",C1670=D1670),""gloss=figurative"",""""),IF(LEN(D1670)&lt;15,""figurative ছোট"",""""),IF(AND(I1670=""Positive"",REGEXMATCH(H1"&amp;"670,""মূর্খ|ভণ্ড|প্রতার|অলস|লোভ|স্বার্থ|অক্ষম|অযোগ্য|বোকা|কৃপণ|হিংস"")),""valence-target অমিল"",""""),IF(COUNTIF($B:$B,B1670)&gt;1,""ডুপ্লিকেট"",""""))"),"figurative ছোট")</f>
        <v>figurative ছোট</v>
      </c>
      <c r="Q1670" s="5" t="str">
        <f t="shared" si="1"/>
        <v>১ আগে দেখো</v>
      </c>
    </row>
    <row r="1671">
      <c r="A1671" s="4">
        <v>7285.0</v>
      </c>
      <c r="B1671" s="2" t="s">
        <v>6676</v>
      </c>
      <c r="C1671" s="2" t="s">
        <v>6677</v>
      </c>
      <c r="D1671" s="2" t="s">
        <v>424</v>
      </c>
      <c r="E1671" s="2" t="s">
        <v>6678</v>
      </c>
      <c r="F1671" s="2" t="b">
        <v>1</v>
      </c>
      <c r="G1671" s="2" t="b">
        <v>0</v>
      </c>
      <c r="H1671" s="2" t="s">
        <v>37</v>
      </c>
      <c r="I1671" s="2" t="s">
        <v>49</v>
      </c>
      <c r="J1671" s="2" t="s">
        <v>424</v>
      </c>
      <c r="K1671" s="2" t="s">
        <v>495</v>
      </c>
      <c r="L1671" s="13" t="s">
        <v>496</v>
      </c>
      <c r="M1671" s="2" t="s">
        <v>26</v>
      </c>
      <c r="N1671" s="11" t="s">
        <v>6679</v>
      </c>
      <c r="O1671" s="12" t="s">
        <v>53</v>
      </c>
      <c r="P1671" s="5" t="str">
        <f>IFERROR(__xludf.DUMMYFUNCTION("TEXTJOIN("" | "",TRUE,IF(OR(D1671="""",E1671="""",I1671="""",J1671="""",H1671=""""),""ফাঁকা ঘর"",""""),IF(AND(C1671&lt;&gt;"""",D1671&lt;&gt;"""",C1671=D1671),""gloss=figurative"",""""),IF(LEN(D1671)&lt;15,""figurative ছোট"",""""),IF(AND(I1671=""Positive"",REGEXMATCH(H1"&amp;"671,""মূর্খ|ভণ্ড|প্রতার|অলস|লোভ|স্বার্থ|অক্ষম|অযোগ্য|বোকা|কৃপণ|হিংস"")),""valence-target অমিল"",""""),IF(COUNTIF($B:$B,B1671)&gt;1,""ডুপ্লিকেট"",""""))"),"figurative ছোট")</f>
        <v>figurative ছোট</v>
      </c>
      <c r="Q1671" s="5" t="str">
        <f t="shared" si="1"/>
        <v>১ আগে দেখো</v>
      </c>
    </row>
    <row r="1672">
      <c r="A1672" s="4">
        <v>7286.0</v>
      </c>
      <c r="B1672" s="2" t="s">
        <v>6680</v>
      </c>
      <c r="C1672" s="2" t="s">
        <v>6681</v>
      </c>
      <c r="D1672" s="2" t="s">
        <v>3156</v>
      </c>
      <c r="E1672" s="2" t="s">
        <v>6682</v>
      </c>
      <c r="F1672" s="2" t="b">
        <v>1</v>
      </c>
      <c r="G1672" s="2" t="b">
        <v>0</v>
      </c>
      <c r="H1672" s="2" t="s">
        <v>37</v>
      </c>
      <c r="I1672" s="2" t="s">
        <v>49</v>
      </c>
      <c r="J1672" s="2" t="s">
        <v>3156</v>
      </c>
      <c r="K1672" s="2" t="s">
        <v>495</v>
      </c>
      <c r="L1672" s="13" t="s">
        <v>496</v>
      </c>
      <c r="M1672" s="2" t="s">
        <v>26</v>
      </c>
      <c r="N1672" s="11" t="s">
        <v>6683</v>
      </c>
      <c r="O1672" s="12" t="s">
        <v>53</v>
      </c>
      <c r="P1672" s="5" t="str">
        <f>IFERROR(__xludf.DUMMYFUNCTION("TEXTJOIN("" | "",TRUE,IF(OR(D1672="""",E1672="""",I1672="""",J1672="""",H1672=""""),""ফাঁকা ঘর"",""""),IF(AND(C1672&lt;&gt;"""",D1672&lt;&gt;"""",C1672=D1672),""gloss=figurative"",""""),IF(LEN(D1672)&lt;15,""figurative ছোট"",""""),IF(AND(I1672=""Positive"",REGEXMATCH(H1"&amp;"672,""মূর্খ|ভণ্ড|প্রতার|অলস|লোভ|স্বার্থ|অক্ষম|অযোগ্য|বোকা|কৃপণ|হিংস"")),""valence-target অমিল"",""""),IF(COUNTIF($B:$B,B1672)&gt;1,""ডুপ্লিকেট"",""""))"),"figurative ছোট")</f>
        <v>figurative ছোট</v>
      </c>
      <c r="Q1672" s="5" t="str">
        <f t="shared" si="1"/>
        <v>১ আগে দেখো</v>
      </c>
    </row>
    <row r="1673">
      <c r="A1673" s="4">
        <v>7287.0</v>
      </c>
      <c r="B1673" s="2" t="s">
        <v>6684</v>
      </c>
      <c r="C1673" s="2" t="s">
        <v>6685</v>
      </c>
      <c r="D1673" s="2" t="s">
        <v>6686</v>
      </c>
      <c r="E1673" s="2" t="s">
        <v>6687</v>
      </c>
      <c r="F1673" s="2" t="b">
        <v>1</v>
      </c>
      <c r="G1673" s="2" t="b">
        <v>0</v>
      </c>
      <c r="H1673" s="2" t="s">
        <v>37</v>
      </c>
      <c r="I1673" s="2" t="s">
        <v>22</v>
      </c>
      <c r="J1673" s="2" t="s">
        <v>1859</v>
      </c>
      <c r="K1673" s="2" t="s">
        <v>495</v>
      </c>
      <c r="L1673" s="13" t="s">
        <v>496</v>
      </c>
      <c r="M1673" s="2" t="s">
        <v>26</v>
      </c>
      <c r="N1673" s="11" t="s">
        <v>576</v>
      </c>
      <c r="O1673" s="12" t="s">
        <v>53</v>
      </c>
      <c r="P1673" s="5" t="str">
        <f>IFERROR(__xludf.DUMMYFUNCTION("TEXTJOIN("" | "",TRUE,IF(OR(D1673="""",E1673="""",I1673="""",J1673="""",H1673=""""),""ফাঁকা ঘর"",""""),IF(AND(C1673&lt;&gt;"""",D1673&lt;&gt;"""",C1673=D1673),""gloss=figurative"",""""),IF(LEN(D1673)&lt;15,""figurative ছোট"",""""),IF(AND(I1673=""Positive"",REGEXMATCH(H1"&amp;"673,""মূর্খ|ভণ্ড|প্রতার|অলস|লোভ|স্বার্থ|অক্ষম|অযোগ্য|বোকা|কৃপণ|হিংস"")),""valence-target অমিল"",""""),IF(COUNTIF($B:$B,B1673)&gt;1,""ডুপ্লিকেট"",""""))"),"figurative ছোট")</f>
        <v>figurative ছোট</v>
      </c>
      <c r="Q1673" s="5" t="str">
        <f t="shared" si="1"/>
        <v>১ আগে দেখো</v>
      </c>
    </row>
    <row r="1674">
      <c r="A1674" s="4">
        <v>7288.0</v>
      </c>
      <c r="B1674" s="2" t="s">
        <v>6688</v>
      </c>
      <c r="C1674" s="2" t="s">
        <v>6689</v>
      </c>
      <c r="D1674" s="2" t="s">
        <v>2300</v>
      </c>
      <c r="E1674" s="2" t="s">
        <v>6690</v>
      </c>
      <c r="F1674" s="2" t="b">
        <v>1</v>
      </c>
      <c r="G1674" s="2" t="b">
        <v>1</v>
      </c>
      <c r="H1674" s="2" t="s">
        <v>6691</v>
      </c>
      <c r="I1674" s="2" t="s">
        <v>49</v>
      </c>
      <c r="J1674" s="2" t="s">
        <v>3327</v>
      </c>
      <c r="K1674" s="2" t="s">
        <v>495</v>
      </c>
      <c r="L1674" s="13" t="s">
        <v>496</v>
      </c>
      <c r="M1674" s="2" t="s">
        <v>26</v>
      </c>
      <c r="N1674" s="11" t="s">
        <v>576</v>
      </c>
      <c r="O1674" s="12" t="s">
        <v>53</v>
      </c>
      <c r="P1674" s="5" t="str">
        <f>IFERROR(__xludf.DUMMYFUNCTION("TEXTJOIN("" | "",TRUE,IF(OR(D1674="""",E1674="""",I1674="""",J1674="""",H1674=""""),""ফাঁকা ঘর"",""""),IF(AND(C1674&lt;&gt;"""",D1674&lt;&gt;"""",C1674=D1674),""gloss=figurative"",""""),IF(LEN(D1674)&lt;15,""figurative ছোট"",""""),IF(AND(I1674=""Positive"",REGEXMATCH(H1"&amp;"674,""মূর্খ|ভণ্ড|প্রতার|অলস|লোভ|স্বার্থ|অক্ষম|অযোগ্য|বোকা|কৃপণ|হিংস"")),""valence-target অমিল"",""""),IF(COUNTIF($B:$B,B1674)&gt;1,""ডুপ্লিকেট"",""""))"),"figurative ছোট")</f>
        <v>figurative ছোট</v>
      </c>
      <c r="Q1674" s="5" t="str">
        <f t="shared" si="1"/>
        <v>১ আগে দেখো</v>
      </c>
    </row>
    <row r="1675">
      <c r="A1675" s="4">
        <v>7289.0</v>
      </c>
      <c r="B1675" s="2" t="s">
        <v>6692</v>
      </c>
      <c r="C1675" s="2" t="s">
        <v>6692</v>
      </c>
      <c r="D1675" s="2" t="s">
        <v>6693</v>
      </c>
      <c r="E1675" s="2" t="s">
        <v>6694</v>
      </c>
      <c r="F1675" s="2" t="b">
        <v>1</v>
      </c>
      <c r="G1675" s="2" t="b">
        <v>0</v>
      </c>
      <c r="H1675" s="2" t="s">
        <v>37</v>
      </c>
      <c r="I1675" s="2" t="s">
        <v>22</v>
      </c>
      <c r="J1675" s="2" t="s">
        <v>5689</v>
      </c>
      <c r="K1675" s="2" t="s">
        <v>495</v>
      </c>
      <c r="L1675" s="13" t="s">
        <v>496</v>
      </c>
      <c r="M1675" s="2" t="s">
        <v>26</v>
      </c>
      <c r="N1675" s="11" t="s">
        <v>576</v>
      </c>
      <c r="O1675" s="12" t="s">
        <v>53</v>
      </c>
      <c r="P1675" s="5" t="str">
        <f>IFERROR(__xludf.DUMMYFUNCTION("TEXTJOIN("" | "",TRUE,IF(OR(D1675="""",E1675="""",I1675="""",J1675="""",H1675=""""),""ফাঁকা ঘর"",""""),IF(AND(C1675&lt;&gt;"""",D1675&lt;&gt;"""",C1675=D1675),""gloss=figurative"",""""),IF(LEN(D1675)&lt;15,""figurative ছোট"",""""),IF(AND(I1675=""Positive"",REGEXMATCH(H1"&amp;"675,""মূর্খ|ভণ্ড|প্রতার|অলস|লোভ|স্বার্থ|অক্ষম|অযোগ্য|বোকা|কৃপণ|হিংস"")),""valence-target অমিল"",""""),IF(COUNTIF($B:$B,B1675)&gt;1,""ডুপ্লিকেট"",""""))"),"figurative ছোট")</f>
        <v>figurative ছোট</v>
      </c>
      <c r="Q1675" s="5" t="str">
        <f t="shared" si="1"/>
        <v>১ আগে দেখো</v>
      </c>
    </row>
    <row r="1676">
      <c r="A1676" s="4">
        <v>7291.0</v>
      </c>
      <c r="B1676" s="2" t="s">
        <v>6695</v>
      </c>
      <c r="C1676" s="2" t="s">
        <v>6696</v>
      </c>
      <c r="D1676" s="2" t="s">
        <v>6697</v>
      </c>
      <c r="E1676" s="2" t="s">
        <v>6698</v>
      </c>
      <c r="F1676" s="2" t="b">
        <v>1</v>
      </c>
      <c r="G1676" s="2" t="b">
        <v>0</v>
      </c>
      <c r="H1676" s="2" t="s">
        <v>37</v>
      </c>
      <c r="I1676" s="2" t="s">
        <v>22</v>
      </c>
      <c r="J1676" s="2" t="s">
        <v>1008</v>
      </c>
      <c r="K1676" s="2" t="s">
        <v>495</v>
      </c>
      <c r="L1676" s="13" t="s">
        <v>496</v>
      </c>
      <c r="M1676" s="2" t="s">
        <v>26</v>
      </c>
      <c r="N1676" s="11" t="s">
        <v>576</v>
      </c>
      <c r="O1676" s="12" t="s">
        <v>53</v>
      </c>
      <c r="P1676" s="5" t="str">
        <f>IFERROR(__xludf.DUMMYFUNCTION("TEXTJOIN("" | "",TRUE,IF(OR(D1676="""",E1676="""",I1676="""",J1676="""",H1676=""""),""ফাঁকা ঘর"",""""),IF(AND(C1676&lt;&gt;"""",D1676&lt;&gt;"""",C1676=D1676),""gloss=figurative"",""""),IF(LEN(D1676)&lt;15,""figurative ছোট"",""""),IF(AND(I1676=""Positive"",REGEXMATCH(H1"&amp;"676,""মূর্খ|ভণ্ড|প্রতার|অলস|লোভ|স্বার্থ|অক্ষম|অযোগ্য|বোকা|কৃপণ|হিংস"")),""valence-target অমিল"",""""),IF(COUNTIF($B:$B,B1676)&gt;1,""ডুপ্লিকেট"",""""))"),"figurative ছোট")</f>
        <v>figurative ছোট</v>
      </c>
      <c r="Q1676" s="5" t="str">
        <f t="shared" si="1"/>
        <v>১ আগে দেখো</v>
      </c>
    </row>
    <row r="1677">
      <c r="A1677" s="4">
        <v>7294.0</v>
      </c>
      <c r="B1677" s="2" t="s">
        <v>6699</v>
      </c>
      <c r="C1677" s="2" t="s">
        <v>6700</v>
      </c>
      <c r="D1677" s="2" t="s">
        <v>6701</v>
      </c>
      <c r="E1677" s="2" t="s">
        <v>6702</v>
      </c>
      <c r="F1677" s="2" t="b">
        <v>1</v>
      </c>
      <c r="G1677" s="2" t="b">
        <v>0</v>
      </c>
      <c r="H1677" s="2" t="s">
        <v>37</v>
      </c>
      <c r="I1677" s="2" t="s">
        <v>32</v>
      </c>
      <c r="J1677" s="2" t="s">
        <v>1775</v>
      </c>
      <c r="K1677" s="2" t="s">
        <v>495</v>
      </c>
      <c r="L1677" s="13" t="s">
        <v>496</v>
      </c>
      <c r="M1677" s="2" t="s">
        <v>26</v>
      </c>
      <c r="N1677" s="11" t="s">
        <v>576</v>
      </c>
      <c r="O1677" s="12" t="s">
        <v>53</v>
      </c>
      <c r="P1677" s="5" t="str">
        <f>IFERROR(__xludf.DUMMYFUNCTION("TEXTJOIN("" | "",TRUE,IF(OR(D1677="""",E1677="""",I1677="""",J1677="""",H1677=""""),""ফাঁকা ঘর"",""""),IF(AND(C1677&lt;&gt;"""",D1677&lt;&gt;"""",C1677=D1677),""gloss=figurative"",""""),IF(LEN(D1677)&lt;15,""figurative ছোট"",""""),IF(AND(I1677=""Positive"",REGEXMATCH(H1"&amp;"677,""মূর্খ|ভণ্ড|প্রতার|অলস|লোভ|স্বার্থ|অক্ষম|অযোগ্য|বোকা|কৃপণ|হিংস"")),""valence-target অমিল"",""""),IF(COUNTIF($B:$B,B1677)&gt;1,""ডুপ্লিকেট"",""""))"),"figurative ছোট")</f>
        <v>figurative ছোট</v>
      </c>
      <c r="Q1677" s="5" t="str">
        <f t="shared" si="1"/>
        <v>১ আগে দেখো</v>
      </c>
    </row>
    <row r="1678">
      <c r="A1678" s="4">
        <v>7296.0</v>
      </c>
      <c r="B1678" s="2" t="s">
        <v>6703</v>
      </c>
      <c r="C1678" s="2" t="s">
        <v>6704</v>
      </c>
      <c r="D1678" s="2" t="s">
        <v>2273</v>
      </c>
      <c r="E1678" s="2" t="s">
        <v>6705</v>
      </c>
      <c r="F1678" s="2" t="b">
        <v>1</v>
      </c>
      <c r="G1678" s="2" t="b">
        <v>0</v>
      </c>
      <c r="H1678" s="2" t="s">
        <v>37</v>
      </c>
      <c r="I1678" s="2" t="s">
        <v>49</v>
      </c>
      <c r="J1678" s="2" t="s">
        <v>2273</v>
      </c>
      <c r="K1678" s="2" t="s">
        <v>495</v>
      </c>
      <c r="L1678" s="13" t="s">
        <v>496</v>
      </c>
      <c r="M1678" s="2" t="s">
        <v>26</v>
      </c>
      <c r="N1678" s="11" t="s">
        <v>576</v>
      </c>
      <c r="O1678" s="12" t="s">
        <v>53</v>
      </c>
      <c r="P1678" s="5" t="str">
        <f>IFERROR(__xludf.DUMMYFUNCTION("TEXTJOIN("" | "",TRUE,IF(OR(D1678="""",E1678="""",I1678="""",J1678="""",H1678=""""),""ফাঁকা ঘর"",""""),IF(AND(C1678&lt;&gt;"""",D1678&lt;&gt;"""",C1678=D1678),""gloss=figurative"",""""),IF(LEN(D1678)&lt;15,""figurative ছোট"",""""),IF(AND(I1678=""Positive"",REGEXMATCH(H1"&amp;"678,""মূর্খ|ভণ্ড|প্রতার|অলস|লোভ|স্বার্থ|অক্ষম|অযোগ্য|বোকা|কৃপণ|হিংস"")),""valence-target অমিল"",""""),IF(COUNTIF($B:$B,B1678)&gt;1,""ডুপ্লিকেট"",""""))"),"figurative ছোট")</f>
        <v>figurative ছোট</v>
      </c>
      <c r="Q1678" s="5" t="str">
        <f t="shared" si="1"/>
        <v>১ আগে দেখো</v>
      </c>
    </row>
    <row r="1679">
      <c r="A1679" s="4">
        <v>7297.0</v>
      </c>
      <c r="B1679" s="2" t="s">
        <v>6706</v>
      </c>
      <c r="C1679" s="2" t="s">
        <v>6707</v>
      </c>
      <c r="D1679" s="2" t="s">
        <v>1837</v>
      </c>
      <c r="E1679" s="2" t="s">
        <v>6708</v>
      </c>
      <c r="F1679" s="2" t="b">
        <v>1</v>
      </c>
      <c r="G1679" s="2" t="b">
        <v>0</v>
      </c>
      <c r="H1679" s="2" t="s">
        <v>37</v>
      </c>
      <c r="I1679" s="2" t="s">
        <v>49</v>
      </c>
      <c r="J1679" s="2" t="s">
        <v>300</v>
      </c>
      <c r="K1679" s="2" t="s">
        <v>495</v>
      </c>
      <c r="L1679" s="13" t="s">
        <v>496</v>
      </c>
      <c r="M1679" s="2" t="s">
        <v>26</v>
      </c>
      <c r="N1679" s="11" t="s">
        <v>576</v>
      </c>
      <c r="O1679" s="12" t="s">
        <v>53</v>
      </c>
      <c r="P1679" s="5" t="str">
        <f>IFERROR(__xludf.DUMMYFUNCTION("TEXTJOIN("" | "",TRUE,IF(OR(D1679="""",E1679="""",I1679="""",J1679="""",H1679=""""),""ফাঁকা ঘর"",""""),IF(AND(C1679&lt;&gt;"""",D1679&lt;&gt;"""",C1679=D1679),""gloss=figurative"",""""),IF(LEN(D1679)&lt;15,""figurative ছোট"",""""),IF(AND(I1679=""Positive"",REGEXMATCH(H1"&amp;"679,""মূর্খ|ভণ্ড|প্রতার|অলস|লোভ|স্বার্থ|অক্ষম|অযোগ্য|বোকা|কৃপণ|হিংস"")),""valence-target অমিল"",""""),IF(COUNTIF($B:$B,B1679)&gt;1,""ডুপ্লিকেট"",""""))"),"figurative ছোট")</f>
        <v>figurative ছোট</v>
      </c>
      <c r="Q1679" s="5" t="str">
        <f t="shared" si="1"/>
        <v>১ আগে দেখো</v>
      </c>
    </row>
    <row r="1680">
      <c r="A1680" s="4">
        <v>7299.0</v>
      </c>
      <c r="B1680" s="2" t="s">
        <v>6709</v>
      </c>
      <c r="C1680" s="2" t="s">
        <v>6709</v>
      </c>
      <c r="D1680" s="2" t="s">
        <v>6710</v>
      </c>
      <c r="E1680" s="2" t="s">
        <v>6711</v>
      </c>
      <c r="F1680" s="2" t="b">
        <v>1</v>
      </c>
      <c r="G1680" s="2" t="b">
        <v>0</v>
      </c>
      <c r="H1680" s="2" t="s">
        <v>37</v>
      </c>
      <c r="I1680" s="2" t="s">
        <v>49</v>
      </c>
      <c r="J1680" s="2" t="s">
        <v>6712</v>
      </c>
      <c r="K1680" s="2" t="s">
        <v>495</v>
      </c>
      <c r="L1680" s="13" t="s">
        <v>496</v>
      </c>
      <c r="M1680" s="2" t="s">
        <v>26</v>
      </c>
      <c r="N1680" s="11" t="s">
        <v>576</v>
      </c>
      <c r="O1680" s="12" t="s">
        <v>53</v>
      </c>
      <c r="P1680" s="5" t="str">
        <f>IFERROR(__xludf.DUMMYFUNCTION("TEXTJOIN("" | "",TRUE,IF(OR(D1680="""",E1680="""",I1680="""",J1680="""",H1680=""""),""ফাঁকা ঘর"",""""),IF(AND(C1680&lt;&gt;"""",D1680&lt;&gt;"""",C1680=D1680),""gloss=figurative"",""""),IF(LEN(D1680)&lt;15,""figurative ছোট"",""""),IF(AND(I1680=""Positive"",REGEXMATCH(H1"&amp;"680,""মূর্খ|ভণ্ড|প্রতার|অলস|লোভ|স্বার্থ|অক্ষম|অযোগ্য|বোকা|কৃপণ|হিংস"")),""valence-target অমিল"",""""),IF(COUNTIF($B:$B,B1680)&gt;1,""ডুপ্লিকেট"",""""))"),"figurative ছোট")</f>
        <v>figurative ছোট</v>
      </c>
      <c r="Q1680" s="5" t="str">
        <f t="shared" si="1"/>
        <v>১ আগে দেখো</v>
      </c>
    </row>
    <row r="1681">
      <c r="A1681" s="4">
        <v>7300.0</v>
      </c>
      <c r="B1681" s="2" t="s">
        <v>6713</v>
      </c>
      <c r="C1681" s="2" t="s">
        <v>6714</v>
      </c>
      <c r="D1681" s="2" t="s">
        <v>6715</v>
      </c>
      <c r="E1681" s="2" t="s">
        <v>6716</v>
      </c>
      <c r="F1681" s="2" t="b">
        <v>1</v>
      </c>
      <c r="G1681" s="2" t="b">
        <v>0</v>
      </c>
      <c r="H1681" s="2" t="s">
        <v>37</v>
      </c>
      <c r="I1681" s="2" t="s">
        <v>49</v>
      </c>
      <c r="J1681" s="2" t="s">
        <v>2273</v>
      </c>
      <c r="K1681" s="2" t="s">
        <v>495</v>
      </c>
      <c r="L1681" s="13" t="s">
        <v>496</v>
      </c>
      <c r="M1681" s="2" t="s">
        <v>26</v>
      </c>
      <c r="N1681" s="11" t="s">
        <v>576</v>
      </c>
      <c r="O1681" s="12" t="s">
        <v>53</v>
      </c>
      <c r="P1681" s="5" t="str">
        <f>IFERROR(__xludf.DUMMYFUNCTION("TEXTJOIN("" | "",TRUE,IF(OR(D1681="""",E1681="""",I1681="""",J1681="""",H1681=""""),""ফাঁকা ঘর"",""""),IF(AND(C1681&lt;&gt;"""",D1681&lt;&gt;"""",C1681=D1681),""gloss=figurative"",""""),IF(LEN(D1681)&lt;15,""figurative ছোট"",""""),IF(AND(I1681=""Positive"",REGEXMATCH(H1"&amp;"681,""মূর্খ|ভণ্ড|প্রতার|অলস|লোভ|স্বার্থ|অক্ষম|অযোগ্য|বোকা|কৃপণ|হিংস"")),""valence-target অমিল"",""""),IF(COUNTIF($B:$B,B1681)&gt;1,""ডুপ্লিকেট"",""""))"),"figurative ছোট")</f>
        <v>figurative ছোট</v>
      </c>
      <c r="Q1681" s="5" t="str">
        <f t="shared" si="1"/>
        <v>১ আগে দেখো</v>
      </c>
    </row>
    <row r="1682">
      <c r="A1682" s="4">
        <v>7301.0</v>
      </c>
      <c r="B1682" s="2" t="s">
        <v>6717</v>
      </c>
      <c r="C1682" s="2" t="s">
        <v>6718</v>
      </c>
      <c r="D1682" s="2" t="s">
        <v>6719</v>
      </c>
      <c r="E1682" s="2" t="s">
        <v>6720</v>
      </c>
      <c r="F1682" s="2" t="b">
        <v>1</v>
      </c>
      <c r="G1682" s="2" t="b">
        <v>0</v>
      </c>
      <c r="H1682" s="2" t="s">
        <v>37</v>
      </c>
      <c r="I1682" s="2" t="s">
        <v>49</v>
      </c>
      <c r="J1682" s="2" t="s">
        <v>739</v>
      </c>
      <c r="K1682" s="2" t="s">
        <v>495</v>
      </c>
      <c r="L1682" s="13" t="s">
        <v>496</v>
      </c>
      <c r="M1682" s="2" t="s">
        <v>26</v>
      </c>
      <c r="N1682" s="11" t="s">
        <v>576</v>
      </c>
      <c r="O1682" s="12" t="s">
        <v>53</v>
      </c>
      <c r="P1682" s="5" t="str">
        <f>IFERROR(__xludf.DUMMYFUNCTION("TEXTJOIN("" | "",TRUE,IF(OR(D1682="""",E1682="""",I1682="""",J1682="""",H1682=""""),""ফাঁকা ঘর"",""""),IF(AND(C1682&lt;&gt;"""",D1682&lt;&gt;"""",C1682=D1682),""gloss=figurative"",""""),IF(LEN(D1682)&lt;15,""figurative ছোট"",""""),IF(AND(I1682=""Positive"",REGEXMATCH(H1"&amp;"682,""মূর্খ|ভণ্ড|প্রতার|অলস|লোভ|স্বার্থ|অক্ষম|অযোগ্য|বোকা|কৃপণ|হিংস"")),""valence-target অমিল"",""""),IF(COUNTIF($B:$B,B1682)&gt;1,""ডুপ্লিকেট"",""""))"),"figurative ছোট")</f>
        <v>figurative ছোট</v>
      </c>
      <c r="Q1682" s="5" t="str">
        <f t="shared" si="1"/>
        <v>১ আগে দেখো</v>
      </c>
    </row>
    <row r="1683">
      <c r="A1683" s="4">
        <v>7303.0</v>
      </c>
      <c r="B1683" s="2" t="s">
        <v>6721</v>
      </c>
      <c r="C1683" s="2" t="s">
        <v>6722</v>
      </c>
      <c r="D1683" s="2" t="s">
        <v>6723</v>
      </c>
      <c r="E1683" s="2" t="s">
        <v>6724</v>
      </c>
      <c r="F1683" s="2" t="b">
        <v>1</v>
      </c>
      <c r="G1683" s="2" t="b">
        <v>0</v>
      </c>
      <c r="H1683" s="2" t="s">
        <v>37</v>
      </c>
      <c r="I1683" s="2" t="s">
        <v>22</v>
      </c>
      <c r="J1683" s="2" t="s">
        <v>6725</v>
      </c>
      <c r="K1683" s="2" t="s">
        <v>495</v>
      </c>
      <c r="L1683" s="13" t="s">
        <v>496</v>
      </c>
      <c r="M1683" s="2" t="s">
        <v>26</v>
      </c>
      <c r="N1683" s="11" t="s">
        <v>576</v>
      </c>
      <c r="O1683" s="12" t="s">
        <v>53</v>
      </c>
      <c r="P1683" s="5" t="str">
        <f>IFERROR(__xludf.DUMMYFUNCTION("TEXTJOIN("" | "",TRUE,IF(OR(D1683="""",E1683="""",I1683="""",J1683="""",H1683=""""),""ফাঁকা ঘর"",""""),IF(AND(C1683&lt;&gt;"""",D1683&lt;&gt;"""",C1683=D1683),""gloss=figurative"",""""),IF(LEN(D1683)&lt;15,""figurative ছোট"",""""),IF(AND(I1683=""Positive"",REGEXMATCH(H1"&amp;"683,""মূর্খ|ভণ্ড|প্রতার|অলস|লোভ|স্বার্থ|অক্ষম|অযোগ্য|বোকা|কৃপণ|হিংস"")),""valence-target অমিল"",""""),IF(COUNTIF($B:$B,B1683)&gt;1,""ডুপ্লিকেট"",""""))"),"figurative ছোট")</f>
        <v>figurative ছোট</v>
      </c>
      <c r="Q1683" s="5" t="str">
        <f t="shared" si="1"/>
        <v>১ আগে দেখো</v>
      </c>
    </row>
    <row r="1684">
      <c r="A1684" s="4">
        <v>7304.0</v>
      </c>
      <c r="B1684" s="2" t="s">
        <v>6726</v>
      </c>
      <c r="C1684" s="2" t="s">
        <v>6727</v>
      </c>
      <c r="D1684" s="2" t="s">
        <v>6728</v>
      </c>
      <c r="E1684" s="2" t="s">
        <v>6729</v>
      </c>
      <c r="F1684" s="2" t="b">
        <v>1</v>
      </c>
      <c r="G1684" s="2" t="b">
        <v>0</v>
      </c>
      <c r="H1684" s="2" t="s">
        <v>37</v>
      </c>
      <c r="I1684" s="2" t="s">
        <v>32</v>
      </c>
      <c r="J1684" s="2" t="s">
        <v>2108</v>
      </c>
      <c r="K1684" s="2" t="s">
        <v>495</v>
      </c>
      <c r="L1684" s="13" t="s">
        <v>496</v>
      </c>
      <c r="M1684" s="2" t="s">
        <v>26</v>
      </c>
      <c r="N1684" s="11" t="s">
        <v>576</v>
      </c>
      <c r="O1684" s="12" t="s">
        <v>53</v>
      </c>
      <c r="P1684" s="5" t="str">
        <f>IFERROR(__xludf.DUMMYFUNCTION("TEXTJOIN("" | "",TRUE,IF(OR(D1684="""",E1684="""",I1684="""",J1684="""",H1684=""""),""ফাঁকা ঘর"",""""),IF(AND(C1684&lt;&gt;"""",D1684&lt;&gt;"""",C1684=D1684),""gloss=figurative"",""""),IF(LEN(D1684)&lt;15,""figurative ছোট"",""""),IF(AND(I1684=""Positive"",REGEXMATCH(H1"&amp;"684,""মূর্খ|ভণ্ড|প্রতার|অলস|লোভ|স্বার্থ|অক্ষম|অযোগ্য|বোকা|কৃপণ|হিংস"")),""valence-target অমিল"",""""),IF(COUNTIF($B:$B,B1684)&gt;1,""ডুপ্লিকেট"",""""))"),"figurative ছোট")</f>
        <v>figurative ছোট</v>
      </c>
      <c r="Q1684" s="5" t="str">
        <f t="shared" si="1"/>
        <v>১ আগে দেখো</v>
      </c>
    </row>
    <row r="1685">
      <c r="A1685" s="4">
        <v>7305.0</v>
      </c>
      <c r="B1685" s="2" t="s">
        <v>6730</v>
      </c>
      <c r="C1685" s="2" t="s">
        <v>6730</v>
      </c>
      <c r="D1685" s="2" t="s">
        <v>4642</v>
      </c>
      <c r="E1685" s="2" t="s">
        <v>6731</v>
      </c>
      <c r="F1685" s="2" t="b">
        <v>1</v>
      </c>
      <c r="G1685" s="2" t="b">
        <v>0</v>
      </c>
      <c r="H1685" s="2" t="s">
        <v>37</v>
      </c>
      <c r="I1685" s="2" t="s">
        <v>49</v>
      </c>
      <c r="J1685" s="2" t="s">
        <v>1679</v>
      </c>
      <c r="K1685" s="2" t="s">
        <v>495</v>
      </c>
      <c r="L1685" s="13" t="s">
        <v>496</v>
      </c>
      <c r="M1685" s="2" t="s">
        <v>26</v>
      </c>
      <c r="N1685" s="11" t="s">
        <v>576</v>
      </c>
      <c r="O1685" s="12" t="s">
        <v>53</v>
      </c>
      <c r="P1685" s="5" t="str">
        <f>IFERROR(__xludf.DUMMYFUNCTION("TEXTJOIN("" | "",TRUE,IF(OR(D1685="""",E1685="""",I1685="""",J1685="""",H1685=""""),""ফাঁকা ঘর"",""""),IF(AND(C1685&lt;&gt;"""",D1685&lt;&gt;"""",C1685=D1685),""gloss=figurative"",""""),IF(LEN(D1685)&lt;15,""figurative ছোট"",""""),IF(AND(I1685=""Positive"",REGEXMATCH(H1"&amp;"685,""মূর্খ|ভণ্ড|প্রতার|অলস|লোভ|স্বার্থ|অক্ষম|অযোগ্য|বোকা|কৃপণ|হিংস"")),""valence-target অমিল"",""""),IF(COUNTIF($B:$B,B1685)&gt;1,""ডুপ্লিকেট"",""""))"),"figurative ছোট")</f>
        <v>figurative ছোট</v>
      </c>
      <c r="Q1685" s="5" t="str">
        <f t="shared" si="1"/>
        <v>১ আগে দেখো</v>
      </c>
    </row>
    <row r="1686">
      <c r="A1686" s="4">
        <v>7306.0</v>
      </c>
      <c r="B1686" s="2" t="s">
        <v>6732</v>
      </c>
      <c r="C1686" s="2" t="s">
        <v>6733</v>
      </c>
      <c r="D1686" s="2" t="s">
        <v>6734</v>
      </c>
      <c r="E1686" s="2" t="s">
        <v>6735</v>
      </c>
      <c r="F1686" s="2" t="b">
        <v>1</v>
      </c>
      <c r="G1686" s="2" t="b">
        <v>0</v>
      </c>
      <c r="H1686" s="2" t="s">
        <v>37</v>
      </c>
      <c r="I1686" s="2" t="s">
        <v>49</v>
      </c>
      <c r="J1686" s="2" t="s">
        <v>1934</v>
      </c>
      <c r="K1686" s="2" t="s">
        <v>495</v>
      </c>
      <c r="L1686" s="13" t="s">
        <v>496</v>
      </c>
      <c r="M1686" s="2" t="s">
        <v>26</v>
      </c>
      <c r="N1686" s="11" t="s">
        <v>576</v>
      </c>
      <c r="O1686" s="12" t="s">
        <v>53</v>
      </c>
      <c r="P1686" s="5" t="str">
        <f>IFERROR(__xludf.DUMMYFUNCTION("TEXTJOIN("" | "",TRUE,IF(OR(D1686="""",E1686="""",I1686="""",J1686="""",H1686=""""),""ফাঁকা ঘর"",""""),IF(AND(C1686&lt;&gt;"""",D1686&lt;&gt;"""",C1686=D1686),""gloss=figurative"",""""),IF(LEN(D1686)&lt;15,""figurative ছোট"",""""),IF(AND(I1686=""Positive"",REGEXMATCH(H1"&amp;"686,""মূর্খ|ভণ্ড|প্রতার|অলস|লোভ|স্বার্থ|অক্ষম|অযোগ্য|বোকা|কৃপণ|হিংস"")),""valence-target অমিল"",""""),IF(COUNTIF($B:$B,B1686)&gt;1,""ডুপ্লিকেট"",""""))"),"figurative ছোট")</f>
        <v>figurative ছোট</v>
      </c>
      <c r="Q1686" s="5" t="str">
        <f t="shared" si="1"/>
        <v>১ আগে দেখো</v>
      </c>
    </row>
    <row r="1687">
      <c r="A1687" s="4">
        <v>7307.0</v>
      </c>
      <c r="B1687" s="2" t="s">
        <v>6736</v>
      </c>
      <c r="C1687" s="2" t="s">
        <v>6737</v>
      </c>
      <c r="D1687" s="2" t="s">
        <v>5829</v>
      </c>
      <c r="E1687" s="2" t="s">
        <v>6738</v>
      </c>
      <c r="F1687" s="2" t="b">
        <v>1</v>
      </c>
      <c r="G1687" s="2" t="b">
        <v>0</v>
      </c>
      <c r="H1687" s="2" t="s">
        <v>37</v>
      </c>
      <c r="I1687" s="2" t="s">
        <v>22</v>
      </c>
      <c r="J1687" s="2" t="s">
        <v>5829</v>
      </c>
      <c r="K1687" s="2" t="s">
        <v>495</v>
      </c>
      <c r="L1687" s="13" t="s">
        <v>496</v>
      </c>
      <c r="M1687" s="2" t="s">
        <v>26</v>
      </c>
      <c r="N1687" s="11" t="s">
        <v>576</v>
      </c>
      <c r="O1687" s="12" t="s">
        <v>53</v>
      </c>
      <c r="P1687" s="5" t="str">
        <f>IFERROR(__xludf.DUMMYFUNCTION("TEXTJOIN("" | "",TRUE,IF(OR(D1687="""",E1687="""",I1687="""",J1687="""",H1687=""""),""ফাঁকা ঘর"",""""),IF(AND(C1687&lt;&gt;"""",D1687&lt;&gt;"""",C1687=D1687),""gloss=figurative"",""""),IF(LEN(D1687)&lt;15,""figurative ছোট"",""""),IF(AND(I1687=""Positive"",REGEXMATCH(H1"&amp;"687,""মূর্খ|ভণ্ড|প্রতার|অলস|লোভ|স্বার্থ|অক্ষম|অযোগ্য|বোকা|কৃপণ|হিংস"")),""valence-target অমিল"",""""),IF(COUNTIF($B:$B,B1687)&gt;1,""ডুপ্লিকেট"",""""))"),"figurative ছোট")</f>
        <v>figurative ছোট</v>
      </c>
      <c r="Q1687" s="5" t="str">
        <f t="shared" si="1"/>
        <v>১ আগে দেখো</v>
      </c>
    </row>
    <row r="1688">
      <c r="A1688" s="4">
        <v>7308.0</v>
      </c>
      <c r="B1688" s="2" t="s">
        <v>6739</v>
      </c>
      <c r="C1688" s="2" t="s">
        <v>6740</v>
      </c>
      <c r="D1688" s="2" t="s">
        <v>1934</v>
      </c>
      <c r="E1688" s="2" t="s">
        <v>6741</v>
      </c>
      <c r="F1688" s="2" t="b">
        <v>1</v>
      </c>
      <c r="G1688" s="2" t="b">
        <v>0</v>
      </c>
      <c r="H1688" s="2" t="s">
        <v>37</v>
      </c>
      <c r="I1688" s="2" t="s">
        <v>32</v>
      </c>
      <c r="J1688" s="2" t="s">
        <v>1934</v>
      </c>
      <c r="K1688" s="2" t="s">
        <v>495</v>
      </c>
      <c r="L1688" s="13" t="s">
        <v>496</v>
      </c>
      <c r="M1688" s="2" t="s">
        <v>26</v>
      </c>
      <c r="N1688" s="11" t="s">
        <v>576</v>
      </c>
      <c r="O1688" s="12" t="s">
        <v>53</v>
      </c>
      <c r="P1688" s="5" t="str">
        <f>IFERROR(__xludf.DUMMYFUNCTION("TEXTJOIN("" | "",TRUE,IF(OR(D1688="""",E1688="""",I1688="""",J1688="""",H1688=""""),""ফাঁকা ঘর"",""""),IF(AND(C1688&lt;&gt;"""",D1688&lt;&gt;"""",C1688=D1688),""gloss=figurative"",""""),IF(LEN(D1688)&lt;15,""figurative ছোট"",""""),IF(AND(I1688=""Positive"",REGEXMATCH(H1"&amp;"688,""মূর্খ|ভণ্ড|প্রতার|অলস|লোভ|স্বার্থ|অক্ষম|অযোগ্য|বোকা|কৃপণ|হিংস"")),""valence-target অমিল"",""""),IF(COUNTIF($B:$B,B1688)&gt;1,""ডুপ্লিকেট"",""""))"),"figurative ছোট")</f>
        <v>figurative ছোট</v>
      </c>
      <c r="Q1688" s="5" t="str">
        <f t="shared" si="1"/>
        <v>১ আগে দেখো</v>
      </c>
    </row>
    <row r="1689">
      <c r="A1689" s="4">
        <v>7309.0</v>
      </c>
      <c r="B1689" s="2" t="s">
        <v>6742</v>
      </c>
      <c r="C1689" s="2" t="s">
        <v>6743</v>
      </c>
      <c r="D1689" s="2" t="s">
        <v>6744</v>
      </c>
      <c r="E1689" s="2" t="s">
        <v>6745</v>
      </c>
      <c r="F1689" s="2" t="b">
        <v>1</v>
      </c>
      <c r="G1689" s="2" t="b">
        <v>0</v>
      </c>
      <c r="H1689" s="2" t="s">
        <v>989</v>
      </c>
      <c r="I1689" s="2" t="s">
        <v>22</v>
      </c>
      <c r="J1689" s="2" t="s">
        <v>990</v>
      </c>
      <c r="K1689" s="2" t="s">
        <v>495</v>
      </c>
      <c r="L1689" s="13" t="s">
        <v>496</v>
      </c>
      <c r="M1689" s="2" t="s">
        <v>26</v>
      </c>
      <c r="N1689" s="11" t="s">
        <v>576</v>
      </c>
      <c r="O1689" s="12" t="s">
        <v>53</v>
      </c>
      <c r="P1689" s="5" t="str">
        <f>IFERROR(__xludf.DUMMYFUNCTION("TEXTJOIN("" | "",TRUE,IF(OR(D1689="""",E1689="""",I1689="""",J1689="""",H1689=""""),""ফাঁকা ঘর"",""""),IF(AND(C1689&lt;&gt;"""",D1689&lt;&gt;"""",C1689=D1689),""gloss=figurative"",""""),IF(LEN(D1689)&lt;15,""figurative ছোট"",""""),IF(AND(I1689=""Positive"",REGEXMATCH(H1"&amp;"689,""মূর্খ|ভণ্ড|প্রতার|অলস|লোভ|স্বার্থ|অক্ষম|অযোগ্য|বোকা|কৃপণ|হিংস"")),""valence-target অমিল"",""""),IF(COUNTIF($B:$B,B1689)&gt;1,""ডুপ্লিকেট"",""""))"),"figurative ছোট")</f>
        <v>figurative ছোট</v>
      </c>
      <c r="Q1689" s="5" t="str">
        <f t="shared" si="1"/>
        <v>১ আগে দেখো</v>
      </c>
    </row>
    <row r="1690">
      <c r="A1690" s="4">
        <v>7310.0</v>
      </c>
      <c r="B1690" s="2" t="s">
        <v>6746</v>
      </c>
      <c r="C1690" s="2" t="s">
        <v>6747</v>
      </c>
      <c r="D1690" s="2" t="s">
        <v>6041</v>
      </c>
      <c r="E1690" s="2" t="s">
        <v>6748</v>
      </c>
      <c r="F1690" s="2" t="b">
        <v>1</v>
      </c>
      <c r="G1690" s="2" t="b">
        <v>0</v>
      </c>
      <c r="H1690" s="2" t="s">
        <v>37</v>
      </c>
      <c r="I1690" s="2" t="s">
        <v>32</v>
      </c>
      <c r="J1690" s="2" t="s">
        <v>1264</v>
      </c>
      <c r="K1690" s="2" t="s">
        <v>495</v>
      </c>
      <c r="L1690" s="13" t="s">
        <v>496</v>
      </c>
      <c r="M1690" s="2" t="s">
        <v>26</v>
      </c>
      <c r="N1690" s="11" t="s">
        <v>6749</v>
      </c>
      <c r="O1690" s="12" t="s">
        <v>53</v>
      </c>
      <c r="P1690" s="5" t="str">
        <f>IFERROR(__xludf.DUMMYFUNCTION("TEXTJOIN("" | "",TRUE,IF(OR(D1690="""",E1690="""",I1690="""",J1690="""",H1690=""""),""ফাঁকা ঘর"",""""),IF(AND(C1690&lt;&gt;"""",D1690&lt;&gt;"""",C1690=D1690),""gloss=figurative"",""""),IF(LEN(D1690)&lt;15,""figurative ছোট"",""""),IF(AND(I1690=""Positive"",REGEXMATCH(H1"&amp;"690,""মূর্খ|ভণ্ড|প্রতার|অলস|লোভ|স্বার্থ|অক্ষম|অযোগ্য|বোকা|কৃপণ|হিংস"")),""valence-target অমিল"",""""),IF(COUNTIF($B:$B,B1690)&gt;1,""ডুপ্লিকেট"",""""))"),"figurative ছোট")</f>
        <v>figurative ছোট</v>
      </c>
      <c r="Q1690" s="5" t="str">
        <f t="shared" si="1"/>
        <v>১ আগে দেখো</v>
      </c>
    </row>
    <row r="1691">
      <c r="A1691" s="4">
        <v>7311.0</v>
      </c>
      <c r="B1691" s="2" t="s">
        <v>6750</v>
      </c>
      <c r="C1691" s="2" t="s">
        <v>6751</v>
      </c>
      <c r="D1691" s="2" t="s">
        <v>6752</v>
      </c>
      <c r="E1691" s="2" t="s">
        <v>6753</v>
      </c>
      <c r="F1691" s="2" t="b">
        <v>1</v>
      </c>
      <c r="G1691" s="2" t="b">
        <v>0</v>
      </c>
      <c r="H1691" s="2" t="s">
        <v>37</v>
      </c>
      <c r="I1691" s="2" t="s">
        <v>32</v>
      </c>
      <c r="J1691" s="2" t="s">
        <v>1264</v>
      </c>
      <c r="K1691" s="2" t="s">
        <v>495</v>
      </c>
      <c r="L1691" s="13" t="s">
        <v>496</v>
      </c>
      <c r="M1691" s="2" t="s">
        <v>26</v>
      </c>
      <c r="N1691" s="11" t="s">
        <v>6754</v>
      </c>
      <c r="O1691" s="12" t="s">
        <v>53</v>
      </c>
      <c r="P1691" s="5" t="str">
        <f>IFERROR(__xludf.DUMMYFUNCTION("TEXTJOIN("" | "",TRUE,IF(OR(D1691="""",E1691="""",I1691="""",J1691="""",H1691=""""),""ফাঁকা ঘর"",""""),IF(AND(C1691&lt;&gt;"""",D1691&lt;&gt;"""",C1691=D1691),""gloss=figurative"",""""),IF(LEN(D1691)&lt;15,""figurative ছোট"",""""),IF(AND(I1691=""Positive"",REGEXMATCH(H1"&amp;"691,""মূর্খ|ভণ্ড|প্রতার|অলস|লোভ|স্বার্থ|অক্ষম|অযোগ্য|বোকা|কৃপণ|হিংস"")),""valence-target অমিল"",""""),IF(COUNTIF($B:$B,B1691)&gt;1,""ডুপ্লিকেট"",""""))"),"figurative ছোট")</f>
        <v>figurative ছোট</v>
      </c>
      <c r="Q1691" s="5" t="str">
        <f t="shared" si="1"/>
        <v>১ আগে দেখো</v>
      </c>
    </row>
    <row r="1692">
      <c r="A1692" s="4">
        <v>7312.0</v>
      </c>
      <c r="B1692" s="2" t="s">
        <v>6755</v>
      </c>
      <c r="C1692" s="2" t="s">
        <v>6756</v>
      </c>
      <c r="D1692" s="2" t="s">
        <v>713</v>
      </c>
      <c r="E1692" s="2" t="s">
        <v>6757</v>
      </c>
      <c r="F1692" s="2" t="b">
        <v>1</v>
      </c>
      <c r="G1692" s="2" t="b">
        <v>0</v>
      </c>
      <c r="H1692" s="2" t="s">
        <v>37</v>
      </c>
      <c r="I1692" s="2" t="s">
        <v>32</v>
      </c>
      <c r="J1692" s="2" t="s">
        <v>713</v>
      </c>
      <c r="K1692" s="2" t="s">
        <v>495</v>
      </c>
      <c r="L1692" s="13" t="s">
        <v>496</v>
      </c>
      <c r="M1692" s="2" t="s">
        <v>26</v>
      </c>
      <c r="N1692" s="11" t="s">
        <v>576</v>
      </c>
      <c r="O1692" s="12" t="s">
        <v>53</v>
      </c>
      <c r="P1692" s="5" t="str">
        <f>IFERROR(__xludf.DUMMYFUNCTION("TEXTJOIN("" | "",TRUE,IF(OR(D1692="""",E1692="""",I1692="""",J1692="""",H1692=""""),""ফাঁকা ঘর"",""""),IF(AND(C1692&lt;&gt;"""",D1692&lt;&gt;"""",C1692=D1692),""gloss=figurative"",""""),IF(LEN(D1692)&lt;15,""figurative ছোট"",""""),IF(AND(I1692=""Positive"",REGEXMATCH(H1"&amp;"692,""মূর্খ|ভণ্ড|প্রতার|অলস|লোভ|স্বার্থ|অক্ষম|অযোগ্য|বোকা|কৃপণ|হিংস"")),""valence-target অমিল"",""""),IF(COUNTIF($B:$B,B1692)&gt;1,""ডুপ্লিকেট"",""""))"),"figurative ছোট")</f>
        <v>figurative ছোট</v>
      </c>
      <c r="Q1692" s="5" t="str">
        <f t="shared" si="1"/>
        <v>১ আগে দেখো</v>
      </c>
    </row>
    <row r="1693">
      <c r="A1693" s="4">
        <v>7313.0</v>
      </c>
      <c r="B1693" s="2" t="s">
        <v>6758</v>
      </c>
      <c r="C1693" s="2" t="s">
        <v>6759</v>
      </c>
      <c r="D1693" s="2" t="s">
        <v>1305</v>
      </c>
      <c r="E1693" s="2" t="s">
        <v>6760</v>
      </c>
      <c r="F1693" s="2" t="b">
        <v>1</v>
      </c>
      <c r="G1693" s="2" t="b">
        <v>0</v>
      </c>
      <c r="H1693" s="2" t="s">
        <v>37</v>
      </c>
      <c r="I1693" s="2" t="s">
        <v>22</v>
      </c>
      <c r="J1693" s="2" t="s">
        <v>1111</v>
      </c>
      <c r="K1693" s="2" t="s">
        <v>495</v>
      </c>
      <c r="L1693" s="13" t="s">
        <v>496</v>
      </c>
      <c r="M1693" s="2" t="s">
        <v>26</v>
      </c>
      <c r="N1693" s="11" t="s">
        <v>576</v>
      </c>
      <c r="O1693" s="12" t="s">
        <v>53</v>
      </c>
      <c r="P1693" s="5" t="str">
        <f>IFERROR(__xludf.DUMMYFUNCTION("TEXTJOIN("" | "",TRUE,IF(OR(D1693="""",E1693="""",I1693="""",J1693="""",H1693=""""),""ফাঁকা ঘর"",""""),IF(AND(C1693&lt;&gt;"""",D1693&lt;&gt;"""",C1693=D1693),""gloss=figurative"",""""),IF(LEN(D1693)&lt;15,""figurative ছোট"",""""),IF(AND(I1693=""Positive"",REGEXMATCH(H1"&amp;"693,""মূর্খ|ভণ্ড|প্রতার|অলস|লোভ|স্বার্থ|অক্ষম|অযোগ্য|বোকা|কৃপণ|হিংস"")),""valence-target অমিল"",""""),IF(COUNTIF($B:$B,B1693)&gt;1,""ডুপ্লিকেট"",""""))"),"figurative ছোট")</f>
        <v>figurative ছোট</v>
      </c>
      <c r="Q1693" s="5" t="str">
        <f t="shared" si="1"/>
        <v>১ আগে দেখো</v>
      </c>
    </row>
    <row r="1694">
      <c r="A1694" s="4">
        <v>7314.0</v>
      </c>
      <c r="B1694" s="2" t="s">
        <v>6761</v>
      </c>
      <c r="C1694" s="2" t="s">
        <v>6762</v>
      </c>
      <c r="D1694" s="2" t="s">
        <v>1679</v>
      </c>
      <c r="E1694" s="2" t="s">
        <v>6763</v>
      </c>
      <c r="F1694" s="2" t="b">
        <v>1</v>
      </c>
      <c r="G1694" s="2" t="b">
        <v>0</v>
      </c>
      <c r="H1694" s="2" t="s">
        <v>37</v>
      </c>
      <c r="I1694" s="2" t="s">
        <v>32</v>
      </c>
      <c r="J1694" s="2" t="s">
        <v>1679</v>
      </c>
      <c r="K1694" s="2" t="s">
        <v>495</v>
      </c>
      <c r="L1694" s="13" t="s">
        <v>496</v>
      </c>
      <c r="M1694" s="2" t="s">
        <v>26</v>
      </c>
      <c r="N1694" s="11" t="s">
        <v>576</v>
      </c>
      <c r="O1694" s="12" t="s">
        <v>53</v>
      </c>
      <c r="P1694" s="5" t="str">
        <f>IFERROR(__xludf.DUMMYFUNCTION("TEXTJOIN("" | "",TRUE,IF(OR(D1694="""",E1694="""",I1694="""",J1694="""",H1694=""""),""ফাঁকা ঘর"",""""),IF(AND(C1694&lt;&gt;"""",D1694&lt;&gt;"""",C1694=D1694),""gloss=figurative"",""""),IF(LEN(D1694)&lt;15,""figurative ছোট"",""""),IF(AND(I1694=""Positive"",REGEXMATCH(H1"&amp;"694,""মূর্খ|ভণ্ড|প্রতার|অলস|লোভ|স্বার্থ|অক্ষম|অযোগ্য|বোকা|কৃপণ|হিংস"")),""valence-target অমিল"",""""),IF(COUNTIF($B:$B,B1694)&gt;1,""ডুপ্লিকেট"",""""))"),"figurative ছোট")</f>
        <v>figurative ছোট</v>
      </c>
      <c r="Q1694" s="5" t="str">
        <f t="shared" si="1"/>
        <v>১ আগে দেখো</v>
      </c>
    </row>
    <row r="1695">
      <c r="A1695" s="4">
        <v>7315.0</v>
      </c>
      <c r="B1695" s="2" t="s">
        <v>6764</v>
      </c>
      <c r="C1695" s="2" t="s">
        <v>6765</v>
      </c>
      <c r="D1695" s="2" t="s">
        <v>6766</v>
      </c>
      <c r="E1695" s="2" t="s">
        <v>6767</v>
      </c>
      <c r="F1695" s="2" t="b">
        <v>1</v>
      </c>
      <c r="G1695" s="2" t="b">
        <v>0</v>
      </c>
      <c r="H1695" s="2" t="s">
        <v>854</v>
      </c>
      <c r="I1695" s="2" t="s">
        <v>22</v>
      </c>
      <c r="J1695" s="2" t="s">
        <v>855</v>
      </c>
      <c r="K1695" s="2" t="s">
        <v>495</v>
      </c>
      <c r="L1695" s="13" t="s">
        <v>496</v>
      </c>
      <c r="M1695" s="2" t="s">
        <v>26</v>
      </c>
      <c r="N1695" s="11" t="s">
        <v>576</v>
      </c>
      <c r="O1695" s="12" t="s">
        <v>53</v>
      </c>
      <c r="P1695" s="5" t="str">
        <f>IFERROR(__xludf.DUMMYFUNCTION("TEXTJOIN("" | "",TRUE,IF(OR(D1695="""",E1695="""",I1695="""",J1695="""",H1695=""""),""ফাঁকা ঘর"",""""),IF(AND(C1695&lt;&gt;"""",D1695&lt;&gt;"""",C1695=D1695),""gloss=figurative"",""""),IF(LEN(D1695)&lt;15,""figurative ছোট"",""""),IF(AND(I1695=""Positive"",REGEXMATCH(H1"&amp;"695,""মূর্খ|ভণ্ড|প্রতার|অলস|লোভ|স্বার্থ|অক্ষম|অযোগ্য|বোকা|কৃপণ|হিংস"")),""valence-target অমিল"",""""),IF(COUNTIF($B:$B,B1695)&gt;1,""ডুপ্লিকেট"",""""))"),"figurative ছোট")</f>
        <v>figurative ছোট</v>
      </c>
      <c r="Q1695" s="5" t="str">
        <f t="shared" si="1"/>
        <v>১ আগে দেখো</v>
      </c>
    </row>
    <row r="1696">
      <c r="A1696" s="4">
        <v>7316.0</v>
      </c>
      <c r="B1696" s="2" t="s">
        <v>6768</v>
      </c>
      <c r="C1696" s="2" t="s">
        <v>6769</v>
      </c>
      <c r="D1696" s="2" t="s">
        <v>2234</v>
      </c>
      <c r="E1696" s="2" t="s">
        <v>6770</v>
      </c>
      <c r="F1696" s="2" t="b">
        <v>1</v>
      </c>
      <c r="G1696" s="2" t="b">
        <v>0</v>
      </c>
      <c r="H1696" s="2" t="s">
        <v>37</v>
      </c>
      <c r="I1696" s="2" t="s">
        <v>22</v>
      </c>
      <c r="J1696" s="2" t="s">
        <v>2234</v>
      </c>
      <c r="K1696" s="2" t="s">
        <v>495</v>
      </c>
      <c r="L1696" s="13" t="s">
        <v>496</v>
      </c>
      <c r="M1696" s="2" t="s">
        <v>26</v>
      </c>
      <c r="N1696" s="11" t="s">
        <v>576</v>
      </c>
      <c r="O1696" s="12" t="s">
        <v>53</v>
      </c>
      <c r="P1696" s="5" t="str">
        <f>IFERROR(__xludf.DUMMYFUNCTION("TEXTJOIN("" | "",TRUE,IF(OR(D1696="""",E1696="""",I1696="""",J1696="""",H1696=""""),""ফাঁকা ঘর"",""""),IF(AND(C1696&lt;&gt;"""",D1696&lt;&gt;"""",C1696=D1696),""gloss=figurative"",""""),IF(LEN(D1696)&lt;15,""figurative ছোট"",""""),IF(AND(I1696=""Positive"",REGEXMATCH(H1"&amp;"696,""মূর্খ|ভণ্ড|প্রতার|অলস|লোভ|স্বার্থ|অক্ষম|অযোগ্য|বোকা|কৃপণ|হিংস"")),""valence-target অমিল"",""""),IF(COUNTIF($B:$B,B1696)&gt;1,""ডুপ্লিকেট"",""""))"),"figurative ছোট")</f>
        <v>figurative ছোট</v>
      </c>
      <c r="Q1696" s="5" t="str">
        <f t="shared" si="1"/>
        <v>১ আগে দেখো</v>
      </c>
    </row>
    <row r="1697">
      <c r="A1697" s="4">
        <v>7317.0</v>
      </c>
      <c r="B1697" s="2" t="s">
        <v>6771</v>
      </c>
      <c r="C1697" s="2" t="s">
        <v>6772</v>
      </c>
      <c r="D1697" s="2" t="s">
        <v>6773</v>
      </c>
      <c r="E1697" s="2" t="s">
        <v>6774</v>
      </c>
      <c r="F1697" s="2" t="b">
        <v>1</v>
      </c>
      <c r="G1697" s="2" t="b">
        <v>0</v>
      </c>
      <c r="H1697" s="2" t="s">
        <v>37</v>
      </c>
      <c r="I1697" s="2" t="s">
        <v>22</v>
      </c>
      <c r="J1697" s="2" t="s">
        <v>2937</v>
      </c>
      <c r="K1697" s="2" t="s">
        <v>495</v>
      </c>
      <c r="L1697" s="13" t="s">
        <v>496</v>
      </c>
      <c r="M1697" s="2" t="s">
        <v>26</v>
      </c>
      <c r="N1697" s="11" t="s">
        <v>576</v>
      </c>
      <c r="O1697" s="12" t="s">
        <v>53</v>
      </c>
      <c r="P1697" s="5" t="str">
        <f>IFERROR(__xludf.DUMMYFUNCTION("TEXTJOIN("" | "",TRUE,IF(OR(D1697="""",E1697="""",I1697="""",J1697="""",H1697=""""),""ফাঁকা ঘর"",""""),IF(AND(C1697&lt;&gt;"""",D1697&lt;&gt;"""",C1697=D1697),""gloss=figurative"",""""),IF(LEN(D1697)&lt;15,""figurative ছোট"",""""),IF(AND(I1697=""Positive"",REGEXMATCH(H1"&amp;"697,""মূর্খ|ভণ্ড|প্রতার|অলস|লোভ|স্বার্থ|অক্ষম|অযোগ্য|বোকা|কৃপণ|হিংস"")),""valence-target অমিল"",""""),IF(COUNTIF($B:$B,B1697)&gt;1,""ডুপ্লিকেট"",""""))"),"figurative ছোট")</f>
        <v>figurative ছোট</v>
      </c>
      <c r="Q1697" s="5" t="str">
        <f t="shared" si="1"/>
        <v>১ আগে দেখো</v>
      </c>
    </row>
    <row r="1698">
      <c r="A1698" s="4">
        <v>7319.0</v>
      </c>
      <c r="B1698" s="2" t="s">
        <v>6775</v>
      </c>
      <c r="C1698" s="2" t="s">
        <v>6776</v>
      </c>
      <c r="D1698" s="2" t="s">
        <v>6777</v>
      </c>
      <c r="E1698" s="2" t="s">
        <v>6778</v>
      </c>
      <c r="F1698" s="2" t="b">
        <v>1</v>
      </c>
      <c r="G1698" s="2" t="b">
        <v>1</v>
      </c>
      <c r="H1698" s="2" t="s">
        <v>1106</v>
      </c>
      <c r="I1698" s="2" t="s">
        <v>32</v>
      </c>
      <c r="J1698" s="2" t="s">
        <v>528</v>
      </c>
      <c r="K1698" s="2" t="s">
        <v>495</v>
      </c>
      <c r="L1698" s="13" t="s">
        <v>496</v>
      </c>
      <c r="M1698" s="2" t="s">
        <v>26</v>
      </c>
      <c r="N1698" s="11" t="s">
        <v>576</v>
      </c>
      <c r="O1698" s="12" t="s">
        <v>53</v>
      </c>
      <c r="P1698" s="5" t="str">
        <f>IFERROR(__xludf.DUMMYFUNCTION("TEXTJOIN("" | "",TRUE,IF(OR(D1698="""",E1698="""",I1698="""",J1698="""",H1698=""""),""ফাঁকা ঘর"",""""),IF(AND(C1698&lt;&gt;"""",D1698&lt;&gt;"""",C1698=D1698),""gloss=figurative"",""""),IF(LEN(D1698)&lt;15,""figurative ছোট"",""""),IF(AND(I1698=""Positive"",REGEXMATCH(H1"&amp;"698,""মূর্খ|ভণ্ড|প্রতার|অলস|লোভ|স্বার্থ|অক্ষম|অযোগ্য|বোকা|কৃপণ|হিংস"")),""valence-target অমিল"",""""),IF(COUNTIF($B:$B,B1698)&gt;1,""ডুপ্লিকেট"",""""))"),"figurative ছোট")</f>
        <v>figurative ছোট</v>
      </c>
      <c r="Q1698" s="5" t="str">
        <f t="shared" si="1"/>
        <v>১ আগে দেখো</v>
      </c>
    </row>
    <row r="1699">
      <c r="A1699" s="4">
        <v>7320.0</v>
      </c>
      <c r="B1699" s="2" t="s">
        <v>6779</v>
      </c>
      <c r="C1699" s="2" t="s">
        <v>6780</v>
      </c>
      <c r="D1699" s="2" t="s">
        <v>4688</v>
      </c>
      <c r="E1699" s="2" t="s">
        <v>6781</v>
      </c>
      <c r="F1699" s="2" t="b">
        <v>1</v>
      </c>
      <c r="G1699" s="2" t="b">
        <v>0</v>
      </c>
      <c r="H1699" s="2" t="s">
        <v>1334</v>
      </c>
      <c r="I1699" s="2" t="s">
        <v>22</v>
      </c>
      <c r="J1699" s="2" t="s">
        <v>820</v>
      </c>
      <c r="K1699" s="2" t="s">
        <v>495</v>
      </c>
      <c r="L1699" s="13" t="s">
        <v>496</v>
      </c>
      <c r="M1699" s="2" t="s">
        <v>26</v>
      </c>
      <c r="N1699" s="11" t="s">
        <v>576</v>
      </c>
      <c r="O1699" s="12" t="s">
        <v>53</v>
      </c>
      <c r="P1699" s="5" t="str">
        <f>IFERROR(__xludf.DUMMYFUNCTION("TEXTJOIN("" | "",TRUE,IF(OR(D1699="""",E1699="""",I1699="""",J1699="""",H1699=""""),""ফাঁকা ঘর"",""""),IF(AND(C1699&lt;&gt;"""",D1699&lt;&gt;"""",C1699=D1699),""gloss=figurative"",""""),IF(LEN(D1699)&lt;15,""figurative ছোট"",""""),IF(AND(I1699=""Positive"",REGEXMATCH(H1"&amp;"699,""মূর্খ|ভণ্ড|প্রতার|অলস|লোভ|স্বার্থ|অক্ষম|অযোগ্য|বোকা|কৃপণ|হিংস"")),""valence-target অমিল"",""""),IF(COUNTIF($B:$B,B1699)&gt;1,""ডুপ্লিকেট"",""""))"),"figurative ছোট")</f>
        <v>figurative ছোট</v>
      </c>
      <c r="Q1699" s="5" t="str">
        <f t="shared" si="1"/>
        <v>১ আগে দেখো</v>
      </c>
    </row>
    <row r="1700">
      <c r="A1700" s="4">
        <v>7321.0</v>
      </c>
      <c r="B1700" s="2" t="s">
        <v>6782</v>
      </c>
      <c r="C1700" s="2" t="s">
        <v>6783</v>
      </c>
      <c r="D1700" s="2" t="s">
        <v>4862</v>
      </c>
      <c r="E1700" s="2" t="s">
        <v>6784</v>
      </c>
      <c r="F1700" s="2" t="b">
        <v>1</v>
      </c>
      <c r="G1700" s="2" t="b">
        <v>0</v>
      </c>
      <c r="H1700" s="2" t="s">
        <v>37</v>
      </c>
      <c r="I1700" s="2" t="s">
        <v>49</v>
      </c>
      <c r="J1700" s="2" t="s">
        <v>565</v>
      </c>
      <c r="K1700" s="2" t="s">
        <v>495</v>
      </c>
      <c r="L1700" s="13" t="s">
        <v>496</v>
      </c>
      <c r="M1700" s="2" t="s">
        <v>26</v>
      </c>
      <c r="N1700" s="11" t="s">
        <v>576</v>
      </c>
      <c r="O1700" s="12" t="s">
        <v>53</v>
      </c>
      <c r="P1700" s="5" t="str">
        <f>IFERROR(__xludf.DUMMYFUNCTION("TEXTJOIN("" | "",TRUE,IF(OR(D1700="""",E1700="""",I1700="""",J1700="""",H1700=""""),""ফাঁকা ঘর"",""""),IF(AND(C1700&lt;&gt;"""",D1700&lt;&gt;"""",C1700=D1700),""gloss=figurative"",""""),IF(LEN(D1700)&lt;15,""figurative ছোট"",""""),IF(AND(I1700=""Positive"",REGEXMATCH(H1"&amp;"700,""মূর্খ|ভণ্ড|প্রতার|অলস|লোভ|স্বার্থ|অক্ষম|অযোগ্য|বোকা|কৃপণ|হিংস"")),""valence-target অমিল"",""""),IF(COUNTIF($B:$B,B1700)&gt;1,""ডুপ্লিকেট"",""""))"),"figurative ছোট")</f>
        <v>figurative ছোট</v>
      </c>
      <c r="Q1700" s="5" t="str">
        <f t="shared" si="1"/>
        <v>১ আগে দেখো</v>
      </c>
    </row>
    <row r="1701">
      <c r="A1701" s="4">
        <v>7322.0</v>
      </c>
      <c r="B1701" s="2" t="s">
        <v>6785</v>
      </c>
      <c r="C1701" s="2" t="s">
        <v>6786</v>
      </c>
      <c r="D1701" s="2" t="s">
        <v>669</v>
      </c>
      <c r="E1701" s="2" t="s">
        <v>6787</v>
      </c>
      <c r="F1701" s="2" t="b">
        <v>1</v>
      </c>
      <c r="G1701" s="2" t="b">
        <v>0</v>
      </c>
      <c r="H1701" s="2" t="s">
        <v>37</v>
      </c>
      <c r="I1701" s="2" t="s">
        <v>22</v>
      </c>
      <c r="J1701" s="2" t="s">
        <v>669</v>
      </c>
      <c r="K1701" s="2" t="s">
        <v>495</v>
      </c>
      <c r="L1701" s="13" t="s">
        <v>496</v>
      </c>
      <c r="M1701" s="2" t="s">
        <v>26</v>
      </c>
      <c r="N1701" s="11" t="s">
        <v>576</v>
      </c>
      <c r="O1701" s="12" t="s">
        <v>53</v>
      </c>
      <c r="P1701" s="5" t="str">
        <f>IFERROR(__xludf.DUMMYFUNCTION("TEXTJOIN("" | "",TRUE,IF(OR(D1701="""",E1701="""",I1701="""",J1701="""",H1701=""""),""ফাঁকা ঘর"",""""),IF(AND(C1701&lt;&gt;"""",D1701&lt;&gt;"""",C1701=D1701),""gloss=figurative"",""""),IF(LEN(D1701)&lt;15,""figurative ছোট"",""""),IF(AND(I1701=""Positive"",REGEXMATCH(H1"&amp;"701,""মূর্খ|ভণ্ড|প্রতার|অলস|লোভ|স্বার্থ|অক্ষম|অযোগ্য|বোকা|কৃপণ|হিংস"")),""valence-target অমিল"",""""),IF(COUNTIF($B:$B,B1701)&gt;1,""ডুপ্লিকেট"",""""))"),"figurative ছোট")</f>
        <v>figurative ছোট</v>
      </c>
      <c r="Q1701" s="5" t="str">
        <f t="shared" si="1"/>
        <v>১ আগে দেখো</v>
      </c>
    </row>
    <row r="1702">
      <c r="A1702" s="4">
        <v>7324.0</v>
      </c>
      <c r="B1702" s="2" t="s">
        <v>6788</v>
      </c>
      <c r="C1702" s="2" t="s">
        <v>6789</v>
      </c>
      <c r="D1702" s="2" t="s">
        <v>1310</v>
      </c>
      <c r="E1702" s="2" t="s">
        <v>6790</v>
      </c>
      <c r="F1702" s="2" t="b">
        <v>1</v>
      </c>
      <c r="G1702" s="2" t="b">
        <v>0</v>
      </c>
      <c r="H1702" s="2" t="s">
        <v>37</v>
      </c>
      <c r="I1702" s="2" t="s">
        <v>22</v>
      </c>
      <c r="J1702" s="2" t="s">
        <v>669</v>
      </c>
      <c r="K1702" s="2" t="s">
        <v>495</v>
      </c>
      <c r="L1702" s="13" t="s">
        <v>496</v>
      </c>
      <c r="M1702" s="2" t="s">
        <v>26</v>
      </c>
      <c r="N1702" s="11" t="s">
        <v>576</v>
      </c>
      <c r="O1702" s="12" t="s">
        <v>53</v>
      </c>
      <c r="P1702" s="5" t="str">
        <f>IFERROR(__xludf.DUMMYFUNCTION("TEXTJOIN("" | "",TRUE,IF(OR(D1702="""",E1702="""",I1702="""",J1702="""",H1702=""""),""ফাঁকা ঘর"",""""),IF(AND(C1702&lt;&gt;"""",D1702&lt;&gt;"""",C1702=D1702),""gloss=figurative"",""""),IF(LEN(D1702)&lt;15,""figurative ছোট"",""""),IF(AND(I1702=""Positive"",REGEXMATCH(H1"&amp;"702,""মূর্খ|ভণ্ড|প্রতার|অলস|লোভ|স্বার্থ|অক্ষম|অযোগ্য|বোকা|কৃপণ|হিংস"")),""valence-target অমিল"",""""),IF(COUNTIF($B:$B,B1702)&gt;1,""ডুপ্লিকেট"",""""))"),"figurative ছোট")</f>
        <v>figurative ছোট</v>
      </c>
      <c r="Q1702" s="5" t="str">
        <f t="shared" si="1"/>
        <v>১ আগে দেখো</v>
      </c>
    </row>
    <row r="1703">
      <c r="A1703" s="4">
        <v>7325.0</v>
      </c>
      <c r="B1703" s="2" t="s">
        <v>6791</v>
      </c>
      <c r="C1703" s="2" t="s">
        <v>6791</v>
      </c>
      <c r="D1703" s="2" t="s">
        <v>4704</v>
      </c>
      <c r="E1703" s="2" t="s">
        <v>6792</v>
      </c>
      <c r="F1703" s="2" t="b">
        <v>1</v>
      </c>
      <c r="G1703" s="2" t="b">
        <v>0</v>
      </c>
      <c r="H1703" s="2" t="s">
        <v>37</v>
      </c>
      <c r="I1703" s="2" t="s">
        <v>22</v>
      </c>
      <c r="J1703" s="2" t="s">
        <v>4704</v>
      </c>
      <c r="K1703" s="2" t="s">
        <v>495</v>
      </c>
      <c r="L1703" s="13" t="s">
        <v>496</v>
      </c>
      <c r="M1703" s="2" t="s">
        <v>26</v>
      </c>
      <c r="N1703" s="11" t="s">
        <v>576</v>
      </c>
      <c r="O1703" s="12" t="s">
        <v>53</v>
      </c>
      <c r="P1703" s="5" t="str">
        <f>IFERROR(__xludf.DUMMYFUNCTION("TEXTJOIN("" | "",TRUE,IF(OR(D1703="""",E1703="""",I1703="""",J1703="""",H1703=""""),""ফাঁকা ঘর"",""""),IF(AND(C1703&lt;&gt;"""",D1703&lt;&gt;"""",C1703=D1703),""gloss=figurative"",""""),IF(LEN(D1703)&lt;15,""figurative ছোট"",""""),IF(AND(I1703=""Positive"",REGEXMATCH(H1"&amp;"703,""মূর্খ|ভণ্ড|প্রতার|অলস|লোভ|স্বার্থ|অক্ষম|অযোগ্য|বোকা|কৃপণ|হিংস"")),""valence-target অমিল"",""""),IF(COUNTIF($B:$B,B1703)&gt;1,""ডুপ্লিকেট"",""""))"),"figurative ছোট")</f>
        <v>figurative ছোট</v>
      </c>
      <c r="Q1703" s="5" t="str">
        <f t="shared" si="1"/>
        <v>১ আগে দেখো</v>
      </c>
    </row>
    <row r="1704">
      <c r="A1704" s="4">
        <v>7326.0</v>
      </c>
      <c r="B1704" s="2" t="s">
        <v>6793</v>
      </c>
      <c r="C1704" s="2" t="s">
        <v>6794</v>
      </c>
      <c r="D1704" s="2" t="s">
        <v>1025</v>
      </c>
      <c r="E1704" s="2" t="s">
        <v>6795</v>
      </c>
      <c r="F1704" s="2" t="b">
        <v>1</v>
      </c>
      <c r="G1704" s="2" t="b">
        <v>0</v>
      </c>
      <c r="H1704" s="2" t="s">
        <v>1025</v>
      </c>
      <c r="I1704" s="2" t="s">
        <v>22</v>
      </c>
      <c r="J1704" s="2" t="s">
        <v>1027</v>
      </c>
      <c r="K1704" s="2" t="s">
        <v>495</v>
      </c>
      <c r="L1704" s="13" t="s">
        <v>496</v>
      </c>
      <c r="M1704" s="2" t="s">
        <v>26</v>
      </c>
      <c r="N1704" s="11" t="s">
        <v>576</v>
      </c>
      <c r="O1704" s="12" t="s">
        <v>53</v>
      </c>
      <c r="P1704" s="5" t="str">
        <f>IFERROR(__xludf.DUMMYFUNCTION("TEXTJOIN("" | "",TRUE,IF(OR(D1704="""",E1704="""",I1704="""",J1704="""",H1704=""""),""ফাঁকা ঘর"",""""),IF(AND(C1704&lt;&gt;"""",D1704&lt;&gt;"""",C1704=D1704),""gloss=figurative"",""""),IF(LEN(D1704)&lt;15,""figurative ছোট"",""""),IF(AND(I1704=""Positive"",REGEXMATCH(H1"&amp;"704,""মূর্খ|ভণ্ড|প্রতার|অলস|লোভ|স্বার্থ|অক্ষম|অযোগ্য|বোকা|কৃপণ|হিংস"")),""valence-target অমিল"",""""),IF(COUNTIF($B:$B,B1704)&gt;1,""ডুপ্লিকেট"",""""))"),"figurative ছোট")</f>
        <v>figurative ছোট</v>
      </c>
      <c r="Q1704" s="5" t="str">
        <f t="shared" si="1"/>
        <v>১ আগে দেখো</v>
      </c>
    </row>
    <row r="1705">
      <c r="A1705" s="4">
        <v>7327.0</v>
      </c>
      <c r="B1705" s="2" t="s">
        <v>6796</v>
      </c>
      <c r="C1705" s="2" t="s">
        <v>4010</v>
      </c>
      <c r="D1705" s="2" t="s">
        <v>4011</v>
      </c>
      <c r="E1705" s="2" t="s">
        <v>6797</v>
      </c>
      <c r="F1705" s="2" t="b">
        <v>1</v>
      </c>
      <c r="G1705" s="2" t="b">
        <v>0</v>
      </c>
      <c r="H1705" s="2" t="s">
        <v>37</v>
      </c>
      <c r="I1705" s="2" t="s">
        <v>22</v>
      </c>
      <c r="J1705" s="2" t="s">
        <v>1146</v>
      </c>
      <c r="K1705" s="2" t="s">
        <v>495</v>
      </c>
      <c r="L1705" s="13" t="s">
        <v>496</v>
      </c>
      <c r="M1705" s="2" t="s">
        <v>26</v>
      </c>
      <c r="N1705" s="11" t="s">
        <v>576</v>
      </c>
      <c r="O1705" s="12" t="s">
        <v>53</v>
      </c>
      <c r="P1705" s="5" t="str">
        <f>IFERROR(__xludf.DUMMYFUNCTION("TEXTJOIN("" | "",TRUE,IF(OR(D1705="""",E1705="""",I1705="""",J1705="""",H1705=""""),""ফাঁকা ঘর"",""""),IF(AND(C1705&lt;&gt;"""",D1705&lt;&gt;"""",C1705=D1705),""gloss=figurative"",""""),IF(LEN(D1705)&lt;15,""figurative ছোট"",""""),IF(AND(I1705=""Positive"",REGEXMATCH(H1"&amp;"705,""মূর্খ|ভণ্ড|প্রতার|অলস|লোভ|স্বার্থ|অক্ষম|অযোগ্য|বোকা|কৃপণ|হিংস"")),""valence-target অমিল"",""""),IF(COUNTIF($B:$B,B1705)&gt;1,""ডুপ্লিকেট"",""""))"),"figurative ছোট")</f>
        <v>figurative ছোট</v>
      </c>
      <c r="Q1705" s="5" t="str">
        <f t="shared" si="1"/>
        <v>১ আগে দেখো</v>
      </c>
    </row>
    <row r="1706">
      <c r="A1706" s="4">
        <v>7328.0</v>
      </c>
      <c r="B1706" s="2" t="s">
        <v>6798</v>
      </c>
      <c r="C1706" s="2" t="s">
        <v>6799</v>
      </c>
      <c r="D1706" s="2" t="s">
        <v>6800</v>
      </c>
      <c r="E1706" s="2" t="s">
        <v>6801</v>
      </c>
      <c r="F1706" s="2" t="b">
        <v>1</v>
      </c>
      <c r="G1706" s="2" t="b">
        <v>0</v>
      </c>
      <c r="H1706" s="2" t="s">
        <v>37</v>
      </c>
      <c r="I1706" s="2" t="s">
        <v>22</v>
      </c>
      <c r="J1706" s="2" t="s">
        <v>842</v>
      </c>
      <c r="K1706" s="2" t="s">
        <v>495</v>
      </c>
      <c r="L1706" s="13" t="s">
        <v>496</v>
      </c>
      <c r="M1706" s="2" t="s">
        <v>26</v>
      </c>
      <c r="N1706" s="11" t="s">
        <v>576</v>
      </c>
      <c r="O1706" s="12" t="s">
        <v>53</v>
      </c>
      <c r="P1706" s="5" t="str">
        <f>IFERROR(__xludf.DUMMYFUNCTION("TEXTJOIN("" | "",TRUE,IF(OR(D1706="""",E1706="""",I1706="""",J1706="""",H1706=""""),""ফাঁকা ঘর"",""""),IF(AND(C1706&lt;&gt;"""",D1706&lt;&gt;"""",C1706=D1706),""gloss=figurative"",""""),IF(LEN(D1706)&lt;15,""figurative ছোট"",""""),IF(AND(I1706=""Positive"",REGEXMATCH(H1"&amp;"706,""মূর্খ|ভণ্ড|প্রতার|অলস|লোভ|স্বার্থ|অক্ষম|অযোগ্য|বোকা|কৃপণ|হিংস"")),""valence-target অমিল"",""""),IF(COUNTIF($B:$B,B1706)&gt;1,""ডুপ্লিকেট"",""""))"),"figurative ছোট")</f>
        <v>figurative ছোট</v>
      </c>
      <c r="Q1706" s="5" t="str">
        <f t="shared" si="1"/>
        <v>১ আগে দেখো</v>
      </c>
    </row>
    <row r="1707">
      <c r="A1707" s="4">
        <v>7329.0</v>
      </c>
      <c r="B1707" s="2" t="s">
        <v>6802</v>
      </c>
      <c r="C1707" s="2" t="s">
        <v>6803</v>
      </c>
      <c r="D1707" s="2" t="s">
        <v>3826</v>
      </c>
      <c r="E1707" s="2" t="s">
        <v>6804</v>
      </c>
      <c r="F1707" s="2" t="b">
        <v>1</v>
      </c>
      <c r="G1707" s="2" t="b">
        <v>0</v>
      </c>
      <c r="H1707" s="2" t="s">
        <v>37</v>
      </c>
      <c r="I1707" s="2" t="s">
        <v>32</v>
      </c>
      <c r="J1707" s="2" t="s">
        <v>3506</v>
      </c>
      <c r="K1707" s="2" t="s">
        <v>495</v>
      </c>
      <c r="L1707" s="13" t="s">
        <v>496</v>
      </c>
      <c r="M1707" s="2" t="s">
        <v>26</v>
      </c>
      <c r="N1707" s="11" t="s">
        <v>576</v>
      </c>
      <c r="O1707" s="12" t="s">
        <v>53</v>
      </c>
      <c r="P1707" s="5" t="str">
        <f>IFERROR(__xludf.DUMMYFUNCTION("TEXTJOIN("" | "",TRUE,IF(OR(D1707="""",E1707="""",I1707="""",J1707="""",H1707=""""),""ফাঁকা ঘর"",""""),IF(AND(C1707&lt;&gt;"""",D1707&lt;&gt;"""",C1707=D1707),""gloss=figurative"",""""),IF(LEN(D1707)&lt;15,""figurative ছোট"",""""),IF(AND(I1707=""Positive"",REGEXMATCH(H1"&amp;"707,""মূর্খ|ভণ্ড|প্রতার|অলস|লোভ|স্বার্থ|অক্ষম|অযোগ্য|বোকা|কৃপণ|হিংস"")),""valence-target অমিল"",""""),IF(COUNTIF($B:$B,B1707)&gt;1,""ডুপ্লিকেট"",""""))"),"figurative ছোট")</f>
        <v>figurative ছোট</v>
      </c>
      <c r="Q1707" s="5" t="str">
        <f t="shared" si="1"/>
        <v>১ আগে দেখো</v>
      </c>
    </row>
    <row r="1708">
      <c r="A1708" s="4">
        <v>7330.0</v>
      </c>
      <c r="B1708" s="2" t="s">
        <v>6805</v>
      </c>
      <c r="C1708" s="2" t="s">
        <v>6805</v>
      </c>
      <c r="D1708" s="2" t="s">
        <v>6806</v>
      </c>
      <c r="E1708" s="2" t="s">
        <v>6807</v>
      </c>
      <c r="F1708" s="2" t="b">
        <v>1</v>
      </c>
      <c r="G1708" s="2" t="b">
        <v>0</v>
      </c>
      <c r="H1708" s="2" t="s">
        <v>37</v>
      </c>
      <c r="I1708" s="2" t="s">
        <v>49</v>
      </c>
      <c r="J1708" s="2" t="s">
        <v>2482</v>
      </c>
      <c r="K1708" s="2" t="s">
        <v>495</v>
      </c>
      <c r="L1708" s="13" t="s">
        <v>496</v>
      </c>
      <c r="M1708" s="2" t="s">
        <v>26</v>
      </c>
      <c r="N1708" s="11" t="s">
        <v>576</v>
      </c>
      <c r="O1708" s="12" t="s">
        <v>53</v>
      </c>
      <c r="P1708" s="5" t="str">
        <f>IFERROR(__xludf.DUMMYFUNCTION("TEXTJOIN("" | "",TRUE,IF(OR(D1708="""",E1708="""",I1708="""",J1708="""",H1708=""""),""ফাঁকা ঘর"",""""),IF(AND(C1708&lt;&gt;"""",D1708&lt;&gt;"""",C1708=D1708),""gloss=figurative"",""""),IF(LEN(D1708)&lt;15,""figurative ছোট"",""""),IF(AND(I1708=""Positive"",REGEXMATCH(H1"&amp;"708,""মূর্খ|ভণ্ড|প্রতার|অলস|লোভ|স্বার্থ|অক্ষম|অযোগ্য|বোকা|কৃপণ|হিংস"")),""valence-target অমিল"",""""),IF(COUNTIF($B:$B,B1708)&gt;1,""ডুপ্লিকেট"",""""))"),"figurative ছোট")</f>
        <v>figurative ছোট</v>
      </c>
      <c r="Q1708" s="5" t="str">
        <f t="shared" si="1"/>
        <v>১ আগে দেখো</v>
      </c>
    </row>
    <row r="1709">
      <c r="A1709" s="4">
        <v>7331.0</v>
      </c>
      <c r="B1709" s="2" t="s">
        <v>6808</v>
      </c>
      <c r="C1709" s="2" t="s">
        <v>6809</v>
      </c>
      <c r="D1709" s="2" t="s">
        <v>6810</v>
      </c>
      <c r="E1709" s="2" t="s">
        <v>6811</v>
      </c>
      <c r="F1709" s="2" t="b">
        <v>1</v>
      </c>
      <c r="G1709" s="2" t="b">
        <v>0</v>
      </c>
      <c r="H1709" s="2" t="s">
        <v>2482</v>
      </c>
      <c r="I1709" s="2" t="s">
        <v>49</v>
      </c>
      <c r="J1709" s="2" t="s">
        <v>4137</v>
      </c>
      <c r="K1709" s="2" t="s">
        <v>495</v>
      </c>
      <c r="L1709" s="13" t="s">
        <v>496</v>
      </c>
      <c r="M1709" s="2" t="s">
        <v>26</v>
      </c>
      <c r="N1709" s="11" t="s">
        <v>576</v>
      </c>
      <c r="O1709" s="12" t="s">
        <v>53</v>
      </c>
      <c r="P1709" s="5" t="str">
        <f>IFERROR(__xludf.DUMMYFUNCTION("TEXTJOIN("" | "",TRUE,IF(OR(D1709="""",E1709="""",I1709="""",J1709="""",H1709=""""),""ফাঁকা ঘর"",""""),IF(AND(C1709&lt;&gt;"""",D1709&lt;&gt;"""",C1709=D1709),""gloss=figurative"",""""),IF(LEN(D1709)&lt;15,""figurative ছোট"",""""),IF(AND(I1709=""Positive"",REGEXMATCH(H1"&amp;"709,""মূর্খ|ভণ্ড|প্রতার|অলস|লোভ|স্বার্থ|অক্ষম|অযোগ্য|বোকা|কৃপণ|হিংস"")),""valence-target অমিল"",""""),IF(COUNTIF($B:$B,B1709)&gt;1,""ডুপ্লিকেট"",""""))"),"figurative ছোট")</f>
        <v>figurative ছোট</v>
      </c>
      <c r="Q1709" s="5" t="str">
        <f t="shared" si="1"/>
        <v>১ আগে দেখো</v>
      </c>
    </row>
    <row r="1710">
      <c r="A1710" s="4">
        <v>7332.0</v>
      </c>
      <c r="B1710" s="2" t="s">
        <v>6812</v>
      </c>
      <c r="C1710" s="2" t="s">
        <v>6813</v>
      </c>
      <c r="D1710" s="2" t="s">
        <v>6814</v>
      </c>
      <c r="E1710" s="2" t="s">
        <v>6815</v>
      </c>
      <c r="F1710" s="2" t="b">
        <v>1</v>
      </c>
      <c r="G1710" s="2" t="b">
        <v>0</v>
      </c>
      <c r="H1710" s="2" t="s">
        <v>2482</v>
      </c>
      <c r="I1710" s="2" t="s">
        <v>49</v>
      </c>
      <c r="J1710" s="2" t="s">
        <v>3416</v>
      </c>
      <c r="K1710" s="2" t="s">
        <v>495</v>
      </c>
      <c r="L1710" s="13" t="s">
        <v>496</v>
      </c>
      <c r="M1710" s="2" t="s">
        <v>26</v>
      </c>
      <c r="N1710" s="11" t="s">
        <v>576</v>
      </c>
      <c r="O1710" s="12" t="s">
        <v>53</v>
      </c>
      <c r="P1710" s="5" t="str">
        <f>IFERROR(__xludf.DUMMYFUNCTION("TEXTJOIN("" | "",TRUE,IF(OR(D1710="""",E1710="""",I1710="""",J1710="""",H1710=""""),""ফাঁকা ঘর"",""""),IF(AND(C1710&lt;&gt;"""",D1710&lt;&gt;"""",C1710=D1710),""gloss=figurative"",""""),IF(LEN(D1710)&lt;15,""figurative ছোট"",""""),IF(AND(I1710=""Positive"",REGEXMATCH(H1"&amp;"710,""মূর্খ|ভণ্ড|প্রতার|অলস|লোভ|স্বার্থ|অক্ষম|অযোগ্য|বোকা|কৃপণ|হিংস"")),""valence-target অমিল"",""""),IF(COUNTIF($B:$B,B1710)&gt;1,""ডুপ্লিকেট"",""""))"),"figurative ছোট")</f>
        <v>figurative ছোট</v>
      </c>
      <c r="Q1710" s="5" t="str">
        <f t="shared" si="1"/>
        <v>১ আগে দেখো</v>
      </c>
    </row>
    <row r="1711">
      <c r="A1711" s="4">
        <v>7334.0</v>
      </c>
      <c r="B1711" s="2" t="s">
        <v>6816</v>
      </c>
      <c r="C1711" s="2" t="s">
        <v>6817</v>
      </c>
      <c r="D1711" s="2" t="s">
        <v>1784</v>
      </c>
      <c r="E1711" s="2" t="s">
        <v>6818</v>
      </c>
      <c r="F1711" s="2" t="b">
        <v>1</v>
      </c>
      <c r="G1711" s="2" t="b">
        <v>0</v>
      </c>
      <c r="H1711" s="2" t="s">
        <v>37</v>
      </c>
      <c r="I1711" s="2" t="s">
        <v>49</v>
      </c>
      <c r="J1711" s="2" t="s">
        <v>1784</v>
      </c>
      <c r="K1711" s="2" t="s">
        <v>495</v>
      </c>
      <c r="L1711" s="13" t="s">
        <v>496</v>
      </c>
      <c r="M1711" s="2" t="s">
        <v>26</v>
      </c>
      <c r="N1711" s="11" t="s">
        <v>576</v>
      </c>
      <c r="O1711" s="12" t="s">
        <v>53</v>
      </c>
      <c r="P1711" s="5" t="str">
        <f>IFERROR(__xludf.DUMMYFUNCTION("TEXTJOIN("" | "",TRUE,IF(OR(D1711="""",E1711="""",I1711="""",J1711="""",H1711=""""),""ফাঁকা ঘর"",""""),IF(AND(C1711&lt;&gt;"""",D1711&lt;&gt;"""",C1711=D1711),""gloss=figurative"",""""),IF(LEN(D1711)&lt;15,""figurative ছোট"",""""),IF(AND(I1711=""Positive"",REGEXMATCH(H1"&amp;"711,""মূর্খ|ভণ্ড|প্রতার|অলস|লোভ|স্বার্থ|অক্ষম|অযোগ্য|বোকা|কৃপণ|হিংস"")),""valence-target অমিল"",""""),IF(COUNTIF($B:$B,B1711)&gt;1,""ডুপ্লিকেট"",""""))"),"figurative ছোট")</f>
        <v>figurative ছোট</v>
      </c>
      <c r="Q1711" s="5" t="str">
        <f t="shared" si="1"/>
        <v>১ আগে দেখো</v>
      </c>
    </row>
    <row r="1712">
      <c r="A1712" s="4">
        <v>7335.0</v>
      </c>
      <c r="B1712" s="2" t="s">
        <v>6819</v>
      </c>
      <c r="C1712" s="2" t="s">
        <v>6820</v>
      </c>
      <c r="D1712" s="2" t="s">
        <v>447</v>
      </c>
      <c r="E1712" s="2" t="s">
        <v>6821</v>
      </c>
      <c r="F1712" s="2" t="b">
        <v>1</v>
      </c>
      <c r="G1712" s="2" t="b">
        <v>0</v>
      </c>
      <c r="H1712" s="2" t="s">
        <v>37</v>
      </c>
      <c r="I1712" s="2" t="s">
        <v>49</v>
      </c>
      <c r="J1712" s="2" t="s">
        <v>447</v>
      </c>
      <c r="K1712" s="2" t="s">
        <v>495</v>
      </c>
      <c r="L1712" s="13" t="s">
        <v>496</v>
      </c>
      <c r="M1712" s="2" t="s">
        <v>26</v>
      </c>
      <c r="N1712" s="11" t="s">
        <v>576</v>
      </c>
      <c r="O1712" s="12" t="s">
        <v>53</v>
      </c>
      <c r="P1712" s="5" t="str">
        <f>IFERROR(__xludf.DUMMYFUNCTION("TEXTJOIN("" | "",TRUE,IF(OR(D1712="""",E1712="""",I1712="""",J1712="""",H1712=""""),""ফাঁকা ঘর"",""""),IF(AND(C1712&lt;&gt;"""",D1712&lt;&gt;"""",C1712=D1712),""gloss=figurative"",""""),IF(LEN(D1712)&lt;15,""figurative ছোট"",""""),IF(AND(I1712=""Positive"",REGEXMATCH(H1"&amp;"712,""মূর্খ|ভণ্ড|প্রতার|অলস|লোভ|স্বার্থ|অক্ষম|অযোগ্য|বোকা|কৃপণ|হিংস"")),""valence-target অমিল"",""""),IF(COUNTIF($B:$B,B1712)&gt;1,""ডুপ্লিকেট"",""""))"),"figurative ছোট")</f>
        <v>figurative ছোট</v>
      </c>
      <c r="Q1712" s="5" t="str">
        <f t="shared" si="1"/>
        <v>১ আগে দেখো</v>
      </c>
    </row>
    <row r="1713">
      <c r="A1713" s="4">
        <v>7336.0</v>
      </c>
      <c r="B1713" s="2" t="s">
        <v>6822</v>
      </c>
      <c r="C1713" s="2" t="s">
        <v>6823</v>
      </c>
      <c r="D1713" s="2" t="s">
        <v>447</v>
      </c>
      <c r="E1713" s="2" t="s">
        <v>6824</v>
      </c>
      <c r="F1713" s="2" t="b">
        <v>1</v>
      </c>
      <c r="G1713" s="2" t="b">
        <v>0</v>
      </c>
      <c r="H1713" s="2" t="s">
        <v>37</v>
      </c>
      <c r="I1713" s="2" t="s">
        <v>49</v>
      </c>
      <c r="J1713" s="2" t="s">
        <v>447</v>
      </c>
      <c r="K1713" s="2" t="s">
        <v>495</v>
      </c>
      <c r="L1713" s="13" t="s">
        <v>496</v>
      </c>
      <c r="M1713" s="2" t="s">
        <v>26</v>
      </c>
      <c r="N1713" s="11" t="s">
        <v>576</v>
      </c>
      <c r="O1713" s="12" t="s">
        <v>53</v>
      </c>
      <c r="P1713" s="5" t="str">
        <f>IFERROR(__xludf.DUMMYFUNCTION("TEXTJOIN("" | "",TRUE,IF(OR(D1713="""",E1713="""",I1713="""",J1713="""",H1713=""""),""ফাঁকা ঘর"",""""),IF(AND(C1713&lt;&gt;"""",D1713&lt;&gt;"""",C1713=D1713),""gloss=figurative"",""""),IF(LEN(D1713)&lt;15,""figurative ছোট"",""""),IF(AND(I1713=""Positive"",REGEXMATCH(H1"&amp;"713,""মূর্খ|ভণ্ড|প্রতার|অলস|লোভ|স্বার্থ|অক্ষম|অযোগ্য|বোকা|কৃপণ|হিংস"")),""valence-target অমিল"",""""),IF(COUNTIF($B:$B,B1713)&gt;1,""ডুপ্লিকেট"",""""))"),"figurative ছোট")</f>
        <v>figurative ছোট</v>
      </c>
      <c r="Q1713" s="5" t="str">
        <f t="shared" si="1"/>
        <v>১ আগে দেখো</v>
      </c>
    </row>
    <row r="1714">
      <c r="A1714" s="4">
        <v>7337.0</v>
      </c>
      <c r="B1714" s="2" t="s">
        <v>6825</v>
      </c>
      <c r="C1714" s="2" t="s">
        <v>6826</v>
      </c>
      <c r="D1714" s="2" t="s">
        <v>6827</v>
      </c>
      <c r="E1714" s="2" t="s">
        <v>6828</v>
      </c>
      <c r="F1714" s="2" t="b">
        <v>1</v>
      </c>
      <c r="G1714" s="2" t="b">
        <v>0</v>
      </c>
      <c r="H1714" s="2" t="s">
        <v>1484</v>
      </c>
      <c r="I1714" s="2" t="s">
        <v>22</v>
      </c>
      <c r="J1714" s="2" t="s">
        <v>990</v>
      </c>
      <c r="K1714" s="2" t="s">
        <v>495</v>
      </c>
      <c r="L1714" s="13" t="s">
        <v>496</v>
      </c>
      <c r="M1714" s="2" t="s">
        <v>26</v>
      </c>
      <c r="N1714" s="11" t="s">
        <v>576</v>
      </c>
      <c r="O1714" s="12" t="s">
        <v>53</v>
      </c>
      <c r="P1714" s="5" t="str">
        <f>IFERROR(__xludf.DUMMYFUNCTION("TEXTJOIN("" | "",TRUE,IF(OR(D1714="""",E1714="""",I1714="""",J1714="""",H1714=""""),""ফাঁকা ঘর"",""""),IF(AND(C1714&lt;&gt;"""",D1714&lt;&gt;"""",C1714=D1714),""gloss=figurative"",""""),IF(LEN(D1714)&lt;15,""figurative ছোট"",""""),IF(AND(I1714=""Positive"",REGEXMATCH(H1"&amp;"714,""মূর্খ|ভণ্ড|প্রতার|অলস|লোভ|স্বার্থ|অক্ষম|অযোগ্য|বোকা|কৃপণ|হিংস"")),""valence-target অমিল"",""""),IF(COUNTIF($B:$B,B1714)&gt;1,""ডুপ্লিকেট"",""""))"),"figurative ছোট")</f>
        <v>figurative ছোট</v>
      </c>
      <c r="Q1714" s="5" t="str">
        <f t="shared" si="1"/>
        <v>১ আগে দেখো</v>
      </c>
    </row>
    <row r="1715">
      <c r="A1715" s="4">
        <v>7338.0</v>
      </c>
      <c r="B1715" s="2" t="s">
        <v>6829</v>
      </c>
      <c r="C1715" s="2" t="s">
        <v>6830</v>
      </c>
      <c r="D1715" s="2" t="s">
        <v>989</v>
      </c>
      <c r="E1715" s="2" t="s">
        <v>6831</v>
      </c>
      <c r="F1715" s="2" t="b">
        <v>1</v>
      </c>
      <c r="G1715" s="2" t="b">
        <v>0</v>
      </c>
      <c r="H1715" s="2" t="s">
        <v>37</v>
      </c>
      <c r="I1715" s="2" t="s">
        <v>22</v>
      </c>
      <c r="J1715" s="2" t="s">
        <v>990</v>
      </c>
      <c r="K1715" s="2" t="s">
        <v>495</v>
      </c>
      <c r="L1715" s="13" t="s">
        <v>496</v>
      </c>
      <c r="M1715" s="2" t="s">
        <v>26</v>
      </c>
      <c r="N1715" s="11" t="s">
        <v>6832</v>
      </c>
      <c r="O1715" s="12" t="s">
        <v>53</v>
      </c>
      <c r="P1715" s="5" t="str">
        <f>IFERROR(__xludf.DUMMYFUNCTION("TEXTJOIN("" | "",TRUE,IF(OR(D1715="""",E1715="""",I1715="""",J1715="""",H1715=""""),""ফাঁকা ঘর"",""""),IF(AND(C1715&lt;&gt;"""",D1715&lt;&gt;"""",C1715=D1715),""gloss=figurative"",""""),IF(LEN(D1715)&lt;15,""figurative ছোট"",""""),IF(AND(I1715=""Positive"",REGEXMATCH(H1"&amp;"715,""মূর্খ|ভণ্ড|প্রতার|অলস|লোভ|স্বার্থ|অক্ষম|অযোগ্য|বোকা|কৃপণ|হিংস"")),""valence-target অমিল"",""""),IF(COUNTIF($B:$B,B1715)&gt;1,""ডুপ্লিকেট"",""""))"),"figurative ছোট")</f>
        <v>figurative ছোট</v>
      </c>
      <c r="Q1715" s="5" t="str">
        <f t="shared" si="1"/>
        <v>১ আগে দেখো</v>
      </c>
    </row>
    <row r="1716">
      <c r="A1716" s="4">
        <v>7339.0</v>
      </c>
      <c r="B1716" s="2" t="s">
        <v>6833</v>
      </c>
      <c r="C1716" s="2" t="s">
        <v>6834</v>
      </c>
      <c r="D1716" s="2" t="s">
        <v>756</v>
      </c>
      <c r="E1716" s="2" t="s">
        <v>6835</v>
      </c>
      <c r="F1716" s="2" t="b">
        <v>1</v>
      </c>
      <c r="G1716" s="2" t="b">
        <v>0</v>
      </c>
      <c r="H1716" s="2" t="s">
        <v>37</v>
      </c>
      <c r="I1716" s="2" t="s">
        <v>22</v>
      </c>
      <c r="J1716" s="2" t="s">
        <v>990</v>
      </c>
      <c r="K1716" s="2" t="s">
        <v>495</v>
      </c>
      <c r="L1716" s="13" t="s">
        <v>496</v>
      </c>
      <c r="M1716" s="2" t="s">
        <v>26</v>
      </c>
      <c r="N1716" s="11" t="s">
        <v>6836</v>
      </c>
      <c r="O1716" s="12" t="s">
        <v>53</v>
      </c>
      <c r="P1716" s="5" t="str">
        <f>IFERROR(__xludf.DUMMYFUNCTION("TEXTJOIN("" | "",TRUE,IF(OR(D1716="""",E1716="""",I1716="""",J1716="""",H1716=""""),""ফাঁকা ঘর"",""""),IF(AND(C1716&lt;&gt;"""",D1716&lt;&gt;"""",C1716=D1716),""gloss=figurative"",""""),IF(LEN(D1716)&lt;15,""figurative ছোট"",""""),IF(AND(I1716=""Positive"",REGEXMATCH(H1"&amp;"716,""মূর্খ|ভণ্ড|প্রতার|অলস|লোভ|স্বার্থ|অক্ষম|অযোগ্য|বোকা|কৃপণ|হিংস"")),""valence-target অমিল"",""""),IF(COUNTIF($B:$B,B1716)&gt;1,""ডুপ্লিকেট"",""""))"),"figurative ছোট")</f>
        <v>figurative ছোট</v>
      </c>
      <c r="Q1716" s="5" t="str">
        <f t="shared" si="1"/>
        <v>১ আগে দেখো</v>
      </c>
    </row>
    <row r="1717">
      <c r="A1717" s="4">
        <v>7340.0</v>
      </c>
      <c r="B1717" s="2" t="s">
        <v>6837</v>
      </c>
      <c r="C1717" s="2" t="s">
        <v>6838</v>
      </c>
      <c r="D1717" s="2" t="s">
        <v>6839</v>
      </c>
      <c r="E1717" s="2" t="s">
        <v>6840</v>
      </c>
      <c r="F1717" s="2" t="b">
        <v>1</v>
      </c>
      <c r="G1717" s="2" t="b">
        <v>0</v>
      </c>
      <c r="H1717" s="2" t="s">
        <v>37</v>
      </c>
      <c r="I1717" s="2" t="s">
        <v>22</v>
      </c>
      <c r="J1717" s="2" t="s">
        <v>2316</v>
      </c>
      <c r="K1717" s="2" t="s">
        <v>495</v>
      </c>
      <c r="L1717" s="13" t="s">
        <v>496</v>
      </c>
      <c r="M1717" s="2" t="s">
        <v>26</v>
      </c>
      <c r="N1717" s="11" t="s">
        <v>6841</v>
      </c>
      <c r="O1717" s="12" t="s">
        <v>53</v>
      </c>
      <c r="P1717" s="5" t="str">
        <f>IFERROR(__xludf.DUMMYFUNCTION("TEXTJOIN("" | "",TRUE,IF(OR(D1717="""",E1717="""",I1717="""",J1717="""",H1717=""""),""ফাঁকা ঘর"",""""),IF(AND(C1717&lt;&gt;"""",D1717&lt;&gt;"""",C1717=D1717),""gloss=figurative"",""""),IF(LEN(D1717)&lt;15,""figurative ছোট"",""""),IF(AND(I1717=""Positive"",REGEXMATCH(H1"&amp;"717,""মূর্খ|ভণ্ড|প্রতার|অলস|লোভ|স্বার্থ|অক্ষম|অযোগ্য|বোকা|কৃপণ|হিংস"")),""valence-target অমিল"",""""),IF(COUNTIF($B:$B,B1717)&gt;1,""ডুপ্লিকেট"",""""))"),"figurative ছোট")</f>
        <v>figurative ছোট</v>
      </c>
      <c r="Q1717" s="5" t="str">
        <f t="shared" si="1"/>
        <v>১ আগে দেখো</v>
      </c>
    </row>
    <row r="1718">
      <c r="A1718" s="4">
        <v>7341.0</v>
      </c>
      <c r="B1718" s="2" t="s">
        <v>6842</v>
      </c>
      <c r="C1718" s="2" t="s">
        <v>6843</v>
      </c>
      <c r="D1718" s="2" t="s">
        <v>6844</v>
      </c>
      <c r="E1718" s="2" t="s">
        <v>6845</v>
      </c>
      <c r="F1718" s="2" t="b">
        <v>1</v>
      </c>
      <c r="G1718" s="2" t="b">
        <v>0</v>
      </c>
      <c r="H1718" s="2" t="s">
        <v>37</v>
      </c>
      <c r="I1718" s="2" t="s">
        <v>22</v>
      </c>
      <c r="J1718" s="2" t="s">
        <v>2316</v>
      </c>
      <c r="K1718" s="2" t="s">
        <v>495</v>
      </c>
      <c r="L1718" s="13" t="s">
        <v>496</v>
      </c>
      <c r="M1718" s="2" t="s">
        <v>26</v>
      </c>
      <c r="N1718" s="11" t="s">
        <v>6841</v>
      </c>
      <c r="O1718" s="12" t="s">
        <v>53</v>
      </c>
      <c r="P1718" s="5" t="str">
        <f>IFERROR(__xludf.DUMMYFUNCTION("TEXTJOIN("" | "",TRUE,IF(OR(D1718="""",E1718="""",I1718="""",J1718="""",H1718=""""),""ফাঁকা ঘর"",""""),IF(AND(C1718&lt;&gt;"""",D1718&lt;&gt;"""",C1718=D1718),""gloss=figurative"",""""),IF(LEN(D1718)&lt;15,""figurative ছোট"",""""),IF(AND(I1718=""Positive"",REGEXMATCH(H1"&amp;"718,""মূর্খ|ভণ্ড|প্রতার|অলস|লোভ|স্বার্থ|অক্ষম|অযোগ্য|বোকা|কৃপণ|হিংস"")),""valence-target অমিল"",""""),IF(COUNTIF($B:$B,B1718)&gt;1,""ডুপ্লিকেট"",""""))"),"figurative ছোট")</f>
        <v>figurative ছোট</v>
      </c>
      <c r="Q1718" s="5" t="str">
        <f t="shared" si="1"/>
        <v>১ আগে দেখো</v>
      </c>
    </row>
    <row r="1719">
      <c r="A1719" s="4">
        <v>7342.0</v>
      </c>
      <c r="B1719" s="2" t="s">
        <v>6846</v>
      </c>
      <c r="C1719" s="2" t="s">
        <v>6846</v>
      </c>
      <c r="D1719" s="2" t="s">
        <v>6847</v>
      </c>
      <c r="E1719" s="2" t="s">
        <v>6848</v>
      </c>
      <c r="F1719" s="2" t="b">
        <v>1</v>
      </c>
      <c r="G1719" s="2" t="b">
        <v>0</v>
      </c>
      <c r="H1719" s="2" t="s">
        <v>37</v>
      </c>
      <c r="I1719" s="2" t="s">
        <v>22</v>
      </c>
      <c r="J1719" s="2" t="s">
        <v>6442</v>
      </c>
      <c r="K1719" s="2" t="s">
        <v>495</v>
      </c>
      <c r="L1719" s="13" t="s">
        <v>496</v>
      </c>
      <c r="M1719" s="2" t="s">
        <v>26</v>
      </c>
      <c r="N1719" s="11" t="s">
        <v>576</v>
      </c>
      <c r="O1719" s="12" t="s">
        <v>53</v>
      </c>
      <c r="P1719" s="5" t="str">
        <f>IFERROR(__xludf.DUMMYFUNCTION("TEXTJOIN("" | "",TRUE,IF(OR(D1719="""",E1719="""",I1719="""",J1719="""",H1719=""""),""ফাঁকা ঘর"",""""),IF(AND(C1719&lt;&gt;"""",D1719&lt;&gt;"""",C1719=D1719),""gloss=figurative"",""""),IF(LEN(D1719)&lt;15,""figurative ছোট"",""""),IF(AND(I1719=""Positive"",REGEXMATCH(H1"&amp;"719,""মূর্খ|ভণ্ড|প্রতার|অলস|লোভ|স্বার্থ|অক্ষম|অযোগ্য|বোকা|কৃপণ|হিংস"")),""valence-target অমিল"",""""),IF(COUNTIF($B:$B,B1719)&gt;1,""ডুপ্লিকেট"",""""))"),"figurative ছোট")</f>
        <v>figurative ছোট</v>
      </c>
      <c r="Q1719" s="5" t="str">
        <f t="shared" si="1"/>
        <v>১ আগে দেখো</v>
      </c>
    </row>
    <row r="1720">
      <c r="A1720" s="4">
        <v>7343.0</v>
      </c>
      <c r="B1720" s="2" t="s">
        <v>6849</v>
      </c>
      <c r="C1720" s="2" t="s">
        <v>6850</v>
      </c>
      <c r="D1720" s="2" t="s">
        <v>762</v>
      </c>
      <c r="E1720" s="2" t="s">
        <v>6851</v>
      </c>
      <c r="F1720" s="2" t="b">
        <v>1</v>
      </c>
      <c r="G1720" s="2" t="b">
        <v>0</v>
      </c>
      <c r="H1720" s="2" t="s">
        <v>37</v>
      </c>
      <c r="I1720" s="2" t="s">
        <v>49</v>
      </c>
      <c r="J1720" s="2" t="s">
        <v>762</v>
      </c>
      <c r="K1720" s="2" t="s">
        <v>495</v>
      </c>
      <c r="L1720" s="13" t="s">
        <v>496</v>
      </c>
      <c r="M1720" s="2" t="s">
        <v>26</v>
      </c>
      <c r="N1720" s="11" t="s">
        <v>6852</v>
      </c>
      <c r="O1720" s="12" t="s">
        <v>53</v>
      </c>
      <c r="P1720" s="5" t="str">
        <f>IFERROR(__xludf.DUMMYFUNCTION("TEXTJOIN("" | "",TRUE,IF(OR(D1720="""",E1720="""",I1720="""",J1720="""",H1720=""""),""ফাঁকা ঘর"",""""),IF(AND(C1720&lt;&gt;"""",D1720&lt;&gt;"""",C1720=D1720),""gloss=figurative"",""""),IF(LEN(D1720)&lt;15,""figurative ছোট"",""""),IF(AND(I1720=""Positive"",REGEXMATCH(H1"&amp;"720,""মূর্খ|ভণ্ড|প্রতার|অলস|লোভ|স্বার্থ|অক্ষম|অযোগ্য|বোকা|কৃপণ|হিংস"")),""valence-target অমিল"",""""),IF(COUNTIF($B:$B,B1720)&gt;1,""ডুপ্লিকেট"",""""))"),"figurative ছোট | ডুপ্লিকেট")</f>
        <v>figurative ছোট | ডুপ্লিকেট</v>
      </c>
      <c r="Q1720" s="5" t="str">
        <f t="shared" si="1"/>
        <v>১ আগে দেখো</v>
      </c>
    </row>
    <row r="1721">
      <c r="A1721" s="4">
        <v>7344.0</v>
      </c>
      <c r="B1721" s="2" t="s">
        <v>6849</v>
      </c>
      <c r="C1721" s="2" t="s">
        <v>6853</v>
      </c>
      <c r="D1721" s="2" t="s">
        <v>868</v>
      </c>
      <c r="E1721" s="2" t="s">
        <v>6854</v>
      </c>
      <c r="F1721" s="2" t="b">
        <v>1</v>
      </c>
      <c r="G1721" s="2" t="b">
        <v>0</v>
      </c>
      <c r="H1721" s="2" t="s">
        <v>37</v>
      </c>
      <c r="I1721" s="2" t="s">
        <v>49</v>
      </c>
      <c r="J1721" s="2" t="s">
        <v>762</v>
      </c>
      <c r="K1721" s="2" t="s">
        <v>495</v>
      </c>
      <c r="L1721" s="13" t="s">
        <v>496</v>
      </c>
      <c r="M1721" s="2" t="s">
        <v>26</v>
      </c>
      <c r="N1721" s="11" t="s">
        <v>6855</v>
      </c>
      <c r="O1721" s="12" t="s">
        <v>53</v>
      </c>
      <c r="P1721" s="5" t="str">
        <f>IFERROR(__xludf.DUMMYFUNCTION("TEXTJOIN("" | "",TRUE,IF(OR(D1721="""",E1721="""",I1721="""",J1721="""",H1721=""""),""ফাঁকা ঘর"",""""),IF(AND(C1721&lt;&gt;"""",D1721&lt;&gt;"""",C1721=D1721),""gloss=figurative"",""""),IF(LEN(D1721)&lt;15,""figurative ছোট"",""""),IF(AND(I1721=""Positive"",REGEXMATCH(H1"&amp;"721,""মূর্খ|ভণ্ড|প্রতার|অলস|লোভ|স্বার্থ|অক্ষম|অযোগ্য|বোকা|কৃপণ|হিংস"")),""valence-target অমিল"",""""),IF(COUNTIF($B:$B,B1721)&gt;1,""ডুপ্লিকেট"",""""))"),"figurative ছোট | ডুপ্লিকেট")</f>
        <v>figurative ছোট | ডুপ্লিকেট</v>
      </c>
      <c r="Q1721" s="5" t="str">
        <f t="shared" si="1"/>
        <v>১ আগে দেখো</v>
      </c>
    </row>
    <row r="1722">
      <c r="A1722" s="4">
        <v>7345.0</v>
      </c>
      <c r="B1722" s="2" t="s">
        <v>6856</v>
      </c>
      <c r="C1722" s="2" t="s">
        <v>6857</v>
      </c>
      <c r="D1722" s="2" t="s">
        <v>2742</v>
      </c>
      <c r="E1722" s="2" t="s">
        <v>6858</v>
      </c>
      <c r="F1722" s="2" t="b">
        <v>1</v>
      </c>
      <c r="G1722" s="2" t="b">
        <v>0</v>
      </c>
      <c r="H1722" s="2" t="s">
        <v>37</v>
      </c>
      <c r="I1722" s="2" t="s">
        <v>49</v>
      </c>
      <c r="J1722" s="2" t="s">
        <v>2742</v>
      </c>
      <c r="K1722" s="2" t="s">
        <v>495</v>
      </c>
      <c r="L1722" s="13" t="s">
        <v>496</v>
      </c>
      <c r="M1722" s="2" t="s">
        <v>26</v>
      </c>
      <c r="N1722" s="11" t="s">
        <v>576</v>
      </c>
      <c r="O1722" s="12" t="s">
        <v>53</v>
      </c>
      <c r="P1722" s="5" t="str">
        <f>IFERROR(__xludf.DUMMYFUNCTION("TEXTJOIN("" | "",TRUE,IF(OR(D1722="""",E1722="""",I1722="""",J1722="""",H1722=""""),""ফাঁকা ঘর"",""""),IF(AND(C1722&lt;&gt;"""",D1722&lt;&gt;"""",C1722=D1722),""gloss=figurative"",""""),IF(LEN(D1722)&lt;15,""figurative ছোট"",""""),IF(AND(I1722=""Positive"",REGEXMATCH(H1"&amp;"722,""মূর্খ|ভণ্ড|প্রতার|অলস|লোভ|স্বার্থ|অক্ষম|অযোগ্য|বোকা|কৃপণ|হিংস"")),""valence-target অমিল"",""""),IF(COUNTIF($B:$B,B1722)&gt;1,""ডুপ্লিকেট"",""""))"),"figurative ছোট")</f>
        <v>figurative ছোট</v>
      </c>
      <c r="Q1722" s="5" t="str">
        <f t="shared" si="1"/>
        <v>১ আগে দেখো</v>
      </c>
    </row>
    <row r="1723">
      <c r="A1723" s="4">
        <v>7346.0</v>
      </c>
      <c r="B1723" s="2" t="s">
        <v>6859</v>
      </c>
      <c r="C1723" s="2" t="s">
        <v>6860</v>
      </c>
      <c r="D1723" s="2" t="s">
        <v>6861</v>
      </c>
      <c r="E1723" s="2" t="s">
        <v>6862</v>
      </c>
      <c r="F1723" s="2" t="b">
        <v>1</v>
      </c>
      <c r="G1723" s="2" t="b">
        <v>0</v>
      </c>
      <c r="H1723" s="2" t="s">
        <v>37</v>
      </c>
      <c r="I1723" s="2" t="s">
        <v>22</v>
      </c>
      <c r="J1723" s="2" t="s">
        <v>708</v>
      </c>
      <c r="K1723" s="2" t="s">
        <v>495</v>
      </c>
      <c r="L1723" s="13" t="s">
        <v>496</v>
      </c>
      <c r="M1723" s="2" t="s">
        <v>26</v>
      </c>
      <c r="N1723" s="11" t="s">
        <v>576</v>
      </c>
      <c r="O1723" s="12" t="s">
        <v>53</v>
      </c>
      <c r="P1723" s="5" t="str">
        <f>IFERROR(__xludf.DUMMYFUNCTION("TEXTJOIN("" | "",TRUE,IF(OR(D1723="""",E1723="""",I1723="""",J1723="""",H1723=""""),""ফাঁকা ঘর"",""""),IF(AND(C1723&lt;&gt;"""",D1723&lt;&gt;"""",C1723=D1723),""gloss=figurative"",""""),IF(LEN(D1723)&lt;15,""figurative ছোট"",""""),IF(AND(I1723=""Positive"",REGEXMATCH(H1"&amp;"723,""মূর্খ|ভণ্ড|প্রতার|অলস|লোভ|স্বার্থ|অক্ষম|অযোগ্য|বোকা|কৃপণ|হিংস"")),""valence-target অমিল"",""""),IF(COUNTIF($B:$B,B1723)&gt;1,""ডুপ্লিকেট"",""""))"),"figurative ছোট")</f>
        <v>figurative ছোট</v>
      </c>
      <c r="Q1723" s="5" t="str">
        <f t="shared" si="1"/>
        <v>১ আগে দেখো</v>
      </c>
    </row>
    <row r="1724">
      <c r="A1724" s="4">
        <v>7347.0</v>
      </c>
      <c r="B1724" s="2" t="s">
        <v>6863</v>
      </c>
      <c r="C1724" s="2" t="s">
        <v>6864</v>
      </c>
      <c r="D1724" s="2" t="s">
        <v>6865</v>
      </c>
      <c r="E1724" s="2" t="s">
        <v>6866</v>
      </c>
      <c r="F1724" s="2" t="b">
        <v>1</v>
      </c>
      <c r="G1724" s="2" t="b">
        <v>0</v>
      </c>
      <c r="H1724" s="2" t="s">
        <v>37</v>
      </c>
      <c r="I1724" s="2" t="s">
        <v>22</v>
      </c>
      <c r="J1724" s="2" t="s">
        <v>836</v>
      </c>
      <c r="K1724" s="2" t="s">
        <v>495</v>
      </c>
      <c r="L1724" s="13" t="s">
        <v>496</v>
      </c>
      <c r="M1724" s="2" t="s">
        <v>26</v>
      </c>
      <c r="N1724" s="11" t="s">
        <v>576</v>
      </c>
      <c r="O1724" s="12" t="s">
        <v>53</v>
      </c>
      <c r="P1724" s="5" t="str">
        <f>IFERROR(__xludf.DUMMYFUNCTION("TEXTJOIN("" | "",TRUE,IF(OR(D1724="""",E1724="""",I1724="""",J1724="""",H1724=""""),""ফাঁকা ঘর"",""""),IF(AND(C1724&lt;&gt;"""",D1724&lt;&gt;"""",C1724=D1724),""gloss=figurative"",""""),IF(LEN(D1724)&lt;15,""figurative ছোট"",""""),IF(AND(I1724=""Positive"",REGEXMATCH(H1"&amp;"724,""মূর্খ|ভণ্ড|প্রতার|অলস|লোভ|স্বার্থ|অক্ষম|অযোগ্য|বোকা|কৃপণ|হিংস"")),""valence-target অমিল"",""""),IF(COUNTIF($B:$B,B1724)&gt;1,""ডুপ্লিকেট"",""""))"),"figurative ছোট")</f>
        <v>figurative ছোট</v>
      </c>
      <c r="Q1724" s="5" t="str">
        <f t="shared" si="1"/>
        <v>১ আগে দেখো</v>
      </c>
    </row>
    <row r="1725">
      <c r="A1725" s="4">
        <v>7348.0</v>
      </c>
      <c r="B1725" s="2" t="s">
        <v>6867</v>
      </c>
      <c r="C1725" s="2" t="s">
        <v>6868</v>
      </c>
      <c r="D1725" s="2" t="s">
        <v>2343</v>
      </c>
      <c r="E1725" s="2" t="s">
        <v>6869</v>
      </c>
      <c r="F1725" s="2" t="b">
        <v>1</v>
      </c>
      <c r="G1725" s="2" t="b">
        <v>0</v>
      </c>
      <c r="H1725" s="2" t="s">
        <v>37</v>
      </c>
      <c r="I1725" s="2" t="s">
        <v>22</v>
      </c>
      <c r="J1725" s="2" t="s">
        <v>1656</v>
      </c>
      <c r="K1725" s="2" t="s">
        <v>495</v>
      </c>
      <c r="L1725" s="13" t="s">
        <v>496</v>
      </c>
      <c r="M1725" s="2" t="s">
        <v>26</v>
      </c>
      <c r="N1725" s="11" t="s">
        <v>576</v>
      </c>
      <c r="O1725" s="12" t="s">
        <v>53</v>
      </c>
      <c r="P1725" s="5" t="str">
        <f>IFERROR(__xludf.DUMMYFUNCTION("TEXTJOIN("" | "",TRUE,IF(OR(D1725="""",E1725="""",I1725="""",J1725="""",H1725=""""),""ফাঁকা ঘর"",""""),IF(AND(C1725&lt;&gt;"""",D1725&lt;&gt;"""",C1725=D1725),""gloss=figurative"",""""),IF(LEN(D1725)&lt;15,""figurative ছোট"",""""),IF(AND(I1725=""Positive"",REGEXMATCH(H1"&amp;"725,""মূর্খ|ভণ্ড|প্রতার|অলস|লোভ|স্বার্থ|অক্ষম|অযোগ্য|বোকা|কৃপণ|হিংস"")),""valence-target অমিল"",""""),IF(COUNTIF($B:$B,B1725)&gt;1,""ডুপ্লিকেট"",""""))"),"figurative ছোট")</f>
        <v>figurative ছোট</v>
      </c>
      <c r="Q1725" s="5" t="str">
        <f t="shared" si="1"/>
        <v>১ আগে দেখো</v>
      </c>
    </row>
    <row r="1726">
      <c r="A1726" s="4">
        <v>7349.0</v>
      </c>
      <c r="B1726" s="2" t="s">
        <v>6870</v>
      </c>
      <c r="C1726" s="2" t="s">
        <v>6871</v>
      </c>
      <c r="D1726" s="2" t="s">
        <v>6872</v>
      </c>
      <c r="E1726" s="2" t="s">
        <v>6873</v>
      </c>
      <c r="F1726" s="2" t="b">
        <v>1</v>
      </c>
      <c r="G1726" s="2" t="b">
        <v>0</v>
      </c>
      <c r="H1726" s="2" t="s">
        <v>37</v>
      </c>
      <c r="I1726" s="2" t="s">
        <v>22</v>
      </c>
      <c r="J1726" s="2" t="s">
        <v>1656</v>
      </c>
      <c r="K1726" s="2" t="s">
        <v>495</v>
      </c>
      <c r="L1726" s="13" t="s">
        <v>496</v>
      </c>
      <c r="M1726" s="2" t="s">
        <v>26</v>
      </c>
      <c r="N1726" s="11" t="s">
        <v>6874</v>
      </c>
      <c r="O1726" s="12" t="s">
        <v>53</v>
      </c>
      <c r="P1726" s="5" t="str">
        <f>IFERROR(__xludf.DUMMYFUNCTION("TEXTJOIN("" | "",TRUE,IF(OR(D1726="""",E1726="""",I1726="""",J1726="""",H1726=""""),""ফাঁকা ঘর"",""""),IF(AND(C1726&lt;&gt;"""",D1726&lt;&gt;"""",C1726=D1726),""gloss=figurative"",""""),IF(LEN(D1726)&lt;15,""figurative ছোট"",""""),IF(AND(I1726=""Positive"",REGEXMATCH(H1"&amp;"726,""মূর্খ|ভণ্ড|প্রতার|অলস|লোভ|স্বার্থ|অক্ষম|অযোগ্য|বোকা|কৃপণ|হিংস"")),""valence-target অমিল"",""""),IF(COUNTIF($B:$B,B1726)&gt;1,""ডুপ্লিকেট"",""""))"),"figurative ছোট")</f>
        <v>figurative ছোট</v>
      </c>
      <c r="Q1726" s="5" t="str">
        <f t="shared" si="1"/>
        <v>১ আগে দেখো</v>
      </c>
    </row>
    <row r="1727">
      <c r="A1727" s="4">
        <v>7350.0</v>
      </c>
      <c r="B1727" s="2" t="s">
        <v>6875</v>
      </c>
      <c r="C1727" s="2" t="s">
        <v>6876</v>
      </c>
      <c r="D1727" s="2" t="s">
        <v>6877</v>
      </c>
      <c r="E1727" s="2" t="s">
        <v>6878</v>
      </c>
      <c r="F1727" s="2" t="b">
        <v>1</v>
      </c>
      <c r="G1727" s="2" t="b">
        <v>0</v>
      </c>
      <c r="H1727" s="2" t="s">
        <v>37</v>
      </c>
      <c r="I1727" s="2" t="s">
        <v>22</v>
      </c>
      <c r="J1727" s="2" t="s">
        <v>1656</v>
      </c>
      <c r="K1727" s="2" t="s">
        <v>495</v>
      </c>
      <c r="L1727" s="13" t="s">
        <v>496</v>
      </c>
      <c r="M1727" s="2" t="s">
        <v>26</v>
      </c>
      <c r="N1727" s="11" t="s">
        <v>6879</v>
      </c>
      <c r="O1727" s="12" t="s">
        <v>53</v>
      </c>
      <c r="P1727" s="5" t="str">
        <f>IFERROR(__xludf.DUMMYFUNCTION("TEXTJOIN("" | "",TRUE,IF(OR(D1727="""",E1727="""",I1727="""",J1727="""",H1727=""""),""ফাঁকা ঘর"",""""),IF(AND(C1727&lt;&gt;"""",D1727&lt;&gt;"""",C1727=D1727),""gloss=figurative"",""""),IF(LEN(D1727)&lt;15,""figurative ছোট"",""""),IF(AND(I1727=""Positive"",REGEXMATCH(H1"&amp;"727,""মূর্খ|ভণ্ড|প্রতার|অলস|লোভ|স্বার্থ|অক্ষম|অযোগ্য|বোকা|কৃপণ|হিংস"")),""valence-target অমিল"",""""),IF(COUNTIF($B:$B,B1727)&gt;1,""ডুপ্লিকেট"",""""))"),"figurative ছোট")</f>
        <v>figurative ছোট</v>
      </c>
      <c r="Q1727" s="5" t="str">
        <f t="shared" si="1"/>
        <v>১ আগে দেখো</v>
      </c>
    </row>
    <row r="1728">
      <c r="A1728" s="4">
        <v>7351.0</v>
      </c>
      <c r="B1728" s="2" t="s">
        <v>6880</v>
      </c>
      <c r="C1728" s="2" t="s">
        <v>6881</v>
      </c>
      <c r="D1728" s="2" t="s">
        <v>1857</v>
      </c>
      <c r="E1728" s="2" t="s">
        <v>6882</v>
      </c>
      <c r="F1728" s="2" t="b">
        <v>1</v>
      </c>
      <c r="G1728" s="2" t="b">
        <v>0</v>
      </c>
      <c r="H1728" s="2" t="s">
        <v>37</v>
      </c>
      <c r="I1728" s="2" t="s">
        <v>22</v>
      </c>
      <c r="J1728" s="2" t="s">
        <v>2869</v>
      </c>
      <c r="K1728" s="2" t="s">
        <v>495</v>
      </c>
      <c r="L1728" s="13" t="s">
        <v>496</v>
      </c>
      <c r="M1728" s="2" t="s">
        <v>26</v>
      </c>
      <c r="N1728" s="11" t="s">
        <v>576</v>
      </c>
      <c r="O1728" s="12" t="s">
        <v>53</v>
      </c>
      <c r="P1728" s="5" t="str">
        <f>IFERROR(__xludf.DUMMYFUNCTION("TEXTJOIN("" | "",TRUE,IF(OR(D1728="""",E1728="""",I1728="""",J1728="""",H1728=""""),""ফাঁকা ঘর"",""""),IF(AND(C1728&lt;&gt;"""",D1728&lt;&gt;"""",C1728=D1728),""gloss=figurative"",""""),IF(LEN(D1728)&lt;15,""figurative ছোট"",""""),IF(AND(I1728=""Positive"",REGEXMATCH(H1"&amp;"728,""মূর্খ|ভণ্ড|প্রতার|অলস|লোভ|স্বার্থ|অক্ষম|অযোগ্য|বোকা|কৃপণ|হিংস"")),""valence-target অমিল"",""""),IF(COUNTIF($B:$B,B1728)&gt;1,""ডুপ্লিকেট"",""""))"),"figurative ছোট")</f>
        <v>figurative ছোট</v>
      </c>
      <c r="Q1728" s="5" t="str">
        <f t="shared" si="1"/>
        <v>১ আগে দেখো</v>
      </c>
    </row>
    <row r="1729">
      <c r="A1729" s="4">
        <v>7352.0</v>
      </c>
      <c r="B1729" s="2" t="s">
        <v>6883</v>
      </c>
      <c r="C1729" s="2" t="s">
        <v>6884</v>
      </c>
      <c r="D1729" s="2" t="s">
        <v>6885</v>
      </c>
      <c r="E1729" s="2" t="s">
        <v>6886</v>
      </c>
      <c r="F1729" s="2" t="b">
        <v>1</v>
      </c>
      <c r="G1729" s="2" t="b">
        <v>0</v>
      </c>
      <c r="H1729" s="2" t="s">
        <v>37</v>
      </c>
      <c r="I1729" s="2" t="s">
        <v>22</v>
      </c>
      <c r="J1729" s="2" t="s">
        <v>2869</v>
      </c>
      <c r="K1729" s="2" t="s">
        <v>495</v>
      </c>
      <c r="L1729" s="13" t="s">
        <v>496</v>
      </c>
      <c r="M1729" s="2" t="s">
        <v>26</v>
      </c>
      <c r="N1729" s="11" t="s">
        <v>576</v>
      </c>
      <c r="O1729" s="12" t="s">
        <v>53</v>
      </c>
      <c r="P1729" s="5" t="str">
        <f>IFERROR(__xludf.DUMMYFUNCTION("TEXTJOIN("" | "",TRUE,IF(OR(D1729="""",E1729="""",I1729="""",J1729="""",H1729=""""),""ফাঁকা ঘর"",""""),IF(AND(C1729&lt;&gt;"""",D1729&lt;&gt;"""",C1729=D1729),""gloss=figurative"",""""),IF(LEN(D1729)&lt;15,""figurative ছোট"",""""),IF(AND(I1729=""Positive"",REGEXMATCH(H1"&amp;"729,""মূর্খ|ভণ্ড|প্রতার|অলস|লোভ|স্বার্থ|অক্ষম|অযোগ্য|বোকা|কৃপণ|হিংস"")),""valence-target অমিল"",""""),IF(COUNTIF($B:$B,B1729)&gt;1,""ডুপ্লিকেট"",""""))"),"figurative ছোট")</f>
        <v>figurative ছোট</v>
      </c>
      <c r="Q1729" s="5" t="str">
        <f t="shared" si="1"/>
        <v>১ আগে দেখো</v>
      </c>
    </row>
    <row r="1730">
      <c r="A1730" s="4">
        <v>7353.0</v>
      </c>
      <c r="B1730" s="2" t="s">
        <v>6887</v>
      </c>
      <c r="C1730" s="2" t="s">
        <v>6888</v>
      </c>
      <c r="D1730" s="2" t="s">
        <v>6889</v>
      </c>
      <c r="E1730" s="2" t="s">
        <v>6890</v>
      </c>
      <c r="F1730" s="2" t="b">
        <v>1</v>
      </c>
      <c r="G1730" s="2" t="b">
        <v>0</v>
      </c>
      <c r="H1730" s="2" t="s">
        <v>37</v>
      </c>
      <c r="I1730" s="2" t="s">
        <v>22</v>
      </c>
      <c r="J1730" s="2" t="s">
        <v>842</v>
      </c>
      <c r="K1730" s="2" t="s">
        <v>495</v>
      </c>
      <c r="L1730" s="13" t="s">
        <v>496</v>
      </c>
      <c r="M1730" s="2" t="s">
        <v>26</v>
      </c>
      <c r="N1730" s="11" t="s">
        <v>576</v>
      </c>
      <c r="O1730" s="12" t="s">
        <v>53</v>
      </c>
      <c r="P1730" s="5" t="str">
        <f>IFERROR(__xludf.DUMMYFUNCTION("TEXTJOIN("" | "",TRUE,IF(OR(D1730="""",E1730="""",I1730="""",J1730="""",H1730=""""),""ফাঁকা ঘর"",""""),IF(AND(C1730&lt;&gt;"""",D1730&lt;&gt;"""",C1730=D1730),""gloss=figurative"",""""),IF(LEN(D1730)&lt;15,""figurative ছোট"",""""),IF(AND(I1730=""Positive"",REGEXMATCH(H1"&amp;"730,""মূর্খ|ভণ্ড|প্রতার|অলস|লোভ|স্বার্থ|অক্ষম|অযোগ্য|বোকা|কৃপণ|হিংস"")),""valence-target অমিল"",""""),IF(COUNTIF($B:$B,B1730)&gt;1,""ডুপ্লিকেট"",""""))"),"figurative ছোট")</f>
        <v>figurative ছোট</v>
      </c>
      <c r="Q1730" s="5" t="str">
        <f t="shared" si="1"/>
        <v>১ আগে দেখো</v>
      </c>
    </row>
    <row r="1731">
      <c r="A1731" s="4">
        <v>7354.0</v>
      </c>
      <c r="B1731" s="2" t="s">
        <v>6891</v>
      </c>
      <c r="C1731" s="2" t="s">
        <v>6892</v>
      </c>
      <c r="D1731" s="2" t="s">
        <v>891</v>
      </c>
      <c r="E1731" s="2" t="s">
        <v>6893</v>
      </c>
      <c r="F1731" s="2" t="b">
        <v>1</v>
      </c>
      <c r="G1731" s="2" t="b">
        <v>0</v>
      </c>
      <c r="H1731" s="2" t="s">
        <v>37</v>
      </c>
      <c r="I1731" s="2" t="s">
        <v>32</v>
      </c>
      <c r="J1731" s="2" t="s">
        <v>6894</v>
      </c>
      <c r="K1731" s="2" t="s">
        <v>495</v>
      </c>
      <c r="L1731" s="13" t="s">
        <v>496</v>
      </c>
      <c r="M1731" s="2" t="s">
        <v>26</v>
      </c>
      <c r="N1731" s="11" t="s">
        <v>576</v>
      </c>
      <c r="O1731" s="12" t="s">
        <v>53</v>
      </c>
      <c r="P1731" s="5" t="str">
        <f>IFERROR(__xludf.DUMMYFUNCTION("TEXTJOIN("" | "",TRUE,IF(OR(D1731="""",E1731="""",I1731="""",J1731="""",H1731=""""),""ফাঁকা ঘর"",""""),IF(AND(C1731&lt;&gt;"""",D1731&lt;&gt;"""",C1731=D1731),""gloss=figurative"",""""),IF(LEN(D1731)&lt;15,""figurative ছোট"",""""),IF(AND(I1731=""Positive"",REGEXMATCH(H1"&amp;"731,""মূর্খ|ভণ্ড|প্রতার|অলস|লোভ|স্বার্থ|অক্ষম|অযোগ্য|বোকা|কৃপণ|হিংস"")),""valence-target অমিল"",""""),IF(COUNTIF($B:$B,B1731)&gt;1,""ডুপ্লিকেট"",""""))"),"figurative ছোট")</f>
        <v>figurative ছোট</v>
      </c>
      <c r="Q1731" s="5" t="str">
        <f t="shared" si="1"/>
        <v>১ আগে দেখো</v>
      </c>
    </row>
    <row r="1732">
      <c r="A1732" s="4">
        <v>7355.0</v>
      </c>
      <c r="B1732" s="2" t="s">
        <v>6895</v>
      </c>
      <c r="C1732" s="2" t="s">
        <v>6895</v>
      </c>
      <c r="D1732" s="2" t="s">
        <v>2869</v>
      </c>
      <c r="E1732" s="2" t="s">
        <v>6896</v>
      </c>
      <c r="F1732" s="2" t="b">
        <v>1</v>
      </c>
      <c r="G1732" s="2" t="b">
        <v>0</v>
      </c>
      <c r="H1732" s="2" t="s">
        <v>37</v>
      </c>
      <c r="I1732" s="2" t="s">
        <v>22</v>
      </c>
      <c r="J1732" s="2" t="s">
        <v>2869</v>
      </c>
      <c r="K1732" s="2" t="s">
        <v>495</v>
      </c>
      <c r="L1732" s="13" t="s">
        <v>496</v>
      </c>
      <c r="M1732" s="2" t="s">
        <v>26</v>
      </c>
      <c r="N1732" s="11" t="s">
        <v>576</v>
      </c>
      <c r="O1732" s="12" t="s">
        <v>53</v>
      </c>
      <c r="P1732" s="5" t="str">
        <f>IFERROR(__xludf.DUMMYFUNCTION("TEXTJOIN("" | "",TRUE,IF(OR(D1732="""",E1732="""",I1732="""",J1732="""",H1732=""""),""ফাঁকা ঘর"",""""),IF(AND(C1732&lt;&gt;"""",D1732&lt;&gt;"""",C1732=D1732),""gloss=figurative"",""""),IF(LEN(D1732)&lt;15,""figurative ছোট"",""""),IF(AND(I1732=""Positive"",REGEXMATCH(H1"&amp;"732,""মূর্খ|ভণ্ড|প্রতার|অলস|লোভ|স্বার্থ|অক্ষম|অযোগ্য|বোকা|কৃপণ|হিংস"")),""valence-target অমিল"",""""),IF(COUNTIF($B:$B,B1732)&gt;1,""ডুপ্লিকেট"",""""))"),"figurative ছোট")</f>
        <v>figurative ছোট</v>
      </c>
      <c r="Q1732" s="5" t="str">
        <f t="shared" si="1"/>
        <v>১ আগে দেখো</v>
      </c>
    </row>
    <row r="1733">
      <c r="A1733" s="4">
        <v>7356.0</v>
      </c>
      <c r="B1733" s="2" t="s">
        <v>6897</v>
      </c>
      <c r="C1733" s="2" t="s">
        <v>6897</v>
      </c>
      <c r="D1733" s="2" t="s">
        <v>6861</v>
      </c>
      <c r="E1733" s="2" t="s">
        <v>6898</v>
      </c>
      <c r="F1733" s="2" t="b">
        <v>1</v>
      </c>
      <c r="G1733" s="2" t="b">
        <v>0</v>
      </c>
      <c r="H1733" s="2" t="s">
        <v>37</v>
      </c>
      <c r="I1733" s="2" t="s">
        <v>22</v>
      </c>
      <c r="J1733" s="2" t="s">
        <v>708</v>
      </c>
      <c r="K1733" s="2" t="s">
        <v>495</v>
      </c>
      <c r="L1733" s="13" t="s">
        <v>496</v>
      </c>
      <c r="M1733" s="2" t="s">
        <v>26</v>
      </c>
      <c r="N1733" s="11" t="s">
        <v>576</v>
      </c>
      <c r="O1733" s="12" t="s">
        <v>53</v>
      </c>
      <c r="P1733" s="5" t="str">
        <f>IFERROR(__xludf.DUMMYFUNCTION("TEXTJOIN("" | "",TRUE,IF(OR(D1733="""",E1733="""",I1733="""",J1733="""",H1733=""""),""ফাঁকা ঘর"",""""),IF(AND(C1733&lt;&gt;"""",D1733&lt;&gt;"""",C1733=D1733),""gloss=figurative"",""""),IF(LEN(D1733)&lt;15,""figurative ছোট"",""""),IF(AND(I1733=""Positive"",REGEXMATCH(H1"&amp;"733,""মূর্খ|ভণ্ড|প্রতার|অলস|লোভ|স্বার্থ|অক্ষম|অযোগ্য|বোকা|কৃপণ|হিংস"")),""valence-target অমিল"",""""),IF(COUNTIF($B:$B,B1733)&gt;1,""ডুপ্লিকেট"",""""))"),"figurative ছোট")</f>
        <v>figurative ছোট</v>
      </c>
      <c r="Q1733" s="5" t="str">
        <f t="shared" si="1"/>
        <v>১ আগে দেখো</v>
      </c>
    </row>
    <row r="1734">
      <c r="A1734" s="4">
        <v>7357.0</v>
      </c>
      <c r="B1734" s="2" t="s">
        <v>6899</v>
      </c>
      <c r="C1734" s="2" t="s">
        <v>6899</v>
      </c>
      <c r="D1734" s="2" t="s">
        <v>2540</v>
      </c>
      <c r="E1734" s="2" t="s">
        <v>6900</v>
      </c>
      <c r="F1734" s="2" t="b">
        <v>1</v>
      </c>
      <c r="G1734" s="2" t="b">
        <v>0</v>
      </c>
      <c r="H1734" s="2" t="s">
        <v>37</v>
      </c>
      <c r="I1734" s="2" t="s">
        <v>32</v>
      </c>
      <c r="J1734" s="2" t="s">
        <v>2540</v>
      </c>
      <c r="K1734" s="2" t="s">
        <v>495</v>
      </c>
      <c r="L1734" s="13" t="s">
        <v>496</v>
      </c>
      <c r="M1734" s="2" t="s">
        <v>26</v>
      </c>
      <c r="N1734" s="11" t="s">
        <v>576</v>
      </c>
      <c r="O1734" s="12" t="s">
        <v>53</v>
      </c>
      <c r="P1734" s="5" t="str">
        <f>IFERROR(__xludf.DUMMYFUNCTION("TEXTJOIN("" | "",TRUE,IF(OR(D1734="""",E1734="""",I1734="""",J1734="""",H1734=""""),""ফাঁকা ঘর"",""""),IF(AND(C1734&lt;&gt;"""",D1734&lt;&gt;"""",C1734=D1734),""gloss=figurative"",""""),IF(LEN(D1734)&lt;15,""figurative ছোট"",""""),IF(AND(I1734=""Positive"",REGEXMATCH(H1"&amp;"734,""মূর্খ|ভণ্ড|প্রতার|অলস|লোভ|স্বার্থ|অক্ষম|অযোগ্য|বোকা|কৃপণ|হিংস"")),""valence-target অমিল"",""""),IF(COUNTIF($B:$B,B1734)&gt;1,""ডুপ্লিকেট"",""""))"),"figurative ছোট")</f>
        <v>figurative ছোট</v>
      </c>
      <c r="Q1734" s="5" t="str">
        <f t="shared" si="1"/>
        <v>১ আগে দেখো</v>
      </c>
    </row>
    <row r="1735">
      <c r="A1735" s="4">
        <v>7358.0</v>
      </c>
      <c r="B1735" s="2" t="s">
        <v>6901</v>
      </c>
      <c r="C1735" s="2" t="s">
        <v>6902</v>
      </c>
      <c r="D1735" s="2" t="s">
        <v>2540</v>
      </c>
      <c r="E1735" s="2" t="s">
        <v>6903</v>
      </c>
      <c r="F1735" s="2" t="b">
        <v>1</v>
      </c>
      <c r="G1735" s="2" t="b">
        <v>0</v>
      </c>
      <c r="H1735" s="2" t="s">
        <v>37</v>
      </c>
      <c r="I1735" s="2" t="s">
        <v>32</v>
      </c>
      <c r="J1735" s="2" t="s">
        <v>2540</v>
      </c>
      <c r="K1735" s="2" t="s">
        <v>495</v>
      </c>
      <c r="L1735" s="13" t="s">
        <v>496</v>
      </c>
      <c r="M1735" s="2" t="s">
        <v>26</v>
      </c>
      <c r="N1735" s="11" t="s">
        <v>576</v>
      </c>
      <c r="O1735" s="12" t="s">
        <v>53</v>
      </c>
      <c r="P1735" s="5" t="str">
        <f>IFERROR(__xludf.DUMMYFUNCTION("TEXTJOIN("" | "",TRUE,IF(OR(D1735="""",E1735="""",I1735="""",J1735="""",H1735=""""),""ফাঁকা ঘর"",""""),IF(AND(C1735&lt;&gt;"""",D1735&lt;&gt;"""",C1735=D1735),""gloss=figurative"",""""),IF(LEN(D1735)&lt;15,""figurative ছোট"",""""),IF(AND(I1735=""Positive"",REGEXMATCH(H1"&amp;"735,""মূর্খ|ভণ্ড|প্রতার|অলস|লোভ|স্বার্থ|অক্ষম|অযোগ্য|বোকা|কৃপণ|হিংস"")),""valence-target অমিল"",""""),IF(COUNTIF($B:$B,B1735)&gt;1,""ডুপ্লিকেট"",""""))"),"figurative ছোট")</f>
        <v>figurative ছোট</v>
      </c>
      <c r="Q1735" s="5" t="str">
        <f t="shared" si="1"/>
        <v>১ আগে দেখো</v>
      </c>
    </row>
    <row r="1736">
      <c r="A1736" s="4">
        <v>7359.0</v>
      </c>
      <c r="B1736" s="2" t="s">
        <v>6904</v>
      </c>
      <c r="C1736" s="2" t="s">
        <v>6905</v>
      </c>
      <c r="D1736" s="2" t="s">
        <v>729</v>
      </c>
      <c r="E1736" s="2" t="s">
        <v>6906</v>
      </c>
      <c r="F1736" s="2" t="b">
        <v>1</v>
      </c>
      <c r="G1736" s="2" t="b">
        <v>0</v>
      </c>
      <c r="H1736" s="2" t="s">
        <v>1188</v>
      </c>
      <c r="I1736" s="2" t="s">
        <v>22</v>
      </c>
      <c r="J1736" s="2" t="s">
        <v>729</v>
      </c>
      <c r="K1736" s="2" t="s">
        <v>495</v>
      </c>
      <c r="L1736" s="13" t="s">
        <v>496</v>
      </c>
      <c r="M1736" s="2" t="s">
        <v>26</v>
      </c>
      <c r="N1736" s="11" t="s">
        <v>576</v>
      </c>
      <c r="O1736" s="12" t="s">
        <v>53</v>
      </c>
      <c r="P1736" s="5" t="str">
        <f>IFERROR(__xludf.DUMMYFUNCTION("TEXTJOIN("" | "",TRUE,IF(OR(D1736="""",E1736="""",I1736="""",J1736="""",H1736=""""),""ফাঁকা ঘর"",""""),IF(AND(C1736&lt;&gt;"""",D1736&lt;&gt;"""",C1736=D1736),""gloss=figurative"",""""),IF(LEN(D1736)&lt;15,""figurative ছোট"",""""),IF(AND(I1736=""Positive"",REGEXMATCH(H1"&amp;"736,""মূর্খ|ভণ্ড|প্রতার|অলস|লোভ|স্বার্থ|অক্ষম|অযোগ্য|বোকা|কৃপণ|হিংস"")),""valence-target অমিল"",""""),IF(COUNTIF($B:$B,B1736)&gt;1,""ডুপ্লিকেট"",""""))"),"figurative ছোট")</f>
        <v>figurative ছোট</v>
      </c>
      <c r="Q1736" s="5" t="str">
        <f t="shared" si="1"/>
        <v>১ আগে দেখো</v>
      </c>
    </row>
    <row r="1737">
      <c r="A1737" s="4">
        <v>7360.0</v>
      </c>
      <c r="B1737" s="2" t="s">
        <v>6907</v>
      </c>
      <c r="C1737" s="2" t="s">
        <v>6908</v>
      </c>
      <c r="D1737" s="2" t="s">
        <v>723</v>
      </c>
      <c r="E1737" s="2" t="s">
        <v>6909</v>
      </c>
      <c r="F1737" s="2" t="b">
        <v>1</v>
      </c>
      <c r="G1737" s="2" t="b">
        <v>0</v>
      </c>
      <c r="H1737" s="2" t="s">
        <v>37</v>
      </c>
      <c r="I1737" s="2" t="s">
        <v>22</v>
      </c>
      <c r="J1737" s="2" t="s">
        <v>723</v>
      </c>
      <c r="K1737" s="2" t="s">
        <v>495</v>
      </c>
      <c r="L1737" s="13" t="s">
        <v>496</v>
      </c>
      <c r="M1737" s="2" t="s">
        <v>26</v>
      </c>
      <c r="N1737" s="11" t="s">
        <v>576</v>
      </c>
      <c r="O1737" s="12" t="s">
        <v>53</v>
      </c>
      <c r="P1737" s="5" t="str">
        <f>IFERROR(__xludf.DUMMYFUNCTION("TEXTJOIN("" | "",TRUE,IF(OR(D1737="""",E1737="""",I1737="""",J1737="""",H1737=""""),""ফাঁকা ঘর"",""""),IF(AND(C1737&lt;&gt;"""",D1737&lt;&gt;"""",C1737=D1737),""gloss=figurative"",""""),IF(LEN(D1737)&lt;15,""figurative ছোট"",""""),IF(AND(I1737=""Positive"",REGEXMATCH(H1"&amp;"737,""মূর্খ|ভণ্ড|প্রতার|অলস|লোভ|স্বার্থ|অক্ষম|অযোগ্য|বোকা|কৃপণ|হিংস"")),""valence-target অমিল"",""""),IF(COUNTIF($B:$B,B1737)&gt;1,""ডুপ্লিকেট"",""""))"),"figurative ছোট")</f>
        <v>figurative ছোট</v>
      </c>
      <c r="Q1737" s="5" t="str">
        <f t="shared" si="1"/>
        <v>১ আগে দেখো</v>
      </c>
    </row>
    <row r="1738">
      <c r="A1738" s="4">
        <v>7361.0</v>
      </c>
      <c r="B1738" s="2" t="s">
        <v>6910</v>
      </c>
      <c r="C1738" s="2" t="s">
        <v>6911</v>
      </c>
      <c r="D1738" s="2" t="s">
        <v>669</v>
      </c>
      <c r="E1738" s="2" t="s">
        <v>6912</v>
      </c>
      <c r="F1738" s="2" t="b">
        <v>1</v>
      </c>
      <c r="G1738" s="2" t="b">
        <v>0</v>
      </c>
      <c r="H1738" s="2" t="s">
        <v>37</v>
      </c>
      <c r="I1738" s="2" t="s">
        <v>32</v>
      </c>
      <c r="J1738" s="2" t="s">
        <v>669</v>
      </c>
      <c r="K1738" s="2" t="s">
        <v>495</v>
      </c>
      <c r="L1738" s="13" t="s">
        <v>496</v>
      </c>
      <c r="M1738" s="2" t="s">
        <v>26</v>
      </c>
      <c r="N1738" s="11" t="s">
        <v>576</v>
      </c>
      <c r="O1738" s="12" t="s">
        <v>53</v>
      </c>
      <c r="P1738" s="5" t="str">
        <f>IFERROR(__xludf.DUMMYFUNCTION("TEXTJOIN("" | "",TRUE,IF(OR(D1738="""",E1738="""",I1738="""",J1738="""",H1738=""""),""ফাঁকা ঘর"",""""),IF(AND(C1738&lt;&gt;"""",D1738&lt;&gt;"""",C1738=D1738),""gloss=figurative"",""""),IF(LEN(D1738)&lt;15,""figurative ছোট"",""""),IF(AND(I1738=""Positive"",REGEXMATCH(H1"&amp;"738,""মূর্খ|ভণ্ড|প্রতার|অলস|লোভ|স্বার্থ|অক্ষম|অযোগ্য|বোকা|কৃপণ|হিংস"")),""valence-target অমিল"",""""),IF(COUNTIF($B:$B,B1738)&gt;1,""ডুপ্লিকেট"",""""))"),"figurative ছোট")</f>
        <v>figurative ছোট</v>
      </c>
      <c r="Q1738" s="5" t="str">
        <f t="shared" si="1"/>
        <v>১ আগে দেখো</v>
      </c>
    </row>
    <row r="1739">
      <c r="A1739" s="4">
        <v>7362.0</v>
      </c>
      <c r="B1739" s="2" t="s">
        <v>6913</v>
      </c>
      <c r="C1739" s="2" t="s">
        <v>6913</v>
      </c>
      <c r="D1739" s="2" t="s">
        <v>6861</v>
      </c>
      <c r="E1739" s="2" t="s">
        <v>6914</v>
      </c>
      <c r="F1739" s="2" t="b">
        <v>1</v>
      </c>
      <c r="G1739" s="2" t="b">
        <v>0</v>
      </c>
      <c r="H1739" s="2" t="s">
        <v>37</v>
      </c>
      <c r="I1739" s="2" t="s">
        <v>22</v>
      </c>
      <c r="J1739" s="2" t="s">
        <v>708</v>
      </c>
      <c r="K1739" s="2" t="s">
        <v>495</v>
      </c>
      <c r="L1739" s="13" t="s">
        <v>496</v>
      </c>
      <c r="M1739" s="2" t="s">
        <v>26</v>
      </c>
      <c r="N1739" s="11" t="s">
        <v>576</v>
      </c>
      <c r="O1739" s="12" t="s">
        <v>53</v>
      </c>
      <c r="P1739" s="5" t="str">
        <f>IFERROR(__xludf.DUMMYFUNCTION("TEXTJOIN("" | "",TRUE,IF(OR(D1739="""",E1739="""",I1739="""",J1739="""",H1739=""""),""ফাঁকা ঘর"",""""),IF(AND(C1739&lt;&gt;"""",D1739&lt;&gt;"""",C1739=D1739),""gloss=figurative"",""""),IF(LEN(D1739)&lt;15,""figurative ছোট"",""""),IF(AND(I1739=""Positive"",REGEXMATCH(H1"&amp;"739,""মূর্খ|ভণ্ড|প্রতার|অলস|লোভ|স্বার্থ|অক্ষম|অযোগ্য|বোকা|কৃপণ|হিংস"")),""valence-target অমিল"",""""),IF(COUNTIF($B:$B,B1739)&gt;1,""ডুপ্লিকেট"",""""))"),"figurative ছোট")</f>
        <v>figurative ছোট</v>
      </c>
      <c r="Q1739" s="5" t="str">
        <f t="shared" si="1"/>
        <v>১ আগে দেখো</v>
      </c>
    </row>
    <row r="1740">
      <c r="A1740" s="4">
        <v>7364.0</v>
      </c>
      <c r="B1740" s="2" t="s">
        <v>6915</v>
      </c>
      <c r="C1740" s="2" t="s">
        <v>6916</v>
      </c>
      <c r="D1740" s="2" t="s">
        <v>6917</v>
      </c>
      <c r="E1740" s="2" t="s">
        <v>6918</v>
      </c>
      <c r="F1740" s="2" t="b">
        <v>1</v>
      </c>
      <c r="G1740" s="2" t="b">
        <v>0</v>
      </c>
      <c r="H1740" s="2" t="s">
        <v>37</v>
      </c>
      <c r="I1740" s="2" t="s">
        <v>32</v>
      </c>
      <c r="J1740" s="2" t="s">
        <v>2694</v>
      </c>
      <c r="K1740" s="2" t="s">
        <v>495</v>
      </c>
      <c r="L1740" s="13" t="s">
        <v>496</v>
      </c>
      <c r="M1740" s="2" t="s">
        <v>26</v>
      </c>
      <c r="N1740" s="11" t="s">
        <v>576</v>
      </c>
      <c r="O1740" s="12" t="s">
        <v>53</v>
      </c>
      <c r="P1740" s="5" t="str">
        <f>IFERROR(__xludf.DUMMYFUNCTION("TEXTJOIN("" | "",TRUE,IF(OR(D1740="""",E1740="""",I1740="""",J1740="""",H1740=""""),""ফাঁকা ঘর"",""""),IF(AND(C1740&lt;&gt;"""",D1740&lt;&gt;"""",C1740=D1740),""gloss=figurative"",""""),IF(LEN(D1740)&lt;15,""figurative ছোট"",""""),IF(AND(I1740=""Positive"",REGEXMATCH(H1"&amp;"740,""মূর্খ|ভণ্ড|প্রতার|অলস|লোভ|স্বার্থ|অক্ষম|অযোগ্য|বোকা|কৃপণ|হিংস"")),""valence-target অমিল"",""""),IF(COUNTIF($B:$B,B1740)&gt;1,""ডুপ্লিকেট"",""""))"),"figurative ছোট")</f>
        <v>figurative ছোট</v>
      </c>
      <c r="Q1740" s="5" t="str">
        <f t="shared" si="1"/>
        <v>১ আগে দেখো</v>
      </c>
    </row>
    <row r="1741">
      <c r="A1741" s="4">
        <v>7365.0</v>
      </c>
      <c r="B1741" s="2" t="s">
        <v>6919</v>
      </c>
      <c r="C1741" s="2" t="s">
        <v>6920</v>
      </c>
      <c r="D1741" s="2" t="s">
        <v>6917</v>
      </c>
      <c r="E1741" s="2" t="s">
        <v>6921</v>
      </c>
      <c r="F1741" s="2" t="b">
        <v>1</v>
      </c>
      <c r="G1741" s="2" t="b">
        <v>0</v>
      </c>
      <c r="H1741" s="2" t="s">
        <v>37</v>
      </c>
      <c r="I1741" s="2" t="s">
        <v>32</v>
      </c>
      <c r="J1741" s="2" t="s">
        <v>2694</v>
      </c>
      <c r="K1741" s="2" t="s">
        <v>495</v>
      </c>
      <c r="L1741" s="13" t="s">
        <v>496</v>
      </c>
      <c r="M1741" s="2" t="s">
        <v>26</v>
      </c>
      <c r="N1741" s="11" t="s">
        <v>576</v>
      </c>
      <c r="O1741" s="12" t="s">
        <v>53</v>
      </c>
      <c r="P1741" s="5" t="str">
        <f>IFERROR(__xludf.DUMMYFUNCTION("TEXTJOIN("" | "",TRUE,IF(OR(D1741="""",E1741="""",I1741="""",J1741="""",H1741=""""),""ফাঁকা ঘর"",""""),IF(AND(C1741&lt;&gt;"""",D1741&lt;&gt;"""",C1741=D1741),""gloss=figurative"",""""),IF(LEN(D1741)&lt;15,""figurative ছোট"",""""),IF(AND(I1741=""Positive"",REGEXMATCH(H1"&amp;"741,""মূর্খ|ভণ্ড|প্রতার|অলস|লোভ|স্বার্থ|অক্ষম|অযোগ্য|বোকা|কৃপণ|হিংস"")),""valence-target অমিল"",""""),IF(COUNTIF($B:$B,B1741)&gt;1,""ডুপ্লিকেট"",""""))"),"figurative ছোট")</f>
        <v>figurative ছোট</v>
      </c>
      <c r="Q1741" s="5" t="str">
        <f t="shared" si="1"/>
        <v>১ আগে দেখো</v>
      </c>
    </row>
    <row r="1742">
      <c r="A1742" s="4">
        <v>7366.0</v>
      </c>
      <c r="B1742" s="2" t="s">
        <v>6922</v>
      </c>
      <c r="C1742" s="2" t="s">
        <v>6923</v>
      </c>
      <c r="D1742" s="2" t="s">
        <v>2015</v>
      </c>
      <c r="E1742" s="2" t="s">
        <v>6924</v>
      </c>
      <c r="F1742" s="2" t="b">
        <v>1</v>
      </c>
      <c r="G1742" s="2" t="b">
        <v>0</v>
      </c>
      <c r="H1742" s="2" t="s">
        <v>37</v>
      </c>
      <c r="I1742" s="2" t="s">
        <v>49</v>
      </c>
      <c r="J1742" s="2" t="s">
        <v>2015</v>
      </c>
      <c r="K1742" s="2" t="s">
        <v>495</v>
      </c>
      <c r="L1742" s="13" t="s">
        <v>496</v>
      </c>
      <c r="M1742" s="2" t="s">
        <v>26</v>
      </c>
      <c r="N1742" s="11" t="s">
        <v>576</v>
      </c>
      <c r="O1742" s="12" t="s">
        <v>53</v>
      </c>
      <c r="P1742" s="5" t="str">
        <f>IFERROR(__xludf.DUMMYFUNCTION("TEXTJOIN("" | "",TRUE,IF(OR(D1742="""",E1742="""",I1742="""",J1742="""",H1742=""""),""ফাঁকা ঘর"",""""),IF(AND(C1742&lt;&gt;"""",D1742&lt;&gt;"""",C1742=D1742),""gloss=figurative"",""""),IF(LEN(D1742)&lt;15,""figurative ছোট"",""""),IF(AND(I1742=""Positive"",REGEXMATCH(H1"&amp;"742,""মূর্খ|ভণ্ড|প্রতার|অলস|লোভ|স্বার্থ|অক্ষম|অযোগ্য|বোকা|কৃপণ|হিংস"")),""valence-target অমিল"",""""),IF(COUNTIF($B:$B,B1742)&gt;1,""ডুপ্লিকেট"",""""))"),"figurative ছোট")</f>
        <v>figurative ছোট</v>
      </c>
      <c r="Q1742" s="5" t="str">
        <f t="shared" si="1"/>
        <v>১ আগে দেখো</v>
      </c>
    </row>
    <row r="1743">
      <c r="A1743" s="4">
        <v>7367.0</v>
      </c>
      <c r="B1743" s="2" t="s">
        <v>6925</v>
      </c>
      <c r="C1743" s="2" t="s">
        <v>6925</v>
      </c>
      <c r="D1743" s="2" t="s">
        <v>6926</v>
      </c>
      <c r="E1743" s="2" t="s">
        <v>6927</v>
      </c>
      <c r="F1743" s="2" t="b">
        <v>1</v>
      </c>
      <c r="G1743" s="2" t="b">
        <v>0</v>
      </c>
      <c r="H1743" s="2" t="s">
        <v>37</v>
      </c>
      <c r="I1743" s="2" t="s">
        <v>22</v>
      </c>
      <c r="J1743" s="2" t="s">
        <v>2857</v>
      </c>
      <c r="K1743" s="2" t="s">
        <v>495</v>
      </c>
      <c r="L1743" s="13" t="s">
        <v>496</v>
      </c>
      <c r="M1743" s="2" t="s">
        <v>26</v>
      </c>
      <c r="N1743" s="11" t="s">
        <v>576</v>
      </c>
      <c r="O1743" s="12" t="s">
        <v>53</v>
      </c>
      <c r="P1743" s="5" t="str">
        <f>IFERROR(__xludf.DUMMYFUNCTION("TEXTJOIN("" | "",TRUE,IF(OR(D1743="""",E1743="""",I1743="""",J1743="""",H1743=""""),""ফাঁকা ঘর"",""""),IF(AND(C1743&lt;&gt;"""",D1743&lt;&gt;"""",C1743=D1743),""gloss=figurative"",""""),IF(LEN(D1743)&lt;15,""figurative ছোট"",""""),IF(AND(I1743=""Positive"",REGEXMATCH(H1"&amp;"743,""মূর্খ|ভণ্ড|প্রতার|অলস|লোভ|স্বার্থ|অক্ষম|অযোগ্য|বোকা|কৃপণ|হিংস"")),""valence-target অমিল"",""""),IF(COUNTIF($B:$B,B1743)&gt;1,""ডুপ্লিকেট"",""""))"),"figurative ছোট")</f>
        <v>figurative ছোট</v>
      </c>
      <c r="Q1743" s="5" t="str">
        <f t="shared" si="1"/>
        <v>১ আগে দেখো</v>
      </c>
    </row>
    <row r="1744">
      <c r="A1744" s="4">
        <v>7368.0</v>
      </c>
      <c r="B1744" s="2" t="s">
        <v>6928</v>
      </c>
      <c r="C1744" s="2" t="s">
        <v>6929</v>
      </c>
      <c r="D1744" s="2" t="s">
        <v>6930</v>
      </c>
      <c r="E1744" s="2" t="s">
        <v>6931</v>
      </c>
      <c r="F1744" s="2" t="b">
        <v>1</v>
      </c>
      <c r="G1744" s="2" t="b">
        <v>0</v>
      </c>
      <c r="H1744" s="2" t="s">
        <v>37</v>
      </c>
      <c r="I1744" s="2" t="s">
        <v>49</v>
      </c>
      <c r="J1744" s="2" t="s">
        <v>6932</v>
      </c>
      <c r="K1744" s="2" t="s">
        <v>495</v>
      </c>
      <c r="L1744" s="13" t="s">
        <v>496</v>
      </c>
      <c r="M1744" s="2" t="s">
        <v>26</v>
      </c>
      <c r="N1744" s="11" t="s">
        <v>576</v>
      </c>
      <c r="O1744" s="12" t="s">
        <v>53</v>
      </c>
      <c r="P1744" s="5" t="str">
        <f>IFERROR(__xludf.DUMMYFUNCTION("TEXTJOIN("" | "",TRUE,IF(OR(D1744="""",E1744="""",I1744="""",J1744="""",H1744=""""),""ফাঁকা ঘর"",""""),IF(AND(C1744&lt;&gt;"""",D1744&lt;&gt;"""",C1744=D1744),""gloss=figurative"",""""),IF(LEN(D1744)&lt;15,""figurative ছোট"",""""),IF(AND(I1744=""Positive"",REGEXMATCH(H1"&amp;"744,""মূর্খ|ভণ্ড|প্রতার|অলস|লোভ|স্বার্থ|অক্ষম|অযোগ্য|বোকা|কৃপণ|হিংস"")),""valence-target অমিল"",""""),IF(COUNTIF($B:$B,B1744)&gt;1,""ডুপ্লিকেট"",""""))"),"figurative ছোট")</f>
        <v>figurative ছোট</v>
      </c>
      <c r="Q1744" s="5" t="str">
        <f t="shared" si="1"/>
        <v>১ আগে দেখো</v>
      </c>
    </row>
    <row r="1745">
      <c r="A1745" s="4">
        <v>7369.0</v>
      </c>
      <c r="B1745" s="2" t="s">
        <v>6933</v>
      </c>
      <c r="C1745" s="2" t="s">
        <v>6933</v>
      </c>
      <c r="D1745" s="2" t="s">
        <v>3161</v>
      </c>
      <c r="E1745" s="2" t="s">
        <v>6934</v>
      </c>
      <c r="F1745" s="2" t="b">
        <v>1</v>
      </c>
      <c r="G1745" s="2" t="b">
        <v>0</v>
      </c>
      <c r="H1745" s="2" t="s">
        <v>3161</v>
      </c>
      <c r="I1745" s="2" t="s">
        <v>22</v>
      </c>
      <c r="J1745" s="2" t="s">
        <v>601</v>
      </c>
      <c r="K1745" s="2" t="s">
        <v>495</v>
      </c>
      <c r="L1745" s="13" t="s">
        <v>496</v>
      </c>
      <c r="M1745" s="2" t="s">
        <v>26</v>
      </c>
      <c r="N1745" s="11" t="s">
        <v>576</v>
      </c>
      <c r="O1745" s="12" t="s">
        <v>53</v>
      </c>
      <c r="P1745" s="5" t="str">
        <f>IFERROR(__xludf.DUMMYFUNCTION("TEXTJOIN("" | "",TRUE,IF(OR(D1745="""",E1745="""",I1745="""",J1745="""",H1745=""""),""ফাঁকা ঘর"",""""),IF(AND(C1745&lt;&gt;"""",D1745&lt;&gt;"""",C1745=D1745),""gloss=figurative"",""""),IF(LEN(D1745)&lt;15,""figurative ছোট"",""""),IF(AND(I1745=""Positive"",REGEXMATCH(H1"&amp;"745,""মূর্খ|ভণ্ড|প্রতার|অলস|লোভ|স্বার্থ|অক্ষম|অযোগ্য|বোকা|কৃপণ|হিংস"")),""valence-target অমিল"",""""),IF(COUNTIF($B:$B,B1745)&gt;1,""ডুপ্লিকেট"",""""))"),"figurative ছোট")</f>
        <v>figurative ছোট</v>
      </c>
      <c r="Q1745" s="5" t="str">
        <f t="shared" si="1"/>
        <v>১ আগে দেখো</v>
      </c>
    </row>
    <row r="1746">
      <c r="A1746" s="4">
        <v>7370.0</v>
      </c>
      <c r="B1746" s="2" t="s">
        <v>6935</v>
      </c>
      <c r="C1746" s="2" t="s">
        <v>6936</v>
      </c>
      <c r="D1746" s="2" t="s">
        <v>669</v>
      </c>
      <c r="E1746" s="2" t="s">
        <v>6937</v>
      </c>
      <c r="F1746" s="2" t="b">
        <v>1</v>
      </c>
      <c r="G1746" s="2" t="b">
        <v>0</v>
      </c>
      <c r="H1746" s="2" t="s">
        <v>37</v>
      </c>
      <c r="I1746" s="2" t="s">
        <v>22</v>
      </c>
      <c r="J1746" s="2" t="s">
        <v>669</v>
      </c>
      <c r="K1746" s="2" t="s">
        <v>495</v>
      </c>
      <c r="L1746" s="13" t="s">
        <v>496</v>
      </c>
      <c r="M1746" s="2" t="s">
        <v>26</v>
      </c>
      <c r="N1746" s="11" t="s">
        <v>576</v>
      </c>
      <c r="O1746" s="12" t="s">
        <v>53</v>
      </c>
      <c r="P1746" s="5" t="str">
        <f>IFERROR(__xludf.DUMMYFUNCTION("TEXTJOIN("" | "",TRUE,IF(OR(D1746="""",E1746="""",I1746="""",J1746="""",H1746=""""),""ফাঁকা ঘর"",""""),IF(AND(C1746&lt;&gt;"""",D1746&lt;&gt;"""",C1746=D1746),""gloss=figurative"",""""),IF(LEN(D1746)&lt;15,""figurative ছোট"",""""),IF(AND(I1746=""Positive"",REGEXMATCH(H1"&amp;"746,""মূর্খ|ভণ্ড|প্রতার|অলস|লোভ|স্বার্থ|অক্ষম|অযোগ্য|বোকা|কৃপণ|হিংস"")),""valence-target অমিল"",""""),IF(COUNTIF($B:$B,B1746)&gt;1,""ডুপ্লিকেট"",""""))"),"figurative ছোট")</f>
        <v>figurative ছোট</v>
      </c>
      <c r="Q1746" s="5" t="str">
        <f t="shared" si="1"/>
        <v>১ আগে দেখো</v>
      </c>
    </row>
    <row r="1747">
      <c r="A1747" s="4">
        <v>7371.0</v>
      </c>
      <c r="B1747" s="2" t="s">
        <v>6938</v>
      </c>
      <c r="C1747" s="2" t="s">
        <v>6939</v>
      </c>
      <c r="D1747" s="2" t="s">
        <v>2671</v>
      </c>
      <c r="E1747" s="2" t="s">
        <v>4949</v>
      </c>
      <c r="F1747" s="2" t="b">
        <v>1</v>
      </c>
      <c r="G1747" s="2" t="b">
        <v>0</v>
      </c>
      <c r="H1747" s="2" t="s">
        <v>37</v>
      </c>
      <c r="I1747" s="2" t="s">
        <v>22</v>
      </c>
      <c r="J1747" s="2" t="s">
        <v>2671</v>
      </c>
      <c r="K1747" s="2" t="s">
        <v>495</v>
      </c>
      <c r="L1747" s="13" t="s">
        <v>496</v>
      </c>
      <c r="M1747" s="2" t="s">
        <v>26</v>
      </c>
      <c r="N1747" s="11" t="s">
        <v>576</v>
      </c>
      <c r="O1747" s="12" t="s">
        <v>53</v>
      </c>
      <c r="P1747" s="5" t="str">
        <f>IFERROR(__xludf.DUMMYFUNCTION("TEXTJOIN("" | "",TRUE,IF(OR(D1747="""",E1747="""",I1747="""",J1747="""",H1747=""""),""ফাঁকা ঘর"",""""),IF(AND(C1747&lt;&gt;"""",D1747&lt;&gt;"""",C1747=D1747),""gloss=figurative"",""""),IF(LEN(D1747)&lt;15,""figurative ছোট"",""""),IF(AND(I1747=""Positive"",REGEXMATCH(H1"&amp;"747,""মূর্খ|ভণ্ড|প্রতার|অলস|লোভ|স্বার্থ|অক্ষম|অযোগ্য|বোকা|কৃপণ|হিংস"")),""valence-target অমিল"",""""),IF(COUNTIF($B:$B,B1747)&gt;1,""ডুপ্লিকেট"",""""))"),"figurative ছোট")</f>
        <v>figurative ছোট</v>
      </c>
      <c r="Q1747" s="5" t="str">
        <f t="shared" si="1"/>
        <v>১ আগে দেখো</v>
      </c>
    </row>
    <row r="1748">
      <c r="A1748" s="4">
        <v>7372.0</v>
      </c>
      <c r="B1748" s="2" t="s">
        <v>6940</v>
      </c>
      <c r="C1748" s="2" t="s">
        <v>6941</v>
      </c>
      <c r="D1748" s="2" t="s">
        <v>669</v>
      </c>
      <c r="E1748" s="2" t="s">
        <v>6942</v>
      </c>
      <c r="F1748" s="2" t="b">
        <v>1</v>
      </c>
      <c r="G1748" s="2" t="b">
        <v>0</v>
      </c>
      <c r="H1748" s="2" t="s">
        <v>37</v>
      </c>
      <c r="I1748" s="2" t="s">
        <v>32</v>
      </c>
      <c r="J1748" s="2" t="s">
        <v>669</v>
      </c>
      <c r="K1748" s="2" t="s">
        <v>495</v>
      </c>
      <c r="L1748" s="13" t="s">
        <v>496</v>
      </c>
      <c r="M1748" s="2" t="s">
        <v>26</v>
      </c>
      <c r="N1748" s="11" t="s">
        <v>576</v>
      </c>
      <c r="O1748" s="12" t="s">
        <v>53</v>
      </c>
      <c r="P1748" s="5" t="str">
        <f>IFERROR(__xludf.DUMMYFUNCTION("TEXTJOIN("" | "",TRUE,IF(OR(D1748="""",E1748="""",I1748="""",J1748="""",H1748=""""),""ফাঁকা ঘর"",""""),IF(AND(C1748&lt;&gt;"""",D1748&lt;&gt;"""",C1748=D1748),""gloss=figurative"",""""),IF(LEN(D1748)&lt;15,""figurative ছোট"",""""),IF(AND(I1748=""Positive"",REGEXMATCH(H1"&amp;"748,""মূর্খ|ভণ্ড|প্রতার|অলস|লোভ|স্বার্থ|অক্ষম|অযোগ্য|বোকা|কৃপণ|হিংস"")),""valence-target অমিল"",""""),IF(COUNTIF($B:$B,B1748)&gt;1,""ডুপ্লিকেট"",""""))"),"figurative ছোট")</f>
        <v>figurative ছোট</v>
      </c>
      <c r="Q1748" s="5" t="str">
        <f t="shared" si="1"/>
        <v>১ আগে দেখো</v>
      </c>
    </row>
    <row r="1749">
      <c r="A1749" s="4">
        <v>7373.0</v>
      </c>
      <c r="B1749" s="2" t="s">
        <v>6943</v>
      </c>
      <c r="C1749" s="2" t="s">
        <v>6944</v>
      </c>
      <c r="D1749" s="2" t="s">
        <v>1397</v>
      </c>
      <c r="E1749" s="2" t="s">
        <v>6945</v>
      </c>
      <c r="F1749" s="2" t="b">
        <v>1</v>
      </c>
      <c r="G1749" s="2" t="b">
        <v>0</v>
      </c>
      <c r="H1749" s="2" t="s">
        <v>37</v>
      </c>
      <c r="I1749" s="2" t="s">
        <v>22</v>
      </c>
      <c r="J1749" s="2" t="s">
        <v>1397</v>
      </c>
      <c r="K1749" s="2" t="s">
        <v>495</v>
      </c>
      <c r="L1749" s="13" t="s">
        <v>496</v>
      </c>
      <c r="M1749" s="2" t="s">
        <v>26</v>
      </c>
      <c r="N1749" s="11" t="s">
        <v>6946</v>
      </c>
      <c r="O1749" s="12" t="s">
        <v>53</v>
      </c>
      <c r="P1749" s="5" t="str">
        <f>IFERROR(__xludf.DUMMYFUNCTION("TEXTJOIN("" | "",TRUE,IF(OR(D1749="""",E1749="""",I1749="""",J1749="""",H1749=""""),""ফাঁকা ঘর"",""""),IF(AND(C1749&lt;&gt;"""",D1749&lt;&gt;"""",C1749=D1749),""gloss=figurative"",""""),IF(LEN(D1749)&lt;15,""figurative ছোট"",""""),IF(AND(I1749=""Positive"",REGEXMATCH(H1"&amp;"749,""মূর্খ|ভণ্ড|প্রতার|অলস|লোভ|স্বার্থ|অক্ষম|অযোগ্য|বোকা|কৃপণ|হিংস"")),""valence-target অমিল"",""""),IF(COUNTIF($B:$B,B1749)&gt;1,""ডুপ্লিকেট"",""""))"),"figurative ছোট")</f>
        <v>figurative ছোট</v>
      </c>
      <c r="Q1749" s="5" t="str">
        <f t="shared" si="1"/>
        <v>১ আগে দেখো</v>
      </c>
    </row>
    <row r="1750">
      <c r="A1750" s="4">
        <v>7374.0</v>
      </c>
      <c r="B1750" s="2" t="s">
        <v>6947</v>
      </c>
      <c r="C1750" s="2" t="s">
        <v>6948</v>
      </c>
      <c r="D1750" s="2" t="s">
        <v>1488</v>
      </c>
      <c r="E1750" s="2" t="s">
        <v>6949</v>
      </c>
      <c r="F1750" s="2" t="b">
        <v>1</v>
      </c>
      <c r="G1750" s="2" t="b">
        <v>0</v>
      </c>
      <c r="H1750" s="2" t="s">
        <v>37</v>
      </c>
      <c r="I1750" s="2" t="s">
        <v>22</v>
      </c>
      <c r="J1750" s="2" t="s">
        <v>1397</v>
      </c>
      <c r="K1750" s="2" t="s">
        <v>495</v>
      </c>
      <c r="L1750" s="13" t="s">
        <v>496</v>
      </c>
      <c r="M1750" s="2" t="s">
        <v>26</v>
      </c>
      <c r="N1750" s="11" t="s">
        <v>6950</v>
      </c>
      <c r="O1750" s="12" t="s">
        <v>53</v>
      </c>
      <c r="P1750" s="5" t="str">
        <f>IFERROR(__xludf.DUMMYFUNCTION("TEXTJOIN("" | "",TRUE,IF(OR(D1750="""",E1750="""",I1750="""",J1750="""",H1750=""""),""ফাঁকা ঘর"",""""),IF(AND(C1750&lt;&gt;"""",D1750&lt;&gt;"""",C1750=D1750),""gloss=figurative"",""""),IF(LEN(D1750)&lt;15,""figurative ছোট"",""""),IF(AND(I1750=""Positive"",REGEXMATCH(H1"&amp;"750,""মূর্খ|ভণ্ড|প্রতার|অলস|লোভ|স্বার্থ|অক্ষম|অযোগ্য|বোকা|কৃপণ|হিংস"")),""valence-target অমিল"",""""),IF(COUNTIF($B:$B,B1750)&gt;1,""ডুপ্লিকেট"",""""))"),"figurative ছোট")</f>
        <v>figurative ছোট</v>
      </c>
      <c r="Q1750" s="5" t="str">
        <f t="shared" si="1"/>
        <v>১ আগে দেখো</v>
      </c>
    </row>
    <row r="1751">
      <c r="A1751" s="4">
        <v>7375.0</v>
      </c>
      <c r="B1751" s="2" t="s">
        <v>6951</v>
      </c>
      <c r="C1751" s="2" t="s">
        <v>6951</v>
      </c>
      <c r="D1751" s="2" t="s">
        <v>3262</v>
      </c>
      <c r="E1751" s="2" t="s">
        <v>6952</v>
      </c>
      <c r="F1751" s="2" t="b">
        <v>1</v>
      </c>
      <c r="G1751" s="2" t="b">
        <v>0</v>
      </c>
      <c r="H1751" s="2" t="s">
        <v>37</v>
      </c>
      <c r="I1751" s="2" t="s">
        <v>22</v>
      </c>
      <c r="J1751" s="2" t="s">
        <v>2316</v>
      </c>
      <c r="K1751" s="2" t="s">
        <v>495</v>
      </c>
      <c r="L1751" s="13" t="s">
        <v>496</v>
      </c>
      <c r="M1751" s="2" t="s">
        <v>26</v>
      </c>
      <c r="N1751" s="11" t="s">
        <v>576</v>
      </c>
      <c r="O1751" s="12" t="s">
        <v>53</v>
      </c>
      <c r="P1751" s="5" t="str">
        <f>IFERROR(__xludf.DUMMYFUNCTION("TEXTJOIN("" | "",TRUE,IF(OR(D1751="""",E1751="""",I1751="""",J1751="""",H1751=""""),""ফাঁকা ঘর"",""""),IF(AND(C1751&lt;&gt;"""",D1751&lt;&gt;"""",C1751=D1751),""gloss=figurative"",""""),IF(LEN(D1751)&lt;15,""figurative ছোট"",""""),IF(AND(I1751=""Positive"",REGEXMATCH(H1"&amp;"751,""মূর্খ|ভণ্ড|প্রতার|অলস|লোভ|স্বার্থ|অক্ষম|অযোগ্য|বোকা|কৃপণ|হিংস"")),""valence-target অমিল"",""""),IF(COUNTIF($B:$B,B1751)&gt;1,""ডুপ্লিকেট"",""""))"),"figurative ছোট")</f>
        <v>figurative ছোট</v>
      </c>
      <c r="Q1751" s="5" t="str">
        <f t="shared" si="1"/>
        <v>১ আগে দেখো</v>
      </c>
    </row>
    <row r="1752">
      <c r="A1752" s="4">
        <v>7376.0</v>
      </c>
      <c r="B1752" s="2" t="s">
        <v>6953</v>
      </c>
      <c r="C1752" s="2" t="s">
        <v>6954</v>
      </c>
      <c r="D1752" s="2" t="s">
        <v>3262</v>
      </c>
      <c r="E1752" s="2" t="s">
        <v>6955</v>
      </c>
      <c r="F1752" s="2" t="b">
        <v>1</v>
      </c>
      <c r="G1752" s="2" t="b">
        <v>0</v>
      </c>
      <c r="H1752" s="2" t="s">
        <v>37</v>
      </c>
      <c r="I1752" s="2" t="s">
        <v>22</v>
      </c>
      <c r="J1752" s="2" t="s">
        <v>2316</v>
      </c>
      <c r="K1752" s="2" t="s">
        <v>495</v>
      </c>
      <c r="L1752" s="13" t="s">
        <v>496</v>
      </c>
      <c r="M1752" s="2" t="s">
        <v>26</v>
      </c>
      <c r="N1752" s="11" t="s">
        <v>576</v>
      </c>
      <c r="O1752" s="12" t="s">
        <v>53</v>
      </c>
      <c r="P1752" s="5" t="str">
        <f>IFERROR(__xludf.DUMMYFUNCTION("TEXTJOIN("" | "",TRUE,IF(OR(D1752="""",E1752="""",I1752="""",J1752="""",H1752=""""),""ফাঁকা ঘর"",""""),IF(AND(C1752&lt;&gt;"""",D1752&lt;&gt;"""",C1752=D1752),""gloss=figurative"",""""),IF(LEN(D1752)&lt;15,""figurative ছোট"",""""),IF(AND(I1752=""Positive"",REGEXMATCH(H1"&amp;"752,""মূর্খ|ভণ্ড|প্রতার|অলস|লোভ|স্বার্থ|অক্ষম|অযোগ্য|বোকা|কৃপণ|হিংস"")),""valence-target অমিল"",""""),IF(COUNTIF($B:$B,B1752)&gt;1,""ডুপ্লিকেট"",""""))"),"figurative ছোট")</f>
        <v>figurative ছোট</v>
      </c>
      <c r="Q1752" s="5" t="str">
        <f t="shared" si="1"/>
        <v>১ আগে দেখো</v>
      </c>
    </row>
    <row r="1753">
      <c r="A1753" s="4">
        <v>7377.0</v>
      </c>
      <c r="B1753" s="2" t="s">
        <v>6956</v>
      </c>
      <c r="C1753" s="2" t="s">
        <v>6957</v>
      </c>
      <c r="D1753" s="2" t="s">
        <v>2015</v>
      </c>
      <c r="E1753" s="2" t="s">
        <v>6958</v>
      </c>
      <c r="F1753" s="2" t="b">
        <v>1</v>
      </c>
      <c r="G1753" s="2" t="b">
        <v>0</v>
      </c>
      <c r="H1753" s="2" t="s">
        <v>37</v>
      </c>
      <c r="I1753" s="2" t="s">
        <v>22</v>
      </c>
      <c r="J1753" s="2" t="s">
        <v>2015</v>
      </c>
      <c r="K1753" s="2" t="s">
        <v>495</v>
      </c>
      <c r="L1753" s="13" t="s">
        <v>496</v>
      </c>
      <c r="M1753" s="2" t="s">
        <v>26</v>
      </c>
      <c r="N1753" s="11" t="s">
        <v>576</v>
      </c>
      <c r="O1753" s="12" t="s">
        <v>53</v>
      </c>
      <c r="P1753" s="5" t="str">
        <f>IFERROR(__xludf.DUMMYFUNCTION("TEXTJOIN("" | "",TRUE,IF(OR(D1753="""",E1753="""",I1753="""",J1753="""",H1753=""""),""ফাঁকা ঘর"",""""),IF(AND(C1753&lt;&gt;"""",D1753&lt;&gt;"""",C1753=D1753),""gloss=figurative"",""""),IF(LEN(D1753)&lt;15,""figurative ছোট"",""""),IF(AND(I1753=""Positive"",REGEXMATCH(H1"&amp;"753,""মূর্খ|ভণ্ড|প্রতার|অলস|লোভ|স্বার্থ|অক্ষম|অযোগ্য|বোকা|কৃপণ|হিংস"")),""valence-target অমিল"",""""),IF(COUNTIF($B:$B,B1753)&gt;1,""ডুপ্লিকেট"",""""))"),"figurative ছোট")</f>
        <v>figurative ছোট</v>
      </c>
      <c r="Q1753" s="5" t="str">
        <f t="shared" si="1"/>
        <v>১ আগে দেখো</v>
      </c>
    </row>
    <row r="1754">
      <c r="A1754" s="4">
        <v>7378.0</v>
      </c>
      <c r="B1754" s="2" t="s">
        <v>6959</v>
      </c>
      <c r="C1754" s="2" t="s">
        <v>6960</v>
      </c>
      <c r="D1754" s="2" t="s">
        <v>2015</v>
      </c>
      <c r="E1754" s="2" t="s">
        <v>6961</v>
      </c>
      <c r="F1754" s="2" t="b">
        <v>1</v>
      </c>
      <c r="G1754" s="2" t="b">
        <v>0</v>
      </c>
      <c r="H1754" s="2" t="s">
        <v>37</v>
      </c>
      <c r="I1754" s="2" t="s">
        <v>49</v>
      </c>
      <c r="J1754" s="2" t="s">
        <v>2015</v>
      </c>
      <c r="K1754" s="2" t="s">
        <v>495</v>
      </c>
      <c r="L1754" s="13" t="s">
        <v>496</v>
      </c>
      <c r="M1754" s="2" t="s">
        <v>26</v>
      </c>
      <c r="N1754" s="11" t="s">
        <v>576</v>
      </c>
      <c r="O1754" s="12" t="s">
        <v>53</v>
      </c>
      <c r="P1754" s="5" t="str">
        <f>IFERROR(__xludf.DUMMYFUNCTION("TEXTJOIN("" | "",TRUE,IF(OR(D1754="""",E1754="""",I1754="""",J1754="""",H1754=""""),""ফাঁকা ঘর"",""""),IF(AND(C1754&lt;&gt;"""",D1754&lt;&gt;"""",C1754=D1754),""gloss=figurative"",""""),IF(LEN(D1754)&lt;15,""figurative ছোট"",""""),IF(AND(I1754=""Positive"",REGEXMATCH(H1"&amp;"754,""মূর্খ|ভণ্ড|প্রতার|অলস|লোভ|স্বার্থ|অক্ষম|অযোগ্য|বোকা|কৃপণ|হিংস"")),""valence-target অমিল"",""""),IF(COUNTIF($B:$B,B1754)&gt;1,""ডুপ্লিকেট"",""""))"),"figurative ছোট")</f>
        <v>figurative ছোট</v>
      </c>
      <c r="Q1754" s="5" t="str">
        <f t="shared" si="1"/>
        <v>১ আগে দেখো</v>
      </c>
    </row>
    <row r="1755">
      <c r="A1755" s="4">
        <v>7379.0</v>
      </c>
      <c r="B1755" s="2" t="s">
        <v>6962</v>
      </c>
      <c r="C1755" s="2" t="s">
        <v>6963</v>
      </c>
      <c r="D1755" s="2" t="s">
        <v>2015</v>
      </c>
      <c r="E1755" s="2" t="s">
        <v>6964</v>
      </c>
      <c r="F1755" s="2" t="b">
        <v>1</v>
      </c>
      <c r="G1755" s="2" t="b">
        <v>0</v>
      </c>
      <c r="H1755" s="2" t="s">
        <v>37</v>
      </c>
      <c r="I1755" s="2" t="s">
        <v>32</v>
      </c>
      <c r="J1755" s="2" t="s">
        <v>2015</v>
      </c>
      <c r="K1755" s="2" t="s">
        <v>495</v>
      </c>
      <c r="L1755" s="13" t="s">
        <v>496</v>
      </c>
      <c r="M1755" s="2" t="s">
        <v>26</v>
      </c>
      <c r="N1755" s="11" t="s">
        <v>576</v>
      </c>
      <c r="O1755" s="12" t="s">
        <v>53</v>
      </c>
      <c r="P1755" s="5" t="str">
        <f>IFERROR(__xludf.DUMMYFUNCTION("TEXTJOIN("" | "",TRUE,IF(OR(D1755="""",E1755="""",I1755="""",J1755="""",H1755=""""),""ফাঁকা ঘর"",""""),IF(AND(C1755&lt;&gt;"""",D1755&lt;&gt;"""",C1755=D1755),""gloss=figurative"",""""),IF(LEN(D1755)&lt;15,""figurative ছোট"",""""),IF(AND(I1755=""Positive"",REGEXMATCH(H1"&amp;"755,""মূর্খ|ভণ্ড|প্রতার|অলস|লোভ|স্বার্থ|অক্ষম|অযোগ্য|বোকা|কৃপণ|হিংস"")),""valence-target অমিল"",""""),IF(COUNTIF($B:$B,B1755)&gt;1,""ডুপ্লিকেট"",""""))"),"figurative ছোট")</f>
        <v>figurative ছোট</v>
      </c>
      <c r="Q1755" s="5" t="str">
        <f t="shared" si="1"/>
        <v>১ আগে দেখো</v>
      </c>
    </row>
    <row r="1756">
      <c r="A1756" s="4">
        <v>7380.0</v>
      </c>
      <c r="B1756" s="2" t="s">
        <v>6965</v>
      </c>
      <c r="C1756" s="2" t="s">
        <v>6871</v>
      </c>
      <c r="D1756" s="2" t="s">
        <v>6966</v>
      </c>
      <c r="E1756" s="2" t="s">
        <v>6873</v>
      </c>
      <c r="F1756" s="2" t="b">
        <v>1</v>
      </c>
      <c r="G1756" s="2" t="b">
        <v>0</v>
      </c>
      <c r="H1756" s="2" t="s">
        <v>37</v>
      </c>
      <c r="I1756" s="2" t="s">
        <v>22</v>
      </c>
      <c r="J1756" s="2" t="s">
        <v>1656</v>
      </c>
      <c r="K1756" s="2" t="s">
        <v>495</v>
      </c>
      <c r="L1756" s="13" t="s">
        <v>496</v>
      </c>
      <c r="M1756" s="2" t="s">
        <v>26</v>
      </c>
      <c r="N1756" s="11" t="s">
        <v>576</v>
      </c>
      <c r="O1756" s="12" t="s">
        <v>53</v>
      </c>
      <c r="P1756" s="5" t="str">
        <f>IFERROR(__xludf.DUMMYFUNCTION("TEXTJOIN("" | "",TRUE,IF(OR(D1756="""",E1756="""",I1756="""",J1756="""",H1756=""""),""ফাঁকা ঘর"",""""),IF(AND(C1756&lt;&gt;"""",D1756&lt;&gt;"""",C1756=D1756),""gloss=figurative"",""""),IF(LEN(D1756)&lt;15,""figurative ছোট"",""""),IF(AND(I1756=""Positive"",REGEXMATCH(H1"&amp;"756,""মূর্খ|ভণ্ড|প্রতার|অলস|লোভ|স্বার্থ|অক্ষম|অযোগ্য|বোকা|কৃপণ|হিংস"")),""valence-target অমিল"",""""),IF(COUNTIF($B:$B,B1756)&gt;1,""ডুপ্লিকেট"",""""))"),"figurative ছোট")</f>
        <v>figurative ছোট</v>
      </c>
      <c r="Q1756" s="5" t="str">
        <f t="shared" si="1"/>
        <v>১ আগে দেখো</v>
      </c>
    </row>
    <row r="1757">
      <c r="A1757" s="4">
        <v>7381.0</v>
      </c>
      <c r="B1757" s="2" t="s">
        <v>6967</v>
      </c>
      <c r="C1757" s="2" t="s">
        <v>6968</v>
      </c>
      <c r="D1757" s="2" t="s">
        <v>6969</v>
      </c>
      <c r="E1757" s="2" t="s">
        <v>6970</v>
      </c>
      <c r="F1757" s="2" t="b">
        <v>1</v>
      </c>
      <c r="G1757" s="2" t="b">
        <v>1</v>
      </c>
      <c r="H1757" s="2" t="s">
        <v>3079</v>
      </c>
      <c r="I1757" s="2" t="s">
        <v>22</v>
      </c>
      <c r="J1757" s="2" t="s">
        <v>1008</v>
      </c>
      <c r="K1757" s="2" t="s">
        <v>495</v>
      </c>
      <c r="L1757" s="13" t="s">
        <v>496</v>
      </c>
      <c r="M1757" s="2" t="s">
        <v>26</v>
      </c>
      <c r="N1757" s="11" t="s">
        <v>576</v>
      </c>
      <c r="O1757" s="12" t="s">
        <v>53</v>
      </c>
      <c r="P1757" s="5" t="str">
        <f>IFERROR(__xludf.DUMMYFUNCTION("TEXTJOIN("" | "",TRUE,IF(OR(D1757="""",E1757="""",I1757="""",J1757="""",H1757=""""),""ফাঁকা ঘর"",""""),IF(AND(C1757&lt;&gt;"""",D1757&lt;&gt;"""",C1757=D1757),""gloss=figurative"",""""),IF(LEN(D1757)&lt;15,""figurative ছোট"",""""),IF(AND(I1757=""Positive"",REGEXMATCH(H1"&amp;"757,""মূর্খ|ভণ্ড|প্রতার|অলস|লোভ|স্বার্থ|অক্ষম|অযোগ্য|বোকা|কৃপণ|হিংস"")),""valence-target অমিল"",""""),IF(COUNTIF($B:$B,B1757)&gt;1,""ডুপ্লিকেট"",""""))"),"figurative ছোট")</f>
        <v>figurative ছোট</v>
      </c>
      <c r="Q1757" s="5" t="str">
        <f t="shared" si="1"/>
        <v>১ আগে দেখো</v>
      </c>
    </row>
    <row r="1758">
      <c r="A1758" s="4">
        <v>7382.0</v>
      </c>
      <c r="B1758" s="2" t="s">
        <v>6971</v>
      </c>
      <c r="C1758" s="2" t="s">
        <v>6972</v>
      </c>
      <c r="D1758" s="2" t="s">
        <v>565</v>
      </c>
      <c r="E1758" s="2" t="s">
        <v>6973</v>
      </c>
      <c r="F1758" s="2" t="b">
        <v>1</v>
      </c>
      <c r="G1758" s="2" t="b">
        <v>0</v>
      </c>
      <c r="H1758" s="2" t="s">
        <v>37</v>
      </c>
      <c r="I1758" s="2" t="s">
        <v>22</v>
      </c>
      <c r="J1758" s="2" t="s">
        <v>565</v>
      </c>
      <c r="K1758" s="2" t="s">
        <v>495</v>
      </c>
      <c r="L1758" s="13" t="s">
        <v>496</v>
      </c>
      <c r="M1758" s="2" t="s">
        <v>26</v>
      </c>
      <c r="N1758" s="11" t="s">
        <v>576</v>
      </c>
      <c r="O1758" s="12" t="s">
        <v>53</v>
      </c>
      <c r="P1758" s="5" t="str">
        <f>IFERROR(__xludf.DUMMYFUNCTION("TEXTJOIN("" | "",TRUE,IF(OR(D1758="""",E1758="""",I1758="""",J1758="""",H1758=""""),""ফাঁকা ঘর"",""""),IF(AND(C1758&lt;&gt;"""",D1758&lt;&gt;"""",C1758=D1758),""gloss=figurative"",""""),IF(LEN(D1758)&lt;15,""figurative ছোট"",""""),IF(AND(I1758=""Positive"",REGEXMATCH(H1"&amp;"758,""মূর্খ|ভণ্ড|প্রতার|অলস|লোভ|স্বার্থ|অক্ষম|অযোগ্য|বোকা|কৃপণ|হিংস"")),""valence-target অমিল"",""""),IF(COUNTIF($B:$B,B1758)&gt;1,""ডুপ্লিকেট"",""""))"),"figurative ছোট")</f>
        <v>figurative ছোট</v>
      </c>
      <c r="Q1758" s="5" t="str">
        <f t="shared" si="1"/>
        <v>১ আগে দেখো</v>
      </c>
    </row>
    <row r="1759">
      <c r="A1759" s="4">
        <v>7383.0</v>
      </c>
      <c r="B1759" s="2" t="s">
        <v>6974</v>
      </c>
      <c r="C1759" s="2" t="s">
        <v>6975</v>
      </c>
      <c r="D1759" s="2" t="s">
        <v>680</v>
      </c>
      <c r="E1759" s="2" t="s">
        <v>6976</v>
      </c>
      <c r="F1759" s="2" t="b">
        <v>1</v>
      </c>
      <c r="G1759" s="2" t="b">
        <v>0</v>
      </c>
      <c r="H1759" s="2" t="s">
        <v>37</v>
      </c>
      <c r="I1759" s="2" t="s">
        <v>22</v>
      </c>
      <c r="J1759" s="2" t="s">
        <v>990</v>
      </c>
      <c r="K1759" s="2" t="s">
        <v>495</v>
      </c>
      <c r="L1759" s="13" t="s">
        <v>496</v>
      </c>
      <c r="M1759" s="2" t="s">
        <v>26</v>
      </c>
      <c r="N1759" s="11" t="s">
        <v>576</v>
      </c>
      <c r="O1759" s="12" t="s">
        <v>53</v>
      </c>
      <c r="P1759" s="5" t="str">
        <f>IFERROR(__xludf.DUMMYFUNCTION("TEXTJOIN("" | "",TRUE,IF(OR(D1759="""",E1759="""",I1759="""",J1759="""",H1759=""""),""ফাঁকা ঘর"",""""),IF(AND(C1759&lt;&gt;"""",D1759&lt;&gt;"""",C1759=D1759),""gloss=figurative"",""""),IF(LEN(D1759)&lt;15,""figurative ছোট"",""""),IF(AND(I1759=""Positive"",REGEXMATCH(H1"&amp;"759,""মূর্খ|ভণ্ড|প্রতার|অলস|লোভ|স্বার্থ|অক্ষম|অযোগ্য|বোকা|কৃপণ|হিংস"")),""valence-target অমিল"",""""),IF(COUNTIF($B:$B,B1759)&gt;1,""ডুপ্লিকেট"",""""))"),"figurative ছোট")</f>
        <v>figurative ছোট</v>
      </c>
      <c r="Q1759" s="5" t="str">
        <f t="shared" si="1"/>
        <v>১ আগে দেখো</v>
      </c>
    </row>
    <row r="1760">
      <c r="A1760" s="4">
        <v>7385.0</v>
      </c>
      <c r="B1760" s="2" t="s">
        <v>6977</v>
      </c>
      <c r="C1760" s="2" t="s">
        <v>6978</v>
      </c>
      <c r="D1760" s="2" t="s">
        <v>4802</v>
      </c>
      <c r="E1760" s="2" t="s">
        <v>6979</v>
      </c>
      <c r="F1760" s="2" t="b">
        <v>1</v>
      </c>
      <c r="G1760" s="2" t="b">
        <v>0</v>
      </c>
      <c r="H1760" s="2" t="s">
        <v>37</v>
      </c>
      <c r="I1760" s="2" t="s">
        <v>32</v>
      </c>
      <c r="J1760" s="2" t="s">
        <v>4804</v>
      </c>
      <c r="K1760" s="2" t="s">
        <v>495</v>
      </c>
      <c r="L1760" s="13" t="s">
        <v>496</v>
      </c>
      <c r="M1760" s="2" t="s">
        <v>26</v>
      </c>
      <c r="N1760" s="11" t="s">
        <v>576</v>
      </c>
      <c r="O1760" s="12" t="s">
        <v>53</v>
      </c>
      <c r="P1760" s="5" t="str">
        <f>IFERROR(__xludf.DUMMYFUNCTION("TEXTJOIN("" | "",TRUE,IF(OR(D1760="""",E1760="""",I1760="""",J1760="""",H1760=""""),""ফাঁকা ঘর"",""""),IF(AND(C1760&lt;&gt;"""",D1760&lt;&gt;"""",C1760=D1760),""gloss=figurative"",""""),IF(LEN(D1760)&lt;15,""figurative ছোট"",""""),IF(AND(I1760=""Positive"",REGEXMATCH(H1"&amp;"760,""মূর্খ|ভণ্ড|প্রতার|অলস|লোভ|স্বার্থ|অক্ষম|অযোগ্য|বোকা|কৃপণ|হিংস"")),""valence-target অমিল"",""""),IF(COUNTIF($B:$B,B1760)&gt;1,""ডুপ্লিকেট"",""""))"),"figurative ছোট")</f>
        <v>figurative ছোট</v>
      </c>
      <c r="Q1760" s="5" t="str">
        <f t="shared" si="1"/>
        <v>১ আগে দেখো</v>
      </c>
    </row>
    <row r="1761">
      <c r="A1761" s="4">
        <v>7386.0</v>
      </c>
      <c r="B1761" s="2" t="s">
        <v>6980</v>
      </c>
      <c r="C1761" s="2" t="s">
        <v>6980</v>
      </c>
      <c r="D1761" s="2" t="s">
        <v>6981</v>
      </c>
      <c r="E1761" s="2" t="s">
        <v>6982</v>
      </c>
      <c r="F1761" s="2" t="b">
        <v>1</v>
      </c>
      <c r="G1761" s="2" t="b">
        <v>1</v>
      </c>
      <c r="H1761" s="2" t="s">
        <v>1106</v>
      </c>
      <c r="I1761" s="2" t="s">
        <v>22</v>
      </c>
      <c r="J1761" s="2" t="s">
        <v>1315</v>
      </c>
      <c r="K1761" s="2" t="s">
        <v>495</v>
      </c>
      <c r="L1761" s="13" t="s">
        <v>496</v>
      </c>
      <c r="M1761" s="2" t="s">
        <v>26</v>
      </c>
      <c r="N1761" s="11" t="s">
        <v>576</v>
      </c>
      <c r="O1761" s="12" t="s">
        <v>53</v>
      </c>
      <c r="P1761" s="5" t="str">
        <f>IFERROR(__xludf.DUMMYFUNCTION("TEXTJOIN("" | "",TRUE,IF(OR(D1761="""",E1761="""",I1761="""",J1761="""",H1761=""""),""ফাঁকা ঘর"",""""),IF(AND(C1761&lt;&gt;"""",D1761&lt;&gt;"""",C1761=D1761),""gloss=figurative"",""""),IF(LEN(D1761)&lt;15,""figurative ছোট"",""""),IF(AND(I1761=""Positive"",REGEXMATCH(H1"&amp;"761,""মূর্খ|ভণ্ড|প্রতার|অলস|লোভ|স্বার্থ|অক্ষম|অযোগ্য|বোকা|কৃপণ|হিংস"")),""valence-target অমিল"",""""),IF(COUNTIF($B:$B,B1761)&gt;1,""ডুপ্লিকেট"",""""))"),"figurative ছোট")</f>
        <v>figurative ছোট</v>
      </c>
      <c r="Q1761" s="5" t="str">
        <f t="shared" si="1"/>
        <v>১ আগে দেখো</v>
      </c>
    </row>
    <row r="1762">
      <c r="A1762" s="4">
        <v>7387.0</v>
      </c>
      <c r="B1762" s="2" t="s">
        <v>6983</v>
      </c>
      <c r="C1762" s="2" t="s">
        <v>6984</v>
      </c>
      <c r="D1762" s="2" t="s">
        <v>1621</v>
      </c>
      <c r="E1762" s="2" t="s">
        <v>6985</v>
      </c>
      <c r="F1762" s="2" t="b">
        <v>1</v>
      </c>
      <c r="G1762" s="2" t="b">
        <v>0</v>
      </c>
      <c r="H1762" s="2" t="s">
        <v>37</v>
      </c>
      <c r="I1762" s="2" t="s">
        <v>49</v>
      </c>
      <c r="J1762" s="2" t="s">
        <v>1621</v>
      </c>
      <c r="K1762" s="2" t="s">
        <v>495</v>
      </c>
      <c r="L1762" s="13" t="s">
        <v>496</v>
      </c>
      <c r="M1762" s="2" t="s">
        <v>26</v>
      </c>
      <c r="N1762" s="11" t="s">
        <v>576</v>
      </c>
      <c r="O1762" s="12" t="s">
        <v>53</v>
      </c>
      <c r="P1762" s="5" t="str">
        <f>IFERROR(__xludf.DUMMYFUNCTION("TEXTJOIN("" | "",TRUE,IF(OR(D1762="""",E1762="""",I1762="""",J1762="""",H1762=""""),""ফাঁকা ঘর"",""""),IF(AND(C1762&lt;&gt;"""",D1762&lt;&gt;"""",C1762=D1762),""gloss=figurative"",""""),IF(LEN(D1762)&lt;15,""figurative ছোট"",""""),IF(AND(I1762=""Positive"",REGEXMATCH(H1"&amp;"762,""মূর্খ|ভণ্ড|প্রতার|অলস|লোভ|স্বার্থ|অক্ষম|অযোগ্য|বোকা|কৃপণ|হিংস"")),""valence-target অমিল"",""""),IF(COUNTIF($B:$B,B1762)&gt;1,""ডুপ্লিকেট"",""""))"),"figurative ছোট")</f>
        <v>figurative ছোট</v>
      </c>
      <c r="Q1762" s="5" t="str">
        <f t="shared" si="1"/>
        <v>১ আগে দেখো</v>
      </c>
    </row>
    <row r="1763">
      <c r="A1763" s="4">
        <v>7388.0</v>
      </c>
      <c r="B1763" s="2" t="s">
        <v>6986</v>
      </c>
      <c r="C1763" s="2" t="s">
        <v>6987</v>
      </c>
      <c r="D1763" s="2" t="s">
        <v>4862</v>
      </c>
      <c r="E1763" s="2" t="s">
        <v>6988</v>
      </c>
      <c r="F1763" s="2" t="b">
        <v>1</v>
      </c>
      <c r="G1763" s="2" t="b">
        <v>0</v>
      </c>
      <c r="H1763" s="2" t="s">
        <v>37</v>
      </c>
      <c r="I1763" s="2" t="s">
        <v>49</v>
      </c>
      <c r="J1763" s="2" t="s">
        <v>565</v>
      </c>
      <c r="K1763" s="2" t="s">
        <v>495</v>
      </c>
      <c r="L1763" s="13" t="s">
        <v>496</v>
      </c>
      <c r="M1763" s="2" t="s">
        <v>26</v>
      </c>
      <c r="N1763" s="11" t="s">
        <v>576</v>
      </c>
      <c r="O1763" s="12" t="s">
        <v>53</v>
      </c>
      <c r="P1763" s="5" t="str">
        <f>IFERROR(__xludf.DUMMYFUNCTION("TEXTJOIN("" | "",TRUE,IF(OR(D1763="""",E1763="""",I1763="""",J1763="""",H1763=""""),""ফাঁকা ঘর"",""""),IF(AND(C1763&lt;&gt;"""",D1763&lt;&gt;"""",C1763=D1763),""gloss=figurative"",""""),IF(LEN(D1763)&lt;15,""figurative ছোট"",""""),IF(AND(I1763=""Positive"",REGEXMATCH(H1"&amp;"763,""মূর্খ|ভণ্ড|প্রতার|অলস|লোভ|স্বার্থ|অক্ষম|অযোগ্য|বোকা|কৃপণ|হিংস"")),""valence-target অমিল"",""""),IF(COUNTIF($B:$B,B1763)&gt;1,""ডুপ্লিকেট"",""""))"),"figurative ছোট")</f>
        <v>figurative ছোট</v>
      </c>
      <c r="Q1763" s="5" t="str">
        <f t="shared" si="1"/>
        <v>১ আগে দেখো</v>
      </c>
    </row>
    <row r="1764">
      <c r="A1764" s="4">
        <v>7389.0</v>
      </c>
      <c r="B1764" s="2" t="s">
        <v>6989</v>
      </c>
      <c r="C1764" s="2" t="s">
        <v>6990</v>
      </c>
      <c r="D1764" s="2" t="s">
        <v>1876</v>
      </c>
      <c r="E1764" s="2" t="s">
        <v>6991</v>
      </c>
      <c r="F1764" s="2" t="b">
        <v>1</v>
      </c>
      <c r="G1764" s="2" t="b">
        <v>0</v>
      </c>
      <c r="H1764" s="2" t="s">
        <v>4703</v>
      </c>
      <c r="I1764" s="2" t="s">
        <v>22</v>
      </c>
      <c r="J1764" s="2" t="s">
        <v>1876</v>
      </c>
      <c r="K1764" s="2" t="s">
        <v>495</v>
      </c>
      <c r="L1764" s="13" t="s">
        <v>496</v>
      </c>
      <c r="M1764" s="2" t="s">
        <v>26</v>
      </c>
      <c r="N1764" s="11" t="s">
        <v>576</v>
      </c>
      <c r="O1764" s="12" t="s">
        <v>53</v>
      </c>
      <c r="P1764" s="5" t="str">
        <f>IFERROR(__xludf.DUMMYFUNCTION("TEXTJOIN("" | "",TRUE,IF(OR(D1764="""",E1764="""",I1764="""",J1764="""",H1764=""""),""ফাঁকা ঘর"",""""),IF(AND(C1764&lt;&gt;"""",D1764&lt;&gt;"""",C1764=D1764),""gloss=figurative"",""""),IF(LEN(D1764)&lt;15,""figurative ছোট"",""""),IF(AND(I1764=""Positive"",REGEXMATCH(H1"&amp;"764,""মূর্খ|ভণ্ড|প্রতার|অলস|লোভ|স্বার্থ|অক্ষম|অযোগ্য|বোকা|কৃপণ|হিংস"")),""valence-target অমিল"",""""),IF(COUNTIF($B:$B,B1764)&gt;1,""ডুপ্লিকেট"",""""))"),"figurative ছোট")</f>
        <v>figurative ছোট</v>
      </c>
      <c r="Q1764" s="5" t="str">
        <f t="shared" si="1"/>
        <v>১ আগে দেখো</v>
      </c>
    </row>
    <row r="1765">
      <c r="A1765" s="4">
        <v>7391.0</v>
      </c>
      <c r="B1765" s="2" t="s">
        <v>6992</v>
      </c>
      <c r="C1765" s="2" t="s">
        <v>6993</v>
      </c>
      <c r="D1765" s="2" t="s">
        <v>2857</v>
      </c>
      <c r="E1765" s="2" t="s">
        <v>6994</v>
      </c>
      <c r="F1765" s="2" t="b">
        <v>1</v>
      </c>
      <c r="G1765" s="2" t="b">
        <v>0</v>
      </c>
      <c r="H1765" s="2" t="s">
        <v>4703</v>
      </c>
      <c r="I1765" s="2" t="s">
        <v>32</v>
      </c>
      <c r="J1765" s="2" t="s">
        <v>4704</v>
      </c>
      <c r="K1765" s="2" t="s">
        <v>495</v>
      </c>
      <c r="L1765" s="13" t="s">
        <v>496</v>
      </c>
      <c r="M1765" s="2" t="s">
        <v>26</v>
      </c>
      <c r="N1765" s="11" t="s">
        <v>6995</v>
      </c>
      <c r="O1765" s="12" t="s">
        <v>53</v>
      </c>
      <c r="P1765" s="5" t="str">
        <f>IFERROR(__xludf.DUMMYFUNCTION("TEXTJOIN("" | "",TRUE,IF(OR(D1765="""",E1765="""",I1765="""",J1765="""",H1765=""""),""ফাঁকা ঘর"",""""),IF(AND(C1765&lt;&gt;"""",D1765&lt;&gt;"""",C1765=D1765),""gloss=figurative"",""""),IF(LEN(D1765)&lt;15,""figurative ছোট"",""""),IF(AND(I1765=""Positive"",REGEXMATCH(H1"&amp;"765,""মূর্খ|ভণ্ড|প্রতার|অলস|লোভ|স্বার্থ|অক্ষম|অযোগ্য|বোকা|কৃপণ|হিংস"")),""valence-target অমিল"",""""),IF(COUNTIF($B:$B,B1765)&gt;1,""ডুপ্লিকেট"",""""))"),"figurative ছোট")</f>
        <v>figurative ছোট</v>
      </c>
      <c r="Q1765" s="5" t="str">
        <f t="shared" si="1"/>
        <v>১ আগে দেখো</v>
      </c>
    </row>
    <row r="1766">
      <c r="A1766" s="4">
        <v>7392.0</v>
      </c>
      <c r="B1766" s="2" t="s">
        <v>6996</v>
      </c>
      <c r="C1766" s="2" t="s">
        <v>6997</v>
      </c>
      <c r="D1766" s="2" t="s">
        <v>6998</v>
      </c>
      <c r="E1766" s="2" t="s">
        <v>6999</v>
      </c>
      <c r="F1766" s="2" t="b">
        <v>1</v>
      </c>
      <c r="G1766" s="2" t="b">
        <v>0</v>
      </c>
      <c r="H1766" s="2" t="s">
        <v>37</v>
      </c>
      <c r="I1766" s="2" t="s">
        <v>22</v>
      </c>
      <c r="J1766" s="2" t="s">
        <v>7000</v>
      </c>
      <c r="K1766" s="2" t="s">
        <v>495</v>
      </c>
      <c r="L1766" s="13" t="s">
        <v>496</v>
      </c>
      <c r="M1766" s="2" t="s">
        <v>26</v>
      </c>
      <c r="N1766" s="11" t="s">
        <v>576</v>
      </c>
      <c r="O1766" s="12" t="s">
        <v>53</v>
      </c>
      <c r="P1766" s="5" t="str">
        <f>IFERROR(__xludf.DUMMYFUNCTION("TEXTJOIN("" | "",TRUE,IF(OR(D1766="""",E1766="""",I1766="""",J1766="""",H1766=""""),""ফাঁকা ঘর"",""""),IF(AND(C1766&lt;&gt;"""",D1766&lt;&gt;"""",C1766=D1766),""gloss=figurative"",""""),IF(LEN(D1766)&lt;15,""figurative ছোট"",""""),IF(AND(I1766=""Positive"",REGEXMATCH(H1"&amp;"766,""মূর্খ|ভণ্ড|প্রতার|অলস|লোভ|স্বার্থ|অক্ষম|অযোগ্য|বোকা|কৃপণ|হিংস"")),""valence-target অমিল"",""""),IF(COUNTIF($B:$B,B1766)&gt;1,""ডুপ্লিকেট"",""""))"),"figurative ছোট")</f>
        <v>figurative ছোট</v>
      </c>
      <c r="Q1766" s="5" t="str">
        <f t="shared" si="1"/>
        <v>১ আগে দেখো</v>
      </c>
    </row>
    <row r="1767">
      <c r="A1767" s="4">
        <v>7393.0</v>
      </c>
      <c r="B1767" s="2" t="s">
        <v>7001</v>
      </c>
      <c r="C1767" s="2" t="s">
        <v>7002</v>
      </c>
      <c r="D1767" s="2" t="s">
        <v>3570</v>
      </c>
      <c r="E1767" s="2" t="s">
        <v>7003</v>
      </c>
      <c r="F1767" s="2" t="b">
        <v>1</v>
      </c>
      <c r="G1767" s="2" t="b">
        <v>0</v>
      </c>
      <c r="H1767" s="2" t="s">
        <v>37</v>
      </c>
      <c r="I1767" s="2" t="s">
        <v>49</v>
      </c>
      <c r="J1767" s="2" t="s">
        <v>3570</v>
      </c>
      <c r="K1767" s="2" t="s">
        <v>495</v>
      </c>
      <c r="L1767" s="13" t="s">
        <v>496</v>
      </c>
      <c r="M1767" s="2" t="s">
        <v>26</v>
      </c>
      <c r="N1767" s="11" t="s">
        <v>7004</v>
      </c>
      <c r="O1767" s="12" t="s">
        <v>53</v>
      </c>
      <c r="P1767" s="5" t="str">
        <f>IFERROR(__xludf.DUMMYFUNCTION("TEXTJOIN("" | "",TRUE,IF(OR(D1767="""",E1767="""",I1767="""",J1767="""",H1767=""""),""ফাঁকা ঘর"",""""),IF(AND(C1767&lt;&gt;"""",D1767&lt;&gt;"""",C1767=D1767),""gloss=figurative"",""""),IF(LEN(D1767)&lt;15,""figurative ছোট"",""""),IF(AND(I1767=""Positive"",REGEXMATCH(H1"&amp;"767,""মূর্খ|ভণ্ড|প্রতার|অলস|লোভ|স্বার্থ|অক্ষম|অযোগ্য|বোকা|কৃপণ|হিংস"")),""valence-target অমিল"",""""),IF(COUNTIF($B:$B,B1767)&gt;1,""ডুপ্লিকেট"",""""))"),"figurative ছোট")</f>
        <v>figurative ছোট</v>
      </c>
      <c r="Q1767" s="5" t="str">
        <f t="shared" si="1"/>
        <v>১ আগে দেখো</v>
      </c>
    </row>
    <row r="1768">
      <c r="A1768" s="4">
        <v>7394.0</v>
      </c>
      <c r="B1768" s="2" t="s">
        <v>7005</v>
      </c>
      <c r="C1768" s="2" t="s">
        <v>7006</v>
      </c>
      <c r="D1768" s="2" t="s">
        <v>3570</v>
      </c>
      <c r="E1768" s="2" t="s">
        <v>7007</v>
      </c>
      <c r="F1768" s="2" t="b">
        <v>1</v>
      </c>
      <c r="G1768" s="2" t="b">
        <v>0</v>
      </c>
      <c r="H1768" s="2" t="s">
        <v>37</v>
      </c>
      <c r="I1768" s="2" t="s">
        <v>49</v>
      </c>
      <c r="J1768" s="2" t="s">
        <v>3570</v>
      </c>
      <c r="K1768" s="2" t="s">
        <v>495</v>
      </c>
      <c r="L1768" s="13" t="s">
        <v>496</v>
      </c>
      <c r="M1768" s="2" t="s">
        <v>26</v>
      </c>
      <c r="N1768" s="11" t="s">
        <v>7008</v>
      </c>
      <c r="O1768" s="12" t="s">
        <v>53</v>
      </c>
      <c r="P1768" s="5" t="str">
        <f>IFERROR(__xludf.DUMMYFUNCTION("TEXTJOIN("" | "",TRUE,IF(OR(D1768="""",E1768="""",I1768="""",J1768="""",H1768=""""),""ফাঁকা ঘর"",""""),IF(AND(C1768&lt;&gt;"""",D1768&lt;&gt;"""",C1768=D1768),""gloss=figurative"",""""),IF(LEN(D1768)&lt;15,""figurative ছোট"",""""),IF(AND(I1768=""Positive"",REGEXMATCH(H1"&amp;"768,""মূর্খ|ভণ্ড|প্রতার|অলস|লোভ|স্বার্থ|অক্ষম|অযোগ্য|বোকা|কৃপণ|হিংস"")),""valence-target অমিল"",""""),IF(COUNTIF($B:$B,B1768)&gt;1,""ডুপ্লিকেট"",""""))"),"figurative ছোট")</f>
        <v>figurative ছোট</v>
      </c>
      <c r="Q1768" s="5" t="str">
        <f t="shared" si="1"/>
        <v>১ আগে দেখো</v>
      </c>
    </row>
    <row r="1769">
      <c r="A1769" s="4">
        <v>7395.0</v>
      </c>
      <c r="B1769" s="2" t="s">
        <v>7009</v>
      </c>
      <c r="C1769" s="2" t="s">
        <v>7009</v>
      </c>
      <c r="D1769" s="2" t="s">
        <v>3570</v>
      </c>
      <c r="E1769" s="2" t="s">
        <v>7010</v>
      </c>
      <c r="F1769" s="2" t="b">
        <v>1</v>
      </c>
      <c r="G1769" s="2" t="b">
        <v>0</v>
      </c>
      <c r="H1769" s="2" t="s">
        <v>37</v>
      </c>
      <c r="I1769" s="2" t="s">
        <v>49</v>
      </c>
      <c r="J1769" s="2" t="s">
        <v>3570</v>
      </c>
      <c r="K1769" s="2" t="s">
        <v>495</v>
      </c>
      <c r="L1769" s="13" t="s">
        <v>496</v>
      </c>
      <c r="M1769" s="2" t="s">
        <v>26</v>
      </c>
      <c r="N1769" s="11" t="s">
        <v>576</v>
      </c>
      <c r="O1769" s="12" t="s">
        <v>53</v>
      </c>
      <c r="P1769" s="5" t="str">
        <f>IFERROR(__xludf.DUMMYFUNCTION("TEXTJOIN("" | "",TRUE,IF(OR(D1769="""",E1769="""",I1769="""",J1769="""",H1769=""""),""ফাঁকা ঘর"",""""),IF(AND(C1769&lt;&gt;"""",D1769&lt;&gt;"""",C1769=D1769),""gloss=figurative"",""""),IF(LEN(D1769)&lt;15,""figurative ছোট"",""""),IF(AND(I1769=""Positive"",REGEXMATCH(H1"&amp;"769,""মূর্খ|ভণ্ড|প্রতার|অলস|লোভ|স্বার্থ|অক্ষম|অযোগ্য|বোকা|কৃপণ|হিংস"")),""valence-target অমিল"",""""),IF(COUNTIF($B:$B,B1769)&gt;1,""ডুপ্লিকেট"",""""))"),"figurative ছোট")</f>
        <v>figurative ছোট</v>
      </c>
      <c r="Q1769" s="5" t="str">
        <f t="shared" si="1"/>
        <v>১ আগে দেখো</v>
      </c>
    </row>
    <row r="1770">
      <c r="A1770" s="4">
        <v>7396.0</v>
      </c>
      <c r="B1770" s="2" t="s">
        <v>7011</v>
      </c>
      <c r="C1770" s="2" t="s">
        <v>7012</v>
      </c>
      <c r="D1770" s="2" t="s">
        <v>1194</v>
      </c>
      <c r="E1770" s="2" t="s">
        <v>7013</v>
      </c>
      <c r="F1770" s="2" t="b">
        <v>1</v>
      </c>
      <c r="G1770" s="2" t="b">
        <v>0</v>
      </c>
      <c r="H1770" s="2" t="s">
        <v>37</v>
      </c>
      <c r="I1770" s="2" t="s">
        <v>32</v>
      </c>
      <c r="J1770" s="2" t="s">
        <v>1194</v>
      </c>
      <c r="K1770" s="2" t="s">
        <v>495</v>
      </c>
      <c r="L1770" s="13" t="s">
        <v>496</v>
      </c>
      <c r="M1770" s="2" t="s">
        <v>26</v>
      </c>
      <c r="N1770" s="11" t="s">
        <v>576</v>
      </c>
      <c r="O1770" s="12" t="s">
        <v>53</v>
      </c>
      <c r="P1770" s="5" t="str">
        <f>IFERROR(__xludf.DUMMYFUNCTION("TEXTJOIN("" | "",TRUE,IF(OR(D1770="""",E1770="""",I1770="""",J1770="""",H1770=""""),""ফাঁকা ঘর"",""""),IF(AND(C1770&lt;&gt;"""",D1770&lt;&gt;"""",C1770=D1770),""gloss=figurative"",""""),IF(LEN(D1770)&lt;15,""figurative ছোট"",""""),IF(AND(I1770=""Positive"",REGEXMATCH(H1"&amp;"770,""মূর্খ|ভণ্ড|প্রতার|অলস|লোভ|স্বার্থ|অক্ষম|অযোগ্য|বোকা|কৃপণ|হিংস"")),""valence-target অমিল"",""""),IF(COUNTIF($B:$B,B1770)&gt;1,""ডুপ্লিকেট"",""""))"),"figurative ছোট")</f>
        <v>figurative ছোট</v>
      </c>
      <c r="Q1770" s="5" t="str">
        <f t="shared" si="1"/>
        <v>১ আগে দেখো</v>
      </c>
    </row>
    <row r="1771">
      <c r="A1771" s="4">
        <v>7397.0</v>
      </c>
      <c r="B1771" s="2" t="s">
        <v>7014</v>
      </c>
      <c r="C1771" s="2" t="s">
        <v>7015</v>
      </c>
      <c r="D1771" s="2" t="s">
        <v>3966</v>
      </c>
      <c r="E1771" s="2" t="s">
        <v>7016</v>
      </c>
      <c r="F1771" s="2" t="b">
        <v>1</v>
      </c>
      <c r="G1771" s="2" t="b">
        <v>0</v>
      </c>
      <c r="H1771" s="2" t="s">
        <v>37</v>
      </c>
      <c r="I1771" s="2" t="s">
        <v>22</v>
      </c>
      <c r="J1771" s="2" t="s">
        <v>3966</v>
      </c>
      <c r="K1771" s="2" t="s">
        <v>495</v>
      </c>
      <c r="L1771" s="13" t="s">
        <v>496</v>
      </c>
      <c r="M1771" s="2" t="s">
        <v>26</v>
      </c>
      <c r="N1771" s="11" t="s">
        <v>576</v>
      </c>
      <c r="O1771" s="12" t="s">
        <v>53</v>
      </c>
      <c r="P1771" s="5" t="str">
        <f>IFERROR(__xludf.DUMMYFUNCTION("TEXTJOIN("" | "",TRUE,IF(OR(D1771="""",E1771="""",I1771="""",J1771="""",H1771=""""),""ফাঁকা ঘর"",""""),IF(AND(C1771&lt;&gt;"""",D1771&lt;&gt;"""",C1771=D1771),""gloss=figurative"",""""),IF(LEN(D1771)&lt;15,""figurative ছোট"",""""),IF(AND(I1771=""Positive"",REGEXMATCH(H1"&amp;"771,""মূর্খ|ভণ্ড|প্রতার|অলস|লোভ|স্বার্থ|অক্ষম|অযোগ্য|বোকা|কৃপণ|হিংস"")),""valence-target অমিল"",""""),IF(COUNTIF($B:$B,B1771)&gt;1,""ডুপ্লিকেট"",""""))"),"figurative ছোট")</f>
        <v>figurative ছোট</v>
      </c>
      <c r="Q1771" s="5" t="str">
        <f t="shared" si="1"/>
        <v>১ আগে দেখো</v>
      </c>
    </row>
    <row r="1772">
      <c r="A1772" s="4">
        <v>7398.0</v>
      </c>
      <c r="B1772" s="2" t="s">
        <v>7017</v>
      </c>
      <c r="C1772" s="2" t="s">
        <v>7018</v>
      </c>
      <c r="D1772" s="2" t="s">
        <v>7019</v>
      </c>
      <c r="E1772" s="2" t="s">
        <v>7020</v>
      </c>
      <c r="F1772" s="2" t="b">
        <v>1</v>
      </c>
      <c r="G1772" s="2" t="b">
        <v>0</v>
      </c>
      <c r="H1772" s="2" t="s">
        <v>37</v>
      </c>
      <c r="I1772" s="2" t="s">
        <v>49</v>
      </c>
      <c r="J1772" s="2" t="s">
        <v>7021</v>
      </c>
      <c r="K1772" s="2" t="s">
        <v>495</v>
      </c>
      <c r="L1772" s="13" t="s">
        <v>496</v>
      </c>
      <c r="M1772" s="2" t="s">
        <v>26</v>
      </c>
      <c r="N1772" s="11" t="s">
        <v>576</v>
      </c>
      <c r="O1772" s="12" t="s">
        <v>53</v>
      </c>
      <c r="P1772" s="5" t="str">
        <f>IFERROR(__xludf.DUMMYFUNCTION("TEXTJOIN("" | "",TRUE,IF(OR(D1772="""",E1772="""",I1772="""",J1772="""",H1772=""""),""ফাঁকা ঘর"",""""),IF(AND(C1772&lt;&gt;"""",D1772&lt;&gt;"""",C1772=D1772),""gloss=figurative"",""""),IF(LEN(D1772)&lt;15,""figurative ছোট"",""""),IF(AND(I1772=""Positive"",REGEXMATCH(H1"&amp;"772,""মূর্খ|ভণ্ড|প্রতার|অলস|লোভ|স্বার্থ|অক্ষম|অযোগ্য|বোকা|কৃপণ|হিংস"")),""valence-target অমিল"",""""),IF(COUNTIF($B:$B,B1772)&gt;1,""ডুপ্লিকেট"",""""))"),"figurative ছোট")</f>
        <v>figurative ছোট</v>
      </c>
      <c r="Q1772" s="5" t="str">
        <f t="shared" si="1"/>
        <v>১ আগে দেখো</v>
      </c>
    </row>
    <row r="1773">
      <c r="A1773" s="4">
        <v>7399.0</v>
      </c>
      <c r="B1773" s="2" t="s">
        <v>7022</v>
      </c>
      <c r="C1773" s="2" t="s">
        <v>7022</v>
      </c>
      <c r="D1773" s="2" t="s">
        <v>1363</v>
      </c>
      <c r="E1773" s="2" t="s">
        <v>7023</v>
      </c>
      <c r="F1773" s="2" t="b">
        <v>1</v>
      </c>
      <c r="G1773" s="2" t="b">
        <v>1</v>
      </c>
      <c r="H1773" s="2" t="s">
        <v>1106</v>
      </c>
      <c r="I1773" s="2" t="s">
        <v>32</v>
      </c>
      <c r="J1773" s="2" t="s">
        <v>1363</v>
      </c>
      <c r="K1773" s="2" t="s">
        <v>495</v>
      </c>
      <c r="L1773" s="13" t="s">
        <v>496</v>
      </c>
      <c r="M1773" s="2" t="s">
        <v>26</v>
      </c>
      <c r="N1773" s="11" t="s">
        <v>576</v>
      </c>
      <c r="O1773" s="12" t="s">
        <v>53</v>
      </c>
      <c r="P1773" s="5" t="str">
        <f>IFERROR(__xludf.DUMMYFUNCTION("TEXTJOIN("" | "",TRUE,IF(OR(D1773="""",E1773="""",I1773="""",J1773="""",H1773=""""),""ফাঁকা ঘর"",""""),IF(AND(C1773&lt;&gt;"""",D1773&lt;&gt;"""",C1773=D1773),""gloss=figurative"",""""),IF(LEN(D1773)&lt;15,""figurative ছোট"",""""),IF(AND(I1773=""Positive"",REGEXMATCH(H1"&amp;"773,""মূর্খ|ভণ্ড|প্রতার|অলস|লোভ|স্বার্থ|অক্ষম|অযোগ্য|বোকা|কৃপণ|হিংস"")),""valence-target অমিল"",""""),IF(COUNTIF($B:$B,B1773)&gt;1,""ডুপ্লিকেট"",""""))"),"figurative ছোট")</f>
        <v>figurative ছোট</v>
      </c>
      <c r="Q1773" s="5" t="str">
        <f t="shared" si="1"/>
        <v>১ আগে দেখো</v>
      </c>
    </row>
    <row r="1774">
      <c r="A1774" s="4">
        <v>7401.0</v>
      </c>
      <c r="B1774" s="2" t="s">
        <v>7024</v>
      </c>
      <c r="C1774" s="2" t="s">
        <v>7025</v>
      </c>
      <c r="D1774" s="2" t="s">
        <v>1775</v>
      </c>
      <c r="E1774" s="2" t="s">
        <v>7026</v>
      </c>
      <c r="F1774" s="2" t="b">
        <v>1</v>
      </c>
      <c r="G1774" s="2" t="b">
        <v>0</v>
      </c>
      <c r="H1774" s="2" t="s">
        <v>37</v>
      </c>
      <c r="I1774" s="2" t="s">
        <v>32</v>
      </c>
      <c r="J1774" s="2" t="s">
        <v>1775</v>
      </c>
      <c r="K1774" s="2" t="s">
        <v>495</v>
      </c>
      <c r="L1774" s="13" t="s">
        <v>496</v>
      </c>
      <c r="M1774" s="2" t="s">
        <v>26</v>
      </c>
      <c r="N1774" s="11" t="s">
        <v>576</v>
      </c>
      <c r="O1774" s="12" t="s">
        <v>53</v>
      </c>
      <c r="P1774" s="5" t="str">
        <f>IFERROR(__xludf.DUMMYFUNCTION("TEXTJOIN("" | "",TRUE,IF(OR(D1774="""",E1774="""",I1774="""",J1774="""",H1774=""""),""ফাঁকা ঘর"",""""),IF(AND(C1774&lt;&gt;"""",D1774&lt;&gt;"""",C1774=D1774),""gloss=figurative"",""""),IF(LEN(D1774)&lt;15,""figurative ছোট"",""""),IF(AND(I1774=""Positive"",REGEXMATCH(H1"&amp;"774,""মূর্খ|ভণ্ড|প্রতার|অলস|লোভ|স্বার্থ|অক্ষম|অযোগ্য|বোকা|কৃপণ|হিংস"")),""valence-target অমিল"",""""),IF(COUNTIF($B:$B,B1774)&gt;1,""ডুপ্লিকেট"",""""))"),"figurative ছোট")</f>
        <v>figurative ছোট</v>
      </c>
      <c r="Q1774" s="5" t="str">
        <f t="shared" si="1"/>
        <v>১ আগে দেখো</v>
      </c>
    </row>
    <row r="1775">
      <c r="A1775" s="4">
        <v>7402.0</v>
      </c>
      <c r="B1775" s="2" t="s">
        <v>7027</v>
      </c>
      <c r="C1775" s="2" t="s">
        <v>7028</v>
      </c>
      <c r="D1775" s="2" t="s">
        <v>7029</v>
      </c>
      <c r="E1775" s="2" t="s">
        <v>7030</v>
      </c>
      <c r="F1775" s="2" t="b">
        <v>1</v>
      </c>
      <c r="G1775" s="2" t="b">
        <v>0</v>
      </c>
      <c r="H1775" s="2" t="s">
        <v>37</v>
      </c>
      <c r="I1775" s="2" t="s">
        <v>22</v>
      </c>
      <c r="J1775" s="2" t="s">
        <v>729</v>
      </c>
      <c r="K1775" s="2" t="s">
        <v>495</v>
      </c>
      <c r="L1775" s="13" t="s">
        <v>496</v>
      </c>
      <c r="M1775" s="2" t="s">
        <v>26</v>
      </c>
      <c r="N1775" s="11" t="s">
        <v>576</v>
      </c>
      <c r="O1775" s="12" t="s">
        <v>53</v>
      </c>
      <c r="P1775" s="5" t="str">
        <f>IFERROR(__xludf.DUMMYFUNCTION("TEXTJOIN("" | "",TRUE,IF(OR(D1775="""",E1775="""",I1775="""",J1775="""",H1775=""""),""ফাঁকা ঘর"",""""),IF(AND(C1775&lt;&gt;"""",D1775&lt;&gt;"""",C1775=D1775),""gloss=figurative"",""""),IF(LEN(D1775)&lt;15,""figurative ছোট"",""""),IF(AND(I1775=""Positive"",REGEXMATCH(H1"&amp;"775,""মূর্খ|ভণ্ড|প্রতার|অলস|লোভ|স্বার্থ|অক্ষম|অযোগ্য|বোকা|কৃপণ|হিংস"")),""valence-target অমিল"",""""),IF(COUNTIF($B:$B,B1775)&gt;1,""ডুপ্লিকেট"",""""))"),"figurative ছোট")</f>
        <v>figurative ছোট</v>
      </c>
      <c r="Q1775" s="5" t="str">
        <f t="shared" si="1"/>
        <v>১ আগে দেখো</v>
      </c>
    </row>
    <row r="1776">
      <c r="A1776" s="4">
        <v>7403.0</v>
      </c>
      <c r="B1776" s="2" t="s">
        <v>7031</v>
      </c>
      <c r="C1776" s="2" t="s">
        <v>7032</v>
      </c>
      <c r="D1776" s="2" t="s">
        <v>7033</v>
      </c>
      <c r="E1776" s="2" t="s">
        <v>7034</v>
      </c>
      <c r="F1776" s="2" t="b">
        <v>1</v>
      </c>
      <c r="G1776" s="2" t="b">
        <v>0</v>
      </c>
      <c r="H1776" s="2" t="s">
        <v>37</v>
      </c>
      <c r="I1776" s="2" t="s">
        <v>49</v>
      </c>
      <c r="J1776" s="2" t="s">
        <v>300</v>
      </c>
      <c r="K1776" s="2" t="s">
        <v>495</v>
      </c>
      <c r="L1776" s="13" t="s">
        <v>496</v>
      </c>
      <c r="M1776" s="2" t="s">
        <v>26</v>
      </c>
      <c r="N1776" s="11" t="s">
        <v>576</v>
      </c>
      <c r="O1776" s="12" t="s">
        <v>53</v>
      </c>
      <c r="P1776" s="5" t="str">
        <f>IFERROR(__xludf.DUMMYFUNCTION("TEXTJOIN("" | "",TRUE,IF(OR(D1776="""",E1776="""",I1776="""",J1776="""",H1776=""""),""ফাঁকা ঘর"",""""),IF(AND(C1776&lt;&gt;"""",D1776&lt;&gt;"""",C1776=D1776),""gloss=figurative"",""""),IF(LEN(D1776)&lt;15,""figurative ছোট"",""""),IF(AND(I1776=""Positive"",REGEXMATCH(H1"&amp;"776,""মূর্খ|ভণ্ড|প্রতার|অলস|লোভ|স্বার্থ|অক্ষম|অযোগ্য|বোকা|কৃপণ|হিংস"")),""valence-target অমিল"",""""),IF(COUNTIF($B:$B,B1776)&gt;1,""ডুপ্লিকেট"",""""))"),"figurative ছোট")</f>
        <v>figurative ছোট</v>
      </c>
      <c r="Q1776" s="5" t="str">
        <f t="shared" si="1"/>
        <v>১ আগে দেখো</v>
      </c>
    </row>
    <row r="1777">
      <c r="A1777" s="4">
        <v>7404.0</v>
      </c>
      <c r="B1777" s="2" t="s">
        <v>7035</v>
      </c>
      <c r="C1777" s="2" t="s">
        <v>7036</v>
      </c>
      <c r="D1777" s="2" t="s">
        <v>1443</v>
      </c>
      <c r="E1777" s="2" t="s">
        <v>7037</v>
      </c>
      <c r="F1777" s="2" t="b">
        <v>1</v>
      </c>
      <c r="G1777" s="2" t="b">
        <v>0</v>
      </c>
      <c r="H1777" s="2" t="s">
        <v>37</v>
      </c>
      <c r="I1777" s="2" t="s">
        <v>49</v>
      </c>
      <c r="J1777" s="2" t="s">
        <v>7033</v>
      </c>
      <c r="K1777" s="2" t="s">
        <v>495</v>
      </c>
      <c r="L1777" s="13" t="s">
        <v>496</v>
      </c>
      <c r="M1777" s="2" t="s">
        <v>26</v>
      </c>
      <c r="N1777" s="11" t="s">
        <v>576</v>
      </c>
      <c r="O1777" s="12" t="s">
        <v>53</v>
      </c>
      <c r="P1777" s="5" t="str">
        <f>IFERROR(__xludf.DUMMYFUNCTION("TEXTJOIN("" | "",TRUE,IF(OR(D1777="""",E1777="""",I1777="""",J1777="""",H1777=""""),""ফাঁকা ঘর"",""""),IF(AND(C1777&lt;&gt;"""",D1777&lt;&gt;"""",C1777=D1777),""gloss=figurative"",""""),IF(LEN(D1777)&lt;15,""figurative ছোট"",""""),IF(AND(I1777=""Positive"",REGEXMATCH(H1"&amp;"777,""মূর্খ|ভণ্ড|প্রতার|অলস|লোভ|স্বার্থ|অক্ষম|অযোগ্য|বোকা|কৃপণ|হিংস"")),""valence-target অমিল"",""""),IF(COUNTIF($B:$B,B1777)&gt;1,""ডুপ্লিকেট"",""""))"),"figurative ছোট")</f>
        <v>figurative ছোট</v>
      </c>
      <c r="Q1777" s="5" t="str">
        <f t="shared" si="1"/>
        <v>১ আগে দেখো</v>
      </c>
    </row>
    <row r="1778">
      <c r="A1778" s="4">
        <v>7405.0</v>
      </c>
      <c r="B1778" s="2" t="s">
        <v>7038</v>
      </c>
      <c r="C1778" s="2" t="s">
        <v>7038</v>
      </c>
      <c r="D1778" s="2" t="s">
        <v>7039</v>
      </c>
      <c r="E1778" s="2" t="s">
        <v>7040</v>
      </c>
      <c r="F1778" s="2" t="b">
        <v>1</v>
      </c>
      <c r="G1778" s="2" t="b">
        <v>0</v>
      </c>
      <c r="H1778" s="2" t="s">
        <v>37</v>
      </c>
      <c r="I1778" s="2" t="s">
        <v>22</v>
      </c>
      <c r="J1778" s="2" t="s">
        <v>2611</v>
      </c>
      <c r="K1778" s="2" t="s">
        <v>495</v>
      </c>
      <c r="L1778" s="13" t="s">
        <v>496</v>
      </c>
      <c r="M1778" s="2" t="s">
        <v>26</v>
      </c>
      <c r="N1778" s="11" t="s">
        <v>576</v>
      </c>
      <c r="O1778" s="12" t="s">
        <v>53</v>
      </c>
      <c r="P1778" s="5" t="str">
        <f>IFERROR(__xludf.DUMMYFUNCTION("TEXTJOIN("" | "",TRUE,IF(OR(D1778="""",E1778="""",I1778="""",J1778="""",H1778=""""),""ফাঁকা ঘর"",""""),IF(AND(C1778&lt;&gt;"""",D1778&lt;&gt;"""",C1778=D1778),""gloss=figurative"",""""),IF(LEN(D1778)&lt;15,""figurative ছোট"",""""),IF(AND(I1778=""Positive"",REGEXMATCH(H1"&amp;"778,""মূর্খ|ভণ্ড|প্রতার|অলস|লোভ|স্বার্থ|অক্ষম|অযোগ্য|বোকা|কৃপণ|হিংস"")),""valence-target অমিল"",""""),IF(COUNTIF($B:$B,B1778)&gt;1,""ডুপ্লিকেট"",""""))"),"figurative ছোট")</f>
        <v>figurative ছোট</v>
      </c>
      <c r="Q1778" s="5" t="str">
        <f t="shared" si="1"/>
        <v>১ আগে দেখো</v>
      </c>
    </row>
    <row r="1779">
      <c r="A1779" s="4">
        <v>7406.0</v>
      </c>
      <c r="B1779" s="2" t="s">
        <v>7041</v>
      </c>
      <c r="C1779" s="2" t="s">
        <v>7042</v>
      </c>
      <c r="D1779" s="2" t="s">
        <v>447</v>
      </c>
      <c r="E1779" s="2" t="s">
        <v>7043</v>
      </c>
      <c r="F1779" s="2" t="b">
        <v>1</v>
      </c>
      <c r="G1779" s="2" t="b">
        <v>0</v>
      </c>
      <c r="H1779" s="2" t="s">
        <v>37</v>
      </c>
      <c r="I1779" s="2" t="s">
        <v>49</v>
      </c>
      <c r="J1779" s="2" t="s">
        <v>447</v>
      </c>
      <c r="K1779" s="2" t="s">
        <v>495</v>
      </c>
      <c r="L1779" s="13" t="s">
        <v>496</v>
      </c>
      <c r="M1779" s="2" t="s">
        <v>26</v>
      </c>
      <c r="N1779" s="11" t="s">
        <v>576</v>
      </c>
      <c r="O1779" s="12" t="s">
        <v>53</v>
      </c>
      <c r="P1779" s="5" t="str">
        <f>IFERROR(__xludf.DUMMYFUNCTION("TEXTJOIN("" | "",TRUE,IF(OR(D1779="""",E1779="""",I1779="""",J1779="""",H1779=""""),""ফাঁকা ঘর"",""""),IF(AND(C1779&lt;&gt;"""",D1779&lt;&gt;"""",C1779=D1779),""gloss=figurative"",""""),IF(LEN(D1779)&lt;15,""figurative ছোট"",""""),IF(AND(I1779=""Positive"",REGEXMATCH(H1"&amp;"779,""মূর্খ|ভণ্ড|প্রতার|অলস|লোভ|স্বার্থ|অক্ষম|অযোগ্য|বোকা|কৃপণ|হিংস"")),""valence-target অমিল"",""""),IF(COUNTIF($B:$B,B1779)&gt;1,""ডুপ্লিকেট"",""""))"),"figurative ছোট")</f>
        <v>figurative ছোট</v>
      </c>
      <c r="Q1779" s="5" t="str">
        <f t="shared" si="1"/>
        <v>১ আগে দেখো</v>
      </c>
    </row>
    <row r="1780">
      <c r="A1780" s="4">
        <v>7407.0</v>
      </c>
      <c r="B1780" s="2" t="s">
        <v>7044</v>
      </c>
      <c r="C1780" s="2" t="s">
        <v>7045</v>
      </c>
      <c r="D1780" s="2" t="s">
        <v>7046</v>
      </c>
      <c r="E1780" s="2" t="s">
        <v>7047</v>
      </c>
      <c r="F1780" s="2" t="b">
        <v>1</v>
      </c>
      <c r="G1780" s="2" t="b">
        <v>0</v>
      </c>
      <c r="H1780" s="2" t="s">
        <v>37</v>
      </c>
      <c r="I1780" s="2" t="s">
        <v>49</v>
      </c>
      <c r="J1780" s="2" t="s">
        <v>762</v>
      </c>
      <c r="K1780" s="2" t="s">
        <v>495</v>
      </c>
      <c r="L1780" s="13" t="s">
        <v>496</v>
      </c>
      <c r="M1780" s="2" t="s">
        <v>26</v>
      </c>
      <c r="N1780" s="11" t="s">
        <v>576</v>
      </c>
      <c r="O1780" s="12" t="s">
        <v>53</v>
      </c>
      <c r="P1780" s="5" t="str">
        <f>IFERROR(__xludf.DUMMYFUNCTION("TEXTJOIN("" | "",TRUE,IF(OR(D1780="""",E1780="""",I1780="""",J1780="""",H1780=""""),""ফাঁকা ঘর"",""""),IF(AND(C1780&lt;&gt;"""",D1780&lt;&gt;"""",C1780=D1780),""gloss=figurative"",""""),IF(LEN(D1780)&lt;15,""figurative ছোট"",""""),IF(AND(I1780=""Positive"",REGEXMATCH(H1"&amp;"780,""মূর্খ|ভণ্ড|প্রতার|অলস|লোভ|স্বার্থ|অক্ষম|অযোগ্য|বোকা|কৃপণ|হিংস"")),""valence-target অমিল"",""""),IF(COUNTIF($B:$B,B1780)&gt;1,""ডুপ্লিকেট"",""""))"),"figurative ছোট")</f>
        <v>figurative ছোট</v>
      </c>
      <c r="Q1780" s="5" t="str">
        <f t="shared" si="1"/>
        <v>১ আগে দেখো</v>
      </c>
    </row>
    <row r="1781">
      <c r="A1781" s="4">
        <v>7408.0</v>
      </c>
      <c r="B1781" s="2" t="s">
        <v>7048</v>
      </c>
      <c r="C1781" s="2" t="s">
        <v>7049</v>
      </c>
      <c r="D1781" s="2" t="s">
        <v>3032</v>
      </c>
      <c r="E1781" s="2" t="s">
        <v>7050</v>
      </c>
      <c r="F1781" s="2" t="b">
        <v>1</v>
      </c>
      <c r="G1781" s="2" t="b">
        <v>0</v>
      </c>
      <c r="H1781" s="2" t="s">
        <v>37</v>
      </c>
      <c r="I1781" s="2" t="s">
        <v>22</v>
      </c>
      <c r="J1781" s="2" t="s">
        <v>3032</v>
      </c>
      <c r="K1781" s="2" t="s">
        <v>495</v>
      </c>
      <c r="L1781" s="13" t="s">
        <v>496</v>
      </c>
      <c r="M1781" s="2" t="s">
        <v>26</v>
      </c>
      <c r="N1781" s="11" t="s">
        <v>576</v>
      </c>
      <c r="O1781" s="12" t="s">
        <v>53</v>
      </c>
      <c r="P1781" s="5" t="str">
        <f>IFERROR(__xludf.DUMMYFUNCTION("TEXTJOIN("" | "",TRUE,IF(OR(D1781="""",E1781="""",I1781="""",J1781="""",H1781=""""),""ফাঁকা ঘর"",""""),IF(AND(C1781&lt;&gt;"""",D1781&lt;&gt;"""",C1781=D1781),""gloss=figurative"",""""),IF(LEN(D1781)&lt;15,""figurative ছোট"",""""),IF(AND(I1781=""Positive"",REGEXMATCH(H1"&amp;"781,""মূর্খ|ভণ্ড|প্রতার|অলস|লোভ|স্বার্থ|অক্ষম|অযোগ্য|বোকা|কৃপণ|হিংস"")),""valence-target অমিল"",""""),IF(COUNTIF($B:$B,B1781)&gt;1,""ডুপ্লিকেট"",""""))"),"figurative ছোট")</f>
        <v>figurative ছোট</v>
      </c>
      <c r="Q1781" s="5" t="str">
        <f t="shared" si="1"/>
        <v>১ আগে দেখো</v>
      </c>
    </row>
    <row r="1782">
      <c r="A1782" s="4">
        <v>7409.0</v>
      </c>
      <c r="B1782" s="2" t="s">
        <v>7051</v>
      </c>
      <c r="C1782" s="2" t="s">
        <v>7052</v>
      </c>
      <c r="D1782" s="2" t="s">
        <v>300</v>
      </c>
      <c r="E1782" s="2" t="s">
        <v>7053</v>
      </c>
      <c r="F1782" s="2" t="b">
        <v>1</v>
      </c>
      <c r="G1782" s="2" t="b">
        <v>0</v>
      </c>
      <c r="H1782" s="2" t="s">
        <v>37</v>
      </c>
      <c r="I1782" s="2" t="s">
        <v>49</v>
      </c>
      <c r="J1782" s="2" t="s">
        <v>300</v>
      </c>
      <c r="K1782" s="2" t="s">
        <v>495</v>
      </c>
      <c r="L1782" s="13" t="s">
        <v>496</v>
      </c>
      <c r="M1782" s="2" t="s">
        <v>26</v>
      </c>
      <c r="N1782" s="11" t="s">
        <v>576</v>
      </c>
      <c r="O1782" s="12" t="s">
        <v>53</v>
      </c>
      <c r="P1782" s="5" t="str">
        <f>IFERROR(__xludf.DUMMYFUNCTION("TEXTJOIN("" | "",TRUE,IF(OR(D1782="""",E1782="""",I1782="""",J1782="""",H1782=""""),""ফাঁকা ঘর"",""""),IF(AND(C1782&lt;&gt;"""",D1782&lt;&gt;"""",C1782=D1782),""gloss=figurative"",""""),IF(LEN(D1782)&lt;15,""figurative ছোট"",""""),IF(AND(I1782=""Positive"",REGEXMATCH(H1"&amp;"782,""মূর্খ|ভণ্ড|প্রতার|অলস|লোভ|স্বার্থ|অক্ষম|অযোগ্য|বোকা|কৃপণ|হিংস"")),""valence-target অমিল"",""""),IF(COUNTIF($B:$B,B1782)&gt;1,""ডুপ্লিকেট"",""""))"),"figurative ছোট")</f>
        <v>figurative ছোট</v>
      </c>
      <c r="Q1782" s="5" t="str">
        <f t="shared" si="1"/>
        <v>১ আগে দেখো</v>
      </c>
    </row>
    <row r="1783">
      <c r="A1783" s="4">
        <v>7410.0</v>
      </c>
      <c r="B1783" s="2" t="s">
        <v>7054</v>
      </c>
      <c r="C1783" s="2" t="s">
        <v>7055</v>
      </c>
      <c r="D1783" s="2" t="s">
        <v>7056</v>
      </c>
      <c r="E1783" s="2" t="s">
        <v>7057</v>
      </c>
      <c r="F1783" s="2" t="b">
        <v>1</v>
      </c>
      <c r="G1783" s="2" t="b">
        <v>0</v>
      </c>
      <c r="H1783" s="2" t="s">
        <v>37</v>
      </c>
      <c r="I1783" s="2" t="s">
        <v>22</v>
      </c>
      <c r="J1783" s="2" t="s">
        <v>830</v>
      </c>
      <c r="K1783" s="2" t="s">
        <v>495</v>
      </c>
      <c r="L1783" s="13" t="s">
        <v>496</v>
      </c>
      <c r="M1783" s="2" t="s">
        <v>26</v>
      </c>
      <c r="N1783" s="11" t="s">
        <v>576</v>
      </c>
      <c r="O1783" s="12" t="s">
        <v>53</v>
      </c>
      <c r="P1783" s="5" t="str">
        <f>IFERROR(__xludf.DUMMYFUNCTION("TEXTJOIN("" | "",TRUE,IF(OR(D1783="""",E1783="""",I1783="""",J1783="""",H1783=""""),""ফাঁকা ঘর"",""""),IF(AND(C1783&lt;&gt;"""",D1783&lt;&gt;"""",C1783=D1783),""gloss=figurative"",""""),IF(LEN(D1783)&lt;15,""figurative ছোট"",""""),IF(AND(I1783=""Positive"",REGEXMATCH(H1"&amp;"783,""মূর্খ|ভণ্ড|প্রতার|অলস|লোভ|স্বার্থ|অক্ষম|অযোগ্য|বোকা|কৃপণ|হিংস"")),""valence-target অমিল"",""""),IF(COUNTIF($B:$B,B1783)&gt;1,""ডুপ্লিকেট"",""""))"),"figurative ছোট")</f>
        <v>figurative ছোট</v>
      </c>
      <c r="Q1783" s="5" t="str">
        <f t="shared" si="1"/>
        <v>১ আগে দেখো</v>
      </c>
    </row>
    <row r="1784">
      <c r="A1784" s="4">
        <v>7411.0</v>
      </c>
      <c r="B1784" s="2" t="s">
        <v>7058</v>
      </c>
      <c r="C1784" s="2" t="s">
        <v>7059</v>
      </c>
      <c r="D1784" s="2" t="s">
        <v>2206</v>
      </c>
      <c r="E1784" s="2" t="s">
        <v>7060</v>
      </c>
      <c r="F1784" s="2" t="b">
        <v>1</v>
      </c>
      <c r="G1784" s="2" t="b">
        <v>0</v>
      </c>
      <c r="H1784" s="2" t="s">
        <v>37</v>
      </c>
      <c r="I1784" s="2" t="s">
        <v>49</v>
      </c>
      <c r="J1784" s="2" t="s">
        <v>2206</v>
      </c>
      <c r="K1784" s="2" t="s">
        <v>495</v>
      </c>
      <c r="L1784" s="13" t="s">
        <v>496</v>
      </c>
      <c r="M1784" s="2" t="s">
        <v>26</v>
      </c>
      <c r="N1784" s="11" t="s">
        <v>576</v>
      </c>
      <c r="O1784" s="12" t="s">
        <v>53</v>
      </c>
      <c r="P1784" s="5" t="str">
        <f>IFERROR(__xludf.DUMMYFUNCTION("TEXTJOIN("" | "",TRUE,IF(OR(D1784="""",E1784="""",I1784="""",J1784="""",H1784=""""),""ফাঁকা ঘর"",""""),IF(AND(C1784&lt;&gt;"""",D1784&lt;&gt;"""",C1784=D1784),""gloss=figurative"",""""),IF(LEN(D1784)&lt;15,""figurative ছোট"",""""),IF(AND(I1784=""Positive"",REGEXMATCH(H1"&amp;"784,""মূর্খ|ভণ্ড|প্রতার|অলস|লোভ|স্বার্থ|অক্ষম|অযোগ্য|বোকা|কৃপণ|হিংস"")),""valence-target অমিল"",""""),IF(COUNTIF($B:$B,B1784)&gt;1,""ডুপ্লিকেট"",""""))"),"figurative ছোট")</f>
        <v>figurative ছোট</v>
      </c>
      <c r="Q1784" s="5" t="str">
        <f t="shared" si="1"/>
        <v>১ আগে দেখো</v>
      </c>
    </row>
    <row r="1785">
      <c r="A1785" s="4">
        <v>7412.0</v>
      </c>
      <c r="B1785" s="2" t="s">
        <v>7061</v>
      </c>
      <c r="C1785" s="2" t="s">
        <v>7061</v>
      </c>
      <c r="D1785" s="2" t="s">
        <v>7062</v>
      </c>
      <c r="E1785" s="2" t="s">
        <v>7063</v>
      </c>
      <c r="F1785" s="2" t="b">
        <v>1</v>
      </c>
      <c r="G1785" s="2" t="b">
        <v>0</v>
      </c>
      <c r="H1785" s="2" t="s">
        <v>37</v>
      </c>
      <c r="I1785" s="2" t="s">
        <v>32</v>
      </c>
      <c r="J1785" s="2" t="s">
        <v>1621</v>
      </c>
      <c r="K1785" s="2" t="s">
        <v>495</v>
      </c>
      <c r="L1785" s="13" t="s">
        <v>496</v>
      </c>
      <c r="M1785" s="2" t="s">
        <v>26</v>
      </c>
      <c r="N1785" s="11" t="s">
        <v>576</v>
      </c>
      <c r="O1785" s="12" t="s">
        <v>53</v>
      </c>
      <c r="P1785" s="5" t="str">
        <f>IFERROR(__xludf.DUMMYFUNCTION("TEXTJOIN("" | "",TRUE,IF(OR(D1785="""",E1785="""",I1785="""",J1785="""",H1785=""""),""ফাঁকা ঘর"",""""),IF(AND(C1785&lt;&gt;"""",D1785&lt;&gt;"""",C1785=D1785),""gloss=figurative"",""""),IF(LEN(D1785)&lt;15,""figurative ছোট"",""""),IF(AND(I1785=""Positive"",REGEXMATCH(H1"&amp;"785,""মূর্খ|ভণ্ড|প্রতার|অলস|লোভ|স্বার্থ|অক্ষম|অযোগ্য|বোকা|কৃপণ|হিংস"")),""valence-target অমিল"",""""),IF(COUNTIF($B:$B,B1785)&gt;1,""ডুপ্লিকেট"",""""))"),"figurative ছোট")</f>
        <v>figurative ছোট</v>
      </c>
      <c r="Q1785" s="5" t="str">
        <f t="shared" si="1"/>
        <v>১ আগে দেখো</v>
      </c>
    </row>
    <row r="1786">
      <c r="A1786" s="4">
        <v>7413.0</v>
      </c>
      <c r="B1786" s="2" t="s">
        <v>7064</v>
      </c>
      <c r="C1786" s="2" t="s">
        <v>7065</v>
      </c>
      <c r="D1786" s="2" t="s">
        <v>7066</v>
      </c>
      <c r="E1786" s="2" t="s">
        <v>7067</v>
      </c>
      <c r="F1786" s="2" t="b">
        <v>1</v>
      </c>
      <c r="G1786" s="2" t="b">
        <v>0</v>
      </c>
      <c r="H1786" s="2" t="s">
        <v>37</v>
      </c>
      <c r="I1786" s="2" t="s">
        <v>22</v>
      </c>
      <c r="J1786" s="2" t="s">
        <v>447</v>
      </c>
      <c r="K1786" s="2" t="s">
        <v>495</v>
      </c>
      <c r="L1786" s="13" t="s">
        <v>496</v>
      </c>
      <c r="M1786" s="2" t="s">
        <v>26</v>
      </c>
      <c r="N1786" s="11" t="s">
        <v>576</v>
      </c>
      <c r="O1786" s="12" t="s">
        <v>53</v>
      </c>
      <c r="P1786" s="5" t="str">
        <f>IFERROR(__xludf.DUMMYFUNCTION("TEXTJOIN("" | "",TRUE,IF(OR(D1786="""",E1786="""",I1786="""",J1786="""",H1786=""""),""ফাঁকা ঘর"",""""),IF(AND(C1786&lt;&gt;"""",D1786&lt;&gt;"""",C1786=D1786),""gloss=figurative"",""""),IF(LEN(D1786)&lt;15,""figurative ছোট"",""""),IF(AND(I1786=""Positive"",REGEXMATCH(H1"&amp;"786,""মূর্খ|ভণ্ড|প্রতার|অলস|লোভ|স্বার্থ|অক্ষম|অযোগ্য|বোকা|কৃপণ|হিংস"")),""valence-target অমিল"",""""),IF(COUNTIF($B:$B,B1786)&gt;1,""ডুপ্লিকেট"",""""))"),"figurative ছোট")</f>
        <v>figurative ছোট</v>
      </c>
      <c r="Q1786" s="5" t="str">
        <f t="shared" si="1"/>
        <v>১ আগে দেখো</v>
      </c>
    </row>
    <row r="1787">
      <c r="A1787" s="4">
        <v>7415.0</v>
      </c>
      <c r="B1787" s="2" t="s">
        <v>7068</v>
      </c>
      <c r="C1787" s="2" t="s">
        <v>7068</v>
      </c>
      <c r="D1787" s="2" t="s">
        <v>1397</v>
      </c>
      <c r="E1787" s="2" t="s">
        <v>7069</v>
      </c>
      <c r="F1787" s="2" t="b">
        <v>1</v>
      </c>
      <c r="G1787" s="2" t="b">
        <v>0</v>
      </c>
      <c r="H1787" s="2" t="s">
        <v>37</v>
      </c>
      <c r="I1787" s="2" t="s">
        <v>22</v>
      </c>
      <c r="J1787" s="2" t="s">
        <v>1397</v>
      </c>
      <c r="K1787" s="2" t="s">
        <v>495</v>
      </c>
      <c r="L1787" s="13" t="s">
        <v>496</v>
      </c>
      <c r="M1787" s="2" t="s">
        <v>26</v>
      </c>
      <c r="N1787" s="11" t="s">
        <v>576</v>
      </c>
      <c r="O1787" s="12" t="s">
        <v>53</v>
      </c>
      <c r="P1787" s="5" t="str">
        <f>IFERROR(__xludf.DUMMYFUNCTION("TEXTJOIN("" | "",TRUE,IF(OR(D1787="""",E1787="""",I1787="""",J1787="""",H1787=""""),""ফাঁকা ঘর"",""""),IF(AND(C1787&lt;&gt;"""",D1787&lt;&gt;"""",C1787=D1787),""gloss=figurative"",""""),IF(LEN(D1787)&lt;15,""figurative ছোট"",""""),IF(AND(I1787=""Positive"",REGEXMATCH(H1"&amp;"787,""মূর্খ|ভণ্ড|প্রতার|অলস|লোভ|স্বার্থ|অক্ষম|অযোগ্য|বোকা|কৃপণ|হিংস"")),""valence-target অমিল"",""""),IF(COUNTIF($B:$B,B1787)&gt;1,""ডুপ্লিকেট"",""""))"),"figurative ছোট")</f>
        <v>figurative ছোট</v>
      </c>
      <c r="Q1787" s="5" t="str">
        <f t="shared" si="1"/>
        <v>১ আগে দেখো</v>
      </c>
    </row>
    <row r="1788">
      <c r="A1788" s="4">
        <v>7416.0</v>
      </c>
      <c r="B1788" s="2" t="s">
        <v>7070</v>
      </c>
      <c r="C1788" s="2" t="s">
        <v>7070</v>
      </c>
      <c r="D1788" s="2" t="s">
        <v>5027</v>
      </c>
      <c r="E1788" s="2" t="s">
        <v>7071</v>
      </c>
      <c r="F1788" s="2" t="b">
        <v>1</v>
      </c>
      <c r="G1788" s="2" t="b">
        <v>0</v>
      </c>
      <c r="H1788" s="2" t="s">
        <v>37</v>
      </c>
      <c r="I1788" s="2" t="s">
        <v>22</v>
      </c>
      <c r="J1788" s="2" t="s">
        <v>665</v>
      </c>
      <c r="K1788" s="2" t="s">
        <v>495</v>
      </c>
      <c r="L1788" s="13" t="s">
        <v>496</v>
      </c>
      <c r="M1788" s="2" t="s">
        <v>26</v>
      </c>
      <c r="N1788" s="11" t="s">
        <v>576</v>
      </c>
      <c r="O1788" s="12" t="s">
        <v>53</v>
      </c>
      <c r="P1788" s="5" t="str">
        <f>IFERROR(__xludf.DUMMYFUNCTION("TEXTJOIN("" | "",TRUE,IF(OR(D1788="""",E1788="""",I1788="""",J1788="""",H1788=""""),""ফাঁকা ঘর"",""""),IF(AND(C1788&lt;&gt;"""",D1788&lt;&gt;"""",C1788=D1788),""gloss=figurative"",""""),IF(LEN(D1788)&lt;15,""figurative ছোট"",""""),IF(AND(I1788=""Positive"",REGEXMATCH(H1"&amp;"788,""মূর্খ|ভণ্ড|প্রতার|অলস|লোভ|স্বার্থ|অক্ষম|অযোগ্য|বোকা|কৃপণ|হিংস"")),""valence-target অমিল"",""""),IF(COUNTIF($B:$B,B1788)&gt;1,""ডুপ্লিকেট"",""""))"),"figurative ছোট")</f>
        <v>figurative ছোট</v>
      </c>
      <c r="Q1788" s="5" t="str">
        <f t="shared" si="1"/>
        <v>১ আগে দেখো</v>
      </c>
    </row>
    <row r="1789">
      <c r="A1789" s="4">
        <v>7417.0</v>
      </c>
      <c r="B1789" s="2" t="s">
        <v>7072</v>
      </c>
      <c r="C1789" s="2" t="s">
        <v>7073</v>
      </c>
      <c r="D1789" s="2" t="s">
        <v>7074</v>
      </c>
      <c r="E1789" s="2" t="s">
        <v>7075</v>
      </c>
      <c r="F1789" s="2" t="b">
        <v>1</v>
      </c>
      <c r="G1789" s="2" t="b">
        <v>0</v>
      </c>
      <c r="H1789" s="2" t="s">
        <v>37</v>
      </c>
      <c r="I1789" s="2" t="s">
        <v>32</v>
      </c>
      <c r="J1789" s="2" t="s">
        <v>7076</v>
      </c>
      <c r="K1789" s="2" t="s">
        <v>495</v>
      </c>
      <c r="L1789" s="13" t="s">
        <v>496</v>
      </c>
      <c r="M1789" s="2" t="s">
        <v>26</v>
      </c>
      <c r="N1789" s="11" t="s">
        <v>576</v>
      </c>
      <c r="O1789" s="12" t="s">
        <v>53</v>
      </c>
      <c r="P1789" s="5" t="str">
        <f>IFERROR(__xludf.DUMMYFUNCTION("TEXTJOIN("" | "",TRUE,IF(OR(D1789="""",E1789="""",I1789="""",J1789="""",H1789=""""),""ফাঁকা ঘর"",""""),IF(AND(C1789&lt;&gt;"""",D1789&lt;&gt;"""",C1789=D1789),""gloss=figurative"",""""),IF(LEN(D1789)&lt;15,""figurative ছোট"",""""),IF(AND(I1789=""Positive"",REGEXMATCH(H1"&amp;"789,""মূর্খ|ভণ্ড|প্রতার|অলস|লোভ|স্বার্থ|অক্ষম|অযোগ্য|বোকা|কৃপণ|হিংস"")),""valence-target অমিল"",""""),IF(COUNTIF($B:$B,B1789)&gt;1,""ডুপ্লিকেট"",""""))"),"figurative ছোট")</f>
        <v>figurative ছোট</v>
      </c>
      <c r="Q1789" s="5" t="str">
        <f t="shared" si="1"/>
        <v>১ আগে দেখো</v>
      </c>
    </row>
    <row r="1790">
      <c r="A1790" s="4">
        <v>7418.0</v>
      </c>
      <c r="B1790" s="2" t="s">
        <v>7077</v>
      </c>
      <c r="C1790" s="2" t="s">
        <v>7078</v>
      </c>
      <c r="D1790" s="2" t="s">
        <v>2540</v>
      </c>
      <c r="E1790" s="2" t="s">
        <v>7079</v>
      </c>
      <c r="F1790" s="2" t="b">
        <v>1</v>
      </c>
      <c r="G1790" s="2" t="b">
        <v>0</v>
      </c>
      <c r="H1790" s="2" t="s">
        <v>37</v>
      </c>
      <c r="I1790" s="2" t="s">
        <v>32</v>
      </c>
      <c r="J1790" s="2" t="s">
        <v>2540</v>
      </c>
      <c r="K1790" s="2" t="s">
        <v>495</v>
      </c>
      <c r="L1790" s="13" t="s">
        <v>496</v>
      </c>
      <c r="M1790" s="2" t="s">
        <v>26</v>
      </c>
      <c r="N1790" s="11" t="s">
        <v>7080</v>
      </c>
      <c r="O1790" s="12" t="s">
        <v>53</v>
      </c>
      <c r="P1790" s="5" t="str">
        <f>IFERROR(__xludf.DUMMYFUNCTION("TEXTJOIN("" | "",TRUE,IF(OR(D1790="""",E1790="""",I1790="""",J1790="""",H1790=""""),""ফাঁকা ঘর"",""""),IF(AND(C1790&lt;&gt;"""",D1790&lt;&gt;"""",C1790=D1790),""gloss=figurative"",""""),IF(LEN(D1790)&lt;15,""figurative ছোট"",""""),IF(AND(I1790=""Positive"",REGEXMATCH(H1"&amp;"790,""মূর্খ|ভণ্ড|প্রতার|অলস|লোভ|স্বার্থ|অক্ষম|অযোগ্য|বোকা|কৃপণ|হিংস"")),""valence-target অমিল"",""""),IF(COUNTIF($B:$B,B1790)&gt;1,""ডুপ্লিকেট"",""""))"),"figurative ছোট")</f>
        <v>figurative ছোট</v>
      </c>
      <c r="Q1790" s="5" t="str">
        <f t="shared" si="1"/>
        <v>১ আগে দেখো</v>
      </c>
    </row>
    <row r="1791">
      <c r="A1791" s="4">
        <v>7419.0</v>
      </c>
      <c r="B1791" s="2" t="s">
        <v>7081</v>
      </c>
      <c r="C1791" s="2" t="s">
        <v>7082</v>
      </c>
      <c r="D1791" s="2" t="s">
        <v>2671</v>
      </c>
      <c r="E1791" s="2" t="s">
        <v>7083</v>
      </c>
      <c r="F1791" s="2" t="b">
        <v>1</v>
      </c>
      <c r="G1791" s="2" t="b">
        <v>0</v>
      </c>
      <c r="H1791" s="2" t="s">
        <v>37</v>
      </c>
      <c r="I1791" s="2" t="s">
        <v>32</v>
      </c>
      <c r="J1791" s="2" t="s">
        <v>2540</v>
      </c>
      <c r="K1791" s="2" t="s">
        <v>495</v>
      </c>
      <c r="L1791" s="13" t="s">
        <v>496</v>
      </c>
      <c r="M1791" s="2" t="s">
        <v>26</v>
      </c>
      <c r="N1791" s="11" t="s">
        <v>7084</v>
      </c>
      <c r="O1791" s="12" t="s">
        <v>53</v>
      </c>
      <c r="P1791" s="5" t="str">
        <f>IFERROR(__xludf.DUMMYFUNCTION("TEXTJOIN("" | "",TRUE,IF(OR(D1791="""",E1791="""",I1791="""",J1791="""",H1791=""""),""ফাঁকা ঘর"",""""),IF(AND(C1791&lt;&gt;"""",D1791&lt;&gt;"""",C1791=D1791),""gloss=figurative"",""""),IF(LEN(D1791)&lt;15,""figurative ছোট"",""""),IF(AND(I1791=""Positive"",REGEXMATCH(H1"&amp;"791,""মূর্খ|ভণ্ড|প্রতার|অলস|লোভ|স্বার্থ|অক্ষম|অযোগ্য|বোকা|কৃপণ|হিংস"")),""valence-target অমিল"",""""),IF(COUNTIF($B:$B,B1791)&gt;1,""ডুপ্লিকেট"",""""))"),"figurative ছোট")</f>
        <v>figurative ছোট</v>
      </c>
      <c r="Q1791" s="5" t="str">
        <f t="shared" si="1"/>
        <v>১ আগে দেখো</v>
      </c>
    </row>
    <row r="1792">
      <c r="A1792" s="4">
        <v>7420.0</v>
      </c>
      <c r="B1792" s="2" t="s">
        <v>7085</v>
      </c>
      <c r="C1792" s="2" t="s">
        <v>7086</v>
      </c>
      <c r="D1792" s="2" t="s">
        <v>7087</v>
      </c>
      <c r="E1792" s="2" t="s">
        <v>7088</v>
      </c>
      <c r="F1792" s="2" t="b">
        <v>1</v>
      </c>
      <c r="G1792" s="2" t="b">
        <v>0</v>
      </c>
      <c r="H1792" s="2" t="s">
        <v>37</v>
      </c>
      <c r="I1792" s="2" t="s">
        <v>49</v>
      </c>
      <c r="J1792" s="2" t="s">
        <v>7089</v>
      </c>
      <c r="K1792" s="2" t="s">
        <v>495</v>
      </c>
      <c r="L1792" s="13" t="s">
        <v>496</v>
      </c>
      <c r="M1792" s="2" t="s">
        <v>26</v>
      </c>
      <c r="N1792" s="11" t="s">
        <v>576</v>
      </c>
      <c r="O1792" s="12" t="s">
        <v>53</v>
      </c>
      <c r="P1792" s="5" t="str">
        <f>IFERROR(__xludf.DUMMYFUNCTION("TEXTJOIN("" | "",TRUE,IF(OR(D1792="""",E1792="""",I1792="""",J1792="""",H1792=""""),""ফাঁকা ঘর"",""""),IF(AND(C1792&lt;&gt;"""",D1792&lt;&gt;"""",C1792=D1792),""gloss=figurative"",""""),IF(LEN(D1792)&lt;15,""figurative ছোট"",""""),IF(AND(I1792=""Positive"",REGEXMATCH(H1"&amp;"792,""মূর্খ|ভণ্ড|প্রতার|অলস|লোভ|স্বার্থ|অক্ষম|অযোগ্য|বোকা|কৃপণ|হিংস"")),""valence-target অমিল"",""""),IF(COUNTIF($B:$B,B1792)&gt;1,""ডুপ্লিকেট"",""""))"),"figurative ছোট")</f>
        <v>figurative ছোট</v>
      </c>
      <c r="Q1792" s="5" t="str">
        <f t="shared" si="1"/>
        <v>১ আগে দেখো</v>
      </c>
    </row>
    <row r="1793">
      <c r="A1793" s="4">
        <v>7421.0</v>
      </c>
      <c r="B1793" s="2" t="s">
        <v>7090</v>
      </c>
      <c r="C1793" s="2" t="s">
        <v>7091</v>
      </c>
      <c r="D1793" s="2" t="s">
        <v>7092</v>
      </c>
      <c r="E1793" s="2" t="s">
        <v>7093</v>
      </c>
      <c r="F1793" s="2" t="b">
        <v>1</v>
      </c>
      <c r="G1793" s="2" t="b">
        <v>0</v>
      </c>
      <c r="H1793" s="2" t="s">
        <v>37</v>
      </c>
      <c r="I1793" s="2" t="s">
        <v>49</v>
      </c>
      <c r="J1793" s="2" t="s">
        <v>1813</v>
      </c>
      <c r="K1793" s="2" t="s">
        <v>495</v>
      </c>
      <c r="L1793" s="13" t="s">
        <v>496</v>
      </c>
      <c r="M1793" s="2" t="s">
        <v>26</v>
      </c>
      <c r="N1793" s="11" t="s">
        <v>576</v>
      </c>
      <c r="O1793" s="12" t="s">
        <v>53</v>
      </c>
      <c r="P1793" s="5" t="str">
        <f>IFERROR(__xludf.DUMMYFUNCTION("TEXTJOIN("" | "",TRUE,IF(OR(D1793="""",E1793="""",I1793="""",J1793="""",H1793=""""),""ফাঁকা ঘর"",""""),IF(AND(C1793&lt;&gt;"""",D1793&lt;&gt;"""",C1793=D1793),""gloss=figurative"",""""),IF(LEN(D1793)&lt;15,""figurative ছোট"",""""),IF(AND(I1793=""Positive"",REGEXMATCH(H1"&amp;"793,""মূর্খ|ভণ্ড|প্রতার|অলস|লোভ|স্বার্থ|অক্ষম|অযোগ্য|বোকা|কৃপণ|হিংস"")),""valence-target অমিল"",""""),IF(COUNTIF($B:$B,B1793)&gt;1,""ডুপ্লিকেট"",""""))"),"figurative ছোট")</f>
        <v>figurative ছোট</v>
      </c>
      <c r="Q1793" s="5" t="str">
        <f t="shared" si="1"/>
        <v>১ আগে দেখো</v>
      </c>
    </row>
    <row r="1794">
      <c r="A1794" s="4">
        <v>7423.0</v>
      </c>
      <c r="B1794" s="2" t="s">
        <v>7094</v>
      </c>
      <c r="C1794" s="2" t="s">
        <v>7095</v>
      </c>
      <c r="D1794" s="2" t="s">
        <v>7096</v>
      </c>
      <c r="E1794" s="2" t="s">
        <v>7097</v>
      </c>
      <c r="F1794" s="2" t="b">
        <v>1</v>
      </c>
      <c r="G1794" s="2" t="b">
        <v>0</v>
      </c>
      <c r="H1794" s="2" t="s">
        <v>37</v>
      </c>
      <c r="I1794" s="2" t="s">
        <v>49</v>
      </c>
      <c r="J1794" s="2" t="s">
        <v>5820</v>
      </c>
      <c r="K1794" s="2" t="s">
        <v>495</v>
      </c>
      <c r="L1794" s="13" t="s">
        <v>496</v>
      </c>
      <c r="M1794" s="2" t="s">
        <v>26</v>
      </c>
      <c r="N1794" s="11" t="s">
        <v>576</v>
      </c>
      <c r="O1794" s="12" t="s">
        <v>53</v>
      </c>
      <c r="P1794" s="5" t="str">
        <f>IFERROR(__xludf.DUMMYFUNCTION("TEXTJOIN("" | "",TRUE,IF(OR(D1794="""",E1794="""",I1794="""",J1794="""",H1794=""""),""ফাঁকা ঘর"",""""),IF(AND(C1794&lt;&gt;"""",D1794&lt;&gt;"""",C1794=D1794),""gloss=figurative"",""""),IF(LEN(D1794)&lt;15,""figurative ছোট"",""""),IF(AND(I1794=""Positive"",REGEXMATCH(H1"&amp;"794,""মূর্খ|ভণ্ড|প্রতার|অলস|লোভ|স্বার্থ|অক্ষম|অযোগ্য|বোকা|কৃপণ|হিংস"")),""valence-target অমিল"",""""),IF(COUNTIF($B:$B,B1794)&gt;1,""ডুপ্লিকেট"",""""))"),"figurative ছোট")</f>
        <v>figurative ছোট</v>
      </c>
      <c r="Q1794" s="5" t="str">
        <f t="shared" si="1"/>
        <v>১ আগে দেখো</v>
      </c>
    </row>
    <row r="1795">
      <c r="A1795" s="4">
        <v>7424.0</v>
      </c>
      <c r="B1795" s="2" t="s">
        <v>7098</v>
      </c>
      <c r="C1795" s="2" t="s">
        <v>7099</v>
      </c>
      <c r="D1795" s="2" t="s">
        <v>7100</v>
      </c>
      <c r="E1795" s="2" t="s">
        <v>7101</v>
      </c>
      <c r="F1795" s="2" t="b">
        <v>1</v>
      </c>
      <c r="G1795" s="2" t="b">
        <v>0</v>
      </c>
      <c r="H1795" s="2" t="s">
        <v>37</v>
      </c>
      <c r="I1795" s="2" t="s">
        <v>22</v>
      </c>
      <c r="J1795" s="2" t="s">
        <v>990</v>
      </c>
      <c r="K1795" s="2" t="s">
        <v>495</v>
      </c>
      <c r="L1795" s="13" t="s">
        <v>496</v>
      </c>
      <c r="M1795" s="2" t="s">
        <v>26</v>
      </c>
      <c r="N1795" s="11" t="s">
        <v>576</v>
      </c>
      <c r="O1795" s="12" t="s">
        <v>53</v>
      </c>
      <c r="P1795" s="5" t="str">
        <f>IFERROR(__xludf.DUMMYFUNCTION("TEXTJOIN("" | "",TRUE,IF(OR(D1795="""",E1795="""",I1795="""",J1795="""",H1795=""""),""ফাঁকা ঘর"",""""),IF(AND(C1795&lt;&gt;"""",D1795&lt;&gt;"""",C1795=D1795),""gloss=figurative"",""""),IF(LEN(D1795)&lt;15,""figurative ছোট"",""""),IF(AND(I1795=""Positive"",REGEXMATCH(H1"&amp;"795,""মূর্খ|ভণ্ড|প্রতার|অলস|লোভ|স্বার্থ|অক্ষম|অযোগ্য|বোকা|কৃপণ|হিংস"")),""valence-target অমিল"",""""),IF(COUNTIF($B:$B,B1795)&gt;1,""ডুপ্লিকেট"",""""))"),"figurative ছোট")</f>
        <v>figurative ছোট</v>
      </c>
      <c r="Q1795" s="5" t="str">
        <f t="shared" si="1"/>
        <v>১ আগে দেখো</v>
      </c>
    </row>
    <row r="1796">
      <c r="A1796" s="4">
        <v>7425.0</v>
      </c>
      <c r="B1796" s="2" t="s">
        <v>7102</v>
      </c>
      <c r="C1796" s="2" t="s">
        <v>7103</v>
      </c>
      <c r="D1796" s="2" t="s">
        <v>7089</v>
      </c>
      <c r="E1796" s="2" t="s">
        <v>7104</v>
      </c>
      <c r="F1796" s="2" t="b">
        <v>1</v>
      </c>
      <c r="G1796" s="2" t="b">
        <v>0</v>
      </c>
      <c r="H1796" s="2" t="s">
        <v>37</v>
      </c>
      <c r="I1796" s="2" t="s">
        <v>49</v>
      </c>
      <c r="J1796" s="2" t="s">
        <v>7105</v>
      </c>
      <c r="K1796" s="2" t="s">
        <v>495</v>
      </c>
      <c r="L1796" s="13" t="s">
        <v>496</v>
      </c>
      <c r="M1796" s="2" t="s">
        <v>26</v>
      </c>
      <c r="N1796" s="11" t="s">
        <v>576</v>
      </c>
      <c r="O1796" s="12" t="s">
        <v>53</v>
      </c>
      <c r="P1796" s="5" t="str">
        <f>IFERROR(__xludf.DUMMYFUNCTION("TEXTJOIN("" | "",TRUE,IF(OR(D1796="""",E1796="""",I1796="""",J1796="""",H1796=""""),""ফাঁকা ঘর"",""""),IF(AND(C1796&lt;&gt;"""",D1796&lt;&gt;"""",C1796=D1796),""gloss=figurative"",""""),IF(LEN(D1796)&lt;15,""figurative ছোট"",""""),IF(AND(I1796=""Positive"",REGEXMATCH(H1"&amp;"796,""মূর্খ|ভণ্ড|প্রতার|অলস|লোভ|স্বার্থ|অক্ষম|অযোগ্য|বোকা|কৃপণ|হিংস"")),""valence-target অমিল"",""""),IF(COUNTIF($B:$B,B1796)&gt;1,""ডুপ্লিকেট"",""""))"),"figurative ছোট")</f>
        <v>figurative ছোট</v>
      </c>
      <c r="Q1796" s="5" t="str">
        <f t="shared" si="1"/>
        <v>১ আগে দেখো</v>
      </c>
    </row>
    <row r="1797">
      <c r="A1797" s="4">
        <v>7426.0</v>
      </c>
      <c r="B1797" s="2" t="s">
        <v>7106</v>
      </c>
      <c r="C1797" s="2" t="s">
        <v>7107</v>
      </c>
      <c r="D1797" s="2" t="s">
        <v>830</v>
      </c>
      <c r="E1797" s="2" t="s">
        <v>7108</v>
      </c>
      <c r="F1797" s="2" t="b">
        <v>1</v>
      </c>
      <c r="G1797" s="2" t="b">
        <v>0</v>
      </c>
      <c r="H1797" s="2" t="s">
        <v>37</v>
      </c>
      <c r="I1797" s="2" t="s">
        <v>49</v>
      </c>
      <c r="J1797" s="2" t="s">
        <v>830</v>
      </c>
      <c r="K1797" s="2" t="s">
        <v>495</v>
      </c>
      <c r="L1797" s="13" t="s">
        <v>496</v>
      </c>
      <c r="M1797" s="2" t="s">
        <v>26</v>
      </c>
      <c r="N1797" s="11" t="s">
        <v>576</v>
      </c>
      <c r="O1797" s="12" t="s">
        <v>53</v>
      </c>
      <c r="P1797" s="5" t="str">
        <f>IFERROR(__xludf.DUMMYFUNCTION("TEXTJOIN("" | "",TRUE,IF(OR(D1797="""",E1797="""",I1797="""",J1797="""",H1797=""""),""ফাঁকা ঘর"",""""),IF(AND(C1797&lt;&gt;"""",D1797&lt;&gt;"""",C1797=D1797),""gloss=figurative"",""""),IF(LEN(D1797)&lt;15,""figurative ছোট"",""""),IF(AND(I1797=""Positive"",REGEXMATCH(H1"&amp;"797,""মূর্খ|ভণ্ড|প্রতার|অলস|লোভ|স্বার্থ|অক্ষম|অযোগ্য|বোকা|কৃপণ|হিংস"")),""valence-target অমিল"",""""),IF(COUNTIF($B:$B,B1797)&gt;1,""ডুপ্লিকেট"",""""))"),"figurative ছোট")</f>
        <v>figurative ছোট</v>
      </c>
      <c r="Q1797" s="5" t="str">
        <f t="shared" si="1"/>
        <v>১ আগে দেখো</v>
      </c>
    </row>
    <row r="1798">
      <c r="A1798" s="4">
        <v>7427.0</v>
      </c>
      <c r="B1798" s="2" t="s">
        <v>7109</v>
      </c>
      <c r="C1798" s="2" t="s">
        <v>7110</v>
      </c>
      <c r="D1798" s="2" t="s">
        <v>2140</v>
      </c>
      <c r="E1798" s="2" t="s">
        <v>7111</v>
      </c>
      <c r="F1798" s="2" t="b">
        <v>1</v>
      </c>
      <c r="G1798" s="2" t="b">
        <v>0</v>
      </c>
      <c r="H1798" s="2" t="s">
        <v>37</v>
      </c>
      <c r="I1798" s="2" t="s">
        <v>32</v>
      </c>
      <c r="J1798" s="2" t="s">
        <v>2140</v>
      </c>
      <c r="K1798" s="2" t="s">
        <v>495</v>
      </c>
      <c r="L1798" s="13" t="s">
        <v>496</v>
      </c>
      <c r="M1798" s="2" t="s">
        <v>26</v>
      </c>
      <c r="N1798" s="11" t="s">
        <v>576</v>
      </c>
      <c r="O1798" s="12" t="s">
        <v>53</v>
      </c>
      <c r="P1798" s="5" t="str">
        <f>IFERROR(__xludf.DUMMYFUNCTION("TEXTJOIN("" | "",TRUE,IF(OR(D1798="""",E1798="""",I1798="""",J1798="""",H1798=""""),""ফাঁকা ঘর"",""""),IF(AND(C1798&lt;&gt;"""",D1798&lt;&gt;"""",C1798=D1798),""gloss=figurative"",""""),IF(LEN(D1798)&lt;15,""figurative ছোট"",""""),IF(AND(I1798=""Positive"",REGEXMATCH(H1"&amp;"798,""মূর্খ|ভণ্ড|প্রতার|অলস|লোভ|স্বার্থ|অক্ষম|অযোগ্য|বোকা|কৃপণ|হিংস"")),""valence-target অমিল"",""""),IF(COUNTIF($B:$B,B1798)&gt;1,""ডুপ্লিকেট"",""""))"),"figurative ছোট")</f>
        <v>figurative ছোট</v>
      </c>
      <c r="Q1798" s="5" t="str">
        <f t="shared" si="1"/>
        <v>১ আগে দেখো</v>
      </c>
    </row>
    <row r="1799">
      <c r="A1799" s="4">
        <v>7428.0</v>
      </c>
      <c r="B1799" s="2" t="s">
        <v>7112</v>
      </c>
      <c r="C1799" s="2" t="s">
        <v>7113</v>
      </c>
      <c r="D1799" s="2" t="s">
        <v>996</v>
      </c>
      <c r="E1799" s="2" t="s">
        <v>7114</v>
      </c>
      <c r="F1799" s="2" t="b">
        <v>1</v>
      </c>
      <c r="G1799" s="2" t="b">
        <v>0</v>
      </c>
      <c r="H1799" s="2" t="s">
        <v>37</v>
      </c>
      <c r="I1799" s="2" t="s">
        <v>32</v>
      </c>
      <c r="J1799" s="2" t="s">
        <v>1249</v>
      </c>
      <c r="K1799" s="2" t="s">
        <v>495</v>
      </c>
      <c r="L1799" s="13" t="s">
        <v>496</v>
      </c>
      <c r="M1799" s="2" t="s">
        <v>26</v>
      </c>
      <c r="N1799" s="11" t="s">
        <v>576</v>
      </c>
      <c r="O1799" s="12" t="s">
        <v>53</v>
      </c>
      <c r="P1799" s="5" t="str">
        <f>IFERROR(__xludf.DUMMYFUNCTION("TEXTJOIN("" | "",TRUE,IF(OR(D1799="""",E1799="""",I1799="""",J1799="""",H1799=""""),""ফাঁকা ঘর"",""""),IF(AND(C1799&lt;&gt;"""",D1799&lt;&gt;"""",C1799=D1799),""gloss=figurative"",""""),IF(LEN(D1799)&lt;15,""figurative ছোট"",""""),IF(AND(I1799=""Positive"",REGEXMATCH(H1"&amp;"799,""মূর্খ|ভণ্ড|প্রতার|অলস|লোভ|স্বার্থ|অক্ষম|অযোগ্য|বোকা|কৃপণ|হিংস"")),""valence-target অমিল"",""""),IF(COUNTIF($B:$B,B1799)&gt;1,""ডুপ্লিকেট"",""""))"),"figurative ছোট")</f>
        <v>figurative ছোট</v>
      </c>
      <c r="Q1799" s="5" t="str">
        <f t="shared" si="1"/>
        <v>১ আগে দেখো</v>
      </c>
    </row>
    <row r="1800">
      <c r="A1800" s="4">
        <v>7429.0</v>
      </c>
      <c r="B1800" s="2" t="s">
        <v>7115</v>
      </c>
      <c r="C1800" s="2" t="s">
        <v>7116</v>
      </c>
      <c r="D1800" s="2" t="s">
        <v>1249</v>
      </c>
      <c r="E1800" s="2" t="s">
        <v>7117</v>
      </c>
      <c r="F1800" s="2" t="b">
        <v>1</v>
      </c>
      <c r="G1800" s="2" t="b">
        <v>0</v>
      </c>
      <c r="H1800" s="2" t="s">
        <v>37</v>
      </c>
      <c r="I1800" s="2" t="s">
        <v>49</v>
      </c>
      <c r="J1800" s="2" t="s">
        <v>1249</v>
      </c>
      <c r="K1800" s="2" t="s">
        <v>495</v>
      </c>
      <c r="L1800" s="13" t="s">
        <v>496</v>
      </c>
      <c r="M1800" s="2" t="s">
        <v>26</v>
      </c>
      <c r="N1800" s="11" t="s">
        <v>576</v>
      </c>
      <c r="O1800" s="12" t="s">
        <v>53</v>
      </c>
      <c r="P1800" s="5" t="str">
        <f>IFERROR(__xludf.DUMMYFUNCTION("TEXTJOIN("" | "",TRUE,IF(OR(D1800="""",E1800="""",I1800="""",J1800="""",H1800=""""),""ফাঁকা ঘর"",""""),IF(AND(C1800&lt;&gt;"""",D1800&lt;&gt;"""",C1800=D1800),""gloss=figurative"",""""),IF(LEN(D1800)&lt;15,""figurative ছোট"",""""),IF(AND(I1800=""Positive"",REGEXMATCH(H1"&amp;"800,""মূর্খ|ভণ্ড|প্রতার|অলস|লোভ|স্বার্থ|অক্ষম|অযোগ্য|বোকা|কৃপণ|হিংস"")),""valence-target অমিল"",""""),IF(COUNTIF($B:$B,B1800)&gt;1,""ডুপ্লিকেট"",""""))"),"figurative ছোট")</f>
        <v>figurative ছোট</v>
      </c>
      <c r="Q1800" s="5" t="str">
        <f t="shared" si="1"/>
        <v>১ আগে দেখো</v>
      </c>
    </row>
    <row r="1801">
      <c r="A1801" s="4">
        <v>7430.0</v>
      </c>
      <c r="B1801" s="2" t="s">
        <v>7118</v>
      </c>
      <c r="C1801" s="2" t="s">
        <v>7119</v>
      </c>
      <c r="D1801" s="2" t="s">
        <v>1244</v>
      </c>
      <c r="E1801" s="2" t="s">
        <v>7120</v>
      </c>
      <c r="F1801" s="2" t="b">
        <v>1</v>
      </c>
      <c r="G1801" s="2" t="b">
        <v>0</v>
      </c>
      <c r="H1801" s="2" t="s">
        <v>37</v>
      </c>
      <c r="I1801" s="2" t="s">
        <v>22</v>
      </c>
      <c r="J1801" s="2" t="s">
        <v>1244</v>
      </c>
      <c r="K1801" s="2" t="s">
        <v>495</v>
      </c>
      <c r="L1801" s="13" t="s">
        <v>496</v>
      </c>
      <c r="M1801" s="2" t="s">
        <v>26</v>
      </c>
      <c r="N1801" s="11" t="s">
        <v>576</v>
      </c>
      <c r="O1801" s="12" t="s">
        <v>53</v>
      </c>
      <c r="P1801" s="5" t="str">
        <f>IFERROR(__xludf.DUMMYFUNCTION("TEXTJOIN("" | "",TRUE,IF(OR(D1801="""",E1801="""",I1801="""",J1801="""",H1801=""""),""ফাঁকা ঘর"",""""),IF(AND(C1801&lt;&gt;"""",D1801&lt;&gt;"""",C1801=D1801),""gloss=figurative"",""""),IF(LEN(D1801)&lt;15,""figurative ছোট"",""""),IF(AND(I1801=""Positive"",REGEXMATCH(H1"&amp;"801,""মূর্খ|ভণ্ড|প্রতার|অলস|লোভ|স্বার্থ|অক্ষম|অযোগ্য|বোকা|কৃপণ|হিংস"")),""valence-target অমিল"",""""),IF(COUNTIF($B:$B,B1801)&gt;1,""ডুপ্লিকেট"",""""))"),"figurative ছোট")</f>
        <v>figurative ছোট</v>
      </c>
      <c r="Q1801" s="5" t="str">
        <f t="shared" si="1"/>
        <v>১ আগে দেখো</v>
      </c>
    </row>
    <row r="1802">
      <c r="A1802" s="4">
        <v>7431.0</v>
      </c>
      <c r="B1802" s="2" t="s">
        <v>7121</v>
      </c>
      <c r="C1802" s="2" t="s">
        <v>7122</v>
      </c>
      <c r="D1802" s="2" t="s">
        <v>3079</v>
      </c>
      <c r="E1802" s="2" t="s">
        <v>7123</v>
      </c>
      <c r="F1802" s="2" t="b">
        <v>1</v>
      </c>
      <c r="G1802" s="2" t="b">
        <v>1</v>
      </c>
      <c r="H1802" s="2" t="s">
        <v>3079</v>
      </c>
      <c r="I1802" s="2" t="s">
        <v>49</v>
      </c>
      <c r="J1802" s="2" t="s">
        <v>1315</v>
      </c>
      <c r="K1802" s="2" t="s">
        <v>495</v>
      </c>
      <c r="L1802" s="13" t="s">
        <v>496</v>
      </c>
      <c r="M1802" s="2" t="s">
        <v>26</v>
      </c>
      <c r="N1802" s="11" t="s">
        <v>576</v>
      </c>
      <c r="O1802" s="12" t="s">
        <v>53</v>
      </c>
      <c r="P1802" s="5" t="str">
        <f>IFERROR(__xludf.DUMMYFUNCTION("TEXTJOIN("" | "",TRUE,IF(OR(D1802="""",E1802="""",I1802="""",J1802="""",H1802=""""),""ফাঁকা ঘর"",""""),IF(AND(C1802&lt;&gt;"""",D1802&lt;&gt;"""",C1802=D1802),""gloss=figurative"",""""),IF(LEN(D1802)&lt;15,""figurative ছোট"",""""),IF(AND(I1802=""Positive"",REGEXMATCH(H1"&amp;"802,""মূর্খ|ভণ্ড|প্রতার|অলস|লোভ|স্বার্থ|অক্ষম|অযোগ্য|বোকা|কৃপণ|হিংস"")),""valence-target অমিল"",""""),IF(COUNTIF($B:$B,B1802)&gt;1,""ডুপ্লিকেট"",""""))"),"figurative ছোট")</f>
        <v>figurative ছোট</v>
      </c>
      <c r="Q1802" s="5" t="str">
        <f t="shared" si="1"/>
        <v>১ আগে দেখো</v>
      </c>
    </row>
    <row r="1803">
      <c r="A1803" s="4">
        <v>7432.0</v>
      </c>
      <c r="B1803" s="2" t="s">
        <v>7124</v>
      </c>
      <c r="C1803" s="2" t="s">
        <v>7125</v>
      </c>
      <c r="D1803" s="2" t="s">
        <v>5862</v>
      </c>
      <c r="E1803" s="2" t="s">
        <v>7126</v>
      </c>
      <c r="F1803" s="2" t="b">
        <v>1</v>
      </c>
      <c r="G1803" s="2" t="b">
        <v>0</v>
      </c>
      <c r="H1803" s="2" t="s">
        <v>37</v>
      </c>
      <c r="I1803" s="2" t="s">
        <v>22</v>
      </c>
      <c r="J1803" s="2" t="s">
        <v>1239</v>
      </c>
      <c r="K1803" s="2" t="s">
        <v>495</v>
      </c>
      <c r="L1803" s="13" t="s">
        <v>496</v>
      </c>
      <c r="M1803" s="2" t="s">
        <v>26</v>
      </c>
      <c r="N1803" s="11" t="s">
        <v>576</v>
      </c>
      <c r="O1803" s="12" t="s">
        <v>53</v>
      </c>
      <c r="P1803" s="5" t="str">
        <f>IFERROR(__xludf.DUMMYFUNCTION("TEXTJOIN("" | "",TRUE,IF(OR(D1803="""",E1803="""",I1803="""",J1803="""",H1803=""""),""ফাঁকা ঘর"",""""),IF(AND(C1803&lt;&gt;"""",D1803&lt;&gt;"""",C1803=D1803),""gloss=figurative"",""""),IF(LEN(D1803)&lt;15,""figurative ছোট"",""""),IF(AND(I1803=""Positive"",REGEXMATCH(H1"&amp;"803,""মূর্খ|ভণ্ড|প্রতার|অলস|লোভ|স্বার্থ|অক্ষম|অযোগ্য|বোকা|কৃপণ|হিংস"")),""valence-target অমিল"",""""),IF(COUNTIF($B:$B,B1803)&gt;1,""ডুপ্লিকেট"",""""))"),"figurative ছোট")</f>
        <v>figurative ছোট</v>
      </c>
      <c r="Q1803" s="5" t="str">
        <f t="shared" si="1"/>
        <v>১ আগে দেখো</v>
      </c>
    </row>
    <row r="1804">
      <c r="A1804" s="4">
        <v>7433.0</v>
      </c>
      <c r="B1804" s="2" t="s">
        <v>7127</v>
      </c>
      <c r="C1804" s="2" t="s">
        <v>7128</v>
      </c>
      <c r="D1804" s="2" t="s">
        <v>2424</v>
      </c>
      <c r="E1804" s="2" t="s">
        <v>7129</v>
      </c>
      <c r="F1804" s="2" t="b">
        <v>1</v>
      </c>
      <c r="G1804" s="2" t="b">
        <v>0</v>
      </c>
      <c r="H1804" s="2" t="s">
        <v>2424</v>
      </c>
      <c r="I1804" s="2" t="s">
        <v>22</v>
      </c>
      <c r="J1804" s="2" t="s">
        <v>2422</v>
      </c>
      <c r="K1804" s="2" t="s">
        <v>495</v>
      </c>
      <c r="L1804" s="13" t="s">
        <v>496</v>
      </c>
      <c r="M1804" s="2" t="s">
        <v>26</v>
      </c>
      <c r="N1804" s="11" t="s">
        <v>576</v>
      </c>
      <c r="O1804" s="12" t="s">
        <v>53</v>
      </c>
      <c r="P1804" s="5" t="str">
        <f>IFERROR(__xludf.DUMMYFUNCTION("TEXTJOIN("" | "",TRUE,IF(OR(D1804="""",E1804="""",I1804="""",J1804="""",H1804=""""),""ফাঁকা ঘর"",""""),IF(AND(C1804&lt;&gt;"""",D1804&lt;&gt;"""",C1804=D1804),""gloss=figurative"",""""),IF(LEN(D1804)&lt;15,""figurative ছোট"",""""),IF(AND(I1804=""Positive"",REGEXMATCH(H1"&amp;"804,""মূর্খ|ভণ্ড|প্রতার|অলস|লোভ|স্বার্থ|অক্ষম|অযোগ্য|বোকা|কৃপণ|হিংস"")),""valence-target অমিল"",""""),IF(COUNTIF($B:$B,B1804)&gt;1,""ডুপ্লিকেট"",""""))"),"figurative ছোট")</f>
        <v>figurative ছোট</v>
      </c>
      <c r="Q1804" s="5" t="str">
        <f t="shared" si="1"/>
        <v>১ আগে দেখো</v>
      </c>
    </row>
    <row r="1805">
      <c r="A1805" s="4">
        <v>7434.0</v>
      </c>
      <c r="B1805" s="2" t="s">
        <v>7130</v>
      </c>
      <c r="C1805" s="2" t="s">
        <v>7131</v>
      </c>
      <c r="D1805" s="2" t="s">
        <v>1018</v>
      </c>
      <c r="E1805" s="2" t="s">
        <v>7132</v>
      </c>
      <c r="F1805" s="2" t="b">
        <v>1</v>
      </c>
      <c r="G1805" s="2" t="b">
        <v>0</v>
      </c>
      <c r="H1805" s="2" t="s">
        <v>37</v>
      </c>
      <c r="I1805" s="2" t="s">
        <v>49</v>
      </c>
      <c r="J1805" s="2" t="s">
        <v>1018</v>
      </c>
      <c r="K1805" s="2" t="s">
        <v>495</v>
      </c>
      <c r="L1805" s="13" t="s">
        <v>496</v>
      </c>
      <c r="M1805" s="2" t="s">
        <v>26</v>
      </c>
      <c r="N1805" s="11" t="s">
        <v>576</v>
      </c>
      <c r="O1805" s="12" t="s">
        <v>53</v>
      </c>
      <c r="P1805" s="5" t="str">
        <f>IFERROR(__xludf.DUMMYFUNCTION("TEXTJOIN("" | "",TRUE,IF(OR(D1805="""",E1805="""",I1805="""",J1805="""",H1805=""""),""ফাঁকা ঘর"",""""),IF(AND(C1805&lt;&gt;"""",D1805&lt;&gt;"""",C1805=D1805),""gloss=figurative"",""""),IF(LEN(D1805)&lt;15,""figurative ছোট"",""""),IF(AND(I1805=""Positive"",REGEXMATCH(H1"&amp;"805,""মূর্খ|ভণ্ড|প্রতার|অলস|লোভ|স্বার্থ|অক্ষম|অযোগ্য|বোকা|কৃপণ|হিংস"")),""valence-target অমিল"",""""),IF(COUNTIF($B:$B,B1805)&gt;1,""ডুপ্লিকেট"",""""))"),"figurative ছোট")</f>
        <v>figurative ছোট</v>
      </c>
      <c r="Q1805" s="5" t="str">
        <f t="shared" si="1"/>
        <v>১ আগে দেখো</v>
      </c>
    </row>
    <row r="1806">
      <c r="A1806" s="4">
        <v>7435.0</v>
      </c>
      <c r="B1806" s="2" t="s">
        <v>7133</v>
      </c>
      <c r="C1806" s="2" t="s">
        <v>7134</v>
      </c>
      <c r="D1806" s="2" t="s">
        <v>713</v>
      </c>
      <c r="E1806" s="2" t="s">
        <v>7135</v>
      </c>
      <c r="F1806" s="2" t="b">
        <v>1</v>
      </c>
      <c r="G1806" s="2" t="b">
        <v>0</v>
      </c>
      <c r="H1806" s="2" t="s">
        <v>37</v>
      </c>
      <c r="I1806" s="2" t="s">
        <v>32</v>
      </c>
      <c r="J1806" s="2" t="s">
        <v>713</v>
      </c>
      <c r="K1806" s="2" t="s">
        <v>495</v>
      </c>
      <c r="L1806" s="13" t="s">
        <v>496</v>
      </c>
      <c r="M1806" s="2" t="s">
        <v>26</v>
      </c>
      <c r="N1806" s="11" t="s">
        <v>576</v>
      </c>
      <c r="O1806" s="12" t="s">
        <v>53</v>
      </c>
      <c r="P1806" s="5" t="str">
        <f>IFERROR(__xludf.DUMMYFUNCTION("TEXTJOIN("" | "",TRUE,IF(OR(D1806="""",E1806="""",I1806="""",J1806="""",H1806=""""),""ফাঁকা ঘর"",""""),IF(AND(C1806&lt;&gt;"""",D1806&lt;&gt;"""",C1806=D1806),""gloss=figurative"",""""),IF(LEN(D1806)&lt;15,""figurative ছোট"",""""),IF(AND(I1806=""Positive"",REGEXMATCH(H1"&amp;"806,""মূর্খ|ভণ্ড|প্রতার|অলস|লোভ|স্বার্থ|অক্ষম|অযোগ্য|বোকা|কৃপণ|হিংস"")),""valence-target অমিল"",""""),IF(COUNTIF($B:$B,B1806)&gt;1,""ডুপ্লিকেট"",""""))"),"figurative ছোট")</f>
        <v>figurative ছোট</v>
      </c>
      <c r="Q1806" s="5" t="str">
        <f t="shared" si="1"/>
        <v>১ আগে দেখো</v>
      </c>
    </row>
    <row r="1807">
      <c r="A1807" s="4">
        <v>7436.0</v>
      </c>
      <c r="B1807" s="2" t="s">
        <v>7136</v>
      </c>
      <c r="C1807" s="2" t="s">
        <v>7137</v>
      </c>
      <c r="D1807" s="2" t="s">
        <v>739</v>
      </c>
      <c r="E1807" s="2" t="s">
        <v>7138</v>
      </c>
      <c r="F1807" s="2" t="b">
        <v>1</v>
      </c>
      <c r="G1807" s="2" t="b">
        <v>0</v>
      </c>
      <c r="H1807" s="2" t="s">
        <v>37</v>
      </c>
      <c r="I1807" s="2" t="s">
        <v>32</v>
      </c>
      <c r="J1807" s="2" t="s">
        <v>739</v>
      </c>
      <c r="K1807" s="2" t="s">
        <v>495</v>
      </c>
      <c r="L1807" s="13" t="s">
        <v>496</v>
      </c>
      <c r="M1807" s="2" t="s">
        <v>26</v>
      </c>
      <c r="N1807" s="11" t="s">
        <v>576</v>
      </c>
      <c r="O1807" s="12" t="s">
        <v>53</v>
      </c>
      <c r="P1807" s="5" t="str">
        <f>IFERROR(__xludf.DUMMYFUNCTION("TEXTJOIN("" | "",TRUE,IF(OR(D1807="""",E1807="""",I1807="""",J1807="""",H1807=""""),""ফাঁকা ঘর"",""""),IF(AND(C1807&lt;&gt;"""",D1807&lt;&gt;"""",C1807=D1807),""gloss=figurative"",""""),IF(LEN(D1807)&lt;15,""figurative ছোট"",""""),IF(AND(I1807=""Positive"",REGEXMATCH(H1"&amp;"807,""মূর্খ|ভণ্ড|প্রতার|অলস|লোভ|স্বার্থ|অক্ষম|অযোগ্য|বোকা|কৃপণ|হিংস"")),""valence-target অমিল"",""""),IF(COUNTIF($B:$B,B1807)&gt;1,""ডুপ্লিকেট"",""""))"),"figurative ছোট")</f>
        <v>figurative ছোট</v>
      </c>
      <c r="Q1807" s="5" t="str">
        <f t="shared" si="1"/>
        <v>১ আগে দেখো</v>
      </c>
    </row>
    <row r="1808">
      <c r="A1808" s="4">
        <v>7437.0</v>
      </c>
      <c r="B1808" s="2" t="s">
        <v>7139</v>
      </c>
      <c r="C1808" s="2" t="s">
        <v>7140</v>
      </c>
      <c r="D1808" s="2" t="s">
        <v>6697</v>
      </c>
      <c r="E1808" s="2" t="s">
        <v>7141</v>
      </c>
      <c r="F1808" s="2" t="b">
        <v>1</v>
      </c>
      <c r="G1808" s="2" t="b">
        <v>0</v>
      </c>
      <c r="H1808" s="2" t="s">
        <v>37</v>
      </c>
      <c r="I1808" s="2" t="s">
        <v>32</v>
      </c>
      <c r="J1808" s="2" t="s">
        <v>1008</v>
      </c>
      <c r="K1808" s="2" t="s">
        <v>495</v>
      </c>
      <c r="L1808" s="13" t="s">
        <v>496</v>
      </c>
      <c r="M1808" s="2" t="s">
        <v>26</v>
      </c>
      <c r="N1808" s="11" t="s">
        <v>576</v>
      </c>
      <c r="O1808" s="12" t="s">
        <v>53</v>
      </c>
      <c r="P1808" s="5" t="str">
        <f>IFERROR(__xludf.DUMMYFUNCTION("TEXTJOIN("" | "",TRUE,IF(OR(D1808="""",E1808="""",I1808="""",J1808="""",H1808=""""),""ফাঁকা ঘর"",""""),IF(AND(C1808&lt;&gt;"""",D1808&lt;&gt;"""",C1808=D1808),""gloss=figurative"",""""),IF(LEN(D1808)&lt;15,""figurative ছোট"",""""),IF(AND(I1808=""Positive"",REGEXMATCH(H1"&amp;"808,""মূর্খ|ভণ্ড|প্রতার|অলস|লোভ|স্বার্থ|অক্ষম|অযোগ্য|বোকা|কৃপণ|হিংস"")),""valence-target অমিল"",""""),IF(COUNTIF($B:$B,B1808)&gt;1,""ডুপ্লিকেট"",""""))"),"figurative ছোট")</f>
        <v>figurative ছোট</v>
      </c>
      <c r="Q1808" s="5" t="str">
        <f t="shared" si="1"/>
        <v>১ আগে দেখো</v>
      </c>
    </row>
    <row r="1809">
      <c r="A1809" s="4">
        <v>7438.0</v>
      </c>
      <c r="B1809" s="2" t="s">
        <v>7142</v>
      </c>
      <c r="C1809" s="2" t="s">
        <v>7143</v>
      </c>
      <c r="D1809" s="2" t="s">
        <v>1603</v>
      </c>
      <c r="E1809" s="2" t="s">
        <v>7144</v>
      </c>
      <c r="F1809" s="2" t="b">
        <v>1</v>
      </c>
      <c r="G1809" s="2" t="b">
        <v>0</v>
      </c>
      <c r="H1809" s="2" t="s">
        <v>37</v>
      </c>
      <c r="I1809" s="2" t="s">
        <v>32</v>
      </c>
      <c r="J1809" s="2" t="s">
        <v>1603</v>
      </c>
      <c r="K1809" s="2" t="s">
        <v>495</v>
      </c>
      <c r="L1809" s="13" t="s">
        <v>496</v>
      </c>
      <c r="M1809" s="2" t="s">
        <v>26</v>
      </c>
      <c r="N1809" s="11" t="s">
        <v>576</v>
      </c>
      <c r="O1809" s="12" t="s">
        <v>53</v>
      </c>
      <c r="P1809" s="5" t="str">
        <f>IFERROR(__xludf.DUMMYFUNCTION("TEXTJOIN("" | "",TRUE,IF(OR(D1809="""",E1809="""",I1809="""",J1809="""",H1809=""""),""ফাঁকা ঘর"",""""),IF(AND(C1809&lt;&gt;"""",D1809&lt;&gt;"""",C1809=D1809),""gloss=figurative"",""""),IF(LEN(D1809)&lt;15,""figurative ছোট"",""""),IF(AND(I1809=""Positive"",REGEXMATCH(H1"&amp;"809,""মূর্খ|ভণ্ড|প্রতার|অলস|লোভ|স্বার্থ|অক্ষম|অযোগ্য|বোকা|কৃপণ|হিংস"")),""valence-target অমিল"",""""),IF(COUNTIF($B:$B,B1809)&gt;1,""ডুপ্লিকেট"",""""))"),"figurative ছোট")</f>
        <v>figurative ছোট</v>
      </c>
      <c r="Q1809" s="5" t="str">
        <f t="shared" si="1"/>
        <v>১ আগে দেখো</v>
      </c>
    </row>
    <row r="1810">
      <c r="A1810" s="4">
        <v>7439.0</v>
      </c>
      <c r="B1810" s="2" t="s">
        <v>7145</v>
      </c>
      <c r="C1810" s="2" t="s">
        <v>7146</v>
      </c>
      <c r="D1810" s="2" t="s">
        <v>1008</v>
      </c>
      <c r="E1810" s="2" t="s">
        <v>7147</v>
      </c>
      <c r="F1810" s="2" t="b">
        <v>1</v>
      </c>
      <c r="G1810" s="2" t="b">
        <v>0</v>
      </c>
      <c r="H1810" s="2" t="s">
        <v>37</v>
      </c>
      <c r="I1810" s="2" t="s">
        <v>49</v>
      </c>
      <c r="J1810" s="2" t="s">
        <v>1008</v>
      </c>
      <c r="K1810" s="2" t="s">
        <v>495</v>
      </c>
      <c r="L1810" s="13" t="s">
        <v>496</v>
      </c>
      <c r="M1810" s="2" t="s">
        <v>26</v>
      </c>
      <c r="N1810" s="11" t="s">
        <v>576</v>
      </c>
      <c r="O1810" s="12" t="s">
        <v>53</v>
      </c>
      <c r="P1810" s="5" t="str">
        <f>IFERROR(__xludf.DUMMYFUNCTION("TEXTJOIN("" | "",TRUE,IF(OR(D1810="""",E1810="""",I1810="""",J1810="""",H1810=""""),""ফাঁকা ঘর"",""""),IF(AND(C1810&lt;&gt;"""",D1810&lt;&gt;"""",C1810=D1810),""gloss=figurative"",""""),IF(LEN(D1810)&lt;15,""figurative ছোট"",""""),IF(AND(I1810=""Positive"",REGEXMATCH(H1"&amp;"810,""মূর্খ|ভণ্ড|প্রতার|অলস|লোভ|স্বার্থ|অক্ষম|অযোগ্য|বোকা|কৃপণ|হিংস"")),""valence-target অমিল"",""""),IF(COUNTIF($B:$B,B1810)&gt;1,""ডুপ্লিকেট"",""""))"),"figurative ছোট")</f>
        <v>figurative ছোট</v>
      </c>
      <c r="Q1810" s="5" t="str">
        <f t="shared" si="1"/>
        <v>১ আগে দেখো</v>
      </c>
    </row>
    <row r="1811">
      <c r="A1811" s="4">
        <v>7440.0</v>
      </c>
      <c r="B1811" s="2" t="s">
        <v>7148</v>
      </c>
      <c r="C1811" s="2" t="s">
        <v>7148</v>
      </c>
      <c r="D1811" s="2" t="s">
        <v>1553</v>
      </c>
      <c r="E1811" s="2" t="s">
        <v>7149</v>
      </c>
      <c r="F1811" s="2" t="b">
        <v>1</v>
      </c>
      <c r="G1811" s="2" t="b">
        <v>0</v>
      </c>
      <c r="H1811" s="2" t="s">
        <v>37</v>
      </c>
      <c r="I1811" s="2" t="s">
        <v>49</v>
      </c>
      <c r="J1811" s="2" t="s">
        <v>1553</v>
      </c>
      <c r="K1811" s="2" t="s">
        <v>495</v>
      </c>
      <c r="L1811" s="13" t="s">
        <v>496</v>
      </c>
      <c r="M1811" s="2" t="s">
        <v>26</v>
      </c>
      <c r="N1811" s="11" t="s">
        <v>576</v>
      </c>
      <c r="O1811" s="12" t="s">
        <v>53</v>
      </c>
      <c r="P1811" s="5" t="str">
        <f>IFERROR(__xludf.DUMMYFUNCTION("TEXTJOIN("" | "",TRUE,IF(OR(D1811="""",E1811="""",I1811="""",J1811="""",H1811=""""),""ফাঁকা ঘর"",""""),IF(AND(C1811&lt;&gt;"""",D1811&lt;&gt;"""",C1811=D1811),""gloss=figurative"",""""),IF(LEN(D1811)&lt;15,""figurative ছোট"",""""),IF(AND(I1811=""Positive"",REGEXMATCH(H1"&amp;"811,""মূর্খ|ভণ্ড|প্রতার|অলস|লোভ|স্বার্থ|অক্ষম|অযোগ্য|বোকা|কৃপণ|হিংস"")),""valence-target অমিল"",""""),IF(COUNTIF($B:$B,B1811)&gt;1,""ডুপ্লিকেট"",""""))"),"figurative ছোট")</f>
        <v>figurative ছোট</v>
      </c>
      <c r="Q1811" s="5" t="str">
        <f t="shared" si="1"/>
        <v>১ আগে দেখো</v>
      </c>
    </row>
    <row r="1812">
      <c r="A1812" s="4">
        <v>7441.0</v>
      </c>
      <c r="B1812" s="2" t="s">
        <v>7150</v>
      </c>
      <c r="C1812" s="2" t="s">
        <v>7151</v>
      </c>
      <c r="D1812" s="2" t="s">
        <v>5524</v>
      </c>
      <c r="E1812" s="2" t="s">
        <v>7152</v>
      </c>
      <c r="F1812" s="2" t="b">
        <v>1</v>
      </c>
      <c r="G1812" s="2" t="b">
        <v>0</v>
      </c>
      <c r="H1812" s="2" t="s">
        <v>37</v>
      </c>
      <c r="I1812" s="2" t="s">
        <v>49</v>
      </c>
      <c r="J1812" s="2" t="s">
        <v>5524</v>
      </c>
      <c r="K1812" s="2" t="s">
        <v>495</v>
      </c>
      <c r="L1812" s="13" t="s">
        <v>496</v>
      </c>
      <c r="M1812" s="2" t="s">
        <v>26</v>
      </c>
      <c r="N1812" s="11" t="s">
        <v>576</v>
      </c>
      <c r="O1812" s="12" t="s">
        <v>53</v>
      </c>
      <c r="P1812" s="5" t="str">
        <f>IFERROR(__xludf.DUMMYFUNCTION("TEXTJOIN("" | "",TRUE,IF(OR(D1812="""",E1812="""",I1812="""",J1812="""",H1812=""""),""ফাঁকা ঘর"",""""),IF(AND(C1812&lt;&gt;"""",D1812&lt;&gt;"""",C1812=D1812),""gloss=figurative"",""""),IF(LEN(D1812)&lt;15,""figurative ছোট"",""""),IF(AND(I1812=""Positive"",REGEXMATCH(H1"&amp;"812,""মূর্খ|ভণ্ড|প্রতার|অলস|লোভ|স্বার্থ|অক্ষম|অযোগ্য|বোকা|কৃপণ|হিংস"")),""valence-target অমিল"",""""),IF(COUNTIF($B:$B,B1812)&gt;1,""ডুপ্লিকেট"",""""))"),"figurative ছোট")</f>
        <v>figurative ছোট</v>
      </c>
      <c r="Q1812" s="5" t="str">
        <f t="shared" si="1"/>
        <v>১ আগে দেখো</v>
      </c>
    </row>
    <row r="1813">
      <c r="A1813" s="4">
        <v>7442.0</v>
      </c>
      <c r="B1813" s="2" t="s">
        <v>7153</v>
      </c>
      <c r="C1813" s="2" t="s">
        <v>7153</v>
      </c>
      <c r="D1813" s="2" t="s">
        <v>7154</v>
      </c>
      <c r="E1813" s="2" t="s">
        <v>7155</v>
      </c>
      <c r="F1813" s="2" t="b">
        <v>1</v>
      </c>
      <c r="G1813" s="2" t="b">
        <v>0</v>
      </c>
      <c r="H1813" s="2" t="s">
        <v>37</v>
      </c>
      <c r="I1813" s="2" t="s">
        <v>32</v>
      </c>
      <c r="J1813" s="2" t="s">
        <v>7154</v>
      </c>
      <c r="K1813" s="2" t="s">
        <v>495</v>
      </c>
      <c r="L1813" s="13" t="s">
        <v>496</v>
      </c>
      <c r="M1813" s="2" t="s">
        <v>26</v>
      </c>
      <c r="N1813" s="11" t="s">
        <v>576</v>
      </c>
      <c r="O1813" s="12" t="s">
        <v>53</v>
      </c>
      <c r="P1813" s="5" t="str">
        <f>IFERROR(__xludf.DUMMYFUNCTION("TEXTJOIN("" | "",TRUE,IF(OR(D1813="""",E1813="""",I1813="""",J1813="""",H1813=""""),""ফাঁকা ঘর"",""""),IF(AND(C1813&lt;&gt;"""",D1813&lt;&gt;"""",C1813=D1813),""gloss=figurative"",""""),IF(LEN(D1813)&lt;15,""figurative ছোট"",""""),IF(AND(I1813=""Positive"",REGEXMATCH(H1"&amp;"813,""মূর্খ|ভণ্ড|প্রতার|অলস|লোভ|স্বার্থ|অক্ষম|অযোগ্য|বোকা|কৃপণ|হিংস"")),""valence-target অমিল"",""""),IF(COUNTIF($B:$B,B1813)&gt;1,""ডুপ্লিকেট"",""""))"),"figurative ছোট")</f>
        <v>figurative ছোট</v>
      </c>
      <c r="Q1813" s="5" t="str">
        <f t="shared" si="1"/>
        <v>১ আগে দেখো</v>
      </c>
    </row>
    <row r="1814">
      <c r="A1814" s="4">
        <v>7443.0</v>
      </c>
      <c r="B1814" s="2" t="s">
        <v>7156</v>
      </c>
      <c r="C1814" s="2" t="s">
        <v>7157</v>
      </c>
      <c r="D1814" s="2" t="s">
        <v>447</v>
      </c>
      <c r="E1814" s="2" t="s">
        <v>7158</v>
      </c>
      <c r="F1814" s="2" t="b">
        <v>1</v>
      </c>
      <c r="G1814" s="2" t="b">
        <v>0</v>
      </c>
      <c r="H1814" s="2" t="s">
        <v>37</v>
      </c>
      <c r="I1814" s="2" t="s">
        <v>22</v>
      </c>
      <c r="J1814" s="2" t="s">
        <v>447</v>
      </c>
      <c r="K1814" s="2" t="s">
        <v>495</v>
      </c>
      <c r="L1814" s="13" t="s">
        <v>496</v>
      </c>
      <c r="M1814" s="2" t="s">
        <v>26</v>
      </c>
      <c r="N1814" s="11" t="s">
        <v>576</v>
      </c>
      <c r="O1814" s="12" t="s">
        <v>53</v>
      </c>
      <c r="P1814" s="5" t="str">
        <f>IFERROR(__xludf.DUMMYFUNCTION("TEXTJOIN("" | "",TRUE,IF(OR(D1814="""",E1814="""",I1814="""",J1814="""",H1814=""""),""ফাঁকা ঘর"",""""),IF(AND(C1814&lt;&gt;"""",D1814&lt;&gt;"""",C1814=D1814),""gloss=figurative"",""""),IF(LEN(D1814)&lt;15,""figurative ছোট"",""""),IF(AND(I1814=""Positive"",REGEXMATCH(H1"&amp;"814,""মূর্খ|ভণ্ড|প্রতার|অলস|লোভ|স্বার্থ|অক্ষম|অযোগ্য|বোকা|কৃপণ|হিংস"")),""valence-target অমিল"",""""),IF(COUNTIF($B:$B,B1814)&gt;1,""ডুপ্লিকেট"",""""))"),"figurative ছোট")</f>
        <v>figurative ছোট</v>
      </c>
      <c r="Q1814" s="5" t="str">
        <f t="shared" si="1"/>
        <v>১ আগে দেখো</v>
      </c>
    </row>
    <row r="1815">
      <c r="A1815" s="4">
        <v>7444.0</v>
      </c>
      <c r="B1815" s="2" t="s">
        <v>7159</v>
      </c>
      <c r="C1815" s="2" t="s">
        <v>7159</v>
      </c>
      <c r="D1815" s="2" t="s">
        <v>2140</v>
      </c>
      <c r="E1815" s="2" t="s">
        <v>7160</v>
      </c>
      <c r="F1815" s="2" t="b">
        <v>1</v>
      </c>
      <c r="G1815" s="2" t="b">
        <v>0</v>
      </c>
      <c r="H1815" s="2" t="s">
        <v>37</v>
      </c>
      <c r="I1815" s="2" t="s">
        <v>49</v>
      </c>
      <c r="J1815" s="2" t="s">
        <v>2140</v>
      </c>
      <c r="K1815" s="2" t="s">
        <v>495</v>
      </c>
      <c r="L1815" s="13" t="s">
        <v>496</v>
      </c>
      <c r="M1815" s="2" t="s">
        <v>26</v>
      </c>
      <c r="N1815" s="11" t="s">
        <v>576</v>
      </c>
      <c r="O1815" s="12" t="s">
        <v>53</v>
      </c>
      <c r="P1815" s="5" t="str">
        <f>IFERROR(__xludf.DUMMYFUNCTION("TEXTJOIN("" | "",TRUE,IF(OR(D1815="""",E1815="""",I1815="""",J1815="""",H1815=""""),""ফাঁকা ঘর"",""""),IF(AND(C1815&lt;&gt;"""",D1815&lt;&gt;"""",C1815=D1815),""gloss=figurative"",""""),IF(LEN(D1815)&lt;15,""figurative ছোট"",""""),IF(AND(I1815=""Positive"",REGEXMATCH(H1"&amp;"815,""মূর্খ|ভণ্ড|প্রতার|অলস|লোভ|স্বার্থ|অক্ষম|অযোগ্য|বোকা|কৃপণ|হিংস"")),""valence-target অমিল"",""""),IF(COUNTIF($B:$B,B1815)&gt;1,""ডুপ্লিকেট"",""""))"),"figurative ছোট")</f>
        <v>figurative ছোট</v>
      </c>
      <c r="Q1815" s="5" t="str">
        <f t="shared" si="1"/>
        <v>১ আগে দেখো</v>
      </c>
    </row>
    <row r="1816">
      <c r="A1816" s="4">
        <v>7445.0</v>
      </c>
      <c r="B1816" s="2" t="s">
        <v>7161</v>
      </c>
      <c r="C1816" s="2" t="s">
        <v>7162</v>
      </c>
      <c r="D1816" s="2" t="s">
        <v>2140</v>
      </c>
      <c r="E1816" s="2" t="s">
        <v>7163</v>
      </c>
      <c r="F1816" s="2" t="b">
        <v>1</v>
      </c>
      <c r="G1816" s="2" t="b">
        <v>0</v>
      </c>
      <c r="H1816" s="2" t="s">
        <v>37</v>
      </c>
      <c r="I1816" s="2" t="s">
        <v>22</v>
      </c>
      <c r="J1816" s="2" t="s">
        <v>2140</v>
      </c>
      <c r="K1816" s="2" t="s">
        <v>495</v>
      </c>
      <c r="L1816" s="13" t="s">
        <v>496</v>
      </c>
      <c r="M1816" s="2" t="s">
        <v>26</v>
      </c>
      <c r="N1816" s="11" t="s">
        <v>576</v>
      </c>
      <c r="O1816" s="12" t="s">
        <v>53</v>
      </c>
      <c r="P1816" s="5" t="str">
        <f>IFERROR(__xludf.DUMMYFUNCTION("TEXTJOIN("" | "",TRUE,IF(OR(D1816="""",E1816="""",I1816="""",J1816="""",H1816=""""),""ফাঁকা ঘর"",""""),IF(AND(C1816&lt;&gt;"""",D1816&lt;&gt;"""",C1816=D1816),""gloss=figurative"",""""),IF(LEN(D1816)&lt;15,""figurative ছোট"",""""),IF(AND(I1816=""Positive"",REGEXMATCH(H1"&amp;"816,""মূর্খ|ভণ্ড|প্রতার|অলস|লোভ|স্বার্থ|অক্ষম|অযোগ্য|বোকা|কৃপণ|হিংস"")),""valence-target অমিল"",""""),IF(COUNTIF($B:$B,B1816)&gt;1,""ডুপ্লিকেট"",""""))"),"figurative ছোট")</f>
        <v>figurative ছোট</v>
      </c>
      <c r="Q1816" s="5" t="str">
        <f t="shared" si="1"/>
        <v>১ আগে দেখো</v>
      </c>
    </row>
    <row r="1817">
      <c r="A1817" s="4">
        <v>7446.0</v>
      </c>
      <c r="B1817" s="2" t="s">
        <v>7164</v>
      </c>
      <c r="C1817" s="2" t="s">
        <v>7164</v>
      </c>
      <c r="D1817" s="2" t="s">
        <v>7165</v>
      </c>
      <c r="E1817" s="2" t="s">
        <v>7166</v>
      </c>
      <c r="F1817" s="2" t="b">
        <v>1</v>
      </c>
      <c r="G1817" s="2" t="b">
        <v>0</v>
      </c>
      <c r="H1817" s="2" t="s">
        <v>37</v>
      </c>
      <c r="I1817" s="2" t="s">
        <v>49</v>
      </c>
      <c r="J1817" s="2" t="s">
        <v>2140</v>
      </c>
      <c r="K1817" s="2" t="s">
        <v>495</v>
      </c>
      <c r="L1817" s="13" t="s">
        <v>496</v>
      </c>
      <c r="M1817" s="2" t="s">
        <v>26</v>
      </c>
      <c r="N1817" s="11" t="s">
        <v>7167</v>
      </c>
      <c r="O1817" s="12" t="s">
        <v>53</v>
      </c>
      <c r="P1817" s="5" t="str">
        <f>IFERROR(__xludf.DUMMYFUNCTION("TEXTJOIN("" | "",TRUE,IF(OR(D1817="""",E1817="""",I1817="""",J1817="""",H1817=""""),""ফাঁকা ঘর"",""""),IF(AND(C1817&lt;&gt;"""",D1817&lt;&gt;"""",C1817=D1817),""gloss=figurative"",""""),IF(LEN(D1817)&lt;15,""figurative ছোট"",""""),IF(AND(I1817=""Positive"",REGEXMATCH(H1"&amp;"817,""মূর্খ|ভণ্ড|প্রতার|অলস|লোভ|স্বার্থ|অক্ষম|অযোগ্য|বোকা|কৃপণ|হিংস"")),""valence-target অমিল"",""""),IF(COUNTIF($B:$B,B1817)&gt;1,""ডুপ্লিকেট"",""""))"),"figurative ছোট")</f>
        <v>figurative ছোট</v>
      </c>
      <c r="Q1817" s="5" t="str">
        <f t="shared" si="1"/>
        <v>১ আগে দেখো</v>
      </c>
    </row>
    <row r="1818">
      <c r="A1818" s="4">
        <v>7447.0</v>
      </c>
      <c r="B1818" s="2" t="s">
        <v>7168</v>
      </c>
      <c r="C1818" s="2" t="s">
        <v>7169</v>
      </c>
      <c r="D1818" s="2" t="s">
        <v>891</v>
      </c>
      <c r="E1818" s="2" t="s">
        <v>6539</v>
      </c>
      <c r="F1818" s="2" t="b">
        <v>1</v>
      </c>
      <c r="G1818" s="2" t="b">
        <v>0</v>
      </c>
      <c r="H1818" s="2" t="s">
        <v>37</v>
      </c>
      <c r="I1818" s="2" t="s">
        <v>22</v>
      </c>
      <c r="J1818" s="2" t="s">
        <v>2255</v>
      </c>
      <c r="K1818" s="2" t="s">
        <v>495</v>
      </c>
      <c r="L1818" s="13" t="s">
        <v>496</v>
      </c>
      <c r="M1818" s="2" t="s">
        <v>26</v>
      </c>
      <c r="N1818" s="11" t="s">
        <v>576</v>
      </c>
      <c r="O1818" s="12" t="s">
        <v>53</v>
      </c>
      <c r="P1818" s="5" t="str">
        <f>IFERROR(__xludf.DUMMYFUNCTION("TEXTJOIN("" | "",TRUE,IF(OR(D1818="""",E1818="""",I1818="""",J1818="""",H1818=""""),""ফাঁকা ঘর"",""""),IF(AND(C1818&lt;&gt;"""",D1818&lt;&gt;"""",C1818=D1818),""gloss=figurative"",""""),IF(LEN(D1818)&lt;15,""figurative ছোট"",""""),IF(AND(I1818=""Positive"",REGEXMATCH(H1"&amp;"818,""মূর্খ|ভণ্ড|প্রতার|অলস|লোভ|স্বার্থ|অক্ষম|অযোগ্য|বোকা|কৃপণ|হিংস"")),""valence-target অমিল"",""""),IF(COUNTIF($B:$B,B1818)&gt;1,""ডুপ্লিকেট"",""""))"),"figurative ছোট")</f>
        <v>figurative ছোট</v>
      </c>
      <c r="Q1818" s="5" t="str">
        <f t="shared" si="1"/>
        <v>১ আগে দেখো</v>
      </c>
    </row>
    <row r="1819">
      <c r="A1819" s="4">
        <v>7448.0</v>
      </c>
      <c r="B1819" s="2" t="s">
        <v>7170</v>
      </c>
      <c r="C1819" s="2" t="s">
        <v>7171</v>
      </c>
      <c r="D1819" s="2" t="s">
        <v>1684</v>
      </c>
      <c r="E1819" s="2" t="s">
        <v>6542</v>
      </c>
      <c r="F1819" s="2" t="b">
        <v>1</v>
      </c>
      <c r="G1819" s="2" t="b">
        <v>0</v>
      </c>
      <c r="H1819" s="2" t="s">
        <v>37</v>
      </c>
      <c r="I1819" s="2" t="s">
        <v>22</v>
      </c>
      <c r="J1819" s="2" t="s">
        <v>1686</v>
      </c>
      <c r="K1819" s="2" t="s">
        <v>495</v>
      </c>
      <c r="L1819" s="13" t="s">
        <v>496</v>
      </c>
      <c r="M1819" s="2" t="s">
        <v>26</v>
      </c>
      <c r="N1819" s="11" t="s">
        <v>576</v>
      </c>
      <c r="O1819" s="12" t="s">
        <v>53</v>
      </c>
      <c r="P1819" s="5" t="str">
        <f>IFERROR(__xludf.DUMMYFUNCTION("TEXTJOIN("" | "",TRUE,IF(OR(D1819="""",E1819="""",I1819="""",J1819="""",H1819=""""),""ফাঁকা ঘর"",""""),IF(AND(C1819&lt;&gt;"""",D1819&lt;&gt;"""",C1819=D1819),""gloss=figurative"",""""),IF(LEN(D1819)&lt;15,""figurative ছোট"",""""),IF(AND(I1819=""Positive"",REGEXMATCH(H1"&amp;"819,""মূর্খ|ভণ্ড|প্রতার|অলস|লোভ|স্বার্থ|অক্ষম|অযোগ্য|বোকা|কৃপণ|হিংস"")),""valence-target অমিল"",""""),IF(COUNTIF($B:$B,B1819)&gt;1,""ডুপ্লিকেট"",""""))"),"figurative ছোট")</f>
        <v>figurative ছোট</v>
      </c>
      <c r="Q1819" s="5" t="str">
        <f t="shared" si="1"/>
        <v>১ আগে দেখো</v>
      </c>
    </row>
    <row r="1820">
      <c r="A1820" s="4">
        <v>7449.0</v>
      </c>
      <c r="B1820" s="2" t="s">
        <v>7172</v>
      </c>
      <c r="C1820" s="2" t="s">
        <v>7173</v>
      </c>
      <c r="D1820" s="2" t="s">
        <v>2575</v>
      </c>
      <c r="E1820" s="2" t="s">
        <v>7174</v>
      </c>
      <c r="F1820" s="2" t="b">
        <v>1</v>
      </c>
      <c r="G1820" s="2" t="b">
        <v>0</v>
      </c>
      <c r="H1820" s="2" t="s">
        <v>37</v>
      </c>
      <c r="I1820" s="2" t="s">
        <v>49</v>
      </c>
      <c r="J1820" s="2" t="s">
        <v>2575</v>
      </c>
      <c r="K1820" s="2" t="s">
        <v>495</v>
      </c>
      <c r="L1820" s="13" t="s">
        <v>496</v>
      </c>
      <c r="M1820" s="2" t="s">
        <v>26</v>
      </c>
      <c r="N1820" s="11" t="s">
        <v>576</v>
      </c>
      <c r="O1820" s="12" t="s">
        <v>53</v>
      </c>
      <c r="P1820" s="5" t="str">
        <f>IFERROR(__xludf.DUMMYFUNCTION("TEXTJOIN("" | "",TRUE,IF(OR(D1820="""",E1820="""",I1820="""",J1820="""",H1820=""""),""ফাঁকা ঘর"",""""),IF(AND(C1820&lt;&gt;"""",D1820&lt;&gt;"""",C1820=D1820),""gloss=figurative"",""""),IF(LEN(D1820)&lt;15,""figurative ছোট"",""""),IF(AND(I1820=""Positive"",REGEXMATCH(H1"&amp;"820,""মূর্খ|ভণ্ড|প্রতার|অলস|লোভ|স্বার্থ|অক্ষম|অযোগ্য|বোকা|কৃপণ|হিংস"")),""valence-target অমিল"",""""),IF(COUNTIF($B:$B,B1820)&gt;1,""ডুপ্লিকেট"",""""))"),"figurative ছোট")</f>
        <v>figurative ছোট</v>
      </c>
      <c r="Q1820" s="5" t="str">
        <f t="shared" si="1"/>
        <v>১ আগে দেখো</v>
      </c>
    </row>
    <row r="1821">
      <c r="A1821" s="4">
        <v>7450.0</v>
      </c>
      <c r="B1821" s="2" t="s">
        <v>7175</v>
      </c>
      <c r="C1821" s="2" t="s">
        <v>7176</v>
      </c>
      <c r="D1821" s="2" t="s">
        <v>3416</v>
      </c>
      <c r="E1821" s="2" t="s">
        <v>7177</v>
      </c>
      <c r="F1821" s="2" t="b">
        <v>1</v>
      </c>
      <c r="G1821" s="2" t="b">
        <v>0</v>
      </c>
      <c r="H1821" s="2" t="s">
        <v>37</v>
      </c>
      <c r="I1821" s="2" t="s">
        <v>49</v>
      </c>
      <c r="J1821" s="2" t="s">
        <v>3416</v>
      </c>
      <c r="K1821" s="2" t="s">
        <v>495</v>
      </c>
      <c r="L1821" s="13" t="s">
        <v>496</v>
      </c>
      <c r="M1821" s="2" t="s">
        <v>26</v>
      </c>
      <c r="N1821" s="11" t="s">
        <v>576</v>
      </c>
      <c r="O1821" s="12" t="s">
        <v>53</v>
      </c>
      <c r="P1821" s="5" t="str">
        <f>IFERROR(__xludf.DUMMYFUNCTION("TEXTJOIN("" | "",TRUE,IF(OR(D1821="""",E1821="""",I1821="""",J1821="""",H1821=""""),""ফাঁকা ঘর"",""""),IF(AND(C1821&lt;&gt;"""",D1821&lt;&gt;"""",C1821=D1821),""gloss=figurative"",""""),IF(LEN(D1821)&lt;15,""figurative ছোট"",""""),IF(AND(I1821=""Positive"",REGEXMATCH(H1"&amp;"821,""মূর্খ|ভণ্ড|প্রতার|অলস|লোভ|স্বার্থ|অক্ষম|অযোগ্য|বোকা|কৃপণ|হিংস"")),""valence-target অমিল"",""""),IF(COUNTIF($B:$B,B1821)&gt;1,""ডুপ্লিকেট"",""""))"),"figurative ছোট")</f>
        <v>figurative ছোট</v>
      </c>
      <c r="Q1821" s="5" t="str">
        <f t="shared" si="1"/>
        <v>১ আগে দেখো</v>
      </c>
    </row>
    <row r="1822">
      <c r="A1822" s="4">
        <v>7451.0</v>
      </c>
      <c r="B1822" s="2" t="s">
        <v>7178</v>
      </c>
      <c r="C1822" s="2" t="s">
        <v>7179</v>
      </c>
      <c r="D1822" s="2" t="s">
        <v>3416</v>
      </c>
      <c r="E1822" s="2" t="s">
        <v>7180</v>
      </c>
      <c r="F1822" s="2" t="b">
        <v>1</v>
      </c>
      <c r="G1822" s="2" t="b">
        <v>0</v>
      </c>
      <c r="H1822" s="2" t="s">
        <v>37</v>
      </c>
      <c r="I1822" s="2" t="s">
        <v>32</v>
      </c>
      <c r="J1822" s="2" t="s">
        <v>3416</v>
      </c>
      <c r="K1822" s="2" t="s">
        <v>495</v>
      </c>
      <c r="L1822" s="13" t="s">
        <v>496</v>
      </c>
      <c r="M1822" s="2" t="s">
        <v>26</v>
      </c>
      <c r="N1822" s="11" t="s">
        <v>576</v>
      </c>
      <c r="O1822" s="12" t="s">
        <v>53</v>
      </c>
      <c r="P1822" s="5" t="str">
        <f>IFERROR(__xludf.DUMMYFUNCTION("TEXTJOIN("" | "",TRUE,IF(OR(D1822="""",E1822="""",I1822="""",J1822="""",H1822=""""),""ফাঁকা ঘর"",""""),IF(AND(C1822&lt;&gt;"""",D1822&lt;&gt;"""",C1822=D1822),""gloss=figurative"",""""),IF(LEN(D1822)&lt;15,""figurative ছোট"",""""),IF(AND(I1822=""Positive"",REGEXMATCH(H1"&amp;"822,""মূর্খ|ভণ্ড|প্রতার|অলস|লোভ|স্বার্থ|অক্ষম|অযোগ্য|বোকা|কৃপণ|হিংস"")),""valence-target অমিল"",""""),IF(COUNTIF($B:$B,B1822)&gt;1,""ডুপ্লিকেট"",""""))"),"figurative ছোট")</f>
        <v>figurative ছোট</v>
      </c>
      <c r="Q1822" s="5" t="str">
        <f t="shared" si="1"/>
        <v>১ আগে দেখো</v>
      </c>
    </row>
    <row r="1823">
      <c r="A1823" s="4">
        <v>7452.0</v>
      </c>
      <c r="B1823" s="2" t="s">
        <v>7181</v>
      </c>
      <c r="C1823" s="2" t="s">
        <v>7182</v>
      </c>
      <c r="D1823" s="2" t="s">
        <v>565</v>
      </c>
      <c r="E1823" s="2" t="s">
        <v>7183</v>
      </c>
      <c r="F1823" s="2" t="b">
        <v>1</v>
      </c>
      <c r="G1823" s="2" t="b">
        <v>0</v>
      </c>
      <c r="H1823" s="2" t="s">
        <v>37</v>
      </c>
      <c r="I1823" s="2" t="s">
        <v>49</v>
      </c>
      <c r="J1823" s="2" t="s">
        <v>565</v>
      </c>
      <c r="K1823" s="2" t="s">
        <v>495</v>
      </c>
      <c r="L1823" s="13" t="s">
        <v>496</v>
      </c>
      <c r="M1823" s="2" t="s">
        <v>26</v>
      </c>
      <c r="N1823" s="11" t="s">
        <v>576</v>
      </c>
      <c r="O1823" s="12" t="s">
        <v>53</v>
      </c>
      <c r="P1823" s="5" t="str">
        <f>IFERROR(__xludf.DUMMYFUNCTION("TEXTJOIN("" | "",TRUE,IF(OR(D1823="""",E1823="""",I1823="""",J1823="""",H1823=""""),""ফাঁকা ঘর"",""""),IF(AND(C1823&lt;&gt;"""",D1823&lt;&gt;"""",C1823=D1823),""gloss=figurative"",""""),IF(LEN(D1823)&lt;15,""figurative ছোট"",""""),IF(AND(I1823=""Positive"",REGEXMATCH(H1"&amp;"823,""মূর্খ|ভণ্ড|প্রতার|অলস|লোভ|স্বার্থ|অক্ষম|অযোগ্য|বোকা|কৃপণ|হিংস"")),""valence-target অমিল"",""""),IF(COUNTIF($B:$B,B1823)&gt;1,""ডুপ্লিকেট"",""""))"),"figurative ছোট")</f>
        <v>figurative ছোট</v>
      </c>
      <c r="Q1823" s="5" t="str">
        <f t="shared" si="1"/>
        <v>১ আগে দেখো</v>
      </c>
    </row>
    <row r="1824">
      <c r="A1824" s="4">
        <v>7453.0</v>
      </c>
      <c r="B1824" s="2" t="s">
        <v>7184</v>
      </c>
      <c r="C1824" s="2" t="s">
        <v>7185</v>
      </c>
      <c r="D1824" s="2" t="s">
        <v>7186</v>
      </c>
      <c r="E1824" s="2" t="s">
        <v>7187</v>
      </c>
      <c r="F1824" s="2" t="b">
        <v>1</v>
      </c>
      <c r="G1824" s="2" t="b">
        <v>1</v>
      </c>
      <c r="H1824" s="2" t="s">
        <v>1106</v>
      </c>
      <c r="I1824" s="2" t="s">
        <v>49</v>
      </c>
      <c r="J1824" s="2" t="s">
        <v>1315</v>
      </c>
      <c r="K1824" s="2" t="s">
        <v>495</v>
      </c>
      <c r="L1824" s="13" t="s">
        <v>496</v>
      </c>
      <c r="M1824" s="2" t="s">
        <v>26</v>
      </c>
      <c r="N1824" s="11" t="s">
        <v>7188</v>
      </c>
      <c r="O1824" s="12" t="s">
        <v>53</v>
      </c>
      <c r="P1824" s="5" t="str">
        <f>IFERROR(__xludf.DUMMYFUNCTION("TEXTJOIN("" | "",TRUE,IF(OR(D1824="""",E1824="""",I1824="""",J1824="""",H1824=""""),""ফাঁকা ঘর"",""""),IF(AND(C1824&lt;&gt;"""",D1824&lt;&gt;"""",C1824=D1824),""gloss=figurative"",""""),IF(LEN(D1824)&lt;15,""figurative ছোট"",""""),IF(AND(I1824=""Positive"",REGEXMATCH(H1"&amp;"824,""মূর্খ|ভণ্ড|প্রতার|অলস|লোভ|স্বার্থ|অক্ষম|অযোগ্য|বোকা|কৃপণ|হিংস"")),""valence-target অমিল"",""""),IF(COUNTIF($B:$B,B1824)&gt;1,""ডুপ্লিকেট"",""""))"),"figurative ছোট")</f>
        <v>figurative ছোট</v>
      </c>
      <c r="Q1824" s="5" t="str">
        <f t="shared" si="1"/>
        <v>১ আগে দেখো</v>
      </c>
    </row>
    <row r="1825">
      <c r="A1825" s="4">
        <v>7454.0</v>
      </c>
      <c r="B1825" s="2" t="s">
        <v>7189</v>
      </c>
      <c r="C1825" s="2" t="s">
        <v>7190</v>
      </c>
      <c r="D1825" s="2" t="s">
        <v>7191</v>
      </c>
      <c r="E1825" s="2" t="s">
        <v>7192</v>
      </c>
      <c r="F1825" s="2" t="b">
        <v>1</v>
      </c>
      <c r="G1825" s="2" t="b">
        <v>1</v>
      </c>
      <c r="H1825" s="2" t="s">
        <v>1106</v>
      </c>
      <c r="I1825" s="2" t="s">
        <v>49</v>
      </c>
      <c r="J1825" s="2" t="s">
        <v>1315</v>
      </c>
      <c r="K1825" s="2" t="s">
        <v>495</v>
      </c>
      <c r="L1825" s="13" t="s">
        <v>496</v>
      </c>
      <c r="M1825" s="2" t="s">
        <v>26</v>
      </c>
      <c r="N1825" s="11" t="s">
        <v>7193</v>
      </c>
      <c r="O1825" s="12" t="s">
        <v>53</v>
      </c>
      <c r="P1825" s="5" t="str">
        <f>IFERROR(__xludf.DUMMYFUNCTION("TEXTJOIN("" | "",TRUE,IF(OR(D1825="""",E1825="""",I1825="""",J1825="""",H1825=""""),""ফাঁকা ঘর"",""""),IF(AND(C1825&lt;&gt;"""",D1825&lt;&gt;"""",C1825=D1825),""gloss=figurative"",""""),IF(LEN(D1825)&lt;15,""figurative ছোট"",""""),IF(AND(I1825=""Positive"",REGEXMATCH(H1"&amp;"825,""মূর্খ|ভণ্ড|প্রতার|অলস|লোভ|স্বার্থ|অক্ষম|অযোগ্য|বোকা|কৃপণ|হিংস"")),""valence-target অমিল"",""""),IF(COUNTIF($B:$B,B1825)&gt;1,""ডুপ্লিকেট"",""""))"),"figurative ছোট")</f>
        <v>figurative ছোট</v>
      </c>
      <c r="Q1825" s="5" t="str">
        <f t="shared" si="1"/>
        <v>১ আগে দেখো</v>
      </c>
    </row>
    <row r="1826">
      <c r="A1826" s="4">
        <v>7455.0</v>
      </c>
      <c r="B1826" s="2" t="s">
        <v>7194</v>
      </c>
      <c r="C1826" s="2" t="s">
        <v>7195</v>
      </c>
      <c r="D1826" s="2" t="s">
        <v>708</v>
      </c>
      <c r="E1826" s="2" t="s">
        <v>7196</v>
      </c>
      <c r="F1826" s="2" t="b">
        <v>1</v>
      </c>
      <c r="G1826" s="2" t="b">
        <v>0</v>
      </c>
      <c r="H1826" s="2" t="s">
        <v>37</v>
      </c>
      <c r="I1826" s="2" t="s">
        <v>49</v>
      </c>
      <c r="J1826" s="2" t="s">
        <v>708</v>
      </c>
      <c r="K1826" s="2" t="s">
        <v>495</v>
      </c>
      <c r="L1826" s="13" t="s">
        <v>496</v>
      </c>
      <c r="M1826" s="2" t="s">
        <v>26</v>
      </c>
      <c r="N1826" s="11" t="s">
        <v>576</v>
      </c>
      <c r="O1826" s="12" t="s">
        <v>53</v>
      </c>
      <c r="P1826" s="5" t="str">
        <f>IFERROR(__xludf.DUMMYFUNCTION("TEXTJOIN("" | "",TRUE,IF(OR(D1826="""",E1826="""",I1826="""",J1826="""",H1826=""""),""ফাঁকা ঘর"",""""),IF(AND(C1826&lt;&gt;"""",D1826&lt;&gt;"""",C1826=D1826),""gloss=figurative"",""""),IF(LEN(D1826)&lt;15,""figurative ছোট"",""""),IF(AND(I1826=""Positive"",REGEXMATCH(H1"&amp;"826,""মূর্খ|ভণ্ড|প্রতার|অলস|লোভ|স্বার্থ|অক্ষম|অযোগ্য|বোকা|কৃপণ|হিংস"")),""valence-target অমিল"",""""),IF(COUNTIF($B:$B,B1826)&gt;1,""ডুপ্লিকেট"",""""))"),"figurative ছোট")</f>
        <v>figurative ছোট</v>
      </c>
      <c r="Q1826" s="5" t="str">
        <f t="shared" si="1"/>
        <v>১ আগে দেখো</v>
      </c>
    </row>
    <row r="1827">
      <c r="A1827" s="4">
        <v>7456.0</v>
      </c>
      <c r="B1827" s="2" t="s">
        <v>7197</v>
      </c>
      <c r="C1827" s="2" t="s">
        <v>7198</v>
      </c>
      <c r="D1827" s="2" t="s">
        <v>7199</v>
      </c>
      <c r="E1827" s="2" t="s">
        <v>7200</v>
      </c>
      <c r="F1827" s="2" t="b">
        <v>1</v>
      </c>
      <c r="G1827" s="2" t="b">
        <v>0</v>
      </c>
      <c r="H1827" s="2" t="s">
        <v>37</v>
      </c>
      <c r="I1827" s="2" t="s">
        <v>49</v>
      </c>
      <c r="J1827" s="2" t="s">
        <v>7199</v>
      </c>
      <c r="K1827" s="2" t="s">
        <v>495</v>
      </c>
      <c r="L1827" s="13" t="s">
        <v>496</v>
      </c>
      <c r="M1827" s="2" t="s">
        <v>26</v>
      </c>
      <c r="N1827" s="11" t="s">
        <v>576</v>
      </c>
      <c r="O1827" s="12" t="s">
        <v>53</v>
      </c>
      <c r="P1827" s="5" t="str">
        <f>IFERROR(__xludf.DUMMYFUNCTION("TEXTJOIN("" | "",TRUE,IF(OR(D1827="""",E1827="""",I1827="""",J1827="""",H1827=""""),""ফাঁকা ঘর"",""""),IF(AND(C1827&lt;&gt;"""",D1827&lt;&gt;"""",C1827=D1827),""gloss=figurative"",""""),IF(LEN(D1827)&lt;15,""figurative ছোট"",""""),IF(AND(I1827=""Positive"",REGEXMATCH(H1"&amp;"827,""মূর্খ|ভণ্ড|প্রতার|অলস|লোভ|স্বার্থ|অক্ষম|অযোগ্য|বোকা|কৃপণ|হিংস"")),""valence-target অমিল"",""""),IF(COUNTIF($B:$B,B1827)&gt;1,""ডুপ্লিকেট"",""""))"),"figurative ছোট")</f>
        <v>figurative ছোট</v>
      </c>
      <c r="Q1827" s="5" t="str">
        <f t="shared" si="1"/>
        <v>১ আগে দেখো</v>
      </c>
    </row>
    <row r="1828">
      <c r="A1828" s="4">
        <v>7457.0</v>
      </c>
      <c r="B1828" s="2" t="s">
        <v>7201</v>
      </c>
      <c r="C1828" s="2" t="s">
        <v>7202</v>
      </c>
      <c r="D1828" s="2" t="s">
        <v>3032</v>
      </c>
      <c r="E1828" s="2" t="s">
        <v>7203</v>
      </c>
      <c r="F1828" s="2" t="b">
        <v>1</v>
      </c>
      <c r="G1828" s="2" t="b">
        <v>0</v>
      </c>
      <c r="H1828" s="2" t="s">
        <v>37</v>
      </c>
      <c r="I1828" s="2" t="s">
        <v>22</v>
      </c>
      <c r="J1828" s="2" t="s">
        <v>3032</v>
      </c>
      <c r="K1828" s="2" t="s">
        <v>495</v>
      </c>
      <c r="L1828" s="13" t="s">
        <v>496</v>
      </c>
      <c r="M1828" s="2" t="s">
        <v>26</v>
      </c>
      <c r="N1828" s="11" t="s">
        <v>576</v>
      </c>
      <c r="O1828" s="12" t="s">
        <v>53</v>
      </c>
      <c r="P1828" s="5" t="str">
        <f>IFERROR(__xludf.DUMMYFUNCTION("TEXTJOIN("" | "",TRUE,IF(OR(D1828="""",E1828="""",I1828="""",J1828="""",H1828=""""),""ফাঁকা ঘর"",""""),IF(AND(C1828&lt;&gt;"""",D1828&lt;&gt;"""",C1828=D1828),""gloss=figurative"",""""),IF(LEN(D1828)&lt;15,""figurative ছোট"",""""),IF(AND(I1828=""Positive"",REGEXMATCH(H1"&amp;"828,""মূর্খ|ভণ্ড|প্রতার|অলস|লোভ|স্বার্থ|অক্ষম|অযোগ্য|বোকা|কৃপণ|হিংস"")),""valence-target অমিল"",""""),IF(COUNTIF($B:$B,B1828)&gt;1,""ডুপ্লিকেট"",""""))"),"figurative ছোট")</f>
        <v>figurative ছোট</v>
      </c>
      <c r="Q1828" s="5" t="str">
        <f t="shared" si="1"/>
        <v>১ আগে দেখো</v>
      </c>
    </row>
    <row r="1829">
      <c r="A1829" s="4">
        <v>7458.0</v>
      </c>
      <c r="B1829" s="2" t="s">
        <v>7204</v>
      </c>
      <c r="C1829" s="2" t="s">
        <v>7205</v>
      </c>
      <c r="D1829" s="2" t="s">
        <v>7206</v>
      </c>
      <c r="E1829" s="2" t="s">
        <v>7207</v>
      </c>
      <c r="F1829" s="2" t="b">
        <v>1</v>
      </c>
      <c r="G1829" s="2" t="b">
        <v>1</v>
      </c>
      <c r="H1829" s="2" t="s">
        <v>2173</v>
      </c>
      <c r="I1829" s="2" t="s">
        <v>49</v>
      </c>
      <c r="J1829" s="2" t="s">
        <v>1137</v>
      </c>
      <c r="K1829" s="2" t="s">
        <v>495</v>
      </c>
      <c r="L1829" s="13" t="s">
        <v>496</v>
      </c>
      <c r="M1829" s="2" t="s">
        <v>26</v>
      </c>
      <c r="N1829" s="11" t="s">
        <v>576</v>
      </c>
      <c r="O1829" s="12" t="s">
        <v>53</v>
      </c>
      <c r="P1829" s="5" t="str">
        <f>IFERROR(__xludf.DUMMYFUNCTION("TEXTJOIN("" | "",TRUE,IF(OR(D1829="""",E1829="""",I1829="""",J1829="""",H1829=""""),""ফাঁকা ঘর"",""""),IF(AND(C1829&lt;&gt;"""",D1829&lt;&gt;"""",C1829=D1829),""gloss=figurative"",""""),IF(LEN(D1829)&lt;15,""figurative ছোট"",""""),IF(AND(I1829=""Positive"",REGEXMATCH(H1"&amp;"829,""মূর্খ|ভণ্ড|প্রতার|অলস|লোভ|স্বার্থ|অক্ষম|অযোগ্য|বোকা|কৃপণ|হিংস"")),""valence-target অমিল"",""""),IF(COUNTIF($B:$B,B1829)&gt;1,""ডুপ্লিকেট"",""""))"),"figurative ছোট")</f>
        <v>figurative ছোট</v>
      </c>
      <c r="Q1829" s="5" t="str">
        <f t="shared" si="1"/>
        <v>১ আগে দেখো</v>
      </c>
    </row>
    <row r="1830">
      <c r="A1830" s="4">
        <v>7459.0</v>
      </c>
      <c r="B1830" s="2" t="s">
        <v>7208</v>
      </c>
      <c r="C1830" s="2" t="s">
        <v>7209</v>
      </c>
      <c r="D1830" s="2" t="s">
        <v>2629</v>
      </c>
      <c r="E1830" s="2" t="s">
        <v>7210</v>
      </c>
      <c r="F1830" s="2" t="b">
        <v>1</v>
      </c>
      <c r="G1830" s="2" t="b">
        <v>0</v>
      </c>
      <c r="H1830" s="2" t="s">
        <v>37</v>
      </c>
      <c r="I1830" s="2" t="s">
        <v>49</v>
      </c>
      <c r="J1830" s="2" t="s">
        <v>2629</v>
      </c>
      <c r="K1830" s="2" t="s">
        <v>495</v>
      </c>
      <c r="L1830" s="13" t="s">
        <v>496</v>
      </c>
      <c r="M1830" s="2" t="s">
        <v>26</v>
      </c>
      <c r="N1830" s="11" t="s">
        <v>576</v>
      </c>
      <c r="O1830" s="12" t="s">
        <v>53</v>
      </c>
      <c r="P1830" s="5" t="str">
        <f>IFERROR(__xludf.DUMMYFUNCTION("TEXTJOIN("" | "",TRUE,IF(OR(D1830="""",E1830="""",I1830="""",J1830="""",H1830=""""),""ফাঁকা ঘর"",""""),IF(AND(C1830&lt;&gt;"""",D1830&lt;&gt;"""",C1830=D1830),""gloss=figurative"",""""),IF(LEN(D1830)&lt;15,""figurative ছোট"",""""),IF(AND(I1830=""Positive"",REGEXMATCH(H1"&amp;"830,""মূর্খ|ভণ্ড|প্রতার|অলস|লোভ|স্বার্থ|অক্ষম|অযোগ্য|বোকা|কৃপণ|হিংস"")),""valence-target অমিল"",""""),IF(COUNTIF($B:$B,B1830)&gt;1,""ডুপ্লিকেট"",""""))"),"figurative ছোট")</f>
        <v>figurative ছোট</v>
      </c>
      <c r="Q1830" s="5" t="str">
        <f t="shared" si="1"/>
        <v>১ আগে দেখো</v>
      </c>
    </row>
    <row r="1831">
      <c r="A1831" s="4">
        <v>7460.0</v>
      </c>
      <c r="B1831" s="2" t="s">
        <v>7211</v>
      </c>
      <c r="C1831" s="2" t="s">
        <v>7212</v>
      </c>
      <c r="D1831" s="2" t="s">
        <v>6577</v>
      </c>
      <c r="E1831" s="2" t="s">
        <v>7213</v>
      </c>
      <c r="F1831" s="2" t="b">
        <v>1</v>
      </c>
      <c r="G1831" s="2" t="b">
        <v>0</v>
      </c>
      <c r="H1831" s="2" t="s">
        <v>37</v>
      </c>
      <c r="I1831" s="2" t="s">
        <v>22</v>
      </c>
      <c r="J1831" s="2" t="s">
        <v>665</v>
      </c>
      <c r="K1831" s="2" t="s">
        <v>495</v>
      </c>
      <c r="L1831" s="13" t="s">
        <v>496</v>
      </c>
      <c r="M1831" s="2" t="s">
        <v>26</v>
      </c>
      <c r="N1831" s="11" t="s">
        <v>576</v>
      </c>
      <c r="O1831" s="12" t="s">
        <v>53</v>
      </c>
      <c r="P1831" s="5" t="str">
        <f>IFERROR(__xludf.DUMMYFUNCTION("TEXTJOIN("" | "",TRUE,IF(OR(D1831="""",E1831="""",I1831="""",J1831="""",H1831=""""),""ফাঁকা ঘর"",""""),IF(AND(C1831&lt;&gt;"""",D1831&lt;&gt;"""",C1831=D1831),""gloss=figurative"",""""),IF(LEN(D1831)&lt;15,""figurative ছোট"",""""),IF(AND(I1831=""Positive"",REGEXMATCH(H1"&amp;"831,""মূর্খ|ভণ্ড|প্রতার|অলস|লোভ|স্বার্থ|অক্ষম|অযোগ্য|বোকা|কৃপণ|হিংস"")),""valence-target অমিল"",""""),IF(COUNTIF($B:$B,B1831)&gt;1,""ডুপ্লিকেট"",""""))"),"figurative ছোট")</f>
        <v>figurative ছোট</v>
      </c>
      <c r="Q1831" s="5" t="str">
        <f t="shared" si="1"/>
        <v>১ আগে দেখো</v>
      </c>
    </row>
    <row r="1832">
      <c r="A1832" s="4">
        <v>7469.0</v>
      </c>
      <c r="B1832" s="2" t="s">
        <v>7214</v>
      </c>
      <c r="C1832" s="2" t="s">
        <v>7215</v>
      </c>
      <c r="D1832" s="2" t="s">
        <v>7216</v>
      </c>
      <c r="E1832" s="2" t="s">
        <v>7217</v>
      </c>
      <c r="F1832" s="2" t="b">
        <v>1</v>
      </c>
      <c r="G1832" s="2" t="b">
        <v>0</v>
      </c>
      <c r="H1832" s="2" t="s">
        <v>37</v>
      </c>
      <c r="I1832" s="2" t="s">
        <v>49</v>
      </c>
      <c r="J1832" s="2" t="s">
        <v>447</v>
      </c>
      <c r="K1832" s="2" t="s">
        <v>495</v>
      </c>
      <c r="L1832" s="13" t="s">
        <v>496</v>
      </c>
      <c r="M1832" s="2" t="s">
        <v>26</v>
      </c>
      <c r="N1832" s="11" t="s">
        <v>7218</v>
      </c>
      <c r="O1832" s="12" t="s">
        <v>53</v>
      </c>
      <c r="P1832" s="5" t="str">
        <f>IFERROR(__xludf.DUMMYFUNCTION("TEXTJOIN("" | "",TRUE,IF(OR(D1832="""",E1832="""",I1832="""",J1832="""",H1832=""""),""ফাঁকা ঘর"",""""),IF(AND(C1832&lt;&gt;"""",D1832&lt;&gt;"""",C1832=D1832),""gloss=figurative"",""""),IF(LEN(D1832)&lt;15,""figurative ছোট"",""""),IF(AND(I1832=""Positive"",REGEXMATCH(H1"&amp;"832,""মূর্খ|ভণ্ড|প্রতার|অলস|লোভ|স্বার্থ|অক্ষম|অযোগ্য|বোকা|কৃপণ|হিংস"")),""valence-target অমিল"",""""),IF(COUNTIF($B:$B,B1832)&gt;1,""ডুপ্লিকেট"",""""))"),"figurative ছোট")</f>
        <v>figurative ছোট</v>
      </c>
      <c r="Q1832" s="5" t="str">
        <f t="shared" si="1"/>
        <v>১ আগে দেখো</v>
      </c>
    </row>
    <row r="1833">
      <c r="A1833" s="4">
        <v>7470.0</v>
      </c>
      <c r="B1833" s="2" t="s">
        <v>7219</v>
      </c>
      <c r="C1833" s="2" t="s">
        <v>7220</v>
      </c>
      <c r="D1833" s="2" t="s">
        <v>7221</v>
      </c>
      <c r="E1833" s="2" t="s">
        <v>7222</v>
      </c>
      <c r="F1833" s="2" t="b">
        <v>1</v>
      </c>
      <c r="G1833" s="2" t="b">
        <v>0</v>
      </c>
      <c r="H1833" s="2" t="s">
        <v>37</v>
      </c>
      <c r="I1833" s="2" t="s">
        <v>49</v>
      </c>
      <c r="J1833" s="2" t="s">
        <v>1060</v>
      </c>
      <c r="K1833" s="2" t="s">
        <v>495</v>
      </c>
      <c r="L1833" s="13" t="s">
        <v>496</v>
      </c>
      <c r="M1833" s="2" t="s">
        <v>26</v>
      </c>
      <c r="N1833" s="11" t="s">
        <v>576</v>
      </c>
      <c r="O1833" s="12" t="s">
        <v>53</v>
      </c>
      <c r="P1833" s="5" t="str">
        <f>IFERROR(__xludf.DUMMYFUNCTION("TEXTJOIN("" | "",TRUE,IF(OR(D1833="""",E1833="""",I1833="""",J1833="""",H1833=""""),""ফাঁকা ঘর"",""""),IF(AND(C1833&lt;&gt;"""",D1833&lt;&gt;"""",C1833=D1833),""gloss=figurative"",""""),IF(LEN(D1833)&lt;15,""figurative ছোট"",""""),IF(AND(I1833=""Positive"",REGEXMATCH(H1"&amp;"833,""মূর্খ|ভণ্ড|প্রতার|অলস|লোভ|স্বার্থ|অক্ষম|অযোগ্য|বোকা|কৃপণ|হিংস"")),""valence-target অমিল"",""""),IF(COUNTIF($B:$B,B1833)&gt;1,""ডুপ্লিকেট"",""""))"),"figurative ছোট")</f>
        <v>figurative ছোট</v>
      </c>
      <c r="Q1833" s="5" t="str">
        <f t="shared" si="1"/>
        <v>১ আগে দেখো</v>
      </c>
    </row>
    <row r="1834">
      <c r="A1834" s="4">
        <v>7472.0</v>
      </c>
      <c r="B1834" s="2" t="s">
        <v>7223</v>
      </c>
      <c r="C1834" s="2" t="s">
        <v>7224</v>
      </c>
      <c r="D1834" s="2" t="s">
        <v>7225</v>
      </c>
      <c r="E1834" s="2" t="s">
        <v>7226</v>
      </c>
      <c r="F1834" s="2" t="b">
        <v>1</v>
      </c>
      <c r="G1834" s="2" t="b">
        <v>0</v>
      </c>
      <c r="H1834" s="2" t="s">
        <v>37</v>
      </c>
      <c r="I1834" s="2" t="s">
        <v>49</v>
      </c>
      <c r="J1834" s="2" t="s">
        <v>340</v>
      </c>
      <c r="K1834" s="2" t="s">
        <v>495</v>
      </c>
      <c r="L1834" s="13" t="s">
        <v>496</v>
      </c>
      <c r="M1834" s="2" t="s">
        <v>26</v>
      </c>
      <c r="N1834" s="11" t="s">
        <v>576</v>
      </c>
      <c r="O1834" s="12" t="s">
        <v>53</v>
      </c>
      <c r="P1834" s="5" t="str">
        <f>IFERROR(__xludf.DUMMYFUNCTION("TEXTJOIN("" | "",TRUE,IF(OR(D1834="""",E1834="""",I1834="""",J1834="""",H1834=""""),""ফাঁকা ঘর"",""""),IF(AND(C1834&lt;&gt;"""",D1834&lt;&gt;"""",C1834=D1834),""gloss=figurative"",""""),IF(LEN(D1834)&lt;15,""figurative ছোট"",""""),IF(AND(I1834=""Positive"",REGEXMATCH(H1"&amp;"834,""মূর্খ|ভণ্ড|প্রতার|অলস|লোভ|স্বার্থ|অক্ষম|অযোগ্য|বোকা|কৃপণ|হিংস"")),""valence-target অমিল"",""""),IF(COUNTIF($B:$B,B1834)&gt;1,""ডুপ্লিকেট"",""""))"),"figurative ছোট")</f>
        <v>figurative ছোট</v>
      </c>
      <c r="Q1834" s="5" t="str">
        <f t="shared" si="1"/>
        <v>১ আগে দেখো</v>
      </c>
    </row>
    <row r="1835">
      <c r="A1835" s="4">
        <v>7474.0</v>
      </c>
      <c r="B1835" s="2" t="s">
        <v>7227</v>
      </c>
      <c r="C1835" s="2" t="s">
        <v>7228</v>
      </c>
      <c r="D1835" s="2" t="s">
        <v>7229</v>
      </c>
      <c r="E1835" s="2" t="s">
        <v>7230</v>
      </c>
      <c r="F1835" s="2" t="b">
        <v>1</v>
      </c>
      <c r="G1835" s="2" t="b">
        <v>0</v>
      </c>
      <c r="H1835" s="2" t="s">
        <v>37</v>
      </c>
      <c r="I1835" s="2" t="s">
        <v>49</v>
      </c>
      <c r="J1835" s="2" t="s">
        <v>340</v>
      </c>
      <c r="K1835" s="2" t="s">
        <v>495</v>
      </c>
      <c r="L1835" s="13" t="s">
        <v>496</v>
      </c>
      <c r="M1835" s="2" t="s">
        <v>26</v>
      </c>
      <c r="N1835" s="11" t="s">
        <v>576</v>
      </c>
      <c r="O1835" s="12" t="s">
        <v>53</v>
      </c>
      <c r="P1835" s="5" t="str">
        <f>IFERROR(__xludf.DUMMYFUNCTION("TEXTJOIN("" | "",TRUE,IF(OR(D1835="""",E1835="""",I1835="""",J1835="""",H1835=""""),""ফাঁকা ঘর"",""""),IF(AND(C1835&lt;&gt;"""",D1835&lt;&gt;"""",C1835=D1835),""gloss=figurative"",""""),IF(LEN(D1835)&lt;15,""figurative ছোট"",""""),IF(AND(I1835=""Positive"",REGEXMATCH(H1"&amp;"835,""মূর্খ|ভণ্ড|প্রতার|অলস|লোভ|স্বার্থ|অক্ষম|অযোগ্য|বোকা|কৃপণ|হিংস"")),""valence-target অমিল"",""""),IF(COUNTIF($B:$B,B1835)&gt;1,""ডুপ্লিকেট"",""""))"),"figurative ছোট")</f>
        <v>figurative ছোট</v>
      </c>
      <c r="Q1835" s="5" t="str">
        <f t="shared" si="1"/>
        <v>১ আগে দেখো</v>
      </c>
    </row>
    <row r="1836">
      <c r="A1836" s="4">
        <v>7478.0</v>
      </c>
      <c r="B1836" s="2" t="s">
        <v>7231</v>
      </c>
      <c r="C1836" s="2" t="s">
        <v>7232</v>
      </c>
      <c r="D1836" s="2" t="s">
        <v>7233</v>
      </c>
      <c r="E1836" s="2" t="s">
        <v>7234</v>
      </c>
      <c r="F1836" s="2" t="b">
        <v>1</v>
      </c>
      <c r="G1836" s="2" t="b">
        <v>0</v>
      </c>
      <c r="H1836" s="2" t="s">
        <v>37</v>
      </c>
      <c r="I1836" s="2" t="s">
        <v>49</v>
      </c>
      <c r="J1836" s="2" t="s">
        <v>1254</v>
      </c>
      <c r="K1836" s="2" t="s">
        <v>495</v>
      </c>
      <c r="L1836" s="13" t="s">
        <v>496</v>
      </c>
      <c r="M1836" s="2" t="s">
        <v>26</v>
      </c>
      <c r="N1836" s="11" t="s">
        <v>576</v>
      </c>
      <c r="O1836" s="12" t="s">
        <v>53</v>
      </c>
      <c r="P1836" s="5" t="str">
        <f>IFERROR(__xludf.DUMMYFUNCTION("TEXTJOIN("" | "",TRUE,IF(OR(D1836="""",E1836="""",I1836="""",J1836="""",H1836=""""),""ফাঁকা ঘর"",""""),IF(AND(C1836&lt;&gt;"""",D1836&lt;&gt;"""",C1836=D1836),""gloss=figurative"",""""),IF(LEN(D1836)&lt;15,""figurative ছোট"",""""),IF(AND(I1836=""Positive"",REGEXMATCH(H1"&amp;"836,""মূর্খ|ভণ্ড|প্রতার|অলস|লোভ|স্বার্থ|অক্ষম|অযোগ্য|বোকা|কৃপণ|হিংস"")),""valence-target অমিল"",""""),IF(COUNTIF($B:$B,B1836)&gt;1,""ডুপ্লিকেট"",""""))"),"figurative ছোট")</f>
        <v>figurative ছোট</v>
      </c>
      <c r="Q1836" s="5" t="str">
        <f t="shared" si="1"/>
        <v>১ আগে দেখো</v>
      </c>
    </row>
    <row r="1837">
      <c r="A1837" s="4">
        <v>7482.0</v>
      </c>
      <c r="B1837" s="2" t="s">
        <v>7235</v>
      </c>
      <c r="C1837" s="2" t="s">
        <v>7236</v>
      </c>
      <c r="D1837" s="2" t="s">
        <v>1252</v>
      </c>
      <c r="E1837" s="2" t="s">
        <v>7237</v>
      </c>
      <c r="F1837" s="2" t="b">
        <v>1</v>
      </c>
      <c r="G1837" s="2" t="b">
        <v>0</v>
      </c>
      <c r="H1837" s="2" t="s">
        <v>37</v>
      </c>
      <c r="I1837" s="2" t="s">
        <v>49</v>
      </c>
      <c r="J1837" s="2" t="s">
        <v>1254</v>
      </c>
      <c r="K1837" s="2" t="s">
        <v>495</v>
      </c>
      <c r="L1837" s="13" t="s">
        <v>496</v>
      </c>
      <c r="M1837" s="2" t="s">
        <v>26</v>
      </c>
      <c r="N1837" s="11" t="s">
        <v>576</v>
      </c>
      <c r="O1837" s="12" t="s">
        <v>53</v>
      </c>
      <c r="P1837" s="5" t="str">
        <f>IFERROR(__xludf.DUMMYFUNCTION("TEXTJOIN("" | "",TRUE,IF(OR(D1837="""",E1837="""",I1837="""",J1837="""",H1837=""""),""ফাঁকা ঘর"",""""),IF(AND(C1837&lt;&gt;"""",D1837&lt;&gt;"""",C1837=D1837),""gloss=figurative"",""""),IF(LEN(D1837)&lt;15,""figurative ছোট"",""""),IF(AND(I1837=""Positive"",REGEXMATCH(H1"&amp;"837,""মূর্খ|ভণ্ড|প্রতার|অলস|লোভ|স্বার্থ|অক্ষম|অযোগ্য|বোকা|কৃপণ|হিংস"")),""valence-target অমিল"",""""),IF(COUNTIF($B:$B,B1837)&gt;1,""ডুপ্লিকেট"",""""))"),"figurative ছোট")</f>
        <v>figurative ছোট</v>
      </c>
      <c r="Q1837" s="5" t="str">
        <f t="shared" si="1"/>
        <v>১ আগে দেখো</v>
      </c>
    </row>
    <row r="1838">
      <c r="A1838" s="4">
        <v>7483.0</v>
      </c>
      <c r="B1838" s="2" t="s">
        <v>7238</v>
      </c>
      <c r="C1838" s="2" t="s">
        <v>7238</v>
      </c>
      <c r="D1838" s="2" t="s">
        <v>7239</v>
      </c>
      <c r="E1838" s="2" t="s">
        <v>7240</v>
      </c>
      <c r="F1838" s="2" t="b">
        <v>1</v>
      </c>
      <c r="G1838" s="2" t="b">
        <v>0</v>
      </c>
      <c r="H1838" s="2" t="s">
        <v>37</v>
      </c>
      <c r="I1838" s="2" t="s">
        <v>22</v>
      </c>
      <c r="J1838" s="2" t="s">
        <v>1008</v>
      </c>
      <c r="K1838" s="2" t="s">
        <v>495</v>
      </c>
      <c r="L1838" s="13" t="s">
        <v>496</v>
      </c>
      <c r="M1838" s="2" t="s">
        <v>26</v>
      </c>
      <c r="N1838" s="11" t="s">
        <v>576</v>
      </c>
      <c r="O1838" s="12" t="s">
        <v>53</v>
      </c>
      <c r="P1838" s="5" t="str">
        <f>IFERROR(__xludf.DUMMYFUNCTION("TEXTJOIN("" | "",TRUE,IF(OR(D1838="""",E1838="""",I1838="""",J1838="""",H1838=""""),""ফাঁকা ঘর"",""""),IF(AND(C1838&lt;&gt;"""",D1838&lt;&gt;"""",C1838=D1838),""gloss=figurative"",""""),IF(LEN(D1838)&lt;15,""figurative ছোট"",""""),IF(AND(I1838=""Positive"",REGEXMATCH(H1"&amp;"838,""মূর্খ|ভণ্ড|প্রতার|অলস|লোভ|স্বার্থ|অক্ষম|অযোগ্য|বোকা|কৃপণ|হিংস"")),""valence-target অমিল"",""""),IF(COUNTIF($B:$B,B1838)&gt;1,""ডুপ্লিকেট"",""""))"),"figurative ছোট")</f>
        <v>figurative ছোট</v>
      </c>
      <c r="Q1838" s="5" t="str">
        <f t="shared" si="1"/>
        <v>১ আগে দেখো</v>
      </c>
    </row>
    <row r="1839">
      <c r="A1839" s="4">
        <v>7484.0</v>
      </c>
      <c r="B1839" s="2" t="s">
        <v>7241</v>
      </c>
      <c r="C1839" s="2" t="s">
        <v>7242</v>
      </c>
      <c r="D1839" s="2" t="s">
        <v>7243</v>
      </c>
      <c r="E1839" s="2" t="s">
        <v>7244</v>
      </c>
      <c r="F1839" s="2" t="b">
        <v>1</v>
      </c>
      <c r="G1839" s="2" t="b">
        <v>0</v>
      </c>
      <c r="H1839" s="2" t="s">
        <v>1334</v>
      </c>
      <c r="I1839" s="2" t="s">
        <v>22</v>
      </c>
      <c r="J1839" s="2" t="s">
        <v>820</v>
      </c>
      <c r="K1839" s="2" t="s">
        <v>495</v>
      </c>
      <c r="L1839" s="13" t="s">
        <v>496</v>
      </c>
      <c r="M1839" s="2" t="s">
        <v>26</v>
      </c>
      <c r="N1839" s="11" t="s">
        <v>576</v>
      </c>
      <c r="O1839" s="12" t="s">
        <v>53</v>
      </c>
      <c r="P1839" s="5" t="str">
        <f>IFERROR(__xludf.DUMMYFUNCTION("TEXTJOIN("" | "",TRUE,IF(OR(D1839="""",E1839="""",I1839="""",J1839="""",H1839=""""),""ফাঁকা ঘর"",""""),IF(AND(C1839&lt;&gt;"""",D1839&lt;&gt;"""",C1839=D1839),""gloss=figurative"",""""),IF(LEN(D1839)&lt;15,""figurative ছোট"",""""),IF(AND(I1839=""Positive"",REGEXMATCH(H1"&amp;"839,""মূর্খ|ভণ্ড|প্রতার|অলস|লোভ|স্বার্থ|অক্ষম|অযোগ্য|বোকা|কৃপণ|হিংস"")),""valence-target অমিল"",""""),IF(COUNTIF($B:$B,B1839)&gt;1,""ডুপ্লিকেট"",""""))"),"figurative ছোট")</f>
        <v>figurative ছোট</v>
      </c>
      <c r="Q1839" s="5" t="str">
        <f t="shared" si="1"/>
        <v>১ আগে দেখো</v>
      </c>
    </row>
    <row r="1840">
      <c r="A1840" s="4">
        <v>7486.0</v>
      </c>
      <c r="B1840" s="2" t="s">
        <v>7245</v>
      </c>
      <c r="C1840" s="2" t="s">
        <v>7246</v>
      </c>
      <c r="D1840" s="2" t="s">
        <v>7247</v>
      </c>
      <c r="E1840" s="2" t="s">
        <v>7248</v>
      </c>
      <c r="F1840" s="2" t="b">
        <v>1</v>
      </c>
      <c r="G1840" s="2" t="b">
        <v>0</v>
      </c>
      <c r="H1840" s="2" t="s">
        <v>37</v>
      </c>
      <c r="I1840" s="2" t="s">
        <v>32</v>
      </c>
      <c r="J1840" s="2" t="s">
        <v>7247</v>
      </c>
      <c r="K1840" s="2" t="s">
        <v>495</v>
      </c>
      <c r="L1840" s="13" t="s">
        <v>496</v>
      </c>
      <c r="M1840" s="2" t="s">
        <v>26</v>
      </c>
      <c r="N1840" s="11" t="s">
        <v>576</v>
      </c>
      <c r="O1840" s="12" t="s">
        <v>53</v>
      </c>
      <c r="P1840" s="5" t="str">
        <f>IFERROR(__xludf.DUMMYFUNCTION("TEXTJOIN("" | "",TRUE,IF(OR(D1840="""",E1840="""",I1840="""",J1840="""",H1840=""""),""ফাঁকা ঘর"",""""),IF(AND(C1840&lt;&gt;"""",D1840&lt;&gt;"""",C1840=D1840),""gloss=figurative"",""""),IF(LEN(D1840)&lt;15,""figurative ছোট"",""""),IF(AND(I1840=""Positive"",REGEXMATCH(H1"&amp;"840,""মূর্খ|ভণ্ড|প্রতার|অলস|লোভ|স্বার্থ|অক্ষম|অযোগ্য|বোকা|কৃপণ|হিংস"")),""valence-target অমিল"",""""),IF(COUNTIF($B:$B,B1840)&gt;1,""ডুপ্লিকেট"",""""))"),"figurative ছোট")</f>
        <v>figurative ছোট</v>
      </c>
      <c r="Q1840" s="5" t="str">
        <f t="shared" si="1"/>
        <v>১ আগে দেখো</v>
      </c>
    </row>
    <row r="1841">
      <c r="A1841" s="4">
        <v>7487.0</v>
      </c>
      <c r="B1841" s="2" t="s">
        <v>7249</v>
      </c>
      <c r="C1841" s="2" t="s">
        <v>7250</v>
      </c>
      <c r="D1841" s="2" t="s">
        <v>7251</v>
      </c>
      <c r="E1841" s="2" t="s">
        <v>7252</v>
      </c>
      <c r="F1841" s="2" t="b">
        <v>1</v>
      </c>
      <c r="G1841" s="2" t="b">
        <v>0</v>
      </c>
      <c r="H1841" s="2" t="s">
        <v>1826</v>
      </c>
      <c r="I1841" s="2" t="s">
        <v>22</v>
      </c>
      <c r="J1841" s="2" t="s">
        <v>1700</v>
      </c>
      <c r="K1841" s="2" t="s">
        <v>495</v>
      </c>
      <c r="L1841" s="13" t="s">
        <v>496</v>
      </c>
      <c r="M1841" s="2" t="s">
        <v>26</v>
      </c>
      <c r="N1841" s="11" t="s">
        <v>576</v>
      </c>
      <c r="O1841" s="12" t="s">
        <v>53</v>
      </c>
      <c r="P1841" s="5" t="str">
        <f>IFERROR(__xludf.DUMMYFUNCTION("TEXTJOIN("" | "",TRUE,IF(OR(D1841="""",E1841="""",I1841="""",J1841="""",H1841=""""),""ফাঁকা ঘর"",""""),IF(AND(C1841&lt;&gt;"""",D1841&lt;&gt;"""",C1841=D1841),""gloss=figurative"",""""),IF(LEN(D1841)&lt;15,""figurative ছোট"",""""),IF(AND(I1841=""Positive"",REGEXMATCH(H1"&amp;"841,""মূর্খ|ভণ্ড|প্রতার|অলস|লোভ|স্বার্থ|অক্ষম|অযোগ্য|বোকা|কৃপণ|হিংস"")),""valence-target অমিল"",""""),IF(COUNTIF($B:$B,B1841)&gt;1,""ডুপ্লিকেট"",""""))"),"figurative ছোট")</f>
        <v>figurative ছোট</v>
      </c>
      <c r="Q1841" s="5" t="str">
        <f t="shared" si="1"/>
        <v>১ আগে দেখো</v>
      </c>
    </row>
    <row r="1842">
      <c r="A1842" s="4">
        <v>7494.0</v>
      </c>
      <c r="B1842" s="2" t="s">
        <v>7253</v>
      </c>
      <c r="C1842" s="2" t="s">
        <v>7254</v>
      </c>
      <c r="D1842" s="2" t="s">
        <v>1205</v>
      </c>
      <c r="E1842" s="2" t="s">
        <v>7255</v>
      </c>
      <c r="F1842" s="2" t="b">
        <v>1</v>
      </c>
      <c r="G1842" s="2" t="b">
        <v>0</v>
      </c>
      <c r="H1842" s="2" t="s">
        <v>37</v>
      </c>
      <c r="I1842" s="2" t="s">
        <v>32</v>
      </c>
      <c r="J1842" s="2" t="s">
        <v>1194</v>
      </c>
      <c r="K1842" s="2" t="s">
        <v>495</v>
      </c>
      <c r="L1842" s="13" t="s">
        <v>496</v>
      </c>
      <c r="M1842" s="2" t="s">
        <v>26</v>
      </c>
      <c r="N1842" s="11" t="s">
        <v>576</v>
      </c>
      <c r="O1842" s="12" t="s">
        <v>53</v>
      </c>
      <c r="P1842" s="5" t="str">
        <f>IFERROR(__xludf.DUMMYFUNCTION("TEXTJOIN("" | "",TRUE,IF(OR(D1842="""",E1842="""",I1842="""",J1842="""",H1842=""""),""ফাঁকা ঘর"",""""),IF(AND(C1842&lt;&gt;"""",D1842&lt;&gt;"""",C1842=D1842),""gloss=figurative"",""""),IF(LEN(D1842)&lt;15,""figurative ছোট"",""""),IF(AND(I1842=""Positive"",REGEXMATCH(H1"&amp;"842,""মূর্খ|ভণ্ড|প্রতার|অলস|লোভ|স্বার্থ|অক্ষম|অযোগ্য|বোকা|কৃপণ|হিংস"")),""valence-target অমিল"",""""),IF(COUNTIF($B:$B,B1842)&gt;1,""ডুপ্লিকেট"",""""))"),"figurative ছোট")</f>
        <v>figurative ছোট</v>
      </c>
      <c r="Q1842" s="5" t="str">
        <f t="shared" si="1"/>
        <v>১ আগে দেখো</v>
      </c>
    </row>
    <row r="1843">
      <c r="A1843" s="4">
        <v>7496.0</v>
      </c>
      <c r="B1843" s="2" t="s">
        <v>7256</v>
      </c>
      <c r="C1843" s="2" t="s">
        <v>7257</v>
      </c>
      <c r="D1843" s="2" t="s">
        <v>7258</v>
      </c>
      <c r="E1843" s="2" t="s">
        <v>7259</v>
      </c>
      <c r="F1843" s="2" t="b">
        <v>1</v>
      </c>
      <c r="G1843" s="2" t="b">
        <v>0</v>
      </c>
      <c r="H1843" s="2" t="s">
        <v>37</v>
      </c>
      <c r="I1843" s="2" t="s">
        <v>32</v>
      </c>
      <c r="J1843" s="2" t="s">
        <v>3337</v>
      </c>
      <c r="K1843" s="2" t="s">
        <v>495</v>
      </c>
      <c r="L1843" s="13" t="s">
        <v>496</v>
      </c>
      <c r="M1843" s="2" t="s">
        <v>26</v>
      </c>
      <c r="N1843" s="11" t="s">
        <v>576</v>
      </c>
      <c r="O1843" s="12" t="s">
        <v>53</v>
      </c>
      <c r="P1843" s="5" t="str">
        <f>IFERROR(__xludf.DUMMYFUNCTION("TEXTJOIN("" | "",TRUE,IF(OR(D1843="""",E1843="""",I1843="""",J1843="""",H1843=""""),""ফাঁকা ঘর"",""""),IF(AND(C1843&lt;&gt;"""",D1843&lt;&gt;"""",C1843=D1843),""gloss=figurative"",""""),IF(LEN(D1843)&lt;15,""figurative ছোট"",""""),IF(AND(I1843=""Positive"",REGEXMATCH(H1"&amp;"843,""মূর্খ|ভণ্ড|প্রতার|অলস|লোভ|স্বার্থ|অক্ষম|অযোগ্য|বোকা|কৃপণ|হিংস"")),""valence-target অমিল"",""""),IF(COUNTIF($B:$B,B1843)&gt;1,""ডুপ্লিকেট"",""""))"),"figurative ছোট")</f>
        <v>figurative ছোট</v>
      </c>
      <c r="Q1843" s="5" t="str">
        <f t="shared" si="1"/>
        <v>১ আগে দেখো</v>
      </c>
    </row>
    <row r="1844">
      <c r="A1844" s="4">
        <v>7497.0</v>
      </c>
      <c r="B1844" s="2" t="s">
        <v>7260</v>
      </c>
      <c r="C1844" s="2" t="s">
        <v>7261</v>
      </c>
      <c r="D1844" s="2" t="s">
        <v>7262</v>
      </c>
      <c r="E1844" s="2" t="s">
        <v>7263</v>
      </c>
      <c r="F1844" s="2" t="b">
        <v>1</v>
      </c>
      <c r="G1844" s="2" t="b">
        <v>0</v>
      </c>
      <c r="H1844" s="2" t="s">
        <v>37</v>
      </c>
      <c r="I1844" s="2" t="s">
        <v>49</v>
      </c>
      <c r="J1844" s="2" t="s">
        <v>1476</v>
      </c>
      <c r="K1844" s="2" t="s">
        <v>495</v>
      </c>
      <c r="L1844" s="13" t="s">
        <v>496</v>
      </c>
      <c r="M1844" s="2" t="s">
        <v>26</v>
      </c>
      <c r="N1844" s="11" t="s">
        <v>576</v>
      </c>
      <c r="O1844" s="12" t="s">
        <v>53</v>
      </c>
      <c r="P1844" s="5" t="str">
        <f>IFERROR(__xludf.DUMMYFUNCTION("TEXTJOIN("" | "",TRUE,IF(OR(D1844="""",E1844="""",I1844="""",J1844="""",H1844=""""),""ফাঁকা ঘর"",""""),IF(AND(C1844&lt;&gt;"""",D1844&lt;&gt;"""",C1844=D1844),""gloss=figurative"",""""),IF(LEN(D1844)&lt;15,""figurative ছোট"",""""),IF(AND(I1844=""Positive"",REGEXMATCH(H1"&amp;"844,""মূর্খ|ভণ্ড|প্রতার|অলস|লোভ|স্বার্থ|অক্ষম|অযোগ্য|বোকা|কৃপণ|হিংস"")),""valence-target অমিল"",""""),IF(COUNTIF($B:$B,B1844)&gt;1,""ডুপ্লিকেট"",""""))"),"figurative ছোট")</f>
        <v>figurative ছোট</v>
      </c>
      <c r="Q1844" s="5" t="str">
        <f t="shared" si="1"/>
        <v>১ আগে দেখো</v>
      </c>
    </row>
    <row r="1845">
      <c r="A1845" s="4">
        <v>7499.0</v>
      </c>
      <c r="B1845" s="2" t="s">
        <v>7264</v>
      </c>
      <c r="C1845" s="2" t="s">
        <v>7265</v>
      </c>
      <c r="D1845" s="2" t="s">
        <v>7266</v>
      </c>
      <c r="E1845" s="2" t="s">
        <v>7267</v>
      </c>
      <c r="F1845" s="2" t="b">
        <v>1</v>
      </c>
      <c r="G1845" s="2" t="b">
        <v>0</v>
      </c>
      <c r="H1845" s="2" t="s">
        <v>37</v>
      </c>
      <c r="I1845" s="2" t="s">
        <v>49</v>
      </c>
      <c r="J1845" s="2" t="s">
        <v>300</v>
      </c>
      <c r="K1845" s="2" t="s">
        <v>495</v>
      </c>
      <c r="L1845" s="13" t="s">
        <v>496</v>
      </c>
      <c r="M1845" s="2" t="s">
        <v>26</v>
      </c>
      <c r="N1845" s="11" t="s">
        <v>576</v>
      </c>
      <c r="O1845" s="12" t="s">
        <v>53</v>
      </c>
      <c r="P1845" s="5" t="str">
        <f>IFERROR(__xludf.DUMMYFUNCTION("TEXTJOIN("" | "",TRUE,IF(OR(D1845="""",E1845="""",I1845="""",J1845="""",H1845=""""),""ফাঁকা ঘর"",""""),IF(AND(C1845&lt;&gt;"""",D1845&lt;&gt;"""",C1845=D1845),""gloss=figurative"",""""),IF(LEN(D1845)&lt;15,""figurative ছোট"",""""),IF(AND(I1845=""Positive"",REGEXMATCH(H1"&amp;"845,""মূর্খ|ভণ্ড|প্রতার|অলস|লোভ|স্বার্থ|অক্ষম|অযোগ্য|বোকা|কৃপণ|হিংস"")),""valence-target অমিল"",""""),IF(COUNTIF($B:$B,B1845)&gt;1,""ডুপ্লিকেট"",""""))"),"figurative ছোট")</f>
        <v>figurative ছোট</v>
      </c>
      <c r="Q1845" s="5" t="str">
        <f t="shared" si="1"/>
        <v>১ আগে দেখো</v>
      </c>
    </row>
    <row r="1846">
      <c r="A1846" s="4">
        <v>7500.0</v>
      </c>
      <c r="B1846" s="2" t="s">
        <v>7268</v>
      </c>
      <c r="C1846" s="2" t="s">
        <v>7269</v>
      </c>
      <c r="D1846" s="2" t="s">
        <v>7270</v>
      </c>
      <c r="E1846" s="2" t="s">
        <v>7271</v>
      </c>
      <c r="F1846" s="2" t="b">
        <v>1</v>
      </c>
      <c r="G1846" s="2" t="b">
        <v>0</v>
      </c>
      <c r="H1846" s="2" t="s">
        <v>37</v>
      </c>
      <c r="I1846" s="2" t="s">
        <v>49</v>
      </c>
      <c r="J1846" s="2" t="s">
        <v>300</v>
      </c>
      <c r="K1846" s="2" t="s">
        <v>495</v>
      </c>
      <c r="L1846" s="13" t="s">
        <v>496</v>
      </c>
      <c r="M1846" s="2" t="s">
        <v>26</v>
      </c>
      <c r="N1846" s="11" t="s">
        <v>576</v>
      </c>
      <c r="O1846" s="12" t="s">
        <v>53</v>
      </c>
      <c r="P1846" s="5" t="str">
        <f>IFERROR(__xludf.DUMMYFUNCTION("TEXTJOIN("" | "",TRUE,IF(OR(D1846="""",E1846="""",I1846="""",J1846="""",H1846=""""),""ফাঁকা ঘর"",""""),IF(AND(C1846&lt;&gt;"""",D1846&lt;&gt;"""",C1846=D1846),""gloss=figurative"",""""),IF(LEN(D1846)&lt;15,""figurative ছোট"",""""),IF(AND(I1846=""Positive"",REGEXMATCH(H1"&amp;"846,""মূর্খ|ভণ্ড|প্রতার|অলস|লোভ|স্বার্থ|অক্ষম|অযোগ্য|বোকা|কৃপণ|হিংস"")),""valence-target অমিল"",""""),IF(COUNTIF($B:$B,B1846)&gt;1,""ডুপ্লিকেট"",""""))"),"figurative ছোট")</f>
        <v>figurative ছোট</v>
      </c>
      <c r="Q1846" s="5" t="str">
        <f t="shared" si="1"/>
        <v>১ আগে দেখো</v>
      </c>
    </row>
    <row r="1847">
      <c r="A1847" s="4">
        <v>7502.0</v>
      </c>
      <c r="B1847" s="2" t="s">
        <v>7272</v>
      </c>
      <c r="C1847" s="2" t="s">
        <v>7273</v>
      </c>
      <c r="D1847" s="2" t="s">
        <v>1205</v>
      </c>
      <c r="E1847" s="2" t="s">
        <v>7274</v>
      </c>
      <c r="F1847" s="2" t="b">
        <v>1</v>
      </c>
      <c r="G1847" s="2" t="b">
        <v>0</v>
      </c>
      <c r="H1847" s="2" t="s">
        <v>37</v>
      </c>
      <c r="I1847" s="2" t="s">
        <v>32</v>
      </c>
      <c r="J1847" s="2" t="s">
        <v>1194</v>
      </c>
      <c r="K1847" s="2" t="s">
        <v>495</v>
      </c>
      <c r="L1847" s="13" t="s">
        <v>496</v>
      </c>
      <c r="M1847" s="2" t="s">
        <v>26</v>
      </c>
      <c r="N1847" s="11" t="s">
        <v>576</v>
      </c>
      <c r="O1847" s="12" t="s">
        <v>53</v>
      </c>
      <c r="P1847" s="5" t="str">
        <f>IFERROR(__xludf.DUMMYFUNCTION("TEXTJOIN("" | "",TRUE,IF(OR(D1847="""",E1847="""",I1847="""",J1847="""",H1847=""""),""ফাঁকা ঘর"",""""),IF(AND(C1847&lt;&gt;"""",D1847&lt;&gt;"""",C1847=D1847),""gloss=figurative"",""""),IF(LEN(D1847)&lt;15,""figurative ছোট"",""""),IF(AND(I1847=""Positive"",REGEXMATCH(H1"&amp;"847,""মূর্খ|ভণ্ড|প্রতার|অলস|লোভ|স্বার্থ|অক্ষম|অযোগ্য|বোকা|কৃপণ|হিংস"")),""valence-target অমিল"",""""),IF(COUNTIF($B:$B,B1847)&gt;1,""ডুপ্লিকেট"",""""))"),"figurative ছোট")</f>
        <v>figurative ছোট</v>
      </c>
      <c r="Q1847" s="5" t="str">
        <f t="shared" si="1"/>
        <v>১ আগে দেখো</v>
      </c>
    </row>
    <row r="1848">
      <c r="A1848" s="4">
        <v>7503.0</v>
      </c>
      <c r="B1848" s="2" t="s">
        <v>7275</v>
      </c>
      <c r="C1848" s="2" t="s">
        <v>7276</v>
      </c>
      <c r="D1848" s="2" t="s">
        <v>590</v>
      </c>
      <c r="E1848" s="2" t="s">
        <v>7277</v>
      </c>
      <c r="F1848" s="2" t="b">
        <v>1</v>
      </c>
      <c r="G1848" s="2" t="b">
        <v>0</v>
      </c>
      <c r="H1848" s="2" t="s">
        <v>37</v>
      </c>
      <c r="I1848" s="2" t="s">
        <v>22</v>
      </c>
      <c r="J1848" s="2" t="s">
        <v>590</v>
      </c>
      <c r="K1848" s="2" t="s">
        <v>495</v>
      </c>
      <c r="L1848" s="13" t="s">
        <v>496</v>
      </c>
      <c r="M1848" s="2" t="s">
        <v>26</v>
      </c>
      <c r="N1848" s="11" t="s">
        <v>576</v>
      </c>
      <c r="O1848" s="12" t="s">
        <v>53</v>
      </c>
      <c r="P1848" s="5" t="str">
        <f>IFERROR(__xludf.DUMMYFUNCTION("TEXTJOIN("" | "",TRUE,IF(OR(D1848="""",E1848="""",I1848="""",J1848="""",H1848=""""),""ফাঁকা ঘর"",""""),IF(AND(C1848&lt;&gt;"""",D1848&lt;&gt;"""",C1848=D1848),""gloss=figurative"",""""),IF(LEN(D1848)&lt;15,""figurative ছোট"",""""),IF(AND(I1848=""Positive"",REGEXMATCH(H1"&amp;"848,""মূর্খ|ভণ্ড|প্রতার|অলস|লোভ|স্বার্থ|অক্ষম|অযোগ্য|বোকা|কৃপণ|হিংস"")),""valence-target অমিল"",""""),IF(COUNTIF($B:$B,B1848)&gt;1,""ডুপ্লিকেট"",""""))"),"figurative ছোট")</f>
        <v>figurative ছোট</v>
      </c>
      <c r="Q1848" s="5" t="str">
        <f t="shared" si="1"/>
        <v>১ আগে দেখো</v>
      </c>
    </row>
    <row r="1849">
      <c r="A1849" s="4">
        <v>7505.0</v>
      </c>
      <c r="B1849" s="2" t="s">
        <v>7278</v>
      </c>
      <c r="C1849" s="2" t="s">
        <v>7279</v>
      </c>
      <c r="D1849" s="2" t="s">
        <v>1205</v>
      </c>
      <c r="E1849" s="2" t="s">
        <v>7280</v>
      </c>
      <c r="F1849" s="2" t="b">
        <v>1</v>
      </c>
      <c r="G1849" s="2" t="b">
        <v>0</v>
      </c>
      <c r="H1849" s="2" t="s">
        <v>37</v>
      </c>
      <c r="I1849" s="2" t="s">
        <v>32</v>
      </c>
      <c r="J1849" s="2" t="s">
        <v>3506</v>
      </c>
      <c r="K1849" s="2" t="s">
        <v>495</v>
      </c>
      <c r="L1849" s="13" t="s">
        <v>496</v>
      </c>
      <c r="M1849" s="2" t="s">
        <v>26</v>
      </c>
      <c r="N1849" s="11" t="s">
        <v>7281</v>
      </c>
      <c r="O1849" s="12" t="s">
        <v>53</v>
      </c>
      <c r="P1849" s="5" t="str">
        <f>IFERROR(__xludf.DUMMYFUNCTION("TEXTJOIN("" | "",TRUE,IF(OR(D1849="""",E1849="""",I1849="""",J1849="""",H1849=""""),""ফাঁকা ঘর"",""""),IF(AND(C1849&lt;&gt;"""",D1849&lt;&gt;"""",C1849=D1849),""gloss=figurative"",""""),IF(LEN(D1849)&lt;15,""figurative ছোট"",""""),IF(AND(I1849=""Positive"",REGEXMATCH(H1"&amp;"849,""মূর্খ|ভণ্ড|প্রতার|অলস|লোভ|স্বার্থ|অক্ষম|অযোগ্য|বোকা|কৃপণ|হিংস"")),""valence-target অমিল"",""""),IF(COUNTIF($B:$B,B1849)&gt;1,""ডুপ্লিকেট"",""""))"),"figurative ছোট")</f>
        <v>figurative ছোট</v>
      </c>
      <c r="Q1849" s="5" t="str">
        <f t="shared" si="1"/>
        <v>১ আগে দেখো</v>
      </c>
    </row>
    <row r="1850">
      <c r="A1850" s="4">
        <v>7508.0</v>
      </c>
      <c r="B1850" s="2" t="s">
        <v>7282</v>
      </c>
      <c r="C1850" s="2" t="s">
        <v>7283</v>
      </c>
      <c r="D1850" s="2" t="s">
        <v>4642</v>
      </c>
      <c r="E1850" s="2" t="s">
        <v>7284</v>
      </c>
      <c r="F1850" s="2" t="b">
        <v>1</v>
      </c>
      <c r="G1850" s="2" t="b">
        <v>0</v>
      </c>
      <c r="H1850" s="2" t="s">
        <v>37</v>
      </c>
      <c r="I1850" s="2" t="s">
        <v>49</v>
      </c>
      <c r="J1850" s="2" t="s">
        <v>1679</v>
      </c>
      <c r="K1850" s="2" t="s">
        <v>495</v>
      </c>
      <c r="L1850" s="13" t="s">
        <v>496</v>
      </c>
      <c r="M1850" s="2" t="s">
        <v>26</v>
      </c>
      <c r="N1850" s="11" t="s">
        <v>7285</v>
      </c>
      <c r="O1850" s="12" t="s">
        <v>53</v>
      </c>
      <c r="P1850" s="5" t="str">
        <f>IFERROR(__xludf.DUMMYFUNCTION("TEXTJOIN("" | "",TRUE,IF(OR(D1850="""",E1850="""",I1850="""",J1850="""",H1850=""""),""ফাঁকা ঘর"",""""),IF(AND(C1850&lt;&gt;"""",D1850&lt;&gt;"""",C1850=D1850),""gloss=figurative"",""""),IF(LEN(D1850)&lt;15,""figurative ছোট"",""""),IF(AND(I1850=""Positive"",REGEXMATCH(H1"&amp;"850,""মূর্খ|ভণ্ড|প্রতার|অলস|লোভ|স্বার্থ|অক্ষম|অযোগ্য|বোকা|কৃপণ|হিংস"")),""valence-target অমিল"",""""),IF(COUNTIF($B:$B,B1850)&gt;1,""ডুপ্লিকেট"",""""))"),"figurative ছোট")</f>
        <v>figurative ছোট</v>
      </c>
      <c r="Q1850" s="5" t="str">
        <f t="shared" si="1"/>
        <v>১ আগে দেখো</v>
      </c>
    </row>
    <row r="1851">
      <c r="A1851" s="4">
        <v>7509.0</v>
      </c>
      <c r="B1851" s="2" t="s">
        <v>7286</v>
      </c>
      <c r="C1851" s="2" t="s">
        <v>7287</v>
      </c>
      <c r="D1851" s="2" t="s">
        <v>7288</v>
      </c>
      <c r="E1851" s="2" t="s">
        <v>7289</v>
      </c>
      <c r="F1851" s="2" t="b">
        <v>1</v>
      </c>
      <c r="G1851" s="2" t="b">
        <v>0</v>
      </c>
      <c r="H1851" s="2" t="s">
        <v>37</v>
      </c>
      <c r="I1851" s="2" t="s">
        <v>49</v>
      </c>
      <c r="J1851" s="2" t="s">
        <v>1679</v>
      </c>
      <c r="K1851" s="2" t="s">
        <v>495</v>
      </c>
      <c r="L1851" s="13" t="s">
        <v>496</v>
      </c>
      <c r="M1851" s="2" t="s">
        <v>26</v>
      </c>
      <c r="N1851" s="11" t="s">
        <v>7290</v>
      </c>
      <c r="O1851" s="12" t="s">
        <v>53</v>
      </c>
      <c r="P1851" s="5" t="str">
        <f>IFERROR(__xludf.DUMMYFUNCTION("TEXTJOIN("" | "",TRUE,IF(OR(D1851="""",E1851="""",I1851="""",J1851="""",H1851=""""),""ফাঁকা ঘর"",""""),IF(AND(C1851&lt;&gt;"""",D1851&lt;&gt;"""",C1851=D1851),""gloss=figurative"",""""),IF(LEN(D1851)&lt;15,""figurative ছোট"",""""),IF(AND(I1851=""Positive"",REGEXMATCH(H1"&amp;"851,""মূর্খ|ভণ্ড|প্রতার|অলস|লোভ|স্বার্থ|অক্ষম|অযোগ্য|বোকা|কৃপণ|হিংস"")),""valence-target অমিল"",""""),IF(COUNTIF($B:$B,B1851)&gt;1,""ডুপ্লিকেট"",""""))"),"figurative ছোট")</f>
        <v>figurative ছোট</v>
      </c>
      <c r="Q1851" s="5" t="str">
        <f t="shared" si="1"/>
        <v>১ আগে দেখো</v>
      </c>
    </row>
    <row r="1852">
      <c r="A1852" s="4">
        <v>7511.0</v>
      </c>
      <c r="B1852" s="2" t="s">
        <v>7291</v>
      </c>
      <c r="C1852" s="2" t="s">
        <v>7292</v>
      </c>
      <c r="D1852" s="2" t="s">
        <v>1205</v>
      </c>
      <c r="E1852" s="2" t="s">
        <v>7293</v>
      </c>
      <c r="F1852" s="2" t="b">
        <v>1</v>
      </c>
      <c r="G1852" s="2" t="b">
        <v>0</v>
      </c>
      <c r="H1852" s="2" t="s">
        <v>37</v>
      </c>
      <c r="I1852" s="2" t="s">
        <v>32</v>
      </c>
      <c r="J1852" s="2" t="s">
        <v>3337</v>
      </c>
      <c r="K1852" s="2" t="s">
        <v>495</v>
      </c>
      <c r="L1852" s="13" t="s">
        <v>496</v>
      </c>
      <c r="M1852" s="2" t="s">
        <v>26</v>
      </c>
      <c r="N1852" s="11" t="s">
        <v>576</v>
      </c>
      <c r="O1852" s="12" t="s">
        <v>53</v>
      </c>
      <c r="P1852" s="5" t="str">
        <f>IFERROR(__xludf.DUMMYFUNCTION("TEXTJOIN("" | "",TRUE,IF(OR(D1852="""",E1852="""",I1852="""",J1852="""",H1852=""""),""ফাঁকা ঘর"",""""),IF(AND(C1852&lt;&gt;"""",D1852&lt;&gt;"""",C1852=D1852),""gloss=figurative"",""""),IF(LEN(D1852)&lt;15,""figurative ছোট"",""""),IF(AND(I1852=""Positive"",REGEXMATCH(H1"&amp;"852,""মূর্খ|ভণ্ড|প্রতার|অলস|লোভ|স্বার্থ|অক্ষম|অযোগ্য|বোকা|কৃপণ|হিংস"")),""valence-target অমিল"",""""),IF(COUNTIF($B:$B,B1852)&gt;1,""ডুপ্লিকেট"",""""))"),"figurative ছোট")</f>
        <v>figurative ছোট</v>
      </c>
      <c r="Q1852" s="5" t="str">
        <f t="shared" si="1"/>
        <v>১ আগে দেখো</v>
      </c>
    </row>
    <row r="1853">
      <c r="A1853" s="4">
        <v>7512.0</v>
      </c>
      <c r="B1853" s="2" t="s">
        <v>7294</v>
      </c>
      <c r="C1853" s="2" t="s">
        <v>7295</v>
      </c>
      <c r="D1853" s="2" t="s">
        <v>7258</v>
      </c>
      <c r="E1853" s="2" t="s">
        <v>7296</v>
      </c>
      <c r="F1853" s="2" t="b">
        <v>1</v>
      </c>
      <c r="G1853" s="2" t="b">
        <v>0</v>
      </c>
      <c r="H1853" s="2" t="s">
        <v>37</v>
      </c>
      <c r="I1853" s="2" t="s">
        <v>32</v>
      </c>
      <c r="J1853" s="2" t="s">
        <v>3337</v>
      </c>
      <c r="K1853" s="2" t="s">
        <v>495</v>
      </c>
      <c r="L1853" s="13" t="s">
        <v>496</v>
      </c>
      <c r="M1853" s="2" t="s">
        <v>26</v>
      </c>
      <c r="N1853" s="11" t="s">
        <v>576</v>
      </c>
      <c r="O1853" s="12" t="s">
        <v>53</v>
      </c>
      <c r="P1853" s="5" t="str">
        <f>IFERROR(__xludf.DUMMYFUNCTION("TEXTJOIN("" | "",TRUE,IF(OR(D1853="""",E1853="""",I1853="""",J1853="""",H1853=""""),""ফাঁকা ঘর"",""""),IF(AND(C1853&lt;&gt;"""",D1853&lt;&gt;"""",C1853=D1853),""gloss=figurative"",""""),IF(LEN(D1853)&lt;15,""figurative ছোট"",""""),IF(AND(I1853=""Positive"",REGEXMATCH(H1"&amp;"853,""মূর্খ|ভণ্ড|প্রতার|অলস|লোভ|স্বার্থ|অক্ষম|অযোগ্য|বোকা|কৃপণ|হিংস"")),""valence-target অমিল"",""""),IF(COUNTIF($B:$B,B1853)&gt;1,""ডুপ্লিকেট"",""""))"),"figurative ছোট")</f>
        <v>figurative ছোট</v>
      </c>
      <c r="Q1853" s="5" t="str">
        <f t="shared" si="1"/>
        <v>১ আগে দেখো</v>
      </c>
    </row>
    <row r="1854">
      <c r="A1854" s="4">
        <v>7513.0</v>
      </c>
      <c r="B1854" s="2" t="s">
        <v>7297</v>
      </c>
      <c r="C1854" s="2" t="s">
        <v>7298</v>
      </c>
      <c r="D1854" s="2" t="s">
        <v>7299</v>
      </c>
      <c r="E1854" s="2" t="s">
        <v>7300</v>
      </c>
      <c r="F1854" s="2" t="b">
        <v>1</v>
      </c>
      <c r="G1854" s="2" t="b">
        <v>0</v>
      </c>
      <c r="H1854" s="2" t="s">
        <v>37</v>
      </c>
      <c r="I1854" s="2" t="s">
        <v>32</v>
      </c>
      <c r="J1854" s="2" t="s">
        <v>2108</v>
      </c>
      <c r="K1854" s="2" t="s">
        <v>495</v>
      </c>
      <c r="L1854" s="13" t="s">
        <v>496</v>
      </c>
      <c r="M1854" s="2" t="s">
        <v>26</v>
      </c>
      <c r="N1854" s="11" t="s">
        <v>576</v>
      </c>
      <c r="O1854" s="12" t="s">
        <v>53</v>
      </c>
      <c r="P1854" s="5" t="str">
        <f>IFERROR(__xludf.DUMMYFUNCTION("TEXTJOIN("" | "",TRUE,IF(OR(D1854="""",E1854="""",I1854="""",J1854="""",H1854=""""),""ফাঁকা ঘর"",""""),IF(AND(C1854&lt;&gt;"""",D1854&lt;&gt;"""",C1854=D1854),""gloss=figurative"",""""),IF(LEN(D1854)&lt;15,""figurative ছোট"",""""),IF(AND(I1854=""Positive"",REGEXMATCH(H1"&amp;"854,""মূর্খ|ভণ্ড|প্রতার|অলস|লোভ|স্বার্থ|অক্ষম|অযোগ্য|বোকা|কৃপণ|হিংস"")),""valence-target অমিল"",""""),IF(COUNTIF($B:$B,B1854)&gt;1,""ডুপ্লিকেট"",""""))"),"figurative ছোট")</f>
        <v>figurative ছোট</v>
      </c>
      <c r="Q1854" s="5" t="str">
        <f t="shared" si="1"/>
        <v>১ আগে দেখো</v>
      </c>
    </row>
    <row r="1855">
      <c r="A1855" s="4">
        <v>7515.0</v>
      </c>
      <c r="B1855" s="2" t="s">
        <v>7301</v>
      </c>
      <c r="C1855" s="2" t="s">
        <v>7302</v>
      </c>
      <c r="D1855" s="2" t="s">
        <v>7303</v>
      </c>
      <c r="E1855" s="2" t="s">
        <v>7304</v>
      </c>
      <c r="F1855" s="2" t="b">
        <v>1</v>
      </c>
      <c r="G1855" s="2" t="b">
        <v>0</v>
      </c>
      <c r="H1855" s="2" t="s">
        <v>37</v>
      </c>
      <c r="I1855" s="2" t="s">
        <v>49</v>
      </c>
      <c r="J1855" s="2" t="s">
        <v>208</v>
      </c>
      <c r="K1855" s="2" t="s">
        <v>495</v>
      </c>
      <c r="L1855" s="13" t="s">
        <v>496</v>
      </c>
      <c r="M1855" s="2" t="s">
        <v>26</v>
      </c>
      <c r="N1855" s="11" t="s">
        <v>576</v>
      </c>
      <c r="O1855" s="12" t="s">
        <v>53</v>
      </c>
      <c r="P1855" s="5" t="str">
        <f>IFERROR(__xludf.DUMMYFUNCTION("TEXTJOIN("" | "",TRUE,IF(OR(D1855="""",E1855="""",I1855="""",J1855="""",H1855=""""),""ফাঁকা ঘর"",""""),IF(AND(C1855&lt;&gt;"""",D1855&lt;&gt;"""",C1855=D1855),""gloss=figurative"",""""),IF(LEN(D1855)&lt;15,""figurative ছোট"",""""),IF(AND(I1855=""Positive"",REGEXMATCH(H1"&amp;"855,""মূর্খ|ভণ্ড|প্রতার|অলস|লোভ|স্বার্থ|অক্ষম|অযোগ্য|বোকা|কৃপণ|হিংস"")),""valence-target অমিল"",""""),IF(COUNTIF($B:$B,B1855)&gt;1,""ডুপ্লিকেট"",""""))"),"figurative ছোট")</f>
        <v>figurative ছোট</v>
      </c>
      <c r="Q1855" s="5" t="str">
        <f t="shared" si="1"/>
        <v>১ আগে দেখো</v>
      </c>
    </row>
    <row r="1856">
      <c r="A1856" s="4">
        <v>7520.0</v>
      </c>
      <c r="B1856" s="2" t="s">
        <v>7305</v>
      </c>
      <c r="C1856" s="2" t="s">
        <v>7305</v>
      </c>
      <c r="D1856" s="2" t="s">
        <v>7306</v>
      </c>
      <c r="E1856" s="2" t="s">
        <v>7307</v>
      </c>
      <c r="F1856" s="2" t="b">
        <v>1</v>
      </c>
      <c r="G1856" s="2" t="b">
        <v>0</v>
      </c>
      <c r="H1856" s="2" t="s">
        <v>37</v>
      </c>
      <c r="I1856" s="2" t="s">
        <v>32</v>
      </c>
      <c r="J1856" s="2" t="s">
        <v>2108</v>
      </c>
      <c r="K1856" s="2" t="s">
        <v>495</v>
      </c>
      <c r="L1856" s="13" t="s">
        <v>496</v>
      </c>
      <c r="M1856" s="2" t="s">
        <v>26</v>
      </c>
      <c r="N1856" s="11" t="s">
        <v>576</v>
      </c>
      <c r="O1856" s="12" t="s">
        <v>53</v>
      </c>
      <c r="P1856" s="5" t="str">
        <f>IFERROR(__xludf.DUMMYFUNCTION("TEXTJOIN("" | "",TRUE,IF(OR(D1856="""",E1856="""",I1856="""",J1856="""",H1856=""""),""ফাঁকা ঘর"",""""),IF(AND(C1856&lt;&gt;"""",D1856&lt;&gt;"""",C1856=D1856),""gloss=figurative"",""""),IF(LEN(D1856)&lt;15,""figurative ছোট"",""""),IF(AND(I1856=""Positive"",REGEXMATCH(H1"&amp;"856,""মূর্খ|ভণ্ড|প্রতার|অলস|লোভ|স্বার্থ|অক্ষম|অযোগ্য|বোকা|কৃপণ|হিংস"")),""valence-target অমিল"",""""),IF(COUNTIF($B:$B,B1856)&gt;1,""ডুপ্লিকেট"",""""))"),"figurative ছোট")</f>
        <v>figurative ছোট</v>
      </c>
      <c r="Q1856" s="5" t="str">
        <f t="shared" si="1"/>
        <v>১ আগে দেখো</v>
      </c>
    </row>
    <row r="1857">
      <c r="A1857" s="4">
        <v>7522.0</v>
      </c>
      <c r="B1857" s="2" t="s">
        <v>7308</v>
      </c>
      <c r="C1857" s="2" t="s">
        <v>7309</v>
      </c>
      <c r="D1857" s="2" t="s">
        <v>7310</v>
      </c>
      <c r="E1857" s="2" t="s">
        <v>7311</v>
      </c>
      <c r="F1857" s="2" t="b">
        <v>1</v>
      </c>
      <c r="G1857" s="2" t="b">
        <v>0</v>
      </c>
      <c r="H1857" s="2" t="s">
        <v>37</v>
      </c>
      <c r="I1857" s="2" t="s">
        <v>32</v>
      </c>
      <c r="J1857" s="2" t="s">
        <v>2108</v>
      </c>
      <c r="K1857" s="2" t="s">
        <v>495</v>
      </c>
      <c r="L1857" s="13" t="s">
        <v>496</v>
      </c>
      <c r="M1857" s="2" t="s">
        <v>26</v>
      </c>
      <c r="N1857" s="11" t="s">
        <v>7312</v>
      </c>
      <c r="O1857" s="12" t="s">
        <v>53</v>
      </c>
      <c r="P1857" s="5" t="str">
        <f>IFERROR(__xludf.DUMMYFUNCTION("TEXTJOIN("" | "",TRUE,IF(OR(D1857="""",E1857="""",I1857="""",J1857="""",H1857=""""),""ফাঁকা ঘর"",""""),IF(AND(C1857&lt;&gt;"""",D1857&lt;&gt;"""",C1857=D1857),""gloss=figurative"",""""),IF(LEN(D1857)&lt;15,""figurative ছোট"",""""),IF(AND(I1857=""Positive"",REGEXMATCH(H1"&amp;"857,""মূর্খ|ভণ্ড|প্রতার|অলস|লোভ|স্বার্থ|অক্ষম|অযোগ্য|বোকা|কৃপণ|হিংস"")),""valence-target অমিল"",""""),IF(COUNTIF($B:$B,B1857)&gt;1,""ডুপ্লিকেট"",""""))"),"figurative ছোট")</f>
        <v>figurative ছোট</v>
      </c>
      <c r="Q1857" s="5" t="str">
        <f t="shared" si="1"/>
        <v>১ আগে দেখো</v>
      </c>
    </row>
    <row r="1858">
      <c r="A1858" s="4">
        <v>7523.0</v>
      </c>
      <c r="B1858" s="2" t="s">
        <v>7313</v>
      </c>
      <c r="C1858" s="2" t="s">
        <v>7309</v>
      </c>
      <c r="D1858" s="2" t="s">
        <v>7299</v>
      </c>
      <c r="E1858" s="2" t="s">
        <v>7314</v>
      </c>
      <c r="F1858" s="2" t="b">
        <v>1</v>
      </c>
      <c r="G1858" s="2" t="b">
        <v>0</v>
      </c>
      <c r="H1858" s="2" t="s">
        <v>37</v>
      </c>
      <c r="I1858" s="2" t="s">
        <v>32</v>
      </c>
      <c r="J1858" s="2" t="s">
        <v>2108</v>
      </c>
      <c r="K1858" s="2" t="s">
        <v>495</v>
      </c>
      <c r="L1858" s="13" t="s">
        <v>496</v>
      </c>
      <c r="M1858" s="2" t="s">
        <v>26</v>
      </c>
      <c r="N1858" s="11" t="s">
        <v>576</v>
      </c>
      <c r="O1858" s="12" t="s">
        <v>53</v>
      </c>
      <c r="P1858" s="5" t="str">
        <f>IFERROR(__xludf.DUMMYFUNCTION("TEXTJOIN("" | "",TRUE,IF(OR(D1858="""",E1858="""",I1858="""",J1858="""",H1858=""""),""ফাঁকা ঘর"",""""),IF(AND(C1858&lt;&gt;"""",D1858&lt;&gt;"""",C1858=D1858),""gloss=figurative"",""""),IF(LEN(D1858)&lt;15,""figurative ছোট"",""""),IF(AND(I1858=""Positive"",REGEXMATCH(H1"&amp;"858,""মূর্খ|ভণ্ড|প্রতার|অলস|লোভ|স্বার্থ|অক্ষম|অযোগ্য|বোকা|কৃপণ|হিংস"")),""valence-target অমিল"",""""),IF(COUNTIF($B:$B,B1858)&gt;1,""ডুপ্লিকেট"",""""))"),"figurative ছোট")</f>
        <v>figurative ছোট</v>
      </c>
      <c r="Q1858" s="5" t="str">
        <f t="shared" si="1"/>
        <v>১ আগে দেখো</v>
      </c>
    </row>
    <row r="1859">
      <c r="A1859" s="4">
        <v>7525.0</v>
      </c>
      <c r="B1859" s="2" t="s">
        <v>7315</v>
      </c>
      <c r="C1859" s="2" t="s">
        <v>7316</v>
      </c>
      <c r="D1859" s="2" t="s">
        <v>1205</v>
      </c>
      <c r="E1859" s="2" t="s">
        <v>7317</v>
      </c>
      <c r="F1859" s="2" t="b">
        <v>1</v>
      </c>
      <c r="G1859" s="2" t="b">
        <v>0</v>
      </c>
      <c r="H1859" s="2" t="s">
        <v>37</v>
      </c>
      <c r="I1859" s="2" t="s">
        <v>32</v>
      </c>
      <c r="J1859" s="2" t="s">
        <v>1194</v>
      </c>
      <c r="K1859" s="2" t="s">
        <v>495</v>
      </c>
      <c r="L1859" s="13" t="s">
        <v>496</v>
      </c>
      <c r="M1859" s="2" t="s">
        <v>26</v>
      </c>
      <c r="N1859" s="11" t="s">
        <v>576</v>
      </c>
      <c r="O1859" s="12" t="s">
        <v>53</v>
      </c>
      <c r="P1859" s="5" t="str">
        <f>IFERROR(__xludf.DUMMYFUNCTION("TEXTJOIN("" | "",TRUE,IF(OR(D1859="""",E1859="""",I1859="""",J1859="""",H1859=""""),""ফাঁকা ঘর"",""""),IF(AND(C1859&lt;&gt;"""",D1859&lt;&gt;"""",C1859=D1859),""gloss=figurative"",""""),IF(LEN(D1859)&lt;15,""figurative ছোট"",""""),IF(AND(I1859=""Positive"",REGEXMATCH(H1"&amp;"859,""মূর্খ|ভণ্ড|প্রতার|অলস|লোভ|স্বার্থ|অক্ষম|অযোগ্য|বোকা|কৃপণ|হিংস"")),""valence-target অমিল"",""""),IF(COUNTIF($B:$B,B1859)&gt;1,""ডুপ্লিকেট"",""""))"),"figurative ছোট")</f>
        <v>figurative ছোট</v>
      </c>
      <c r="Q1859" s="5" t="str">
        <f t="shared" si="1"/>
        <v>১ আগে দেখো</v>
      </c>
    </row>
    <row r="1860">
      <c r="A1860" s="4">
        <v>7526.0</v>
      </c>
      <c r="B1860" s="2" t="s">
        <v>7318</v>
      </c>
      <c r="C1860" s="2" t="s">
        <v>7319</v>
      </c>
      <c r="D1860" s="2" t="s">
        <v>1205</v>
      </c>
      <c r="E1860" s="2" t="s">
        <v>7255</v>
      </c>
      <c r="F1860" s="2" t="b">
        <v>1</v>
      </c>
      <c r="G1860" s="2" t="b">
        <v>0</v>
      </c>
      <c r="H1860" s="2" t="s">
        <v>37</v>
      </c>
      <c r="I1860" s="2" t="s">
        <v>32</v>
      </c>
      <c r="J1860" s="2" t="s">
        <v>1194</v>
      </c>
      <c r="K1860" s="2" t="s">
        <v>495</v>
      </c>
      <c r="L1860" s="13" t="s">
        <v>496</v>
      </c>
      <c r="M1860" s="2" t="s">
        <v>26</v>
      </c>
      <c r="N1860" s="11" t="s">
        <v>576</v>
      </c>
      <c r="O1860" s="12" t="s">
        <v>53</v>
      </c>
      <c r="P1860" s="5" t="str">
        <f>IFERROR(__xludf.DUMMYFUNCTION("TEXTJOIN("" | "",TRUE,IF(OR(D1860="""",E1860="""",I1860="""",J1860="""",H1860=""""),""ফাঁকা ঘর"",""""),IF(AND(C1860&lt;&gt;"""",D1860&lt;&gt;"""",C1860=D1860),""gloss=figurative"",""""),IF(LEN(D1860)&lt;15,""figurative ছোট"",""""),IF(AND(I1860=""Positive"",REGEXMATCH(H1"&amp;"860,""মূর্খ|ভণ্ড|প্রতার|অলস|লোভ|স্বার্থ|অক্ষম|অযোগ্য|বোকা|কৃপণ|হিংস"")),""valence-target অমিল"",""""),IF(COUNTIF($B:$B,B1860)&gt;1,""ডুপ্লিকেট"",""""))"),"figurative ছোট")</f>
        <v>figurative ছোট</v>
      </c>
      <c r="Q1860" s="5" t="str">
        <f t="shared" si="1"/>
        <v>১ আগে দেখো</v>
      </c>
    </row>
    <row r="1861">
      <c r="A1861" s="4">
        <v>7527.0</v>
      </c>
      <c r="B1861" s="2" t="s">
        <v>7320</v>
      </c>
      <c r="C1861" s="2" t="s">
        <v>7321</v>
      </c>
      <c r="D1861" s="2" t="s">
        <v>7322</v>
      </c>
      <c r="E1861" s="2" t="s">
        <v>7323</v>
      </c>
      <c r="F1861" s="2" t="b">
        <v>1</v>
      </c>
      <c r="G1861" s="2" t="b">
        <v>0</v>
      </c>
      <c r="H1861" s="2" t="s">
        <v>37</v>
      </c>
      <c r="I1861" s="2" t="s">
        <v>22</v>
      </c>
      <c r="J1861" s="2" t="s">
        <v>5829</v>
      </c>
      <c r="K1861" s="2" t="s">
        <v>495</v>
      </c>
      <c r="L1861" s="13" t="s">
        <v>496</v>
      </c>
      <c r="M1861" s="2" t="s">
        <v>26</v>
      </c>
      <c r="N1861" s="11" t="s">
        <v>576</v>
      </c>
      <c r="O1861" s="12" t="s">
        <v>53</v>
      </c>
      <c r="P1861" s="5" t="str">
        <f>IFERROR(__xludf.DUMMYFUNCTION("TEXTJOIN("" | "",TRUE,IF(OR(D1861="""",E1861="""",I1861="""",J1861="""",H1861=""""),""ফাঁকা ঘর"",""""),IF(AND(C1861&lt;&gt;"""",D1861&lt;&gt;"""",C1861=D1861),""gloss=figurative"",""""),IF(LEN(D1861)&lt;15,""figurative ছোট"",""""),IF(AND(I1861=""Positive"",REGEXMATCH(H1"&amp;"861,""মূর্খ|ভণ্ড|প্রতার|অলস|লোভ|স্বার্থ|অক্ষম|অযোগ্য|বোকা|কৃপণ|হিংস"")),""valence-target অমিল"",""""),IF(COUNTIF($B:$B,B1861)&gt;1,""ডুপ্লিকেট"",""""))"),"figurative ছোট")</f>
        <v>figurative ছোট</v>
      </c>
      <c r="Q1861" s="5" t="str">
        <f t="shared" si="1"/>
        <v>১ আগে দেখো</v>
      </c>
    </row>
    <row r="1862">
      <c r="A1862" s="4">
        <v>7529.0</v>
      </c>
      <c r="B1862" s="2" t="s">
        <v>7324</v>
      </c>
      <c r="C1862" s="2" t="s">
        <v>7325</v>
      </c>
      <c r="D1862" s="2" t="s">
        <v>7326</v>
      </c>
      <c r="E1862" s="2" t="s">
        <v>7327</v>
      </c>
      <c r="F1862" s="2" t="b">
        <v>1</v>
      </c>
      <c r="G1862" s="2" t="b">
        <v>0</v>
      </c>
      <c r="H1862" s="2" t="s">
        <v>2424</v>
      </c>
      <c r="I1862" s="2" t="s">
        <v>22</v>
      </c>
      <c r="J1862" s="2" t="s">
        <v>2422</v>
      </c>
      <c r="K1862" s="2" t="s">
        <v>495</v>
      </c>
      <c r="L1862" s="13" t="s">
        <v>496</v>
      </c>
      <c r="M1862" s="2" t="s">
        <v>26</v>
      </c>
      <c r="N1862" s="11" t="s">
        <v>576</v>
      </c>
      <c r="O1862" s="12" t="s">
        <v>53</v>
      </c>
      <c r="P1862" s="5" t="str">
        <f>IFERROR(__xludf.DUMMYFUNCTION("TEXTJOIN("" | "",TRUE,IF(OR(D1862="""",E1862="""",I1862="""",J1862="""",H1862=""""),""ফাঁকা ঘর"",""""),IF(AND(C1862&lt;&gt;"""",D1862&lt;&gt;"""",C1862=D1862),""gloss=figurative"",""""),IF(LEN(D1862)&lt;15,""figurative ছোট"",""""),IF(AND(I1862=""Positive"",REGEXMATCH(H1"&amp;"862,""মূর্খ|ভণ্ড|প্রতার|অলস|লোভ|স্বার্থ|অক্ষম|অযোগ্য|বোকা|কৃপণ|হিংস"")),""valence-target অমিল"",""""),IF(COUNTIF($B:$B,B1862)&gt;1,""ডুপ্লিকেট"",""""))"),"figurative ছোট")</f>
        <v>figurative ছোট</v>
      </c>
      <c r="Q1862" s="5" t="str">
        <f t="shared" si="1"/>
        <v>১ আগে দেখো</v>
      </c>
    </row>
    <row r="1863">
      <c r="A1863" s="4">
        <v>7531.0</v>
      </c>
      <c r="B1863" s="2" t="s">
        <v>7328</v>
      </c>
      <c r="C1863" s="2" t="s">
        <v>7329</v>
      </c>
      <c r="D1863" s="2" t="s">
        <v>488</v>
      </c>
      <c r="E1863" s="2" t="s">
        <v>7330</v>
      </c>
      <c r="F1863" s="2" t="b">
        <v>1</v>
      </c>
      <c r="G1863" s="2" t="b">
        <v>0</v>
      </c>
      <c r="H1863" s="2" t="s">
        <v>37</v>
      </c>
      <c r="I1863" s="2" t="s">
        <v>22</v>
      </c>
      <c r="J1863" s="2" t="s">
        <v>1438</v>
      </c>
      <c r="K1863" s="2" t="s">
        <v>495</v>
      </c>
      <c r="L1863" s="13" t="s">
        <v>496</v>
      </c>
      <c r="M1863" s="2" t="s">
        <v>26</v>
      </c>
      <c r="N1863" s="11" t="s">
        <v>576</v>
      </c>
      <c r="O1863" s="12" t="s">
        <v>53</v>
      </c>
      <c r="P1863" s="5" t="str">
        <f>IFERROR(__xludf.DUMMYFUNCTION("TEXTJOIN("" | "",TRUE,IF(OR(D1863="""",E1863="""",I1863="""",J1863="""",H1863=""""),""ফাঁকা ঘর"",""""),IF(AND(C1863&lt;&gt;"""",D1863&lt;&gt;"""",C1863=D1863),""gloss=figurative"",""""),IF(LEN(D1863)&lt;15,""figurative ছোট"",""""),IF(AND(I1863=""Positive"",REGEXMATCH(H1"&amp;"863,""মূর্খ|ভণ্ড|প্রতার|অলস|লোভ|স্বার্থ|অক্ষম|অযোগ্য|বোকা|কৃপণ|হিংস"")),""valence-target অমিল"",""""),IF(COUNTIF($B:$B,B1863)&gt;1,""ডুপ্লিকেট"",""""))"),"figurative ছোট")</f>
        <v>figurative ছোট</v>
      </c>
      <c r="Q1863" s="5" t="str">
        <f t="shared" si="1"/>
        <v>১ আগে দেখো</v>
      </c>
    </row>
    <row r="1864">
      <c r="A1864" s="4">
        <v>7532.0</v>
      </c>
      <c r="B1864" s="2" t="s">
        <v>7331</v>
      </c>
      <c r="C1864" s="2" t="s">
        <v>7332</v>
      </c>
      <c r="D1864" s="2" t="s">
        <v>964</v>
      </c>
      <c r="E1864" s="2" t="s">
        <v>7333</v>
      </c>
      <c r="F1864" s="2" t="b">
        <v>1</v>
      </c>
      <c r="G1864" s="2" t="b">
        <v>0</v>
      </c>
      <c r="H1864" s="2" t="s">
        <v>37</v>
      </c>
      <c r="I1864" s="2" t="s">
        <v>49</v>
      </c>
      <c r="J1864" s="2" t="s">
        <v>3701</v>
      </c>
      <c r="K1864" s="2" t="s">
        <v>495</v>
      </c>
      <c r="L1864" s="13" t="s">
        <v>496</v>
      </c>
      <c r="M1864" s="2" t="s">
        <v>26</v>
      </c>
      <c r="N1864" s="11" t="s">
        <v>576</v>
      </c>
      <c r="O1864" s="12" t="s">
        <v>53</v>
      </c>
      <c r="P1864" s="5" t="str">
        <f>IFERROR(__xludf.DUMMYFUNCTION("TEXTJOIN("" | "",TRUE,IF(OR(D1864="""",E1864="""",I1864="""",J1864="""",H1864=""""),""ফাঁকা ঘর"",""""),IF(AND(C1864&lt;&gt;"""",D1864&lt;&gt;"""",C1864=D1864),""gloss=figurative"",""""),IF(LEN(D1864)&lt;15,""figurative ছোট"",""""),IF(AND(I1864=""Positive"",REGEXMATCH(H1"&amp;"864,""মূর্খ|ভণ্ড|প্রতার|অলস|লোভ|স্বার্থ|অক্ষম|অযোগ্য|বোকা|কৃপণ|হিংস"")),""valence-target অমিল"",""""),IF(COUNTIF($B:$B,B1864)&gt;1,""ডুপ্লিকেট"",""""))"),"figurative ছোট")</f>
        <v>figurative ছোট</v>
      </c>
      <c r="Q1864" s="5" t="str">
        <f t="shared" si="1"/>
        <v>১ আগে দেখো</v>
      </c>
    </row>
    <row r="1865">
      <c r="A1865" s="4">
        <v>7533.0</v>
      </c>
      <c r="B1865" s="2" t="s">
        <v>7334</v>
      </c>
      <c r="C1865" s="2" t="s">
        <v>7335</v>
      </c>
      <c r="D1865" s="2" t="s">
        <v>7336</v>
      </c>
      <c r="E1865" s="2" t="s">
        <v>7337</v>
      </c>
      <c r="F1865" s="2" t="b">
        <v>1</v>
      </c>
      <c r="G1865" s="2" t="b">
        <v>0</v>
      </c>
      <c r="H1865" s="2" t="s">
        <v>37</v>
      </c>
      <c r="I1865" s="2" t="s">
        <v>49</v>
      </c>
      <c r="J1865" s="2" t="s">
        <v>6476</v>
      </c>
      <c r="K1865" s="2" t="s">
        <v>495</v>
      </c>
      <c r="L1865" s="13" t="s">
        <v>496</v>
      </c>
      <c r="M1865" s="2" t="s">
        <v>26</v>
      </c>
      <c r="N1865" s="11" t="s">
        <v>576</v>
      </c>
      <c r="O1865" s="12" t="s">
        <v>53</v>
      </c>
      <c r="P1865" s="5" t="str">
        <f>IFERROR(__xludf.DUMMYFUNCTION("TEXTJOIN("" | "",TRUE,IF(OR(D1865="""",E1865="""",I1865="""",J1865="""",H1865=""""),""ফাঁকা ঘর"",""""),IF(AND(C1865&lt;&gt;"""",D1865&lt;&gt;"""",C1865=D1865),""gloss=figurative"",""""),IF(LEN(D1865)&lt;15,""figurative ছোট"",""""),IF(AND(I1865=""Positive"",REGEXMATCH(H1"&amp;"865,""মূর্খ|ভণ্ড|প্রতার|অলস|লোভ|স্বার্থ|অক্ষম|অযোগ্য|বোকা|কৃপণ|হিংস"")),""valence-target অমিল"",""""),IF(COUNTIF($B:$B,B1865)&gt;1,""ডুপ্লিকেট"",""""))"),"figurative ছোট")</f>
        <v>figurative ছোট</v>
      </c>
      <c r="Q1865" s="5" t="str">
        <f t="shared" si="1"/>
        <v>১ আগে দেখো</v>
      </c>
    </row>
    <row r="1866">
      <c r="A1866" s="4">
        <v>7536.0</v>
      </c>
      <c r="B1866" s="2" t="s">
        <v>7338</v>
      </c>
      <c r="C1866" s="2" t="s">
        <v>7339</v>
      </c>
      <c r="D1866" s="2" t="s">
        <v>7340</v>
      </c>
      <c r="E1866" s="2" t="s">
        <v>7341</v>
      </c>
      <c r="F1866" s="2" t="b">
        <v>1</v>
      </c>
      <c r="G1866" s="2" t="b">
        <v>0</v>
      </c>
      <c r="H1866" s="2" t="s">
        <v>37</v>
      </c>
      <c r="I1866" s="2" t="s">
        <v>49</v>
      </c>
      <c r="J1866" s="2" t="s">
        <v>7340</v>
      </c>
      <c r="K1866" s="2" t="s">
        <v>495</v>
      </c>
      <c r="L1866" s="13" t="s">
        <v>496</v>
      </c>
      <c r="M1866" s="2" t="s">
        <v>26</v>
      </c>
      <c r="N1866" s="11" t="s">
        <v>576</v>
      </c>
      <c r="O1866" s="12" t="s">
        <v>53</v>
      </c>
      <c r="P1866" s="5" t="str">
        <f>IFERROR(__xludf.DUMMYFUNCTION("TEXTJOIN("" | "",TRUE,IF(OR(D1866="""",E1866="""",I1866="""",J1866="""",H1866=""""),""ফাঁকা ঘর"",""""),IF(AND(C1866&lt;&gt;"""",D1866&lt;&gt;"""",C1866=D1866),""gloss=figurative"",""""),IF(LEN(D1866)&lt;15,""figurative ছোট"",""""),IF(AND(I1866=""Positive"",REGEXMATCH(H1"&amp;"866,""মূর্খ|ভণ্ড|প্রতার|অলস|লোভ|স্বার্থ|অক্ষম|অযোগ্য|বোকা|কৃপণ|হিংস"")),""valence-target অমিল"",""""),IF(COUNTIF($B:$B,B1866)&gt;1,""ডুপ্লিকেট"",""""))"),"figurative ছোট")</f>
        <v>figurative ছোট</v>
      </c>
      <c r="Q1866" s="5" t="str">
        <f t="shared" si="1"/>
        <v>১ আগে দেখো</v>
      </c>
    </row>
    <row r="1867">
      <c r="A1867" s="4">
        <v>7538.0</v>
      </c>
      <c r="B1867" s="2" t="s">
        <v>469</v>
      </c>
      <c r="C1867" s="2" t="s">
        <v>7342</v>
      </c>
      <c r="D1867" s="2" t="s">
        <v>208</v>
      </c>
      <c r="E1867" s="2" t="s">
        <v>7343</v>
      </c>
      <c r="F1867" s="2" t="b">
        <v>1</v>
      </c>
      <c r="G1867" s="2" t="b">
        <v>0</v>
      </c>
      <c r="H1867" s="2" t="s">
        <v>37</v>
      </c>
      <c r="I1867" s="2" t="s">
        <v>49</v>
      </c>
      <c r="J1867" s="2" t="s">
        <v>208</v>
      </c>
      <c r="K1867" s="2" t="s">
        <v>495</v>
      </c>
      <c r="L1867" s="13" t="s">
        <v>496</v>
      </c>
      <c r="M1867" s="2" t="s">
        <v>26</v>
      </c>
      <c r="N1867" s="11" t="s">
        <v>7344</v>
      </c>
      <c r="O1867" s="12" t="s">
        <v>53</v>
      </c>
      <c r="P1867" s="5" t="str">
        <f>IFERROR(__xludf.DUMMYFUNCTION("TEXTJOIN("" | "",TRUE,IF(OR(D1867="""",E1867="""",I1867="""",J1867="""",H1867=""""),""ফাঁকা ঘর"",""""),IF(AND(C1867&lt;&gt;"""",D1867&lt;&gt;"""",C1867=D1867),""gloss=figurative"",""""),IF(LEN(D1867)&lt;15,""figurative ছোট"",""""),IF(AND(I1867=""Positive"",REGEXMATCH(H1"&amp;"867,""মূর্খ|ভণ্ড|প্রতার|অলস|লোভ|স্বার্থ|অক্ষম|অযোগ্য|বোকা|কৃপণ|হিংস"")),""valence-target অমিল"",""""),IF(COUNTIF($B:$B,B1867)&gt;1,""ডুপ্লিকেট"",""""))"),"figurative ছোট")</f>
        <v>figurative ছোট</v>
      </c>
      <c r="Q1867" s="5" t="str">
        <f t="shared" si="1"/>
        <v>১ আগে দেখো</v>
      </c>
    </row>
    <row r="1868">
      <c r="A1868" s="4">
        <v>7539.0</v>
      </c>
      <c r="B1868" s="2" t="s">
        <v>7345</v>
      </c>
      <c r="C1868" s="2" t="s">
        <v>7346</v>
      </c>
      <c r="D1868" s="2" t="s">
        <v>7347</v>
      </c>
      <c r="E1868" s="2" t="s">
        <v>7348</v>
      </c>
      <c r="F1868" s="2" t="b">
        <v>1</v>
      </c>
      <c r="G1868" s="2" t="b">
        <v>0</v>
      </c>
      <c r="H1868" s="2" t="s">
        <v>37</v>
      </c>
      <c r="I1868" s="2" t="s">
        <v>22</v>
      </c>
      <c r="J1868" s="2" t="s">
        <v>7349</v>
      </c>
      <c r="K1868" s="2" t="s">
        <v>495</v>
      </c>
      <c r="L1868" s="13" t="s">
        <v>496</v>
      </c>
      <c r="M1868" s="2" t="s">
        <v>26</v>
      </c>
      <c r="N1868" s="11" t="s">
        <v>7350</v>
      </c>
      <c r="O1868" s="12" t="s">
        <v>53</v>
      </c>
      <c r="P1868" s="5" t="str">
        <f>IFERROR(__xludf.DUMMYFUNCTION("TEXTJOIN("" | "",TRUE,IF(OR(D1868="""",E1868="""",I1868="""",J1868="""",H1868=""""),""ফাঁকা ঘর"",""""),IF(AND(C1868&lt;&gt;"""",D1868&lt;&gt;"""",C1868=D1868),""gloss=figurative"",""""),IF(LEN(D1868)&lt;15,""figurative ছোট"",""""),IF(AND(I1868=""Positive"",REGEXMATCH(H1"&amp;"868,""মূর্খ|ভণ্ড|প্রতার|অলস|লোভ|স্বার্থ|অক্ষম|অযোগ্য|বোকা|কৃপণ|হিংস"")),""valence-target অমিল"",""""),IF(COUNTIF($B:$B,B1868)&gt;1,""ডুপ্লিকেট"",""""))"),"figurative ছোট")</f>
        <v>figurative ছোট</v>
      </c>
      <c r="Q1868" s="5" t="str">
        <f t="shared" si="1"/>
        <v>১ আগে দেখো</v>
      </c>
    </row>
    <row r="1869">
      <c r="A1869" s="4">
        <v>7541.0</v>
      </c>
      <c r="B1869" s="2" t="s">
        <v>7351</v>
      </c>
      <c r="C1869" s="2" t="s">
        <v>7352</v>
      </c>
      <c r="D1869" s="2" t="s">
        <v>7353</v>
      </c>
      <c r="E1869" s="2" t="s">
        <v>7354</v>
      </c>
      <c r="F1869" s="2" t="b">
        <v>1</v>
      </c>
      <c r="G1869" s="2" t="b">
        <v>0</v>
      </c>
      <c r="H1869" s="2" t="s">
        <v>37</v>
      </c>
      <c r="I1869" s="2" t="s">
        <v>49</v>
      </c>
      <c r="J1869" s="2" t="s">
        <v>3506</v>
      </c>
      <c r="K1869" s="2" t="s">
        <v>495</v>
      </c>
      <c r="L1869" s="13" t="s">
        <v>496</v>
      </c>
      <c r="M1869" s="2" t="s">
        <v>26</v>
      </c>
      <c r="N1869" s="11" t="s">
        <v>7355</v>
      </c>
      <c r="O1869" s="12" t="s">
        <v>53</v>
      </c>
      <c r="P1869" s="5" t="str">
        <f>IFERROR(__xludf.DUMMYFUNCTION("TEXTJOIN("" | "",TRUE,IF(OR(D1869="""",E1869="""",I1869="""",J1869="""",H1869=""""),""ফাঁকা ঘর"",""""),IF(AND(C1869&lt;&gt;"""",D1869&lt;&gt;"""",C1869=D1869),""gloss=figurative"",""""),IF(LEN(D1869)&lt;15,""figurative ছোট"",""""),IF(AND(I1869=""Positive"",REGEXMATCH(H1"&amp;"869,""মূর্খ|ভণ্ড|প্রতার|অলস|লোভ|স্বার্থ|অক্ষম|অযোগ্য|বোকা|কৃপণ|হিংস"")),""valence-target অমিল"",""""),IF(COUNTIF($B:$B,B1869)&gt;1,""ডুপ্লিকেট"",""""))"),"figurative ছোট")</f>
        <v>figurative ছোট</v>
      </c>
      <c r="Q1869" s="5" t="str">
        <f t="shared" si="1"/>
        <v>১ আগে দেখো</v>
      </c>
    </row>
    <row r="1870">
      <c r="A1870" s="4">
        <v>7542.0</v>
      </c>
      <c r="B1870" s="2" t="s">
        <v>7356</v>
      </c>
      <c r="C1870" s="2" t="s">
        <v>7357</v>
      </c>
      <c r="D1870" s="2" t="s">
        <v>7358</v>
      </c>
      <c r="E1870" s="2" t="s">
        <v>7359</v>
      </c>
      <c r="F1870" s="2" t="b">
        <v>1</v>
      </c>
      <c r="G1870" s="2" t="b">
        <v>0</v>
      </c>
      <c r="H1870" s="2" t="s">
        <v>37</v>
      </c>
      <c r="I1870" s="2" t="s">
        <v>49</v>
      </c>
      <c r="J1870" s="2" t="s">
        <v>3506</v>
      </c>
      <c r="K1870" s="2" t="s">
        <v>495</v>
      </c>
      <c r="L1870" s="13" t="s">
        <v>496</v>
      </c>
      <c r="M1870" s="2" t="s">
        <v>26</v>
      </c>
      <c r="N1870" s="11" t="s">
        <v>7360</v>
      </c>
      <c r="O1870" s="12" t="s">
        <v>53</v>
      </c>
      <c r="P1870" s="5" t="str">
        <f>IFERROR(__xludf.DUMMYFUNCTION("TEXTJOIN("" | "",TRUE,IF(OR(D1870="""",E1870="""",I1870="""",J1870="""",H1870=""""),""ফাঁকা ঘর"",""""),IF(AND(C1870&lt;&gt;"""",D1870&lt;&gt;"""",C1870=D1870),""gloss=figurative"",""""),IF(LEN(D1870)&lt;15,""figurative ছোট"",""""),IF(AND(I1870=""Positive"",REGEXMATCH(H1"&amp;"870,""মূর্খ|ভণ্ড|প্রতার|অলস|লোভ|স্বার্থ|অক্ষম|অযোগ্য|বোকা|কৃপণ|হিংস"")),""valence-target অমিল"",""""),IF(COUNTIF($B:$B,B1870)&gt;1,""ডুপ্লিকেট"",""""))"),"figurative ছোট")</f>
        <v>figurative ছোট</v>
      </c>
      <c r="Q1870" s="5" t="str">
        <f t="shared" si="1"/>
        <v>১ আগে দেখো</v>
      </c>
    </row>
    <row r="1871">
      <c r="A1871" s="4">
        <v>7544.0</v>
      </c>
      <c r="B1871" s="2" t="s">
        <v>7361</v>
      </c>
      <c r="C1871" s="2" t="s">
        <v>7362</v>
      </c>
      <c r="D1871" s="2" t="s">
        <v>646</v>
      </c>
      <c r="E1871" s="2" t="s">
        <v>7363</v>
      </c>
      <c r="F1871" s="2" t="b">
        <v>1</v>
      </c>
      <c r="G1871" s="2" t="b">
        <v>0</v>
      </c>
      <c r="H1871" s="2" t="s">
        <v>37</v>
      </c>
      <c r="I1871" s="2" t="s">
        <v>32</v>
      </c>
      <c r="J1871" s="2" t="s">
        <v>646</v>
      </c>
      <c r="K1871" s="2" t="s">
        <v>495</v>
      </c>
      <c r="L1871" s="13" t="s">
        <v>496</v>
      </c>
      <c r="M1871" s="2" t="s">
        <v>26</v>
      </c>
      <c r="N1871" s="11" t="s">
        <v>576</v>
      </c>
      <c r="O1871" s="12" t="s">
        <v>53</v>
      </c>
      <c r="P1871" s="5" t="str">
        <f>IFERROR(__xludf.DUMMYFUNCTION("TEXTJOIN("" | "",TRUE,IF(OR(D1871="""",E1871="""",I1871="""",J1871="""",H1871=""""),""ফাঁকা ঘর"",""""),IF(AND(C1871&lt;&gt;"""",D1871&lt;&gt;"""",C1871=D1871),""gloss=figurative"",""""),IF(LEN(D1871)&lt;15,""figurative ছোট"",""""),IF(AND(I1871=""Positive"",REGEXMATCH(H1"&amp;"871,""মূর্খ|ভণ্ড|প্রতার|অলস|লোভ|স্বার্থ|অক্ষম|অযোগ্য|বোকা|কৃপণ|হিংস"")),""valence-target অমিল"",""""),IF(COUNTIF($B:$B,B1871)&gt;1,""ডুপ্লিকেট"",""""))"),"figurative ছোট")</f>
        <v>figurative ছোট</v>
      </c>
      <c r="Q1871" s="5" t="str">
        <f t="shared" si="1"/>
        <v>১ আগে দেখো</v>
      </c>
    </row>
    <row r="1872">
      <c r="A1872" s="4">
        <v>7545.0</v>
      </c>
      <c r="B1872" s="2" t="s">
        <v>7364</v>
      </c>
      <c r="C1872" s="2" t="s">
        <v>7365</v>
      </c>
      <c r="D1872" s="2" t="s">
        <v>7366</v>
      </c>
      <c r="E1872" s="2" t="s">
        <v>7367</v>
      </c>
      <c r="F1872" s="2" t="b">
        <v>1</v>
      </c>
      <c r="G1872" s="2" t="b">
        <v>0</v>
      </c>
      <c r="H1872" s="2" t="s">
        <v>37</v>
      </c>
      <c r="I1872" s="2" t="s">
        <v>32</v>
      </c>
      <c r="J1872" s="2" t="s">
        <v>646</v>
      </c>
      <c r="K1872" s="2" t="s">
        <v>495</v>
      </c>
      <c r="L1872" s="13" t="s">
        <v>496</v>
      </c>
      <c r="M1872" s="2" t="s">
        <v>26</v>
      </c>
      <c r="N1872" s="11" t="s">
        <v>576</v>
      </c>
      <c r="O1872" s="12" t="s">
        <v>53</v>
      </c>
      <c r="P1872" s="5" t="str">
        <f>IFERROR(__xludf.DUMMYFUNCTION("TEXTJOIN("" | "",TRUE,IF(OR(D1872="""",E1872="""",I1872="""",J1872="""",H1872=""""),""ফাঁকা ঘর"",""""),IF(AND(C1872&lt;&gt;"""",D1872&lt;&gt;"""",C1872=D1872),""gloss=figurative"",""""),IF(LEN(D1872)&lt;15,""figurative ছোট"",""""),IF(AND(I1872=""Positive"",REGEXMATCH(H1"&amp;"872,""মূর্খ|ভণ্ড|প্রতার|অলস|লোভ|স্বার্থ|অক্ষম|অযোগ্য|বোকা|কৃপণ|হিংস"")),""valence-target অমিল"",""""),IF(COUNTIF($B:$B,B1872)&gt;1,""ডুপ্লিকেট"",""""))"),"figurative ছোট")</f>
        <v>figurative ছোট</v>
      </c>
      <c r="Q1872" s="5" t="str">
        <f t="shared" si="1"/>
        <v>১ আগে দেখো</v>
      </c>
    </row>
    <row r="1873">
      <c r="A1873" s="4">
        <v>7546.0</v>
      </c>
      <c r="B1873" s="2" t="s">
        <v>7368</v>
      </c>
      <c r="C1873" s="2" t="s">
        <v>7368</v>
      </c>
      <c r="D1873" s="2" t="s">
        <v>7369</v>
      </c>
      <c r="E1873" s="2" t="s">
        <v>7370</v>
      </c>
      <c r="F1873" s="2" t="b">
        <v>1</v>
      </c>
      <c r="G1873" s="2" t="b">
        <v>0</v>
      </c>
      <c r="H1873" s="2" t="s">
        <v>37</v>
      </c>
      <c r="I1873" s="2" t="s">
        <v>49</v>
      </c>
      <c r="J1873" s="2" t="s">
        <v>646</v>
      </c>
      <c r="K1873" s="2" t="s">
        <v>495</v>
      </c>
      <c r="L1873" s="13" t="s">
        <v>496</v>
      </c>
      <c r="M1873" s="2" t="s">
        <v>26</v>
      </c>
      <c r="N1873" s="11" t="s">
        <v>576</v>
      </c>
      <c r="O1873" s="12" t="s">
        <v>53</v>
      </c>
      <c r="P1873" s="5" t="str">
        <f>IFERROR(__xludf.DUMMYFUNCTION("TEXTJOIN("" | "",TRUE,IF(OR(D1873="""",E1873="""",I1873="""",J1873="""",H1873=""""),""ফাঁকা ঘর"",""""),IF(AND(C1873&lt;&gt;"""",D1873&lt;&gt;"""",C1873=D1873),""gloss=figurative"",""""),IF(LEN(D1873)&lt;15,""figurative ছোট"",""""),IF(AND(I1873=""Positive"",REGEXMATCH(H1"&amp;"873,""মূর্খ|ভণ্ড|প্রতার|অলস|লোভ|স্বার্থ|অক্ষম|অযোগ্য|বোকা|কৃপণ|হিংস"")),""valence-target অমিল"",""""),IF(COUNTIF($B:$B,B1873)&gt;1,""ডুপ্লিকেট"",""""))"),"figurative ছোট")</f>
        <v>figurative ছোট</v>
      </c>
      <c r="Q1873" s="5" t="str">
        <f t="shared" si="1"/>
        <v>১ আগে দেখো</v>
      </c>
    </row>
    <row r="1874">
      <c r="A1874" s="4">
        <v>7547.0</v>
      </c>
      <c r="B1874" s="2" t="s">
        <v>7371</v>
      </c>
      <c r="C1874" s="2" t="s">
        <v>7372</v>
      </c>
      <c r="D1874" s="2" t="s">
        <v>644</v>
      </c>
      <c r="E1874" s="2" t="s">
        <v>7373</v>
      </c>
      <c r="F1874" s="2" t="b">
        <v>1</v>
      </c>
      <c r="G1874" s="2" t="b">
        <v>0</v>
      </c>
      <c r="H1874" s="2" t="s">
        <v>37</v>
      </c>
      <c r="I1874" s="2" t="s">
        <v>32</v>
      </c>
      <c r="J1874" s="2" t="s">
        <v>646</v>
      </c>
      <c r="K1874" s="2" t="s">
        <v>495</v>
      </c>
      <c r="L1874" s="13" t="s">
        <v>496</v>
      </c>
      <c r="M1874" s="2" t="s">
        <v>26</v>
      </c>
      <c r="N1874" s="11" t="s">
        <v>576</v>
      </c>
      <c r="O1874" s="12" t="s">
        <v>53</v>
      </c>
      <c r="P1874" s="5" t="str">
        <f>IFERROR(__xludf.DUMMYFUNCTION("TEXTJOIN("" | "",TRUE,IF(OR(D1874="""",E1874="""",I1874="""",J1874="""",H1874=""""),""ফাঁকা ঘর"",""""),IF(AND(C1874&lt;&gt;"""",D1874&lt;&gt;"""",C1874=D1874),""gloss=figurative"",""""),IF(LEN(D1874)&lt;15,""figurative ছোট"",""""),IF(AND(I1874=""Positive"",REGEXMATCH(H1"&amp;"874,""মূর্খ|ভণ্ড|প্রতার|অলস|লোভ|স্বার্থ|অক্ষম|অযোগ্য|বোকা|কৃপণ|হিংস"")),""valence-target অমিল"",""""),IF(COUNTIF($B:$B,B1874)&gt;1,""ডুপ্লিকেট"",""""))"),"figurative ছোট")</f>
        <v>figurative ছোট</v>
      </c>
      <c r="Q1874" s="5" t="str">
        <f t="shared" si="1"/>
        <v>১ আগে দেখো</v>
      </c>
    </row>
    <row r="1875">
      <c r="A1875" s="4">
        <v>7548.0</v>
      </c>
      <c r="B1875" s="2" t="s">
        <v>7374</v>
      </c>
      <c r="C1875" s="2" t="s">
        <v>7375</v>
      </c>
      <c r="D1875" s="2" t="s">
        <v>7376</v>
      </c>
      <c r="E1875" s="2" t="s">
        <v>7377</v>
      </c>
      <c r="F1875" s="2" t="b">
        <v>1</v>
      </c>
      <c r="G1875" s="2" t="b">
        <v>0</v>
      </c>
      <c r="H1875" s="2" t="s">
        <v>37</v>
      </c>
      <c r="I1875" s="2" t="s">
        <v>49</v>
      </c>
      <c r="J1875" s="2" t="s">
        <v>646</v>
      </c>
      <c r="K1875" s="2" t="s">
        <v>495</v>
      </c>
      <c r="L1875" s="13" t="s">
        <v>496</v>
      </c>
      <c r="M1875" s="2" t="s">
        <v>26</v>
      </c>
      <c r="N1875" s="11" t="s">
        <v>576</v>
      </c>
      <c r="O1875" s="12" t="s">
        <v>53</v>
      </c>
      <c r="P1875" s="5" t="str">
        <f>IFERROR(__xludf.DUMMYFUNCTION("TEXTJOIN("" | "",TRUE,IF(OR(D1875="""",E1875="""",I1875="""",J1875="""",H1875=""""),""ফাঁকা ঘর"",""""),IF(AND(C1875&lt;&gt;"""",D1875&lt;&gt;"""",C1875=D1875),""gloss=figurative"",""""),IF(LEN(D1875)&lt;15,""figurative ছোট"",""""),IF(AND(I1875=""Positive"",REGEXMATCH(H1"&amp;"875,""মূর্খ|ভণ্ড|প্রতার|অলস|লোভ|স্বার্থ|অক্ষম|অযোগ্য|বোকা|কৃপণ|হিংস"")),""valence-target অমিল"",""""),IF(COUNTIF($B:$B,B1875)&gt;1,""ডুপ্লিকেট"",""""))"),"figurative ছোট")</f>
        <v>figurative ছোট</v>
      </c>
      <c r="Q1875" s="5" t="str">
        <f t="shared" si="1"/>
        <v>১ আগে দেখো</v>
      </c>
    </row>
    <row r="1876">
      <c r="A1876" s="4">
        <v>7549.0</v>
      </c>
      <c r="B1876" s="2" t="s">
        <v>7378</v>
      </c>
      <c r="C1876" s="2" t="s">
        <v>7379</v>
      </c>
      <c r="D1876" s="2" t="s">
        <v>7380</v>
      </c>
      <c r="E1876" s="2" t="s">
        <v>7381</v>
      </c>
      <c r="F1876" s="2" t="b">
        <v>1</v>
      </c>
      <c r="G1876" s="2" t="b">
        <v>0</v>
      </c>
      <c r="H1876" s="2" t="s">
        <v>7382</v>
      </c>
      <c r="I1876" s="2" t="s">
        <v>22</v>
      </c>
      <c r="J1876" s="2" t="s">
        <v>913</v>
      </c>
      <c r="K1876" s="2" t="s">
        <v>495</v>
      </c>
      <c r="L1876" s="13" t="s">
        <v>496</v>
      </c>
      <c r="M1876" s="2" t="s">
        <v>26</v>
      </c>
      <c r="N1876" s="11" t="s">
        <v>576</v>
      </c>
      <c r="O1876" s="12" t="s">
        <v>53</v>
      </c>
      <c r="P1876" s="5" t="str">
        <f>IFERROR(__xludf.DUMMYFUNCTION("TEXTJOIN("" | "",TRUE,IF(OR(D1876="""",E1876="""",I1876="""",J1876="""",H1876=""""),""ফাঁকা ঘর"",""""),IF(AND(C1876&lt;&gt;"""",D1876&lt;&gt;"""",C1876=D1876),""gloss=figurative"",""""),IF(LEN(D1876)&lt;15,""figurative ছোট"",""""),IF(AND(I1876=""Positive"",REGEXMATCH(H1"&amp;"876,""মূর্খ|ভণ্ড|প্রতার|অলস|লোভ|স্বার্থ|অক্ষম|অযোগ্য|বোকা|কৃপণ|হিংস"")),""valence-target অমিল"",""""),IF(COUNTIF($B:$B,B1876)&gt;1,""ডুপ্লিকেট"",""""))"),"figurative ছোট")</f>
        <v>figurative ছোট</v>
      </c>
      <c r="Q1876" s="5" t="str">
        <f t="shared" si="1"/>
        <v>১ আগে দেখো</v>
      </c>
    </row>
    <row r="1877">
      <c r="A1877" s="4">
        <v>7550.0</v>
      </c>
      <c r="B1877" s="2" t="s">
        <v>7383</v>
      </c>
      <c r="C1877" s="2" t="s">
        <v>7384</v>
      </c>
      <c r="D1877" s="2" t="s">
        <v>2040</v>
      </c>
      <c r="E1877" s="2" t="s">
        <v>7385</v>
      </c>
      <c r="F1877" s="2" t="b">
        <v>1</v>
      </c>
      <c r="G1877" s="2" t="b">
        <v>0</v>
      </c>
      <c r="H1877" s="2" t="s">
        <v>37</v>
      </c>
      <c r="I1877" s="2" t="s">
        <v>22</v>
      </c>
      <c r="J1877" s="2" t="s">
        <v>2040</v>
      </c>
      <c r="K1877" s="2" t="s">
        <v>495</v>
      </c>
      <c r="L1877" s="13" t="s">
        <v>496</v>
      </c>
      <c r="M1877" s="2" t="s">
        <v>26</v>
      </c>
      <c r="N1877" s="11" t="s">
        <v>576</v>
      </c>
      <c r="O1877" s="12" t="s">
        <v>53</v>
      </c>
      <c r="P1877" s="5" t="str">
        <f>IFERROR(__xludf.DUMMYFUNCTION("TEXTJOIN("" | "",TRUE,IF(OR(D1877="""",E1877="""",I1877="""",J1877="""",H1877=""""),""ফাঁকা ঘর"",""""),IF(AND(C1877&lt;&gt;"""",D1877&lt;&gt;"""",C1877=D1877),""gloss=figurative"",""""),IF(LEN(D1877)&lt;15,""figurative ছোট"",""""),IF(AND(I1877=""Positive"",REGEXMATCH(H1"&amp;"877,""মূর্খ|ভণ্ড|প্রতার|অলস|লোভ|স্বার্থ|অক্ষম|অযোগ্য|বোকা|কৃপণ|হিংস"")),""valence-target অমিল"",""""),IF(COUNTIF($B:$B,B1877)&gt;1,""ডুপ্লিকেট"",""""))"),"figurative ছোট")</f>
        <v>figurative ছোট</v>
      </c>
      <c r="Q1877" s="5" t="str">
        <f t="shared" si="1"/>
        <v>১ আগে দেখো</v>
      </c>
    </row>
    <row r="1878">
      <c r="A1878" s="4">
        <v>7551.0</v>
      </c>
      <c r="B1878" s="2" t="s">
        <v>7386</v>
      </c>
      <c r="C1878" s="2" t="s">
        <v>7386</v>
      </c>
      <c r="D1878" s="2" t="s">
        <v>644</v>
      </c>
      <c r="E1878" s="2" t="s">
        <v>7387</v>
      </c>
      <c r="F1878" s="2" t="b">
        <v>1</v>
      </c>
      <c r="G1878" s="2" t="b">
        <v>0</v>
      </c>
      <c r="H1878" s="2" t="s">
        <v>37</v>
      </c>
      <c r="I1878" s="2" t="s">
        <v>49</v>
      </c>
      <c r="J1878" s="2" t="s">
        <v>646</v>
      </c>
      <c r="K1878" s="2" t="s">
        <v>495</v>
      </c>
      <c r="L1878" s="13" t="s">
        <v>496</v>
      </c>
      <c r="M1878" s="2" t="s">
        <v>26</v>
      </c>
      <c r="N1878" s="11" t="s">
        <v>576</v>
      </c>
      <c r="O1878" s="12" t="s">
        <v>53</v>
      </c>
      <c r="P1878" s="5" t="str">
        <f>IFERROR(__xludf.DUMMYFUNCTION("TEXTJOIN("" | "",TRUE,IF(OR(D1878="""",E1878="""",I1878="""",J1878="""",H1878=""""),""ফাঁকা ঘর"",""""),IF(AND(C1878&lt;&gt;"""",D1878&lt;&gt;"""",C1878=D1878),""gloss=figurative"",""""),IF(LEN(D1878)&lt;15,""figurative ছোট"",""""),IF(AND(I1878=""Positive"",REGEXMATCH(H1"&amp;"878,""মূর্খ|ভণ্ড|প্রতার|অলস|লোভ|স্বার্থ|অক্ষম|অযোগ্য|বোকা|কৃপণ|হিংস"")),""valence-target অমিল"",""""),IF(COUNTIF($B:$B,B1878)&gt;1,""ডুপ্লিকেট"",""""))"),"figurative ছোট")</f>
        <v>figurative ছোট</v>
      </c>
      <c r="Q1878" s="5" t="str">
        <f t="shared" si="1"/>
        <v>১ আগে দেখো</v>
      </c>
    </row>
    <row r="1879">
      <c r="A1879" s="4">
        <v>7552.0</v>
      </c>
      <c r="B1879" s="2" t="s">
        <v>7388</v>
      </c>
      <c r="C1879" s="2" t="s">
        <v>7389</v>
      </c>
      <c r="D1879" s="2" t="s">
        <v>7380</v>
      </c>
      <c r="E1879" s="2" t="s">
        <v>7390</v>
      </c>
      <c r="F1879" s="2" t="b">
        <v>1</v>
      </c>
      <c r="G1879" s="2" t="b">
        <v>0</v>
      </c>
      <c r="H1879" s="2" t="s">
        <v>37</v>
      </c>
      <c r="I1879" s="2" t="s">
        <v>49</v>
      </c>
      <c r="J1879" s="2" t="s">
        <v>646</v>
      </c>
      <c r="K1879" s="2" t="s">
        <v>495</v>
      </c>
      <c r="L1879" s="13" t="s">
        <v>496</v>
      </c>
      <c r="M1879" s="2" t="s">
        <v>26</v>
      </c>
      <c r="N1879" s="11" t="s">
        <v>7391</v>
      </c>
      <c r="O1879" s="12" t="s">
        <v>53</v>
      </c>
      <c r="P1879" s="5" t="str">
        <f>IFERROR(__xludf.DUMMYFUNCTION("TEXTJOIN("" | "",TRUE,IF(OR(D1879="""",E1879="""",I1879="""",J1879="""",H1879=""""),""ফাঁকা ঘর"",""""),IF(AND(C1879&lt;&gt;"""",D1879&lt;&gt;"""",C1879=D1879),""gloss=figurative"",""""),IF(LEN(D1879)&lt;15,""figurative ছোট"",""""),IF(AND(I1879=""Positive"",REGEXMATCH(H1"&amp;"879,""মূর্খ|ভণ্ড|প্রতার|অলস|লোভ|স্বার্থ|অক্ষম|অযোগ্য|বোকা|কৃপণ|হিংস"")),""valence-target অমিল"",""""),IF(COUNTIF($B:$B,B1879)&gt;1,""ডুপ্লিকেট"",""""))"),"figurative ছোট")</f>
        <v>figurative ছোট</v>
      </c>
      <c r="Q1879" s="5" t="str">
        <f t="shared" si="1"/>
        <v>১ আগে দেখো</v>
      </c>
    </row>
    <row r="1880">
      <c r="A1880" s="4">
        <v>7553.0</v>
      </c>
      <c r="B1880" s="2" t="s">
        <v>7392</v>
      </c>
      <c r="C1880" s="2" t="s">
        <v>7393</v>
      </c>
      <c r="D1880" s="2" t="s">
        <v>1770</v>
      </c>
      <c r="E1880" s="2" t="s">
        <v>7394</v>
      </c>
      <c r="F1880" s="2" t="b">
        <v>1</v>
      </c>
      <c r="G1880" s="2" t="b">
        <v>0</v>
      </c>
      <c r="H1880" s="2" t="s">
        <v>37</v>
      </c>
      <c r="I1880" s="2" t="s">
        <v>49</v>
      </c>
      <c r="J1880" s="2" t="s">
        <v>1770</v>
      </c>
      <c r="K1880" s="2" t="s">
        <v>495</v>
      </c>
      <c r="L1880" s="13" t="s">
        <v>496</v>
      </c>
      <c r="M1880" s="2" t="s">
        <v>26</v>
      </c>
      <c r="N1880" s="11" t="s">
        <v>576</v>
      </c>
      <c r="O1880" s="12" t="s">
        <v>53</v>
      </c>
      <c r="P1880" s="5" t="str">
        <f>IFERROR(__xludf.DUMMYFUNCTION("TEXTJOIN("" | "",TRUE,IF(OR(D1880="""",E1880="""",I1880="""",J1880="""",H1880=""""),""ফাঁকা ঘর"",""""),IF(AND(C1880&lt;&gt;"""",D1880&lt;&gt;"""",C1880=D1880),""gloss=figurative"",""""),IF(LEN(D1880)&lt;15,""figurative ছোট"",""""),IF(AND(I1880=""Positive"",REGEXMATCH(H1"&amp;"880,""মূর্খ|ভণ্ড|প্রতার|অলস|লোভ|স্বার্থ|অক্ষম|অযোগ্য|বোকা|কৃপণ|হিংস"")),""valence-target অমিল"",""""),IF(COUNTIF($B:$B,B1880)&gt;1,""ডুপ্লিকেট"",""""))"),"figurative ছোট")</f>
        <v>figurative ছোট</v>
      </c>
      <c r="Q1880" s="5" t="str">
        <f t="shared" si="1"/>
        <v>১ আগে দেখো</v>
      </c>
    </row>
    <row r="1881">
      <c r="A1881" s="4">
        <v>7554.0</v>
      </c>
      <c r="B1881" s="2" t="s">
        <v>7395</v>
      </c>
      <c r="C1881" s="2" t="s">
        <v>7396</v>
      </c>
      <c r="D1881" s="2" t="s">
        <v>7397</v>
      </c>
      <c r="E1881" s="2" t="s">
        <v>7398</v>
      </c>
      <c r="F1881" s="2" t="b">
        <v>1</v>
      </c>
      <c r="G1881" s="2" t="b">
        <v>0</v>
      </c>
      <c r="H1881" s="2" t="s">
        <v>37</v>
      </c>
      <c r="I1881" s="2" t="s">
        <v>32</v>
      </c>
      <c r="J1881" s="2" t="s">
        <v>1239</v>
      </c>
      <c r="K1881" s="2" t="s">
        <v>495</v>
      </c>
      <c r="L1881" s="13" t="s">
        <v>496</v>
      </c>
      <c r="M1881" s="2" t="s">
        <v>26</v>
      </c>
      <c r="N1881" s="11" t="s">
        <v>576</v>
      </c>
      <c r="O1881" s="12" t="s">
        <v>53</v>
      </c>
      <c r="P1881" s="5" t="str">
        <f>IFERROR(__xludf.DUMMYFUNCTION("TEXTJOIN("" | "",TRUE,IF(OR(D1881="""",E1881="""",I1881="""",J1881="""",H1881=""""),""ফাঁকা ঘর"",""""),IF(AND(C1881&lt;&gt;"""",D1881&lt;&gt;"""",C1881=D1881),""gloss=figurative"",""""),IF(LEN(D1881)&lt;15,""figurative ছোট"",""""),IF(AND(I1881=""Positive"",REGEXMATCH(H1"&amp;"881,""মূর্খ|ভণ্ড|প্রতার|অলস|লোভ|স্বার্থ|অক্ষম|অযোগ্য|বোকা|কৃপণ|হিংস"")),""valence-target অমিল"",""""),IF(COUNTIF($B:$B,B1881)&gt;1,""ডুপ্লিকেট"",""""))"),"figurative ছোট")</f>
        <v>figurative ছোট</v>
      </c>
      <c r="Q1881" s="5" t="str">
        <f t="shared" si="1"/>
        <v>১ আগে দেখো</v>
      </c>
    </row>
    <row r="1882">
      <c r="A1882" s="4">
        <v>7555.0</v>
      </c>
      <c r="B1882" s="2" t="s">
        <v>7399</v>
      </c>
      <c r="C1882" s="2" t="s">
        <v>7400</v>
      </c>
      <c r="D1882" s="2" t="s">
        <v>2851</v>
      </c>
      <c r="E1882" s="2" t="s">
        <v>7401</v>
      </c>
      <c r="F1882" s="2" t="b">
        <v>1</v>
      </c>
      <c r="G1882" s="2" t="b">
        <v>0</v>
      </c>
      <c r="H1882" s="2" t="s">
        <v>37</v>
      </c>
      <c r="I1882" s="2" t="s">
        <v>22</v>
      </c>
      <c r="J1882" s="2" t="s">
        <v>1656</v>
      </c>
      <c r="K1882" s="2" t="s">
        <v>495</v>
      </c>
      <c r="L1882" s="13" t="s">
        <v>496</v>
      </c>
      <c r="M1882" s="2" t="s">
        <v>26</v>
      </c>
      <c r="N1882" s="11" t="s">
        <v>7402</v>
      </c>
      <c r="O1882" s="12" t="s">
        <v>53</v>
      </c>
      <c r="P1882" s="5" t="str">
        <f>IFERROR(__xludf.DUMMYFUNCTION("TEXTJOIN("" | "",TRUE,IF(OR(D1882="""",E1882="""",I1882="""",J1882="""",H1882=""""),""ফাঁকা ঘর"",""""),IF(AND(C1882&lt;&gt;"""",D1882&lt;&gt;"""",C1882=D1882),""gloss=figurative"",""""),IF(LEN(D1882)&lt;15,""figurative ছোট"",""""),IF(AND(I1882=""Positive"",REGEXMATCH(H1"&amp;"882,""মূর্খ|ভণ্ড|প্রতার|অলস|লোভ|স্বার্থ|অক্ষম|অযোগ্য|বোকা|কৃপণ|হিংস"")),""valence-target অমিল"",""""),IF(COUNTIF($B:$B,B1882)&gt;1,""ডুপ্লিকেট"",""""))"),"figurative ছোট")</f>
        <v>figurative ছোট</v>
      </c>
      <c r="Q1882" s="5" t="str">
        <f t="shared" si="1"/>
        <v>১ আগে দেখো</v>
      </c>
    </row>
    <row r="1883">
      <c r="A1883" s="4">
        <v>7556.0</v>
      </c>
      <c r="B1883" s="2" t="s">
        <v>7403</v>
      </c>
      <c r="C1883" s="2" t="s">
        <v>7404</v>
      </c>
      <c r="D1883" s="2" t="s">
        <v>7405</v>
      </c>
      <c r="E1883" s="2" t="s">
        <v>7406</v>
      </c>
      <c r="F1883" s="2" t="b">
        <v>1</v>
      </c>
      <c r="G1883" s="2" t="b">
        <v>0</v>
      </c>
      <c r="H1883" s="2" t="s">
        <v>37</v>
      </c>
      <c r="I1883" s="2" t="s">
        <v>22</v>
      </c>
      <c r="J1883" s="2" t="s">
        <v>1656</v>
      </c>
      <c r="K1883" s="2" t="s">
        <v>495</v>
      </c>
      <c r="L1883" s="13" t="s">
        <v>496</v>
      </c>
      <c r="M1883" s="2" t="s">
        <v>26</v>
      </c>
      <c r="N1883" s="11" t="s">
        <v>7407</v>
      </c>
      <c r="O1883" s="12" t="s">
        <v>53</v>
      </c>
      <c r="P1883" s="5" t="str">
        <f>IFERROR(__xludf.DUMMYFUNCTION("TEXTJOIN("" | "",TRUE,IF(OR(D1883="""",E1883="""",I1883="""",J1883="""",H1883=""""),""ফাঁকা ঘর"",""""),IF(AND(C1883&lt;&gt;"""",D1883&lt;&gt;"""",C1883=D1883),""gloss=figurative"",""""),IF(LEN(D1883)&lt;15,""figurative ছোট"",""""),IF(AND(I1883=""Positive"",REGEXMATCH(H1"&amp;"883,""মূর্খ|ভণ্ড|প্রতার|অলস|লোভ|স্বার্থ|অক্ষম|অযোগ্য|বোকা|কৃপণ|হিংস"")),""valence-target অমিল"",""""),IF(COUNTIF($B:$B,B1883)&gt;1,""ডুপ্লিকেট"",""""))"),"figurative ছোট")</f>
        <v>figurative ছোট</v>
      </c>
      <c r="Q1883" s="5" t="str">
        <f t="shared" si="1"/>
        <v>১ আগে দেখো</v>
      </c>
    </row>
    <row r="1884">
      <c r="A1884" s="4">
        <v>7559.0</v>
      </c>
      <c r="B1884" s="2" t="s">
        <v>7408</v>
      </c>
      <c r="C1884" s="2" t="s">
        <v>7409</v>
      </c>
      <c r="D1884" s="2" t="s">
        <v>2140</v>
      </c>
      <c r="E1884" s="2" t="s">
        <v>7410</v>
      </c>
      <c r="F1884" s="2" t="b">
        <v>1</v>
      </c>
      <c r="G1884" s="2" t="b">
        <v>0</v>
      </c>
      <c r="H1884" s="2" t="s">
        <v>37</v>
      </c>
      <c r="I1884" s="2" t="s">
        <v>49</v>
      </c>
      <c r="J1884" s="2" t="s">
        <v>2140</v>
      </c>
      <c r="K1884" s="2" t="s">
        <v>495</v>
      </c>
      <c r="L1884" s="13" t="s">
        <v>496</v>
      </c>
      <c r="M1884" s="2" t="s">
        <v>26</v>
      </c>
      <c r="N1884" s="11" t="s">
        <v>576</v>
      </c>
      <c r="O1884" s="12" t="s">
        <v>53</v>
      </c>
      <c r="P1884" s="5" t="str">
        <f>IFERROR(__xludf.DUMMYFUNCTION("TEXTJOIN("" | "",TRUE,IF(OR(D1884="""",E1884="""",I1884="""",J1884="""",H1884=""""),""ফাঁকা ঘর"",""""),IF(AND(C1884&lt;&gt;"""",D1884&lt;&gt;"""",C1884=D1884),""gloss=figurative"",""""),IF(LEN(D1884)&lt;15,""figurative ছোট"",""""),IF(AND(I1884=""Positive"",REGEXMATCH(H1"&amp;"884,""মূর্খ|ভণ্ড|প্রতার|অলস|লোভ|স্বার্থ|অক্ষম|অযোগ্য|বোকা|কৃপণ|হিংস"")),""valence-target অমিল"",""""),IF(COUNTIF($B:$B,B1884)&gt;1,""ডুপ্লিকেট"",""""))"),"figurative ছোট")</f>
        <v>figurative ছোট</v>
      </c>
      <c r="Q1884" s="5" t="str">
        <f t="shared" si="1"/>
        <v>১ আগে দেখো</v>
      </c>
    </row>
    <row r="1885">
      <c r="A1885" s="4">
        <v>7560.0</v>
      </c>
      <c r="B1885" s="2" t="s">
        <v>7411</v>
      </c>
      <c r="C1885" s="2" t="s">
        <v>7412</v>
      </c>
      <c r="D1885" s="2" t="s">
        <v>7413</v>
      </c>
      <c r="E1885" s="2" t="s">
        <v>7414</v>
      </c>
      <c r="F1885" s="2" t="b">
        <v>1</v>
      </c>
      <c r="G1885" s="2" t="b">
        <v>0</v>
      </c>
      <c r="H1885" s="2" t="s">
        <v>37</v>
      </c>
      <c r="I1885" s="2" t="s">
        <v>22</v>
      </c>
      <c r="J1885" s="2" t="s">
        <v>729</v>
      </c>
      <c r="K1885" s="2" t="s">
        <v>495</v>
      </c>
      <c r="L1885" s="13" t="s">
        <v>496</v>
      </c>
      <c r="M1885" s="2" t="s">
        <v>26</v>
      </c>
      <c r="N1885" s="11" t="s">
        <v>576</v>
      </c>
      <c r="O1885" s="12" t="s">
        <v>53</v>
      </c>
      <c r="P1885" s="5" t="str">
        <f>IFERROR(__xludf.DUMMYFUNCTION("TEXTJOIN("" | "",TRUE,IF(OR(D1885="""",E1885="""",I1885="""",J1885="""",H1885=""""),""ফাঁকা ঘর"",""""),IF(AND(C1885&lt;&gt;"""",D1885&lt;&gt;"""",C1885=D1885),""gloss=figurative"",""""),IF(LEN(D1885)&lt;15,""figurative ছোট"",""""),IF(AND(I1885=""Positive"",REGEXMATCH(H1"&amp;"885,""মূর্খ|ভণ্ড|প্রতার|অলস|লোভ|স্বার্থ|অক্ষম|অযোগ্য|বোকা|কৃপণ|হিংস"")),""valence-target অমিল"",""""),IF(COUNTIF($B:$B,B1885)&gt;1,""ডুপ্লিকেট"",""""))"),"figurative ছোট")</f>
        <v>figurative ছোট</v>
      </c>
      <c r="Q1885" s="5" t="str">
        <f t="shared" si="1"/>
        <v>১ আগে দেখো</v>
      </c>
    </row>
    <row r="1886">
      <c r="A1886" s="4">
        <v>7561.0</v>
      </c>
      <c r="B1886" s="2" t="s">
        <v>7415</v>
      </c>
      <c r="C1886" s="2" t="s">
        <v>7416</v>
      </c>
      <c r="D1886" s="2" t="s">
        <v>729</v>
      </c>
      <c r="E1886" s="2" t="s">
        <v>7417</v>
      </c>
      <c r="F1886" s="2" t="b">
        <v>1</v>
      </c>
      <c r="G1886" s="2" t="b">
        <v>0</v>
      </c>
      <c r="H1886" s="2" t="s">
        <v>37</v>
      </c>
      <c r="I1886" s="2" t="s">
        <v>22</v>
      </c>
      <c r="J1886" s="2" t="s">
        <v>729</v>
      </c>
      <c r="K1886" s="2" t="s">
        <v>495</v>
      </c>
      <c r="L1886" s="13" t="s">
        <v>496</v>
      </c>
      <c r="M1886" s="2" t="s">
        <v>26</v>
      </c>
      <c r="N1886" s="11" t="s">
        <v>576</v>
      </c>
      <c r="O1886" s="12" t="s">
        <v>53</v>
      </c>
      <c r="P1886" s="5" t="str">
        <f>IFERROR(__xludf.DUMMYFUNCTION("TEXTJOIN("" | "",TRUE,IF(OR(D1886="""",E1886="""",I1886="""",J1886="""",H1886=""""),""ফাঁকা ঘর"",""""),IF(AND(C1886&lt;&gt;"""",D1886&lt;&gt;"""",C1886=D1886),""gloss=figurative"",""""),IF(LEN(D1886)&lt;15,""figurative ছোট"",""""),IF(AND(I1886=""Positive"",REGEXMATCH(H1"&amp;"886,""মূর্খ|ভণ্ড|প্রতার|অলস|লোভ|স্বার্থ|অক্ষম|অযোগ্য|বোকা|কৃপণ|হিংস"")),""valence-target অমিল"",""""),IF(COUNTIF($B:$B,B1886)&gt;1,""ডুপ্লিকেট"",""""))"),"figurative ছোট")</f>
        <v>figurative ছোট</v>
      </c>
      <c r="Q1886" s="5" t="str">
        <f t="shared" si="1"/>
        <v>১ আগে দেখো</v>
      </c>
    </row>
    <row r="1887">
      <c r="A1887" s="4">
        <v>7563.0</v>
      </c>
      <c r="B1887" s="2" t="s">
        <v>7418</v>
      </c>
      <c r="C1887" s="2" t="s">
        <v>7419</v>
      </c>
      <c r="D1887" s="2" t="s">
        <v>7420</v>
      </c>
      <c r="E1887" s="2" t="s">
        <v>7421</v>
      </c>
      <c r="F1887" s="2" t="b">
        <v>1</v>
      </c>
      <c r="G1887" s="2" t="b">
        <v>0</v>
      </c>
      <c r="H1887" s="2" t="s">
        <v>37</v>
      </c>
      <c r="I1887" s="2" t="s">
        <v>22</v>
      </c>
      <c r="J1887" s="2" t="s">
        <v>225</v>
      </c>
      <c r="K1887" s="2" t="s">
        <v>495</v>
      </c>
      <c r="L1887" s="13" t="s">
        <v>496</v>
      </c>
      <c r="M1887" s="2" t="s">
        <v>26</v>
      </c>
      <c r="N1887" s="11" t="s">
        <v>576</v>
      </c>
      <c r="O1887" s="12" t="s">
        <v>53</v>
      </c>
      <c r="P1887" s="5" t="str">
        <f>IFERROR(__xludf.DUMMYFUNCTION("TEXTJOIN("" | "",TRUE,IF(OR(D1887="""",E1887="""",I1887="""",J1887="""",H1887=""""),""ফাঁকা ঘর"",""""),IF(AND(C1887&lt;&gt;"""",D1887&lt;&gt;"""",C1887=D1887),""gloss=figurative"",""""),IF(LEN(D1887)&lt;15,""figurative ছোট"",""""),IF(AND(I1887=""Positive"",REGEXMATCH(H1"&amp;"887,""মূর্খ|ভণ্ড|প্রতার|অলস|লোভ|স্বার্থ|অক্ষম|অযোগ্য|বোকা|কৃপণ|হিংস"")),""valence-target অমিল"",""""),IF(COUNTIF($B:$B,B1887)&gt;1,""ডুপ্লিকেট"",""""))"),"figurative ছোট")</f>
        <v>figurative ছোট</v>
      </c>
      <c r="Q1887" s="5" t="str">
        <f t="shared" si="1"/>
        <v>১ আগে দেখো</v>
      </c>
    </row>
    <row r="1888">
      <c r="A1888" s="4">
        <v>7564.0</v>
      </c>
      <c r="B1888" s="2" t="s">
        <v>7422</v>
      </c>
      <c r="C1888" s="2" t="s">
        <v>7423</v>
      </c>
      <c r="D1888" s="2" t="s">
        <v>1837</v>
      </c>
      <c r="E1888" s="2" t="s">
        <v>1838</v>
      </c>
      <c r="F1888" s="2" t="b">
        <v>1</v>
      </c>
      <c r="G1888" s="2" t="b">
        <v>0</v>
      </c>
      <c r="H1888" s="2" t="s">
        <v>37</v>
      </c>
      <c r="I1888" s="2" t="s">
        <v>49</v>
      </c>
      <c r="J1888" s="2" t="s">
        <v>300</v>
      </c>
      <c r="K1888" s="2" t="s">
        <v>495</v>
      </c>
      <c r="L1888" s="13" t="s">
        <v>496</v>
      </c>
      <c r="M1888" s="2" t="s">
        <v>26</v>
      </c>
      <c r="N1888" s="11" t="s">
        <v>576</v>
      </c>
      <c r="O1888" s="12" t="s">
        <v>53</v>
      </c>
      <c r="P1888" s="5" t="str">
        <f>IFERROR(__xludf.DUMMYFUNCTION("TEXTJOIN("" | "",TRUE,IF(OR(D1888="""",E1888="""",I1888="""",J1888="""",H1888=""""),""ফাঁকা ঘর"",""""),IF(AND(C1888&lt;&gt;"""",D1888&lt;&gt;"""",C1888=D1888),""gloss=figurative"",""""),IF(LEN(D1888)&lt;15,""figurative ছোট"",""""),IF(AND(I1888=""Positive"",REGEXMATCH(H1"&amp;"888,""মূর্খ|ভণ্ড|প্রতার|অলস|লোভ|স্বার্থ|অক্ষম|অযোগ্য|বোকা|কৃপণ|হিংস"")),""valence-target অমিল"",""""),IF(COUNTIF($B:$B,B1888)&gt;1,""ডুপ্লিকেট"",""""))"),"figurative ছোট")</f>
        <v>figurative ছোট</v>
      </c>
      <c r="Q1888" s="5" t="str">
        <f t="shared" si="1"/>
        <v>১ আগে দেখো</v>
      </c>
    </row>
    <row r="1889">
      <c r="A1889" s="4">
        <v>7565.0</v>
      </c>
      <c r="B1889" s="2" t="s">
        <v>7424</v>
      </c>
      <c r="C1889" s="2" t="s">
        <v>7425</v>
      </c>
      <c r="D1889" s="2" t="s">
        <v>3156</v>
      </c>
      <c r="E1889" s="2" t="s">
        <v>7426</v>
      </c>
      <c r="F1889" s="2" t="b">
        <v>1</v>
      </c>
      <c r="G1889" s="2" t="b">
        <v>0</v>
      </c>
      <c r="H1889" s="2" t="s">
        <v>37</v>
      </c>
      <c r="I1889" s="2" t="s">
        <v>49</v>
      </c>
      <c r="J1889" s="2" t="s">
        <v>3156</v>
      </c>
      <c r="K1889" s="2" t="s">
        <v>495</v>
      </c>
      <c r="L1889" s="13" t="s">
        <v>496</v>
      </c>
      <c r="M1889" s="2" t="s">
        <v>26</v>
      </c>
      <c r="N1889" s="11" t="s">
        <v>576</v>
      </c>
      <c r="O1889" s="12" t="s">
        <v>53</v>
      </c>
      <c r="P1889" s="5" t="str">
        <f>IFERROR(__xludf.DUMMYFUNCTION("TEXTJOIN("" | "",TRUE,IF(OR(D1889="""",E1889="""",I1889="""",J1889="""",H1889=""""),""ফাঁকা ঘর"",""""),IF(AND(C1889&lt;&gt;"""",D1889&lt;&gt;"""",C1889=D1889),""gloss=figurative"",""""),IF(LEN(D1889)&lt;15,""figurative ছোট"",""""),IF(AND(I1889=""Positive"",REGEXMATCH(H1"&amp;"889,""মূর্খ|ভণ্ড|প্রতার|অলস|লোভ|স্বার্থ|অক্ষম|অযোগ্য|বোকা|কৃপণ|হিংস"")),""valence-target অমিল"",""""),IF(COUNTIF($B:$B,B1889)&gt;1,""ডুপ্লিকেট"",""""))"),"figurative ছোট")</f>
        <v>figurative ছোট</v>
      </c>
      <c r="Q1889" s="5" t="str">
        <f t="shared" si="1"/>
        <v>১ আগে দেখো</v>
      </c>
    </row>
    <row r="1890">
      <c r="A1890" s="4">
        <v>7566.0</v>
      </c>
      <c r="B1890" s="2" t="s">
        <v>7427</v>
      </c>
      <c r="C1890" s="2" t="s">
        <v>7428</v>
      </c>
      <c r="D1890" s="2" t="s">
        <v>208</v>
      </c>
      <c r="E1890" s="2" t="s">
        <v>7429</v>
      </c>
      <c r="F1890" s="2" t="b">
        <v>1</v>
      </c>
      <c r="G1890" s="2" t="b">
        <v>0</v>
      </c>
      <c r="H1890" s="2" t="s">
        <v>37</v>
      </c>
      <c r="I1890" s="2" t="s">
        <v>49</v>
      </c>
      <c r="J1890" s="2" t="s">
        <v>208</v>
      </c>
      <c r="K1890" s="2" t="s">
        <v>495</v>
      </c>
      <c r="L1890" s="13" t="s">
        <v>496</v>
      </c>
      <c r="M1890" s="2" t="s">
        <v>26</v>
      </c>
      <c r="N1890" s="11" t="s">
        <v>576</v>
      </c>
      <c r="O1890" s="12" t="s">
        <v>53</v>
      </c>
      <c r="P1890" s="5" t="str">
        <f>IFERROR(__xludf.DUMMYFUNCTION("TEXTJOIN("" | "",TRUE,IF(OR(D1890="""",E1890="""",I1890="""",J1890="""",H1890=""""),""ফাঁকা ঘর"",""""),IF(AND(C1890&lt;&gt;"""",D1890&lt;&gt;"""",C1890=D1890),""gloss=figurative"",""""),IF(LEN(D1890)&lt;15,""figurative ছোট"",""""),IF(AND(I1890=""Positive"",REGEXMATCH(H1"&amp;"890,""মূর্খ|ভণ্ড|প্রতার|অলস|লোভ|স্বার্থ|অক্ষম|অযোগ্য|বোকা|কৃপণ|হিংস"")),""valence-target অমিল"",""""),IF(COUNTIF($B:$B,B1890)&gt;1,""ডুপ্লিকেট"",""""))"),"figurative ছোট")</f>
        <v>figurative ছোট</v>
      </c>
      <c r="Q1890" s="5" t="str">
        <f t="shared" si="1"/>
        <v>১ আগে দেখো</v>
      </c>
    </row>
    <row r="1891">
      <c r="A1891" s="4">
        <v>7567.0</v>
      </c>
      <c r="B1891" s="2" t="s">
        <v>7430</v>
      </c>
      <c r="C1891" s="2" t="s">
        <v>7430</v>
      </c>
      <c r="D1891" s="2" t="s">
        <v>7431</v>
      </c>
      <c r="E1891" s="2" t="s">
        <v>7432</v>
      </c>
      <c r="F1891" s="2" t="b">
        <v>1</v>
      </c>
      <c r="G1891" s="2" t="b">
        <v>0</v>
      </c>
      <c r="H1891" s="2" t="s">
        <v>2424</v>
      </c>
      <c r="I1891" s="2" t="s">
        <v>22</v>
      </c>
      <c r="J1891" s="2" t="s">
        <v>2422</v>
      </c>
      <c r="K1891" s="2" t="s">
        <v>495</v>
      </c>
      <c r="L1891" s="13" t="s">
        <v>496</v>
      </c>
      <c r="M1891" s="2" t="s">
        <v>26</v>
      </c>
      <c r="N1891" s="11" t="s">
        <v>576</v>
      </c>
      <c r="O1891" s="12" t="s">
        <v>53</v>
      </c>
      <c r="P1891" s="5" t="str">
        <f>IFERROR(__xludf.DUMMYFUNCTION("TEXTJOIN("" | "",TRUE,IF(OR(D1891="""",E1891="""",I1891="""",J1891="""",H1891=""""),""ফাঁকা ঘর"",""""),IF(AND(C1891&lt;&gt;"""",D1891&lt;&gt;"""",C1891=D1891),""gloss=figurative"",""""),IF(LEN(D1891)&lt;15,""figurative ছোট"",""""),IF(AND(I1891=""Positive"",REGEXMATCH(H1"&amp;"891,""মূর্খ|ভণ্ড|প্রতার|অলস|লোভ|স্বার্থ|অক্ষম|অযোগ্য|বোকা|কৃপণ|হিংস"")),""valence-target অমিল"",""""),IF(COUNTIF($B:$B,B1891)&gt;1,""ডুপ্লিকেট"",""""))"),"figurative ছোট")</f>
        <v>figurative ছোট</v>
      </c>
      <c r="Q1891" s="5" t="str">
        <f t="shared" si="1"/>
        <v>১ আগে দেখো</v>
      </c>
    </row>
    <row r="1892">
      <c r="A1892" s="4">
        <v>7568.0</v>
      </c>
      <c r="B1892" s="2" t="s">
        <v>7433</v>
      </c>
      <c r="C1892" s="2" t="s">
        <v>7434</v>
      </c>
      <c r="D1892" s="2" t="s">
        <v>7435</v>
      </c>
      <c r="E1892" s="2" t="s">
        <v>7436</v>
      </c>
      <c r="F1892" s="2" t="b">
        <v>1</v>
      </c>
      <c r="G1892" s="2" t="b">
        <v>0</v>
      </c>
      <c r="H1892" s="2" t="s">
        <v>37</v>
      </c>
      <c r="I1892" s="2" t="s">
        <v>32</v>
      </c>
      <c r="J1892" s="2" t="s">
        <v>4711</v>
      </c>
      <c r="K1892" s="2" t="s">
        <v>495</v>
      </c>
      <c r="L1892" s="13" t="s">
        <v>496</v>
      </c>
      <c r="M1892" s="2" t="s">
        <v>26</v>
      </c>
      <c r="N1892" s="11" t="s">
        <v>576</v>
      </c>
      <c r="O1892" s="12" t="s">
        <v>53</v>
      </c>
      <c r="P1892" s="5" t="str">
        <f>IFERROR(__xludf.DUMMYFUNCTION("TEXTJOIN("" | "",TRUE,IF(OR(D1892="""",E1892="""",I1892="""",J1892="""",H1892=""""),""ফাঁকা ঘর"",""""),IF(AND(C1892&lt;&gt;"""",D1892&lt;&gt;"""",C1892=D1892),""gloss=figurative"",""""),IF(LEN(D1892)&lt;15,""figurative ছোট"",""""),IF(AND(I1892=""Positive"",REGEXMATCH(H1"&amp;"892,""মূর্খ|ভণ্ড|প্রতার|অলস|লোভ|স্বার্থ|অক্ষম|অযোগ্য|বোকা|কৃপণ|হিংস"")),""valence-target অমিল"",""""),IF(COUNTIF($B:$B,B1892)&gt;1,""ডুপ্লিকেট"",""""))"),"figurative ছোট")</f>
        <v>figurative ছোট</v>
      </c>
      <c r="Q1892" s="5" t="str">
        <f t="shared" si="1"/>
        <v>১ আগে দেখো</v>
      </c>
    </row>
    <row r="1893">
      <c r="A1893" s="4">
        <v>7570.0</v>
      </c>
      <c r="B1893" s="2" t="s">
        <v>7437</v>
      </c>
      <c r="C1893" s="2" t="s">
        <v>7438</v>
      </c>
      <c r="D1893" s="2" t="s">
        <v>7439</v>
      </c>
      <c r="E1893" s="2" t="s">
        <v>7440</v>
      </c>
      <c r="F1893" s="2" t="b">
        <v>1</v>
      </c>
      <c r="G1893" s="2" t="b">
        <v>0</v>
      </c>
      <c r="H1893" s="2" t="s">
        <v>37</v>
      </c>
      <c r="I1893" s="2" t="s">
        <v>22</v>
      </c>
      <c r="J1893" s="2" t="s">
        <v>4026</v>
      </c>
      <c r="K1893" s="2" t="s">
        <v>495</v>
      </c>
      <c r="L1893" s="13" t="s">
        <v>496</v>
      </c>
      <c r="M1893" s="2" t="s">
        <v>26</v>
      </c>
      <c r="N1893" s="11" t="s">
        <v>576</v>
      </c>
      <c r="O1893" s="12" t="s">
        <v>53</v>
      </c>
      <c r="P1893" s="5" t="str">
        <f>IFERROR(__xludf.DUMMYFUNCTION("TEXTJOIN("" | "",TRUE,IF(OR(D1893="""",E1893="""",I1893="""",J1893="""",H1893=""""),""ফাঁকা ঘর"",""""),IF(AND(C1893&lt;&gt;"""",D1893&lt;&gt;"""",C1893=D1893),""gloss=figurative"",""""),IF(LEN(D1893)&lt;15,""figurative ছোট"",""""),IF(AND(I1893=""Positive"",REGEXMATCH(H1"&amp;"893,""মূর্খ|ভণ্ড|প্রতার|অলস|লোভ|স্বার্থ|অক্ষম|অযোগ্য|বোকা|কৃপণ|হিংস"")),""valence-target অমিল"",""""),IF(COUNTIF($B:$B,B1893)&gt;1,""ডুপ্লিকেট"",""""))"),"figurative ছোট")</f>
        <v>figurative ছোট</v>
      </c>
      <c r="Q1893" s="5" t="str">
        <f t="shared" si="1"/>
        <v>১ আগে দেখো</v>
      </c>
    </row>
    <row r="1894">
      <c r="A1894" s="4">
        <v>7571.0</v>
      </c>
      <c r="B1894" s="2" t="s">
        <v>7441</v>
      </c>
      <c r="C1894" s="2" t="s">
        <v>7442</v>
      </c>
      <c r="D1894" s="2" t="s">
        <v>1264</v>
      </c>
      <c r="E1894" s="2" t="s">
        <v>7443</v>
      </c>
      <c r="F1894" s="2" t="b">
        <v>1</v>
      </c>
      <c r="G1894" s="2" t="b">
        <v>0</v>
      </c>
      <c r="H1894" s="2" t="s">
        <v>37</v>
      </c>
      <c r="I1894" s="2" t="s">
        <v>49</v>
      </c>
      <c r="J1894" s="2" t="s">
        <v>1264</v>
      </c>
      <c r="K1894" s="2" t="s">
        <v>495</v>
      </c>
      <c r="L1894" s="13" t="s">
        <v>496</v>
      </c>
      <c r="M1894" s="2" t="s">
        <v>26</v>
      </c>
      <c r="N1894" s="11" t="s">
        <v>576</v>
      </c>
      <c r="O1894" s="12" t="s">
        <v>53</v>
      </c>
      <c r="P1894" s="5" t="str">
        <f>IFERROR(__xludf.DUMMYFUNCTION("TEXTJOIN("" | "",TRUE,IF(OR(D1894="""",E1894="""",I1894="""",J1894="""",H1894=""""),""ফাঁকা ঘর"",""""),IF(AND(C1894&lt;&gt;"""",D1894&lt;&gt;"""",C1894=D1894),""gloss=figurative"",""""),IF(LEN(D1894)&lt;15,""figurative ছোট"",""""),IF(AND(I1894=""Positive"",REGEXMATCH(H1"&amp;"894,""মূর্খ|ভণ্ড|প্রতার|অলস|লোভ|স্বার্থ|অক্ষম|অযোগ্য|বোকা|কৃপণ|হিংস"")),""valence-target অমিল"",""""),IF(COUNTIF($B:$B,B1894)&gt;1,""ডুপ্লিকেট"",""""))"),"figurative ছোট")</f>
        <v>figurative ছোট</v>
      </c>
      <c r="Q1894" s="5" t="str">
        <f t="shared" si="1"/>
        <v>১ আগে দেখো</v>
      </c>
    </row>
    <row r="1895">
      <c r="A1895" s="4">
        <v>7572.0</v>
      </c>
      <c r="B1895" s="2" t="s">
        <v>7444</v>
      </c>
      <c r="C1895" s="2" t="s">
        <v>7445</v>
      </c>
      <c r="D1895" s="2" t="s">
        <v>3156</v>
      </c>
      <c r="E1895" s="2" t="s">
        <v>7446</v>
      </c>
      <c r="F1895" s="2" t="b">
        <v>1</v>
      </c>
      <c r="G1895" s="2" t="b">
        <v>0</v>
      </c>
      <c r="H1895" s="2" t="s">
        <v>37</v>
      </c>
      <c r="I1895" s="2" t="s">
        <v>49</v>
      </c>
      <c r="J1895" s="2" t="s">
        <v>3156</v>
      </c>
      <c r="K1895" s="2" t="s">
        <v>495</v>
      </c>
      <c r="L1895" s="13" t="s">
        <v>496</v>
      </c>
      <c r="M1895" s="2" t="s">
        <v>26</v>
      </c>
      <c r="N1895" s="11" t="s">
        <v>576</v>
      </c>
      <c r="O1895" s="12" t="s">
        <v>53</v>
      </c>
      <c r="P1895" s="5" t="str">
        <f>IFERROR(__xludf.DUMMYFUNCTION("TEXTJOIN("" | "",TRUE,IF(OR(D1895="""",E1895="""",I1895="""",J1895="""",H1895=""""),""ফাঁকা ঘর"",""""),IF(AND(C1895&lt;&gt;"""",D1895&lt;&gt;"""",C1895=D1895),""gloss=figurative"",""""),IF(LEN(D1895)&lt;15,""figurative ছোট"",""""),IF(AND(I1895=""Positive"",REGEXMATCH(H1"&amp;"895,""মূর্খ|ভণ্ড|প্রতার|অলস|লোভ|স্বার্থ|অক্ষম|অযোগ্য|বোকা|কৃপণ|হিংস"")),""valence-target অমিল"",""""),IF(COUNTIF($B:$B,B1895)&gt;1,""ডুপ্লিকেট"",""""))"),"figurative ছোট")</f>
        <v>figurative ছোট</v>
      </c>
      <c r="Q1895" s="5" t="str">
        <f t="shared" si="1"/>
        <v>১ আগে দেখো</v>
      </c>
    </row>
    <row r="1896">
      <c r="A1896" s="4">
        <v>7573.0</v>
      </c>
      <c r="B1896" s="2" t="s">
        <v>7447</v>
      </c>
      <c r="C1896" s="2" t="s">
        <v>7448</v>
      </c>
      <c r="D1896" s="2" t="s">
        <v>7019</v>
      </c>
      <c r="E1896" s="2" t="s">
        <v>7449</v>
      </c>
      <c r="F1896" s="2" t="b">
        <v>1</v>
      </c>
      <c r="G1896" s="2" t="b">
        <v>0</v>
      </c>
      <c r="H1896" s="2" t="s">
        <v>37</v>
      </c>
      <c r="I1896" s="2" t="s">
        <v>32</v>
      </c>
      <c r="J1896" s="2" t="s">
        <v>640</v>
      </c>
      <c r="K1896" s="2" t="s">
        <v>495</v>
      </c>
      <c r="L1896" s="13" t="s">
        <v>496</v>
      </c>
      <c r="M1896" s="2" t="s">
        <v>26</v>
      </c>
      <c r="N1896" s="11" t="s">
        <v>576</v>
      </c>
      <c r="O1896" s="12" t="s">
        <v>53</v>
      </c>
      <c r="P1896" s="5" t="str">
        <f>IFERROR(__xludf.DUMMYFUNCTION("TEXTJOIN("" | "",TRUE,IF(OR(D1896="""",E1896="""",I1896="""",J1896="""",H1896=""""),""ফাঁকা ঘর"",""""),IF(AND(C1896&lt;&gt;"""",D1896&lt;&gt;"""",C1896=D1896),""gloss=figurative"",""""),IF(LEN(D1896)&lt;15,""figurative ছোট"",""""),IF(AND(I1896=""Positive"",REGEXMATCH(H1"&amp;"896,""মূর্খ|ভণ্ড|প্রতার|অলস|লোভ|স্বার্থ|অক্ষম|অযোগ্য|বোকা|কৃপণ|হিংস"")),""valence-target অমিল"",""""),IF(COUNTIF($B:$B,B1896)&gt;1,""ডুপ্লিকেট"",""""))"),"figurative ছোট")</f>
        <v>figurative ছোট</v>
      </c>
      <c r="Q1896" s="5" t="str">
        <f t="shared" si="1"/>
        <v>১ আগে দেখো</v>
      </c>
    </row>
    <row r="1897">
      <c r="A1897" s="4">
        <v>7574.0</v>
      </c>
      <c r="B1897" s="2" t="s">
        <v>7450</v>
      </c>
      <c r="C1897" s="2" t="s">
        <v>7451</v>
      </c>
      <c r="D1897" s="2" t="s">
        <v>1438</v>
      </c>
      <c r="E1897" s="2" t="s">
        <v>7452</v>
      </c>
      <c r="F1897" s="2" t="b">
        <v>1</v>
      </c>
      <c r="G1897" s="2" t="b">
        <v>0</v>
      </c>
      <c r="H1897" s="2" t="s">
        <v>37</v>
      </c>
      <c r="I1897" s="2" t="s">
        <v>22</v>
      </c>
      <c r="J1897" s="2" t="s">
        <v>1438</v>
      </c>
      <c r="K1897" s="2" t="s">
        <v>495</v>
      </c>
      <c r="L1897" s="13" t="s">
        <v>496</v>
      </c>
      <c r="M1897" s="2" t="s">
        <v>26</v>
      </c>
      <c r="N1897" s="11" t="s">
        <v>576</v>
      </c>
      <c r="O1897" s="12" t="s">
        <v>53</v>
      </c>
      <c r="P1897" s="5" t="str">
        <f>IFERROR(__xludf.DUMMYFUNCTION("TEXTJOIN("" | "",TRUE,IF(OR(D1897="""",E1897="""",I1897="""",J1897="""",H1897=""""),""ফাঁকা ঘর"",""""),IF(AND(C1897&lt;&gt;"""",D1897&lt;&gt;"""",C1897=D1897),""gloss=figurative"",""""),IF(LEN(D1897)&lt;15,""figurative ছোট"",""""),IF(AND(I1897=""Positive"",REGEXMATCH(H1"&amp;"897,""মূর্খ|ভণ্ড|প্রতার|অলস|লোভ|স্বার্থ|অক্ষম|অযোগ্য|বোকা|কৃপণ|হিংস"")),""valence-target অমিল"",""""),IF(COUNTIF($B:$B,B1897)&gt;1,""ডুপ্লিকেট"",""""))"),"figurative ছোট")</f>
        <v>figurative ছোট</v>
      </c>
      <c r="Q1897" s="5" t="str">
        <f t="shared" si="1"/>
        <v>১ আগে দেখো</v>
      </c>
    </row>
    <row r="1898">
      <c r="A1898" s="4">
        <v>7575.0</v>
      </c>
      <c r="B1898" s="2" t="s">
        <v>7453</v>
      </c>
      <c r="C1898" s="2" t="s">
        <v>7454</v>
      </c>
      <c r="D1898" s="2" t="s">
        <v>7306</v>
      </c>
      <c r="E1898" s="2" t="s">
        <v>7455</v>
      </c>
      <c r="F1898" s="2" t="b">
        <v>1</v>
      </c>
      <c r="G1898" s="2" t="b">
        <v>0</v>
      </c>
      <c r="H1898" s="2" t="s">
        <v>37</v>
      </c>
      <c r="I1898" s="2" t="s">
        <v>32</v>
      </c>
      <c r="J1898" s="2" t="s">
        <v>2108</v>
      </c>
      <c r="K1898" s="2" t="s">
        <v>495</v>
      </c>
      <c r="L1898" s="13" t="s">
        <v>496</v>
      </c>
      <c r="M1898" s="2" t="s">
        <v>26</v>
      </c>
      <c r="N1898" s="11" t="s">
        <v>576</v>
      </c>
      <c r="O1898" s="12" t="s">
        <v>53</v>
      </c>
      <c r="P1898" s="5" t="str">
        <f>IFERROR(__xludf.DUMMYFUNCTION("TEXTJOIN("" | "",TRUE,IF(OR(D1898="""",E1898="""",I1898="""",J1898="""",H1898=""""),""ফাঁকা ঘর"",""""),IF(AND(C1898&lt;&gt;"""",D1898&lt;&gt;"""",C1898=D1898),""gloss=figurative"",""""),IF(LEN(D1898)&lt;15,""figurative ছোট"",""""),IF(AND(I1898=""Positive"",REGEXMATCH(H1"&amp;"898,""মূর্খ|ভণ্ড|প্রতার|অলস|লোভ|স্বার্থ|অক্ষম|অযোগ্য|বোকা|কৃপণ|হিংস"")),""valence-target অমিল"",""""),IF(COUNTIF($B:$B,B1898)&gt;1,""ডুপ্লিকেট"",""""))"),"figurative ছোট")</f>
        <v>figurative ছোট</v>
      </c>
      <c r="Q1898" s="5" t="str">
        <f t="shared" si="1"/>
        <v>১ আগে দেখো</v>
      </c>
    </row>
    <row r="1899">
      <c r="A1899" s="4">
        <v>7576.0</v>
      </c>
      <c r="B1899" s="2" t="s">
        <v>7456</v>
      </c>
      <c r="C1899" s="2" t="s">
        <v>7457</v>
      </c>
      <c r="D1899" s="2" t="s">
        <v>7458</v>
      </c>
      <c r="E1899" s="2" t="s">
        <v>7459</v>
      </c>
      <c r="F1899" s="2" t="b">
        <v>1</v>
      </c>
      <c r="G1899" s="2" t="b">
        <v>0</v>
      </c>
      <c r="H1899" s="2" t="s">
        <v>37</v>
      </c>
      <c r="I1899" s="2" t="s">
        <v>49</v>
      </c>
      <c r="J1899" s="2" t="s">
        <v>7460</v>
      </c>
      <c r="K1899" s="2" t="s">
        <v>495</v>
      </c>
      <c r="L1899" s="13" t="s">
        <v>496</v>
      </c>
      <c r="M1899" s="2" t="s">
        <v>26</v>
      </c>
      <c r="N1899" s="11" t="s">
        <v>576</v>
      </c>
      <c r="O1899" s="12" t="s">
        <v>53</v>
      </c>
      <c r="P1899" s="5" t="str">
        <f>IFERROR(__xludf.DUMMYFUNCTION("TEXTJOIN("" | "",TRUE,IF(OR(D1899="""",E1899="""",I1899="""",J1899="""",H1899=""""),""ফাঁকা ঘর"",""""),IF(AND(C1899&lt;&gt;"""",D1899&lt;&gt;"""",C1899=D1899),""gloss=figurative"",""""),IF(LEN(D1899)&lt;15,""figurative ছোট"",""""),IF(AND(I1899=""Positive"",REGEXMATCH(H1"&amp;"899,""মূর্খ|ভণ্ড|প্রতার|অলস|লোভ|স্বার্থ|অক্ষম|অযোগ্য|বোকা|কৃপণ|হিংস"")),""valence-target অমিল"",""""),IF(COUNTIF($B:$B,B1899)&gt;1,""ডুপ্লিকেট"",""""))"),"figurative ছোট")</f>
        <v>figurative ছোট</v>
      </c>
      <c r="Q1899" s="5" t="str">
        <f t="shared" si="1"/>
        <v>১ আগে দেখো</v>
      </c>
    </row>
    <row r="1900">
      <c r="A1900" s="4">
        <v>7577.0</v>
      </c>
      <c r="B1900" s="2" t="s">
        <v>7461</v>
      </c>
      <c r="C1900" s="2" t="s">
        <v>7462</v>
      </c>
      <c r="D1900" s="2" t="s">
        <v>7463</v>
      </c>
      <c r="E1900" s="2" t="s">
        <v>7464</v>
      </c>
      <c r="F1900" s="2" t="b">
        <v>1</v>
      </c>
      <c r="G1900" s="2" t="b">
        <v>0</v>
      </c>
      <c r="H1900" s="2" t="s">
        <v>37</v>
      </c>
      <c r="I1900" s="2" t="s">
        <v>49</v>
      </c>
      <c r="J1900" s="2" t="s">
        <v>7465</v>
      </c>
      <c r="K1900" s="2" t="s">
        <v>495</v>
      </c>
      <c r="L1900" s="13" t="s">
        <v>496</v>
      </c>
      <c r="M1900" s="2" t="s">
        <v>26</v>
      </c>
      <c r="N1900" s="11" t="s">
        <v>576</v>
      </c>
      <c r="O1900" s="12" t="s">
        <v>53</v>
      </c>
      <c r="P1900" s="5" t="str">
        <f>IFERROR(__xludf.DUMMYFUNCTION("TEXTJOIN("" | "",TRUE,IF(OR(D1900="""",E1900="""",I1900="""",J1900="""",H1900=""""),""ফাঁকা ঘর"",""""),IF(AND(C1900&lt;&gt;"""",D1900&lt;&gt;"""",C1900=D1900),""gloss=figurative"",""""),IF(LEN(D1900)&lt;15,""figurative ছোট"",""""),IF(AND(I1900=""Positive"",REGEXMATCH(H1"&amp;"900,""মূর্খ|ভণ্ড|প্রতার|অলস|লোভ|স্বার্থ|অক্ষম|অযোগ্য|বোকা|কৃপণ|হিংস"")),""valence-target অমিল"",""""),IF(COUNTIF($B:$B,B1900)&gt;1,""ডুপ্লিকেট"",""""))"),"figurative ছোট")</f>
        <v>figurative ছোট</v>
      </c>
      <c r="Q1900" s="5" t="str">
        <f t="shared" si="1"/>
        <v>১ আগে দেখো</v>
      </c>
    </row>
    <row r="1901">
      <c r="A1901" s="4">
        <v>7583.0</v>
      </c>
      <c r="B1901" s="2" t="s">
        <v>7466</v>
      </c>
      <c r="C1901" s="2" t="s">
        <v>7467</v>
      </c>
      <c r="D1901" s="2" t="s">
        <v>7468</v>
      </c>
      <c r="E1901" s="2" t="s">
        <v>7469</v>
      </c>
      <c r="F1901" s="2" t="b">
        <v>1</v>
      </c>
      <c r="G1901" s="2" t="b">
        <v>0</v>
      </c>
      <c r="H1901" s="2" t="s">
        <v>37</v>
      </c>
      <c r="I1901" s="2" t="s">
        <v>22</v>
      </c>
      <c r="J1901" s="2" t="s">
        <v>842</v>
      </c>
      <c r="K1901" s="2" t="s">
        <v>495</v>
      </c>
      <c r="L1901" s="13" t="s">
        <v>496</v>
      </c>
      <c r="M1901" s="2" t="s">
        <v>26</v>
      </c>
      <c r="N1901" s="11" t="s">
        <v>576</v>
      </c>
      <c r="O1901" s="12" t="s">
        <v>53</v>
      </c>
      <c r="P1901" s="5" t="str">
        <f>IFERROR(__xludf.DUMMYFUNCTION("TEXTJOIN("" | "",TRUE,IF(OR(D1901="""",E1901="""",I1901="""",J1901="""",H1901=""""),""ফাঁকা ঘর"",""""),IF(AND(C1901&lt;&gt;"""",D1901&lt;&gt;"""",C1901=D1901),""gloss=figurative"",""""),IF(LEN(D1901)&lt;15,""figurative ছোট"",""""),IF(AND(I1901=""Positive"",REGEXMATCH(H1"&amp;"901,""মূর্খ|ভণ্ড|প্রতার|অলস|লোভ|স্বার্থ|অক্ষম|অযোগ্য|বোকা|কৃপণ|হিংস"")),""valence-target অমিল"",""""),IF(COUNTIF($B:$B,B1901)&gt;1,""ডুপ্লিকেট"",""""))"),"figurative ছোট")</f>
        <v>figurative ছোট</v>
      </c>
      <c r="Q1901" s="5" t="str">
        <f t="shared" si="1"/>
        <v>১ আগে দেখো</v>
      </c>
    </row>
    <row r="1902">
      <c r="A1902" s="4">
        <v>7584.0</v>
      </c>
      <c r="B1902" s="2" t="s">
        <v>7470</v>
      </c>
      <c r="C1902" s="2" t="s">
        <v>7470</v>
      </c>
      <c r="D1902" s="2" t="s">
        <v>7471</v>
      </c>
      <c r="E1902" s="2" t="s">
        <v>7472</v>
      </c>
      <c r="F1902" s="2" t="b">
        <v>1</v>
      </c>
      <c r="G1902" s="2" t="b">
        <v>0</v>
      </c>
      <c r="H1902" s="2" t="s">
        <v>37</v>
      </c>
      <c r="I1902" s="2" t="s">
        <v>22</v>
      </c>
      <c r="J1902" s="2" t="s">
        <v>4946</v>
      </c>
      <c r="K1902" s="2" t="s">
        <v>495</v>
      </c>
      <c r="L1902" s="13" t="s">
        <v>496</v>
      </c>
      <c r="M1902" s="2" t="s">
        <v>26</v>
      </c>
      <c r="N1902" s="11" t="s">
        <v>576</v>
      </c>
      <c r="O1902" s="12" t="s">
        <v>53</v>
      </c>
      <c r="P1902" s="5" t="str">
        <f>IFERROR(__xludf.DUMMYFUNCTION("TEXTJOIN("" | "",TRUE,IF(OR(D1902="""",E1902="""",I1902="""",J1902="""",H1902=""""),""ফাঁকা ঘর"",""""),IF(AND(C1902&lt;&gt;"""",D1902&lt;&gt;"""",C1902=D1902),""gloss=figurative"",""""),IF(LEN(D1902)&lt;15,""figurative ছোট"",""""),IF(AND(I1902=""Positive"",REGEXMATCH(H1"&amp;"902,""মূর্খ|ভণ্ড|প্রতার|অলস|লোভ|স্বার্থ|অক্ষম|অযোগ্য|বোকা|কৃপণ|হিংস"")),""valence-target অমিল"",""""),IF(COUNTIF($B:$B,B1902)&gt;1,""ডুপ্লিকেট"",""""))"),"figurative ছোট")</f>
        <v>figurative ছোট</v>
      </c>
      <c r="Q1902" s="5" t="str">
        <f t="shared" si="1"/>
        <v>১ আগে দেখো</v>
      </c>
    </row>
    <row r="1903">
      <c r="A1903" s="4">
        <v>7585.0</v>
      </c>
      <c r="B1903" s="2" t="s">
        <v>7473</v>
      </c>
      <c r="C1903" s="2" t="s">
        <v>7473</v>
      </c>
      <c r="D1903" s="2" t="s">
        <v>7474</v>
      </c>
      <c r="E1903" s="2" t="s">
        <v>7475</v>
      </c>
      <c r="F1903" s="2" t="b">
        <v>1</v>
      </c>
      <c r="G1903" s="2" t="b">
        <v>0</v>
      </c>
      <c r="H1903" s="2" t="s">
        <v>37</v>
      </c>
      <c r="I1903" s="2" t="s">
        <v>32</v>
      </c>
      <c r="J1903" s="2" t="s">
        <v>729</v>
      </c>
      <c r="K1903" s="2" t="s">
        <v>495</v>
      </c>
      <c r="L1903" s="13" t="s">
        <v>496</v>
      </c>
      <c r="M1903" s="2" t="s">
        <v>26</v>
      </c>
      <c r="N1903" s="11" t="s">
        <v>576</v>
      </c>
      <c r="O1903" s="12" t="s">
        <v>53</v>
      </c>
      <c r="P1903" s="5" t="str">
        <f>IFERROR(__xludf.DUMMYFUNCTION("TEXTJOIN("" | "",TRUE,IF(OR(D1903="""",E1903="""",I1903="""",J1903="""",H1903=""""),""ফাঁকা ঘর"",""""),IF(AND(C1903&lt;&gt;"""",D1903&lt;&gt;"""",C1903=D1903),""gloss=figurative"",""""),IF(LEN(D1903)&lt;15,""figurative ছোট"",""""),IF(AND(I1903=""Positive"",REGEXMATCH(H1"&amp;"903,""মূর্খ|ভণ্ড|প্রতার|অলস|লোভ|স্বার্থ|অক্ষম|অযোগ্য|বোকা|কৃপণ|হিংস"")),""valence-target অমিল"",""""),IF(COUNTIF($B:$B,B1903)&gt;1,""ডুপ্লিকেট"",""""))"),"figurative ছোট")</f>
        <v>figurative ছোট</v>
      </c>
      <c r="Q1903" s="5" t="str">
        <f t="shared" si="1"/>
        <v>১ আগে দেখো</v>
      </c>
    </row>
    <row r="1904">
      <c r="A1904" s="4">
        <v>7586.0</v>
      </c>
      <c r="B1904" s="2" t="s">
        <v>7476</v>
      </c>
      <c r="C1904" s="2" t="s">
        <v>7476</v>
      </c>
      <c r="D1904" s="2" t="s">
        <v>7477</v>
      </c>
      <c r="E1904" s="2" t="s">
        <v>7478</v>
      </c>
      <c r="F1904" s="2" t="b">
        <v>1</v>
      </c>
      <c r="G1904" s="2" t="b">
        <v>0</v>
      </c>
      <c r="H1904" s="2" t="s">
        <v>37</v>
      </c>
      <c r="I1904" s="2" t="s">
        <v>49</v>
      </c>
      <c r="J1904" s="2" t="s">
        <v>729</v>
      </c>
      <c r="K1904" s="2" t="s">
        <v>495</v>
      </c>
      <c r="L1904" s="13" t="s">
        <v>496</v>
      </c>
      <c r="M1904" s="2" t="s">
        <v>26</v>
      </c>
      <c r="N1904" s="11" t="s">
        <v>576</v>
      </c>
      <c r="O1904" s="12" t="s">
        <v>53</v>
      </c>
      <c r="P1904" s="5" t="str">
        <f>IFERROR(__xludf.DUMMYFUNCTION("TEXTJOIN("" | "",TRUE,IF(OR(D1904="""",E1904="""",I1904="""",J1904="""",H1904=""""),""ফাঁকা ঘর"",""""),IF(AND(C1904&lt;&gt;"""",D1904&lt;&gt;"""",C1904=D1904),""gloss=figurative"",""""),IF(LEN(D1904)&lt;15,""figurative ছোট"",""""),IF(AND(I1904=""Positive"",REGEXMATCH(H1"&amp;"904,""মূর্খ|ভণ্ড|প্রতার|অলস|লোভ|স্বার্থ|অক্ষম|অযোগ্য|বোকা|কৃপণ|হিংস"")),""valence-target অমিল"",""""),IF(COUNTIF($B:$B,B1904)&gt;1,""ডুপ্লিকেট"",""""))"),"figurative ছোট")</f>
        <v>figurative ছোট</v>
      </c>
      <c r="Q1904" s="5" t="str">
        <f t="shared" si="1"/>
        <v>১ আগে দেখো</v>
      </c>
    </row>
    <row r="1905">
      <c r="A1905" s="4">
        <v>7587.0</v>
      </c>
      <c r="B1905" s="2" t="s">
        <v>92</v>
      </c>
      <c r="C1905" s="2" t="s">
        <v>92</v>
      </c>
      <c r="D1905" s="2" t="s">
        <v>95</v>
      </c>
      <c r="E1905" s="2" t="s">
        <v>7479</v>
      </c>
      <c r="F1905" s="2" t="b">
        <v>1</v>
      </c>
      <c r="G1905" s="2" t="b">
        <v>0</v>
      </c>
      <c r="H1905" s="2" t="s">
        <v>37</v>
      </c>
      <c r="I1905" s="2" t="s">
        <v>22</v>
      </c>
      <c r="J1905" s="2" t="s">
        <v>3337</v>
      </c>
      <c r="K1905" s="2" t="s">
        <v>495</v>
      </c>
      <c r="L1905" s="13" t="s">
        <v>496</v>
      </c>
      <c r="M1905" s="2" t="s">
        <v>26</v>
      </c>
      <c r="N1905" s="11" t="s">
        <v>7480</v>
      </c>
      <c r="O1905" s="12" t="s">
        <v>53</v>
      </c>
      <c r="P1905" s="5" t="str">
        <f>IFERROR(__xludf.DUMMYFUNCTION("TEXTJOIN("" | "",TRUE,IF(OR(D1905="""",E1905="""",I1905="""",J1905="""",H1905=""""),""ফাঁকা ঘর"",""""),IF(AND(C1905&lt;&gt;"""",D1905&lt;&gt;"""",C1905=D1905),""gloss=figurative"",""""),IF(LEN(D1905)&lt;15,""figurative ছোট"",""""),IF(AND(I1905=""Positive"",REGEXMATCH(H1"&amp;"905,""মূর্খ|ভণ্ড|প্রতার|অলস|লোভ|স্বার্থ|অক্ষম|অযোগ্য|বোকা|কৃপণ|হিংস"")),""valence-target অমিল"",""""),IF(COUNTIF($B:$B,B1905)&gt;1,""ডুপ্লিকেট"",""""))"),"figurative ছোট")</f>
        <v>figurative ছোট</v>
      </c>
      <c r="Q1905" s="5" t="str">
        <f t="shared" si="1"/>
        <v>১ আগে দেখো</v>
      </c>
    </row>
    <row r="1906">
      <c r="A1906" s="4">
        <v>7588.0</v>
      </c>
      <c r="B1906" s="2" t="s">
        <v>7481</v>
      </c>
      <c r="C1906" s="2" t="s">
        <v>7482</v>
      </c>
      <c r="D1906" s="2" t="s">
        <v>7303</v>
      </c>
      <c r="E1906" s="2" t="s">
        <v>7304</v>
      </c>
      <c r="F1906" s="2" t="b">
        <v>1</v>
      </c>
      <c r="G1906" s="2" t="b">
        <v>0</v>
      </c>
      <c r="H1906" s="2" t="s">
        <v>37</v>
      </c>
      <c r="I1906" s="2" t="s">
        <v>49</v>
      </c>
      <c r="J1906" s="2" t="s">
        <v>208</v>
      </c>
      <c r="K1906" s="2" t="s">
        <v>495</v>
      </c>
      <c r="L1906" s="13" t="s">
        <v>496</v>
      </c>
      <c r="M1906" s="2" t="s">
        <v>26</v>
      </c>
      <c r="N1906" s="11" t="s">
        <v>576</v>
      </c>
      <c r="O1906" s="12" t="s">
        <v>53</v>
      </c>
      <c r="P1906" s="5" t="str">
        <f>IFERROR(__xludf.DUMMYFUNCTION("TEXTJOIN("" | "",TRUE,IF(OR(D1906="""",E1906="""",I1906="""",J1906="""",H1906=""""),""ফাঁকা ঘর"",""""),IF(AND(C1906&lt;&gt;"""",D1906&lt;&gt;"""",C1906=D1906),""gloss=figurative"",""""),IF(LEN(D1906)&lt;15,""figurative ছোট"",""""),IF(AND(I1906=""Positive"",REGEXMATCH(H1"&amp;"906,""মূর্খ|ভণ্ড|প্রতার|অলস|লোভ|স্বার্থ|অক্ষম|অযোগ্য|বোকা|কৃপণ|হিংস"")),""valence-target অমিল"",""""),IF(COUNTIF($B:$B,B1906)&gt;1,""ডুপ্লিকেট"",""""))"),"figurative ছোট")</f>
        <v>figurative ছোট</v>
      </c>
      <c r="Q1906" s="5" t="str">
        <f t="shared" si="1"/>
        <v>১ আগে দেখো</v>
      </c>
    </row>
    <row r="1907">
      <c r="A1907" s="4">
        <v>7589.0</v>
      </c>
      <c r="B1907" s="2" t="s">
        <v>7483</v>
      </c>
      <c r="C1907" s="2" t="s">
        <v>7484</v>
      </c>
      <c r="D1907" s="2" t="s">
        <v>7340</v>
      </c>
      <c r="E1907" s="2" t="s">
        <v>7485</v>
      </c>
      <c r="F1907" s="2" t="b">
        <v>1</v>
      </c>
      <c r="G1907" s="2" t="b">
        <v>0</v>
      </c>
      <c r="H1907" s="2" t="s">
        <v>37</v>
      </c>
      <c r="I1907" s="2" t="s">
        <v>49</v>
      </c>
      <c r="J1907" s="2" t="s">
        <v>7340</v>
      </c>
      <c r="K1907" s="2" t="s">
        <v>495</v>
      </c>
      <c r="L1907" s="13" t="s">
        <v>496</v>
      </c>
      <c r="M1907" s="2" t="s">
        <v>26</v>
      </c>
      <c r="N1907" s="11" t="s">
        <v>576</v>
      </c>
      <c r="O1907" s="12" t="s">
        <v>53</v>
      </c>
      <c r="P1907" s="5" t="str">
        <f>IFERROR(__xludf.DUMMYFUNCTION("TEXTJOIN("" | "",TRUE,IF(OR(D1907="""",E1907="""",I1907="""",J1907="""",H1907=""""),""ফাঁকা ঘর"",""""),IF(AND(C1907&lt;&gt;"""",D1907&lt;&gt;"""",C1907=D1907),""gloss=figurative"",""""),IF(LEN(D1907)&lt;15,""figurative ছোট"",""""),IF(AND(I1907=""Positive"",REGEXMATCH(H1"&amp;"907,""মূর্খ|ভণ্ড|প্রতার|অলস|লোভ|স্বার্থ|অক্ষম|অযোগ্য|বোকা|কৃপণ|হিংস"")),""valence-target অমিল"",""""),IF(COUNTIF($B:$B,B1907)&gt;1,""ডুপ্লিকেট"",""""))"),"figurative ছোট")</f>
        <v>figurative ছোট</v>
      </c>
      <c r="Q1907" s="5" t="str">
        <f t="shared" si="1"/>
        <v>১ আগে দেখো</v>
      </c>
    </row>
    <row r="1908">
      <c r="A1908" s="4">
        <v>7591.0</v>
      </c>
      <c r="B1908" s="2" t="s">
        <v>7486</v>
      </c>
      <c r="C1908" s="2" t="s">
        <v>7487</v>
      </c>
      <c r="D1908" s="2" t="s">
        <v>3156</v>
      </c>
      <c r="E1908" s="2" t="s">
        <v>7488</v>
      </c>
      <c r="F1908" s="2" t="b">
        <v>1</v>
      </c>
      <c r="G1908" s="2" t="b">
        <v>0</v>
      </c>
      <c r="H1908" s="2" t="s">
        <v>37</v>
      </c>
      <c r="I1908" s="2" t="s">
        <v>49</v>
      </c>
      <c r="J1908" s="2" t="s">
        <v>3156</v>
      </c>
      <c r="K1908" s="2" t="s">
        <v>495</v>
      </c>
      <c r="L1908" s="13" t="s">
        <v>496</v>
      </c>
      <c r="M1908" s="2" t="s">
        <v>26</v>
      </c>
      <c r="N1908" s="11" t="s">
        <v>576</v>
      </c>
      <c r="O1908" s="12" t="s">
        <v>53</v>
      </c>
      <c r="P1908" s="5" t="str">
        <f>IFERROR(__xludf.DUMMYFUNCTION("TEXTJOIN("" | "",TRUE,IF(OR(D1908="""",E1908="""",I1908="""",J1908="""",H1908=""""),""ফাঁকা ঘর"",""""),IF(AND(C1908&lt;&gt;"""",D1908&lt;&gt;"""",C1908=D1908),""gloss=figurative"",""""),IF(LEN(D1908)&lt;15,""figurative ছোট"",""""),IF(AND(I1908=""Positive"",REGEXMATCH(H1"&amp;"908,""মূর্খ|ভণ্ড|প্রতার|অলস|লোভ|স্বার্থ|অক্ষম|অযোগ্য|বোকা|কৃপণ|হিংস"")),""valence-target অমিল"",""""),IF(COUNTIF($B:$B,B1908)&gt;1,""ডুপ্লিকেট"",""""))"),"figurative ছোট")</f>
        <v>figurative ছোট</v>
      </c>
      <c r="Q1908" s="5" t="str">
        <f t="shared" si="1"/>
        <v>১ আগে দেখো</v>
      </c>
    </row>
    <row r="1909">
      <c r="A1909" s="4">
        <v>7592.0</v>
      </c>
      <c r="B1909" s="2" t="s">
        <v>7489</v>
      </c>
      <c r="C1909" s="2" t="s">
        <v>7490</v>
      </c>
      <c r="D1909" s="2" t="s">
        <v>7491</v>
      </c>
      <c r="E1909" s="2" t="s">
        <v>7492</v>
      </c>
      <c r="F1909" s="2" t="b">
        <v>1</v>
      </c>
      <c r="G1909" s="2" t="b">
        <v>0</v>
      </c>
      <c r="H1909" s="2" t="s">
        <v>37</v>
      </c>
      <c r="I1909" s="2" t="s">
        <v>49</v>
      </c>
      <c r="J1909" s="2" t="s">
        <v>340</v>
      </c>
      <c r="K1909" s="2" t="s">
        <v>495</v>
      </c>
      <c r="L1909" s="13" t="s">
        <v>496</v>
      </c>
      <c r="M1909" s="2" t="s">
        <v>26</v>
      </c>
      <c r="N1909" s="11" t="s">
        <v>576</v>
      </c>
      <c r="O1909" s="12" t="s">
        <v>53</v>
      </c>
      <c r="P1909" s="5" t="str">
        <f>IFERROR(__xludf.DUMMYFUNCTION("TEXTJOIN("" | "",TRUE,IF(OR(D1909="""",E1909="""",I1909="""",J1909="""",H1909=""""),""ফাঁকা ঘর"",""""),IF(AND(C1909&lt;&gt;"""",D1909&lt;&gt;"""",C1909=D1909),""gloss=figurative"",""""),IF(LEN(D1909)&lt;15,""figurative ছোট"",""""),IF(AND(I1909=""Positive"",REGEXMATCH(H1"&amp;"909,""মূর্খ|ভণ্ড|প্রতার|অলস|লোভ|স্বার্থ|অক্ষম|অযোগ্য|বোকা|কৃপণ|হিংস"")),""valence-target অমিল"",""""),IF(COUNTIF($B:$B,B1909)&gt;1,""ডুপ্লিকেট"",""""))"),"figurative ছোট")</f>
        <v>figurative ছোট</v>
      </c>
      <c r="Q1909" s="5" t="str">
        <f t="shared" si="1"/>
        <v>১ আগে দেখো</v>
      </c>
    </row>
    <row r="1910">
      <c r="A1910" s="4">
        <v>7593.0</v>
      </c>
      <c r="B1910" s="2" t="s">
        <v>7493</v>
      </c>
      <c r="C1910" s="2" t="s">
        <v>7494</v>
      </c>
      <c r="D1910" s="2" t="s">
        <v>590</v>
      </c>
      <c r="E1910" s="2" t="s">
        <v>7495</v>
      </c>
      <c r="F1910" s="2" t="b">
        <v>1</v>
      </c>
      <c r="G1910" s="2" t="b">
        <v>0</v>
      </c>
      <c r="H1910" s="2" t="s">
        <v>37</v>
      </c>
      <c r="I1910" s="2" t="s">
        <v>22</v>
      </c>
      <c r="J1910" s="2" t="s">
        <v>590</v>
      </c>
      <c r="K1910" s="2" t="s">
        <v>495</v>
      </c>
      <c r="L1910" s="13" t="s">
        <v>496</v>
      </c>
      <c r="M1910" s="2" t="s">
        <v>26</v>
      </c>
      <c r="N1910" s="11" t="s">
        <v>576</v>
      </c>
      <c r="O1910" s="12" t="s">
        <v>53</v>
      </c>
      <c r="P1910" s="5" t="str">
        <f>IFERROR(__xludf.DUMMYFUNCTION("TEXTJOIN("" | "",TRUE,IF(OR(D1910="""",E1910="""",I1910="""",J1910="""",H1910=""""),""ফাঁকা ঘর"",""""),IF(AND(C1910&lt;&gt;"""",D1910&lt;&gt;"""",C1910=D1910),""gloss=figurative"",""""),IF(LEN(D1910)&lt;15,""figurative ছোট"",""""),IF(AND(I1910=""Positive"",REGEXMATCH(H1"&amp;"910,""মূর্খ|ভণ্ড|প্রতার|অলস|লোভ|স্বার্থ|অক্ষম|অযোগ্য|বোকা|কৃপণ|হিংস"")),""valence-target অমিল"",""""),IF(COUNTIF($B:$B,B1910)&gt;1,""ডুপ্লিকেট"",""""))"),"figurative ছোট")</f>
        <v>figurative ছোট</v>
      </c>
      <c r="Q1910" s="5" t="str">
        <f t="shared" si="1"/>
        <v>১ আগে দেখো</v>
      </c>
    </row>
    <row r="1911">
      <c r="A1911" s="4">
        <v>7594.0</v>
      </c>
      <c r="B1911" s="2" t="s">
        <v>7496</v>
      </c>
      <c r="C1911" s="2" t="s">
        <v>7497</v>
      </c>
      <c r="D1911" s="2" t="s">
        <v>989</v>
      </c>
      <c r="E1911" s="2" t="s">
        <v>7498</v>
      </c>
      <c r="F1911" s="2" t="b">
        <v>1</v>
      </c>
      <c r="G1911" s="2" t="b">
        <v>0</v>
      </c>
      <c r="H1911" s="2" t="s">
        <v>989</v>
      </c>
      <c r="I1911" s="2" t="s">
        <v>22</v>
      </c>
      <c r="J1911" s="2" t="s">
        <v>990</v>
      </c>
      <c r="K1911" s="2" t="s">
        <v>495</v>
      </c>
      <c r="L1911" s="13" t="s">
        <v>496</v>
      </c>
      <c r="M1911" s="2" t="s">
        <v>26</v>
      </c>
      <c r="N1911" s="11" t="s">
        <v>576</v>
      </c>
      <c r="O1911" s="12" t="s">
        <v>53</v>
      </c>
      <c r="P1911" s="5" t="str">
        <f>IFERROR(__xludf.DUMMYFUNCTION("TEXTJOIN("" | "",TRUE,IF(OR(D1911="""",E1911="""",I1911="""",J1911="""",H1911=""""),""ফাঁকা ঘর"",""""),IF(AND(C1911&lt;&gt;"""",D1911&lt;&gt;"""",C1911=D1911),""gloss=figurative"",""""),IF(LEN(D1911)&lt;15,""figurative ছোট"",""""),IF(AND(I1911=""Positive"",REGEXMATCH(H1"&amp;"911,""মূর্খ|ভণ্ড|প্রতার|অলস|লোভ|স্বার্থ|অক্ষম|অযোগ্য|বোকা|কৃপণ|হিংস"")),""valence-target অমিল"",""""),IF(COUNTIF($B:$B,B1911)&gt;1,""ডুপ্লিকেট"",""""))"),"figurative ছোট")</f>
        <v>figurative ছোট</v>
      </c>
      <c r="Q1911" s="5" t="str">
        <f t="shared" si="1"/>
        <v>১ আগে দেখো</v>
      </c>
    </row>
    <row r="1912">
      <c r="A1912" s="4">
        <v>7595.0</v>
      </c>
      <c r="B1912" s="2" t="s">
        <v>7499</v>
      </c>
      <c r="C1912" s="2" t="s">
        <v>7499</v>
      </c>
      <c r="D1912" s="2" t="s">
        <v>5558</v>
      </c>
      <c r="E1912" s="2" t="s">
        <v>7500</v>
      </c>
      <c r="F1912" s="2" t="b">
        <v>1</v>
      </c>
      <c r="G1912" s="2" t="b">
        <v>0</v>
      </c>
      <c r="H1912" s="2" t="s">
        <v>37</v>
      </c>
      <c r="I1912" s="2" t="s">
        <v>32</v>
      </c>
      <c r="J1912" s="2" t="s">
        <v>2075</v>
      </c>
      <c r="K1912" s="2" t="s">
        <v>495</v>
      </c>
      <c r="L1912" s="13" t="s">
        <v>496</v>
      </c>
      <c r="M1912" s="2" t="s">
        <v>26</v>
      </c>
      <c r="N1912" s="11" t="s">
        <v>576</v>
      </c>
      <c r="O1912" s="12" t="s">
        <v>53</v>
      </c>
      <c r="P1912" s="5" t="str">
        <f>IFERROR(__xludf.DUMMYFUNCTION("TEXTJOIN("" | "",TRUE,IF(OR(D1912="""",E1912="""",I1912="""",J1912="""",H1912=""""),""ফাঁকা ঘর"",""""),IF(AND(C1912&lt;&gt;"""",D1912&lt;&gt;"""",C1912=D1912),""gloss=figurative"",""""),IF(LEN(D1912)&lt;15,""figurative ছোট"",""""),IF(AND(I1912=""Positive"",REGEXMATCH(H1"&amp;"912,""মূর্খ|ভণ্ড|প্রতার|অলস|লোভ|স্বার্থ|অক্ষম|অযোগ্য|বোকা|কৃপণ|হিংস"")),""valence-target অমিল"",""""),IF(COUNTIF($B:$B,B1912)&gt;1,""ডুপ্লিকেট"",""""))"),"figurative ছোট")</f>
        <v>figurative ছোট</v>
      </c>
      <c r="Q1912" s="5" t="str">
        <f t="shared" si="1"/>
        <v>১ আগে দেখো</v>
      </c>
    </row>
    <row r="1913">
      <c r="A1913" s="4">
        <v>7596.0</v>
      </c>
      <c r="B1913" s="2" t="s">
        <v>7501</v>
      </c>
      <c r="C1913" s="2" t="s">
        <v>7502</v>
      </c>
      <c r="D1913" s="2" t="s">
        <v>340</v>
      </c>
      <c r="E1913" s="2" t="s">
        <v>7503</v>
      </c>
      <c r="F1913" s="2" t="b">
        <v>1</v>
      </c>
      <c r="G1913" s="2" t="b">
        <v>0</v>
      </c>
      <c r="H1913" s="2" t="s">
        <v>37</v>
      </c>
      <c r="I1913" s="2" t="s">
        <v>32</v>
      </c>
      <c r="J1913" s="2" t="s">
        <v>340</v>
      </c>
      <c r="K1913" s="2" t="s">
        <v>495</v>
      </c>
      <c r="L1913" s="13" t="s">
        <v>496</v>
      </c>
      <c r="M1913" s="2" t="s">
        <v>26</v>
      </c>
      <c r="N1913" s="11" t="s">
        <v>576</v>
      </c>
      <c r="O1913" s="12" t="s">
        <v>53</v>
      </c>
      <c r="P1913" s="5" t="str">
        <f>IFERROR(__xludf.DUMMYFUNCTION("TEXTJOIN("" | "",TRUE,IF(OR(D1913="""",E1913="""",I1913="""",J1913="""",H1913=""""),""ফাঁকা ঘর"",""""),IF(AND(C1913&lt;&gt;"""",D1913&lt;&gt;"""",C1913=D1913),""gloss=figurative"",""""),IF(LEN(D1913)&lt;15,""figurative ছোট"",""""),IF(AND(I1913=""Positive"",REGEXMATCH(H1"&amp;"913,""মূর্খ|ভণ্ড|প্রতার|অলস|লোভ|স্বার্থ|অক্ষম|অযোগ্য|বোকা|কৃপণ|হিংস"")),""valence-target অমিল"",""""),IF(COUNTIF($B:$B,B1913)&gt;1,""ডুপ্লিকেট"",""""))"),"figurative ছোট")</f>
        <v>figurative ছোট</v>
      </c>
      <c r="Q1913" s="5" t="str">
        <f t="shared" si="1"/>
        <v>১ আগে দেখো</v>
      </c>
    </row>
    <row r="1914">
      <c r="A1914" s="4">
        <v>7597.0</v>
      </c>
      <c r="B1914" s="2" t="s">
        <v>7504</v>
      </c>
      <c r="C1914" s="2" t="s">
        <v>7505</v>
      </c>
      <c r="D1914" s="2" t="s">
        <v>7506</v>
      </c>
      <c r="E1914" s="2" t="s">
        <v>7507</v>
      </c>
      <c r="F1914" s="2" t="b">
        <v>1</v>
      </c>
      <c r="G1914" s="2" t="b">
        <v>0</v>
      </c>
      <c r="H1914" s="2" t="s">
        <v>37</v>
      </c>
      <c r="I1914" s="2" t="s">
        <v>49</v>
      </c>
      <c r="J1914" s="2" t="s">
        <v>3506</v>
      </c>
      <c r="K1914" s="2" t="s">
        <v>495</v>
      </c>
      <c r="L1914" s="13" t="s">
        <v>496</v>
      </c>
      <c r="M1914" s="2" t="s">
        <v>26</v>
      </c>
      <c r="N1914" s="11" t="s">
        <v>576</v>
      </c>
      <c r="O1914" s="12" t="s">
        <v>53</v>
      </c>
      <c r="P1914" s="5" t="str">
        <f>IFERROR(__xludf.DUMMYFUNCTION("TEXTJOIN("" | "",TRUE,IF(OR(D1914="""",E1914="""",I1914="""",J1914="""",H1914=""""),""ফাঁকা ঘর"",""""),IF(AND(C1914&lt;&gt;"""",D1914&lt;&gt;"""",C1914=D1914),""gloss=figurative"",""""),IF(LEN(D1914)&lt;15,""figurative ছোট"",""""),IF(AND(I1914=""Positive"",REGEXMATCH(H1"&amp;"914,""মূর্খ|ভণ্ড|প্রতার|অলস|লোভ|স্বার্থ|অক্ষম|অযোগ্য|বোকা|কৃপণ|হিংস"")),""valence-target অমিল"",""""),IF(COUNTIF($B:$B,B1914)&gt;1,""ডুপ্লিকেট"",""""))"),"figurative ছোট")</f>
        <v>figurative ছোট</v>
      </c>
      <c r="Q1914" s="5" t="str">
        <f t="shared" si="1"/>
        <v>১ আগে দেখো</v>
      </c>
    </row>
    <row r="1915">
      <c r="A1915" s="4">
        <v>7598.0</v>
      </c>
      <c r="B1915" s="2" t="s">
        <v>7508</v>
      </c>
      <c r="C1915" s="2" t="s">
        <v>7508</v>
      </c>
      <c r="D1915" s="2" t="s">
        <v>7509</v>
      </c>
      <c r="E1915" s="2" t="s">
        <v>7510</v>
      </c>
      <c r="F1915" s="2" t="b">
        <v>1</v>
      </c>
      <c r="G1915" s="2" t="b">
        <v>0</v>
      </c>
      <c r="H1915" s="2" t="s">
        <v>37</v>
      </c>
      <c r="I1915" s="2" t="s">
        <v>22</v>
      </c>
      <c r="J1915" s="2" t="s">
        <v>646</v>
      </c>
      <c r="K1915" s="2" t="s">
        <v>495</v>
      </c>
      <c r="L1915" s="13" t="s">
        <v>496</v>
      </c>
      <c r="M1915" s="2" t="s">
        <v>26</v>
      </c>
      <c r="N1915" s="11" t="s">
        <v>576</v>
      </c>
      <c r="O1915" s="12" t="s">
        <v>53</v>
      </c>
      <c r="P1915" s="5" t="str">
        <f>IFERROR(__xludf.DUMMYFUNCTION("TEXTJOIN("" | "",TRUE,IF(OR(D1915="""",E1915="""",I1915="""",J1915="""",H1915=""""),""ফাঁকা ঘর"",""""),IF(AND(C1915&lt;&gt;"""",D1915&lt;&gt;"""",C1915=D1915),""gloss=figurative"",""""),IF(LEN(D1915)&lt;15,""figurative ছোট"",""""),IF(AND(I1915=""Positive"",REGEXMATCH(H1"&amp;"915,""মূর্খ|ভণ্ড|প্রতার|অলস|লোভ|স্বার্থ|অক্ষম|অযোগ্য|বোকা|কৃপণ|হিংস"")),""valence-target অমিল"",""""),IF(COUNTIF($B:$B,B1915)&gt;1,""ডুপ্লিকেট"",""""))"),"figurative ছোট")</f>
        <v>figurative ছোট</v>
      </c>
      <c r="Q1915" s="5" t="str">
        <f t="shared" si="1"/>
        <v>১ আগে দেখো</v>
      </c>
    </row>
    <row r="1916">
      <c r="A1916" s="4">
        <v>7599.0</v>
      </c>
      <c r="B1916" s="2" t="s">
        <v>7511</v>
      </c>
      <c r="C1916" s="2" t="s">
        <v>7511</v>
      </c>
      <c r="D1916" s="2" t="s">
        <v>7512</v>
      </c>
      <c r="E1916" s="2" t="s">
        <v>7513</v>
      </c>
      <c r="F1916" s="2" t="b">
        <v>1</v>
      </c>
      <c r="G1916" s="2" t="b">
        <v>0</v>
      </c>
      <c r="H1916" s="2" t="s">
        <v>1484</v>
      </c>
      <c r="I1916" s="2" t="s">
        <v>22</v>
      </c>
      <c r="J1916" s="2" t="s">
        <v>836</v>
      </c>
      <c r="K1916" s="2" t="s">
        <v>495</v>
      </c>
      <c r="L1916" s="13" t="s">
        <v>496</v>
      </c>
      <c r="M1916" s="2" t="s">
        <v>26</v>
      </c>
      <c r="N1916" s="11" t="s">
        <v>576</v>
      </c>
      <c r="O1916" s="12" t="s">
        <v>53</v>
      </c>
      <c r="P1916" s="5" t="str">
        <f>IFERROR(__xludf.DUMMYFUNCTION("TEXTJOIN("" | "",TRUE,IF(OR(D1916="""",E1916="""",I1916="""",J1916="""",H1916=""""),""ফাঁকা ঘর"",""""),IF(AND(C1916&lt;&gt;"""",D1916&lt;&gt;"""",C1916=D1916),""gloss=figurative"",""""),IF(LEN(D1916)&lt;15,""figurative ছোট"",""""),IF(AND(I1916=""Positive"",REGEXMATCH(H1"&amp;"916,""মূর্খ|ভণ্ড|প্রতার|অলস|লোভ|স্বার্থ|অক্ষম|অযোগ্য|বোকা|কৃপণ|হিংস"")),""valence-target অমিল"",""""),IF(COUNTIF($B:$B,B1916)&gt;1,""ডুপ্লিকেট"",""""))"),"figurative ছোট")</f>
        <v>figurative ছোট</v>
      </c>
      <c r="Q1916" s="5" t="str">
        <f t="shared" si="1"/>
        <v>১ আগে দেখো</v>
      </c>
    </row>
    <row r="1917">
      <c r="A1917" s="4">
        <v>7600.0</v>
      </c>
      <c r="B1917" s="2" t="s">
        <v>7514</v>
      </c>
      <c r="C1917" s="2" t="s">
        <v>7514</v>
      </c>
      <c r="D1917" s="2" t="s">
        <v>739</v>
      </c>
      <c r="E1917" s="2" t="s">
        <v>7515</v>
      </c>
      <c r="F1917" s="2" t="b">
        <v>1</v>
      </c>
      <c r="G1917" s="2" t="b">
        <v>1</v>
      </c>
      <c r="H1917" s="2" t="s">
        <v>1211</v>
      </c>
      <c r="I1917" s="2" t="s">
        <v>22</v>
      </c>
      <c r="J1917" s="2" t="s">
        <v>1471</v>
      </c>
      <c r="K1917" s="2" t="s">
        <v>495</v>
      </c>
      <c r="L1917" s="13" t="s">
        <v>496</v>
      </c>
      <c r="M1917" s="2" t="s">
        <v>26</v>
      </c>
      <c r="N1917" s="11" t="s">
        <v>576</v>
      </c>
      <c r="O1917" s="12" t="s">
        <v>53</v>
      </c>
      <c r="P1917" s="5" t="str">
        <f>IFERROR(__xludf.DUMMYFUNCTION("TEXTJOIN("" | "",TRUE,IF(OR(D1917="""",E1917="""",I1917="""",J1917="""",H1917=""""),""ফাঁকা ঘর"",""""),IF(AND(C1917&lt;&gt;"""",D1917&lt;&gt;"""",C1917=D1917),""gloss=figurative"",""""),IF(LEN(D1917)&lt;15,""figurative ছোট"",""""),IF(AND(I1917=""Positive"",REGEXMATCH(H1"&amp;"917,""মূর্খ|ভণ্ড|প্রতার|অলস|লোভ|স্বার্থ|অক্ষম|অযোগ্য|বোকা|কৃপণ|হিংস"")),""valence-target অমিল"",""""),IF(COUNTIF($B:$B,B1917)&gt;1,""ডুপ্লিকেট"",""""))"),"figurative ছোট")</f>
        <v>figurative ছোট</v>
      </c>
      <c r="Q1917" s="5" t="str">
        <f t="shared" si="1"/>
        <v>১ আগে দেখো</v>
      </c>
    </row>
    <row r="1918">
      <c r="A1918" s="4">
        <v>7601.0</v>
      </c>
      <c r="B1918" s="2" t="s">
        <v>7516</v>
      </c>
      <c r="C1918" s="2" t="s">
        <v>7517</v>
      </c>
      <c r="D1918" s="2" t="s">
        <v>2396</v>
      </c>
      <c r="E1918" s="2" t="s">
        <v>7518</v>
      </c>
      <c r="F1918" s="2" t="b">
        <v>1</v>
      </c>
      <c r="G1918" s="2" t="b">
        <v>1</v>
      </c>
      <c r="H1918" s="2" t="s">
        <v>1106</v>
      </c>
      <c r="I1918" s="2" t="s">
        <v>22</v>
      </c>
      <c r="J1918" s="2" t="s">
        <v>855</v>
      </c>
      <c r="K1918" s="2" t="s">
        <v>495</v>
      </c>
      <c r="L1918" s="13" t="s">
        <v>496</v>
      </c>
      <c r="M1918" s="2" t="s">
        <v>26</v>
      </c>
      <c r="N1918" s="11" t="s">
        <v>576</v>
      </c>
      <c r="O1918" s="12" t="s">
        <v>53</v>
      </c>
      <c r="P1918" s="5" t="str">
        <f>IFERROR(__xludf.DUMMYFUNCTION("TEXTJOIN("" | "",TRUE,IF(OR(D1918="""",E1918="""",I1918="""",J1918="""",H1918=""""),""ফাঁকা ঘর"",""""),IF(AND(C1918&lt;&gt;"""",D1918&lt;&gt;"""",C1918=D1918),""gloss=figurative"",""""),IF(LEN(D1918)&lt;15,""figurative ছোট"",""""),IF(AND(I1918=""Positive"",REGEXMATCH(H1"&amp;"918,""মূর্খ|ভণ্ড|প্রতার|অলস|লোভ|স্বার্থ|অক্ষম|অযোগ্য|বোকা|কৃপণ|হিংস"")),""valence-target অমিল"",""""),IF(COUNTIF($B:$B,B1918)&gt;1,""ডুপ্লিকেট"",""""))"),"figurative ছোট")</f>
        <v>figurative ছোট</v>
      </c>
      <c r="Q1918" s="5" t="str">
        <f t="shared" si="1"/>
        <v>১ আগে দেখো</v>
      </c>
    </row>
    <row r="1919">
      <c r="A1919" s="4">
        <v>7602.0</v>
      </c>
      <c r="B1919" s="2" t="s">
        <v>7519</v>
      </c>
      <c r="C1919" s="2" t="s">
        <v>7520</v>
      </c>
      <c r="D1919" s="2" t="s">
        <v>601</v>
      </c>
      <c r="E1919" s="2" t="s">
        <v>7521</v>
      </c>
      <c r="F1919" s="2" t="b">
        <v>1</v>
      </c>
      <c r="G1919" s="2" t="b">
        <v>0</v>
      </c>
      <c r="H1919" s="2" t="s">
        <v>3161</v>
      </c>
      <c r="I1919" s="2" t="s">
        <v>22</v>
      </c>
      <c r="J1919" s="2" t="s">
        <v>601</v>
      </c>
      <c r="K1919" s="2" t="s">
        <v>495</v>
      </c>
      <c r="L1919" s="13" t="s">
        <v>496</v>
      </c>
      <c r="M1919" s="2" t="s">
        <v>26</v>
      </c>
      <c r="N1919" s="11" t="s">
        <v>576</v>
      </c>
      <c r="O1919" s="12" t="s">
        <v>53</v>
      </c>
      <c r="P1919" s="5" t="str">
        <f>IFERROR(__xludf.DUMMYFUNCTION("TEXTJOIN("" | "",TRUE,IF(OR(D1919="""",E1919="""",I1919="""",J1919="""",H1919=""""),""ফাঁকা ঘর"",""""),IF(AND(C1919&lt;&gt;"""",D1919&lt;&gt;"""",C1919=D1919),""gloss=figurative"",""""),IF(LEN(D1919)&lt;15,""figurative ছোট"",""""),IF(AND(I1919=""Positive"",REGEXMATCH(H1"&amp;"919,""মূর্খ|ভণ্ড|প্রতার|অলস|লোভ|স্বার্থ|অক্ষম|অযোগ্য|বোকা|কৃপণ|হিংস"")),""valence-target অমিল"",""""),IF(COUNTIF($B:$B,B1919)&gt;1,""ডুপ্লিকেট"",""""))"),"figurative ছোট")</f>
        <v>figurative ছোট</v>
      </c>
      <c r="Q1919" s="5" t="str">
        <f t="shared" si="1"/>
        <v>১ আগে দেখো</v>
      </c>
    </row>
    <row r="1920">
      <c r="A1920" s="4">
        <v>7603.0</v>
      </c>
      <c r="B1920" s="2" t="s">
        <v>7522</v>
      </c>
      <c r="C1920" s="2" t="s">
        <v>7523</v>
      </c>
      <c r="D1920" s="2" t="s">
        <v>7524</v>
      </c>
      <c r="E1920" s="2" t="s">
        <v>7525</v>
      </c>
      <c r="F1920" s="2" t="b">
        <v>1</v>
      </c>
      <c r="G1920" s="2" t="b">
        <v>0</v>
      </c>
      <c r="H1920" s="2" t="s">
        <v>37</v>
      </c>
      <c r="I1920" s="2" t="s">
        <v>49</v>
      </c>
      <c r="J1920" s="2" t="s">
        <v>7526</v>
      </c>
      <c r="K1920" s="2" t="s">
        <v>495</v>
      </c>
      <c r="L1920" s="13" t="s">
        <v>496</v>
      </c>
      <c r="M1920" s="2" t="s">
        <v>26</v>
      </c>
      <c r="N1920" s="11" t="s">
        <v>576</v>
      </c>
      <c r="O1920" s="12" t="s">
        <v>53</v>
      </c>
      <c r="P1920" s="5" t="str">
        <f>IFERROR(__xludf.DUMMYFUNCTION("TEXTJOIN("" | "",TRUE,IF(OR(D1920="""",E1920="""",I1920="""",J1920="""",H1920=""""),""ফাঁকা ঘর"",""""),IF(AND(C1920&lt;&gt;"""",D1920&lt;&gt;"""",C1920=D1920),""gloss=figurative"",""""),IF(LEN(D1920)&lt;15,""figurative ছোট"",""""),IF(AND(I1920=""Positive"",REGEXMATCH(H1"&amp;"920,""মূর্খ|ভণ্ড|প্রতার|অলস|লোভ|স্বার্থ|অক্ষম|অযোগ্য|বোকা|কৃপণ|হিংস"")),""valence-target অমিল"",""""),IF(COUNTIF($B:$B,B1920)&gt;1,""ডুপ্লিকেট"",""""))"),"figurative ছোট")</f>
        <v>figurative ছোট</v>
      </c>
      <c r="Q1920" s="5" t="str">
        <f t="shared" si="1"/>
        <v>১ আগে দেখো</v>
      </c>
    </row>
    <row r="1921">
      <c r="A1921" s="4">
        <v>7605.0</v>
      </c>
      <c r="B1921" s="2" t="s">
        <v>7527</v>
      </c>
      <c r="C1921" s="2" t="s">
        <v>7528</v>
      </c>
      <c r="D1921" s="2" t="s">
        <v>7529</v>
      </c>
      <c r="E1921" s="2" t="s">
        <v>7530</v>
      </c>
      <c r="F1921" s="2" t="b">
        <v>1</v>
      </c>
      <c r="G1921" s="2" t="b">
        <v>0</v>
      </c>
      <c r="H1921" s="2" t="s">
        <v>37</v>
      </c>
      <c r="I1921" s="2" t="s">
        <v>49</v>
      </c>
      <c r="J1921" s="2" t="s">
        <v>1679</v>
      </c>
      <c r="K1921" s="2" t="s">
        <v>495</v>
      </c>
      <c r="L1921" s="13" t="s">
        <v>496</v>
      </c>
      <c r="M1921" s="2" t="s">
        <v>26</v>
      </c>
      <c r="N1921" s="11" t="s">
        <v>576</v>
      </c>
      <c r="O1921" s="12" t="s">
        <v>53</v>
      </c>
      <c r="P1921" s="5" t="str">
        <f>IFERROR(__xludf.DUMMYFUNCTION("TEXTJOIN("" | "",TRUE,IF(OR(D1921="""",E1921="""",I1921="""",J1921="""",H1921=""""),""ফাঁকা ঘর"",""""),IF(AND(C1921&lt;&gt;"""",D1921&lt;&gt;"""",C1921=D1921),""gloss=figurative"",""""),IF(LEN(D1921)&lt;15,""figurative ছোট"",""""),IF(AND(I1921=""Positive"",REGEXMATCH(H1"&amp;"921,""মূর্খ|ভণ্ড|প্রতার|অলস|লোভ|স্বার্থ|অক্ষম|অযোগ্য|বোকা|কৃপণ|হিংস"")),""valence-target অমিল"",""""),IF(COUNTIF($B:$B,B1921)&gt;1,""ডুপ্লিকেট"",""""))"),"figurative ছোট")</f>
        <v>figurative ছোট</v>
      </c>
      <c r="Q1921" s="5" t="str">
        <f t="shared" si="1"/>
        <v>১ আগে দেখো</v>
      </c>
    </row>
    <row r="1922">
      <c r="A1922" s="4">
        <v>7606.0</v>
      </c>
      <c r="B1922" s="2" t="s">
        <v>7531</v>
      </c>
      <c r="C1922" s="2" t="s">
        <v>7532</v>
      </c>
      <c r="D1922" s="2" t="s">
        <v>7533</v>
      </c>
      <c r="E1922" s="2" t="s">
        <v>7534</v>
      </c>
      <c r="F1922" s="2" t="b">
        <v>1</v>
      </c>
      <c r="G1922" s="2" t="b">
        <v>0</v>
      </c>
      <c r="H1922" s="2" t="s">
        <v>37</v>
      </c>
      <c r="I1922" s="2" t="s">
        <v>49</v>
      </c>
      <c r="J1922" s="2" t="s">
        <v>538</v>
      </c>
      <c r="K1922" s="2" t="s">
        <v>495</v>
      </c>
      <c r="L1922" s="13" t="s">
        <v>496</v>
      </c>
      <c r="M1922" s="2" t="s">
        <v>26</v>
      </c>
      <c r="N1922" s="11" t="s">
        <v>7535</v>
      </c>
      <c r="O1922" s="12" t="s">
        <v>53</v>
      </c>
      <c r="P1922" s="5" t="str">
        <f>IFERROR(__xludf.DUMMYFUNCTION("TEXTJOIN("" | "",TRUE,IF(OR(D1922="""",E1922="""",I1922="""",J1922="""",H1922=""""),""ফাঁকা ঘর"",""""),IF(AND(C1922&lt;&gt;"""",D1922&lt;&gt;"""",C1922=D1922),""gloss=figurative"",""""),IF(LEN(D1922)&lt;15,""figurative ছোট"",""""),IF(AND(I1922=""Positive"",REGEXMATCH(H1"&amp;"922,""মূর্খ|ভণ্ড|প্রতার|অলস|লোভ|স্বার্থ|অক্ষম|অযোগ্য|বোকা|কৃপণ|হিংস"")),""valence-target অমিল"",""""),IF(COUNTIF($B:$B,B1922)&gt;1,""ডুপ্লিকেট"",""""))"),"figurative ছোট")</f>
        <v>figurative ছোট</v>
      </c>
      <c r="Q1922" s="5" t="str">
        <f t="shared" si="1"/>
        <v>১ আগে দেখো</v>
      </c>
    </row>
    <row r="1923">
      <c r="A1923" s="4">
        <v>7607.0</v>
      </c>
      <c r="B1923" s="2" t="s">
        <v>7536</v>
      </c>
      <c r="C1923" s="2" t="s">
        <v>7537</v>
      </c>
      <c r="D1923" s="2" t="s">
        <v>3549</v>
      </c>
      <c r="E1923" s="2" t="s">
        <v>7538</v>
      </c>
      <c r="F1923" s="2" t="b">
        <v>1</v>
      </c>
      <c r="G1923" s="2" t="b">
        <v>0</v>
      </c>
      <c r="H1923" s="2" t="s">
        <v>37</v>
      </c>
      <c r="I1923" s="2" t="s">
        <v>49</v>
      </c>
      <c r="J1923" s="2" t="s">
        <v>538</v>
      </c>
      <c r="K1923" s="2" t="s">
        <v>495</v>
      </c>
      <c r="L1923" s="13" t="s">
        <v>496</v>
      </c>
      <c r="M1923" s="2" t="s">
        <v>26</v>
      </c>
      <c r="N1923" s="11" t="s">
        <v>7539</v>
      </c>
      <c r="O1923" s="12" t="s">
        <v>53</v>
      </c>
      <c r="P1923" s="5" t="str">
        <f>IFERROR(__xludf.DUMMYFUNCTION("TEXTJOIN("" | "",TRUE,IF(OR(D1923="""",E1923="""",I1923="""",J1923="""",H1923=""""),""ফাঁকা ঘর"",""""),IF(AND(C1923&lt;&gt;"""",D1923&lt;&gt;"""",C1923=D1923),""gloss=figurative"",""""),IF(LEN(D1923)&lt;15,""figurative ছোট"",""""),IF(AND(I1923=""Positive"",REGEXMATCH(H1"&amp;"923,""মূর্খ|ভণ্ড|প্রতার|অলস|লোভ|স্বার্থ|অক্ষম|অযোগ্য|বোকা|কৃপণ|হিংস"")),""valence-target অমিল"",""""),IF(COUNTIF($B:$B,B1923)&gt;1,""ডুপ্লিকেট"",""""))"),"figurative ছোট")</f>
        <v>figurative ছোট</v>
      </c>
      <c r="Q1923" s="5" t="str">
        <f t="shared" si="1"/>
        <v>১ আগে দেখো</v>
      </c>
    </row>
    <row r="1924">
      <c r="A1924" s="4">
        <v>7608.0</v>
      </c>
      <c r="B1924" s="2" t="s">
        <v>7540</v>
      </c>
      <c r="C1924" s="2" t="s">
        <v>7541</v>
      </c>
      <c r="D1924" s="2" t="s">
        <v>1679</v>
      </c>
      <c r="E1924" s="2" t="s">
        <v>7542</v>
      </c>
      <c r="F1924" s="2" t="b">
        <v>1</v>
      </c>
      <c r="G1924" s="2" t="b">
        <v>0</v>
      </c>
      <c r="H1924" s="2" t="s">
        <v>37</v>
      </c>
      <c r="I1924" s="2" t="s">
        <v>49</v>
      </c>
      <c r="J1924" s="2" t="s">
        <v>1679</v>
      </c>
      <c r="K1924" s="2" t="s">
        <v>495</v>
      </c>
      <c r="L1924" s="13" t="s">
        <v>496</v>
      </c>
      <c r="M1924" s="2" t="s">
        <v>26</v>
      </c>
      <c r="N1924" s="11" t="s">
        <v>7543</v>
      </c>
      <c r="O1924" s="12" t="s">
        <v>53</v>
      </c>
      <c r="P1924" s="5" t="str">
        <f>IFERROR(__xludf.DUMMYFUNCTION("TEXTJOIN("" | "",TRUE,IF(OR(D1924="""",E1924="""",I1924="""",J1924="""",H1924=""""),""ফাঁকা ঘর"",""""),IF(AND(C1924&lt;&gt;"""",D1924&lt;&gt;"""",C1924=D1924),""gloss=figurative"",""""),IF(LEN(D1924)&lt;15,""figurative ছোট"",""""),IF(AND(I1924=""Positive"",REGEXMATCH(H1"&amp;"924,""মূর্খ|ভণ্ড|প্রতার|অলস|লোভ|স্বার্থ|অক্ষম|অযোগ্য|বোকা|কৃপণ|হিংস"")),""valence-target অমিল"",""""),IF(COUNTIF($B:$B,B1924)&gt;1,""ডুপ্লিকেট"",""""))"),"figurative ছোট")</f>
        <v>figurative ছোট</v>
      </c>
      <c r="Q1924" s="5" t="str">
        <f t="shared" si="1"/>
        <v>১ আগে দেখো</v>
      </c>
    </row>
    <row r="1925">
      <c r="A1925" s="4">
        <v>7609.0</v>
      </c>
      <c r="B1925" s="2" t="s">
        <v>7544</v>
      </c>
      <c r="C1925" s="2" t="s">
        <v>7545</v>
      </c>
      <c r="D1925" s="2" t="s">
        <v>7288</v>
      </c>
      <c r="E1925" s="2" t="s">
        <v>7546</v>
      </c>
      <c r="F1925" s="2" t="b">
        <v>1</v>
      </c>
      <c r="G1925" s="2" t="b">
        <v>0</v>
      </c>
      <c r="H1925" s="2" t="s">
        <v>37</v>
      </c>
      <c r="I1925" s="2" t="s">
        <v>49</v>
      </c>
      <c r="J1925" s="2" t="s">
        <v>1679</v>
      </c>
      <c r="K1925" s="2" t="s">
        <v>495</v>
      </c>
      <c r="L1925" s="13" t="s">
        <v>496</v>
      </c>
      <c r="M1925" s="2" t="s">
        <v>26</v>
      </c>
      <c r="N1925" s="11" t="s">
        <v>7547</v>
      </c>
      <c r="O1925" s="12" t="s">
        <v>53</v>
      </c>
      <c r="P1925" s="5" t="str">
        <f>IFERROR(__xludf.DUMMYFUNCTION("TEXTJOIN("" | "",TRUE,IF(OR(D1925="""",E1925="""",I1925="""",J1925="""",H1925=""""),""ফাঁকা ঘর"",""""),IF(AND(C1925&lt;&gt;"""",D1925&lt;&gt;"""",C1925=D1925),""gloss=figurative"",""""),IF(LEN(D1925)&lt;15,""figurative ছোট"",""""),IF(AND(I1925=""Positive"",REGEXMATCH(H1"&amp;"925,""মূর্খ|ভণ্ড|প্রতার|অলস|লোভ|স্বার্থ|অক্ষম|অযোগ্য|বোকা|কৃপণ|হিংস"")),""valence-target অমিল"",""""),IF(COUNTIF($B:$B,B1925)&gt;1,""ডুপ্লিকেট"",""""))"),"figurative ছোট")</f>
        <v>figurative ছোট</v>
      </c>
      <c r="Q1925" s="5" t="str">
        <f t="shared" si="1"/>
        <v>১ আগে দেখো</v>
      </c>
    </row>
    <row r="1926">
      <c r="A1926" s="4">
        <v>7610.0</v>
      </c>
      <c r="B1926" s="2" t="s">
        <v>7548</v>
      </c>
      <c r="C1926" s="2" t="s">
        <v>7549</v>
      </c>
      <c r="D1926" s="2" t="s">
        <v>7550</v>
      </c>
      <c r="E1926" s="2" t="s">
        <v>7551</v>
      </c>
      <c r="F1926" s="2" t="b">
        <v>1</v>
      </c>
      <c r="G1926" s="2" t="b">
        <v>0</v>
      </c>
      <c r="H1926" s="2" t="s">
        <v>37</v>
      </c>
      <c r="I1926" s="2" t="s">
        <v>49</v>
      </c>
      <c r="J1926" s="2" t="s">
        <v>1679</v>
      </c>
      <c r="K1926" s="2" t="s">
        <v>495</v>
      </c>
      <c r="L1926" s="13" t="s">
        <v>496</v>
      </c>
      <c r="M1926" s="2" t="s">
        <v>26</v>
      </c>
      <c r="N1926" s="11" t="s">
        <v>7547</v>
      </c>
      <c r="O1926" s="12" t="s">
        <v>53</v>
      </c>
      <c r="P1926" s="5" t="str">
        <f>IFERROR(__xludf.DUMMYFUNCTION("TEXTJOIN("" | "",TRUE,IF(OR(D1926="""",E1926="""",I1926="""",J1926="""",H1926=""""),""ফাঁকা ঘর"",""""),IF(AND(C1926&lt;&gt;"""",D1926&lt;&gt;"""",C1926=D1926),""gloss=figurative"",""""),IF(LEN(D1926)&lt;15,""figurative ছোট"",""""),IF(AND(I1926=""Positive"",REGEXMATCH(H1"&amp;"926,""মূর্খ|ভণ্ড|প্রতার|অলস|লোভ|স্বার্থ|অক্ষম|অযোগ্য|বোকা|কৃপণ|হিংস"")),""valence-target অমিল"",""""),IF(COUNTIF($B:$B,B1926)&gt;1,""ডুপ্লিকেট"",""""))"),"figurative ছোট")</f>
        <v>figurative ছোট</v>
      </c>
      <c r="Q1926" s="5" t="str">
        <f t="shared" si="1"/>
        <v>১ আগে দেখো</v>
      </c>
    </row>
    <row r="1927">
      <c r="A1927" s="4">
        <v>7612.0</v>
      </c>
      <c r="B1927" s="2" t="s">
        <v>7552</v>
      </c>
      <c r="C1927" s="2" t="s">
        <v>7553</v>
      </c>
      <c r="D1927" s="2" t="s">
        <v>2869</v>
      </c>
      <c r="E1927" s="2" t="s">
        <v>7554</v>
      </c>
      <c r="F1927" s="2" t="b">
        <v>1</v>
      </c>
      <c r="G1927" s="2" t="b">
        <v>0</v>
      </c>
      <c r="H1927" s="2" t="s">
        <v>37</v>
      </c>
      <c r="I1927" s="2" t="s">
        <v>22</v>
      </c>
      <c r="J1927" s="2" t="s">
        <v>2869</v>
      </c>
      <c r="K1927" s="2" t="s">
        <v>495</v>
      </c>
      <c r="L1927" s="13" t="s">
        <v>496</v>
      </c>
      <c r="M1927" s="2" t="s">
        <v>26</v>
      </c>
      <c r="N1927" s="11" t="s">
        <v>7555</v>
      </c>
      <c r="O1927" s="12" t="s">
        <v>53</v>
      </c>
      <c r="P1927" s="5" t="str">
        <f>IFERROR(__xludf.DUMMYFUNCTION("TEXTJOIN("" | "",TRUE,IF(OR(D1927="""",E1927="""",I1927="""",J1927="""",H1927=""""),""ফাঁকা ঘর"",""""),IF(AND(C1927&lt;&gt;"""",D1927&lt;&gt;"""",C1927=D1927),""gloss=figurative"",""""),IF(LEN(D1927)&lt;15,""figurative ছোট"",""""),IF(AND(I1927=""Positive"",REGEXMATCH(H1"&amp;"927,""মূর্খ|ভণ্ড|প্রতার|অলস|লোভ|স্বার্থ|অক্ষম|অযোগ্য|বোকা|কৃপণ|হিংস"")),""valence-target অমিল"",""""),IF(COUNTIF($B:$B,B1927)&gt;1,""ডুপ্লিকেট"",""""))"),"figurative ছোট")</f>
        <v>figurative ছোট</v>
      </c>
      <c r="Q1927" s="5" t="str">
        <f t="shared" si="1"/>
        <v>১ আগে দেখো</v>
      </c>
    </row>
    <row r="1928">
      <c r="A1928" s="4">
        <v>7613.0</v>
      </c>
      <c r="B1928" s="2" t="s">
        <v>7556</v>
      </c>
      <c r="C1928" s="2" t="s">
        <v>7557</v>
      </c>
      <c r="D1928" s="2" t="s">
        <v>1857</v>
      </c>
      <c r="E1928" s="2" t="s">
        <v>7558</v>
      </c>
      <c r="F1928" s="2" t="b">
        <v>1</v>
      </c>
      <c r="G1928" s="2" t="b">
        <v>0</v>
      </c>
      <c r="H1928" s="2" t="s">
        <v>37</v>
      </c>
      <c r="I1928" s="2" t="s">
        <v>22</v>
      </c>
      <c r="J1928" s="2" t="s">
        <v>2869</v>
      </c>
      <c r="K1928" s="2" t="s">
        <v>495</v>
      </c>
      <c r="L1928" s="13" t="s">
        <v>496</v>
      </c>
      <c r="M1928" s="2" t="s">
        <v>26</v>
      </c>
      <c r="N1928" s="11" t="s">
        <v>7559</v>
      </c>
      <c r="O1928" s="12" t="s">
        <v>53</v>
      </c>
      <c r="P1928" s="5" t="str">
        <f>IFERROR(__xludf.DUMMYFUNCTION("TEXTJOIN("" | "",TRUE,IF(OR(D1928="""",E1928="""",I1928="""",J1928="""",H1928=""""),""ফাঁকা ঘর"",""""),IF(AND(C1928&lt;&gt;"""",D1928&lt;&gt;"""",C1928=D1928),""gloss=figurative"",""""),IF(LEN(D1928)&lt;15,""figurative ছোট"",""""),IF(AND(I1928=""Positive"",REGEXMATCH(H1"&amp;"928,""মূর্খ|ভণ্ড|প্রতার|অলস|লোভ|স্বার্থ|অক্ষম|অযোগ্য|বোকা|কৃপণ|হিংস"")),""valence-target অমিল"",""""),IF(COUNTIF($B:$B,B1928)&gt;1,""ডুপ্লিকেট"",""""))"),"figurative ছোট")</f>
        <v>figurative ছোট</v>
      </c>
      <c r="Q1928" s="5" t="str">
        <f t="shared" si="1"/>
        <v>১ আগে দেখো</v>
      </c>
    </row>
    <row r="1929">
      <c r="A1929" s="4">
        <v>7616.0</v>
      </c>
      <c r="B1929" s="2" t="s">
        <v>7560</v>
      </c>
      <c r="C1929" s="2" t="s">
        <v>7561</v>
      </c>
      <c r="D1929" s="2" t="s">
        <v>7562</v>
      </c>
      <c r="E1929" s="2" t="s">
        <v>7563</v>
      </c>
      <c r="F1929" s="2" t="b">
        <v>1</v>
      </c>
      <c r="G1929" s="2" t="b">
        <v>0</v>
      </c>
      <c r="H1929" s="2" t="s">
        <v>37</v>
      </c>
      <c r="I1929" s="2" t="s">
        <v>22</v>
      </c>
      <c r="J1929" s="2" t="s">
        <v>3716</v>
      </c>
      <c r="K1929" s="2" t="s">
        <v>495</v>
      </c>
      <c r="L1929" s="13" t="s">
        <v>496</v>
      </c>
      <c r="M1929" s="2" t="s">
        <v>26</v>
      </c>
      <c r="N1929" s="11" t="s">
        <v>576</v>
      </c>
      <c r="O1929" s="12" t="s">
        <v>53</v>
      </c>
      <c r="P1929" s="5" t="str">
        <f>IFERROR(__xludf.DUMMYFUNCTION("TEXTJOIN("" | "",TRUE,IF(OR(D1929="""",E1929="""",I1929="""",J1929="""",H1929=""""),""ফাঁকা ঘর"",""""),IF(AND(C1929&lt;&gt;"""",D1929&lt;&gt;"""",C1929=D1929),""gloss=figurative"",""""),IF(LEN(D1929)&lt;15,""figurative ছোট"",""""),IF(AND(I1929=""Positive"",REGEXMATCH(H1"&amp;"929,""মূর্খ|ভণ্ড|প্রতার|অলস|লোভ|স্বার্থ|অক্ষম|অযোগ্য|বোকা|কৃপণ|হিংস"")),""valence-target অমিল"",""""),IF(COUNTIF($B:$B,B1929)&gt;1,""ডুপ্লিকেট"",""""))"),"figurative ছোট")</f>
        <v>figurative ছোট</v>
      </c>
      <c r="Q1929" s="5" t="str">
        <f t="shared" si="1"/>
        <v>১ আগে দেখো</v>
      </c>
    </row>
    <row r="1930">
      <c r="A1930" s="4">
        <v>7618.0</v>
      </c>
      <c r="B1930" s="2" t="s">
        <v>7564</v>
      </c>
      <c r="C1930" s="2" t="s">
        <v>7565</v>
      </c>
      <c r="D1930" s="2" t="s">
        <v>7566</v>
      </c>
      <c r="E1930" s="2" t="s">
        <v>7567</v>
      </c>
      <c r="F1930" s="2" t="b">
        <v>1</v>
      </c>
      <c r="G1930" s="2" t="b">
        <v>0</v>
      </c>
      <c r="H1930" s="2" t="s">
        <v>37</v>
      </c>
      <c r="I1930" s="2" t="s">
        <v>49</v>
      </c>
      <c r="J1930" s="2" t="s">
        <v>2732</v>
      </c>
      <c r="K1930" s="2" t="s">
        <v>495</v>
      </c>
      <c r="L1930" s="13" t="s">
        <v>496</v>
      </c>
      <c r="M1930" s="2" t="s">
        <v>26</v>
      </c>
      <c r="N1930" s="11" t="s">
        <v>576</v>
      </c>
      <c r="O1930" s="12" t="s">
        <v>53</v>
      </c>
      <c r="P1930" s="5" t="str">
        <f>IFERROR(__xludf.DUMMYFUNCTION("TEXTJOIN("" | "",TRUE,IF(OR(D1930="""",E1930="""",I1930="""",J1930="""",H1930=""""),""ফাঁকা ঘর"",""""),IF(AND(C1930&lt;&gt;"""",D1930&lt;&gt;"""",C1930=D1930),""gloss=figurative"",""""),IF(LEN(D1930)&lt;15,""figurative ছোট"",""""),IF(AND(I1930=""Positive"",REGEXMATCH(H1"&amp;"930,""মূর্খ|ভণ্ড|প্রতার|অলস|লোভ|স্বার্থ|অক্ষম|অযোগ্য|বোকা|কৃপণ|হিংস"")),""valence-target অমিল"",""""),IF(COUNTIF($B:$B,B1930)&gt;1,""ডুপ্লিকেট"",""""))"),"figurative ছোট")</f>
        <v>figurative ছোট</v>
      </c>
      <c r="Q1930" s="5" t="str">
        <f t="shared" si="1"/>
        <v>১ আগে দেখো</v>
      </c>
    </row>
    <row r="1931">
      <c r="A1931" s="4">
        <v>7619.0</v>
      </c>
      <c r="B1931" s="2" t="s">
        <v>7568</v>
      </c>
      <c r="C1931" s="2" t="s">
        <v>7569</v>
      </c>
      <c r="D1931" s="2" t="s">
        <v>848</v>
      </c>
      <c r="E1931" s="2" t="s">
        <v>7570</v>
      </c>
      <c r="F1931" s="2" t="b">
        <v>1</v>
      </c>
      <c r="G1931" s="2" t="b">
        <v>0</v>
      </c>
      <c r="H1931" s="2" t="s">
        <v>37</v>
      </c>
      <c r="I1931" s="2" t="s">
        <v>22</v>
      </c>
      <c r="J1931" s="2" t="s">
        <v>848</v>
      </c>
      <c r="K1931" s="2" t="s">
        <v>495</v>
      </c>
      <c r="L1931" s="13" t="s">
        <v>496</v>
      </c>
      <c r="M1931" s="2" t="s">
        <v>26</v>
      </c>
      <c r="N1931" s="11" t="s">
        <v>576</v>
      </c>
      <c r="O1931" s="12" t="s">
        <v>53</v>
      </c>
      <c r="P1931" s="5" t="str">
        <f>IFERROR(__xludf.DUMMYFUNCTION("TEXTJOIN("" | "",TRUE,IF(OR(D1931="""",E1931="""",I1931="""",J1931="""",H1931=""""),""ফাঁকা ঘর"",""""),IF(AND(C1931&lt;&gt;"""",D1931&lt;&gt;"""",C1931=D1931),""gloss=figurative"",""""),IF(LEN(D1931)&lt;15,""figurative ছোট"",""""),IF(AND(I1931=""Positive"",REGEXMATCH(H1"&amp;"931,""মূর্খ|ভণ্ড|প্রতার|অলস|লোভ|স্বার্থ|অক্ষম|অযোগ্য|বোকা|কৃপণ|হিংস"")),""valence-target অমিল"",""""),IF(COUNTIF($B:$B,B1931)&gt;1,""ডুপ্লিকেট"",""""))"),"figurative ছোট")</f>
        <v>figurative ছোট</v>
      </c>
      <c r="Q1931" s="5" t="str">
        <f t="shared" si="1"/>
        <v>১ আগে দেখো</v>
      </c>
    </row>
    <row r="1932">
      <c r="A1932" s="4">
        <v>7620.0</v>
      </c>
      <c r="B1932" s="2" t="s">
        <v>7571</v>
      </c>
      <c r="C1932" s="2" t="s">
        <v>7572</v>
      </c>
      <c r="D1932" s="2" t="s">
        <v>1214</v>
      </c>
      <c r="E1932" s="2" t="s">
        <v>7573</v>
      </c>
      <c r="F1932" s="2" t="b">
        <v>1</v>
      </c>
      <c r="G1932" s="2" t="b">
        <v>1</v>
      </c>
      <c r="H1932" s="2" t="s">
        <v>1106</v>
      </c>
      <c r="I1932" s="2" t="s">
        <v>22</v>
      </c>
      <c r="J1932" s="2" t="s">
        <v>590</v>
      </c>
      <c r="K1932" s="2" t="s">
        <v>495</v>
      </c>
      <c r="L1932" s="13" t="s">
        <v>496</v>
      </c>
      <c r="M1932" s="2" t="s">
        <v>26</v>
      </c>
      <c r="N1932" s="11" t="s">
        <v>576</v>
      </c>
      <c r="O1932" s="12" t="s">
        <v>53</v>
      </c>
      <c r="P1932" s="5" t="str">
        <f>IFERROR(__xludf.DUMMYFUNCTION("TEXTJOIN("" | "",TRUE,IF(OR(D1932="""",E1932="""",I1932="""",J1932="""",H1932=""""),""ফাঁকা ঘর"",""""),IF(AND(C1932&lt;&gt;"""",D1932&lt;&gt;"""",C1932=D1932),""gloss=figurative"",""""),IF(LEN(D1932)&lt;15,""figurative ছোট"",""""),IF(AND(I1932=""Positive"",REGEXMATCH(H1"&amp;"932,""মূর্খ|ভণ্ড|প্রতার|অলস|লোভ|স্বার্থ|অক্ষম|অযোগ্য|বোকা|কৃপণ|হিংস"")),""valence-target অমিল"",""""),IF(COUNTIF($B:$B,B1932)&gt;1,""ডুপ্লিকেট"",""""))"),"figurative ছোট")</f>
        <v>figurative ছোট</v>
      </c>
      <c r="Q1932" s="5" t="str">
        <f t="shared" si="1"/>
        <v>১ আগে দেখো</v>
      </c>
    </row>
    <row r="1933">
      <c r="A1933" s="4">
        <v>7621.0</v>
      </c>
      <c r="B1933" s="2" t="s">
        <v>7574</v>
      </c>
      <c r="C1933" s="2" t="s">
        <v>7574</v>
      </c>
      <c r="D1933" s="2" t="s">
        <v>7575</v>
      </c>
      <c r="E1933" s="2" t="s">
        <v>7576</v>
      </c>
      <c r="F1933" s="2" t="b">
        <v>1</v>
      </c>
      <c r="G1933" s="2" t="b">
        <v>0</v>
      </c>
      <c r="H1933" s="2" t="s">
        <v>37</v>
      </c>
      <c r="I1933" s="2" t="s">
        <v>49</v>
      </c>
      <c r="J1933" s="2" t="s">
        <v>3506</v>
      </c>
      <c r="K1933" s="2" t="s">
        <v>495</v>
      </c>
      <c r="L1933" s="13" t="s">
        <v>496</v>
      </c>
      <c r="M1933" s="2" t="s">
        <v>26</v>
      </c>
      <c r="N1933" s="11" t="s">
        <v>576</v>
      </c>
      <c r="O1933" s="12" t="s">
        <v>53</v>
      </c>
      <c r="P1933" s="5" t="str">
        <f>IFERROR(__xludf.DUMMYFUNCTION("TEXTJOIN("" | "",TRUE,IF(OR(D1933="""",E1933="""",I1933="""",J1933="""",H1933=""""),""ফাঁকা ঘর"",""""),IF(AND(C1933&lt;&gt;"""",D1933&lt;&gt;"""",C1933=D1933),""gloss=figurative"",""""),IF(LEN(D1933)&lt;15,""figurative ছোট"",""""),IF(AND(I1933=""Positive"",REGEXMATCH(H1"&amp;"933,""মূর্খ|ভণ্ড|প্রতার|অলস|লোভ|স্বার্থ|অক্ষম|অযোগ্য|বোকা|কৃপণ|হিংস"")),""valence-target অমিল"",""""),IF(COUNTIF($B:$B,B1933)&gt;1,""ডুপ্লিকেট"",""""))"),"figurative ছোট")</f>
        <v>figurative ছোট</v>
      </c>
      <c r="Q1933" s="5" t="str">
        <f t="shared" si="1"/>
        <v>১ আগে দেখো</v>
      </c>
    </row>
    <row r="1934">
      <c r="A1934" s="4">
        <v>7622.0</v>
      </c>
      <c r="B1934" s="2" t="s">
        <v>7577</v>
      </c>
      <c r="C1934" s="2" t="s">
        <v>7577</v>
      </c>
      <c r="D1934" s="2" t="s">
        <v>7578</v>
      </c>
      <c r="E1934" s="2" t="s">
        <v>7579</v>
      </c>
      <c r="F1934" s="2" t="b">
        <v>1</v>
      </c>
      <c r="G1934" s="2" t="b">
        <v>0</v>
      </c>
      <c r="H1934" s="2" t="s">
        <v>37</v>
      </c>
      <c r="I1934" s="2" t="s">
        <v>49</v>
      </c>
      <c r="J1934" s="2" t="s">
        <v>7580</v>
      </c>
      <c r="K1934" s="2" t="s">
        <v>495</v>
      </c>
      <c r="L1934" s="13" t="s">
        <v>496</v>
      </c>
      <c r="M1934" s="2" t="s">
        <v>26</v>
      </c>
      <c r="N1934" s="11" t="s">
        <v>576</v>
      </c>
      <c r="O1934" s="12" t="s">
        <v>53</v>
      </c>
      <c r="P1934" s="5" t="str">
        <f>IFERROR(__xludf.DUMMYFUNCTION("TEXTJOIN("" | "",TRUE,IF(OR(D1934="""",E1934="""",I1934="""",J1934="""",H1934=""""),""ফাঁকা ঘর"",""""),IF(AND(C1934&lt;&gt;"""",D1934&lt;&gt;"""",C1934=D1934),""gloss=figurative"",""""),IF(LEN(D1934)&lt;15,""figurative ছোট"",""""),IF(AND(I1934=""Positive"",REGEXMATCH(H1"&amp;"934,""মূর্খ|ভণ্ড|প্রতার|অলস|লোভ|স্বার্থ|অক্ষম|অযোগ্য|বোকা|কৃপণ|হিংস"")),""valence-target অমিল"",""""),IF(COUNTIF($B:$B,B1934)&gt;1,""ডুপ্লিকেট"",""""))"),"figurative ছোট")</f>
        <v>figurative ছোট</v>
      </c>
      <c r="Q1934" s="5" t="str">
        <f t="shared" si="1"/>
        <v>১ আগে দেখো</v>
      </c>
    </row>
    <row r="1935">
      <c r="A1935" s="4">
        <v>7623.0</v>
      </c>
      <c r="B1935" s="2" t="s">
        <v>7581</v>
      </c>
      <c r="C1935" s="2" t="s">
        <v>7582</v>
      </c>
      <c r="D1935" s="2" t="s">
        <v>848</v>
      </c>
      <c r="E1935" s="2" t="s">
        <v>7583</v>
      </c>
      <c r="F1935" s="2" t="b">
        <v>1</v>
      </c>
      <c r="G1935" s="2" t="b">
        <v>1</v>
      </c>
      <c r="H1935" s="2" t="s">
        <v>1106</v>
      </c>
      <c r="I1935" s="2" t="s">
        <v>22</v>
      </c>
      <c r="J1935" s="2" t="s">
        <v>1315</v>
      </c>
      <c r="K1935" s="2" t="s">
        <v>495</v>
      </c>
      <c r="L1935" s="13" t="s">
        <v>496</v>
      </c>
      <c r="M1935" s="2" t="s">
        <v>26</v>
      </c>
      <c r="N1935" s="11" t="s">
        <v>576</v>
      </c>
      <c r="O1935" s="12" t="s">
        <v>53</v>
      </c>
      <c r="P1935" s="5" t="str">
        <f>IFERROR(__xludf.DUMMYFUNCTION("TEXTJOIN("" | "",TRUE,IF(OR(D1935="""",E1935="""",I1935="""",J1935="""",H1935=""""),""ফাঁকা ঘর"",""""),IF(AND(C1935&lt;&gt;"""",D1935&lt;&gt;"""",C1935=D1935),""gloss=figurative"",""""),IF(LEN(D1935)&lt;15,""figurative ছোট"",""""),IF(AND(I1935=""Positive"",REGEXMATCH(H1"&amp;"935,""মূর্খ|ভণ্ড|প্রতার|অলস|লোভ|স্বার্থ|অক্ষম|অযোগ্য|বোকা|কৃপণ|হিংস"")),""valence-target অমিল"",""""),IF(COUNTIF($B:$B,B1935)&gt;1,""ডুপ্লিকেট"",""""))"),"figurative ছোট")</f>
        <v>figurative ছোট</v>
      </c>
      <c r="Q1935" s="5" t="str">
        <f t="shared" si="1"/>
        <v>১ আগে দেখো</v>
      </c>
    </row>
    <row r="1936">
      <c r="A1936" s="4">
        <v>7624.0</v>
      </c>
      <c r="B1936" s="2" t="s">
        <v>7584</v>
      </c>
      <c r="C1936" s="2" t="s">
        <v>7584</v>
      </c>
      <c r="D1936" s="2" t="s">
        <v>1363</v>
      </c>
      <c r="E1936" s="2" t="s">
        <v>7585</v>
      </c>
      <c r="F1936" s="2" t="b">
        <v>1</v>
      </c>
      <c r="G1936" s="2" t="b">
        <v>0</v>
      </c>
      <c r="H1936" s="2" t="s">
        <v>37</v>
      </c>
      <c r="I1936" s="2" t="s">
        <v>22</v>
      </c>
      <c r="J1936" s="2" t="s">
        <v>1363</v>
      </c>
      <c r="K1936" s="2" t="s">
        <v>495</v>
      </c>
      <c r="L1936" s="13" t="s">
        <v>496</v>
      </c>
      <c r="M1936" s="2" t="s">
        <v>26</v>
      </c>
      <c r="N1936" s="11" t="s">
        <v>576</v>
      </c>
      <c r="O1936" s="12" t="s">
        <v>53</v>
      </c>
      <c r="P1936" s="5" t="str">
        <f>IFERROR(__xludf.DUMMYFUNCTION("TEXTJOIN("" | "",TRUE,IF(OR(D1936="""",E1936="""",I1936="""",J1936="""",H1936=""""),""ফাঁকা ঘর"",""""),IF(AND(C1936&lt;&gt;"""",D1936&lt;&gt;"""",C1936=D1936),""gloss=figurative"",""""),IF(LEN(D1936)&lt;15,""figurative ছোট"",""""),IF(AND(I1936=""Positive"",REGEXMATCH(H1"&amp;"936,""মূর্খ|ভণ্ড|প্রতার|অলস|লোভ|স্বার্থ|অক্ষম|অযোগ্য|বোকা|কৃপণ|হিংস"")),""valence-target অমিল"",""""),IF(COUNTIF($B:$B,B1936)&gt;1,""ডুপ্লিকেট"",""""))"),"figurative ছোট")</f>
        <v>figurative ছোট</v>
      </c>
      <c r="Q1936" s="5" t="str">
        <f t="shared" si="1"/>
        <v>১ আগে দেখো</v>
      </c>
    </row>
    <row r="1937">
      <c r="A1937" s="4">
        <v>7625.0</v>
      </c>
      <c r="B1937" s="2" t="s">
        <v>7586</v>
      </c>
      <c r="C1937" s="2" t="s">
        <v>7587</v>
      </c>
      <c r="D1937" s="2" t="s">
        <v>7588</v>
      </c>
      <c r="E1937" s="2" t="s">
        <v>7589</v>
      </c>
      <c r="F1937" s="2" t="b">
        <v>1</v>
      </c>
      <c r="G1937" s="2" t="b">
        <v>0</v>
      </c>
      <c r="H1937" s="2" t="s">
        <v>37</v>
      </c>
      <c r="I1937" s="2" t="s">
        <v>32</v>
      </c>
      <c r="J1937" s="2" t="s">
        <v>934</v>
      </c>
      <c r="K1937" s="2" t="s">
        <v>495</v>
      </c>
      <c r="L1937" s="13" t="s">
        <v>496</v>
      </c>
      <c r="M1937" s="2" t="s">
        <v>26</v>
      </c>
      <c r="N1937" s="11" t="s">
        <v>7590</v>
      </c>
      <c r="O1937" s="12" t="s">
        <v>53</v>
      </c>
      <c r="P1937" s="5" t="str">
        <f>IFERROR(__xludf.DUMMYFUNCTION("TEXTJOIN("" | "",TRUE,IF(OR(D1937="""",E1937="""",I1937="""",J1937="""",H1937=""""),""ফাঁকা ঘর"",""""),IF(AND(C1937&lt;&gt;"""",D1937&lt;&gt;"""",C1937=D1937),""gloss=figurative"",""""),IF(LEN(D1937)&lt;15,""figurative ছোট"",""""),IF(AND(I1937=""Positive"",REGEXMATCH(H1"&amp;"937,""মূর্খ|ভণ্ড|প্রতার|অলস|লোভ|স্বার্থ|অক্ষম|অযোগ্য|বোকা|কৃপণ|হিংস"")),""valence-target অমিল"",""""),IF(COUNTIF($B:$B,B1937)&gt;1,""ডুপ্লিকেট"",""""))"),"figurative ছোট")</f>
        <v>figurative ছোট</v>
      </c>
      <c r="Q1937" s="5" t="str">
        <f t="shared" si="1"/>
        <v>১ আগে দেখো</v>
      </c>
    </row>
    <row r="1938">
      <c r="A1938" s="4">
        <v>7626.0</v>
      </c>
      <c r="B1938" s="2" t="s">
        <v>7591</v>
      </c>
      <c r="C1938" s="2" t="s">
        <v>7592</v>
      </c>
      <c r="D1938" s="2" t="s">
        <v>7593</v>
      </c>
      <c r="E1938" s="2" t="s">
        <v>7594</v>
      </c>
      <c r="F1938" s="2" t="b">
        <v>1</v>
      </c>
      <c r="G1938" s="2" t="b">
        <v>0</v>
      </c>
      <c r="H1938" s="2" t="s">
        <v>37</v>
      </c>
      <c r="I1938" s="2" t="s">
        <v>32</v>
      </c>
      <c r="J1938" s="2" t="s">
        <v>934</v>
      </c>
      <c r="K1938" s="2" t="s">
        <v>495</v>
      </c>
      <c r="L1938" s="13" t="s">
        <v>496</v>
      </c>
      <c r="M1938" s="2" t="s">
        <v>26</v>
      </c>
      <c r="N1938" s="11" t="s">
        <v>7595</v>
      </c>
      <c r="O1938" s="12" t="s">
        <v>53</v>
      </c>
      <c r="P1938" s="5" t="str">
        <f>IFERROR(__xludf.DUMMYFUNCTION("TEXTJOIN("" | "",TRUE,IF(OR(D1938="""",E1938="""",I1938="""",J1938="""",H1938=""""),""ফাঁকা ঘর"",""""),IF(AND(C1938&lt;&gt;"""",D1938&lt;&gt;"""",C1938=D1938),""gloss=figurative"",""""),IF(LEN(D1938)&lt;15,""figurative ছোট"",""""),IF(AND(I1938=""Positive"",REGEXMATCH(H1"&amp;"938,""মূর্খ|ভণ্ড|প্রতার|অলস|লোভ|স্বার্থ|অক্ষম|অযোগ্য|বোকা|কৃপণ|হিংস"")),""valence-target অমিল"",""""),IF(COUNTIF($B:$B,B1938)&gt;1,""ডুপ্লিকেট"",""""))"),"figurative ছোট")</f>
        <v>figurative ছোট</v>
      </c>
      <c r="Q1938" s="5" t="str">
        <f t="shared" si="1"/>
        <v>১ আগে দেখো</v>
      </c>
    </row>
    <row r="1939">
      <c r="A1939" s="4">
        <v>7627.0</v>
      </c>
      <c r="B1939" s="2" t="s">
        <v>7596</v>
      </c>
      <c r="C1939" s="2" t="s">
        <v>7597</v>
      </c>
      <c r="D1939" s="2" t="s">
        <v>989</v>
      </c>
      <c r="E1939" s="2" t="s">
        <v>5266</v>
      </c>
      <c r="F1939" s="2" t="b">
        <v>1</v>
      </c>
      <c r="G1939" s="2" t="b">
        <v>0</v>
      </c>
      <c r="H1939" s="2" t="s">
        <v>989</v>
      </c>
      <c r="I1939" s="2" t="s">
        <v>22</v>
      </c>
      <c r="J1939" s="2" t="s">
        <v>990</v>
      </c>
      <c r="K1939" s="2" t="s">
        <v>495</v>
      </c>
      <c r="L1939" s="13" t="s">
        <v>496</v>
      </c>
      <c r="M1939" s="2" t="s">
        <v>26</v>
      </c>
      <c r="N1939" s="11" t="s">
        <v>576</v>
      </c>
      <c r="O1939" s="12" t="s">
        <v>53</v>
      </c>
      <c r="P1939" s="5" t="str">
        <f>IFERROR(__xludf.DUMMYFUNCTION("TEXTJOIN("" | "",TRUE,IF(OR(D1939="""",E1939="""",I1939="""",J1939="""",H1939=""""),""ফাঁকা ঘর"",""""),IF(AND(C1939&lt;&gt;"""",D1939&lt;&gt;"""",C1939=D1939),""gloss=figurative"",""""),IF(LEN(D1939)&lt;15,""figurative ছোট"",""""),IF(AND(I1939=""Positive"",REGEXMATCH(H1"&amp;"939,""মূর্খ|ভণ্ড|প্রতার|অলস|লোভ|স্বার্থ|অক্ষম|অযোগ্য|বোকা|কৃপণ|হিংস"")),""valence-target অমিল"",""""),IF(COUNTIF($B:$B,B1939)&gt;1,""ডুপ্লিকেট"",""""))"),"figurative ছোট")</f>
        <v>figurative ছোট</v>
      </c>
      <c r="Q1939" s="5" t="str">
        <f t="shared" si="1"/>
        <v>১ আগে দেখো</v>
      </c>
    </row>
    <row r="1940">
      <c r="A1940" s="4">
        <v>7628.0</v>
      </c>
      <c r="B1940" s="2" t="s">
        <v>7598</v>
      </c>
      <c r="C1940" s="2" t="s">
        <v>7599</v>
      </c>
      <c r="D1940" s="2" t="s">
        <v>4830</v>
      </c>
      <c r="E1940" s="2" t="s">
        <v>7600</v>
      </c>
      <c r="F1940" s="2" t="b">
        <v>1</v>
      </c>
      <c r="G1940" s="2" t="b">
        <v>0</v>
      </c>
      <c r="H1940" s="2" t="s">
        <v>37</v>
      </c>
      <c r="I1940" s="2" t="s">
        <v>49</v>
      </c>
      <c r="J1940" s="2" t="s">
        <v>2201</v>
      </c>
      <c r="K1940" s="2" t="s">
        <v>495</v>
      </c>
      <c r="L1940" s="13" t="s">
        <v>496</v>
      </c>
      <c r="M1940" s="2" t="s">
        <v>26</v>
      </c>
      <c r="N1940" s="11" t="s">
        <v>576</v>
      </c>
      <c r="O1940" s="12" t="s">
        <v>53</v>
      </c>
      <c r="P1940" s="5" t="str">
        <f>IFERROR(__xludf.DUMMYFUNCTION("TEXTJOIN("" | "",TRUE,IF(OR(D1940="""",E1940="""",I1940="""",J1940="""",H1940=""""),""ফাঁকা ঘর"",""""),IF(AND(C1940&lt;&gt;"""",D1940&lt;&gt;"""",C1940=D1940),""gloss=figurative"",""""),IF(LEN(D1940)&lt;15,""figurative ছোট"",""""),IF(AND(I1940=""Positive"",REGEXMATCH(H1"&amp;"940,""মূর্খ|ভণ্ড|প্রতার|অলস|লোভ|স্বার্থ|অক্ষম|অযোগ্য|বোকা|কৃপণ|হিংস"")),""valence-target অমিল"",""""),IF(COUNTIF($B:$B,B1940)&gt;1,""ডুপ্লিকেট"",""""))"),"figurative ছোট")</f>
        <v>figurative ছোট</v>
      </c>
      <c r="Q1940" s="5" t="str">
        <f t="shared" si="1"/>
        <v>১ আগে দেখো</v>
      </c>
    </row>
    <row r="1941">
      <c r="A1941" s="4">
        <v>7629.0</v>
      </c>
      <c r="B1941" s="2" t="s">
        <v>7601</v>
      </c>
      <c r="C1941" s="2" t="s">
        <v>7602</v>
      </c>
      <c r="D1941" s="2" t="s">
        <v>4284</v>
      </c>
      <c r="E1941" s="2" t="s">
        <v>7603</v>
      </c>
      <c r="F1941" s="2" t="b">
        <v>1</v>
      </c>
      <c r="G1941" s="2" t="b">
        <v>0</v>
      </c>
      <c r="H1941" s="2" t="s">
        <v>37</v>
      </c>
      <c r="I1941" s="2" t="s">
        <v>22</v>
      </c>
      <c r="J1941" s="2" t="s">
        <v>4284</v>
      </c>
      <c r="K1941" s="2" t="s">
        <v>495</v>
      </c>
      <c r="L1941" s="13" t="s">
        <v>496</v>
      </c>
      <c r="M1941" s="2" t="s">
        <v>26</v>
      </c>
      <c r="N1941" s="11" t="s">
        <v>576</v>
      </c>
      <c r="O1941" s="12" t="s">
        <v>53</v>
      </c>
      <c r="P1941" s="5" t="str">
        <f>IFERROR(__xludf.DUMMYFUNCTION("TEXTJOIN("" | "",TRUE,IF(OR(D1941="""",E1941="""",I1941="""",J1941="""",H1941=""""),""ফাঁকা ঘর"",""""),IF(AND(C1941&lt;&gt;"""",D1941&lt;&gt;"""",C1941=D1941),""gloss=figurative"",""""),IF(LEN(D1941)&lt;15,""figurative ছোট"",""""),IF(AND(I1941=""Positive"",REGEXMATCH(H1"&amp;"941,""মূর্খ|ভণ্ড|প্রতার|অলস|লোভ|স্বার্থ|অক্ষম|অযোগ্য|বোকা|কৃপণ|হিংস"")),""valence-target অমিল"",""""),IF(COUNTIF($B:$B,B1941)&gt;1,""ডুপ্লিকেট"",""""))"),"figurative ছোট")</f>
        <v>figurative ছোট</v>
      </c>
      <c r="Q1941" s="5" t="str">
        <f t="shared" si="1"/>
        <v>১ আগে দেখো</v>
      </c>
    </row>
    <row r="1942">
      <c r="A1942" s="4">
        <v>7630.0</v>
      </c>
      <c r="B1942" s="2" t="s">
        <v>7604</v>
      </c>
      <c r="C1942" s="2" t="s">
        <v>7605</v>
      </c>
      <c r="D1942" s="2" t="s">
        <v>7606</v>
      </c>
      <c r="E1942" s="2" t="s">
        <v>7607</v>
      </c>
      <c r="F1942" s="2" t="b">
        <v>1</v>
      </c>
      <c r="G1942" s="2" t="b">
        <v>0</v>
      </c>
      <c r="H1942" s="2" t="s">
        <v>37</v>
      </c>
      <c r="I1942" s="2" t="s">
        <v>49</v>
      </c>
      <c r="J1942" s="2" t="s">
        <v>3416</v>
      </c>
      <c r="K1942" s="2" t="s">
        <v>495</v>
      </c>
      <c r="L1942" s="13" t="s">
        <v>496</v>
      </c>
      <c r="M1942" s="2" t="s">
        <v>26</v>
      </c>
      <c r="N1942" s="11" t="s">
        <v>576</v>
      </c>
      <c r="O1942" s="12" t="s">
        <v>53</v>
      </c>
      <c r="P1942" s="5" t="str">
        <f>IFERROR(__xludf.DUMMYFUNCTION("TEXTJOIN("" | "",TRUE,IF(OR(D1942="""",E1942="""",I1942="""",J1942="""",H1942=""""),""ফাঁকা ঘর"",""""),IF(AND(C1942&lt;&gt;"""",D1942&lt;&gt;"""",C1942=D1942),""gloss=figurative"",""""),IF(LEN(D1942)&lt;15,""figurative ছোট"",""""),IF(AND(I1942=""Positive"",REGEXMATCH(H1"&amp;"942,""মূর্খ|ভণ্ড|প্রতার|অলস|লোভ|স্বার্থ|অক্ষম|অযোগ্য|বোকা|কৃপণ|হিংস"")),""valence-target অমিল"",""""),IF(COUNTIF($B:$B,B1942)&gt;1,""ডুপ্লিকেট"",""""))"),"figurative ছোট")</f>
        <v>figurative ছোট</v>
      </c>
      <c r="Q1942" s="5" t="str">
        <f t="shared" si="1"/>
        <v>১ আগে দেখো</v>
      </c>
    </row>
    <row r="1943">
      <c r="A1943" s="4">
        <v>7631.0</v>
      </c>
      <c r="B1943" s="2" t="s">
        <v>7608</v>
      </c>
      <c r="C1943" s="2" t="s">
        <v>7609</v>
      </c>
      <c r="D1943" s="2" t="s">
        <v>6710</v>
      </c>
      <c r="E1943" s="2" t="s">
        <v>7610</v>
      </c>
      <c r="F1943" s="2" t="b">
        <v>1</v>
      </c>
      <c r="G1943" s="2" t="b">
        <v>0</v>
      </c>
      <c r="H1943" s="2" t="s">
        <v>37</v>
      </c>
      <c r="I1943" s="2" t="s">
        <v>49</v>
      </c>
      <c r="J1943" s="2" t="s">
        <v>447</v>
      </c>
      <c r="K1943" s="2" t="s">
        <v>495</v>
      </c>
      <c r="L1943" s="13" t="s">
        <v>496</v>
      </c>
      <c r="M1943" s="2" t="s">
        <v>26</v>
      </c>
      <c r="N1943" s="11" t="s">
        <v>576</v>
      </c>
      <c r="O1943" s="12" t="s">
        <v>53</v>
      </c>
      <c r="P1943" s="5" t="str">
        <f>IFERROR(__xludf.DUMMYFUNCTION("TEXTJOIN("" | "",TRUE,IF(OR(D1943="""",E1943="""",I1943="""",J1943="""",H1943=""""),""ফাঁকা ঘর"",""""),IF(AND(C1943&lt;&gt;"""",D1943&lt;&gt;"""",C1943=D1943),""gloss=figurative"",""""),IF(LEN(D1943)&lt;15,""figurative ছোট"",""""),IF(AND(I1943=""Positive"",REGEXMATCH(H1"&amp;"943,""মূর্খ|ভণ্ড|প্রতার|অলস|লোভ|স্বার্থ|অক্ষম|অযোগ্য|বোকা|কৃপণ|হিংস"")),""valence-target অমিল"",""""),IF(COUNTIF($B:$B,B1943)&gt;1,""ডুপ্লিকেট"",""""))"),"figurative ছোট")</f>
        <v>figurative ছোট</v>
      </c>
      <c r="Q1943" s="5" t="str">
        <f t="shared" si="1"/>
        <v>১ আগে দেখো</v>
      </c>
    </row>
    <row r="1944">
      <c r="A1944" s="4">
        <v>7632.0</v>
      </c>
      <c r="B1944" s="2" t="s">
        <v>7611</v>
      </c>
      <c r="C1944" s="2" t="s">
        <v>7612</v>
      </c>
      <c r="D1944" s="2" t="s">
        <v>1712</v>
      </c>
      <c r="E1944" s="2" t="s">
        <v>7613</v>
      </c>
      <c r="F1944" s="2" t="b">
        <v>1</v>
      </c>
      <c r="G1944" s="2" t="b">
        <v>0</v>
      </c>
      <c r="H1944" s="2" t="s">
        <v>37</v>
      </c>
      <c r="I1944" s="2" t="s">
        <v>22</v>
      </c>
      <c r="J1944" s="2" t="s">
        <v>1712</v>
      </c>
      <c r="K1944" s="2" t="s">
        <v>495</v>
      </c>
      <c r="L1944" s="13" t="s">
        <v>496</v>
      </c>
      <c r="M1944" s="2" t="s">
        <v>26</v>
      </c>
      <c r="N1944" s="11" t="s">
        <v>576</v>
      </c>
      <c r="O1944" s="12" t="s">
        <v>53</v>
      </c>
      <c r="P1944" s="5" t="str">
        <f>IFERROR(__xludf.DUMMYFUNCTION("TEXTJOIN("" | "",TRUE,IF(OR(D1944="""",E1944="""",I1944="""",J1944="""",H1944=""""),""ফাঁকা ঘর"",""""),IF(AND(C1944&lt;&gt;"""",D1944&lt;&gt;"""",C1944=D1944),""gloss=figurative"",""""),IF(LEN(D1944)&lt;15,""figurative ছোট"",""""),IF(AND(I1944=""Positive"",REGEXMATCH(H1"&amp;"944,""মূর্খ|ভণ্ড|প্রতার|অলস|লোভ|স্বার্থ|অক্ষম|অযোগ্য|বোকা|কৃপণ|হিংস"")),""valence-target অমিল"",""""),IF(COUNTIF($B:$B,B1944)&gt;1,""ডুপ্লিকেট"",""""))"),"figurative ছোট")</f>
        <v>figurative ছোট</v>
      </c>
      <c r="Q1944" s="5" t="str">
        <f t="shared" si="1"/>
        <v>১ আগে দেখো</v>
      </c>
    </row>
    <row r="1945">
      <c r="A1945" s="4">
        <v>7633.0</v>
      </c>
      <c r="B1945" s="2" t="s">
        <v>7614</v>
      </c>
      <c r="C1945" s="2" t="s">
        <v>7614</v>
      </c>
      <c r="D1945" s="2" t="s">
        <v>616</v>
      </c>
      <c r="E1945" s="2" t="s">
        <v>7615</v>
      </c>
      <c r="F1945" s="2" t="b">
        <v>1</v>
      </c>
      <c r="G1945" s="2" t="b">
        <v>0</v>
      </c>
      <c r="H1945" s="2" t="s">
        <v>37</v>
      </c>
      <c r="I1945" s="2" t="s">
        <v>22</v>
      </c>
      <c r="J1945" s="2" t="s">
        <v>616</v>
      </c>
      <c r="K1945" s="2" t="s">
        <v>495</v>
      </c>
      <c r="L1945" s="13" t="s">
        <v>496</v>
      </c>
      <c r="M1945" s="2" t="s">
        <v>26</v>
      </c>
      <c r="N1945" s="11" t="s">
        <v>576</v>
      </c>
      <c r="O1945" s="12" t="s">
        <v>53</v>
      </c>
      <c r="P1945" s="5" t="str">
        <f>IFERROR(__xludf.DUMMYFUNCTION("TEXTJOIN("" | "",TRUE,IF(OR(D1945="""",E1945="""",I1945="""",J1945="""",H1945=""""),""ফাঁকা ঘর"",""""),IF(AND(C1945&lt;&gt;"""",D1945&lt;&gt;"""",C1945=D1945),""gloss=figurative"",""""),IF(LEN(D1945)&lt;15,""figurative ছোট"",""""),IF(AND(I1945=""Positive"",REGEXMATCH(H1"&amp;"945,""মূর্খ|ভণ্ড|প্রতার|অলস|লোভ|স্বার্থ|অক্ষম|অযোগ্য|বোকা|কৃপণ|হিংস"")),""valence-target অমিল"",""""),IF(COUNTIF($B:$B,B1945)&gt;1,""ডুপ্লিকেট"",""""))"),"figurative ছোট")</f>
        <v>figurative ছোট</v>
      </c>
      <c r="Q1945" s="5" t="str">
        <f t="shared" si="1"/>
        <v>১ আগে দেখো</v>
      </c>
    </row>
    <row r="1946">
      <c r="A1946" s="4">
        <v>7634.0</v>
      </c>
      <c r="B1946" s="2" t="s">
        <v>7616</v>
      </c>
      <c r="C1946" s="2" t="s">
        <v>7616</v>
      </c>
      <c r="D1946" s="2" t="s">
        <v>7617</v>
      </c>
      <c r="E1946" s="2" t="s">
        <v>7618</v>
      </c>
      <c r="F1946" s="2" t="b">
        <v>1</v>
      </c>
      <c r="G1946" s="2" t="b">
        <v>0</v>
      </c>
      <c r="H1946" s="2" t="s">
        <v>37</v>
      </c>
      <c r="I1946" s="2" t="s">
        <v>22</v>
      </c>
      <c r="J1946" s="2" t="s">
        <v>766</v>
      </c>
      <c r="K1946" s="2" t="s">
        <v>495</v>
      </c>
      <c r="L1946" s="13" t="s">
        <v>496</v>
      </c>
      <c r="M1946" s="2" t="s">
        <v>26</v>
      </c>
      <c r="N1946" s="11" t="s">
        <v>576</v>
      </c>
      <c r="O1946" s="12" t="s">
        <v>53</v>
      </c>
      <c r="P1946" s="5" t="str">
        <f>IFERROR(__xludf.DUMMYFUNCTION("TEXTJOIN("" | "",TRUE,IF(OR(D1946="""",E1946="""",I1946="""",J1946="""",H1946=""""),""ফাঁকা ঘর"",""""),IF(AND(C1946&lt;&gt;"""",D1946&lt;&gt;"""",C1946=D1946),""gloss=figurative"",""""),IF(LEN(D1946)&lt;15,""figurative ছোট"",""""),IF(AND(I1946=""Positive"",REGEXMATCH(H1"&amp;"946,""মূর্খ|ভণ্ড|প্রতার|অলস|লোভ|স্বার্থ|অক্ষম|অযোগ্য|বোকা|কৃপণ|হিংস"")),""valence-target অমিল"",""""),IF(COUNTIF($B:$B,B1946)&gt;1,""ডুপ্লিকেট"",""""))"),"figurative ছোট")</f>
        <v>figurative ছোট</v>
      </c>
      <c r="Q1946" s="5" t="str">
        <f t="shared" si="1"/>
        <v>১ আগে দেখো</v>
      </c>
    </row>
    <row r="1947">
      <c r="A1947" s="4">
        <v>7635.0</v>
      </c>
      <c r="B1947" s="2" t="s">
        <v>7619</v>
      </c>
      <c r="C1947" s="2" t="s">
        <v>7619</v>
      </c>
      <c r="D1947" s="2" t="s">
        <v>7620</v>
      </c>
      <c r="E1947" s="2" t="s">
        <v>7621</v>
      </c>
      <c r="F1947" s="2" t="b">
        <v>1</v>
      </c>
      <c r="G1947" s="2" t="b">
        <v>0</v>
      </c>
      <c r="H1947" s="2" t="s">
        <v>37</v>
      </c>
      <c r="I1947" s="2" t="s">
        <v>49</v>
      </c>
      <c r="J1947" s="2" t="s">
        <v>4849</v>
      </c>
      <c r="K1947" s="2" t="s">
        <v>495</v>
      </c>
      <c r="L1947" s="13" t="s">
        <v>496</v>
      </c>
      <c r="M1947" s="2" t="s">
        <v>26</v>
      </c>
      <c r="N1947" s="11" t="s">
        <v>576</v>
      </c>
      <c r="O1947" s="12" t="s">
        <v>53</v>
      </c>
      <c r="P1947" s="5" t="str">
        <f>IFERROR(__xludf.DUMMYFUNCTION("TEXTJOIN("" | "",TRUE,IF(OR(D1947="""",E1947="""",I1947="""",J1947="""",H1947=""""),""ফাঁকা ঘর"",""""),IF(AND(C1947&lt;&gt;"""",D1947&lt;&gt;"""",C1947=D1947),""gloss=figurative"",""""),IF(LEN(D1947)&lt;15,""figurative ছোট"",""""),IF(AND(I1947=""Positive"",REGEXMATCH(H1"&amp;"947,""মূর্খ|ভণ্ড|প্রতার|অলস|লোভ|স্বার্থ|অক্ষম|অযোগ্য|বোকা|কৃপণ|হিংস"")),""valence-target অমিল"",""""),IF(COUNTIF($B:$B,B1947)&gt;1,""ডুপ্লিকেট"",""""))"),"figurative ছোট")</f>
        <v>figurative ছোট</v>
      </c>
      <c r="Q1947" s="5" t="str">
        <f t="shared" si="1"/>
        <v>১ আগে দেখো</v>
      </c>
    </row>
    <row r="1948">
      <c r="A1948" s="4">
        <v>7636.0</v>
      </c>
      <c r="B1948" s="2" t="s">
        <v>7622</v>
      </c>
      <c r="C1948" s="2" t="s">
        <v>7623</v>
      </c>
      <c r="D1948" s="2" t="s">
        <v>7624</v>
      </c>
      <c r="E1948" s="2" t="s">
        <v>7625</v>
      </c>
      <c r="F1948" s="2" t="b">
        <v>1</v>
      </c>
      <c r="G1948" s="2" t="b">
        <v>0</v>
      </c>
      <c r="H1948" s="2" t="s">
        <v>37</v>
      </c>
      <c r="I1948" s="2" t="s">
        <v>22</v>
      </c>
      <c r="J1948" s="2" t="s">
        <v>723</v>
      </c>
      <c r="K1948" s="2" t="s">
        <v>495</v>
      </c>
      <c r="L1948" s="13" t="s">
        <v>496</v>
      </c>
      <c r="M1948" s="2" t="s">
        <v>26</v>
      </c>
      <c r="N1948" s="11" t="s">
        <v>576</v>
      </c>
      <c r="O1948" s="12" t="s">
        <v>53</v>
      </c>
      <c r="P1948" s="5" t="str">
        <f>IFERROR(__xludf.DUMMYFUNCTION("TEXTJOIN("" | "",TRUE,IF(OR(D1948="""",E1948="""",I1948="""",J1948="""",H1948=""""),""ফাঁকা ঘর"",""""),IF(AND(C1948&lt;&gt;"""",D1948&lt;&gt;"""",C1948=D1948),""gloss=figurative"",""""),IF(LEN(D1948)&lt;15,""figurative ছোট"",""""),IF(AND(I1948=""Positive"",REGEXMATCH(H1"&amp;"948,""মূর্খ|ভণ্ড|প্রতার|অলস|লোভ|স্বার্থ|অক্ষম|অযোগ্য|বোকা|কৃপণ|হিংস"")),""valence-target অমিল"",""""),IF(COUNTIF($B:$B,B1948)&gt;1,""ডুপ্লিকেট"",""""))"),"figurative ছোট")</f>
        <v>figurative ছোট</v>
      </c>
      <c r="Q1948" s="5" t="str">
        <f t="shared" si="1"/>
        <v>১ আগে দেখো</v>
      </c>
    </row>
    <row r="1949">
      <c r="A1949" s="4">
        <v>7637.0</v>
      </c>
      <c r="B1949" s="2" t="s">
        <v>7626</v>
      </c>
      <c r="C1949" s="2" t="s">
        <v>7627</v>
      </c>
      <c r="D1949" s="2" t="s">
        <v>7628</v>
      </c>
      <c r="E1949" s="2" t="s">
        <v>7629</v>
      </c>
      <c r="F1949" s="2" t="b">
        <v>1</v>
      </c>
      <c r="G1949" s="2" t="b">
        <v>0</v>
      </c>
      <c r="H1949" s="2" t="s">
        <v>37</v>
      </c>
      <c r="I1949" s="2" t="s">
        <v>22</v>
      </c>
      <c r="J1949" s="2" t="s">
        <v>723</v>
      </c>
      <c r="K1949" s="2" t="s">
        <v>495</v>
      </c>
      <c r="L1949" s="13" t="s">
        <v>496</v>
      </c>
      <c r="M1949" s="2" t="s">
        <v>26</v>
      </c>
      <c r="N1949" s="11" t="s">
        <v>576</v>
      </c>
      <c r="O1949" s="12" t="s">
        <v>53</v>
      </c>
      <c r="P1949" s="5" t="str">
        <f>IFERROR(__xludf.DUMMYFUNCTION("TEXTJOIN("" | "",TRUE,IF(OR(D1949="""",E1949="""",I1949="""",J1949="""",H1949=""""),""ফাঁকা ঘর"",""""),IF(AND(C1949&lt;&gt;"""",D1949&lt;&gt;"""",C1949=D1949),""gloss=figurative"",""""),IF(LEN(D1949)&lt;15,""figurative ছোট"",""""),IF(AND(I1949=""Positive"",REGEXMATCH(H1"&amp;"949,""মূর্খ|ভণ্ড|প্রতার|অলস|লোভ|স্বার্থ|অক্ষম|অযোগ্য|বোকা|কৃপণ|হিংস"")),""valence-target অমিল"",""""),IF(COUNTIF($B:$B,B1949)&gt;1,""ডুপ্লিকেট"",""""))"),"figurative ছোট")</f>
        <v>figurative ছোট</v>
      </c>
      <c r="Q1949" s="5" t="str">
        <f t="shared" si="1"/>
        <v>১ আগে দেখো</v>
      </c>
    </row>
    <row r="1950">
      <c r="A1950" s="4">
        <v>7638.0</v>
      </c>
      <c r="B1950" s="2" t="s">
        <v>7630</v>
      </c>
      <c r="C1950" s="2" t="s">
        <v>7631</v>
      </c>
      <c r="D1950" s="2" t="s">
        <v>723</v>
      </c>
      <c r="E1950" s="2" t="s">
        <v>7632</v>
      </c>
      <c r="F1950" s="2" t="b">
        <v>1</v>
      </c>
      <c r="G1950" s="2" t="b">
        <v>0</v>
      </c>
      <c r="H1950" s="2" t="s">
        <v>37</v>
      </c>
      <c r="I1950" s="2" t="s">
        <v>22</v>
      </c>
      <c r="J1950" s="2" t="s">
        <v>723</v>
      </c>
      <c r="K1950" s="2" t="s">
        <v>495</v>
      </c>
      <c r="L1950" s="13" t="s">
        <v>496</v>
      </c>
      <c r="M1950" s="2" t="s">
        <v>26</v>
      </c>
      <c r="N1950" s="11" t="s">
        <v>576</v>
      </c>
      <c r="O1950" s="12" t="s">
        <v>53</v>
      </c>
      <c r="P1950" s="5" t="str">
        <f>IFERROR(__xludf.DUMMYFUNCTION("TEXTJOIN("" | "",TRUE,IF(OR(D1950="""",E1950="""",I1950="""",J1950="""",H1950=""""),""ফাঁকা ঘর"",""""),IF(AND(C1950&lt;&gt;"""",D1950&lt;&gt;"""",C1950=D1950),""gloss=figurative"",""""),IF(LEN(D1950)&lt;15,""figurative ছোট"",""""),IF(AND(I1950=""Positive"",REGEXMATCH(H1"&amp;"950,""মূর্খ|ভণ্ড|প্রতার|অলস|লোভ|স্বার্থ|অক্ষম|অযোগ্য|বোকা|কৃপণ|হিংস"")),""valence-target অমিল"",""""),IF(COUNTIF($B:$B,B1950)&gt;1,""ডুপ্লিকেট"",""""))"),"figurative ছোট")</f>
        <v>figurative ছোট</v>
      </c>
      <c r="Q1950" s="5" t="str">
        <f t="shared" si="1"/>
        <v>১ আগে দেখো</v>
      </c>
    </row>
    <row r="1951">
      <c r="A1951" s="4">
        <v>7639.0</v>
      </c>
      <c r="B1951" s="2" t="s">
        <v>7633</v>
      </c>
      <c r="C1951" s="2" t="s">
        <v>7634</v>
      </c>
      <c r="D1951" s="2" t="s">
        <v>7635</v>
      </c>
      <c r="E1951" s="2" t="s">
        <v>7636</v>
      </c>
      <c r="F1951" s="2" t="b">
        <v>1</v>
      </c>
      <c r="G1951" s="2" t="b">
        <v>0</v>
      </c>
      <c r="H1951" s="2" t="s">
        <v>37</v>
      </c>
      <c r="I1951" s="2" t="s">
        <v>22</v>
      </c>
      <c r="J1951" s="2" t="s">
        <v>1443</v>
      </c>
      <c r="K1951" s="2" t="s">
        <v>495</v>
      </c>
      <c r="L1951" s="13" t="s">
        <v>496</v>
      </c>
      <c r="M1951" s="2" t="s">
        <v>26</v>
      </c>
      <c r="N1951" s="11" t="s">
        <v>576</v>
      </c>
      <c r="O1951" s="12" t="s">
        <v>53</v>
      </c>
      <c r="P1951" s="5" t="str">
        <f>IFERROR(__xludf.DUMMYFUNCTION("TEXTJOIN("" | "",TRUE,IF(OR(D1951="""",E1951="""",I1951="""",J1951="""",H1951=""""),""ফাঁকা ঘর"",""""),IF(AND(C1951&lt;&gt;"""",D1951&lt;&gt;"""",C1951=D1951),""gloss=figurative"",""""),IF(LEN(D1951)&lt;15,""figurative ছোট"",""""),IF(AND(I1951=""Positive"",REGEXMATCH(H1"&amp;"951,""মূর্খ|ভণ্ড|প্রতার|অলস|লোভ|স্বার্থ|অক্ষম|অযোগ্য|বোকা|কৃপণ|হিংস"")),""valence-target অমিল"",""""),IF(COUNTIF($B:$B,B1951)&gt;1,""ডুপ্লিকেট"",""""))"),"figurative ছোট")</f>
        <v>figurative ছোট</v>
      </c>
      <c r="Q1951" s="5" t="str">
        <f t="shared" si="1"/>
        <v>১ আগে দেখো</v>
      </c>
    </row>
    <row r="1952">
      <c r="A1952" s="4">
        <v>7640.0</v>
      </c>
      <c r="B1952" s="2" t="s">
        <v>7637</v>
      </c>
      <c r="C1952" s="2" t="s">
        <v>7638</v>
      </c>
      <c r="D1952" s="2" t="s">
        <v>3364</v>
      </c>
      <c r="E1952" s="2" t="s">
        <v>7639</v>
      </c>
      <c r="F1952" s="2" t="b">
        <v>1</v>
      </c>
      <c r="G1952" s="2" t="b">
        <v>0</v>
      </c>
      <c r="H1952" s="2" t="s">
        <v>37</v>
      </c>
      <c r="I1952" s="2" t="s">
        <v>49</v>
      </c>
      <c r="J1952" s="2" t="s">
        <v>3364</v>
      </c>
      <c r="K1952" s="2" t="s">
        <v>495</v>
      </c>
      <c r="L1952" s="13" t="s">
        <v>496</v>
      </c>
      <c r="M1952" s="2" t="s">
        <v>26</v>
      </c>
      <c r="N1952" s="11" t="s">
        <v>576</v>
      </c>
      <c r="O1952" s="12" t="s">
        <v>53</v>
      </c>
      <c r="P1952" s="5" t="str">
        <f>IFERROR(__xludf.DUMMYFUNCTION("TEXTJOIN("" | "",TRUE,IF(OR(D1952="""",E1952="""",I1952="""",J1952="""",H1952=""""),""ফাঁকা ঘর"",""""),IF(AND(C1952&lt;&gt;"""",D1952&lt;&gt;"""",C1952=D1952),""gloss=figurative"",""""),IF(LEN(D1952)&lt;15,""figurative ছোট"",""""),IF(AND(I1952=""Positive"",REGEXMATCH(H1"&amp;"952,""মূর্খ|ভণ্ড|প্রতার|অলস|লোভ|স্বার্থ|অক্ষম|অযোগ্য|বোকা|কৃপণ|হিংস"")),""valence-target অমিল"",""""),IF(COUNTIF($B:$B,B1952)&gt;1,""ডুপ্লিকেট"",""""))"),"figurative ছোট")</f>
        <v>figurative ছোট</v>
      </c>
      <c r="Q1952" s="5" t="str">
        <f t="shared" si="1"/>
        <v>১ আগে দেখো</v>
      </c>
    </row>
    <row r="1953">
      <c r="A1953" s="4">
        <v>7641.0</v>
      </c>
      <c r="B1953" s="2" t="s">
        <v>7640</v>
      </c>
      <c r="C1953" s="2" t="s">
        <v>7641</v>
      </c>
      <c r="D1953" s="2" t="s">
        <v>964</v>
      </c>
      <c r="E1953" s="2" t="s">
        <v>5053</v>
      </c>
      <c r="F1953" s="2" t="b">
        <v>1</v>
      </c>
      <c r="G1953" s="2" t="b">
        <v>1</v>
      </c>
      <c r="H1953" s="2" t="s">
        <v>5054</v>
      </c>
      <c r="I1953" s="2" t="s">
        <v>22</v>
      </c>
      <c r="J1953" s="2" t="s">
        <v>964</v>
      </c>
      <c r="K1953" s="2" t="s">
        <v>495</v>
      </c>
      <c r="L1953" s="13" t="s">
        <v>496</v>
      </c>
      <c r="M1953" s="2" t="s">
        <v>26</v>
      </c>
      <c r="N1953" s="11" t="s">
        <v>576</v>
      </c>
      <c r="O1953" s="12" t="s">
        <v>53</v>
      </c>
      <c r="P1953" s="5" t="str">
        <f>IFERROR(__xludf.DUMMYFUNCTION("TEXTJOIN("" | "",TRUE,IF(OR(D1953="""",E1953="""",I1953="""",J1953="""",H1953=""""),""ফাঁকা ঘর"",""""),IF(AND(C1953&lt;&gt;"""",D1953&lt;&gt;"""",C1953=D1953),""gloss=figurative"",""""),IF(LEN(D1953)&lt;15,""figurative ছোট"",""""),IF(AND(I1953=""Positive"",REGEXMATCH(H1"&amp;"953,""মূর্খ|ভণ্ড|প্রতার|অলস|লোভ|স্বার্থ|অক্ষম|অযোগ্য|বোকা|কৃপণ|হিংস"")),""valence-target অমিল"",""""),IF(COUNTIF($B:$B,B1953)&gt;1,""ডুপ্লিকেট"",""""))"),"figurative ছোট")</f>
        <v>figurative ছোট</v>
      </c>
      <c r="Q1953" s="5" t="str">
        <f t="shared" si="1"/>
        <v>১ আগে দেখো</v>
      </c>
    </row>
    <row r="1954">
      <c r="A1954" s="4">
        <v>7642.0</v>
      </c>
      <c r="B1954" s="2" t="s">
        <v>7642</v>
      </c>
      <c r="C1954" s="2" t="s">
        <v>7643</v>
      </c>
      <c r="D1954" s="2" t="s">
        <v>7644</v>
      </c>
      <c r="E1954" s="2" t="s">
        <v>7645</v>
      </c>
      <c r="F1954" s="2" t="b">
        <v>1</v>
      </c>
      <c r="G1954" s="2" t="b">
        <v>1</v>
      </c>
      <c r="H1954" s="2" t="s">
        <v>1106</v>
      </c>
      <c r="I1954" s="2" t="s">
        <v>49</v>
      </c>
      <c r="J1954" s="2" t="s">
        <v>1803</v>
      </c>
      <c r="K1954" s="2" t="s">
        <v>495</v>
      </c>
      <c r="L1954" s="13" t="s">
        <v>496</v>
      </c>
      <c r="M1954" s="2" t="s">
        <v>26</v>
      </c>
      <c r="N1954" s="11" t="s">
        <v>576</v>
      </c>
      <c r="O1954" s="12" t="s">
        <v>53</v>
      </c>
      <c r="P1954" s="5" t="str">
        <f>IFERROR(__xludf.DUMMYFUNCTION("TEXTJOIN("" | "",TRUE,IF(OR(D1954="""",E1954="""",I1954="""",J1954="""",H1954=""""),""ফাঁকা ঘর"",""""),IF(AND(C1954&lt;&gt;"""",D1954&lt;&gt;"""",C1954=D1954),""gloss=figurative"",""""),IF(LEN(D1954)&lt;15,""figurative ছোট"",""""),IF(AND(I1954=""Positive"",REGEXMATCH(H1"&amp;"954,""মূর্খ|ভণ্ড|প্রতার|অলস|লোভ|স্বার্থ|অক্ষম|অযোগ্য|বোকা|কৃপণ|হিংস"")),""valence-target অমিল"",""""),IF(COUNTIF($B:$B,B1954)&gt;1,""ডুপ্লিকেট"",""""))"),"figurative ছোট")</f>
        <v>figurative ছোট</v>
      </c>
      <c r="Q1954" s="5" t="str">
        <f t="shared" si="1"/>
        <v>১ আগে দেখো</v>
      </c>
    </row>
    <row r="1955">
      <c r="A1955" s="4">
        <v>7643.0</v>
      </c>
      <c r="B1955" s="2" t="s">
        <v>7646</v>
      </c>
      <c r="C1955" s="2" t="s">
        <v>7647</v>
      </c>
      <c r="D1955" s="2" t="s">
        <v>3364</v>
      </c>
      <c r="E1955" s="2" t="s">
        <v>7648</v>
      </c>
      <c r="F1955" s="2" t="b">
        <v>1</v>
      </c>
      <c r="G1955" s="2" t="b">
        <v>0</v>
      </c>
      <c r="H1955" s="2" t="s">
        <v>37</v>
      </c>
      <c r="I1955" s="2" t="s">
        <v>49</v>
      </c>
      <c r="J1955" s="2" t="s">
        <v>3364</v>
      </c>
      <c r="K1955" s="2" t="s">
        <v>495</v>
      </c>
      <c r="L1955" s="13" t="s">
        <v>496</v>
      </c>
      <c r="M1955" s="2" t="s">
        <v>26</v>
      </c>
      <c r="N1955" s="11" t="s">
        <v>576</v>
      </c>
      <c r="O1955" s="12" t="s">
        <v>53</v>
      </c>
      <c r="P1955" s="5" t="str">
        <f>IFERROR(__xludf.DUMMYFUNCTION("TEXTJOIN("" | "",TRUE,IF(OR(D1955="""",E1955="""",I1955="""",J1955="""",H1955=""""),""ফাঁকা ঘর"",""""),IF(AND(C1955&lt;&gt;"""",D1955&lt;&gt;"""",C1955=D1955),""gloss=figurative"",""""),IF(LEN(D1955)&lt;15,""figurative ছোট"",""""),IF(AND(I1955=""Positive"",REGEXMATCH(H1"&amp;"955,""মূর্খ|ভণ্ড|প্রতার|অলস|লোভ|স্বার্থ|অক্ষম|অযোগ্য|বোকা|কৃপণ|হিংস"")),""valence-target অমিল"",""""),IF(COUNTIF($B:$B,B1955)&gt;1,""ডুপ্লিকেট"",""""))"),"figurative ছোট")</f>
        <v>figurative ছোট</v>
      </c>
      <c r="Q1955" s="5" t="str">
        <f t="shared" si="1"/>
        <v>১ আগে দেখো</v>
      </c>
    </row>
    <row r="1956">
      <c r="A1956" s="4">
        <v>7644.0</v>
      </c>
      <c r="B1956" s="2" t="s">
        <v>7649</v>
      </c>
      <c r="C1956" s="2" t="s">
        <v>7650</v>
      </c>
      <c r="D1956" s="2" t="s">
        <v>7651</v>
      </c>
      <c r="E1956" s="2" t="s">
        <v>7652</v>
      </c>
      <c r="F1956" s="2" t="b">
        <v>1</v>
      </c>
      <c r="G1956" s="2" t="b">
        <v>0</v>
      </c>
      <c r="H1956" s="2" t="s">
        <v>37</v>
      </c>
      <c r="I1956" s="2" t="s">
        <v>49</v>
      </c>
      <c r="J1956" s="2" t="s">
        <v>1060</v>
      </c>
      <c r="K1956" s="2" t="s">
        <v>495</v>
      </c>
      <c r="L1956" s="13" t="s">
        <v>496</v>
      </c>
      <c r="M1956" s="2" t="s">
        <v>26</v>
      </c>
      <c r="N1956" s="11" t="s">
        <v>576</v>
      </c>
      <c r="O1956" s="12" t="s">
        <v>53</v>
      </c>
      <c r="P1956" s="5" t="str">
        <f>IFERROR(__xludf.DUMMYFUNCTION("TEXTJOIN("" | "",TRUE,IF(OR(D1956="""",E1956="""",I1956="""",J1956="""",H1956=""""),""ফাঁকা ঘর"",""""),IF(AND(C1956&lt;&gt;"""",D1956&lt;&gt;"""",C1956=D1956),""gloss=figurative"",""""),IF(LEN(D1956)&lt;15,""figurative ছোট"",""""),IF(AND(I1956=""Positive"",REGEXMATCH(H1"&amp;"956,""মূর্খ|ভণ্ড|প্রতার|অলস|লোভ|স্বার্থ|অক্ষম|অযোগ্য|বোকা|কৃপণ|হিংস"")),""valence-target অমিল"",""""),IF(COUNTIF($B:$B,B1956)&gt;1,""ডুপ্লিকেট"",""""))"),"figurative ছোট")</f>
        <v>figurative ছোট</v>
      </c>
      <c r="Q1956" s="5" t="str">
        <f t="shared" si="1"/>
        <v>১ আগে দেখো</v>
      </c>
    </row>
    <row r="1957">
      <c r="A1957" s="4">
        <v>7645.0</v>
      </c>
      <c r="B1957" s="2" t="s">
        <v>7653</v>
      </c>
      <c r="C1957" s="2" t="s">
        <v>7654</v>
      </c>
      <c r="D1957" s="2" t="s">
        <v>5048</v>
      </c>
      <c r="E1957" s="2" t="s">
        <v>7655</v>
      </c>
      <c r="F1957" s="2" t="b">
        <v>1</v>
      </c>
      <c r="G1957" s="2" t="b">
        <v>0</v>
      </c>
      <c r="H1957" s="2" t="s">
        <v>37</v>
      </c>
      <c r="I1957" s="2" t="s">
        <v>22</v>
      </c>
      <c r="J1957" s="2" t="s">
        <v>820</v>
      </c>
      <c r="K1957" s="2" t="s">
        <v>495</v>
      </c>
      <c r="L1957" s="13" t="s">
        <v>496</v>
      </c>
      <c r="M1957" s="2" t="s">
        <v>26</v>
      </c>
      <c r="N1957" s="11" t="s">
        <v>576</v>
      </c>
      <c r="O1957" s="12" t="s">
        <v>53</v>
      </c>
      <c r="P1957" s="5" t="str">
        <f>IFERROR(__xludf.DUMMYFUNCTION("TEXTJOIN("" | "",TRUE,IF(OR(D1957="""",E1957="""",I1957="""",J1957="""",H1957=""""),""ফাঁকা ঘর"",""""),IF(AND(C1957&lt;&gt;"""",D1957&lt;&gt;"""",C1957=D1957),""gloss=figurative"",""""),IF(LEN(D1957)&lt;15,""figurative ছোট"",""""),IF(AND(I1957=""Positive"",REGEXMATCH(H1"&amp;"957,""মূর্খ|ভণ্ড|প্রতার|অলস|লোভ|স্বার্থ|অক্ষম|অযোগ্য|বোকা|কৃপণ|হিংস"")),""valence-target অমিল"",""""),IF(COUNTIF($B:$B,B1957)&gt;1,""ডুপ্লিকেট"",""""))"),"figurative ছোট")</f>
        <v>figurative ছোট</v>
      </c>
      <c r="Q1957" s="5" t="str">
        <f t="shared" si="1"/>
        <v>১ আগে দেখো</v>
      </c>
    </row>
    <row r="1958">
      <c r="A1958" s="4">
        <v>7646.0</v>
      </c>
      <c r="B1958" s="2" t="s">
        <v>7656</v>
      </c>
      <c r="C1958" s="2" t="s">
        <v>7657</v>
      </c>
      <c r="D1958" s="2" t="s">
        <v>891</v>
      </c>
      <c r="E1958" s="2" t="s">
        <v>7658</v>
      </c>
      <c r="F1958" s="2" t="b">
        <v>1</v>
      </c>
      <c r="G1958" s="2" t="b">
        <v>0</v>
      </c>
      <c r="H1958" s="2" t="s">
        <v>37</v>
      </c>
      <c r="I1958" s="2" t="s">
        <v>22</v>
      </c>
      <c r="J1958" s="2" t="s">
        <v>7659</v>
      </c>
      <c r="K1958" s="2" t="s">
        <v>495</v>
      </c>
      <c r="L1958" s="13" t="s">
        <v>496</v>
      </c>
      <c r="M1958" s="2" t="s">
        <v>26</v>
      </c>
      <c r="N1958" s="11" t="s">
        <v>576</v>
      </c>
      <c r="O1958" s="12" t="s">
        <v>53</v>
      </c>
      <c r="P1958" s="5" t="str">
        <f>IFERROR(__xludf.DUMMYFUNCTION("TEXTJOIN("" | "",TRUE,IF(OR(D1958="""",E1958="""",I1958="""",J1958="""",H1958=""""),""ফাঁকা ঘর"",""""),IF(AND(C1958&lt;&gt;"""",D1958&lt;&gt;"""",C1958=D1958),""gloss=figurative"",""""),IF(LEN(D1958)&lt;15,""figurative ছোট"",""""),IF(AND(I1958=""Positive"",REGEXMATCH(H1"&amp;"958,""মূর্খ|ভণ্ড|প্রতার|অলস|লোভ|স্বার্থ|অক্ষম|অযোগ্য|বোকা|কৃপণ|হিংস"")),""valence-target অমিল"",""""),IF(COUNTIF($B:$B,B1958)&gt;1,""ডুপ্লিকেট"",""""))"),"figurative ছোট")</f>
        <v>figurative ছোট</v>
      </c>
      <c r="Q1958" s="5" t="str">
        <f t="shared" si="1"/>
        <v>১ আগে দেখো</v>
      </c>
    </row>
    <row r="1959">
      <c r="A1959" s="4">
        <v>7647.0</v>
      </c>
      <c r="B1959" s="2" t="s">
        <v>7660</v>
      </c>
      <c r="C1959" s="2" t="s">
        <v>7661</v>
      </c>
      <c r="D1959" s="2" t="s">
        <v>7662</v>
      </c>
      <c r="E1959" s="2" t="s">
        <v>7663</v>
      </c>
      <c r="F1959" s="2" t="b">
        <v>1</v>
      </c>
      <c r="G1959" s="2" t="b">
        <v>1</v>
      </c>
      <c r="H1959" s="2" t="s">
        <v>1106</v>
      </c>
      <c r="I1959" s="2" t="s">
        <v>22</v>
      </c>
      <c r="J1959" s="2" t="s">
        <v>1175</v>
      </c>
      <c r="K1959" s="2" t="s">
        <v>495</v>
      </c>
      <c r="L1959" s="13" t="s">
        <v>496</v>
      </c>
      <c r="M1959" s="2" t="s">
        <v>26</v>
      </c>
      <c r="N1959" s="11" t="s">
        <v>576</v>
      </c>
      <c r="O1959" s="12" t="s">
        <v>53</v>
      </c>
      <c r="P1959" s="5" t="str">
        <f>IFERROR(__xludf.DUMMYFUNCTION("TEXTJOIN("" | "",TRUE,IF(OR(D1959="""",E1959="""",I1959="""",J1959="""",H1959=""""),""ফাঁকা ঘর"",""""),IF(AND(C1959&lt;&gt;"""",D1959&lt;&gt;"""",C1959=D1959),""gloss=figurative"",""""),IF(LEN(D1959)&lt;15,""figurative ছোট"",""""),IF(AND(I1959=""Positive"",REGEXMATCH(H1"&amp;"959,""মূর্খ|ভণ্ড|প্রতার|অলস|লোভ|স্বার্থ|অক্ষম|অযোগ্য|বোকা|কৃপণ|হিংস"")),""valence-target অমিল"",""""),IF(COUNTIF($B:$B,B1959)&gt;1,""ডুপ্লিকেট"",""""))"),"figurative ছোট")</f>
        <v>figurative ছোট</v>
      </c>
      <c r="Q1959" s="5" t="str">
        <f t="shared" si="1"/>
        <v>১ আগে দেখো</v>
      </c>
    </row>
    <row r="1960">
      <c r="A1960" s="4">
        <v>7648.0</v>
      </c>
      <c r="B1960" s="2" t="s">
        <v>7664</v>
      </c>
      <c r="C1960" s="2" t="s">
        <v>7665</v>
      </c>
      <c r="D1960" s="2" t="s">
        <v>7666</v>
      </c>
      <c r="E1960" s="2" t="s">
        <v>7667</v>
      </c>
      <c r="F1960" s="2" t="b">
        <v>1</v>
      </c>
      <c r="G1960" s="2" t="b">
        <v>0</v>
      </c>
      <c r="H1960" s="2" t="s">
        <v>37</v>
      </c>
      <c r="I1960" s="2" t="s">
        <v>22</v>
      </c>
      <c r="J1960" s="2" t="s">
        <v>2675</v>
      </c>
      <c r="K1960" s="2" t="s">
        <v>495</v>
      </c>
      <c r="L1960" s="13" t="s">
        <v>496</v>
      </c>
      <c r="M1960" s="2" t="s">
        <v>26</v>
      </c>
      <c r="N1960" s="11" t="s">
        <v>576</v>
      </c>
      <c r="O1960" s="12" t="s">
        <v>53</v>
      </c>
      <c r="P1960" s="5" t="str">
        <f>IFERROR(__xludf.DUMMYFUNCTION("TEXTJOIN("" | "",TRUE,IF(OR(D1960="""",E1960="""",I1960="""",J1960="""",H1960=""""),""ফাঁকা ঘর"",""""),IF(AND(C1960&lt;&gt;"""",D1960&lt;&gt;"""",C1960=D1960),""gloss=figurative"",""""),IF(LEN(D1960)&lt;15,""figurative ছোট"",""""),IF(AND(I1960=""Positive"",REGEXMATCH(H1"&amp;"960,""মূর্খ|ভণ্ড|প্রতার|অলস|লোভ|স্বার্থ|অক্ষম|অযোগ্য|বোকা|কৃপণ|হিংস"")),""valence-target অমিল"",""""),IF(COUNTIF($B:$B,B1960)&gt;1,""ডুপ্লিকেট"",""""))"),"figurative ছোট")</f>
        <v>figurative ছোট</v>
      </c>
      <c r="Q1960" s="5" t="str">
        <f t="shared" si="1"/>
        <v>১ আগে দেখো</v>
      </c>
    </row>
    <row r="1961">
      <c r="A1961" s="4">
        <v>7651.0</v>
      </c>
      <c r="B1961" s="2" t="s">
        <v>7668</v>
      </c>
      <c r="C1961" s="2" t="s">
        <v>7669</v>
      </c>
      <c r="D1961" s="2" t="s">
        <v>739</v>
      </c>
      <c r="E1961" s="2" t="s">
        <v>7670</v>
      </c>
      <c r="F1961" s="2" t="b">
        <v>1</v>
      </c>
      <c r="G1961" s="2" t="b">
        <v>0</v>
      </c>
      <c r="H1961" s="2" t="s">
        <v>37</v>
      </c>
      <c r="I1961" s="2" t="s">
        <v>49</v>
      </c>
      <c r="J1961" s="2" t="s">
        <v>739</v>
      </c>
      <c r="K1961" s="2" t="s">
        <v>495</v>
      </c>
      <c r="L1961" s="13" t="s">
        <v>496</v>
      </c>
      <c r="M1961" s="2" t="s">
        <v>26</v>
      </c>
      <c r="N1961" s="11" t="s">
        <v>576</v>
      </c>
      <c r="O1961" s="12" t="s">
        <v>53</v>
      </c>
      <c r="P1961" s="5" t="str">
        <f>IFERROR(__xludf.DUMMYFUNCTION("TEXTJOIN("" | "",TRUE,IF(OR(D1961="""",E1961="""",I1961="""",J1961="""",H1961=""""),""ফাঁকা ঘর"",""""),IF(AND(C1961&lt;&gt;"""",D1961&lt;&gt;"""",C1961=D1961),""gloss=figurative"",""""),IF(LEN(D1961)&lt;15,""figurative ছোট"",""""),IF(AND(I1961=""Positive"",REGEXMATCH(H1"&amp;"961,""মূর্খ|ভণ্ড|প্রতার|অলস|লোভ|স্বার্থ|অক্ষম|অযোগ্য|বোকা|কৃপণ|হিংস"")),""valence-target অমিল"",""""),IF(COUNTIF($B:$B,B1961)&gt;1,""ডুপ্লিকেট"",""""))"),"figurative ছোট")</f>
        <v>figurative ছোট</v>
      </c>
      <c r="Q1961" s="5" t="str">
        <f t="shared" si="1"/>
        <v>১ আগে দেখো</v>
      </c>
    </row>
    <row r="1962">
      <c r="A1962" s="4">
        <v>7652.0</v>
      </c>
      <c r="B1962" s="2" t="s">
        <v>7671</v>
      </c>
      <c r="C1962" s="2" t="s">
        <v>7672</v>
      </c>
      <c r="D1962" s="2" t="s">
        <v>7673</v>
      </c>
      <c r="E1962" s="2" t="s">
        <v>7674</v>
      </c>
      <c r="F1962" s="2" t="b">
        <v>1</v>
      </c>
      <c r="G1962" s="2" t="b">
        <v>0</v>
      </c>
      <c r="H1962" s="2" t="s">
        <v>37</v>
      </c>
      <c r="I1962" s="2" t="s">
        <v>49</v>
      </c>
      <c r="J1962" s="2" t="s">
        <v>1111</v>
      </c>
      <c r="K1962" s="2" t="s">
        <v>495</v>
      </c>
      <c r="L1962" s="13" t="s">
        <v>496</v>
      </c>
      <c r="M1962" s="2" t="s">
        <v>26</v>
      </c>
      <c r="N1962" s="11" t="s">
        <v>576</v>
      </c>
      <c r="O1962" s="12" t="s">
        <v>53</v>
      </c>
      <c r="P1962" s="5" t="str">
        <f>IFERROR(__xludf.DUMMYFUNCTION("TEXTJOIN("" | "",TRUE,IF(OR(D1962="""",E1962="""",I1962="""",J1962="""",H1962=""""),""ফাঁকা ঘর"",""""),IF(AND(C1962&lt;&gt;"""",D1962&lt;&gt;"""",C1962=D1962),""gloss=figurative"",""""),IF(LEN(D1962)&lt;15,""figurative ছোট"",""""),IF(AND(I1962=""Positive"",REGEXMATCH(H1"&amp;"962,""মূর্খ|ভণ্ড|প্রতার|অলস|লোভ|স্বার্থ|অক্ষম|অযোগ্য|বোকা|কৃপণ|হিংস"")),""valence-target অমিল"",""""),IF(COUNTIF($B:$B,B1962)&gt;1,""ডুপ্লিকেট"",""""))"),"figurative ছোট")</f>
        <v>figurative ছোট</v>
      </c>
      <c r="Q1962" s="5" t="str">
        <f t="shared" si="1"/>
        <v>১ আগে দেখো</v>
      </c>
    </row>
    <row r="1963">
      <c r="A1963" s="4">
        <v>7653.0</v>
      </c>
      <c r="B1963" s="2" t="s">
        <v>7675</v>
      </c>
      <c r="C1963" s="2" t="s">
        <v>7676</v>
      </c>
      <c r="D1963" s="2" t="s">
        <v>7677</v>
      </c>
      <c r="E1963" s="2" t="s">
        <v>7678</v>
      </c>
      <c r="F1963" s="2" t="b">
        <v>1</v>
      </c>
      <c r="G1963" s="2" t="b">
        <v>0</v>
      </c>
      <c r="H1963" s="2" t="s">
        <v>3407</v>
      </c>
      <c r="I1963" s="2" t="s">
        <v>22</v>
      </c>
      <c r="J1963" s="2" t="s">
        <v>1630</v>
      </c>
      <c r="K1963" s="2" t="s">
        <v>495</v>
      </c>
      <c r="L1963" s="13" t="s">
        <v>496</v>
      </c>
      <c r="M1963" s="2" t="s">
        <v>26</v>
      </c>
      <c r="N1963" s="11" t="s">
        <v>576</v>
      </c>
      <c r="O1963" s="12" t="s">
        <v>53</v>
      </c>
      <c r="P1963" s="5" t="str">
        <f>IFERROR(__xludf.DUMMYFUNCTION("TEXTJOIN("" | "",TRUE,IF(OR(D1963="""",E1963="""",I1963="""",J1963="""",H1963=""""),""ফাঁকা ঘর"",""""),IF(AND(C1963&lt;&gt;"""",D1963&lt;&gt;"""",C1963=D1963),""gloss=figurative"",""""),IF(LEN(D1963)&lt;15,""figurative ছোট"",""""),IF(AND(I1963=""Positive"",REGEXMATCH(H1"&amp;"963,""মূর্খ|ভণ্ড|প্রতার|অলস|লোভ|স্বার্থ|অক্ষম|অযোগ্য|বোকা|কৃপণ|হিংস"")),""valence-target অমিল"",""""),IF(COUNTIF($B:$B,B1963)&gt;1,""ডুপ্লিকেট"",""""))"),"figurative ছোট")</f>
        <v>figurative ছোট</v>
      </c>
      <c r="Q1963" s="5" t="str">
        <f t="shared" si="1"/>
        <v>১ আগে দেখো</v>
      </c>
    </row>
    <row r="1964">
      <c r="A1964" s="4">
        <v>7654.0</v>
      </c>
      <c r="B1964" s="2" t="s">
        <v>7679</v>
      </c>
      <c r="C1964" s="2" t="s">
        <v>7680</v>
      </c>
      <c r="D1964" s="2" t="s">
        <v>7681</v>
      </c>
      <c r="E1964" s="2" t="s">
        <v>7682</v>
      </c>
      <c r="F1964" s="2" t="b">
        <v>1</v>
      </c>
      <c r="G1964" s="2" t="b">
        <v>0</v>
      </c>
      <c r="H1964" s="2" t="s">
        <v>3407</v>
      </c>
      <c r="I1964" s="2" t="s">
        <v>22</v>
      </c>
      <c r="J1964" s="2" t="s">
        <v>669</v>
      </c>
      <c r="K1964" s="2" t="s">
        <v>495</v>
      </c>
      <c r="L1964" s="13" t="s">
        <v>496</v>
      </c>
      <c r="M1964" s="2" t="s">
        <v>26</v>
      </c>
      <c r="N1964" s="11" t="s">
        <v>576</v>
      </c>
      <c r="O1964" s="12" t="s">
        <v>53</v>
      </c>
      <c r="P1964" s="5" t="str">
        <f>IFERROR(__xludf.DUMMYFUNCTION("TEXTJOIN("" | "",TRUE,IF(OR(D1964="""",E1964="""",I1964="""",J1964="""",H1964=""""),""ফাঁকা ঘর"",""""),IF(AND(C1964&lt;&gt;"""",D1964&lt;&gt;"""",C1964=D1964),""gloss=figurative"",""""),IF(LEN(D1964)&lt;15,""figurative ছোট"",""""),IF(AND(I1964=""Positive"",REGEXMATCH(H1"&amp;"964,""মূর্খ|ভণ্ড|প্রতার|অলস|লোভ|স্বার্থ|অক্ষম|অযোগ্য|বোকা|কৃপণ|হিংস"")),""valence-target অমিল"",""""),IF(COUNTIF($B:$B,B1964)&gt;1,""ডুপ্লিকেট"",""""))"),"figurative ছোট")</f>
        <v>figurative ছোট</v>
      </c>
      <c r="Q1964" s="5" t="str">
        <f t="shared" si="1"/>
        <v>১ আগে দেখো</v>
      </c>
    </row>
    <row r="1965">
      <c r="A1965" s="4">
        <v>7655.0</v>
      </c>
      <c r="B1965" s="2" t="s">
        <v>7683</v>
      </c>
      <c r="C1965" s="2" t="s">
        <v>7684</v>
      </c>
      <c r="D1965" s="2" t="s">
        <v>1700</v>
      </c>
      <c r="E1965" s="2" t="s">
        <v>7685</v>
      </c>
      <c r="F1965" s="2" t="b">
        <v>1</v>
      </c>
      <c r="G1965" s="2" t="b">
        <v>0</v>
      </c>
      <c r="H1965" s="2" t="s">
        <v>37</v>
      </c>
      <c r="I1965" s="2" t="s">
        <v>22</v>
      </c>
      <c r="J1965" s="2" t="s">
        <v>1060</v>
      </c>
      <c r="K1965" s="2" t="s">
        <v>495</v>
      </c>
      <c r="L1965" s="13" t="s">
        <v>496</v>
      </c>
      <c r="M1965" s="2" t="s">
        <v>26</v>
      </c>
      <c r="N1965" s="11" t="s">
        <v>7686</v>
      </c>
      <c r="O1965" s="12" t="s">
        <v>53</v>
      </c>
      <c r="P1965" s="5" t="str">
        <f>IFERROR(__xludf.DUMMYFUNCTION("TEXTJOIN("" | "",TRUE,IF(OR(D1965="""",E1965="""",I1965="""",J1965="""",H1965=""""),""ফাঁকা ঘর"",""""),IF(AND(C1965&lt;&gt;"""",D1965&lt;&gt;"""",C1965=D1965),""gloss=figurative"",""""),IF(LEN(D1965)&lt;15,""figurative ছোট"",""""),IF(AND(I1965=""Positive"",REGEXMATCH(H1"&amp;"965,""মূর্খ|ভণ্ড|প্রতার|অলস|লোভ|স্বার্থ|অক্ষম|অযোগ্য|বোকা|কৃপণ|হিংস"")),""valence-target অমিল"",""""),IF(COUNTIF($B:$B,B1965)&gt;1,""ডুপ্লিকেট"",""""))"),"figurative ছোট")</f>
        <v>figurative ছোট</v>
      </c>
      <c r="Q1965" s="5" t="str">
        <f t="shared" si="1"/>
        <v>১ আগে দেখো</v>
      </c>
    </row>
    <row r="1966">
      <c r="A1966" s="4">
        <v>7656.0</v>
      </c>
      <c r="B1966" s="2" t="s">
        <v>7687</v>
      </c>
      <c r="C1966" s="2" t="s">
        <v>7688</v>
      </c>
      <c r="D1966" s="2" t="s">
        <v>1060</v>
      </c>
      <c r="E1966" s="2" t="s">
        <v>7689</v>
      </c>
      <c r="F1966" s="2" t="b">
        <v>1</v>
      </c>
      <c r="G1966" s="2" t="b">
        <v>0</v>
      </c>
      <c r="H1966" s="2" t="s">
        <v>37</v>
      </c>
      <c r="I1966" s="2" t="s">
        <v>22</v>
      </c>
      <c r="J1966" s="2" t="s">
        <v>1060</v>
      </c>
      <c r="K1966" s="2" t="s">
        <v>495</v>
      </c>
      <c r="L1966" s="13" t="s">
        <v>496</v>
      </c>
      <c r="M1966" s="2" t="s">
        <v>26</v>
      </c>
      <c r="N1966" s="11" t="s">
        <v>7690</v>
      </c>
      <c r="O1966" s="12" t="s">
        <v>53</v>
      </c>
      <c r="P1966" s="5" t="str">
        <f>IFERROR(__xludf.DUMMYFUNCTION("TEXTJOIN("" | "",TRUE,IF(OR(D1966="""",E1966="""",I1966="""",J1966="""",H1966=""""),""ফাঁকা ঘর"",""""),IF(AND(C1966&lt;&gt;"""",D1966&lt;&gt;"""",C1966=D1966),""gloss=figurative"",""""),IF(LEN(D1966)&lt;15,""figurative ছোট"",""""),IF(AND(I1966=""Positive"",REGEXMATCH(H1"&amp;"966,""মূর্খ|ভণ্ড|প্রতার|অলস|লোভ|স্বার্থ|অক্ষম|অযোগ্য|বোকা|কৃপণ|হিংস"")),""valence-target অমিল"",""""),IF(COUNTIF($B:$B,B1966)&gt;1,""ডুপ্লিকেট"",""""))"),"figurative ছোট")</f>
        <v>figurative ছোট</v>
      </c>
      <c r="Q1966" s="5" t="str">
        <f t="shared" si="1"/>
        <v>১ আগে দেখো</v>
      </c>
    </row>
    <row r="1967">
      <c r="A1967" s="4">
        <v>7657.0</v>
      </c>
      <c r="B1967" s="2" t="s">
        <v>7691</v>
      </c>
      <c r="C1967" s="2" t="s">
        <v>7692</v>
      </c>
      <c r="D1967" s="2" t="s">
        <v>7693</v>
      </c>
      <c r="E1967" s="2" t="s">
        <v>7694</v>
      </c>
      <c r="F1967" s="2" t="b">
        <v>1</v>
      </c>
      <c r="G1967" s="2" t="b">
        <v>0</v>
      </c>
      <c r="H1967" s="2" t="s">
        <v>37</v>
      </c>
      <c r="I1967" s="2" t="s">
        <v>22</v>
      </c>
      <c r="J1967" s="2" t="s">
        <v>1895</v>
      </c>
      <c r="K1967" s="2" t="s">
        <v>495</v>
      </c>
      <c r="L1967" s="13" t="s">
        <v>496</v>
      </c>
      <c r="M1967" s="2" t="s">
        <v>26</v>
      </c>
      <c r="N1967" s="11" t="s">
        <v>576</v>
      </c>
      <c r="O1967" s="12" t="s">
        <v>53</v>
      </c>
      <c r="P1967" s="5" t="str">
        <f>IFERROR(__xludf.DUMMYFUNCTION("TEXTJOIN("" | "",TRUE,IF(OR(D1967="""",E1967="""",I1967="""",J1967="""",H1967=""""),""ফাঁকা ঘর"",""""),IF(AND(C1967&lt;&gt;"""",D1967&lt;&gt;"""",C1967=D1967),""gloss=figurative"",""""),IF(LEN(D1967)&lt;15,""figurative ছোট"",""""),IF(AND(I1967=""Positive"",REGEXMATCH(H1"&amp;"967,""মূর্খ|ভণ্ড|প্রতার|অলস|লোভ|স্বার্থ|অক্ষম|অযোগ্য|বোকা|কৃপণ|হিংস"")),""valence-target অমিল"",""""),IF(COUNTIF($B:$B,B1967)&gt;1,""ডুপ্লিকেট"",""""))"),"figurative ছোট")</f>
        <v>figurative ছোট</v>
      </c>
      <c r="Q1967" s="5" t="str">
        <f t="shared" si="1"/>
        <v>১ আগে দেখো</v>
      </c>
    </row>
    <row r="1968">
      <c r="A1968" s="4">
        <v>7658.0</v>
      </c>
      <c r="B1968" s="2" t="s">
        <v>7695</v>
      </c>
      <c r="C1968" s="2" t="s">
        <v>7695</v>
      </c>
      <c r="D1968" s="2" t="s">
        <v>7696</v>
      </c>
      <c r="E1968" s="2" t="s">
        <v>7697</v>
      </c>
      <c r="F1968" s="2" t="b">
        <v>1</v>
      </c>
      <c r="G1968" s="2" t="b">
        <v>0</v>
      </c>
      <c r="H1968" s="2" t="s">
        <v>37</v>
      </c>
      <c r="I1968" s="2" t="s">
        <v>32</v>
      </c>
      <c r="J1968" s="2" t="s">
        <v>669</v>
      </c>
      <c r="K1968" s="2" t="s">
        <v>495</v>
      </c>
      <c r="L1968" s="13" t="s">
        <v>496</v>
      </c>
      <c r="M1968" s="2" t="s">
        <v>26</v>
      </c>
      <c r="N1968" s="11" t="s">
        <v>576</v>
      </c>
      <c r="O1968" s="12" t="s">
        <v>53</v>
      </c>
      <c r="P1968" s="5" t="str">
        <f>IFERROR(__xludf.DUMMYFUNCTION("TEXTJOIN("" | "",TRUE,IF(OR(D1968="""",E1968="""",I1968="""",J1968="""",H1968=""""),""ফাঁকা ঘর"",""""),IF(AND(C1968&lt;&gt;"""",D1968&lt;&gt;"""",C1968=D1968),""gloss=figurative"",""""),IF(LEN(D1968)&lt;15,""figurative ছোট"",""""),IF(AND(I1968=""Positive"",REGEXMATCH(H1"&amp;"968,""মূর্খ|ভণ্ড|প্রতার|অলস|লোভ|স্বার্থ|অক্ষম|অযোগ্য|বোকা|কৃপণ|হিংস"")),""valence-target অমিল"",""""),IF(COUNTIF($B:$B,B1968)&gt;1,""ডুপ্লিকেট"",""""))"),"figurative ছোট")</f>
        <v>figurative ছোট</v>
      </c>
      <c r="Q1968" s="5" t="str">
        <f t="shared" si="1"/>
        <v>১ আগে দেখো</v>
      </c>
    </row>
    <row r="1969">
      <c r="A1969" s="4">
        <v>7659.0</v>
      </c>
      <c r="B1969" s="2" t="s">
        <v>7698</v>
      </c>
      <c r="C1969" s="2" t="s">
        <v>7699</v>
      </c>
      <c r="D1969" s="2" t="s">
        <v>7700</v>
      </c>
      <c r="E1969" s="2" t="s">
        <v>7701</v>
      </c>
      <c r="F1969" s="2" t="b">
        <v>1</v>
      </c>
      <c r="G1969" s="2" t="b">
        <v>0</v>
      </c>
      <c r="H1969" s="2" t="s">
        <v>37</v>
      </c>
      <c r="I1969" s="2" t="s">
        <v>22</v>
      </c>
      <c r="J1969" s="2" t="s">
        <v>2857</v>
      </c>
      <c r="K1969" s="2" t="s">
        <v>495</v>
      </c>
      <c r="L1969" s="13" t="s">
        <v>496</v>
      </c>
      <c r="M1969" s="2" t="s">
        <v>26</v>
      </c>
      <c r="N1969" s="11" t="s">
        <v>576</v>
      </c>
      <c r="O1969" s="12" t="s">
        <v>53</v>
      </c>
      <c r="P1969" s="5" t="str">
        <f>IFERROR(__xludf.DUMMYFUNCTION("TEXTJOIN("" | "",TRUE,IF(OR(D1969="""",E1969="""",I1969="""",J1969="""",H1969=""""),""ফাঁকা ঘর"",""""),IF(AND(C1969&lt;&gt;"""",D1969&lt;&gt;"""",C1969=D1969),""gloss=figurative"",""""),IF(LEN(D1969)&lt;15,""figurative ছোট"",""""),IF(AND(I1969=""Positive"",REGEXMATCH(H1"&amp;"969,""মূর্খ|ভণ্ড|প্রতার|অলস|লোভ|স্বার্থ|অক্ষম|অযোগ্য|বোকা|কৃপণ|হিংস"")),""valence-target অমিল"",""""),IF(COUNTIF($B:$B,B1969)&gt;1,""ডুপ্লিকেট"",""""))"),"figurative ছোট")</f>
        <v>figurative ছোট</v>
      </c>
      <c r="Q1969" s="5" t="str">
        <f t="shared" si="1"/>
        <v>১ আগে দেখো</v>
      </c>
    </row>
    <row r="1970">
      <c r="A1970" s="4">
        <v>7660.0</v>
      </c>
      <c r="B1970" s="2" t="s">
        <v>7702</v>
      </c>
      <c r="C1970" s="2" t="s">
        <v>7703</v>
      </c>
      <c r="D1970" s="2" t="s">
        <v>7704</v>
      </c>
      <c r="E1970" s="2" t="s">
        <v>7705</v>
      </c>
      <c r="F1970" s="2" t="b">
        <v>1</v>
      </c>
      <c r="G1970" s="2" t="b">
        <v>0</v>
      </c>
      <c r="H1970" s="2" t="s">
        <v>37</v>
      </c>
      <c r="I1970" s="2" t="s">
        <v>32</v>
      </c>
      <c r="J1970" s="2" t="s">
        <v>7420</v>
      </c>
      <c r="K1970" s="2" t="s">
        <v>495</v>
      </c>
      <c r="L1970" s="13" t="s">
        <v>496</v>
      </c>
      <c r="M1970" s="2" t="s">
        <v>26</v>
      </c>
      <c r="N1970" s="11" t="s">
        <v>7706</v>
      </c>
      <c r="O1970" s="12" t="s">
        <v>53</v>
      </c>
      <c r="P1970" s="5" t="str">
        <f>IFERROR(__xludf.DUMMYFUNCTION("TEXTJOIN("" | "",TRUE,IF(OR(D1970="""",E1970="""",I1970="""",J1970="""",H1970=""""),""ফাঁকা ঘর"",""""),IF(AND(C1970&lt;&gt;"""",D1970&lt;&gt;"""",C1970=D1970),""gloss=figurative"",""""),IF(LEN(D1970)&lt;15,""figurative ছোট"",""""),IF(AND(I1970=""Positive"",REGEXMATCH(H1"&amp;"970,""মূর্খ|ভণ্ড|প্রতার|অলস|লোভ|স্বার্থ|অক্ষম|অযোগ্য|বোকা|কৃপণ|হিংস"")),""valence-target অমিল"",""""),IF(COUNTIF($B:$B,B1970)&gt;1,""ডুপ্লিকেট"",""""))"),"figurative ছোট")</f>
        <v>figurative ছোট</v>
      </c>
      <c r="Q1970" s="5" t="str">
        <f t="shared" si="1"/>
        <v>১ আগে দেখো</v>
      </c>
    </row>
    <row r="1971">
      <c r="A1971" s="4">
        <v>7661.0</v>
      </c>
      <c r="B1971" s="2" t="s">
        <v>7707</v>
      </c>
      <c r="C1971" s="2" t="s">
        <v>7708</v>
      </c>
      <c r="D1971" s="2" t="s">
        <v>7709</v>
      </c>
      <c r="E1971" s="2" t="s">
        <v>7710</v>
      </c>
      <c r="F1971" s="2" t="b">
        <v>1</v>
      </c>
      <c r="G1971" s="2" t="b">
        <v>0</v>
      </c>
      <c r="H1971" s="2" t="s">
        <v>37</v>
      </c>
      <c r="I1971" s="2" t="s">
        <v>32</v>
      </c>
      <c r="J1971" s="2" t="s">
        <v>7420</v>
      </c>
      <c r="K1971" s="2" t="s">
        <v>495</v>
      </c>
      <c r="L1971" s="13" t="s">
        <v>496</v>
      </c>
      <c r="M1971" s="2" t="s">
        <v>26</v>
      </c>
      <c r="N1971" s="11" t="s">
        <v>7711</v>
      </c>
      <c r="O1971" s="12" t="s">
        <v>53</v>
      </c>
      <c r="P1971" s="5" t="str">
        <f>IFERROR(__xludf.DUMMYFUNCTION("TEXTJOIN("" | "",TRUE,IF(OR(D1971="""",E1971="""",I1971="""",J1971="""",H1971=""""),""ফাঁকা ঘর"",""""),IF(AND(C1971&lt;&gt;"""",D1971&lt;&gt;"""",C1971=D1971),""gloss=figurative"",""""),IF(LEN(D1971)&lt;15,""figurative ছোট"",""""),IF(AND(I1971=""Positive"",REGEXMATCH(H1"&amp;"971,""মূর্খ|ভণ্ড|প্রতার|অলস|লোভ|স্বার্থ|অক্ষম|অযোগ্য|বোকা|কৃপণ|হিংস"")),""valence-target অমিল"",""""),IF(COUNTIF($B:$B,B1971)&gt;1,""ডুপ্লিকেট"",""""))"),"figurative ছোট")</f>
        <v>figurative ছোট</v>
      </c>
      <c r="Q1971" s="5" t="str">
        <f t="shared" si="1"/>
        <v>১ আগে দেখো</v>
      </c>
    </row>
    <row r="1972">
      <c r="A1972" s="4">
        <v>7662.0</v>
      </c>
      <c r="B1972" s="2" t="s">
        <v>7712</v>
      </c>
      <c r="C1972" s="2" t="s">
        <v>7713</v>
      </c>
      <c r="D1972" s="2" t="s">
        <v>665</v>
      </c>
      <c r="E1972" s="2" t="s">
        <v>7714</v>
      </c>
      <c r="F1972" s="2" t="b">
        <v>1</v>
      </c>
      <c r="G1972" s="2" t="b">
        <v>0</v>
      </c>
      <c r="H1972" s="2" t="s">
        <v>37</v>
      </c>
      <c r="I1972" s="2" t="s">
        <v>22</v>
      </c>
      <c r="J1972" s="2" t="s">
        <v>665</v>
      </c>
      <c r="K1972" s="2" t="s">
        <v>495</v>
      </c>
      <c r="L1972" s="13" t="s">
        <v>496</v>
      </c>
      <c r="M1972" s="2" t="s">
        <v>26</v>
      </c>
      <c r="N1972" s="11" t="s">
        <v>576</v>
      </c>
      <c r="O1972" s="12" t="s">
        <v>53</v>
      </c>
      <c r="P1972" s="5" t="str">
        <f>IFERROR(__xludf.DUMMYFUNCTION("TEXTJOIN("" | "",TRUE,IF(OR(D1972="""",E1972="""",I1972="""",J1972="""",H1972=""""),""ফাঁকা ঘর"",""""),IF(AND(C1972&lt;&gt;"""",D1972&lt;&gt;"""",C1972=D1972),""gloss=figurative"",""""),IF(LEN(D1972)&lt;15,""figurative ছোট"",""""),IF(AND(I1972=""Positive"",REGEXMATCH(H1"&amp;"972,""মূর্খ|ভণ্ড|প্রতার|অলস|লোভ|স্বার্থ|অক্ষম|অযোগ্য|বোকা|কৃপণ|হিংস"")),""valence-target অমিল"",""""),IF(COUNTIF($B:$B,B1972)&gt;1,""ডুপ্লিকেট"",""""))"),"figurative ছোট")</f>
        <v>figurative ছোট</v>
      </c>
      <c r="Q1972" s="5" t="str">
        <f t="shared" si="1"/>
        <v>১ আগে দেখো</v>
      </c>
    </row>
    <row r="1973">
      <c r="A1973" s="4">
        <v>7663.0</v>
      </c>
      <c r="B1973" s="2" t="s">
        <v>7715</v>
      </c>
      <c r="C1973" s="2" t="s">
        <v>7716</v>
      </c>
      <c r="D1973" s="2" t="s">
        <v>7717</v>
      </c>
      <c r="E1973" s="2" t="s">
        <v>7718</v>
      </c>
      <c r="F1973" s="2" t="b">
        <v>1</v>
      </c>
      <c r="G1973" s="2" t="b">
        <v>0</v>
      </c>
      <c r="H1973" s="2" t="s">
        <v>37</v>
      </c>
      <c r="I1973" s="2" t="s">
        <v>22</v>
      </c>
      <c r="J1973" s="2" t="s">
        <v>2675</v>
      </c>
      <c r="K1973" s="2" t="s">
        <v>495</v>
      </c>
      <c r="L1973" s="13" t="s">
        <v>496</v>
      </c>
      <c r="M1973" s="2" t="s">
        <v>26</v>
      </c>
      <c r="N1973" s="11" t="s">
        <v>7719</v>
      </c>
      <c r="O1973" s="12" t="s">
        <v>53</v>
      </c>
      <c r="P1973" s="5" t="str">
        <f>IFERROR(__xludf.DUMMYFUNCTION("TEXTJOIN("" | "",TRUE,IF(OR(D1973="""",E1973="""",I1973="""",J1973="""",H1973=""""),""ফাঁকা ঘর"",""""),IF(AND(C1973&lt;&gt;"""",D1973&lt;&gt;"""",C1973=D1973),""gloss=figurative"",""""),IF(LEN(D1973)&lt;15,""figurative ছোট"",""""),IF(AND(I1973=""Positive"",REGEXMATCH(H1"&amp;"973,""মূর্খ|ভণ্ড|প্রতার|অলস|লোভ|স্বার্থ|অক্ষম|অযোগ্য|বোকা|কৃপণ|হিংস"")),""valence-target অমিল"",""""),IF(COUNTIF($B:$B,B1973)&gt;1,""ডুপ্লিকেট"",""""))"),"figurative ছোট | ডুপ্লিকেট")</f>
        <v>figurative ছোট | ডুপ্লিকেট</v>
      </c>
      <c r="Q1973" s="5" t="str">
        <f t="shared" si="1"/>
        <v>১ আগে দেখো</v>
      </c>
    </row>
    <row r="1974">
      <c r="A1974" s="4">
        <v>7664.0</v>
      </c>
      <c r="B1974" s="2" t="s">
        <v>7715</v>
      </c>
      <c r="C1974" s="2" t="s">
        <v>7720</v>
      </c>
      <c r="D1974" s="2" t="s">
        <v>7721</v>
      </c>
      <c r="E1974" s="2" t="s">
        <v>7722</v>
      </c>
      <c r="F1974" s="2" t="b">
        <v>1</v>
      </c>
      <c r="G1974" s="2" t="b">
        <v>0</v>
      </c>
      <c r="H1974" s="2" t="s">
        <v>37</v>
      </c>
      <c r="I1974" s="2" t="s">
        <v>22</v>
      </c>
      <c r="J1974" s="2" t="s">
        <v>2675</v>
      </c>
      <c r="K1974" s="2" t="s">
        <v>495</v>
      </c>
      <c r="L1974" s="13" t="s">
        <v>496</v>
      </c>
      <c r="M1974" s="2" t="s">
        <v>26</v>
      </c>
      <c r="N1974" s="11" t="s">
        <v>7723</v>
      </c>
      <c r="O1974" s="12" t="s">
        <v>53</v>
      </c>
      <c r="P1974" s="5" t="str">
        <f>IFERROR(__xludf.DUMMYFUNCTION("TEXTJOIN("" | "",TRUE,IF(OR(D1974="""",E1974="""",I1974="""",J1974="""",H1974=""""),""ফাঁকা ঘর"",""""),IF(AND(C1974&lt;&gt;"""",D1974&lt;&gt;"""",C1974=D1974),""gloss=figurative"",""""),IF(LEN(D1974)&lt;15,""figurative ছোট"",""""),IF(AND(I1974=""Positive"",REGEXMATCH(H1"&amp;"974,""মূর্খ|ভণ্ড|প্রতার|অলস|লোভ|স্বার্থ|অক্ষম|অযোগ্য|বোকা|কৃপণ|হিংস"")),""valence-target অমিল"",""""),IF(COUNTIF($B:$B,B1974)&gt;1,""ডুপ্লিকেট"",""""))"),"figurative ছোট | ডুপ্লিকেট")</f>
        <v>figurative ছোট | ডুপ্লিকেট</v>
      </c>
      <c r="Q1974" s="5" t="str">
        <f t="shared" si="1"/>
        <v>১ আগে দেখো</v>
      </c>
    </row>
    <row r="1975">
      <c r="A1975" s="4">
        <v>7665.0</v>
      </c>
      <c r="B1975" s="2" t="s">
        <v>7724</v>
      </c>
      <c r="C1975" s="2" t="s">
        <v>7725</v>
      </c>
      <c r="D1975" s="2" t="s">
        <v>3407</v>
      </c>
      <c r="E1975" s="2" t="s">
        <v>7726</v>
      </c>
      <c r="F1975" s="2" t="b">
        <v>1</v>
      </c>
      <c r="G1975" s="2" t="b">
        <v>0</v>
      </c>
      <c r="H1975" s="2" t="s">
        <v>3407</v>
      </c>
      <c r="I1975" s="2" t="s">
        <v>22</v>
      </c>
      <c r="J1975" s="2" t="s">
        <v>447</v>
      </c>
      <c r="K1975" s="2" t="s">
        <v>495</v>
      </c>
      <c r="L1975" s="13" t="s">
        <v>496</v>
      </c>
      <c r="M1975" s="2" t="s">
        <v>26</v>
      </c>
      <c r="N1975" s="11" t="s">
        <v>576</v>
      </c>
      <c r="O1975" s="12" t="s">
        <v>53</v>
      </c>
      <c r="P1975" s="5" t="str">
        <f>IFERROR(__xludf.DUMMYFUNCTION("TEXTJOIN("" | "",TRUE,IF(OR(D1975="""",E1975="""",I1975="""",J1975="""",H1975=""""),""ফাঁকা ঘর"",""""),IF(AND(C1975&lt;&gt;"""",D1975&lt;&gt;"""",C1975=D1975),""gloss=figurative"",""""),IF(LEN(D1975)&lt;15,""figurative ছোট"",""""),IF(AND(I1975=""Positive"",REGEXMATCH(H1"&amp;"975,""মূর্খ|ভণ্ড|প্রতার|অলস|লোভ|স্বার্থ|অক্ষম|অযোগ্য|বোকা|কৃপণ|হিংস"")),""valence-target অমিল"",""""),IF(COUNTIF($B:$B,B1975)&gt;1,""ডুপ্লিকেট"",""""))"),"figurative ছোট")</f>
        <v>figurative ছোট</v>
      </c>
      <c r="Q1975" s="5" t="str">
        <f t="shared" si="1"/>
        <v>১ আগে দেখো</v>
      </c>
    </row>
    <row r="1976">
      <c r="A1976" s="4">
        <v>7666.0</v>
      </c>
      <c r="B1976" s="2" t="s">
        <v>7727</v>
      </c>
      <c r="C1976" s="2" t="s">
        <v>7727</v>
      </c>
      <c r="D1976" s="2" t="s">
        <v>590</v>
      </c>
      <c r="E1976" s="2" t="s">
        <v>7728</v>
      </c>
      <c r="F1976" s="2" t="b">
        <v>1</v>
      </c>
      <c r="G1976" s="2" t="b">
        <v>0</v>
      </c>
      <c r="H1976" s="2" t="s">
        <v>37</v>
      </c>
      <c r="I1976" s="2" t="s">
        <v>22</v>
      </c>
      <c r="J1976" s="2" t="s">
        <v>590</v>
      </c>
      <c r="K1976" s="2" t="s">
        <v>495</v>
      </c>
      <c r="L1976" s="13" t="s">
        <v>496</v>
      </c>
      <c r="M1976" s="2" t="s">
        <v>26</v>
      </c>
      <c r="N1976" s="11" t="s">
        <v>576</v>
      </c>
      <c r="O1976" s="12" t="s">
        <v>53</v>
      </c>
      <c r="P1976" s="5" t="str">
        <f>IFERROR(__xludf.DUMMYFUNCTION("TEXTJOIN("" | "",TRUE,IF(OR(D1976="""",E1976="""",I1976="""",J1976="""",H1976=""""),""ফাঁকা ঘর"",""""),IF(AND(C1976&lt;&gt;"""",D1976&lt;&gt;"""",C1976=D1976),""gloss=figurative"",""""),IF(LEN(D1976)&lt;15,""figurative ছোট"",""""),IF(AND(I1976=""Positive"",REGEXMATCH(H1"&amp;"976,""মূর্খ|ভণ্ড|প্রতার|অলস|লোভ|স্বার্থ|অক্ষম|অযোগ্য|বোকা|কৃপণ|হিংস"")),""valence-target অমিল"",""""),IF(COUNTIF($B:$B,B1976)&gt;1,""ডুপ্লিকেট"",""""))"),"figurative ছোট")</f>
        <v>figurative ছোট</v>
      </c>
      <c r="Q1976" s="5" t="str">
        <f t="shared" si="1"/>
        <v>১ আগে দেখো</v>
      </c>
    </row>
    <row r="1977">
      <c r="A1977" s="4">
        <v>7667.0</v>
      </c>
      <c r="B1977" s="2" t="s">
        <v>7729</v>
      </c>
      <c r="C1977" s="2" t="s">
        <v>7729</v>
      </c>
      <c r="D1977" s="2" t="s">
        <v>590</v>
      </c>
      <c r="E1977" s="2" t="s">
        <v>7730</v>
      </c>
      <c r="F1977" s="2" t="b">
        <v>1</v>
      </c>
      <c r="G1977" s="2" t="b">
        <v>0</v>
      </c>
      <c r="H1977" s="2" t="s">
        <v>37</v>
      </c>
      <c r="I1977" s="2" t="s">
        <v>22</v>
      </c>
      <c r="J1977" s="2" t="s">
        <v>590</v>
      </c>
      <c r="K1977" s="2" t="s">
        <v>495</v>
      </c>
      <c r="L1977" s="13" t="s">
        <v>496</v>
      </c>
      <c r="M1977" s="2" t="s">
        <v>26</v>
      </c>
      <c r="N1977" s="11" t="s">
        <v>576</v>
      </c>
      <c r="O1977" s="12" t="s">
        <v>53</v>
      </c>
      <c r="P1977" s="5" t="str">
        <f>IFERROR(__xludf.DUMMYFUNCTION("TEXTJOIN("" | "",TRUE,IF(OR(D1977="""",E1977="""",I1977="""",J1977="""",H1977=""""),""ফাঁকা ঘর"",""""),IF(AND(C1977&lt;&gt;"""",D1977&lt;&gt;"""",C1977=D1977),""gloss=figurative"",""""),IF(LEN(D1977)&lt;15,""figurative ছোট"",""""),IF(AND(I1977=""Positive"",REGEXMATCH(H1"&amp;"977,""মূর্খ|ভণ্ড|প্রতার|অলস|লোভ|স্বার্থ|অক্ষম|অযোগ্য|বোকা|কৃপণ|হিংস"")),""valence-target অমিল"",""""),IF(COUNTIF($B:$B,B1977)&gt;1,""ডুপ্লিকেট"",""""))"),"figurative ছোট")</f>
        <v>figurative ছোট</v>
      </c>
      <c r="Q1977" s="5" t="str">
        <f t="shared" si="1"/>
        <v>১ আগে দেখো</v>
      </c>
    </row>
    <row r="1978">
      <c r="A1978" s="4">
        <v>7668.0</v>
      </c>
      <c r="B1978" s="2" t="s">
        <v>7731</v>
      </c>
      <c r="C1978" s="2" t="s">
        <v>7732</v>
      </c>
      <c r="D1978" s="2" t="s">
        <v>3387</v>
      </c>
      <c r="E1978" s="2" t="s">
        <v>7733</v>
      </c>
      <c r="F1978" s="2" t="b">
        <v>1</v>
      </c>
      <c r="G1978" s="2" t="b">
        <v>0</v>
      </c>
      <c r="H1978" s="2" t="s">
        <v>37</v>
      </c>
      <c r="I1978" s="2" t="s">
        <v>22</v>
      </c>
      <c r="J1978" s="2" t="s">
        <v>842</v>
      </c>
      <c r="K1978" s="2" t="s">
        <v>495</v>
      </c>
      <c r="L1978" s="13" t="s">
        <v>496</v>
      </c>
      <c r="M1978" s="2" t="s">
        <v>26</v>
      </c>
      <c r="N1978" s="11" t="s">
        <v>576</v>
      </c>
      <c r="O1978" s="12" t="s">
        <v>53</v>
      </c>
      <c r="P1978" s="5" t="str">
        <f>IFERROR(__xludf.DUMMYFUNCTION("TEXTJOIN("" | "",TRUE,IF(OR(D1978="""",E1978="""",I1978="""",J1978="""",H1978=""""),""ফাঁকা ঘর"",""""),IF(AND(C1978&lt;&gt;"""",D1978&lt;&gt;"""",C1978=D1978),""gloss=figurative"",""""),IF(LEN(D1978)&lt;15,""figurative ছোট"",""""),IF(AND(I1978=""Positive"",REGEXMATCH(H1"&amp;"978,""মূর্খ|ভণ্ড|প্রতার|অলস|লোভ|স্বার্থ|অক্ষম|অযোগ্য|বোকা|কৃপণ|হিংস"")),""valence-target অমিল"",""""),IF(COUNTIF($B:$B,B1978)&gt;1,""ডুপ্লিকেট"",""""))"),"figurative ছোট")</f>
        <v>figurative ছোট</v>
      </c>
      <c r="Q1978" s="5" t="str">
        <f t="shared" si="1"/>
        <v>১ আগে দেখো</v>
      </c>
    </row>
    <row r="1979">
      <c r="A1979" s="4">
        <v>7669.0</v>
      </c>
      <c r="B1979" s="2" t="s">
        <v>7734</v>
      </c>
      <c r="C1979" s="2" t="s">
        <v>7735</v>
      </c>
      <c r="D1979" s="2" t="s">
        <v>4642</v>
      </c>
      <c r="E1979" s="2" t="s">
        <v>7736</v>
      </c>
      <c r="F1979" s="2" t="b">
        <v>1</v>
      </c>
      <c r="G1979" s="2" t="b">
        <v>0</v>
      </c>
      <c r="H1979" s="2" t="s">
        <v>37</v>
      </c>
      <c r="I1979" s="2" t="s">
        <v>49</v>
      </c>
      <c r="J1979" s="2" t="s">
        <v>1679</v>
      </c>
      <c r="K1979" s="2" t="s">
        <v>495</v>
      </c>
      <c r="L1979" s="13" t="s">
        <v>496</v>
      </c>
      <c r="M1979" s="2" t="s">
        <v>26</v>
      </c>
      <c r="N1979" s="11" t="s">
        <v>576</v>
      </c>
      <c r="O1979" s="12" t="s">
        <v>53</v>
      </c>
      <c r="P1979" s="5" t="str">
        <f>IFERROR(__xludf.DUMMYFUNCTION("TEXTJOIN("" | "",TRUE,IF(OR(D1979="""",E1979="""",I1979="""",J1979="""",H1979=""""),""ফাঁকা ঘর"",""""),IF(AND(C1979&lt;&gt;"""",D1979&lt;&gt;"""",C1979=D1979),""gloss=figurative"",""""),IF(LEN(D1979)&lt;15,""figurative ছোট"",""""),IF(AND(I1979=""Positive"",REGEXMATCH(H1"&amp;"979,""মূর্খ|ভণ্ড|প্রতার|অলস|লোভ|স্বার্থ|অক্ষম|অযোগ্য|বোকা|কৃপণ|হিংস"")),""valence-target অমিল"",""""),IF(COUNTIF($B:$B,B1979)&gt;1,""ডুপ্লিকেট"",""""))"),"figurative ছোট")</f>
        <v>figurative ছোট</v>
      </c>
      <c r="Q1979" s="5" t="str">
        <f t="shared" si="1"/>
        <v>১ আগে দেখো</v>
      </c>
    </row>
    <row r="1980">
      <c r="A1980" s="4">
        <v>7670.0</v>
      </c>
      <c r="B1980" s="2" t="s">
        <v>7737</v>
      </c>
      <c r="C1980" s="2" t="s">
        <v>7737</v>
      </c>
      <c r="D1980" s="2" t="s">
        <v>7738</v>
      </c>
      <c r="E1980" s="2" t="s">
        <v>7739</v>
      </c>
      <c r="F1980" s="2" t="b">
        <v>1</v>
      </c>
      <c r="G1980" s="2" t="b">
        <v>0</v>
      </c>
      <c r="H1980" s="2" t="s">
        <v>37</v>
      </c>
      <c r="I1980" s="2" t="s">
        <v>22</v>
      </c>
      <c r="J1980" s="2" t="s">
        <v>842</v>
      </c>
      <c r="K1980" s="2" t="s">
        <v>495</v>
      </c>
      <c r="L1980" s="13" t="s">
        <v>496</v>
      </c>
      <c r="M1980" s="2" t="s">
        <v>26</v>
      </c>
      <c r="N1980" s="11" t="s">
        <v>576</v>
      </c>
      <c r="O1980" s="12" t="s">
        <v>53</v>
      </c>
      <c r="P1980" s="5" t="str">
        <f>IFERROR(__xludf.DUMMYFUNCTION("TEXTJOIN("" | "",TRUE,IF(OR(D1980="""",E1980="""",I1980="""",J1980="""",H1980=""""),""ফাঁকা ঘর"",""""),IF(AND(C1980&lt;&gt;"""",D1980&lt;&gt;"""",C1980=D1980),""gloss=figurative"",""""),IF(LEN(D1980)&lt;15,""figurative ছোট"",""""),IF(AND(I1980=""Positive"",REGEXMATCH(H1"&amp;"980,""মূর্খ|ভণ্ড|প্রতার|অলস|লোভ|স্বার্থ|অক্ষম|অযোগ্য|বোকা|কৃপণ|হিংস"")),""valence-target অমিল"",""""),IF(COUNTIF($B:$B,B1980)&gt;1,""ডুপ্লিকেট"",""""))"),"figurative ছোট")</f>
        <v>figurative ছোট</v>
      </c>
      <c r="Q1980" s="5" t="str">
        <f t="shared" si="1"/>
        <v>১ আগে দেখো</v>
      </c>
    </row>
    <row r="1981">
      <c r="A1981" s="4">
        <v>7672.0</v>
      </c>
      <c r="B1981" s="2" t="s">
        <v>7740</v>
      </c>
      <c r="C1981" s="2" t="s">
        <v>7740</v>
      </c>
      <c r="D1981" s="2" t="s">
        <v>7741</v>
      </c>
      <c r="E1981" s="2" t="s">
        <v>7742</v>
      </c>
      <c r="F1981" s="2" t="b">
        <v>1</v>
      </c>
      <c r="G1981" s="2" t="b">
        <v>0</v>
      </c>
      <c r="H1981" s="2" t="s">
        <v>37</v>
      </c>
      <c r="I1981" s="2" t="s">
        <v>49</v>
      </c>
      <c r="J1981" s="2" t="s">
        <v>690</v>
      </c>
      <c r="K1981" s="2" t="s">
        <v>495</v>
      </c>
      <c r="L1981" s="13" t="s">
        <v>496</v>
      </c>
      <c r="M1981" s="2" t="s">
        <v>26</v>
      </c>
      <c r="N1981" s="11" t="s">
        <v>576</v>
      </c>
      <c r="O1981" s="12" t="s">
        <v>53</v>
      </c>
      <c r="P1981" s="5" t="str">
        <f>IFERROR(__xludf.DUMMYFUNCTION("TEXTJOIN("" | "",TRUE,IF(OR(D1981="""",E1981="""",I1981="""",J1981="""",H1981=""""),""ফাঁকা ঘর"",""""),IF(AND(C1981&lt;&gt;"""",D1981&lt;&gt;"""",C1981=D1981),""gloss=figurative"",""""),IF(LEN(D1981)&lt;15,""figurative ছোট"",""""),IF(AND(I1981=""Positive"",REGEXMATCH(H1"&amp;"981,""মূর্খ|ভণ্ড|প্রতার|অলস|লোভ|স্বার্থ|অক্ষম|অযোগ্য|বোকা|কৃপণ|হিংস"")),""valence-target অমিল"",""""),IF(COUNTIF($B:$B,B1981)&gt;1,""ডুপ্লিকেট"",""""))"),"figurative ছোট")</f>
        <v>figurative ছোট</v>
      </c>
      <c r="Q1981" s="5" t="str">
        <f t="shared" si="1"/>
        <v>১ আগে দেখো</v>
      </c>
    </row>
    <row r="1982">
      <c r="A1982" s="4">
        <v>7673.0</v>
      </c>
      <c r="B1982" s="2" t="s">
        <v>7743</v>
      </c>
      <c r="C1982" s="2" t="s">
        <v>7744</v>
      </c>
      <c r="D1982" s="2" t="s">
        <v>690</v>
      </c>
      <c r="E1982" s="2" t="s">
        <v>7745</v>
      </c>
      <c r="F1982" s="2" t="b">
        <v>1</v>
      </c>
      <c r="G1982" s="2" t="b">
        <v>0</v>
      </c>
      <c r="H1982" s="2" t="s">
        <v>37</v>
      </c>
      <c r="I1982" s="2" t="s">
        <v>49</v>
      </c>
      <c r="J1982" s="2" t="s">
        <v>690</v>
      </c>
      <c r="K1982" s="2" t="s">
        <v>495</v>
      </c>
      <c r="L1982" s="13" t="s">
        <v>496</v>
      </c>
      <c r="M1982" s="2" t="s">
        <v>26</v>
      </c>
      <c r="N1982" s="11" t="s">
        <v>576</v>
      </c>
      <c r="O1982" s="12" t="s">
        <v>53</v>
      </c>
      <c r="P1982" s="5" t="str">
        <f>IFERROR(__xludf.DUMMYFUNCTION("TEXTJOIN("" | "",TRUE,IF(OR(D1982="""",E1982="""",I1982="""",J1982="""",H1982=""""),""ফাঁকা ঘর"",""""),IF(AND(C1982&lt;&gt;"""",D1982&lt;&gt;"""",C1982=D1982),""gloss=figurative"",""""),IF(LEN(D1982)&lt;15,""figurative ছোট"",""""),IF(AND(I1982=""Positive"",REGEXMATCH(H1"&amp;"982,""মূর্খ|ভণ্ড|প্রতার|অলস|লোভ|স্বার্থ|অক্ষম|অযোগ্য|বোকা|কৃপণ|হিংস"")),""valence-target অমিল"",""""),IF(COUNTIF($B:$B,B1982)&gt;1,""ডুপ্লিকেট"",""""))"),"figurative ছোট")</f>
        <v>figurative ছোট</v>
      </c>
      <c r="Q1982" s="5" t="str">
        <f t="shared" si="1"/>
        <v>১ আগে দেখো</v>
      </c>
    </row>
    <row r="1983">
      <c r="A1983" s="4">
        <v>7674.0</v>
      </c>
      <c r="B1983" s="2" t="s">
        <v>7746</v>
      </c>
      <c r="C1983" s="2" t="s">
        <v>7747</v>
      </c>
      <c r="D1983" s="2" t="s">
        <v>3701</v>
      </c>
      <c r="E1983" s="2" t="s">
        <v>7748</v>
      </c>
      <c r="F1983" s="2" t="b">
        <v>1</v>
      </c>
      <c r="G1983" s="2" t="b">
        <v>0</v>
      </c>
      <c r="H1983" s="2" t="s">
        <v>37</v>
      </c>
      <c r="I1983" s="2" t="s">
        <v>49</v>
      </c>
      <c r="J1983" s="2" t="s">
        <v>3701</v>
      </c>
      <c r="K1983" s="2" t="s">
        <v>495</v>
      </c>
      <c r="L1983" s="13" t="s">
        <v>496</v>
      </c>
      <c r="M1983" s="2" t="s">
        <v>26</v>
      </c>
      <c r="N1983" s="11" t="s">
        <v>576</v>
      </c>
      <c r="O1983" s="12" t="s">
        <v>53</v>
      </c>
      <c r="P1983" s="5" t="str">
        <f>IFERROR(__xludf.DUMMYFUNCTION("TEXTJOIN("" | "",TRUE,IF(OR(D1983="""",E1983="""",I1983="""",J1983="""",H1983=""""),""ফাঁকা ঘর"",""""),IF(AND(C1983&lt;&gt;"""",D1983&lt;&gt;"""",C1983=D1983),""gloss=figurative"",""""),IF(LEN(D1983)&lt;15,""figurative ছোট"",""""),IF(AND(I1983=""Positive"",REGEXMATCH(H1"&amp;"983,""মূর্খ|ভণ্ড|প্রতার|অলস|লোভ|স্বার্থ|অক্ষম|অযোগ্য|বোকা|কৃপণ|হিংস"")),""valence-target অমিল"",""""),IF(COUNTIF($B:$B,B1983)&gt;1,""ডুপ্লিকেট"",""""))"),"figurative ছোট")</f>
        <v>figurative ছোট</v>
      </c>
      <c r="Q1983" s="5" t="str">
        <f t="shared" si="1"/>
        <v>১ আগে দেখো</v>
      </c>
    </row>
    <row r="1984">
      <c r="A1984" s="4">
        <v>7675.0</v>
      </c>
      <c r="B1984" s="2" t="s">
        <v>7749</v>
      </c>
      <c r="C1984" s="2" t="s">
        <v>7749</v>
      </c>
      <c r="D1984" s="2" t="s">
        <v>565</v>
      </c>
      <c r="E1984" s="2" t="s">
        <v>7750</v>
      </c>
      <c r="F1984" s="2" t="b">
        <v>1</v>
      </c>
      <c r="G1984" s="2" t="b">
        <v>0</v>
      </c>
      <c r="H1984" s="2" t="s">
        <v>37</v>
      </c>
      <c r="I1984" s="2" t="s">
        <v>49</v>
      </c>
      <c r="J1984" s="2" t="s">
        <v>565</v>
      </c>
      <c r="K1984" s="2" t="s">
        <v>495</v>
      </c>
      <c r="L1984" s="13" t="s">
        <v>496</v>
      </c>
      <c r="M1984" s="2" t="s">
        <v>26</v>
      </c>
      <c r="N1984" s="11" t="s">
        <v>7751</v>
      </c>
      <c r="O1984" s="12" t="s">
        <v>53</v>
      </c>
      <c r="P1984" s="5" t="str">
        <f>IFERROR(__xludf.DUMMYFUNCTION("TEXTJOIN("" | "",TRUE,IF(OR(D1984="""",E1984="""",I1984="""",J1984="""",H1984=""""),""ফাঁকা ঘর"",""""),IF(AND(C1984&lt;&gt;"""",D1984&lt;&gt;"""",C1984=D1984),""gloss=figurative"",""""),IF(LEN(D1984)&lt;15,""figurative ছোট"",""""),IF(AND(I1984=""Positive"",REGEXMATCH(H1"&amp;"984,""মূর্খ|ভণ্ড|প্রতার|অলস|লোভ|স্বার্থ|অক্ষম|অযোগ্য|বোকা|কৃপণ|হিংস"")),""valence-target অমিল"",""""),IF(COUNTIF($B:$B,B1984)&gt;1,""ডুপ্লিকেট"",""""))"),"figurative ছোট")</f>
        <v>figurative ছোট</v>
      </c>
      <c r="Q1984" s="5" t="str">
        <f t="shared" si="1"/>
        <v>১ আগে দেখো</v>
      </c>
    </row>
    <row r="1985">
      <c r="A1985" s="4">
        <v>7676.0</v>
      </c>
      <c r="B1985" s="2" t="s">
        <v>7752</v>
      </c>
      <c r="C1985" s="2" t="s">
        <v>7753</v>
      </c>
      <c r="D1985" s="2" t="s">
        <v>964</v>
      </c>
      <c r="E1985" s="2" t="s">
        <v>7754</v>
      </c>
      <c r="F1985" s="2" t="b">
        <v>1</v>
      </c>
      <c r="G1985" s="2" t="b">
        <v>0</v>
      </c>
      <c r="H1985" s="2" t="s">
        <v>37</v>
      </c>
      <c r="I1985" s="2" t="s">
        <v>22</v>
      </c>
      <c r="J1985" s="2" t="s">
        <v>964</v>
      </c>
      <c r="K1985" s="2" t="s">
        <v>495</v>
      </c>
      <c r="L1985" s="13" t="s">
        <v>496</v>
      </c>
      <c r="M1985" s="2" t="s">
        <v>26</v>
      </c>
      <c r="N1985" s="11" t="s">
        <v>576</v>
      </c>
      <c r="O1985" s="12" t="s">
        <v>53</v>
      </c>
      <c r="P1985" s="5" t="str">
        <f>IFERROR(__xludf.DUMMYFUNCTION("TEXTJOIN("" | "",TRUE,IF(OR(D1985="""",E1985="""",I1985="""",J1985="""",H1985=""""),""ফাঁকা ঘর"",""""),IF(AND(C1985&lt;&gt;"""",D1985&lt;&gt;"""",C1985=D1985),""gloss=figurative"",""""),IF(LEN(D1985)&lt;15,""figurative ছোট"",""""),IF(AND(I1985=""Positive"",REGEXMATCH(H1"&amp;"985,""মূর্খ|ভণ্ড|প্রতার|অলস|লোভ|স্বার্থ|অক্ষম|অযোগ্য|বোকা|কৃপণ|হিংস"")),""valence-target অমিল"",""""),IF(COUNTIF($B:$B,B1985)&gt;1,""ডুপ্লিকেট"",""""))"),"figurative ছোট")</f>
        <v>figurative ছোট</v>
      </c>
      <c r="Q1985" s="5" t="str">
        <f t="shared" si="1"/>
        <v>১ আগে দেখো</v>
      </c>
    </row>
    <row r="1986">
      <c r="A1986" s="4">
        <v>7677.0</v>
      </c>
      <c r="B1986" s="2" t="s">
        <v>7755</v>
      </c>
      <c r="C1986" s="2" t="s">
        <v>7756</v>
      </c>
      <c r="D1986" s="2" t="s">
        <v>1684</v>
      </c>
      <c r="E1986" s="2" t="s">
        <v>7757</v>
      </c>
      <c r="F1986" s="2" t="b">
        <v>1</v>
      </c>
      <c r="G1986" s="2" t="b">
        <v>0</v>
      </c>
      <c r="H1986" s="2" t="s">
        <v>37</v>
      </c>
      <c r="I1986" s="2" t="s">
        <v>22</v>
      </c>
      <c r="J1986" s="2" t="s">
        <v>1686</v>
      </c>
      <c r="K1986" s="2" t="s">
        <v>495</v>
      </c>
      <c r="L1986" s="13" t="s">
        <v>496</v>
      </c>
      <c r="M1986" s="2" t="s">
        <v>26</v>
      </c>
      <c r="N1986" s="11" t="s">
        <v>576</v>
      </c>
      <c r="O1986" s="12" t="s">
        <v>53</v>
      </c>
      <c r="P1986" s="5" t="str">
        <f>IFERROR(__xludf.DUMMYFUNCTION("TEXTJOIN("" | "",TRUE,IF(OR(D1986="""",E1986="""",I1986="""",J1986="""",H1986=""""),""ফাঁকা ঘর"",""""),IF(AND(C1986&lt;&gt;"""",D1986&lt;&gt;"""",C1986=D1986),""gloss=figurative"",""""),IF(LEN(D1986)&lt;15,""figurative ছোট"",""""),IF(AND(I1986=""Positive"",REGEXMATCH(H1"&amp;"986,""মূর্খ|ভণ্ড|প্রতার|অলস|লোভ|স্বার্থ|অক্ষম|অযোগ্য|বোকা|কৃপণ|হিংস"")),""valence-target অমিল"",""""),IF(COUNTIF($B:$B,B1986)&gt;1,""ডুপ্লিকেট"",""""))"),"figurative ছোট")</f>
        <v>figurative ছোট</v>
      </c>
      <c r="Q1986" s="5" t="str">
        <f t="shared" si="1"/>
        <v>১ আগে দেখো</v>
      </c>
    </row>
    <row r="1987">
      <c r="A1987" s="4">
        <v>7678.0</v>
      </c>
      <c r="B1987" s="2" t="s">
        <v>7758</v>
      </c>
      <c r="C1987" s="2" t="s">
        <v>7759</v>
      </c>
      <c r="D1987" s="2" t="s">
        <v>565</v>
      </c>
      <c r="E1987" s="2" t="s">
        <v>7760</v>
      </c>
      <c r="F1987" s="2" t="b">
        <v>1</v>
      </c>
      <c r="G1987" s="2" t="b">
        <v>0</v>
      </c>
      <c r="H1987" s="2" t="s">
        <v>37</v>
      </c>
      <c r="I1987" s="2" t="s">
        <v>49</v>
      </c>
      <c r="J1987" s="2" t="s">
        <v>565</v>
      </c>
      <c r="K1987" s="2" t="s">
        <v>495</v>
      </c>
      <c r="L1987" s="13" t="s">
        <v>496</v>
      </c>
      <c r="M1987" s="2" t="s">
        <v>26</v>
      </c>
      <c r="N1987" s="11" t="s">
        <v>576</v>
      </c>
      <c r="O1987" s="12" t="s">
        <v>53</v>
      </c>
      <c r="P1987" s="5" t="str">
        <f>IFERROR(__xludf.DUMMYFUNCTION("TEXTJOIN("" | "",TRUE,IF(OR(D1987="""",E1987="""",I1987="""",J1987="""",H1987=""""),""ফাঁকা ঘর"",""""),IF(AND(C1987&lt;&gt;"""",D1987&lt;&gt;"""",C1987=D1987),""gloss=figurative"",""""),IF(LEN(D1987)&lt;15,""figurative ছোট"",""""),IF(AND(I1987=""Positive"",REGEXMATCH(H1"&amp;"987,""মূর্খ|ভণ্ড|প্রতার|অলস|লোভ|স্বার্থ|অক্ষম|অযোগ্য|বোকা|কৃপণ|হিংস"")),""valence-target অমিল"",""""),IF(COUNTIF($B:$B,B1987)&gt;1,""ডুপ্লিকেট"",""""))"),"figurative ছোট")</f>
        <v>figurative ছোট</v>
      </c>
      <c r="Q1987" s="5" t="str">
        <f t="shared" si="1"/>
        <v>১ আগে দেখো</v>
      </c>
    </row>
    <row r="1988">
      <c r="A1988" s="4">
        <v>7679.0</v>
      </c>
      <c r="B1988" s="2" t="s">
        <v>7761</v>
      </c>
      <c r="C1988" s="2" t="s">
        <v>7762</v>
      </c>
      <c r="D1988" s="2" t="s">
        <v>43</v>
      </c>
      <c r="E1988" s="2" t="s">
        <v>7763</v>
      </c>
      <c r="F1988" s="2" t="b">
        <v>1</v>
      </c>
      <c r="G1988" s="2" t="b">
        <v>0</v>
      </c>
      <c r="H1988" s="2" t="s">
        <v>37</v>
      </c>
      <c r="I1988" s="2" t="s">
        <v>49</v>
      </c>
      <c r="J1988" s="2" t="s">
        <v>6932</v>
      </c>
      <c r="K1988" s="2" t="s">
        <v>495</v>
      </c>
      <c r="L1988" s="13" t="s">
        <v>496</v>
      </c>
      <c r="M1988" s="2" t="s">
        <v>26</v>
      </c>
      <c r="N1988" s="11" t="s">
        <v>576</v>
      </c>
      <c r="O1988" s="12" t="s">
        <v>53</v>
      </c>
      <c r="P1988" s="5" t="str">
        <f>IFERROR(__xludf.DUMMYFUNCTION("TEXTJOIN("" | "",TRUE,IF(OR(D1988="""",E1988="""",I1988="""",J1988="""",H1988=""""),""ফাঁকা ঘর"",""""),IF(AND(C1988&lt;&gt;"""",D1988&lt;&gt;"""",C1988=D1988),""gloss=figurative"",""""),IF(LEN(D1988)&lt;15,""figurative ছোট"",""""),IF(AND(I1988=""Positive"",REGEXMATCH(H1"&amp;"988,""মূর্খ|ভণ্ড|প্রতার|অলস|লোভ|স্বার্থ|অক্ষম|অযোগ্য|বোকা|কৃপণ|হিংস"")),""valence-target অমিল"",""""),IF(COUNTIF($B:$B,B1988)&gt;1,""ডুপ্লিকেট"",""""))"),"figurative ছোট")</f>
        <v>figurative ছোট</v>
      </c>
      <c r="Q1988" s="5" t="str">
        <f t="shared" si="1"/>
        <v>১ আগে দেখো</v>
      </c>
    </row>
    <row r="1989">
      <c r="A1989" s="4">
        <v>7680.0</v>
      </c>
      <c r="B1989" s="2" t="s">
        <v>7764</v>
      </c>
      <c r="C1989" s="2" t="s">
        <v>7765</v>
      </c>
      <c r="D1989" s="2" t="s">
        <v>590</v>
      </c>
      <c r="E1989" s="2" t="s">
        <v>7766</v>
      </c>
      <c r="F1989" s="2" t="b">
        <v>1</v>
      </c>
      <c r="G1989" s="2" t="b">
        <v>0</v>
      </c>
      <c r="H1989" s="2" t="s">
        <v>37</v>
      </c>
      <c r="I1989" s="2" t="s">
        <v>22</v>
      </c>
      <c r="J1989" s="2" t="s">
        <v>590</v>
      </c>
      <c r="K1989" s="2" t="s">
        <v>495</v>
      </c>
      <c r="L1989" s="13" t="s">
        <v>496</v>
      </c>
      <c r="M1989" s="2" t="s">
        <v>26</v>
      </c>
      <c r="N1989" s="11" t="s">
        <v>576</v>
      </c>
      <c r="O1989" s="12" t="s">
        <v>53</v>
      </c>
      <c r="P1989" s="5" t="str">
        <f>IFERROR(__xludf.DUMMYFUNCTION("TEXTJOIN("" | "",TRUE,IF(OR(D1989="""",E1989="""",I1989="""",J1989="""",H1989=""""),""ফাঁকা ঘর"",""""),IF(AND(C1989&lt;&gt;"""",D1989&lt;&gt;"""",C1989=D1989),""gloss=figurative"",""""),IF(LEN(D1989)&lt;15,""figurative ছোট"",""""),IF(AND(I1989=""Positive"",REGEXMATCH(H1"&amp;"989,""মূর্খ|ভণ্ড|প্রতার|অলস|লোভ|স্বার্থ|অক্ষম|অযোগ্য|বোকা|কৃপণ|হিংস"")),""valence-target অমিল"",""""),IF(COUNTIF($B:$B,B1989)&gt;1,""ডুপ্লিকেট"",""""))"),"figurative ছোট")</f>
        <v>figurative ছোট</v>
      </c>
      <c r="Q1989" s="5" t="str">
        <f t="shared" si="1"/>
        <v>১ আগে দেখো</v>
      </c>
    </row>
    <row r="1990">
      <c r="A1990" s="4">
        <v>7681.0</v>
      </c>
      <c r="B1990" s="2" t="s">
        <v>7767</v>
      </c>
      <c r="C1990" s="2" t="s">
        <v>7768</v>
      </c>
      <c r="D1990" s="2" t="s">
        <v>7769</v>
      </c>
      <c r="E1990" s="2" t="s">
        <v>7770</v>
      </c>
      <c r="F1990" s="2" t="b">
        <v>1</v>
      </c>
      <c r="G1990" s="2" t="b">
        <v>0</v>
      </c>
      <c r="H1990" s="2" t="s">
        <v>37</v>
      </c>
      <c r="I1990" s="2" t="s">
        <v>22</v>
      </c>
      <c r="J1990" s="2" t="s">
        <v>2937</v>
      </c>
      <c r="K1990" s="2" t="s">
        <v>495</v>
      </c>
      <c r="L1990" s="13" t="s">
        <v>496</v>
      </c>
      <c r="M1990" s="2" t="s">
        <v>26</v>
      </c>
      <c r="N1990" s="11" t="s">
        <v>576</v>
      </c>
      <c r="O1990" s="12" t="s">
        <v>53</v>
      </c>
      <c r="P1990" s="5" t="str">
        <f>IFERROR(__xludf.DUMMYFUNCTION("TEXTJOIN("" | "",TRUE,IF(OR(D1990="""",E1990="""",I1990="""",J1990="""",H1990=""""),""ফাঁকা ঘর"",""""),IF(AND(C1990&lt;&gt;"""",D1990&lt;&gt;"""",C1990=D1990),""gloss=figurative"",""""),IF(LEN(D1990)&lt;15,""figurative ছোট"",""""),IF(AND(I1990=""Positive"",REGEXMATCH(H1"&amp;"990,""মূর্খ|ভণ্ড|প্রতার|অলস|লোভ|স্বার্থ|অক্ষম|অযোগ্য|বোকা|কৃপণ|হিংস"")),""valence-target অমিল"",""""),IF(COUNTIF($B:$B,B1990)&gt;1,""ডুপ্লিকেট"",""""))"),"figurative ছোট")</f>
        <v>figurative ছোট</v>
      </c>
      <c r="Q1990" s="5" t="str">
        <f t="shared" si="1"/>
        <v>১ আগে দেখো</v>
      </c>
    </row>
    <row r="1991">
      <c r="A1991" s="4">
        <v>7682.0</v>
      </c>
      <c r="B1991" s="2" t="s">
        <v>7771</v>
      </c>
      <c r="C1991" s="2" t="s">
        <v>7772</v>
      </c>
      <c r="D1991" s="2" t="s">
        <v>3245</v>
      </c>
      <c r="E1991" s="2" t="s">
        <v>7773</v>
      </c>
      <c r="F1991" s="2" t="b">
        <v>1</v>
      </c>
      <c r="G1991" s="2" t="b">
        <v>0</v>
      </c>
      <c r="H1991" s="2" t="s">
        <v>37</v>
      </c>
      <c r="I1991" s="2" t="s">
        <v>49</v>
      </c>
      <c r="J1991" s="2" t="s">
        <v>3245</v>
      </c>
      <c r="K1991" s="2" t="s">
        <v>495</v>
      </c>
      <c r="L1991" s="13" t="s">
        <v>496</v>
      </c>
      <c r="M1991" s="2" t="s">
        <v>26</v>
      </c>
      <c r="N1991" s="11" t="s">
        <v>576</v>
      </c>
      <c r="O1991" s="12" t="s">
        <v>53</v>
      </c>
      <c r="P1991" s="5" t="str">
        <f>IFERROR(__xludf.DUMMYFUNCTION("TEXTJOIN("" | "",TRUE,IF(OR(D1991="""",E1991="""",I1991="""",J1991="""",H1991=""""),""ফাঁকা ঘর"",""""),IF(AND(C1991&lt;&gt;"""",D1991&lt;&gt;"""",C1991=D1991),""gloss=figurative"",""""),IF(LEN(D1991)&lt;15,""figurative ছোট"",""""),IF(AND(I1991=""Positive"",REGEXMATCH(H1"&amp;"991,""মূর্খ|ভণ্ড|প্রতার|অলস|লোভ|স্বার্থ|অক্ষম|অযোগ্য|বোকা|কৃপণ|হিংস"")),""valence-target অমিল"",""""),IF(COUNTIF($B:$B,B1991)&gt;1,""ডুপ্লিকেট"",""""))"),"figurative ছোট")</f>
        <v>figurative ছোট</v>
      </c>
      <c r="Q1991" s="5" t="str">
        <f t="shared" si="1"/>
        <v>১ আগে দেখো</v>
      </c>
    </row>
    <row r="1992">
      <c r="A1992" s="4">
        <v>7683.0</v>
      </c>
      <c r="B1992" s="2" t="s">
        <v>7774</v>
      </c>
      <c r="C1992" s="2" t="s">
        <v>7775</v>
      </c>
      <c r="D1992" s="2" t="s">
        <v>1259</v>
      </c>
      <c r="E1992" s="2" t="s">
        <v>7776</v>
      </c>
      <c r="F1992" s="2" t="b">
        <v>1</v>
      </c>
      <c r="G1992" s="2" t="b">
        <v>0</v>
      </c>
      <c r="H1992" s="2" t="s">
        <v>37</v>
      </c>
      <c r="I1992" s="2" t="s">
        <v>49</v>
      </c>
      <c r="J1992" s="2" t="s">
        <v>1259</v>
      </c>
      <c r="K1992" s="2" t="s">
        <v>495</v>
      </c>
      <c r="L1992" s="13" t="s">
        <v>496</v>
      </c>
      <c r="M1992" s="2" t="s">
        <v>26</v>
      </c>
      <c r="N1992" s="11" t="s">
        <v>576</v>
      </c>
      <c r="O1992" s="12" t="s">
        <v>53</v>
      </c>
      <c r="P1992" s="5" t="str">
        <f>IFERROR(__xludf.DUMMYFUNCTION("TEXTJOIN("" | "",TRUE,IF(OR(D1992="""",E1992="""",I1992="""",J1992="""",H1992=""""),""ফাঁকা ঘর"",""""),IF(AND(C1992&lt;&gt;"""",D1992&lt;&gt;"""",C1992=D1992),""gloss=figurative"",""""),IF(LEN(D1992)&lt;15,""figurative ছোট"",""""),IF(AND(I1992=""Positive"",REGEXMATCH(H1"&amp;"992,""মূর্খ|ভণ্ড|প্রতার|অলস|লোভ|স্বার্থ|অক্ষম|অযোগ্য|বোকা|কৃপণ|হিংস"")),""valence-target অমিল"",""""),IF(COUNTIF($B:$B,B1992)&gt;1,""ডুপ্লিকেট"",""""))"),"figurative ছোট")</f>
        <v>figurative ছোট</v>
      </c>
      <c r="Q1992" s="5" t="str">
        <f t="shared" si="1"/>
        <v>১ আগে দেখো</v>
      </c>
    </row>
    <row r="1993">
      <c r="A1993" s="4">
        <v>7684.0</v>
      </c>
      <c r="B1993" s="2" t="s">
        <v>7777</v>
      </c>
      <c r="C1993" s="2" t="s">
        <v>7778</v>
      </c>
      <c r="D1993" s="2" t="s">
        <v>7779</v>
      </c>
      <c r="E1993" s="2" t="s">
        <v>7780</v>
      </c>
      <c r="F1993" s="2" t="b">
        <v>1</v>
      </c>
      <c r="G1993" s="2" t="b">
        <v>0</v>
      </c>
      <c r="H1993" s="2" t="s">
        <v>37</v>
      </c>
      <c r="I1993" s="2" t="s">
        <v>49</v>
      </c>
      <c r="J1993" s="2" t="s">
        <v>1740</v>
      </c>
      <c r="K1993" s="2" t="s">
        <v>495</v>
      </c>
      <c r="L1993" s="13" t="s">
        <v>496</v>
      </c>
      <c r="M1993" s="2" t="s">
        <v>26</v>
      </c>
      <c r="N1993" s="11" t="s">
        <v>576</v>
      </c>
      <c r="O1993" s="12" t="s">
        <v>53</v>
      </c>
      <c r="P1993" s="5" t="str">
        <f>IFERROR(__xludf.DUMMYFUNCTION("TEXTJOIN("" | "",TRUE,IF(OR(D1993="""",E1993="""",I1993="""",J1993="""",H1993=""""),""ফাঁকা ঘর"",""""),IF(AND(C1993&lt;&gt;"""",D1993&lt;&gt;"""",C1993=D1993),""gloss=figurative"",""""),IF(LEN(D1993)&lt;15,""figurative ছোট"",""""),IF(AND(I1993=""Positive"",REGEXMATCH(H1"&amp;"993,""মূর্খ|ভণ্ড|প্রতার|অলস|লোভ|স্বার্থ|অক্ষম|অযোগ্য|বোকা|কৃপণ|হিংস"")),""valence-target অমিল"",""""),IF(COUNTIF($B:$B,B1993)&gt;1,""ডুপ্লিকেট"",""""))"),"figurative ছোট")</f>
        <v>figurative ছোট</v>
      </c>
      <c r="Q1993" s="5" t="str">
        <f t="shared" si="1"/>
        <v>১ আগে দেখো</v>
      </c>
    </row>
    <row r="1994">
      <c r="A1994" s="4">
        <v>7685.0</v>
      </c>
      <c r="B1994" s="2" t="s">
        <v>7781</v>
      </c>
      <c r="C1994" s="2" t="s">
        <v>7782</v>
      </c>
      <c r="D1994" s="2" t="s">
        <v>5829</v>
      </c>
      <c r="E1994" s="2" t="s">
        <v>7783</v>
      </c>
      <c r="F1994" s="2" t="b">
        <v>1</v>
      </c>
      <c r="G1994" s="2" t="b">
        <v>0</v>
      </c>
      <c r="H1994" s="2" t="s">
        <v>37</v>
      </c>
      <c r="I1994" s="2" t="s">
        <v>22</v>
      </c>
      <c r="J1994" s="2" t="s">
        <v>5829</v>
      </c>
      <c r="K1994" s="2" t="s">
        <v>495</v>
      </c>
      <c r="L1994" s="13" t="s">
        <v>496</v>
      </c>
      <c r="M1994" s="2" t="s">
        <v>26</v>
      </c>
      <c r="N1994" s="11" t="s">
        <v>576</v>
      </c>
      <c r="O1994" s="12" t="s">
        <v>53</v>
      </c>
      <c r="P1994" s="5" t="str">
        <f>IFERROR(__xludf.DUMMYFUNCTION("TEXTJOIN("" | "",TRUE,IF(OR(D1994="""",E1994="""",I1994="""",J1994="""",H1994=""""),""ফাঁকা ঘর"",""""),IF(AND(C1994&lt;&gt;"""",D1994&lt;&gt;"""",C1994=D1994),""gloss=figurative"",""""),IF(LEN(D1994)&lt;15,""figurative ছোট"",""""),IF(AND(I1994=""Positive"",REGEXMATCH(H1"&amp;"994,""মূর্খ|ভণ্ড|প্রতার|অলস|লোভ|স্বার্থ|অক্ষম|অযোগ্য|বোকা|কৃপণ|হিংস"")),""valence-target অমিল"",""""),IF(COUNTIF($B:$B,B1994)&gt;1,""ডুপ্লিকেট"",""""))"),"figurative ছোট")</f>
        <v>figurative ছোট</v>
      </c>
      <c r="Q1994" s="5" t="str">
        <f t="shared" si="1"/>
        <v>১ আগে দেখো</v>
      </c>
    </row>
    <row r="1995">
      <c r="A1995" s="4">
        <v>7686.0</v>
      </c>
      <c r="B1995" s="2" t="s">
        <v>7784</v>
      </c>
      <c r="C1995" s="2" t="s">
        <v>7785</v>
      </c>
      <c r="D1995" s="2" t="s">
        <v>1985</v>
      </c>
      <c r="E1995" s="2" t="s">
        <v>7786</v>
      </c>
      <c r="F1995" s="2" t="b">
        <v>1</v>
      </c>
      <c r="G1995" s="2" t="b">
        <v>0</v>
      </c>
      <c r="H1995" s="2" t="s">
        <v>1985</v>
      </c>
      <c r="I1995" s="2" t="s">
        <v>22</v>
      </c>
      <c r="J1995" s="2" t="s">
        <v>1987</v>
      </c>
      <c r="K1995" s="2" t="s">
        <v>495</v>
      </c>
      <c r="L1995" s="13" t="s">
        <v>496</v>
      </c>
      <c r="M1995" s="2" t="s">
        <v>26</v>
      </c>
      <c r="N1995" s="11" t="s">
        <v>576</v>
      </c>
      <c r="O1995" s="12" t="s">
        <v>53</v>
      </c>
      <c r="P1995" s="5" t="str">
        <f>IFERROR(__xludf.DUMMYFUNCTION("TEXTJOIN("" | "",TRUE,IF(OR(D1995="""",E1995="""",I1995="""",J1995="""",H1995=""""),""ফাঁকা ঘর"",""""),IF(AND(C1995&lt;&gt;"""",D1995&lt;&gt;"""",C1995=D1995),""gloss=figurative"",""""),IF(LEN(D1995)&lt;15,""figurative ছোট"",""""),IF(AND(I1995=""Positive"",REGEXMATCH(H1"&amp;"995,""মূর্খ|ভণ্ড|প্রতার|অলস|লোভ|স্বার্থ|অক্ষম|অযোগ্য|বোকা|কৃপণ|হিংস"")),""valence-target অমিল"",""""),IF(COUNTIF($B:$B,B1995)&gt;1,""ডুপ্লিকেট"",""""))"),"figurative ছোট")</f>
        <v>figurative ছোট</v>
      </c>
      <c r="Q1995" s="5" t="str">
        <f t="shared" si="1"/>
        <v>১ আগে দেখো</v>
      </c>
    </row>
    <row r="1996">
      <c r="A1996" s="4">
        <v>7687.0</v>
      </c>
      <c r="B1996" s="2" t="s">
        <v>7787</v>
      </c>
      <c r="C1996" s="2" t="s">
        <v>7788</v>
      </c>
      <c r="D1996" s="2" t="s">
        <v>2860</v>
      </c>
      <c r="E1996" s="2" t="s">
        <v>7789</v>
      </c>
      <c r="F1996" s="2" t="b">
        <v>1</v>
      </c>
      <c r="G1996" s="2" t="b">
        <v>0</v>
      </c>
      <c r="H1996" s="2" t="s">
        <v>37</v>
      </c>
      <c r="I1996" s="2" t="s">
        <v>32</v>
      </c>
      <c r="J1996" s="2" t="s">
        <v>2860</v>
      </c>
      <c r="K1996" s="2" t="s">
        <v>495</v>
      </c>
      <c r="L1996" s="13" t="s">
        <v>496</v>
      </c>
      <c r="M1996" s="2" t="s">
        <v>26</v>
      </c>
      <c r="N1996" s="11" t="s">
        <v>576</v>
      </c>
      <c r="O1996" s="12" t="s">
        <v>53</v>
      </c>
      <c r="P1996" s="5" t="str">
        <f>IFERROR(__xludf.DUMMYFUNCTION("TEXTJOIN("" | "",TRUE,IF(OR(D1996="""",E1996="""",I1996="""",J1996="""",H1996=""""),""ফাঁকা ঘর"",""""),IF(AND(C1996&lt;&gt;"""",D1996&lt;&gt;"""",C1996=D1996),""gloss=figurative"",""""),IF(LEN(D1996)&lt;15,""figurative ছোট"",""""),IF(AND(I1996=""Positive"",REGEXMATCH(H1"&amp;"996,""মূর্খ|ভণ্ড|প্রতার|অলস|লোভ|স্বার্থ|অক্ষম|অযোগ্য|বোকা|কৃপণ|হিংস"")),""valence-target অমিল"",""""),IF(COUNTIF($B:$B,B1996)&gt;1,""ডুপ্লিকেট"",""""))"),"figurative ছোট")</f>
        <v>figurative ছোট</v>
      </c>
      <c r="Q1996" s="5" t="str">
        <f t="shared" si="1"/>
        <v>১ আগে দেখো</v>
      </c>
    </row>
    <row r="1997">
      <c r="A1997" s="4">
        <v>7688.0</v>
      </c>
      <c r="B1997" s="2" t="s">
        <v>7790</v>
      </c>
      <c r="C1997" s="2" t="s">
        <v>7791</v>
      </c>
      <c r="D1997" s="2" t="s">
        <v>7792</v>
      </c>
      <c r="E1997" s="2" t="s">
        <v>7793</v>
      </c>
      <c r="F1997" s="2" t="b">
        <v>1</v>
      </c>
      <c r="G1997" s="2" t="b">
        <v>1</v>
      </c>
      <c r="H1997" s="2" t="s">
        <v>1106</v>
      </c>
      <c r="I1997" s="2" t="s">
        <v>49</v>
      </c>
      <c r="J1997" s="2" t="s">
        <v>2165</v>
      </c>
      <c r="K1997" s="2" t="s">
        <v>495</v>
      </c>
      <c r="L1997" s="13" t="s">
        <v>496</v>
      </c>
      <c r="M1997" s="2" t="s">
        <v>26</v>
      </c>
      <c r="N1997" s="11" t="s">
        <v>576</v>
      </c>
      <c r="O1997" s="12" t="s">
        <v>53</v>
      </c>
      <c r="P1997" s="5" t="str">
        <f>IFERROR(__xludf.DUMMYFUNCTION("TEXTJOIN("" | "",TRUE,IF(OR(D1997="""",E1997="""",I1997="""",J1997="""",H1997=""""),""ফাঁকা ঘর"",""""),IF(AND(C1997&lt;&gt;"""",D1997&lt;&gt;"""",C1997=D1997),""gloss=figurative"",""""),IF(LEN(D1997)&lt;15,""figurative ছোট"",""""),IF(AND(I1997=""Positive"",REGEXMATCH(H1"&amp;"997,""মূর্খ|ভণ্ড|প্রতার|অলস|লোভ|স্বার্থ|অক্ষম|অযোগ্য|বোকা|কৃপণ|হিংস"")),""valence-target অমিল"",""""),IF(COUNTIF($B:$B,B1997)&gt;1,""ডুপ্লিকেট"",""""))"),"figurative ছোট")</f>
        <v>figurative ছোট</v>
      </c>
      <c r="Q1997" s="5" t="str">
        <f t="shared" si="1"/>
        <v>১ আগে দেখো</v>
      </c>
    </row>
    <row r="1998">
      <c r="A1998" s="4">
        <v>7690.0</v>
      </c>
      <c r="B1998" s="2" t="s">
        <v>7794</v>
      </c>
      <c r="C1998" s="2" t="s">
        <v>7795</v>
      </c>
      <c r="D1998" s="2" t="s">
        <v>7796</v>
      </c>
      <c r="E1998" s="2" t="s">
        <v>7797</v>
      </c>
      <c r="F1998" s="2" t="b">
        <v>1</v>
      </c>
      <c r="G1998" s="2" t="b">
        <v>0</v>
      </c>
      <c r="H1998" s="2" t="s">
        <v>37</v>
      </c>
      <c r="I1998" s="2" t="s">
        <v>22</v>
      </c>
      <c r="J1998" s="2" t="s">
        <v>1111</v>
      </c>
      <c r="K1998" s="2" t="s">
        <v>495</v>
      </c>
      <c r="L1998" s="13" t="s">
        <v>496</v>
      </c>
      <c r="M1998" s="2" t="s">
        <v>26</v>
      </c>
      <c r="N1998" s="11" t="s">
        <v>7798</v>
      </c>
      <c r="O1998" s="12" t="s">
        <v>53</v>
      </c>
      <c r="P1998" s="5" t="str">
        <f>IFERROR(__xludf.DUMMYFUNCTION("TEXTJOIN("" | "",TRUE,IF(OR(D1998="""",E1998="""",I1998="""",J1998="""",H1998=""""),""ফাঁকা ঘর"",""""),IF(AND(C1998&lt;&gt;"""",D1998&lt;&gt;"""",C1998=D1998),""gloss=figurative"",""""),IF(LEN(D1998)&lt;15,""figurative ছোট"",""""),IF(AND(I1998=""Positive"",REGEXMATCH(H1"&amp;"998,""মূর্খ|ভণ্ড|প্রতার|অলস|লোভ|স্বার্থ|অক্ষম|অযোগ্য|বোকা|কৃপণ|হিংস"")),""valence-target অমিল"",""""),IF(COUNTIF($B:$B,B1998)&gt;1,""ডুপ্লিকেট"",""""))"),"figurative ছোট")</f>
        <v>figurative ছোট</v>
      </c>
      <c r="Q1998" s="5" t="str">
        <f t="shared" si="1"/>
        <v>১ আগে দেখো</v>
      </c>
    </row>
    <row r="1999">
      <c r="A1999" s="4">
        <v>7691.0</v>
      </c>
      <c r="B1999" s="2" t="s">
        <v>7799</v>
      </c>
      <c r="C1999" s="2" t="s">
        <v>7800</v>
      </c>
      <c r="D1999" s="2" t="s">
        <v>7801</v>
      </c>
      <c r="E1999" s="2" t="s">
        <v>7802</v>
      </c>
      <c r="F1999" s="2" t="b">
        <v>1</v>
      </c>
      <c r="G1999" s="2" t="b">
        <v>0</v>
      </c>
      <c r="H1999" s="2" t="s">
        <v>37</v>
      </c>
      <c r="I1999" s="2" t="s">
        <v>22</v>
      </c>
      <c r="J1999" s="2" t="s">
        <v>2122</v>
      </c>
      <c r="K1999" s="2" t="s">
        <v>495</v>
      </c>
      <c r="L1999" s="13" t="s">
        <v>496</v>
      </c>
      <c r="M1999" s="2" t="s">
        <v>26</v>
      </c>
      <c r="N1999" s="11" t="s">
        <v>7803</v>
      </c>
      <c r="O1999" s="12" t="s">
        <v>53</v>
      </c>
      <c r="P1999" s="5" t="str">
        <f>IFERROR(__xludf.DUMMYFUNCTION("TEXTJOIN("" | "",TRUE,IF(OR(D1999="""",E1999="""",I1999="""",J1999="""",H1999=""""),""ফাঁকা ঘর"",""""),IF(AND(C1999&lt;&gt;"""",D1999&lt;&gt;"""",C1999=D1999),""gloss=figurative"",""""),IF(LEN(D1999)&lt;15,""figurative ছোট"",""""),IF(AND(I1999=""Positive"",REGEXMATCH(H1"&amp;"999,""মূর্খ|ভণ্ড|প্রতার|অলস|লোভ|স্বার্থ|অক্ষম|অযোগ্য|বোকা|কৃপণ|হিংস"")),""valence-target অমিল"",""""),IF(COUNTIF($B:$B,B1999)&gt;1,""ডুপ্লিকেট"",""""))"),"figurative ছোট | ডুপ্লিকেট")</f>
        <v>figurative ছোট | ডুপ্লিকেট</v>
      </c>
      <c r="Q1999" s="5" t="str">
        <f t="shared" si="1"/>
        <v>১ আগে দেখো</v>
      </c>
    </row>
    <row r="2000">
      <c r="A2000" s="4">
        <v>7692.0</v>
      </c>
      <c r="B2000" s="2" t="s">
        <v>7799</v>
      </c>
      <c r="C2000" s="2" t="s">
        <v>7804</v>
      </c>
      <c r="D2000" s="2" t="s">
        <v>7805</v>
      </c>
      <c r="E2000" s="2" t="s">
        <v>7806</v>
      </c>
      <c r="F2000" s="2" t="b">
        <v>1</v>
      </c>
      <c r="G2000" s="2" t="b">
        <v>0</v>
      </c>
      <c r="H2000" s="2" t="s">
        <v>37</v>
      </c>
      <c r="I2000" s="2" t="s">
        <v>49</v>
      </c>
      <c r="J2000" s="2" t="s">
        <v>636</v>
      </c>
      <c r="K2000" s="2" t="s">
        <v>495</v>
      </c>
      <c r="L2000" s="13" t="s">
        <v>496</v>
      </c>
      <c r="M2000" s="2" t="s">
        <v>26</v>
      </c>
      <c r="N2000" s="11" t="s">
        <v>7807</v>
      </c>
      <c r="O2000" s="12" t="s">
        <v>53</v>
      </c>
      <c r="P2000" s="5" t="str">
        <f>IFERROR(__xludf.DUMMYFUNCTION("TEXTJOIN("" | "",TRUE,IF(OR(D2000="""",E2000="""",I2000="""",J2000="""",H2000=""""),""ফাঁকা ঘর"",""""),IF(AND(C2000&lt;&gt;"""",D2000&lt;&gt;"""",C2000=D2000),""gloss=figurative"",""""),IF(LEN(D2000)&lt;15,""figurative ছোট"",""""),IF(AND(I2000=""Positive"",REGEXMATCH(H2"&amp;"000,""মূর্খ|ভণ্ড|প্রতার|অলস|লোভ|স্বার্থ|অক্ষম|অযোগ্য|বোকা|কৃপণ|হিংস"")),""valence-target অমিল"",""""),IF(COUNTIF($B:$B,B2000)&gt;1,""ডুপ্লিকেট"",""""))"),"figurative ছোট | ডুপ্লিকেট")</f>
        <v>figurative ছোট | ডুপ্লিকেট</v>
      </c>
      <c r="Q2000" s="5" t="str">
        <f t="shared" si="1"/>
        <v>১ আগে দেখো</v>
      </c>
    </row>
    <row r="2001">
      <c r="A2001" s="4">
        <v>7693.0</v>
      </c>
      <c r="B2001" s="2" t="s">
        <v>7808</v>
      </c>
      <c r="C2001" s="2" t="s">
        <v>7809</v>
      </c>
      <c r="D2001" s="2" t="s">
        <v>674</v>
      </c>
      <c r="E2001" s="2" t="s">
        <v>7810</v>
      </c>
      <c r="F2001" s="2" t="b">
        <v>1</v>
      </c>
      <c r="G2001" s="2" t="b">
        <v>0</v>
      </c>
      <c r="H2001" s="2" t="s">
        <v>37</v>
      </c>
      <c r="I2001" s="2" t="s">
        <v>22</v>
      </c>
      <c r="J2001" s="2" t="s">
        <v>674</v>
      </c>
      <c r="K2001" s="2" t="s">
        <v>495</v>
      </c>
      <c r="L2001" s="13" t="s">
        <v>496</v>
      </c>
      <c r="M2001" s="2" t="s">
        <v>26</v>
      </c>
      <c r="N2001" s="11" t="s">
        <v>576</v>
      </c>
      <c r="O2001" s="12" t="s">
        <v>53</v>
      </c>
      <c r="P2001" s="5" t="str">
        <f>IFERROR(__xludf.DUMMYFUNCTION("TEXTJOIN("" | "",TRUE,IF(OR(D2001="""",E2001="""",I2001="""",J2001="""",H2001=""""),""ফাঁকা ঘর"",""""),IF(AND(C2001&lt;&gt;"""",D2001&lt;&gt;"""",C2001=D2001),""gloss=figurative"",""""),IF(LEN(D2001)&lt;15,""figurative ছোট"",""""),IF(AND(I2001=""Positive"",REGEXMATCH(H2"&amp;"001,""মূর্খ|ভণ্ড|প্রতার|অলস|লোভ|স্বার্থ|অক্ষম|অযোগ্য|বোকা|কৃপণ|হিংস"")),""valence-target অমিল"",""""),IF(COUNTIF($B:$B,B2001)&gt;1,""ডুপ্লিকেট"",""""))"),"figurative ছোট")</f>
        <v>figurative ছোট</v>
      </c>
      <c r="Q2001" s="5" t="str">
        <f t="shared" si="1"/>
        <v>১ আগে দেখো</v>
      </c>
    </row>
    <row r="2002">
      <c r="A2002" s="4">
        <v>7694.0</v>
      </c>
      <c r="B2002" s="2" t="s">
        <v>7811</v>
      </c>
      <c r="C2002" s="2" t="s">
        <v>7812</v>
      </c>
      <c r="D2002" s="2" t="s">
        <v>7813</v>
      </c>
      <c r="E2002" s="2" t="s">
        <v>7814</v>
      </c>
      <c r="F2002" s="2" t="b">
        <v>1</v>
      </c>
      <c r="G2002" s="2" t="b">
        <v>0</v>
      </c>
      <c r="H2002" s="2" t="s">
        <v>37</v>
      </c>
      <c r="I2002" s="2" t="s">
        <v>22</v>
      </c>
      <c r="J2002" s="2" t="s">
        <v>7813</v>
      </c>
      <c r="K2002" s="2" t="s">
        <v>495</v>
      </c>
      <c r="L2002" s="13" t="s">
        <v>496</v>
      </c>
      <c r="M2002" s="2" t="s">
        <v>26</v>
      </c>
      <c r="N2002" s="11" t="s">
        <v>576</v>
      </c>
      <c r="O2002" s="12" t="s">
        <v>53</v>
      </c>
      <c r="P2002" s="5" t="str">
        <f>IFERROR(__xludf.DUMMYFUNCTION("TEXTJOIN("" | "",TRUE,IF(OR(D2002="""",E2002="""",I2002="""",J2002="""",H2002=""""),""ফাঁকা ঘর"",""""),IF(AND(C2002&lt;&gt;"""",D2002&lt;&gt;"""",C2002=D2002),""gloss=figurative"",""""),IF(LEN(D2002)&lt;15,""figurative ছোট"",""""),IF(AND(I2002=""Positive"",REGEXMATCH(H2"&amp;"002,""মূর্খ|ভণ্ড|প্রতার|অলস|লোভ|স্বার্থ|অক্ষম|অযোগ্য|বোকা|কৃপণ|হিংস"")),""valence-target অমিল"",""""),IF(COUNTIF($B:$B,B2002)&gt;1,""ডুপ্লিকেট"",""""))"),"figurative ছোট")</f>
        <v>figurative ছোট</v>
      </c>
      <c r="Q2002" s="5" t="str">
        <f t="shared" si="1"/>
        <v>১ আগে দেখো</v>
      </c>
    </row>
    <row r="2003">
      <c r="A2003" s="4">
        <v>7695.0</v>
      </c>
      <c r="B2003" s="2" t="s">
        <v>7815</v>
      </c>
      <c r="C2003" s="2" t="s">
        <v>7816</v>
      </c>
      <c r="D2003" s="2" t="s">
        <v>1025</v>
      </c>
      <c r="E2003" s="2" t="s">
        <v>7817</v>
      </c>
      <c r="F2003" s="2" t="b">
        <v>1</v>
      </c>
      <c r="G2003" s="2" t="b">
        <v>0</v>
      </c>
      <c r="H2003" s="2" t="s">
        <v>1025</v>
      </c>
      <c r="I2003" s="2" t="s">
        <v>22</v>
      </c>
      <c r="J2003" s="2" t="s">
        <v>1027</v>
      </c>
      <c r="K2003" s="2" t="s">
        <v>495</v>
      </c>
      <c r="L2003" s="13" t="s">
        <v>496</v>
      </c>
      <c r="M2003" s="2" t="s">
        <v>26</v>
      </c>
      <c r="N2003" s="11" t="s">
        <v>576</v>
      </c>
      <c r="O2003" s="12" t="s">
        <v>53</v>
      </c>
      <c r="P2003" s="5" t="str">
        <f>IFERROR(__xludf.DUMMYFUNCTION("TEXTJOIN("" | "",TRUE,IF(OR(D2003="""",E2003="""",I2003="""",J2003="""",H2003=""""),""ফাঁকা ঘর"",""""),IF(AND(C2003&lt;&gt;"""",D2003&lt;&gt;"""",C2003=D2003),""gloss=figurative"",""""),IF(LEN(D2003)&lt;15,""figurative ছোট"",""""),IF(AND(I2003=""Positive"",REGEXMATCH(H2"&amp;"003,""মূর্খ|ভণ্ড|প্রতার|অলস|লোভ|স্বার্থ|অক্ষম|অযোগ্য|বোকা|কৃপণ|হিংস"")),""valence-target অমিল"",""""),IF(COUNTIF($B:$B,B2003)&gt;1,""ডুপ্লিকেট"",""""))"),"figurative ছোট")</f>
        <v>figurative ছোট</v>
      </c>
      <c r="Q2003" s="5" t="str">
        <f t="shared" si="1"/>
        <v>১ আগে দেখো</v>
      </c>
    </row>
    <row r="2004">
      <c r="A2004" s="4">
        <v>7696.0</v>
      </c>
      <c r="B2004" s="2" t="s">
        <v>7818</v>
      </c>
      <c r="C2004" s="2" t="s">
        <v>7819</v>
      </c>
      <c r="D2004" s="2" t="s">
        <v>739</v>
      </c>
      <c r="E2004" s="2" t="s">
        <v>7820</v>
      </c>
      <c r="F2004" s="2" t="b">
        <v>1</v>
      </c>
      <c r="G2004" s="2" t="b">
        <v>0</v>
      </c>
      <c r="H2004" s="2" t="s">
        <v>37</v>
      </c>
      <c r="I2004" s="2" t="s">
        <v>22</v>
      </c>
      <c r="J2004" s="2" t="s">
        <v>739</v>
      </c>
      <c r="K2004" s="2" t="s">
        <v>495</v>
      </c>
      <c r="L2004" s="13" t="s">
        <v>496</v>
      </c>
      <c r="M2004" s="2" t="s">
        <v>26</v>
      </c>
      <c r="N2004" s="11" t="s">
        <v>576</v>
      </c>
      <c r="O2004" s="12" t="s">
        <v>53</v>
      </c>
      <c r="P2004" s="5" t="str">
        <f>IFERROR(__xludf.DUMMYFUNCTION("TEXTJOIN("" | "",TRUE,IF(OR(D2004="""",E2004="""",I2004="""",J2004="""",H2004=""""),""ফাঁকা ঘর"",""""),IF(AND(C2004&lt;&gt;"""",D2004&lt;&gt;"""",C2004=D2004),""gloss=figurative"",""""),IF(LEN(D2004)&lt;15,""figurative ছোট"",""""),IF(AND(I2004=""Positive"",REGEXMATCH(H2"&amp;"004,""মূর্খ|ভণ্ড|প্রতার|অলস|লোভ|স্বার্থ|অক্ষম|অযোগ্য|বোকা|কৃপণ|হিংস"")),""valence-target অমিল"",""""),IF(COUNTIF($B:$B,B2004)&gt;1,""ডুপ্লিকেট"",""""))"),"figurative ছোট")</f>
        <v>figurative ছোট</v>
      </c>
      <c r="Q2004" s="5" t="str">
        <f t="shared" si="1"/>
        <v>১ আগে দেখো</v>
      </c>
    </row>
    <row r="2005">
      <c r="A2005" s="4">
        <v>7697.0</v>
      </c>
      <c r="B2005" s="2" t="s">
        <v>7821</v>
      </c>
      <c r="C2005" s="2" t="s">
        <v>7822</v>
      </c>
      <c r="D2005" s="2" t="s">
        <v>1244</v>
      </c>
      <c r="E2005" s="2" t="s">
        <v>7823</v>
      </c>
      <c r="F2005" s="2" t="b">
        <v>1</v>
      </c>
      <c r="G2005" s="2" t="b">
        <v>0</v>
      </c>
      <c r="H2005" s="2" t="s">
        <v>37</v>
      </c>
      <c r="I2005" s="2" t="s">
        <v>32</v>
      </c>
      <c r="J2005" s="2" t="s">
        <v>1244</v>
      </c>
      <c r="K2005" s="2" t="s">
        <v>495</v>
      </c>
      <c r="L2005" s="13" t="s">
        <v>496</v>
      </c>
      <c r="M2005" s="2" t="s">
        <v>26</v>
      </c>
      <c r="N2005" s="11" t="s">
        <v>576</v>
      </c>
      <c r="O2005" s="12" t="s">
        <v>53</v>
      </c>
      <c r="P2005" s="5" t="str">
        <f>IFERROR(__xludf.DUMMYFUNCTION("TEXTJOIN("" | "",TRUE,IF(OR(D2005="""",E2005="""",I2005="""",J2005="""",H2005=""""),""ফাঁকা ঘর"",""""),IF(AND(C2005&lt;&gt;"""",D2005&lt;&gt;"""",C2005=D2005),""gloss=figurative"",""""),IF(LEN(D2005)&lt;15,""figurative ছোট"",""""),IF(AND(I2005=""Positive"",REGEXMATCH(H2"&amp;"005,""মূর্খ|ভণ্ড|প্রতার|অলস|লোভ|স্বার্থ|অক্ষম|অযোগ্য|বোকা|কৃপণ|হিংস"")),""valence-target অমিল"",""""),IF(COUNTIF($B:$B,B2005)&gt;1,""ডুপ্লিকেট"",""""))"),"figurative ছোট")</f>
        <v>figurative ছোট</v>
      </c>
      <c r="Q2005" s="5" t="str">
        <f t="shared" si="1"/>
        <v>১ আগে দেখো</v>
      </c>
    </row>
    <row r="2006">
      <c r="A2006" s="4">
        <v>7698.0</v>
      </c>
      <c r="B2006" s="2" t="s">
        <v>7824</v>
      </c>
      <c r="C2006" s="2" t="s">
        <v>7825</v>
      </c>
      <c r="D2006" s="2" t="s">
        <v>996</v>
      </c>
      <c r="E2006" s="2" t="s">
        <v>7826</v>
      </c>
      <c r="F2006" s="2" t="b">
        <v>1</v>
      </c>
      <c r="G2006" s="2" t="b">
        <v>0</v>
      </c>
      <c r="H2006" s="2" t="s">
        <v>37</v>
      </c>
      <c r="I2006" s="2" t="s">
        <v>22</v>
      </c>
      <c r="J2006" s="2" t="s">
        <v>1249</v>
      </c>
      <c r="K2006" s="2" t="s">
        <v>495</v>
      </c>
      <c r="L2006" s="13" t="s">
        <v>496</v>
      </c>
      <c r="M2006" s="2" t="s">
        <v>26</v>
      </c>
      <c r="N2006" s="11" t="s">
        <v>576</v>
      </c>
      <c r="O2006" s="12" t="s">
        <v>53</v>
      </c>
      <c r="P2006" s="5" t="str">
        <f>IFERROR(__xludf.DUMMYFUNCTION("TEXTJOIN("" | "",TRUE,IF(OR(D2006="""",E2006="""",I2006="""",J2006="""",H2006=""""),""ফাঁকা ঘর"",""""),IF(AND(C2006&lt;&gt;"""",D2006&lt;&gt;"""",C2006=D2006),""gloss=figurative"",""""),IF(LEN(D2006)&lt;15,""figurative ছোট"",""""),IF(AND(I2006=""Positive"",REGEXMATCH(H2"&amp;"006,""মূর্খ|ভণ্ড|প্রতার|অলস|লোভ|স্বার্থ|অক্ষম|অযোগ্য|বোকা|কৃপণ|হিংস"")),""valence-target অমিল"",""""),IF(COUNTIF($B:$B,B2006)&gt;1,""ডুপ্লিকেট"",""""))"),"figurative ছোট")</f>
        <v>figurative ছোট</v>
      </c>
      <c r="Q2006" s="5" t="str">
        <f t="shared" si="1"/>
        <v>১ আগে দেখো</v>
      </c>
    </row>
    <row r="2007">
      <c r="A2007" s="4">
        <v>7699.0</v>
      </c>
      <c r="B2007" s="2" t="s">
        <v>7827</v>
      </c>
      <c r="C2007" s="2" t="s">
        <v>7828</v>
      </c>
      <c r="D2007" s="2" t="s">
        <v>7829</v>
      </c>
      <c r="E2007" s="2" t="s">
        <v>7830</v>
      </c>
      <c r="F2007" s="2" t="b">
        <v>1</v>
      </c>
      <c r="G2007" s="2" t="b">
        <v>0</v>
      </c>
      <c r="H2007" s="2" t="s">
        <v>37</v>
      </c>
      <c r="I2007" s="2" t="s">
        <v>22</v>
      </c>
      <c r="J2007" s="2" t="s">
        <v>4026</v>
      </c>
      <c r="K2007" s="2" t="s">
        <v>495</v>
      </c>
      <c r="L2007" s="13" t="s">
        <v>496</v>
      </c>
      <c r="M2007" s="2" t="s">
        <v>26</v>
      </c>
      <c r="N2007" s="11" t="s">
        <v>7831</v>
      </c>
      <c r="O2007" s="12" t="s">
        <v>53</v>
      </c>
      <c r="P2007" s="5" t="str">
        <f>IFERROR(__xludf.DUMMYFUNCTION("TEXTJOIN("" | "",TRUE,IF(OR(D2007="""",E2007="""",I2007="""",J2007="""",H2007=""""),""ফাঁকা ঘর"",""""),IF(AND(C2007&lt;&gt;"""",D2007&lt;&gt;"""",C2007=D2007),""gloss=figurative"",""""),IF(LEN(D2007)&lt;15,""figurative ছোট"",""""),IF(AND(I2007=""Positive"",REGEXMATCH(H2"&amp;"007,""মূর্খ|ভণ্ড|প্রতার|অলস|লোভ|স্বার্থ|অক্ষম|অযোগ্য|বোকা|কৃপণ|হিংস"")),""valence-target অমিল"",""""),IF(COUNTIF($B:$B,B2007)&gt;1,""ডুপ্লিকেট"",""""))"),"figurative ছোট")</f>
        <v>figurative ছোট</v>
      </c>
      <c r="Q2007" s="5" t="str">
        <f t="shared" si="1"/>
        <v>১ আগে দেখো</v>
      </c>
    </row>
    <row r="2008">
      <c r="A2008" s="4">
        <v>7700.0</v>
      </c>
      <c r="B2008" s="2" t="s">
        <v>7832</v>
      </c>
      <c r="C2008" s="2" t="s">
        <v>7833</v>
      </c>
      <c r="D2008" s="2" t="s">
        <v>842</v>
      </c>
      <c r="E2008" s="2" t="s">
        <v>7834</v>
      </c>
      <c r="F2008" s="2" t="b">
        <v>1</v>
      </c>
      <c r="G2008" s="2" t="b">
        <v>0</v>
      </c>
      <c r="H2008" s="2" t="s">
        <v>37</v>
      </c>
      <c r="I2008" s="2" t="s">
        <v>22</v>
      </c>
      <c r="J2008" s="2" t="s">
        <v>4026</v>
      </c>
      <c r="K2008" s="2" t="s">
        <v>495</v>
      </c>
      <c r="L2008" s="13" t="s">
        <v>496</v>
      </c>
      <c r="M2008" s="2" t="s">
        <v>26</v>
      </c>
      <c r="N2008" s="11" t="s">
        <v>7831</v>
      </c>
      <c r="O2008" s="12" t="s">
        <v>53</v>
      </c>
      <c r="P2008" s="5" t="str">
        <f>IFERROR(__xludf.DUMMYFUNCTION("TEXTJOIN("" | "",TRUE,IF(OR(D2008="""",E2008="""",I2008="""",J2008="""",H2008=""""),""ফাঁকা ঘর"",""""),IF(AND(C2008&lt;&gt;"""",D2008&lt;&gt;"""",C2008=D2008),""gloss=figurative"",""""),IF(LEN(D2008)&lt;15,""figurative ছোট"",""""),IF(AND(I2008=""Positive"",REGEXMATCH(H2"&amp;"008,""মূর্খ|ভণ্ড|প্রতার|অলস|লোভ|স্বার্থ|অক্ষম|অযোগ্য|বোকা|কৃপণ|হিংস"")),""valence-target অমিল"",""""),IF(COUNTIF($B:$B,B2008)&gt;1,""ডুপ্লিকেট"",""""))"),"figurative ছোট")</f>
        <v>figurative ছোট</v>
      </c>
      <c r="Q2008" s="5" t="str">
        <f t="shared" si="1"/>
        <v>১ আগে দেখো</v>
      </c>
    </row>
    <row r="2009">
      <c r="A2009" s="4">
        <v>7701.0</v>
      </c>
      <c r="B2009" s="2" t="s">
        <v>7835</v>
      </c>
      <c r="C2009" s="2" t="s">
        <v>7836</v>
      </c>
      <c r="D2009" s="2" t="s">
        <v>7837</v>
      </c>
      <c r="E2009" s="2" t="s">
        <v>7838</v>
      </c>
      <c r="F2009" s="2" t="b">
        <v>1</v>
      </c>
      <c r="G2009" s="2" t="b">
        <v>0</v>
      </c>
      <c r="H2009" s="2" t="s">
        <v>37</v>
      </c>
      <c r="I2009" s="2" t="s">
        <v>49</v>
      </c>
      <c r="J2009" s="2" t="s">
        <v>3684</v>
      </c>
      <c r="K2009" s="2" t="s">
        <v>495</v>
      </c>
      <c r="L2009" s="13" t="s">
        <v>496</v>
      </c>
      <c r="M2009" s="2" t="s">
        <v>26</v>
      </c>
      <c r="N2009" s="11" t="s">
        <v>576</v>
      </c>
      <c r="O2009" s="12" t="s">
        <v>53</v>
      </c>
      <c r="P2009" s="5" t="str">
        <f>IFERROR(__xludf.DUMMYFUNCTION("TEXTJOIN("" | "",TRUE,IF(OR(D2009="""",E2009="""",I2009="""",J2009="""",H2009=""""),""ফাঁকা ঘর"",""""),IF(AND(C2009&lt;&gt;"""",D2009&lt;&gt;"""",C2009=D2009),""gloss=figurative"",""""),IF(LEN(D2009)&lt;15,""figurative ছোট"",""""),IF(AND(I2009=""Positive"",REGEXMATCH(H2"&amp;"009,""মূর্খ|ভণ্ড|প্রতার|অলস|লোভ|স্বার্থ|অক্ষম|অযোগ্য|বোকা|কৃপণ|হিংস"")),""valence-target অমিল"",""""),IF(COUNTIF($B:$B,B2009)&gt;1,""ডুপ্লিকেট"",""""))"),"figurative ছোট")</f>
        <v>figurative ছোট</v>
      </c>
      <c r="Q2009" s="5" t="str">
        <f t="shared" si="1"/>
        <v>১ আগে দেখো</v>
      </c>
    </row>
    <row r="2010">
      <c r="A2010" s="4">
        <v>7702.0</v>
      </c>
      <c r="B2010" s="2" t="s">
        <v>7839</v>
      </c>
      <c r="C2010" s="2" t="s">
        <v>7840</v>
      </c>
      <c r="D2010" s="2" t="s">
        <v>2273</v>
      </c>
      <c r="E2010" s="2" t="s">
        <v>7841</v>
      </c>
      <c r="F2010" s="2" t="b">
        <v>1</v>
      </c>
      <c r="G2010" s="2" t="b">
        <v>0</v>
      </c>
      <c r="H2010" s="2" t="s">
        <v>37</v>
      </c>
      <c r="I2010" s="2" t="s">
        <v>49</v>
      </c>
      <c r="J2010" s="2" t="s">
        <v>2273</v>
      </c>
      <c r="K2010" s="2" t="s">
        <v>495</v>
      </c>
      <c r="L2010" s="13" t="s">
        <v>496</v>
      </c>
      <c r="M2010" s="2" t="s">
        <v>26</v>
      </c>
      <c r="N2010" s="11" t="s">
        <v>576</v>
      </c>
      <c r="O2010" s="12" t="s">
        <v>53</v>
      </c>
      <c r="P2010" s="5" t="str">
        <f>IFERROR(__xludf.DUMMYFUNCTION("TEXTJOIN("" | "",TRUE,IF(OR(D2010="""",E2010="""",I2010="""",J2010="""",H2010=""""),""ফাঁকা ঘর"",""""),IF(AND(C2010&lt;&gt;"""",D2010&lt;&gt;"""",C2010=D2010),""gloss=figurative"",""""),IF(LEN(D2010)&lt;15,""figurative ছোট"",""""),IF(AND(I2010=""Positive"",REGEXMATCH(H2"&amp;"010,""মূর্খ|ভণ্ড|প্রতার|অলস|লোভ|স্বার্থ|অক্ষম|অযোগ্য|বোকা|কৃপণ|হিংস"")),""valence-target অমিল"",""""),IF(COUNTIF($B:$B,B2010)&gt;1,""ডুপ্লিকেট"",""""))"),"figurative ছোট")</f>
        <v>figurative ছোট</v>
      </c>
      <c r="Q2010" s="5" t="str">
        <f t="shared" si="1"/>
        <v>১ আগে দেখো</v>
      </c>
    </row>
    <row r="2011">
      <c r="A2011" s="4">
        <v>7703.0</v>
      </c>
      <c r="B2011" s="2" t="s">
        <v>7842</v>
      </c>
      <c r="C2011" s="2" t="s">
        <v>7842</v>
      </c>
      <c r="D2011" s="2" t="s">
        <v>7843</v>
      </c>
      <c r="E2011" s="2" t="s">
        <v>7844</v>
      </c>
      <c r="F2011" s="2" t="b">
        <v>1</v>
      </c>
      <c r="G2011" s="2" t="b">
        <v>0</v>
      </c>
      <c r="H2011" s="2" t="s">
        <v>37</v>
      </c>
      <c r="I2011" s="2" t="s">
        <v>49</v>
      </c>
      <c r="J2011" s="2" t="s">
        <v>3684</v>
      </c>
      <c r="K2011" s="2" t="s">
        <v>495</v>
      </c>
      <c r="L2011" s="13" t="s">
        <v>496</v>
      </c>
      <c r="M2011" s="2" t="s">
        <v>26</v>
      </c>
      <c r="N2011" s="11" t="s">
        <v>576</v>
      </c>
      <c r="O2011" s="12" t="s">
        <v>53</v>
      </c>
      <c r="P2011" s="5" t="str">
        <f>IFERROR(__xludf.DUMMYFUNCTION("TEXTJOIN("" | "",TRUE,IF(OR(D2011="""",E2011="""",I2011="""",J2011="""",H2011=""""),""ফাঁকা ঘর"",""""),IF(AND(C2011&lt;&gt;"""",D2011&lt;&gt;"""",C2011=D2011),""gloss=figurative"",""""),IF(LEN(D2011)&lt;15,""figurative ছোট"",""""),IF(AND(I2011=""Positive"",REGEXMATCH(H2"&amp;"011,""মূর্খ|ভণ্ড|প্রতার|অলস|লোভ|স্বার্থ|অক্ষম|অযোগ্য|বোকা|কৃপণ|হিংস"")),""valence-target অমিল"",""""),IF(COUNTIF($B:$B,B2011)&gt;1,""ডুপ্লিকেট"",""""))"),"figurative ছোট")</f>
        <v>figurative ছোট</v>
      </c>
      <c r="Q2011" s="5" t="str">
        <f t="shared" si="1"/>
        <v>১ আগে দেখো</v>
      </c>
    </row>
    <row r="2012">
      <c r="A2012" s="4">
        <v>7704.0</v>
      </c>
      <c r="B2012" s="2" t="s">
        <v>7845</v>
      </c>
      <c r="C2012" s="2" t="s">
        <v>6923</v>
      </c>
      <c r="D2012" s="2" t="s">
        <v>2015</v>
      </c>
      <c r="E2012" s="2" t="s">
        <v>6961</v>
      </c>
      <c r="F2012" s="2" t="b">
        <v>1</v>
      </c>
      <c r="G2012" s="2" t="b">
        <v>0</v>
      </c>
      <c r="H2012" s="2" t="s">
        <v>37</v>
      </c>
      <c r="I2012" s="2" t="s">
        <v>49</v>
      </c>
      <c r="J2012" s="2" t="s">
        <v>2015</v>
      </c>
      <c r="K2012" s="2" t="s">
        <v>495</v>
      </c>
      <c r="L2012" s="13" t="s">
        <v>496</v>
      </c>
      <c r="M2012" s="2" t="s">
        <v>26</v>
      </c>
      <c r="N2012" s="11" t="s">
        <v>576</v>
      </c>
      <c r="O2012" s="12" t="s">
        <v>53</v>
      </c>
      <c r="P2012" s="5" t="str">
        <f>IFERROR(__xludf.DUMMYFUNCTION("TEXTJOIN("" | "",TRUE,IF(OR(D2012="""",E2012="""",I2012="""",J2012="""",H2012=""""),""ফাঁকা ঘর"",""""),IF(AND(C2012&lt;&gt;"""",D2012&lt;&gt;"""",C2012=D2012),""gloss=figurative"",""""),IF(LEN(D2012)&lt;15,""figurative ছোট"",""""),IF(AND(I2012=""Positive"",REGEXMATCH(H2"&amp;"012,""মূর্খ|ভণ্ড|প্রতার|অলস|লোভ|স্বার্থ|অক্ষম|অযোগ্য|বোকা|কৃপণ|হিংস"")),""valence-target অমিল"",""""),IF(COUNTIF($B:$B,B2012)&gt;1,""ডুপ্লিকেট"",""""))"),"figurative ছোট")</f>
        <v>figurative ছোট</v>
      </c>
      <c r="Q2012" s="5" t="str">
        <f t="shared" si="1"/>
        <v>১ আগে দেখো</v>
      </c>
    </row>
    <row r="2013">
      <c r="A2013" s="4">
        <v>7705.0</v>
      </c>
      <c r="B2013" s="2" t="s">
        <v>7846</v>
      </c>
      <c r="C2013" s="2" t="s">
        <v>7847</v>
      </c>
      <c r="D2013" s="2" t="s">
        <v>2040</v>
      </c>
      <c r="E2013" s="2" t="s">
        <v>7848</v>
      </c>
      <c r="F2013" s="2" t="b">
        <v>1</v>
      </c>
      <c r="G2013" s="2" t="b">
        <v>0</v>
      </c>
      <c r="H2013" s="2" t="s">
        <v>37</v>
      </c>
      <c r="I2013" s="2" t="s">
        <v>49</v>
      </c>
      <c r="J2013" s="2" t="s">
        <v>2040</v>
      </c>
      <c r="K2013" s="2" t="s">
        <v>495</v>
      </c>
      <c r="L2013" s="13" t="s">
        <v>496</v>
      </c>
      <c r="M2013" s="2" t="s">
        <v>26</v>
      </c>
      <c r="N2013" s="11" t="s">
        <v>576</v>
      </c>
      <c r="O2013" s="12" t="s">
        <v>53</v>
      </c>
      <c r="P2013" s="5" t="str">
        <f>IFERROR(__xludf.DUMMYFUNCTION("TEXTJOIN("" | "",TRUE,IF(OR(D2013="""",E2013="""",I2013="""",J2013="""",H2013=""""),""ফাঁকা ঘর"",""""),IF(AND(C2013&lt;&gt;"""",D2013&lt;&gt;"""",C2013=D2013),""gloss=figurative"",""""),IF(LEN(D2013)&lt;15,""figurative ছোট"",""""),IF(AND(I2013=""Positive"",REGEXMATCH(H2"&amp;"013,""মূর্খ|ভণ্ড|প্রতার|অলস|লোভ|স্বার্থ|অক্ষম|অযোগ্য|বোকা|কৃপণ|হিংস"")),""valence-target অমিল"",""""),IF(COUNTIF($B:$B,B2013)&gt;1,""ডুপ্লিকেট"",""""))"),"figurative ছোট")</f>
        <v>figurative ছোট</v>
      </c>
      <c r="Q2013" s="5" t="str">
        <f t="shared" si="1"/>
        <v>১ আগে দেখো</v>
      </c>
    </row>
    <row r="2014">
      <c r="A2014" s="4">
        <v>7706.0</v>
      </c>
      <c r="B2014" s="2" t="s">
        <v>7849</v>
      </c>
      <c r="C2014" s="2" t="s">
        <v>7850</v>
      </c>
      <c r="D2014" s="2" t="s">
        <v>2040</v>
      </c>
      <c r="E2014" s="2" t="s">
        <v>7851</v>
      </c>
      <c r="F2014" s="2" t="b">
        <v>1</v>
      </c>
      <c r="G2014" s="2" t="b">
        <v>0</v>
      </c>
      <c r="H2014" s="2" t="s">
        <v>37</v>
      </c>
      <c r="I2014" s="2" t="s">
        <v>22</v>
      </c>
      <c r="J2014" s="2" t="s">
        <v>2040</v>
      </c>
      <c r="K2014" s="2" t="s">
        <v>495</v>
      </c>
      <c r="L2014" s="13" t="s">
        <v>496</v>
      </c>
      <c r="M2014" s="2" t="s">
        <v>26</v>
      </c>
      <c r="N2014" s="11" t="s">
        <v>576</v>
      </c>
      <c r="O2014" s="12" t="s">
        <v>53</v>
      </c>
      <c r="P2014" s="5" t="str">
        <f>IFERROR(__xludf.DUMMYFUNCTION("TEXTJOIN("" | "",TRUE,IF(OR(D2014="""",E2014="""",I2014="""",J2014="""",H2014=""""),""ফাঁকা ঘর"",""""),IF(AND(C2014&lt;&gt;"""",D2014&lt;&gt;"""",C2014=D2014),""gloss=figurative"",""""),IF(LEN(D2014)&lt;15,""figurative ছোট"",""""),IF(AND(I2014=""Positive"",REGEXMATCH(H2"&amp;"014,""মূর্খ|ভণ্ড|প্রতার|অলস|লোভ|স্বার্থ|অক্ষম|অযোগ্য|বোকা|কৃপণ|হিংস"")),""valence-target অমিল"",""""),IF(COUNTIF($B:$B,B2014)&gt;1,""ডুপ্লিকেট"",""""))"),"figurative ছোট")</f>
        <v>figurative ছোট</v>
      </c>
      <c r="Q2014" s="5" t="str">
        <f t="shared" si="1"/>
        <v>১ আগে দেখো</v>
      </c>
    </row>
    <row r="2015">
      <c r="A2015" s="4">
        <v>7707.0</v>
      </c>
      <c r="B2015" s="2" t="s">
        <v>7852</v>
      </c>
      <c r="C2015" s="2" t="s">
        <v>7853</v>
      </c>
      <c r="D2015" s="2" t="s">
        <v>646</v>
      </c>
      <c r="E2015" s="2" t="s">
        <v>7854</v>
      </c>
      <c r="F2015" s="2" t="b">
        <v>1</v>
      </c>
      <c r="G2015" s="2" t="b">
        <v>0</v>
      </c>
      <c r="H2015" s="2" t="s">
        <v>37</v>
      </c>
      <c r="I2015" s="2" t="s">
        <v>32</v>
      </c>
      <c r="J2015" s="2" t="s">
        <v>646</v>
      </c>
      <c r="K2015" s="2" t="s">
        <v>495</v>
      </c>
      <c r="L2015" s="13" t="s">
        <v>496</v>
      </c>
      <c r="M2015" s="2" t="s">
        <v>26</v>
      </c>
      <c r="N2015" s="11" t="s">
        <v>576</v>
      </c>
      <c r="O2015" s="12" t="s">
        <v>53</v>
      </c>
      <c r="P2015" s="5" t="str">
        <f>IFERROR(__xludf.DUMMYFUNCTION("TEXTJOIN("" | "",TRUE,IF(OR(D2015="""",E2015="""",I2015="""",J2015="""",H2015=""""),""ফাঁকা ঘর"",""""),IF(AND(C2015&lt;&gt;"""",D2015&lt;&gt;"""",C2015=D2015),""gloss=figurative"",""""),IF(LEN(D2015)&lt;15,""figurative ছোট"",""""),IF(AND(I2015=""Positive"",REGEXMATCH(H2"&amp;"015,""মূর্খ|ভণ্ড|প্রতার|অলস|লোভ|স্বার্থ|অক্ষম|অযোগ্য|বোকা|কৃপণ|হিংস"")),""valence-target অমিল"",""""),IF(COUNTIF($B:$B,B2015)&gt;1,""ডুপ্লিকেট"",""""))"),"figurative ছোট")</f>
        <v>figurative ছোট</v>
      </c>
      <c r="Q2015" s="5" t="str">
        <f t="shared" si="1"/>
        <v>১ আগে দেখো</v>
      </c>
    </row>
    <row r="2016">
      <c r="A2016" s="4">
        <v>7708.0</v>
      </c>
      <c r="B2016" s="2" t="s">
        <v>7855</v>
      </c>
      <c r="C2016" s="2" t="s">
        <v>7856</v>
      </c>
      <c r="D2016" s="2" t="s">
        <v>7857</v>
      </c>
      <c r="E2016" s="2" t="s">
        <v>7858</v>
      </c>
      <c r="F2016" s="2" t="b">
        <v>1</v>
      </c>
      <c r="G2016" s="2" t="b">
        <v>0</v>
      </c>
      <c r="H2016" s="2" t="s">
        <v>37</v>
      </c>
      <c r="I2016" s="2" t="s">
        <v>22</v>
      </c>
      <c r="J2016" s="2" t="s">
        <v>7857</v>
      </c>
      <c r="K2016" s="2" t="s">
        <v>495</v>
      </c>
      <c r="L2016" s="13" t="s">
        <v>496</v>
      </c>
      <c r="M2016" s="2" t="s">
        <v>26</v>
      </c>
      <c r="N2016" s="11" t="s">
        <v>576</v>
      </c>
      <c r="O2016" s="12" t="s">
        <v>53</v>
      </c>
      <c r="P2016" s="5" t="str">
        <f>IFERROR(__xludf.DUMMYFUNCTION("TEXTJOIN("" | "",TRUE,IF(OR(D2016="""",E2016="""",I2016="""",J2016="""",H2016=""""),""ফাঁকা ঘর"",""""),IF(AND(C2016&lt;&gt;"""",D2016&lt;&gt;"""",C2016=D2016),""gloss=figurative"",""""),IF(LEN(D2016)&lt;15,""figurative ছোট"",""""),IF(AND(I2016=""Positive"",REGEXMATCH(H2"&amp;"016,""মূর্খ|ভণ্ড|প্রতার|অলস|লোভ|স্বার্থ|অক্ষম|অযোগ্য|বোকা|কৃপণ|হিংস"")),""valence-target অমিল"",""""),IF(COUNTIF($B:$B,B2016)&gt;1,""ডুপ্লিকেট"",""""))"),"figurative ছোট")</f>
        <v>figurative ছোট</v>
      </c>
      <c r="Q2016" s="5" t="str">
        <f t="shared" si="1"/>
        <v>১ আগে দেখো</v>
      </c>
    </row>
    <row r="2017">
      <c r="A2017" s="4">
        <v>7709.0</v>
      </c>
      <c r="B2017" s="2" t="s">
        <v>7859</v>
      </c>
      <c r="C2017" s="2" t="s">
        <v>7860</v>
      </c>
      <c r="D2017" s="2" t="s">
        <v>1175</v>
      </c>
      <c r="E2017" s="2" t="s">
        <v>7861</v>
      </c>
      <c r="F2017" s="2" t="b">
        <v>1</v>
      </c>
      <c r="G2017" s="2" t="b">
        <v>0</v>
      </c>
      <c r="H2017" s="2" t="s">
        <v>37</v>
      </c>
      <c r="I2017" s="2" t="s">
        <v>49</v>
      </c>
      <c r="J2017" s="2" t="s">
        <v>1175</v>
      </c>
      <c r="K2017" s="2" t="s">
        <v>495</v>
      </c>
      <c r="L2017" s="13" t="s">
        <v>496</v>
      </c>
      <c r="M2017" s="2" t="s">
        <v>26</v>
      </c>
      <c r="N2017" s="11" t="s">
        <v>576</v>
      </c>
      <c r="O2017" s="12" t="s">
        <v>53</v>
      </c>
      <c r="P2017" s="5" t="str">
        <f>IFERROR(__xludf.DUMMYFUNCTION("TEXTJOIN("" | "",TRUE,IF(OR(D2017="""",E2017="""",I2017="""",J2017="""",H2017=""""),""ফাঁকা ঘর"",""""),IF(AND(C2017&lt;&gt;"""",D2017&lt;&gt;"""",C2017=D2017),""gloss=figurative"",""""),IF(LEN(D2017)&lt;15,""figurative ছোট"",""""),IF(AND(I2017=""Positive"",REGEXMATCH(H2"&amp;"017,""মূর্খ|ভণ্ড|প্রতার|অলস|লোভ|স্বার্থ|অক্ষম|অযোগ্য|বোকা|কৃপণ|হিংস"")),""valence-target অমিল"",""""),IF(COUNTIF($B:$B,B2017)&gt;1,""ডুপ্লিকেট"",""""))"),"figurative ছোট")</f>
        <v>figurative ছোট</v>
      </c>
      <c r="Q2017" s="5" t="str">
        <f t="shared" si="1"/>
        <v>১ আগে দেখো</v>
      </c>
    </row>
    <row r="2018">
      <c r="A2018" s="4">
        <v>7710.0</v>
      </c>
      <c r="B2018" s="2" t="s">
        <v>7862</v>
      </c>
      <c r="C2018" s="2" t="s">
        <v>7863</v>
      </c>
      <c r="D2018" s="2" t="s">
        <v>7512</v>
      </c>
      <c r="E2018" s="2" t="s">
        <v>7864</v>
      </c>
      <c r="F2018" s="2" t="b">
        <v>1</v>
      </c>
      <c r="G2018" s="2" t="b">
        <v>0</v>
      </c>
      <c r="H2018" s="2" t="s">
        <v>1484</v>
      </c>
      <c r="I2018" s="2" t="s">
        <v>22</v>
      </c>
      <c r="J2018" s="2" t="s">
        <v>1740</v>
      </c>
      <c r="K2018" s="2" t="s">
        <v>495</v>
      </c>
      <c r="L2018" s="13" t="s">
        <v>496</v>
      </c>
      <c r="M2018" s="2" t="s">
        <v>26</v>
      </c>
      <c r="N2018" s="11" t="s">
        <v>576</v>
      </c>
      <c r="O2018" s="12" t="s">
        <v>53</v>
      </c>
      <c r="P2018" s="5" t="str">
        <f>IFERROR(__xludf.DUMMYFUNCTION("TEXTJOIN("" | "",TRUE,IF(OR(D2018="""",E2018="""",I2018="""",J2018="""",H2018=""""),""ফাঁকা ঘর"",""""),IF(AND(C2018&lt;&gt;"""",D2018&lt;&gt;"""",C2018=D2018),""gloss=figurative"",""""),IF(LEN(D2018)&lt;15,""figurative ছোট"",""""),IF(AND(I2018=""Positive"",REGEXMATCH(H2"&amp;"018,""মূর্খ|ভণ্ড|প্রতার|অলস|লোভ|স্বার্থ|অক্ষম|অযোগ্য|বোকা|কৃপণ|হিংস"")),""valence-target অমিল"",""""),IF(COUNTIF($B:$B,B2018)&gt;1,""ডুপ্লিকেট"",""""))"),"figurative ছোট")</f>
        <v>figurative ছোট</v>
      </c>
      <c r="Q2018" s="5" t="str">
        <f t="shared" si="1"/>
        <v>১ আগে দেখো</v>
      </c>
    </row>
    <row r="2019">
      <c r="A2019" s="4">
        <v>7711.0</v>
      </c>
      <c r="B2019" s="2" t="s">
        <v>7865</v>
      </c>
      <c r="C2019" s="2" t="s">
        <v>7866</v>
      </c>
      <c r="D2019" s="2" t="s">
        <v>2243</v>
      </c>
      <c r="E2019" s="2" t="s">
        <v>7867</v>
      </c>
      <c r="F2019" s="2" t="b">
        <v>1</v>
      </c>
      <c r="G2019" s="2" t="b">
        <v>0</v>
      </c>
      <c r="H2019" s="2" t="s">
        <v>2243</v>
      </c>
      <c r="I2019" s="2" t="s">
        <v>22</v>
      </c>
      <c r="J2019" s="2" t="s">
        <v>820</v>
      </c>
      <c r="K2019" s="2" t="s">
        <v>495</v>
      </c>
      <c r="L2019" s="13" t="s">
        <v>496</v>
      </c>
      <c r="M2019" s="2" t="s">
        <v>26</v>
      </c>
      <c r="N2019" s="11" t="s">
        <v>576</v>
      </c>
      <c r="O2019" s="12" t="s">
        <v>53</v>
      </c>
      <c r="P2019" s="5" t="str">
        <f>IFERROR(__xludf.DUMMYFUNCTION("TEXTJOIN("" | "",TRUE,IF(OR(D2019="""",E2019="""",I2019="""",J2019="""",H2019=""""),""ফাঁকা ঘর"",""""),IF(AND(C2019&lt;&gt;"""",D2019&lt;&gt;"""",C2019=D2019),""gloss=figurative"",""""),IF(LEN(D2019)&lt;15,""figurative ছোট"",""""),IF(AND(I2019=""Positive"",REGEXMATCH(H2"&amp;"019,""মূর্খ|ভণ্ড|প্রতার|অলস|লোভ|স্বার্থ|অক্ষম|অযোগ্য|বোকা|কৃপণ|হিংস"")),""valence-target অমিল"",""""),IF(COUNTIF($B:$B,B2019)&gt;1,""ডুপ্লিকেট"",""""))"),"figurative ছোট")</f>
        <v>figurative ছোট</v>
      </c>
      <c r="Q2019" s="5" t="str">
        <f t="shared" si="1"/>
        <v>১ আগে দেখো</v>
      </c>
    </row>
    <row r="2020">
      <c r="A2020" s="4">
        <v>7712.0</v>
      </c>
      <c r="B2020" s="2" t="s">
        <v>7868</v>
      </c>
      <c r="C2020" s="2" t="s">
        <v>7868</v>
      </c>
      <c r="D2020" s="2" t="s">
        <v>1175</v>
      </c>
      <c r="E2020" s="2" t="s">
        <v>7869</v>
      </c>
      <c r="F2020" s="2" t="b">
        <v>1</v>
      </c>
      <c r="G2020" s="2" t="b">
        <v>0</v>
      </c>
      <c r="H2020" s="2" t="s">
        <v>37</v>
      </c>
      <c r="I2020" s="2" t="s">
        <v>49</v>
      </c>
      <c r="J2020" s="2" t="s">
        <v>1175</v>
      </c>
      <c r="K2020" s="2" t="s">
        <v>495</v>
      </c>
      <c r="L2020" s="13" t="s">
        <v>496</v>
      </c>
      <c r="M2020" s="2" t="s">
        <v>26</v>
      </c>
      <c r="N2020" s="11" t="s">
        <v>576</v>
      </c>
      <c r="O2020" s="12" t="s">
        <v>53</v>
      </c>
      <c r="P2020" s="5" t="str">
        <f>IFERROR(__xludf.DUMMYFUNCTION("TEXTJOIN("" | "",TRUE,IF(OR(D2020="""",E2020="""",I2020="""",J2020="""",H2020=""""),""ফাঁকা ঘর"",""""),IF(AND(C2020&lt;&gt;"""",D2020&lt;&gt;"""",C2020=D2020),""gloss=figurative"",""""),IF(LEN(D2020)&lt;15,""figurative ছোট"",""""),IF(AND(I2020=""Positive"",REGEXMATCH(H2"&amp;"020,""মূর্খ|ভণ্ড|প্রতার|অলস|লোভ|স্বার্থ|অক্ষম|অযোগ্য|বোকা|কৃপণ|হিংস"")),""valence-target অমিল"",""""),IF(COUNTIF($B:$B,B2020)&gt;1,""ডুপ্লিকেট"",""""))"),"figurative ছোট")</f>
        <v>figurative ছোট</v>
      </c>
      <c r="Q2020" s="5" t="str">
        <f t="shared" si="1"/>
        <v>১ আগে দেখো</v>
      </c>
    </row>
    <row r="2021">
      <c r="A2021" s="4">
        <v>7713.0</v>
      </c>
      <c r="B2021" s="2" t="s">
        <v>7870</v>
      </c>
      <c r="C2021" s="2" t="s">
        <v>7870</v>
      </c>
      <c r="D2021" s="2" t="s">
        <v>340</v>
      </c>
      <c r="E2021" s="2" t="s">
        <v>7871</v>
      </c>
      <c r="F2021" s="2" t="b">
        <v>1</v>
      </c>
      <c r="G2021" s="2" t="b">
        <v>0</v>
      </c>
      <c r="H2021" s="2" t="s">
        <v>37</v>
      </c>
      <c r="I2021" s="2" t="s">
        <v>49</v>
      </c>
      <c r="J2021" s="2" t="s">
        <v>340</v>
      </c>
      <c r="K2021" s="2" t="s">
        <v>495</v>
      </c>
      <c r="L2021" s="13" t="s">
        <v>496</v>
      </c>
      <c r="M2021" s="2" t="s">
        <v>26</v>
      </c>
      <c r="N2021" s="11" t="s">
        <v>576</v>
      </c>
      <c r="O2021" s="12" t="s">
        <v>53</v>
      </c>
      <c r="P2021" s="5" t="str">
        <f>IFERROR(__xludf.DUMMYFUNCTION("TEXTJOIN("" | "",TRUE,IF(OR(D2021="""",E2021="""",I2021="""",J2021="""",H2021=""""),""ফাঁকা ঘর"",""""),IF(AND(C2021&lt;&gt;"""",D2021&lt;&gt;"""",C2021=D2021),""gloss=figurative"",""""),IF(LEN(D2021)&lt;15,""figurative ছোট"",""""),IF(AND(I2021=""Positive"",REGEXMATCH(H2"&amp;"021,""মূর্খ|ভণ্ড|প্রতার|অলস|লোভ|স্বার্থ|অক্ষম|অযোগ্য|বোকা|কৃপণ|হিংস"")),""valence-target অমিল"",""""),IF(COUNTIF($B:$B,B2021)&gt;1,""ডুপ্লিকেট"",""""))"),"figurative ছোট")</f>
        <v>figurative ছোট</v>
      </c>
      <c r="Q2021" s="5" t="str">
        <f t="shared" si="1"/>
        <v>১ আগে দেখো</v>
      </c>
    </row>
    <row r="2022">
      <c r="A2022" s="4">
        <v>7714.0</v>
      </c>
      <c r="B2022" s="2" t="s">
        <v>7872</v>
      </c>
      <c r="C2022" s="2" t="s">
        <v>7873</v>
      </c>
      <c r="D2022" s="2" t="s">
        <v>1175</v>
      </c>
      <c r="E2022" s="2" t="s">
        <v>7874</v>
      </c>
      <c r="F2022" s="2" t="b">
        <v>1</v>
      </c>
      <c r="G2022" s="2" t="b">
        <v>0</v>
      </c>
      <c r="H2022" s="2" t="s">
        <v>37</v>
      </c>
      <c r="I2022" s="2" t="s">
        <v>49</v>
      </c>
      <c r="J2022" s="2" t="s">
        <v>1175</v>
      </c>
      <c r="K2022" s="2" t="s">
        <v>495</v>
      </c>
      <c r="L2022" s="13" t="s">
        <v>496</v>
      </c>
      <c r="M2022" s="2" t="s">
        <v>26</v>
      </c>
      <c r="N2022" s="11" t="s">
        <v>576</v>
      </c>
      <c r="O2022" s="12" t="s">
        <v>53</v>
      </c>
      <c r="P2022" s="5" t="str">
        <f>IFERROR(__xludf.DUMMYFUNCTION("TEXTJOIN("" | "",TRUE,IF(OR(D2022="""",E2022="""",I2022="""",J2022="""",H2022=""""),""ফাঁকা ঘর"",""""),IF(AND(C2022&lt;&gt;"""",D2022&lt;&gt;"""",C2022=D2022),""gloss=figurative"",""""),IF(LEN(D2022)&lt;15,""figurative ছোট"",""""),IF(AND(I2022=""Positive"",REGEXMATCH(H2"&amp;"022,""মূর্খ|ভণ্ড|প্রতার|অলস|লোভ|স্বার্থ|অক্ষম|অযোগ্য|বোকা|কৃপণ|হিংস"")),""valence-target অমিল"",""""),IF(COUNTIF($B:$B,B2022)&gt;1,""ডুপ্লিকেট"",""""))"),"figurative ছোট")</f>
        <v>figurative ছোট</v>
      </c>
      <c r="Q2022" s="5" t="str">
        <f t="shared" si="1"/>
        <v>১ আগে দেখো</v>
      </c>
    </row>
    <row r="2023">
      <c r="A2023" s="4">
        <v>7715.0</v>
      </c>
      <c r="B2023" s="2" t="s">
        <v>7875</v>
      </c>
      <c r="C2023" s="2" t="s">
        <v>7876</v>
      </c>
      <c r="D2023" s="2" t="s">
        <v>1438</v>
      </c>
      <c r="E2023" s="2" t="s">
        <v>7877</v>
      </c>
      <c r="F2023" s="2" t="b">
        <v>1</v>
      </c>
      <c r="G2023" s="2" t="b">
        <v>0</v>
      </c>
      <c r="H2023" s="2" t="s">
        <v>1025</v>
      </c>
      <c r="I2023" s="2" t="s">
        <v>22</v>
      </c>
      <c r="J2023" s="2" t="s">
        <v>1438</v>
      </c>
      <c r="K2023" s="2" t="s">
        <v>495</v>
      </c>
      <c r="L2023" s="13" t="s">
        <v>496</v>
      </c>
      <c r="M2023" s="2" t="s">
        <v>26</v>
      </c>
      <c r="N2023" s="11" t="s">
        <v>576</v>
      </c>
      <c r="O2023" s="12" t="s">
        <v>53</v>
      </c>
      <c r="P2023" s="5" t="str">
        <f>IFERROR(__xludf.DUMMYFUNCTION("TEXTJOIN("" | "",TRUE,IF(OR(D2023="""",E2023="""",I2023="""",J2023="""",H2023=""""),""ফাঁকা ঘর"",""""),IF(AND(C2023&lt;&gt;"""",D2023&lt;&gt;"""",C2023=D2023),""gloss=figurative"",""""),IF(LEN(D2023)&lt;15,""figurative ছোট"",""""),IF(AND(I2023=""Positive"",REGEXMATCH(H2"&amp;"023,""মূর্খ|ভণ্ড|প্রতার|অলস|লোভ|স্বার্থ|অক্ষম|অযোগ্য|বোকা|কৃপণ|হিংস"")),""valence-target অমিল"",""""),IF(COUNTIF($B:$B,B2023)&gt;1,""ডুপ্লিকেট"",""""))"),"figurative ছোট")</f>
        <v>figurative ছোট</v>
      </c>
      <c r="Q2023" s="5" t="str">
        <f t="shared" si="1"/>
        <v>১ আগে দেখো</v>
      </c>
    </row>
    <row r="2024">
      <c r="A2024" s="4">
        <v>7716.0</v>
      </c>
      <c r="B2024" s="2" t="s">
        <v>7878</v>
      </c>
      <c r="C2024" s="2" t="s">
        <v>7879</v>
      </c>
      <c r="D2024" s="2" t="s">
        <v>964</v>
      </c>
      <c r="E2024" s="2" t="s">
        <v>7880</v>
      </c>
      <c r="F2024" s="2" t="b">
        <v>1</v>
      </c>
      <c r="G2024" s="2" t="b">
        <v>0</v>
      </c>
      <c r="H2024" s="2" t="s">
        <v>37</v>
      </c>
      <c r="I2024" s="2" t="s">
        <v>49</v>
      </c>
      <c r="J2024" s="2" t="s">
        <v>964</v>
      </c>
      <c r="K2024" s="2" t="s">
        <v>495</v>
      </c>
      <c r="L2024" s="13" t="s">
        <v>496</v>
      </c>
      <c r="M2024" s="2" t="s">
        <v>26</v>
      </c>
      <c r="N2024" s="11" t="s">
        <v>576</v>
      </c>
      <c r="O2024" s="12" t="s">
        <v>53</v>
      </c>
      <c r="P2024" s="5" t="str">
        <f>IFERROR(__xludf.DUMMYFUNCTION("TEXTJOIN("" | "",TRUE,IF(OR(D2024="""",E2024="""",I2024="""",J2024="""",H2024=""""),""ফাঁকা ঘর"",""""),IF(AND(C2024&lt;&gt;"""",D2024&lt;&gt;"""",C2024=D2024),""gloss=figurative"",""""),IF(LEN(D2024)&lt;15,""figurative ছোট"",""""),IF(AND(I2024=""Positive"",REGEXMATCH(H2"&amp;"024,""মূর্খ|ভণ্ড|প্রতার|অলস|লোভ|স্বার্থ|অক্ষম|অযোগ্য|বোকা|কৃপণ|হিংস"")),""valence-target অমিল"",""""),IF(COUNTIF($B:$B,B2024)&gt;1,""ডুপ্লিকেট"",""""))"),"figurative ছোট")</f>
        <v>figurative ছোট</v>
      </c>
      <c r="Q2024" s="5" t="str">
        <f t="shared" si="1"/>
        <v>১ আগে দেখো</v>
      </c>
    </row>
    <row r="2025">
      <c r="A2025" s="4">
        <v>7717.0</v>
      </c>
      <c r="B2025" s="2" t="s">
        <v>7881</v>
      </c>
      <c r="C2025" s="2" t="s">
        <v>7881</v>
      </c>
      <c r="D2025" s="2" t="s">
        <v>964</v>
      </c>
      <c r="E2025" s="2" t="s">
        <v>7882</v>
      </c>
      <c r="F2025" s="2" t="b">
        <v>1</v>
      </c>
      <c r="G2025" s="2" t="b">
        <v>0</v>
      </c>
      <c r="H2025" s="2" t="s">
        <v>37</v>
      </c>
      <c r="I2025" s="2" t="s">
        <v>22</v>
      </c>
      <c r="J2025" s="2" t="s">
        <v>964</v>
      </c>
      <c r="K2025" s="2" t="s">
        <v>495</v>
      </c>
      <c r="L2025" s="13" t="s">
        <v>496</v>
      </c>
      <c r="M2025" s="2" t="s">
        <v>26</v>
      </c>
      <c r="N2025" s="11" t="s">
        <v>576</v>
      </c>
      <c r="O2025" s="12" t="s">
        <v>53</v>
      </c>
      <c r="P2025" s="5" t="str">
        <f>IFERROR(__xludf.DUMMYFUNCTION("TEXTJOIN("" | "",TRUE,IF(OR(D2025="""",E2025="""",I2025="""",J2025="""",H2025=""""),""ফাঁকা ঘর"",""""),IF(AND(C2025&lt;&gt;"""",D2025&lt;&gt;"""",C2025=D2025),""gloss=figurative"",""""),IF(LEN(D2025)&lt;15,""figurative ছোট"",""""),IF(AND(I2025=""Positive"",REGEXMATCH(H2"&amp;"025,""মূর্খ|ভণ্ড|প্রতার|অলস|লোভ|স্বার্থ|অক্ষম|অযোগ্য|বোকা|কৃপণ|হিংস"")),""valence-target অমিল"",""""),IF(COUNTIF($B:$B,B2025)&gt;1,""ডুপ্লিকেট"",""""))"),"figurative ছোট")</f>
        <v>figurative ছোট</v>
      </c>
      <c r="Q2025" s="5" t="str">
        <f t="shared" si="1"/>
        <v>১ আগে দেখো</v>
      </c>
    </row>
    <row r="2026">
      <c r="A2026" s="4">
        <v>7718.0</v>
      </c>
      <c r="B2026" s="2" t="s">
        <v>7883</v>
      </c>
      <c r="C2026" s="2" t="s">
        <v>7884</v>
      </c>
      <c r="D2026" s="2" t="s">
        <v>2040</v>
      </c>
      <c r="E2026" s="2" t="s">
        <v>7885</v>
      </c>
      <c r="F2026" s="2" t="b">
        <v>1</v>
      </c>
      <c r="G2026" s="2" t="b">
        <v>0</v>
      </c>
      <c r="H2026" s="2" t="s">
        <v>37</v>
      </c>
      <c r="I2026" s="2" t="s">
        <v>22</v>
      </c>
      <c r="J2026" s="2" t="s">
        <v>2040</v>
      </c>
      <c r="K2026" s="2" t="s">
        <v>495</v>
      </c>
      <c r="L2026" s="13" t="s">
        <v>496</v>
      </c>
      <c r="M2026" s="2" t="s">
        <v>26</v>
      </c>
      <c r="N2026" s="11" t="s">
        <v>576</v>
      </c>
      <c r="O2026" s="12" t="s">
        <v>53</v>
      </c>
      <c r="P2026" s="5" t="str">
        <f>IFERROR(__xludf.DUMMYFUNCTION("TEXTJOIN("" | "",TRUE,IF(OR(D2026="""",E2026="""",I2026="""",J2026="""",H2026=""""),""ফাঁকা ঘর"",""""),IF(AND(C2026&lt;&gt;"""",D2026&lt;&gt;"""",C2026=D2026),""gloss=figurative"",""""),IF(LEN(D2026)&lt;15,""figurative ছোট"",""""),IF(AND(I2026=""Positive"",REGEXMATCH(H2"&amp;"026,""মূর্খ|ভণ্ড|প্রতার|অলস|লোভ|স্বার্থ|অক্ষম|অযোগ্য|বোকা|কৃপণ|হিংস"")),""valence-target অমিল"",""""),IF(COUNTIF($B:$B,B2026)&gt;1,""ডুপ্লিকেট"",""""))"),"figurative ছোট")</f>
        <v>figurative ছোট</v>
      </c>
      <c r="Q2026" s="5" t="str">
        <f t="shared" si="1"/>
        <v>১ আগে দেখো</v>
      </c>
    </row>
    <row r="2027">
      <c r="A2027" s="4">
        <v>7719.0</v>
      </c>
      <c r="B2027" s="2" t="s">
        <v>7886</v>
      </c>
      <c r="C2027" s="2" t="s">
        <v>7886</v>
      </c>
      <c r="D2027" s="2" t="s">
        <v>1008</v>
      </c>
      <c r="E2027" s="2" t="s">
        <v>7887</v>
      </c>
      <c r="F2027" s="2" t="b">
        <v>1</v>
      </c>
      <c r="G2027" s="2" t="b">
        <v>0</v>
      </c>
      <c r="H2027" s="2" t="s">
        <v>37</v>
      </c>
      <c r="I2027" s="2" t="s">
        <v>49</v>
      </c>
      <c r="J2027" s="2" t="s">
        <v>1008</v>
      </c>
      <c r="K2027" s="2" t="s">
        <v>495</v>
      </c>
      <c r="L2027" s="13" t="s">
        <v>496</v>
      </c>
      <c r="M2027" s="2" t="s">
        <v>26</v>
      </c>
      <c r="N2027" s="11" t="s">
        <v>576</v>
      </c>
      <c r="O2027" s="12" t="s">
        <v>53</v>
      </c>
      <c r="P2027" s="5" t="str">
        <f>IFERROR(__xludf.DUMMYFUNCTION("TEXTJOIN("" | "",TRUE,IF(OR(D2027="""",E2027="""",I2027="""",J2027="""",H2027=""""),""ফাঁকা ঘর"",""""),IF(AND(C2027&lt;&gt;"""",D2027&lt;&gt;"""",C2027=D2027),""gloss=figurative"",""""),IF(LEN(D2027)&lt;15,""figurative ছোট"",""""),IF(AND(I2027=""Positive"",REGEXMATCH(H2"&amp;"027,""মূর্খ|ভণ্ড|প্রতার|অলস|লোভ|স্বার্থ|অক্ষম|অযোগ্য|বোকা|কৃপণ|হিংস"")),""valence-target অমিল"",""""),IF(COUNTIF($B:$B,B2027)&gt;1,""ডুপ্লিকেট"",""""))"),"figurative ছোট")</f>
        <v>figurative ছোট</v>
      </c>
      <c r="Q2027" s="5" t="str">
        <f t="shared" si="1"/>
        <v>১ আগে দেখো</v>
      </c>
    </row>
    <row r="2028">
      <c r="A2028" s="4">
        <v>7720.0</v>
      </c>
      <c r="B2028" s="2" t="s">
        <v>7888</v>
      </c>
      <c r="C2028" s="2" t="s">
        <v>7889</v>
      </c>
      <c r="D2028" s="2" t="s">
        <v>989</v>
      </c>
      <c r="E2028" s="2" t="s">
        <v>7890</v>
      </c>
      <c r="F2028" s="2" t="b">
        <v>1</v>
      </c>
      <c r="G2028" s="2" t="b">
        <v>0</v>
      </c>
      <c r="H2028" s="2" t="s">
        <v>989</v>
      </c>
      <c r="I2028" s="2" t="s">
        <v>22</v>
      </c>
      <c r="J2028" s="2" t="s">
        <v>990</v>
      </c>
      <c r="K2028" s="2" t="s">
        <v>495</v>
      </c>
      <c r="L2028" s="13" t="s">
        <v>496</v>
      </c>
      <c r="M2028" s="2" t="s">
        <v>26</v>
      </c>
      <c r="N2028" s="11" t="s">
        <v>576</v>
      </c>
      <c r="O2028" s="12" t="s">
        <v>53</v>
      </c>
      <c r="P2028" s="5" t="str">
        <f>IFERROR(__xludf.DUMMYFUNCTION("TEXTJOIN("" | "",TRUE,IF(OR(D2028="""",E2028="""",I2028="""",J2028="""",H2028=""""),""ফাঁকা ঘর"",""""),IF(AND(C2028&lt;&gt;"""",D2028&lt;&gt;"""",C2028=D2028),""gloss=figurative"",""""),IF(LEN(D2028)&lt;15,""figurative ছোট"",""""),IF(AND(I2028=""Positive"",REGEXMATCH(H2"&amp;"028,""মূর্খ|ভণ্ড|প্রতার|অলস|লোভ|স্বার্থ|অক্ষম|অযোগ্য|বোকা|কৃপণ|হিংস"")),""valence-target অমিল"",""""),IF(COUNTIF($B:$B,B2028)&gt;1,""ডুপ্লিকেট"",""""))"),"figurative ছোট")</f>
        <v>figurative ছোট</v>
      </c>
      <c r="Q2028" s="5" t="str">
        <f t="shared" si="1"/>
        <v>১ আগে দেখো</v>
      </c>
    </row>
    <row r="2029">
      <c r="A2029" s="4">
        <v>7721.0</v>
      </c>
      <c r="B2029" s="2" t="s">
        <v>7891</v>
      </c>
      <c r="C2029" s="2" t="s">
        <v>7892</v>
      </c>
      <c r="D2029" s="2" t="s">
        <v>989</v>
      </c>
      <c r="E2029" s="2" t="s">
        <v>7893</v>
      </c>
      <c r="F2029" s="2" t="b">
        <v>1</v>
      </c>
      <c r="G2029" s="2" t="b">
        <v>0</v>
      </c>
      <c r="H2029" s="2" t="s">
        <v>989</v>
      </c>
      <c r="I2029" s="2" t="s">
        <v>22</v>
      </c>
      <c r="J2029" s="2" t="s">
        <v>990</v>
      </c>
      <c r="K2029" s="2" t="s">
        <v>495</v>
      </c>
      <c r="L2029" s="13" t="s">
        <v>496</v>
      </c>
      <c r="M2029" s="2" t="s">
        <v>26</v>
      </c>
      <c r="N2029" s="11" t="s">
        <v>576</v>
      </c>
      <c r="O2029" s="12" t="s">
        <v>53</v>
      </c>
      <c r="P2029" s="5" t="str">
        <f>IFERROR(__xludf.DUMMYFUNCTION("TEXTJOIN("" | "",TRUE,IF(OR(D2029="""",E2029="""",I2029="""",J2029="""",H2029=""""),""ফাঁকা ঘর"",""""),IF(AND(C2029&lt;&gt;"""",D2029&lt;&gt;"""",C2029=D2029),""gloss=figurative"",""""),IF(LEN(D2029)&lt;15,""figurative ছোট"",""""),IF(AND(I2029=""Positive"",REGEXMATCH(H2"&amp;"029,""মূর্খ|ভণ্ড|প্রতার|অলস|লোভ|স্বার্থ|অক্ষম|অযোগ্য|বোকা|কৃপণ|হিংস"")),""valence-target অমিল"",""""),IF(COUNTIF($B:$B,B2029)&gt;1,""ডুপ্লিকেট"",""""))"),"figurative ছোট")</f>
        <v>figurative ছোট</v>
      </c>
      <c r="Q2029" s="5" t="str">
        <f t="shared" si="1"/>
        <v>১ আগে দেখো</v>
      </c>
    </row>
    <row r="2030">
      <c r="A2030" s="4">
        <v>7722.0</v>
      </c>
      <c r="B2030" s="2" t="s">
        <v>7894</v>
      </c>
      <c r="C2030" s="2" t="s">
        <v>7895</v>
      </c>
      <c r="D2030" s="2" t="s">
        <v>7896</v>
      </c>
      <c r="E2030" s="2" t="s">
        <v>7897</v>
      </c>
      <c r="F2030" s="2" t="b">
        <v>1</v>
      </c>
      <c r="G2030" s="2" t="b">
        <v>0</v>
      </c>
      <c r="H2030" s="2" t="s">
        <v>37</v>
      </c>
      <c r="I2030" s="2" t="s">
        <v>49</v>
      </c>
      <c r="J2030" s="2" t="s">
        <v>762</v>
      </c>
      <c r="K2030" s="2" t="s">
        <v>495</v>
      </c>
      <c r="L2030" s="13" t="s">
        <v>496</v>
      </c>
      <c r="M2030" s="2" t="s">
        <v>26</v>
      </c>
      <c r="N2030" s="11" t="s">
        <v>576</v>
      </c>
      <c r="O2030" s="12" t="s">
        <v>53</v>
      </c>
      <c r="P2030" s="5" t="str">
        <f>IFERROR(__xludf.DUMMYFUNCTION("TEXTJOIN("" | "",TRUE,IF(OR(D2030="""",E2030="""",I2030="""",J2030="""",H2030=""""),""ফাঁকা ঘর"",""""),IF(AND(C2030&lt;&gt;"""",D2030&lt;&gt;"""",C2030=D2030),""gloss=figurative"",""""),IF(LEN(D2030)&lt;15,""figurative ছোট"",""""),IF(AND(I2030=""Positive"",REGEXMATCH(H2"&amp;"030,""মূর্খ|ভণ্ড|প্রতার|অলস|লোভ|স্বার্থ|অক্ষম|অযোগ্য|বোকা|কৃপণ|হিংস"")),""valence-target অমিল"",""""),IF(COUNTIF($B:$B,B2030)&gt;1,""ডুপ্লিকেট"",""""))"),"figurative ছোট")</f>
        <v>figurative ছোট</v>
      </c>
      <c r="Q2030" s="5" t="str">
        <f t="shared" si="1"/>
        <v>১ আগে দেখো</v>
      </c>
    </row>
    <row r="2031">
      <c r="A2031" s="4">
        <v>7724.0</v>
      </c>
      <c r="B2031" s="2" t="s">
        <v>7898</v>
      </c>
      <c r="C2031" s="2" t="s">
        <v>7899</v>
      </c>
      <c r="D2031" s="2" t="s">
        <v>7900</v>
      </c>
      <c r="E2031" s="2" t="s">
        <v>7901</v>
      </c>
      <c r="F2031" s="2" t="b">
        <v>1</v>
      </c>
      <c r="G2031" s="2" t="b">
        <v>0</v>
      </c>
      <c r="H2031" s="2" t="s">
        <v>37</v>
      </c>
      <c r="I2031" s="2" t="s">
        <v>49</v>
      </c>
      <c r="J2031" s="2" t="s">
        <v>7900</v>
      </c>
      <c r="K2031" s="2" t="s">
        <v>495</v>
      </c>
      <c r="L2031" s="13" t="s">
        <v>496</v>
      </c>
      <c r="M2031" s="2" t="s">
        <v>26</v>
      </c>
      <c r="N2031" s="11" t="s">
        <v>576</v>
      </c>
      <c r="O2031" s="12" t="s">
        <v>53</v>
      </c>
      <c r="P2031" s="5" t="str">
        <f>IFERROR(__xludf.DUMMYFUNCTION("TEXTJOIN("" | "",TRUE,IF(OR(D2031="""",E2031="""",I2031="""",J2031="""",H2031=""""),""ফাঁকা ঘর"",""""),IF(AND(C2031&lt;&gt;"""",D2031&lt;&gt;"""",C2031=D2031),""gloss=figurative"",""""),IF(LEN(D2031)&lt;15,""figurative ছোট"",""""),IF(AND(I2031=""Positive"",REGEXMATCH(H2"&amp;"031,""মূর্খ|ভণ্ড|প্রতার|অলস|লোভ|স্বার্থ|অক্ষম|অযোগ্য|বোকা|কৃপণ|হিংস"")),""valence-target অমিল"",""""),IF(COUNTIF($B:$B,B2031)&gt;1,""ডুপ্লিকেট"",""""))"),"figurative ছোট")</f>
        <v>figurative ছোট</v>
      </c>
      <c r="Q2031" s="5" t="str">
        <f t="shared" si="1"/>
        <v>১ আগে দেখো</v>
      </c>
    </row>
    <row r="2032">
      <c r="A2032" s="4">
        <v>7725.0</v>
      </c>
      <c r="B2032" s="2" t="s">
        <v>7902</v>
      </c>
      <c r="C2032" s="2" t="s">
        <v>7902</v>
      </c>
      <c r="D2032" s="2" t="s">
        <v>7903</v>
      </c>
      <c r="E2032" s="2" t="s">
        <v>7904</v>
      </c>
      <c r="F2032" s="2" t="b">
        <v>1</v>
      </c>
      <c r="G2032" s="2" t="b">
        <v>0</v>
      </c>
      <c r="H2032" s="2" t="s">
        <v>37</v>
      </c>
      <c r="I2032" s="2" t="s">
        <v>32</v>
      </c>
      <c r="J2032" s="2" t="s">
        <v>1775</v>
      </c>
      <c r="K2032" s="2" t="s">
        <v>495</v>
      </c>
      <c r="L2032" s="13" t="s">
        <v>496</v>
      </c>
      <c r="M2032" s="2" t="s">
        <v>26</v>
      </c>
      <c r="N2032" s="11" t="s">
        <v>576</v>
      </c>
      <c r="O2032" s="12" t="s">
        <v>53</v>
      </c>
      <c r="P2032" s="5" t="str">
        <f>IFERROR(__xludf.DUMMYFUNCTION("TEXTJOIN("" | "",TRUE,IF(OR(D2032="""",E2032="""",I2032="""",J2032="""",H2032=""""),""ফাঁকা ঘর"",""""),IF(AND(C2032&lt;&gt;"""",D2032&lt;&gt;"""",C2032=D2032),""gloss=figurative"",""""),IF(LEN(D2032)&lt;15,""figurative ছোট"",""""),IF(AND(I2032=""Positive"",REGEXMATCH(H2"&amp;"032,""মূর্খ|ভণ্ড|প্রতার|অলস|লোভ|স্বার্থ|অক্ষম|অযোগ্য|বোকা|কৃপণ|হিংস"")),""valence-target অমিল"",""""),IF(COUNTIF($B:$B,B2032)&gt;1,""ডুপ্লিকেট"",""""))"),"figurative ছোট")</f>
        <v>figurative ছোট</v>
      </c>
      <c r="Q2032" s="5" t="str">
        <f t="shared" si="1"/>
        <v>১ আগে দেখো</v>
      </c>
    </row>
    <row r="2033">
      <c r="A2033" s="4">
        <v>7726.0</v>
      </c>
      <c r="B2033" s="2" t="s">
        <v>7905</v>
      </c>
      <c r="C2033" s="2" t="s">
        <v>7906</v>
      </c>
      <c r="D2033" s="2" t="s">
        <v>7907</v>
      </c>
      <c r="E2033" s="2" t="s">
        <v>7908</v>
      </c>
      <c r="F2033" s="2" t="b">
        <v>1</v>
      </c>
      <c r="G2033" s="2" t="b">
        <v>0</v>
      </c>
      <c r="H2033" s="2" t="s">
        <v>37</v>
      </c>
      <c r="I2033" s="2" t="s">
        <v>32</v>
      </c>
      <c r="J2033" s="2" t="s">
        <v>6894</v>
      </c>
      <c r="K2033" s="2" t="s">
        <v>495</v>
      </c>
      <c r="L2033" s="13" t="s">
        <v>496</v>
      </c>
      <c r="M2033" s="2" t="s">
        <v>26</v>
      </c>
      <c r="N2033" s="11" t="s">
        <v>576</v>
      </c>
      <c r="O2033" s="12" t="s">
        <v>53</v>
      </c>
      <c r="P2033" s="5" t="str">
        <f>IFERROR(__xludf.DUMMYFUNCTION("TEXTJOIN("" | "",TRUE,IF(OR(D2033="""",E2033="""",I2033="""",J2033="""",H2033=""""),""ফাঁকা ঘর"",""""),IF(AND(C2033&lt;&gt;"""",D2033&lt;&gt;"""",C2033=D2033),""gloss=figurative"",""""),IF(LEN(D2033)&lt;15,""figurative ছোট"",""""),IF(AND(I2033=""Positive"",REGEXMATCH(H2"&amp;"033,""মূর্খ|ভণ্ড|প্রতার|অলস|লোভ|স্বার্থ|অক্ষম|অযোগ্য|বোকা|কৃপণ|হিংস"")),""valence-target অমিল"",""""),IF(COUNTIF($B:$B,B2033)&gt;1,""ডুপ্লিকেট"",""""))"),"figurative ছোট")</f>
        <v>figurative ছোট</v>
      </c>
      <c r="Q2033" s="5" t="str">
        <f t="shared" si="1"/>
        <v>১ আগে দেখো</v>
      </c>
    </row>
    <row r="2034">
      <c r="A2034" s="4">
        <v>7727.0</v>
      </c>
      <c r="B2034" s="2" t="s">
        <v>7909</v>
      </c>
      <c r="C2034" s="2" t="s">
        <v>7910</v>
      </c>
      <c r="D2034" s="2" t="s">
        <v>1175</v>
      </c>
      <c r="E2034" s="2" t="s">
        <v>7911</v>
      </c>
      <c r="F2034" s="2" t="b">
        <v>1</v>
      </c>
      <c r="G2034" s="2" t="b">
        <v>0</v>
      </c>
      <c r="H2034" s="2" t="s">
        <v>37</v>
      </c>
      <c r="I2034" s="2" t="s">
        <v>49</v>
      </c>
      <c r="J2034" s="2" t="s">
        <v>1175</v>
      </c>
      <c r="K2034" s="2" t="s">
        <v>495</v>
      </c>
      <c r="L2034" s="13" t="s">
        <v>496</v>
      </c>
      <c r="M2034" s="2" t="s">
        <v>26</v>
      </c>
      <c r="N2034" s="11" t="s">
        <v>576</v>
      </c>
      <c r="O2034" s="12" t="s">
        <v>53</v>
      </c>
      <c r="P2034" s="5" t="str">
        <f>IFERROR(__xludf.DUMMYFUNCTION("TEXTJOIN("" | "",TRUE,IF(OR(D2034="""",E2034="""",I2034="""",J2034="""",H2034=""""),""ফাঁকা ঘর"",""""),IF(AND(C2034&lt;&gt;"""",D2034&lt;&gt;"""",C2034=D2034),""gloss=figurative"",""""),IF(LEN(D2034)&lt;15,""figurative ছোট"",""""),IF(AND(I2034=""Positive"",REGEXMATCH(H2"&amp;"034,""মূর্খ|ভণ্ড|প্রতার|অলস|লোভ|স্বার্থ|অক্ষম|অযোগ্য|বোকা|কৃপণ|হিংস"")),""valence-target অমিল"",""""),IF(COUNTIF($B:$B,B2034)&gt;1,""ডুপ্লিকেট"",""""))"),"figurative ছোট")</f>
        <v>figurative ছোট</v>
      </c>
      <c r="Q2034" s="5" t="str">
        <f t="shared" si="1"/>
        <v>১ আগে দেখো</v>
      </c>
    </row>
    <row r="2035">
      <c r="A2035" s="4">
        <v>7728.0</v>
      </c>
      <c r="B2035" s="2" t="s">
        <v>7912</v>
      </c>
      <c r="C2035" s="2" t="s">
        <v>4596</v>
      </c>
      <c r="D2035" s="2" t="s">
        <v>669</v>
      </c>
      <c r="E2035" s="2" t="s">
        <v>7913</v>
      </c>
      <c r="F2035" s="2" t="b">
        <v>1</v>
      </c>
      <c r="G2035" s="2" t="b">
        <v>0</v>
      </c>
      <c r="H2035" s="2" t="s">
        <v>756</v>
      </c>
      <c r="I2035" s="2" t="s">
        <v>22</v>
      </c>
      <c r="J2035" s="2" t="s">
        <v>669</v>
      </c>
      <c r="K2035" s="2" t="s">
        <v>495</v>
      </c>
      <c r="L2035" s="13" t="s">
        <v>496</v>
      </c>
      <c r="M2035" s="2" t="s">
        <v>26</v>
      </c>
      <c r="N2035" s="11" t="s">
        <v>576</v>
      </c>
      <c r="O2035" s="12" t="s">
        <v>53</v>
      </c>
      <c r="P2035" s="5" t="str">
        <f>IFERROR(__xludf.DUMMYFUNCTION("TEXTJOIN("" | "",TRUE,IF(OR(D2035="""",E2035="""",I2035="""",J2035="""",H2035=""""),""ফাঁকা ঘর"",""""),IF(AND(C2035&lt;&gt;"""",D2035&lt;&gt;"""",C2035=D2035),""gloss=figurative"",""""),IF(LEN(D2035)&lt;15,""figurative ছোট"",""""),IF(AND(I2035=""Positive"",REGEXMATCH(H2"&amp;"035,""মূর্খ|ভণ্ড|প্রতার|অলস|লোভ|স্বার্থ|অক্ষম|অযোগ্য|বোকা|কৃপণ|হিংস"")),""valence-target অমিল"",""""),IF(COUNTIF($B:$B,B2035)&gt;1,""ডুপ্লিকেট"",""""))"),"figurative ছোট")</f>
        <v>figurative ছোট</v>
      </c>
      <c r="Q2035" s="5" t="str">
        <f t="shared" si="1"/>
        <v>১ আগে দেখো</v>
      </c>
    </row>
    <row r="2036">
      <c r="A2036" s="4">
        <v>7729.0</v>
      </c>
      <c r="B2036" s="2" t="s">
        <v>7914</v>
      </c>
      <c r="C2036" s="2" t="s">
        <v>7915</v>
      </c>
      <c r="D2036" s="2" t="s">
        <v>6725</v>
      </c>
      <c r="E2036" s="2" t="s">
        <v>7916</v>
      </c>
      <c r="F2036" s="2" t="b">
        <v>1</v>
      </c>
      <c r="G2036" s="2" t="b">
        <v>1</v>
      </c>
      <c r="H2036" s="2" t="s">
        <v>1106</v>
      </c>
      <c r="I2036" s="2" t="s">
        <v>22</v>
      </c>
      <c r="J2036" s="2" t="s">
        <v>1315</v>
      </c>
      <c r="K2036" s="2" t="s">
        <v>495</v>
      </c>
      <c r="L2036" s="13" t="s">
        <v>496</v>
      </c>
      <c r="M2036" s="2" t="s">
        <v>26</v>
      </c>
      <c r="N2036" s="11" t="s">
        <v>576</v>
      </c>
      <c r="O2036" s="12" t="s">
        <v>53</v>
      </c>
      <c r="P2036" s="5" t="str">
        <f>IFERROR(__xludf.DUMMYFUNCTION("TEXTJOIN("" | "",TRUE,IF(OR(D2036="""",E2036="""",I2036="""",J2036="""",H2036=""""),""ফাঁকা ঘর"",""""),IF(AND(C2036&lt;&gt;"""",D2036&lt;&gt;"""",C2036=D2036),""gloss=figurative"",""""),IF(LEN(D2036)&lt;15,""figurative ছোট"",""""),IF(AND(I2036=""Positive"",REGEXMATCH(H2"&amp;"036,""মূর্খ|ভণ্ড|প্রতার|অলস|লোভ|স্বার্থ|অক্ষম|অযোগ্য|বোকা|কৃপণ|হিংস"")),""valence-target অমিল"",""""),IF(COUNTIF($B:$B,B2036)&gt;1,""ডুপ্লিকেট"",""""))"),"figurative ছোট")</f>
        <v>figurative ছোট</v>
      </c>
      <c r="Q2036" s="5" t="str">
        <f t="shared" si="1"/>
        <v>১ আগে দেখো</v>
      </c>
    </row>
    <row r="2037">
      <c r="A2037" s="4">
        <v>7730.0</v>
      </c>
      <c r="B2037" s="2" t="s">
        <v>7917</v>
      </c>
      <c r="C2037" s="2" t="s">
        <v>7918</v>
      </c>
      <c r="D2037" s="2" t="s">
        <v>4711</v>
      </c>
      <c r="E2037" s="2" t="s">
        <v>7919</v>
      </c>
      <c r="F2037" s="2" t="b">
        <v>1</v>
      </c>
      <c r="G2037" s="2" t="b">
        <v>0</v>
      </c>
      <c r="H2037" s="2" t="s">
        <v>37</v>
      </c>
      <c r="I2037" s="2" t="s">
        <v>32</v>
      </c>
      <c r="J2037" s="2" t="s">
        <v>646</v>
      </c>
      <c r="K2037" s="2" t="s">
        <v>495</v>
      </c>
      <c r="L2037" s="13" t="s">
        <v>496</v>
      </c>
      <c r="M2037" s="2" t="s">
        <v>26</v>
      </c>
      <c r="N2037" s="11" t="s">
        <v>576</v>
      </c>
      <c r="O2037" s="12" t="s">
        <v>53</v>
      </c>
      <c r="P2037" s="5" t="str">
        <f>IFERROR(__xludf.DUMMYFUNCTION("TEXTJOIN("" | "",TRUE,IF(OR(D2037="""",E2037="""",I2037="""",J2037="""",H2037=""""),""ফাঁকা ঘর"",""""),IF(AND(C2037&lt;&gt;"""",D2037&lt;&gt;"""",C2037=D2037),""gloss=figurative"",""""),IF(LEN(D2037)&lt;15,""figurative ছোট"",""""),IF(AND(I2037=""Positive"",REGEXMATCH(H2"&amp;"037,""মূর্খ|ভণ্ড|প্রতার|অলস|লোভ|স্বার্থ|অক্ষম|অযোগ্য|বোকা|কৃপণ|হিংস"")),""valence-target অমিল"",""""),IF(COUNTIF($B:$B,B2037)&gt;1,""ডুপ্লিকেট"",""""))"),"figurative ছোট")</f>
        <v>figurative ছোট</v>
      </c>
      <c r="Q2037" s="5" t="str">
        <f t="shared" si="1"/>
        <v>১ আগে দেখো</v>
      </c>
    </row>
    <row r="2038">
      <c r="A2038" s="4">
        <v>7731.0</v>
      </c>
      <c r="B2038" s="2" t="s">
        <v>7920</v>
      </c>
      <c r="C2038" s="2" t="s">
        <v>7921</v>
      </c>
      <c r="D2038" s="2" t="s">
        <v>646</v>
      </c>
      <c r="E2038" s="2" t="s">
        <v>7922</v>
      </c>
      <c r="F2038" s="2" t="b">
        <v>1</v>
      </c>
      <c r="G2038" s="2" t="b">
        <v>0</v>
      </c>
      <c r="H2038" s="2" t="s">
        <v>37</v>
      </c>
      <c r="I2038" s="2" t="s">
        <v>22</v>
      </c>
      <c r="J2038" s="2" t="s">
        <v>646</v>
      </c>
      <c r="K2038" s="2" t="s">
        <v>495</v>
      </c>
      <c r="L2038" s="13" t="s">
        <v>496</v>
      </c>
      <c r="M2038" s="2" t="s">
        <v>26</v>
      </c>
      <c r="N2038" s="11" t="s">
        <v>576</v>
      </c>
      <c r="O2038" s="12" t="s">
        <v>53</v>
      </c>
      <c r="P2038" s="5" t="str">
        <f>IFERROR(__xludf.DUMMYFUNCTION("TEXTJOIN("" | "",TRUE,IF(OR(D2038="""",E2038="""",I2038="""",J2038="""",H2038=""""),""ফাঁকা ঘর"",""""),IF(AND(C2038&lt;&gt;"""",D2038&lt;&gt;"""",C2038=D2038),""gloss=figurative"",""""),IF(LEN(D2038)&lt;15,""figurative ছোট"",""""),IF(AND(I2038=""Positive"",REGEXMATCH(H2"&amp;"038,""মূর্খ|ভণ্ড|প্রতার|অলস|লোভ|স্বার্থ|অক্ষম|অযোগ্য|বোকা|কৃপণ|হিংস"")),""valence-target অমিল"",""""),IF(COUNTIF($B:$B,B2038)&gt;1,""ডুপ্লিকেট"",""""))"),"figurative ছোট")</f>
        <v>figurative ছোট</v>
      </c>
      <c r="Q2038" s="5" t="str">
        <f t="shared" si="1"/>
        <v>১ আগে দেখো</v>
      </c>
    </row>
    <row r="2039">
      <c r="A2039" s="4">
        <v>7732.0</v>
      </c>
      <c r="B2039" s="2" t="s">
        <v>7923</v>
      </c>
      <c r="C2039" s="2" t="s">
        <v>7924</v>
      </c>
      <c r="D2039" s="2" t="s">
        <v>7925</v>
      </c>
      <c r="E2039" s="2" t="s">
        <v>7926</v>
      </c>
      <c r="F2039" s="2" t="b">
        <v>1</v>
      </c>
      <c r="G2039" s="2" t="b">
        <v>1</v>
      </c>
      <c r="H2039" s="2" t="s">
        <v>1106</v>
      </c>
      <c r="I2039" s="2" t="s">
        <v>49</v>
      </c>
      <c r="J2039" s="2" t="s">
        <v>7927</v>
      </c>
      <c r="K2039" s="2" t="s">
        <v>495</v>
      </c>
      <c r="L2039" s="13" t="s">
        <v>496</v>
      </c>
      <c r="M2039" s="2" t="s">
        <v>26</v>
      </c>
      <c r="N2039" s="11" t="s">
        <v>576</v>
      </c>
      <c r="O2039" s="12" t="s">
        <v>53</v>
      </c>
      <c r="P2039" s="5" t="str">
        <f>IFERROR(__xludf.DUMMYFUNCTION("TEXTJOIN("" | "",TRUE,IF(OR(D2039="""",E2039="""",I2039="""",J2039="""",H2039=""""),""ফাঁকা ঘর"",""""),IF(AND(C2039&lt;&gt;"""",D2039&lt;&gt;"""",C2039=D2039),""gloss=figurative"",""""),IF(LEN(D2039)&lt;15,""figurative ছোট"",""""),IF(AND(I2039=""Positive"",REGEXMATCH(H2"&amp;"039,""মূর্খ|ভণ্ড|প্রতার|অলস|লোভ|স্বার্থ|অক্ষম|অযোগ্য|বোকা|কৃপণ|হিংস"")),""valence-target অমিল"",""""),IF(COUNTIF($B:$B,B2039)&gt;1,""ডুপ্লিকেট"",""""))"),"figurative ছোট")</f>
        <v>figurative ছোট</v>
      </c>
      <c r="Q2039" s="5" t="str">
        <f t="shared" si="1"/>
        <v>১ আগে দেখো</v>
      </c>
    </row>
    <row r="2040">
      <c r="A2040" s="4">
        <v>7733.0</v>
      </c>
      <c r="B2040" s="2" t="s">
        <v>7928</v>
      </c>
      <c r="C2040" s="2" t="s">
        <v>7929</v>
      </c>
      <c r="D2040" s="2" t="s">
        <v>590</v>
      </c>
      <c r="E2040" s="2" t="s">
        <v>7930</v>
      </c>
      <c r="F2040" s="2" t="b">
        <v>1</v>
      </c>
      <c r="G2040" s="2" t="b">
        <v>1</v>
      </c>
      <c r="H2040" s="2" t="s">
        <v>1106</v>
      </c>
      <c r="I2040" s="2" t="s">
        <v>22</v>
      </c>
      <c r="J2040" s="2" t="s">
        <v>7931</v>
      </c>
      <c r="K2040" s="2" t="s">
        <v>495</v>
      </c>
      <c r="L2040" s="13" t="s">
        <v>496</v>
      </c>
      <c r="M2040" s="2" t="s">
        <v>26</v>
      </c>
      <c r="N2040" s="11" t="s">
        <v>576</v>
      </c>
      <c r="O2040" s="12" t="s">
        <v>53</v>
      </c>
      <c r="P2040" s="5" t="str">
        <f>IFERROR(__xludf.DUMMYFUNCTION("TEXTJOIN("" | "",TRUE,IF(OR(D2040="""",E2040="""",I2040="""",J2040="""",H2040=""""),""ফাঁকা ঘর"",""""),IF(AND(C2040&lt;&gt;"""",D2040&lt;&gt;"""",C2040=D2040),""gloss=figurative"",""""),IF(LEN(D2040)&lt;15,""figurative ছোট"",""""),IF(AND(I2040=""Positive"",REGEXMATCH(H2"&amp;"040,""মূর্খ|ভণ্ড|প্রতার|অলস|লোভ|স্বার্থ|অক্ষম|অযোগ্য|বোকা|কৃপণ|হিংস"")),""valence-target অমিল"",""""),IF(COUNTIF($B:$B,B2040)&gt;1,""ডুপ্লিকেট"",""""))"),"figurative ছোট")</f>
        <v>figurative ছোট</v>
      </c>
      <c r="Q2040" s="5" t="str">
        <f t="shared" si="1"/>
        <v>১ আগে দেখো</v>
      </c>
    </row>
    <row r="2041">
      <c r="A2041" s="4">
        <v>7734.0</v>
      </c>
      <c r="B2041" s="2" t="s">
        <v>7932</v>
      </c>
      <c r="C2041" s="2" t="s">
        <v>7933</v>
      </c>
      <c r="D2041" s="2" t="s">
        <v>2206</v>
      </c>
      <c r="E2041" s="2" t="s">
        <v>7934</v>
      </c>
      <c r="F2041" s="2" t="b">
        <v>1</v>
      </c>
      <c r="G2041" s="2" t="b">
        <v>0</v>
      </c>
      <c r="H2041" s="2" t="s">
        <v>37</v>
      </c>
      <c r="I2041" s="2" t="s">
        <v>49</v>
      </c>
      <c r="J2041" s="2" t="s">
        <v>2206</v>
      </c>
      <c r="K2041" s="2" t="s">
        <v>495</v>
      </c>
      <c r="L2041" s="13" t="s">
        <v>496</v>
      </c>
      <c r="M2041" s="2" t="s">
        <v>26</v>
      </c>
      <c r="N2041" s="11" t="s">
        <v>576</v>
      </c>
      <c r="O2041" s="12" t="s">
        <v>53</v>
      </c>
      <c r="P2041" s="5" t="str">
        <f>IFERROR(__xludf.DUMMYFUNCTION("TEXTJOIN("" | "",TRUE,IF(OR(D2041="""",E2041="""",I2041="""",J2041="""",H2041=""""),""ফাঁকা ঘর"",""""),IF(AND(C2041&lt;&gt;"""",D2041&lt;&gt;"""",C2041=D2041),""gloss=figurative"",""""),IF(LEN(D2041)&lt;15,""figurative ছোট"",""""),IF(AND(I2041=""Positive"",REGEXMATCH(H2"&amp;"041,""মূর্খ|ভণ্ড|প্রতার|অলস|লোভ|স্বার্থ|অক্ষম|অযোগ্য|বোকা|কৃপণ|হিংস"")),""valence-target অমিল"",""""),IF(COUNTIF($B:$B,B2041)&gt;1,""ডুপ্লিকেট"",""""))"),"figurative ছোট")</f>
        <v>figurative ছোট</v>
      </c>
      <c r="Q2041" s="5" t="str">
        <f t="shared" si="1"/>
        <v>১ আগে দেখো</v>
      </c>
    </row>
    <row r="2042">
      <c r="A2042" s="4">
        <v>7735.0</v>
      </c>
      <c r="B2042" s="2" t="s">
        <v>7935</v>
      </c>
      <c r="C2042" s="2" t="s">
        <v>7936</v>
      </c>
      <c r="D2042" s="2" t="s">
        <v>7937</v>
      </c>
      <c r="E2042" s="2" t="s">
        <v>7938</v>
      </c>
      <c r="F2042" s="2" t="b">
        <v>1</v>
      </c>
      <c r="G2042" s="2" t="b">
        <v>0</v>
      </c>
      <c r="H2042" s="2" t="s">
        <v>37</v>
      </c>
      <c r="I2042" s="2" t="s">
        <v>49</v>
      </c>
      <c r="J2042" s="2" t="s">
        <v>1679</v>
      </c>
      <c r="K2042" s="2" t="s">
        <v>495</v>
      </c>
      <c r="L2042" s="13" t="s">
        <v>496</v>
      </c>
      <c r="M2042" s="2" t="s">
        <v>26</v>
      </c>
      <c r="N2042" s="11" t="s">
        <v>576</v>
      </c>
      <c r="O2042" s="12" t="s">
        <v>53</v>
      </c>
      <c r="P2042" s="5" t="str">
        <f>IFERROR(__xludf.DUMMYFUNCTION("TEXTJOIN("" | "",TRUE,IF(OR(D2042="""",E2042="""",I2042="""",J2042="""",H2042=""""),""ফাঁকা ঘর"",""""),IF(AND(C2042&lt;&gt;"""",D2042&lt;&gt;"""",C2042=D2042),""gloss=figurative"",""""),IF(LEN(D2042)&lt;15,""figurative ছোট"",""""),IF(AND(I2042=""Positive"",REGEXMATCH(H2"&amp;"042,""মূর্খ|ভণ্ড|প্রতার|অলস|লোভ|স্বার্থ|অক্ষম|অযোগ্য|বোকা|কৃপণ|হিংস"")),""valence-target অমিল"",""""),IF(COUNTIF($B:$B,B2042)&gt;1,""ডুপ্লিকেট"",""""))"),"figurative ছোট")</f>
        <v>figurative ছোট</v>
      </c>
      <c r="Q2042" s="5" t="str">
        <f t="shared" si="1"/>
        <v>১ আগে দেখো</v>
      </c>
    </row>
    <row r="2043">
      <c r="A2043" s="4">
        <v>7736.0</v>
      </c>
      <c r="B2043" s="2" t="s">
        <v>7939</v>
      </c>
      <c r="C2043" s="2" t="s">
        <v>7940</v>
      </c>
      <c r="D2043" s="2" t="s">
        <v>4642</v>
      </c>
      <c r="E2043" s="2" t="s">
        <v>7941</v>
      </c>
      <c r="F2043" s="2" t="b">
        <v>1</v>
      </c>
      <c r="G2043" s="2" t="b">
        <v>0</v>
      </c>
      <c r="H2043" s="2" t="s">
        <v>37</v>
      </c>
      <c r="I2043" s="2" t="s">
        <v>22</v>
      </c>
      <c r="J2043" s="2" t="s">
        <v>2857</v>
      </c>
      <c r="K2043" s="2" t="s">
        <v>495</v>
      </c>
      <c r="L2043" s="13" t="s">
        <v>496</v>
      </c>
      <c r="M2043" s="2" t="s">
        <v>26</v>
      </c>
      <c r="N2043" s="11" t="s">
        <v>576</v>
      </c>
      <c r="O2043" s="12" t="s">
        <v>53</v>
      </c>
      <c r="P2043" s="5" t="str">
        <f>IFERROR(__xludf.DUMMYFUNCTION("TEXTJOIN("" | "",TRUE,IF(OR(D2043="""",E2043="""",I2043="""",J2043="""",H2043=""""),""ফাঁকা ঘর"",""""),IF(AND(C2043&lt;&gt;"""",D2043&lt;&gt;"""",C2043=D2043),""gloss=figurative"",""""),IF(LEN(D2043)&lt;15,""figurative ছোট"",""""),IF(AND(I2043=""Positive"",REGEXMATCH(H2"&amp;"043,""মূর্খ|ভণ্ড|প্রতার|অলস|লোভ|স্বার্থ|অক্ষম|অযোগ্য|বোকা|কৃপণ|হিংস"")),""valence-target অমিল"",""""),IF(COUNTIF($B:$B,B2043)&gt;1,""ডুপ্লিকেট"",""""))"),"figurative ছোট")</f>
        <v>figurative ছোট</v>
      </c>
      <c r="Q2043" s="5" t="str">
        <f t="shared" si="1"/>
        <v>১ আগে দেখো</v>
      </c>
    </row>
    <row r="2044">
      <c r="A2044" s="4">
        <v>7737.0</v>
      </c>
      <c r="B2044" s="2" t="s">
        <v>7942</v>
      </c>
      <c r="C2044" s="2" t="s">
        <v>7943</v>
      </c>
      <c r="D2044" s="2" t="s">
        <v>2860</v>
      </c>
      <c r="E2044" s="2" t="s">
        <v>7944</v>
      </c>
      <c r="F2044" s="2" t="b">
        <v>1</v>
      </c>
      <c r="G2044" s="2" t="b">
        <v>0</v>
      </c>
      <c r="H2044" s="2" t="s">
        <v>37</v>
      </c>
      <c r="I2044" s="2" t="s">
        <v>32</v>
      </c>
      <c r="J2044" s="2" t="s">
        <v>1775</v>
      </c>
      <c r="K2044" s="2" t="s">
        <v>495</v>
      </c>
      <c r="L2044" s="13" t="s">
        <v>496</v>
      </c>
      <c r="M2044" s="2" t="s">
        <v>26</v>
      </c>
      <c r="N2044" s="11" t="s">
        <v>576</v>
      </c>
      <c r="O2044" s="12" t="s">
        <v>53</v>
      </c>
      <c r="P2044" s="5" t="str">
        <f>IFERROR(__xludf.DUMMYFUNCTION("TEXTJOIN("" | "",TRUE,IF(OR(D2044="""",E2044="""",I2044="""",J2044="""",H2044=""""),""ফাঁকা ঘর"",""""),IF(AND(C2044&lt;&gt;"""",D2044&lt;&gt;"""",C2044=D2044),""gloss=figurative"",""""),IF(LEN(D2044)&lt;15,""figurative ছোট"",""""),IF(AND(I2044=""Positive"",REGEXMATCH(H2"&amp;"044,""মূর্খ|ভণ্ড|প্রতার|অলস|লোভ|স্বার্থ|অক্ষম|অযোগ্য|বোকা|কৃপণ|হিংস"")),""valence-target অমিল"",""""),IF(COUNTIF($B:$B,B2044)&gt;1,""ডুপ্লিকেট"",""""))"),"figurative ছোট")</f>
        <v>figurative ছোট</v>
      </c>
      <c r="Q2044" s="5" t="str">
        <f t="shared" si="1"/>
        <v>১ আগে দেখো</v>
      </c>
    </row>
    <row r="2045">
      <c r="A2045" s="4">
        <v>7738.0</v>
      </c>
      <c r="B2045" s="2" t="s">
        <v>7945</v>
      </c>
      <c r="C2045" s="2" t="s">
        <v>5421</v>
      </c>
      <c r="D2045" s="2" t="s">
        <v>4349</v>
      </c>
      <c r="E2045" s="2" t="s">
        <v>7946</v>
      </c>
      <c r="F2045" s="2" t="b">
        <v>1</v>
      </c>
      <c r="G2045" s="2" t="b">
        <v>0</v>
      </c>
      <c r="H2045" s="2" t="s">
        <v>4349</v>
      </c>
      <c r="I2045" s="2" t="s">
        <v>22</v>
      </c>
      <c r="J2045" s="2" t="s">
        <v>581</v>
      </c>
      <c r="K2045" s="2" t="s">
        <v>495</v>
      </c>
      <c r="L2045" s="13" t="s">
        <v>496</v>
      </c>
      <c r="M2045" s="2" t="s">
        <v>26</v>
      </c>
      <c r="N2045" s="11" t="s">
        <v>576</v>
      </c>
      <c r="O2045" s="12" t="s">
        <v>53</v>
      </c>
      <c r="P2045" s="5" t="str">
        <f>IFERROR(__xludf.DUMMYFUNCTION("TEXTJOIN("" | "",TRUE,IF(OR(D2045="""",E2045="""",I2045="""",J2045="""",H2045=""""),""ফাঁকা ঘর"",""""),IF(AND(C2045&lt;&gt;"""",D2045&lt;&gt;"""",C2045=D2045),""gloss=figurative"",""""),IF(LEN(D2045)&lt;15,""figurative ছোট"",""""),IF(AND(I2045=""Positive"",REGEXMATCH(H2"&amp;"045,""মূর্খ|ভণ্ড|প্রতার|অলস|লোভ|স্বার্থ|অক্ষম|অযোগ্য|বোকা|কৃপণ|হিংস"")),""valence-target অমিল"",""""),IF(COUNTIF($B:$B,B2045)&gt;1,""ডুপ্লিকেট"",""""))"),"figurative ছোট")</f>
        <v>figurative ছোট</v>
      </c>
      <c r="Q2045" s="5" t="str">
        <f t="shared" si="1"/>
        <v>১ আগে দেখো</v>
      </c>
    </row>
    <row r="2046">
      <c r="A2046" s="4">
        <v>7739.0</v>
      </c>
      <c r="B2046" s="2" t="s">
        <v>7947</v>
      </c>
      <c r="C2046" s="2" t="s">
        <v>7948</v>
      </c>
      <c r="D2046" s="2" t="s">
        <v>646</v>
      </c>
      <c r="E2046" s="2" t="s">
        <v>7949</v>
      </c>
      <c r="F2046" s="2" t="b">
        <v>1</v>
      </c>
      <c r="G2046" s="2" t="b">
        <v>0</v>
      </c>
      <c r="H2046" s="2" t="s">
        <v>37</v>
      </c>
      <c r="I2046" s="2" t="s">
        <v>32</v>
      </c>
      <c r="J2046" s="2" t="s">
        <v>646</v>
      </c>
      <c r="K2046" s="2" t="s">
        <v>495</v>
      </c>
      <c r="L2046" s="13" t="s">
        <v>496</v>
      </c>
      <c r="M2046" s="2" t="s">
        <v>26</v>
      </c>
      <c r="N2046" s="11" t="s">
        <v>576</v>
      </c>
      <c r="O2046" s="12" t="s">
        <v>53</v>
      </c>
      <c r="P2046" s="5" t="str">
        <f>IFERROR(__xludf.DUMMYFUNCTION("TEXTJOIN("" | "",TRUE,IF(OR(D2046="""",E2046="""",I2046="""",J2046="""",H2046=""""),""ফাঁকা ঘর"",""""),IF(AND(C2046&lt;&gt;"""",D2046&lt;&gt;"""",C2046=D2046),""gloss=figurative"",""""),IF(LEN(D2046)&lt;15,""figurative ছোট"",""""),IF(AND(I2046=""Positive"",REGEXMATCH(H2"&amp;"046,""মূর্খ|ভণ্ড|প্রতার|অলস|লোভ|স্বার্থ|অক্ষম|অযোগ্য|বোকা|কৃপণ|হিংস"")),""valence-target অমিল"",""""),IF(COUNTIF($B:$B,B2046)&gt;1,""ডুপ্লিকেট"",""""))"),"figurative ছোট")</f>
        <v>figurative ছোট</v>
      </c>
      <c r="Q2046" s="5" t="str">
        <f t="shared" si="1"/>
        <v>১ আগে দেখো</v>
      </c>
    </row>
    <row r="2047">
      <c r="A2047" s="4">
        <v>7740.0</v>
      </c>
      <c r="B2047" s="2" t="s">
        <v>7950</v>
      </c>
      <c r="C2047" s="2" t="s">
        <v>7950</v>
      </c>
      <c r="D2047" s="2" t="s">
        <v>7951</v>
      </c>
      <c r="E2047" s="2" t="s">
        <v>7952</v>
      </c>
      <c r="F2047" s="2" t="b">
        <v>1</v>
      </c>
      <c r="G2047" s="2" t="b">
        <v>0</v>
      </c>
      <c r="H2047" s="2" t="s">
        <v>37</v>
      </c>
      <c r="I2047" s="2" t="s">
        <v>22</v>
      </c>
      <c r="J2047" s="2" t="s">
        <v>2857</v>
      </c>
      <c r="K2047" s="2" t="s">
        <v>495</v>
      </c>
      <c r="L2047" s="13" t="s">
        <v>496</v>
      </c>
      <c r="M2047" s="2" t="s">
        <v>26</v>
      </c>
      <c r="N2047" s="11" t="s">
        <v>576</v>
      </c>
      <c r="O2047" s="12" t="s">
        <v>53</v>
      </c>
      <c r="P2047" s="5" t="str">
        <f>IFERROR(__xludf.DUMMYFUNCTION("TEXTJOIN("" | "",TRUE,IF(OR(D2047="""",E2047="""",I2047="""",J2047="""",H2047=""""),""ফাঁকা ঘর"",""""),IF(AND(C2047&lt;&gt;"""",D2047&lt;&gt;"""",C2047=D2047),""gloss=figurative"",""""),IF(LEN(D2047)&lt;15,""figurative ছোট"",""""),IF(AND(I2047=""Positive"",REGEXMATCH(H2"&amp;"047,""মূর্খ|ভণ্ড|প্রতার|অলস|লোভ|স্বার্থ|অক্ষম|অযোগ্য|বোকা|কৃপণ|হিংস"")),""valence-target অমিল"",""""),IF(COUNTIF($B:$B,B2047)&gt;1,""ডুপ্লিকেট"",""""))"),"figurative ছোট")</f>
        <v>figurative ছোট</v>
      </c>
      <c r="Q2047" s="5" t="str">
        <f t="shared" si="1"/>
        <v>১ আগে দেখো</v>
      </c>
    </row>
    <row r="2048">
      <c r="A2048" s="4">
        <v>7741.0</v>
      </c>
      <c r="B2048" s="2" t="s">
        <v>7953</v>
      </c>
      <c r="C2048" s="2" t="s">
        <v>7954</v>
      </c>
      <c r="D2048" s="2" t="s">
        <v>7955</v>
      </c>
      <c r="E2048" s="2" t="s">
        <v>7956</v>
      </c>
      <c r="F2048" s="2" t="b">
        <v>1</v>
      </c>
      <c r="G2048" s="2" t="b">
        <v>0</v>
      </c>
      <c r="H2048" s="2" t="s">
        <v>37</v>
      </c>
      <c r="I2048" s="2" t="s">
        <v>49</v>
      </c>
      <c r="J2048" s="2" t="s">
        <v>7955</v>
      </c>
      <c r="K2048" s="2" t="s">
        <v>495</v>
      </c>
      <c r="L2048" s="13" t="s">
        <v>496</v>
      </c>
      <c r="M2048" s="2" t="s">
        <v>26</v>
      </c>
      <c r="N2048" s="11" t="s">
        <v>576</v>
      </c>
      <c r="O2048" s="12" t="s">
        <v>53</v>
      </c>
      <c r="P2048" s="5" t="str">
        <f>IFERROR(__xludf.DUMMYFUNCTION("TEXTJOIN("" | "",TRUE,IF(OR(D2048="""",E2048="""",I2048="""",J2048="""",H2048=""""),""ফাঁকা ঘর"",""""),IF(AND(C2048&lt;&gt;"""",D2048&lt;&gt;"""",C2048=D2048),""gloss=figurative"",""""),IF(LEN(D2048)&lt;15,""figurative ছোট"",""""),IF(AND(I2048=""Positive"",REGEXMATCH(H2"&amp;"048,""মূর্খ|ভণ্ড|প্রতার|অলস|লোভ|স্বার্থ|অক্ষম|অযোগ্য|বোকা|কৃপণ|হিংস"")),""valence-target অমিল"",""""),IF(COUNTIF($B:$B,B2048)&gt;1,""ডুপ্লিকেট"",""""))"),"figurative ছোট")</f>
        <v>figurative ছোট</v>
      </c>
      <c r="Q2048" s="5" t="str">
        <f t="shared" si="1"/>
        <v>১ আগে দেখো</v>
      </c>
    </row>
    <row r="2049">
      <c r="A2049" s="4">
        <v>7743.0</v>
      </c>
      <c r="B2049" s="2" t="s">
        <v>7957</v>
      </c>
      <c r="C2049" s="2" t="s">
        <v>7958</v>
      </c>
      <c r="D2049" s="2" t="s">
        <v>7463</v>
      </c>
      <c r="E2049" s="2" t="s">
        <v>7959</v>
      </c>
      <c r="F2049" s="2" t="b">
        <v>1</v>
      </c>
      <c r="G2049" s="2" t="b">
        <v>0</v>
      </c>
      <c r="H2049" s="2" t="s">
        <v>37</v>
      </c>
      <c r="I2049" s="2" t="s">
        <v>49</v>
      </c>
      <c r="J2049" s="2" t="s">
        <v>7465</v>
      </c>
      <c r="K2049" s="2" t="s">
        <v>495</v>
      </c>
      <c r="L2049" s="13" t="s">
        <v>496</v>
      </c>
      <c r="M2049" s="2" t="s">
        <v>26</v>
      </c>
      <c r="N2049" s="11" t="s">
        <v>7960</v>
      </c>
      <c r="O2049" s="12" t="s">
        <v>53</v>
      </c>
      <c r="P2049" s="5" t="str">
        <f>IFERROR(__xludf.DUMMYFUNCTION("TEXTJOIN("" | "",TRUE,IF(OR(D2049="""",E2049="""",I2049="""",J2049="""",H2049=""""),""ফাঁকা ঘর"",""""),IF(AND(C2049&lt;&gt;"""",D2049&lt;&gt;"""",C2049=D2049),""gloss=figurative"",""""),IF(LEN(D2049)&lt;15,""figurative ছোট"",""""),IF(AND(I2049=""Positive"",REGEXMATCH(H2"&amp;"049,""মূর্খ|ভণ্ড|প্রতার|অলস|লোভ|স্বার্থ|অক্ষম|অযোগ্য|বোকা|কৃপণ|হিংস"")),""valence-target অমিল"",""""),IF(COUNTIF($B:$B,B2049)&gt;1,""ডুপ্লিকেট"",""""))"),"figurative ছোট")</f>
        <v>figurative ছোট</v>
      </c>
      <c r="Q2049" s="5" t="str">
        <f t="shared" si="1"/>
        <v>১ আগে দেখো</v>
      </c>
    </row>
    <row r="2050">
      <c r="A2050" s="4">
        <v>7744.0</v>
      </c>
      <c r="B2050" s="2" t="s">
        <v>7961</v>
      </c>
      <c r="C2050" s="2" t="s">
        <v>7962</v>
      </c>
      <c r="D2050" s="2" t="s">
        <v>1782</v>
      </c>
      <c r="E2050" s="2" t="s">
        <v>7963</v>
      </c>
      <c r="F2050" s="2" t="b">
        <v>1</v>
      </c>
      <c r="G2050" s="2" t="b">
        <v>0</v>
      </c>
      <c r="H2050" s="2" t="s">
        <v>37</v>
      </c>
      <c r="I2050" s="2" t="s">
        <v>49</v>
      </c>
      <c r="J2050" s="2" t="s">
        <v>7465</v>
      </c>
      <c r="K2050" s="2" t="s">
        <v>495</v>
      </c>
      <c r="L2050" s="13" t="s">
        <v>496</v>
      </c>
      <c r="M2050" s="2" t="s">
        <v>26</v>
      </c>
      <c r="N2050" s="11" t="s">
        <v>7964</v>
      </c>
      <c r="O2050" s="12" t="s">
        <v>53</v>
      </c>
      <c r="P2050" s="5" t="str">
        <f>IFERROR(__xludf.DUMMYFUNCTION("TEXTJOIN("" | "",TRUE,IF(OR(D2050="""",E2050="""",I2050="""",J2050="""",H2050=""""),""ফাঁকা ঘর"",""""),IF(AND(C2050&lt;&gt;"""",D2050&lt;&gt;"""",C2050=D2050),""gloss=figurative"",""""),IF(LEN(D2050)&lt;15,""figurative ছোট"",""""),IF(AND(I2050=""Positive"",REGEXMATCH(H2"&amp;"050,""মূর্খ|ভণ্ড|প্রতার|অলস|লোভ|স্বার্থ|অক্ষম|অযোগ্য|বোকা|কৃপণ|হিংস"")),""valence-target অমিল"",""""),IF(COUNTIF($B:$B,B2050)&gt;1,""ডুপ্লিকেট"",""""))"),"figurative ছোট")</f>
        <v>figurative ছোট</v>
      </c>
      <c r="Q2050" s="5" t="str">
        <f t="shared" si="1"/>
        <v>১ আগে দেখো</v>
      </c>
    </row>
    <row r="2051">
      <c r="A2051" s="4">
        <v>7745.0</v>
      </c>
      <c r="B2051" s="2" t="s">
        <v>7965</v>
      </c>
      <c r="C2051" s="2" t="s">
        <v>7966</v>
      </c>
      <c r="D2051" s="2" t="s">
        <v>7967</v>
      </c>
      <c r="E2051" s="2" t="s">
        <v>7968</v>
      </c>
      <c r="F2051" s="2" t="b">
        <v>1</v>
      </c>
      <c r="G2051" s="2" t="b">
        <v>0</v>
      </c>
      <c r="H2051" s="2" t="s">
        <v>37</v>
      </c>
      <c r="I2051" s="2" t="s">
        <v>22</v>
      </c>
      <c r="J2051" s="2" t="s">
        <v>1621</v>
      </c>
      <c r="K2051" s="2" t="s">
        <v>495</v>
      </c>
      <c r="L2051" s="13" t="s">
        <v>496</v>
      </c>
      <c r="M2051" s="2" t="s">
        <v>26</v>
      </c>
      <c r="N2051" s="11" t="s">
        <v>7969</v>
      </c>
      <c r="O2051" s="12" t="s">
        <v>53</v>
      </c>
      <c r="P2051" s="5" t="str">
        <f>IFERROR(__xludf.DUMMYFUNCTION("TEXTJOIN("" | "",TRUE,IF(OR(D2051="""",E2051="""",I2051="""",J2051="""",H2051=""""),""ফাঁকা ঘর"",""""),IF(AND(C2051&lt;&gt;"""",D2051&lt;&gt;"""",C2051=D2051),""gloss=figurative"",""""),IF(LEN(D2051)&lt;15,""figurative ছোট"",""""),IF(AND(I2051=""Positive"",REGEXMATCH(H2"&amp;"051,""মূর্খ|ভণ্ড|প্রতার|অলস|লোভ|স্বার্থ|অক্ষম|অযোগ্য|বোকা|কৃপণ|হিংস"")),""valence-target অমিল"",""""),IF(COUNTIF($B:$B,B2051)&gt;1,""ডুপ্লিকেট"",""""))"),"figurative ছোট")</f>
        <v>figurative ছোট</v>
      </c>
      <c r="Q2051" s="5" t="str">
        <f t="shared" si="1"/>
        <v>১ আগে দেখো</v>
      </c>
    </row>
    <row r="2052">
      <c r="A2052" s="4">
        <v>7746.0</v>
      </c>
      <c r="B2052" s="2" t="s">
        <v>7970</v>
      </c>
      <c r="C2052" s="2" t="s">
        <v>7971</v>
      </c>
      <c r="D2052" s="2" t="s">
        <v>7967</v>
      </c>
      <c r="E2052" s="2" t="s">
        <v>7972</v>
      </c>
      <c r="F2052" s="2" t="b">
        <v>1</v>
      </c>
      <c r="G2052" s="2" t="b">
        <v>0</v>
      </c>
      <c r="H2052" s="2" t="s">
        <v>37</v>
      </c>
      <c r="I2052" s="2" t="s">
        <v>22</v>
      </c>
      <c r="J2052" s="2" t="s">
        <v>1621</v>
      </c>
      <c r="K2052" s="2" t="s">
        <v>495</v>
      </c>
      <c r="L2052" s="13" t="s">
        <v>496</v>
      </c>
      <c r="M2052" s="2" t="s">
        <v>26</v>
      </c>
      <c r="N2052" s="11" t="s">
        <v>7973</v>
      </c>
      <c r="O2052" s="12" t="s">
        <v>53</v>
      </c>
      <c r="P2052" s="5" t="str">
        <f>IFERROR(__xludf.DUMMYFUNCTION("TEXTJOIN("" | "",TRUE,IF(OR(D2052="""",E2052="""",I2052="""",J2052="""",H2052=""""),""ফাঁকা ঘর"",""""),IF(AND(C2052&lt;&gt;"""",D2052&lt;&gt;"""",C2052=D2052),""gloss=figurative"",""""),IF(LEN(D2052)&lt;15,""figurative ছোট"",""""),IF(AND(I2052=""Positive"",REGEXMATCH(H2"&amp;"052,""মূর্খ|ভণ্ড|প্রতার|অলস|লোভ|স্বার্থ|অক্ষম|অযোগ্য|বোকা|কৃপণ|হিংস"")),""valence-target অমিল"",""""),IF(COUNTIF($B:$B,B2052)&gt;1,""ডুপ্লিকেট"",""""))"),"figurative ছোট")</f>
        <v>figurative ছোট</v>
      </c>
      <c r="Q2052" s="5" t="str">
        <f t="shared" si="1"/>
        <v>১ আগে দেখো</v>
      </c>
    </row>
    <row r="2053">
      <c r="A2053" s="4">
        <v>7747.0</v>
      </c>
      <c r="B2053" s="2" t="s">
        <v>7974</v>
      </c>
      <c r="C2053" s="2" t="s">
        <v>7975</v>
      </c>
      <c r="D2053" s="2" t="s">
        <v>7976</v>
      </c>
      <c r="E2053" s="2" t="s">
        <v>7977</v>
      </c>
      <c r="F2053" s="2" t="b">
        <v>1</v>
      </c>
      <c r="G2053" s="2" t="b">
        <v>0</v>
      </c>
      <c r="H2053" s="2" t="s">
        <v>37</v>
      </c>
      <c r="I2053" s="2" t="s">
        <v>22</v>
      </c>
      <c r="J2053" s="2" t="s">
        <v>441</v>
      </c>
      <c r="K2053" s="2" t="s">
        <v>495</v>
      </c>
      <c r="L2053" s="13" t="s">
        <v>496</v>
      </c>
      <c r="M2053" s="2" t="s">
        <v>26</v>
      </c>
      <c r="N2053" s="11" t="s">
        <v>576</v>
      </c>
      <c r="O2053" s="12" t="s">
        <v>53</v>
      </c>
      <c r="P2053" s="5" t="str">
        <f>IFERROR(__xludf.DUMMYFUNCTION("TEXTJOIN("" | "",TRUE,IF(OR(D2053="""",E2053="""",I2053="""",J2053="""",H2053=""""),""ফাঁকা ঘর"",""""),IF(AND(C2053&lt;&gt;"""",D2053&lt;&gt;"""",C2053=D2053),""gloss=figurative"",""""),IF(LEN(D2053)&lt;15,""figurative ছোট"",""""),IF(AND(I2053=""Positive"",REGEXMATCH(H2"&amp;"053,""মূর্খ|ভণ্ড|প্রতার|অলস|লোভ|স্বার্থ|অক্ষম|অযোগ্য|বোকা|কৃপণ|হিংস"")),""valence-target অমিল"",""""),IF(COUNTIF($B:$B,B2053)&gt;1,""ডুপ্লিকেট"",""""))"),"figurative ছোট")</f>
        <v>figurative ছোট</v>
      </c>
      <c r="Q2053" s="5" t="str">
        <f t="shared" si="1"/>
        <v>১ আগে দেখো</v>
      </c>
    </row>
    <row r="2054">
      <c r="A2054" s="4">
        <v>7748.0</v>
      </c>
      <c r="B2054" s="2" t="s">
        <v>7978</v>
      </c>
      <c r="C2054" s="2" t="s">
        <v>7979</v>
      </c>
      <c r="D2054" s="2" t="s">
        <v>7980</v>
      </c>
      <c r="E2054" s="2" t="s">
        <v>7981</v>
      </c>
      <c r="F2054" s="2" t="b">
        <v>1</v>
      </c>
      <c r="G2054" s="2" t="b">
        <v>0</v>
      </c>
      <c r="H2054" s="2" t="s">
        <v>37</v>
      </c>
      <c r="I2054" s="2" t="s">
        <v>49</v>
      </c>
      <c r="J2054" s="2" t="s">
        <v>7982</v>
      </c>
      <c r="K2054" s="2" t="s">
        <v>495</v>
      </c>
      <c r="L2054" s="13" t="s">
        <v>496</v>
      </c>
      <c r="M2054" s="2" t="s">
        <v>26</v>
      </c>
      <c r="N2054" s="11" t="s">
        <v>576</v>
      </c>
      <c r="O2054" s="12" t="s">
        <v>53</v>
      </c>
      <c r="P2054" s="5" t="str">
        <f>IFERROR(__xludf.DUMMYFUNCTION("TEXTJOIN("" | "",TRUE,IF(OR(D2054="""",E2054="""",I2054="""",J2054="""",H2054=""""),""ফাঁকা ঘর"",""""),IF(AND(C2054&lt;&gt;"""",D2054&lt;&gt;"""",C2054=D2054),""gloss=figurative"",""""),IF(LEN(D2054)&lt;15,""figurative ছোট"",""""),IF(AND(I2054=""Positive"",REGEXMATCH(H2"&amp;"054,""মূর্খ|ভণ্ড|প্রতার|অলস|লোভ|স্বার্থ|অক্ষম|অযোগ্য|বোকা|কৃপণ|হিংস"")),""valence-target অমিল"",""""),IF(COUNTIF($B:$B,B2054)&gt;1,""ডুপ্লিকেট"",""""))"),"figurative ছোট")</f>
        <v>figurative ছোট</v>
      </c>
      <c r="Q2054" s="5" t="str">
        <f t="shared" si="1"/>
        <v>১ আগে দেখো</v>
      </c>
    </row>
    <row r="2055">
      <c r="A2055" s="4">
        <v>7749.0</v>
      </c>
      <c r="B2055" s="2" t="s">
        <v>7983</v>
      </c>
      <c r="C2055" s="2" t="s">
        <v>6987</v>
      </c>
      <c r="D2055" s="2" t="s">
        <v>4862</v>
      </c>
      <c r="E2055" s="2" t="s">
        <v>6988</v>
      </c>
      <c r="F2055" s="2" t="b">
        <v>1</v>
      </c>
      <c r="G2055" s="2" t="b">
        <v>0</v>
      </c>
      <c r="H2055" s="2" t="s">
        <v>37</v>
      </c>
      <c r="I2055" s="2" t="s">
        <v>49</v>
      </c>
      <c r="J2055" s="2" t="s">
        <v>565</v>
      </c>
      <c r="K2055" s="2" t="s">
        <v>495</v>
      </c>
      <c r="L2055" s="13" t="s">
        <v>496</v>
      </c>
      <c r="M2055" s="2" t="s">
        <v>26</v>
      </c>
      <c r="N2055" s="11" t="s">
        <v>576</v>
      </c>
      <c r="O2055" s="12" t="s">
        <v>53</v>
      </c>
      <c r="P2055" s="5" t="str">
        <f>IFERROR(__xludf.DUMMYFUNCTION("TEXTJOIN("" | "",TRUE,IF(OR(D2055="""",E2055="""",I2055="""",J2055="""",H2055=""""),""ফাঁকা ঘর"",""""),IF(AND(C2055&lt;&gt;"""",D2055&lt;&gt;"""",C2055=D2055),""gloss=figurative"",""""),IF(LEN(D2055)&lt;15,""figurative ছোট"",""""),IF(AND(I2055=""Positive"",REGEXMATCH(H2"&amp;"055,""মূর্খ|ভণ্ড|প্রতার|অলস|লোভ|স্বার্থ|অক্ষম|অযোগ্য|বোকা|কৃপণ|হিংস"")),""valence-target অমিল"",""""),IF(COUNTIF($B:$B,B2055)&gt;1,""ডুপ্লিকেট"",""""))"),"figurative ছোট")</f>
        <v>figurative ছোট</v>
      </c>
      <c r="Q2055" s="5" t="str">
        <f t="shared" si="1"/>
        <v>১ আগে দেখো</v>
      </c>
    </row>
    <row r="2056">
      <c r="A2056" s="4">
        <v>7750.0</v>
      </c>
      <c r="B2056" s="2" t="s">
        <v>7984</v>
      </c>
      <c r="C2056" s="2" t="s">
        <v>6990</v>
      </c>
      <c r="D2056" s="2" t="s">
        <v>1876</v>
      </c>
      <c r="E2056" s="2" t="s">
        <v>7985</v>
      </c>
      <c r="F2056" s="2" t="b">
        <v>1</v>
      </c>
      <c r="G2056" s="2" t="b">
        <v>0</v>
      </c>
      <c r="H2056" s="2" t="s">
        <v>4703</v>
      </c>
      <c r="I2056" s="2" t="s">
        <v>22</v>
      </c>
      <c r="J2056" s="2" t="s">
        <v>1876</v>
      </c>
      <c r="K2056" s="2" t="s">
        <v>495</v>
      </c>
      <c r="L2056" s="13" t="s">
        <v>496</v>
      </c>
      <c r="M2056" s="2" t="s">
        <v>26</v>
      </c>
      <c r="N2056" s="11" t="s">
        <v>576</v>
      </c>
      <c r="O2056" s="12" t="s">
        <v>53</v>
      </c>
      <c r="P2056" s="5" t="str">
        <f>IFERROR(__xludf.DUMMYFUNCTION("TEXTJOIN("" | "",TRUE,IF(OR(D2056="""",E2056="""",I2056="""",J2056="""",H2056=""""),""ফাঁকা ঘর"",""""),IF(AND(C2056&lt;&gt;"""",D2056&lt;&gt;"""",C2056=D2056),""gloss=figurative"",""""),IF(LEN(D2056)&lt;15,""figurative ছোট"",""""),IF(AND(I2056=""Positive"",REGEXMATCH(H2"&amp;"056,""মূর্খ|ভণ্ড|প্রতার|অলস|লোভ|স্বার্থ|অক্ষম|অযোগ্য|বোকা|কৃপণ|হিংস"")),""valence-target অমিল"",""""),IF(COUNTIF($B:$B,B2056)&gt;1,""ডুপ্লিকেট"",""""))"),"figurative ছোট")</f>
        <v>figurative ছোট</v>
      </c>
      <c r="Q2056" s="5" t="str">
        <f t="shared" si="1"/>
        <v>১ আগে দেখো</v>
      </c>
    </row>
    <row r="2057">
      <c r="A2057" s="4">
        <v>7751.0</v>
      </c>
      <c r="B2057" s="2" t="s">
        <v>7986</v>
      </c>
      <c r="C2057" s="2" t="s">
        <v>7987</v>
      </c>
      <c r="D2057" s="2" t="s">
        <v>7988</v>
      </c>
      <c r="E2057" s="2" t="s">
        <v>7989</v>
      </c>
      <c r="F2057" s="2" t="b">
        <v>1</v>
      </c>
      <c r="G2057" s="2" t="b">
        <v>0</v>
      </c>
      <c r="H2057" s="2" t="s">
        <v>4703</v>
      </c>
      <c r="I2057" s="2" t="s">
        <v>32</v>
      </c>
      <c r="J2057" s="2" t="s">
        <v>4704</v>
      </c>
      <c r="K2057" s="2" t="s">
        <v>495</v>
      </c>
      <c r="L2057" s="13" t="s">
        <v>496</v>
      </c>
      <c r="M2057" s="2" t="s">
        <v>26</v>
      </c>
      <c r="N2057" s="11" t="s">
        <v>576</v>
      </c>
      <c r="O2057" s="12" t="s">
        <v>53</v>
      </c>
      <c r="P2057" s="5" t="str">
        <f>IFERROR(__xludf.DUMMYFUNCTION("TEXTJOIN("" | "",TRUE,IF(OR(D2057="""",E2057="""",I2057="""",J2057="""",H2057=""""),""ফাঁকা ঘর"",""""),IF(AND(C2057&lt;&gt;"""",D2057&lt;&gt;"""",C2057=D2057),""gloss=figurative"",""""),IF(LEN(D2057)&lt;15,""figurative ছোট"",""""),IF(AND(I2057=""Positive"",REGEXMATCH(H2"&amp;"057,""মূর্খ|ভণ্ড|প্রতার|অলস|লোভ|স্বার্থ|অক্ষম|অযোগ্য|বোকা|কৃপণ|হিংস"")),""valence-target অমিল"",""""),IF(COUNTIF($B:$B,B2057)&gt;1,""ডুপ্লিকেট"",""""))"),"figurative ছোট")</f>
        <v>figurative ছোট</v>
      </c>
      <c r="Q2057" s="5" t="str">
        <f t="shared" si="1"/>
        <v>১ আগে দেখো</v>
      </c>
    </row>
    <row r="2058">
      <c r="A2058" s="4">
        <v>7752.0</v>
      </c>
      <c r="B2058" s="2" t="s">
        <v>7990</v>
      </c>
      <c r="C2058" s="2" t="s">
        <v>7991</v>
      </c>
      <c r="D2058" s="2" t="s">
        <v>7992</v>
      </c>
      <c r="E2058" s="2" t="s">
        <v>7993</v>
      </c>
      <c r="F2058" s="2" t="b">
        <v>1</v>
      </c>
      <c r="G2058" s="2" t="b">
        <v>0</v>
      </c>
      <c r="H2058" s="2" t="s">
        <v>37</v>
      </c>
      <c r="I2058" s="2" t="s">
        <v>22</v>
      </c>
      <c r="J2058" s="2" t="s">
        <v>7994</v>
      </c>
      <c r="K2058" s="2" t="s">
        <v>495</v>
      </c>
      <c r="L2058" s="13" t="s">
        <v>496</v>
      </c>
      <c r="M2058" s="2" t="s">
        <v>26</v>
      </c>
      <c r="N2058" s="11" t="s">
        <v>576</v>
      </c>
      <c r="O2058" s="12" t="s">
        <v>53</v>
      </c>
      <c r="P2058" s="5" t="str">
        <f>IFERROR(__xludf.DUMMYFUNCTION("TEXTJOIN("" | "",TRUE,IF(OR(D2058="""",E2058="""",I2058="""",J2058="""",H2058=""""),""ফাঁকা ঘর"",""""),IF(AND(C2058&lt;&gt;"""",D2058&lt;&gt;"""",C2058=D2058),""gloss=figurative"",""""),IF(LEN(D2058)&lt;15,""figurative ছোট"",""""),IF(AND(I2058=""Positive"",REGEXMATCH(H2"&amp;"058,""মূর্খ|ভণ্ড|প্রতার|অলস|লোভ|স্বার্থ|অক্ষম|অযোগ্য|বোকা|কৃপণ|হিংস"")),""valence-target অমিল"",""""),IF(COUNTIF($B:$B,B2058)&gt;1,""ডুপ্লিকেট"",""""))"),"figurative ছোট")</f>
        <v>figurative ছোট</v>
      </c>
      <c r="Q2058" s="5" t="str">
        <f t="shared" si="1"/>
        <v>১ আগে দেখো</v>
      </c>
    </row>
    <row r="2059">
      <c r="A2059" s="4">
        <v>7753.0</v>
      </c>
      <c r="B2059" s="2" t="s">
        <v>7995</v>
      </c>
      <c r="C2059" s="2" t="s">
        <v>7995</v>
      </c>
      <c r="D2059" s="2" t="s">
        <v>7512</v>
      </c>
      <c r="E2059" s="2" t="s">
        <v>7996</v>
      </c>
      <c r="F2059" s="2" t="b">
        <v>1</v>
      </c>
      <c r="G2059" s="2" t="b">
        <v>0</v>
      </c>
      <c r="H2059" s="2" t="s">
        <v>1484</v>
      </c>
      <c r="I2059" s="2" t="s">
        <v>22</v>
      </c>
      <c r="J2059" s="2" t="s">
        <v>1740</v>
      </c>
      <c r="K2059" s="2" t="s">
        <v>495</v>
      </c>
      <c r="L2059" s="13" t="s">
        <v>496</v>
      </c>
      <c r="M2059" s="2" t="s">
        <v>26</v>
      </c>
      <c r="N2059" s="11" t="s">
        <v>576</v>
      </c>
      <c r="O2059" s="12" t="s">
        <v>53</v>
      </c>
      <c r="P2059" s="5" t="str">
        <f>IFERROR(__xludf.DUMMYFUNCTION("TEXTJOIN("" | "",TRUE,IF(OR(D2059="""",E2059="""",I2059="""",J2059="""",H2059=""""),""ফাঁকা ঘর"",""""),IF(AND(C2059&lt;&gt;"""",D2059&lt;&gt;"""",C2059=D2059),""gloss=figurative"",""""),IF(LEN(D2059)&lt;15,""figurative ছোট"",""""),IF(AND(I2059=""Positive"",REGEXMATCH(H2"&amp;"059,""মূর্খ|ভণ্ড|প্রতার|অলস|লোভ|স্বার্থ|অক্ষম|অযোগ্য|বোকা|কৃপণ|হিংস"")),""valence-target অমিল"",""""),IF(COUNTIF($B:$B,B2059)&gt;1,""ডুপ্লিকেট"",""""))"),"figurative ছোট")</f>
        <v>figurative ছোট</v>
      </c>
      <c r="Q2059" s="5" t="str">
        <f t="shared" si="1"/>
        <v>১ আগে দেখো</v>
      </c>
    </row>
    <row r="2060">
      <c r="A2060" s="4">
        <v>7755.0</v>
      </c>
      <c r="B2060" s="2" t="s">
        <v>7997</v>
      </c>
      <c r="C2060" s="2" t="s">
        <v>7998</v>
      </c>
      <c r="D2060" s="2" t="s">
        <v>7999</v>
      </c>
      <c r="E2060" s="2" t="s">
        <v>8000</v>
      </c>
      <c r="F2060" s="2" t="b">
        <v>1</v>
      </c>
      <c r="G2060" s="2" t="b">
        <v>0</v>
      </c>
      <c r="H2060" s="2" t="s">
        <v>37</v>
      </c>
      <c r="I2060" s="2" t="s">
        <v>49</v>
      </c>
      <c r="J2060" s="2" t="s">
        <v>3416</v>
      </c>
      <c r="K2060" s="2" t="s">
        <v>495</v>
      </c>
      <c r="L2060" s="13" t="s">
        <v>496</v>
      </c>
      <c r="M2060" s="2" t="s">
        <v>26</v>
      </c>
      <c r="N2060" s="11" t="s">
        <v>576</v>
      </c>
      <c r="O2060" s="12" t="s">
        <v>53</v>
      </c>
      <c r="P2060" s="5" t="str">
        <f>IFERROR(__xludf.DUMMYFUNCTION("TEXTJOIN("" | "",TRUE,IF(OR(D2060="""",E2060="""",I2060="""",J2060="""",H2060=""""),""ফাঁকা ঘর"",""""),IF(AND(C2060&lt;&gt;"""",D2060&lt;&gt;"""",C2060=D2060),""gloss=figurative"",""""),IF(LEN(D2060)&lt;15,""figurative ছোট"",""""),IF(AND(I2060=""Positive"",REGEXMATCH(H2"&amp;"060,""মূর্খ|ভণ্ড|প্রতার|অলস|লোভ|স্বার্থ|অক্ষম|অযোগ্য|বোকা|কৃপণ|হিংস"")),""valence-target অমিল"",""""),IF(COUNTIF($B:$B,B2060)&gt;1,""ডুপ্লিকেট"",""""))"),"figurative ছোট")</f>
        <v>figurative ছোট</v>
      </c>
      <c r="Q2060" s="5" t="str">
        <f t="shared" si="1"/>
        <v>১ আগে দেখো</v>
      </c>
    </row>
    <row r="2061">
      <c r="A2061" s="4">
        <v>7756.0</v>
      </c>
      <c r="B2061" s="2" t="s">
        <v>8001</v>
      </c>
      <c r="C2061" s="2" t="s">
        <v>8002</v>
      </c>
      <c r="D2061" s="2" t="s">
        <v>2857</v>
      </c>
      <c r="E2061" s="2" t="s">
        <v>8003</v>
      </c>
      <c r="F2061" s="2" t="b">
        <v>1</v>
      </c>
      <c r="G2061" s="2" t="b">
        <v>0</v>
      </c>
      <c r="H2061" s="2" t="s">
        <v>37</v>
      </c>
      <c r="I2061" s="2" t="s">
        <v>22</v>
      </c>
      <c r="J2061" s="2" t="s">
        <v>2857</v>
      </c>
      <c r="K2061" s="2" t="s">
        <v>495</v>
      </c>
      <c r="L2061" s="13" t="s">
        <v>496</v>
      </c>
      <c r="M2061" s="2" t="s">
        <v>26</v>
      </c>
      <c r="N2061" s="11" t="s">
        <v>576</v>
      </c>
      <c r="O2061" s="12" t="s">
        <v>53</v>
      </c>
      <c r="P2061" s="5" t="str">
        <f>IFERROR(__xludf.DUMMYFUNCTION("TEXTJOIN("" | "",TRUE,IF(OR(D2061="""",E2061="""",I2061="""",J2061="""",H2061=""""),""ফাঁকা ঘর"",""""),IF(AND(C2061&lt;&gt;"""",D2061&lt;&gt;"""",C2061=D2061),""gloss=figurative"",""""),IF(LEN(D2061)&lt;15,""figurative ছোট"",""""),IF(AND(I2061=""Positive"",REGEXMATCH(H2"&amp;"061,""মূর্খ|ভণ্ড|প্রতার|অলস|লোভ|স্বার্থ|অক্ষম|অযোগ্য|বোকা|কৃপণ|হিংস"")),""valence-target অমিল"",""""),IF(COUNTIF($B:$B,B2061)&gt;1,""ডুপ্লিকেট"",""""))"),"figurative ছোট")</f>
        <v>figurative ছোট</v>
      </c>
      <c r="Q2061" s="5" t="str">
        <f t="shared" si="1"/>
        <v>১ আগে দেখো</v>
      </c>
    </row>
    <row r="2062">
      <c r="A2062" s="4">
        <v>7758.0</v>
      </c>
      <c r="B2062" s="2" t="s">
        <v>8004</v>
      </c>
      <c r="C2062" s="2" t="s">
        <v>8004</v>
      </c>
      <c r="D2062" s="2" t="s">
        <v>8005</v>
      </c>
      <c r="E2062" s="2" t="s">
        <v>8006</v>
      </c>
      <c r="F2062" s="2" t="b">
        <v>1</v>
      </c>
      <c r="G2062" s="2" t="b">
        <v>0</v>
      </c>
      <c r="H2062" s="2" t="s">
        <v>37</v>
      </c>
      <c r="I2062" s="2" t="s">
        <v>49</v>
      </c>
      <c r="J2062" s="2" t="s">
        <v>3549</v>
      </c>
      <c r="K2062" s="2" t="s">
        <v>495</v>
      </c>
      <c r="L2062" s="13" t="s">
        <v>496</v>
      </c>
      <c r="M2062" s="2" t="s">
        <v>26</v>
      </c>
      <c r="N2062" s="11" t="s">
        <v>576</v>
      </c>
      <c r="O2062" s="12" t="s">
        <v>53</v>
      </c>
      <c r="P2062" s="5" t="str">
        <f>IFERROR(__xludf.DUMMYFUNCTION("TEXTJOIN("" | "",TRUE,IF(OR(D2062="""",E2062="""",I2062="""",J2062="""",H2062=""""),""ফাঁকা ঘর"",""""),IF(AND(C2062&lt;&gt;"""",D2062&lt;&gt;"""",C2062=D2062),""gloss=figurative"",""""),IF(LEN(D2062)&lt;15,""figurative ছোট"",""""),IF(AND(I2062=""Positive"",REGEXMATCH(H2"&amp;"062,""মূর্খ|ভণ্ড|প্রতার|অলস|লোভ|স্বার্থ|অক্ষম|অযোগ্য|বোকা|কৃপণ|হিংস"")),""valence-target অমিল"",""""),IF(COUNTIF($B:$B,B2062)&gt;1,""ডুপ্লিকেট"",""""))"),"figurative ছোট")</f>
        <v>figurative ছোট</v>
      </c>
      <c r="Q2062" s="5" t="str">
        <f t="shared" si="1"/>
        <v>১ আগে দেখো</v>
      </c>
    </row>
    <row r="2063">
      <c r="A2063" s="4">
        <v>7759.0</v>
      </c>
      <c r="B2063" s="2" t="s">
        <v>8007</v>
      </c>
      <c r="C2063" s="2" t="s">
        <v>8008</v>
      </c>
      <c r="D2063" s="2" t="s">
        <v>4463</v>
      </c>
      <c r="E2063" s="2" t="s">
        <v>8009</v>
      </c>
      <c r="F2063" s="2" t="b">
        <v>1</v>
      </c>
      <c r="G2063" s="2" t="b">
        <v>0</v>
      </c>
      <c r="H2063" s="2" t="s">
        <v>37</v>
      </c>
      <c r="I2063" s="2" t="s">
        <v>22</v>
      </c>
      <c r="J2063" s="2" t="s">
        <v>4463</v>
      </c>
      <c r="K2063" s="2" t="s">
        <v>495</v>
      </c>
      <c r="L2063" s="13" t="s">
        <v>496</v>
      </c>
      <c r="M2063" s="2" t="s">
        <v>26</v>
      </c>
      <c r="N2063" s="11" t="s">
        <v>576</v>
      </c>
      <c r="O2063" s="12" t="s">
        <v>53</v>
      </c>
      <c r="P2063" s="5" t="str">
        <f>IFERROR(__xludf.DUMMYFUNCTION("TEXTJOIN("" | "",TRUE,IF(OR(D2063="""",E2063="""",I2063="""",J2063="""",H2063=""""),""ফাঁকা ঘর"",""""),IF(AND(C2063&lt;&gt;"""",D2063&lt;&gt;"""",C2063=D2063),""gloss=figurative"",""""),IF(LEN(D2063)&lt;15,""figurative ছোট"",""""),IF(AND(I2063=""Positive"",REGEXMATCH(H2"&amp;"063,""মূর্খ|ভণ্ড|প্রতার|অলস|লোভ|স্বার্থ|অক্ষম|অযোগ্য|বোকা|কৃপণ|হিংস"")),""valence-target অমিল"",""""),IF(COUNTIF($B:$B,B2063)&gt;1,""ডুপ্লিকেট"",""""))"),"figurative ছোট")</f>
        <v>figurative ছোট</v>
      </c>
      <c r="Q2063" s="5" t="str">
        <f t="shared" si="1"/>
        <v>১ আগে দেখো</v>
      </c>
    </row>
    <row r="2064">
      <c r="A2064" s="4">
        <v>7760.0</v>
      </c>
      <c r="B2064" s="2" t="s">
        <v>8010</v>
      </c>
      <c r="C2064" s="2" t="s">
        <v>8011</v>
      </c>
      <c r="D2064" s="2" t="s">
        <v>762</v>
      </c>
      <c r="E2064" s="2" t="s">
        <v>8012</v>
      </c>
      <c r="F2064" s="2" t="b">
        <v>1</v>
      </c>
      <c r="G2064" s="2" t="b">
        <v>0</v>
      </c>
      <c r="H2064" s="2" t="s">
        <v>37</v>
      </c>
      <c r="I2064" s="2" t="s">
        <v>49</v>
      </c>
      <c r="J2064" s="2" t="s">
        <v>762</v>
      </c>
      <c r="K2064" s="2" t="s">
        <v>495</v>
      </c>
      <c r="L2064" s="13" t="s">
        <v>496</v>
      </c>
      <c r="M2064" s="2" t="s">
        <v>26</v>
      </c>
      <c r="N2064" s="11" t="s">
        <v>576</v>
      </c>
      <c r="O2064" s="12" t="s">
        <v>53</v>
      </c>
      <c r="P2064" s="5" t="str">
        <f>IFERROR(__xludf.DUMMYFUNCTION("TEXTJOIN("" | "",TRUE,IF(OR(D2064="""",E2064="""",I2064="""",J2064="""",H2064=""""),""ফাঁকা ঘর"",""""),IF(AND(C2064&lt;&gt;"""",D2064&lt;&gt;"""",C2064=D2064),""gloss=figurative"",""""),IF(LEN(D2064)&lt;15,""figurative ছোট"",""""),IF(AND(I2064=""Positive"",REGEXMATCH(H2"&amp;"064,""মূর্খ|ভণ্ড|প্রতার|অলস|লোভ|স্বার্থ|অক্ষম|অযোগ্য|বোকা|কৃপণ|হিংস"")),""valence-target অমিল"",""""),IF(COUNTIF($B:$B,B2064)&gt;1,""ডুপ্লিকেট"",""""))"),"figurative ছোট")</f>
        <v>figurative ছোট</v>
      </c>
      <c r="Q2064" s="5" t="str">
        <f t="shared" si="1"/>
        <v>১ আগে দেখো</v>
      </c>
    </row>
    <row r="2065">
      <c r="A2065" s="4">
        <v>7761.0</v>
      </c>
      <c r="B2065" s="2" t="s">
        <v>8013</v>
      </c>
      <c r="C2065" s="2" t="s">
        <v>8014</v>
      </c>
      <c r="D2065" s="2" t="s">
        <v>8015</v>
      </c>
      <c r="E2065" s="2" t="s">
        <v>8016</v>
      </c>
      <c r="F2065" s="2" t="b">
        <v>1</v>
      </c>
      <c r="G2065" s="2" t="b">
        <v>0</v>
      </c>
      <c r="H2065" s="2" t="s">
        <v>37</v>
      </c>
      <c r="I2065" s="2" t="s">
        <v>49</v>
      </c>
      <c r="J2065" s="2" t="s">
        <v>1175</v>
      </c>
      <c r="K2065" s="2" t="s">
        <v>495</v>
      </c>
      <c r="L2065" s="13" t="s">
        <v>496</v>
      </c>
      <c r="M2065" s="2" t="s">
        <v>26</v>
      </c>
      <c r="N2065" s="11" t="s">
        <v>576</v>
      </c>
      <c r="O2065" s="12" t="s">
        <v>53</v>
      </c>
      <c r="P2065" s="5" t="str">
        <f>IFERROR(__xludf.DUMMYFUNCTION("TEXTJOIN("" | "",TRUE,IF(OR(D2065="""",E2065="""",I2065="""",J2065="""",H2065=""""),""ফাঁকা ঘর"",""""),IF(AND(C2065&lt;&gt;"""",D2065&lt;&gt;"""",C2065=D2065),""gloss=figurative"",""""),IF(LEN(D2065)&lt;15,""figurative ছোট"",""""),IF(AND(I2065=""Positive"",REGEXMATCH(H2"&amp;"065,""মূর্খ|ভণ্ড|প্রতার|অলস|লোভ|স্বার্থ|অক্ষম|অযোগ্য|বোকা|কৃপণ|হিংস"")),""valence-target অমিল"",""""),IF(COUNTIF($B:$B,B2065)&gt;1,""ডুপ্লিকেট"",""""))"),"figurative ছোট")</f>
        <v>figurative ছোট</v>
      </c>
      <c r="Q2065" s="5" t="str">
        <f t="shared" si="1"/>
        <v>১ আগে দেখো</v>
      </c>
    </row>
    <row r="2066">
      <c r="A2066" s="4">
        <v>7762.0</v>
      </c>
      <c r="B2066" s="2" t="s">
        <v>8017</v>
      </c>
      <c r="C2066" s="2" t="s">
        <v>8018</v>
      </c>
      <c r="D2066" s="2" t="s">
        <v>8019</v>
      </c>
      <c r="E2066" s="2" t="s">
        <v>8020</v>
      </c>
      <c r="F2066" s="2" t="b">
        <v>1</v>
      </c>
      <c r="G2066" s="2" t="b">
        <v>0</v>
      </c>
      <c r="H2066" s="2" t="s">
        <v>37</v>
      </c>
      <c r="I2066" s="2" t="s">
        <v>22</v>
      </c>
      <c r="J2066" s="2" t="s">
        <v>1397</v>
      </c>
      <c r="K2066" s="2" t="s">
        <v>495</v>
      </c>
      <c r="L2066" s="13" t="s">
        <v>496</v>
      </c>
      <c r="M2066" s="2" t="s">
        <v>26</v>
      </c>
      <c r="N2066" s="11" t="s">
        <v>8021</v>
      </c>
      <c r="O2066" s="12" t="s">
        <v>53</v>
      </c>
      <c r="P2066" s="5" t="str">
        <f>IFERROR(__xludf.DUMMYFUNCTION("TEXTJOIN("" | "",TRUE,IF(OR(D2066="""",E2066="""",I2066="""",J2066="""",H2066=""""),""ফাঁকা ঘর"",""""),IF(AND(C2066&lt;&gt;"""",D2066&lt;&gt;"""",C2066=D2066),""gloss=figurative"",""""),IF(LEN(D2066)&lt;15,""figurative ছোট"",""""),IF(AND(I2066=""Positive"",REGEXMATCH(H2"&amp;"066,""মূর্খ|ভণ্ড|প্রতার|অলস|লোভ|স্বার্থ|অক্ষম|অযোগ্য|বোকা|কৃপণ|হিংস"")),""valence-target অমিল"",""""),IF(COUNTIF($B:$B,B2066)&gt;1,""ডুপ্লিকেট"",""""))"),"figurative ছোট")</f>
        <v>figurative ছোট</v>
      </c>
      <c r="Q2066" s="5" t="str">
        <f t="shared" si="1"/>
        <v>১ আগে দেখো</v>
      </c>
    </row>
    <row r="2067">
      <c r="A2067" s="4">
        <v>7763.0</v>
      </c>
      <c r="B2067" s="2" t="s">
        <v>8022</v>
      </c>
      <c r="C2067" s="2" t="s">
        <v>8023</v>
      </c>
      <c r="D2067" s="2" t="s">
        <v>1397</v>
      </c>
      <c r="E2067" s="2" t="s">
        <v>8024</v>
      </c>
      <c r="F2067" s="2" t="b">
        <v>1</v>
      </c>
      <c r="G2067" s="2" t="b">
        <v>0</v>
      </c>
      <c r="H2067" s="2" t="s">
        <v>37</v>
      </c>
      <c r="I2067" s="2" t="s">
        <v>22</v>
      </c>
      <c r="J2067" s="2" t="s">
        <v>1397</v>
      </c>
      <c r="K2067" s="2" t="s">
        <v>495</v>
      </c>
      <c r="L2067" s="13" t="s">
        <v>496</v>
      </c>
      <c r="M2067" s="2" t="s">
        <v>26</v>
      </c>
      <c r="N2067" s="11" t="s">
        <v>8025</v>
      </c>
      <c r="O2067" s="12" t="s">
        <v>53</v>
      </c>
      <c r="P2067" s="5" t="str">
        <f>IFERROR(__xludf.DUMMYFUNCTION("TEXTJOIN("" | "",TRUE,IF(OR(D2067="""",E2067="""",I2067="""",J2067="""",H2067=""""),""ফাঁকা ঘর"",""""),IF(AND(C2067&lt;&gt;"""",D2067&lt;&gt;"""",C2067=D2067),""gloss=figurative"",""""),IF(LEN(D2067)&lt;15,""figurative ছোট"",""""),IF(AND(I2067=""Positive"",REGEXMATCH(H2"&amp;"067,""মূর্খ|ভণ্ড|প্রতার|অলস|লোভ|স্বার্থ|অক্ষম|অযোগ্য|বোকা|কৃপণ|হিংস"")),""valence-target অমিল"",""""),IF(COUNTIF($B:$B,B2067)&gt;1,""ডুপ্লিকেট"",""""))"),"figurative ছোট")</f>
        <v>figurative ছোট</v>
      </c>
      <c r="Q2067" s="5" t="str">
        <f t="shared" si="1"/>
        <v>১ আগে দেখো</v>
      </c>
    </row>
    <row r="2068">
      <c r="A2068" s="4">
        <v>7764.0</v>
      </c>
      <c r="B2068" s="2" t="s">
        <v>8026</v>
      </c>
      <c r="C2068" s="2" t="s">
        <v>8027</v>
      </c>
      <c r="D2068" s="2" t="s">
        <v>8028</v>
      </c>
      <c r="E2068" s="2" t="s">
        <v>8029</v>
      </c>
      <c r="F2068" s="2" t="b">
        <v>1</v>
      </c>
      <c r="G2068" s="2" t="b">
        <v>0</v>
      </c>
      <c r="H2068" s="2" t="s">
        <v>37</v>
      </c>
      <c r="I2068" s="2" t="s">
        <v>49</v>
      </c>
      <c r="J2068" s="2" t="s">
        <v>1175</v>
      </c>
      <c r="K2068" s="2" t="s">
        <v>495</v>
      </c>
      <c r="L2068" s="13" t="s">
        <v>496</v>
      </c>
      <c r="M2068" s="2" t="s">
        <v>26</v>
      </c>
      <c r="N2068" s="11" t="s">
        <v>576</v>
      </c>
      <c r="O2068" s="12" t="s">
        <v>53</v>
      </c>
      <c r="P2068" s="5" t="str">
        <f>IFERROR(__xludf.DUMMYFUNCTION("TEXTJOIN("" | "",TRUE,IF(OR(D2068="""",E2068="""",I2068="""",J2068="""",H2068=""""),""ফাঁকা ঘর"",""""),IF(AND(C2068&lt;&gt;"""",D2068&lt;&gt;"""",C2068=D2068),""gloss=figurative"",""""),IF(LEN(D2068)&lt;15,""figurative ছোট"",""""),IF(AND(I2068=""Positive"",REGEXMATCH(H2"&amp;"068,""মূর্খ|ভণ্ড|প্রতার|অলস|লোভ|স্বার্থ|অক্ষম|অযোগ্য|বোকা|কৃপণ|হিংস"")),""valence-target অমিল"",""""),IF(COUNTIF($B:$B,B2068)&gt;1,""ডুপ্লিকেট"",""""))"),"figurative ছোট")</f>
        <v>figurative ছোট</v>
      </c>
      <c r="Q2068" s="5" t="str">
        <f t="shared" si="1"/>
        <v>১ আগে দেখো</v>
      </c>
    </row>
    <row r="2069">
      <c r="A2069" s="4">
        <v>7766.0</v>
      </c>
      <c r="B2069" s="2" t="s">
        <v>8030</v>
      </c>
      <c r="C2069" s="2" t="s">
        <v>8030</v>
      </c>
      <c r="D2069" s="2" t="s">
        <v>3815</v>
      </c>
      <c r="E2069" s="2" t="s">
        <v>8031</v>
      </c>
      <c r="F2069" s="2" t="b">
        <v>1</v>
      </c>
      <c r="G2069" s="2" t="b">
        <v>0</v>
      </c>
      <c r="H2069" s="2" t="s">
        <v>37</v>
      </c>
      <c r="I2069" s="2" t="s">
        <v>49</v>
      </c>
      <c r="J2069" s="2" t="s">
        <v>3506</v>
      </c>
      <c r="K2069" s="2" t="s">
        <v>495</v>
      </c>
      <c r="L2069" s="13" t="s">
        <v>496</v>
      </c>
      <c r="M2069" s="2" t="s">
        <v>26</v>
      </c>
      <c r="N2069" s="11" t="s">
        <v>576</v>
      </c>
      <c r="O2069" s="12" t="s">
        <v>53</v>
      </c>
      <c r="P2069" s="5" t="str">
        <f>IFERROR(__xludf.DUMMYFUNCTION("TEXTJOIN("" | "",TRUE,IF(OR(D2069="""",E2069="""",I2069="""",J2069="""",H2069=""""),""ফাঁকা ঘর"",""""),IF(AND(C2069&lt;&gt;"""",D2069&lt;&gt;"""",C2069=D2069),""gloss=figurative"",""""),IF(LEN(D2069)&lt;15,""figurative ছোট"",""""),IF(AND(I2069=""Positive"",REGEXMATCH(H2"&amp;"069,""মূর্খ|ভণ্ড|প্রতার|অলস|লোভ|স্বার্থ|অক্ষম|অযোগ্য|বোকা|কৃপণ|হিংস"")),""valence-target অমিল"",""""),IF(COUNTIF($B:$B,B2069)&gt;1,""ডুপ্লিকেট"",""""))"),"figurative ছোট")</f>
        <v>figurative ছোট</v>
      </c>
      <c r="Q2069" s="5" t="str">
        <f t="shared" si="1"/>
        <v>১ আগে দেখো</v>
      </c>
    </row>
    <row r="2070">
      <c r="A2070" s="4">
        <v>7767.0</v>
      </c>
      <c r="B2070" s="2" t="s">
        <v>8032</v>
      </c>
      <c r="C2070" s="2" t="s">
        <v>8033</v>
      </c>
      <c r="D2070" s="2" t="s">
        <v>842</v>
      </c>
      <c r="E2070" s="2" t="s">
        <v>8034</v>
      </c>
      <c r="F2070" s="2" t="b">
        <v>1</v>
      </c>
      <c r="G2070" s="2" t="b">
        <v>0</v>
      </c>
      <c r="H2070" s="2" t="s">
        <v>37</v>
      </c>
      <c r="I2070" s="2" t="s">
        <v>22</v>
      </c>
      <c r="J2070" s="2" t="s">
        <v>3356</v>
      </c>
      <c r="K2070" s="2" t="s">
        <v>495</v>
      </c>
      <c r="L2070" s="13" t="s">
        <v>496</v>
      </c>
      <c r="M2070" s="2" t="s">
        <v>26</v>
      </c>
      <c r="N2070" s="11" t="s">
        <v>576</v>
      </c>
      <c r="O2070" s="12" t="s">
        <v>53</v>
      </c>
      <c r="P2070" s="5" t="str">
        <f>IFERROR(__xludf.DUMMYFUNCTION("TEXTJOIN("" | "",TRUE,IF(OR(D2070="""",E2070="""",I2070="""",J2070="""",H2070=""""),""ফাঁকা ঘর"",""""),IF(AND(C2070&lt;&gt;"""",D2070&lt;&gt;"""",C2070=D2070),""gloss=figurative"",""""),IF(LEN(D2070)&lt;15,""figurative ছোট"",""""),IF(AND(I2070=""Positive"",REGEXMATCH(H2"&amp;"070,""মূর্খ|ভণ্ড|প্রতার|অলস|লোভ|স্বার্থ|অক্ষম|অযোগ্য|বোকা|কৃপণ|হিংস"")),""valence-target অমিল"",""""),IF(COUNTIF($B:$B,B2070)&gt;1,""ডুপ্লিকেট"",""""))"),"figurative ছোট")</f>
        <v>figurative ছোট</v>
      </c>
      <c r="Q2070" s="5" t="str">
        <f t="shared" si="1"/>
        <v>১ আগে দেখো</v>
      </c>
    </row>
    <row r="2071">
      <c r="A2071" s="4">
        <v>7768.0</v>
      </c>
      <c r="B2071" s="2" t="s">
        <v>8035</v>
      </c>
      <c r="C2071" s="2" t="s">
        <v>8036</v>
      </c>
      <c r="D2071" s="2" t="s">
        <v>8037</v>
      </c>
      <c r="E2071" s="2" t="s">
        <v>8038</v>
      </c>
      <c r="F2071" s="2" t="b">
        <v>1</v>
      </c>
      <c r="G2071" s="2" t="b">
        <v>0</v>
      </c>
      <c r="H2071" s="2" t="s">
        <v>37</v>
      </c>
      <c r="I2071" s="2" t="s">
        <v>49</v>
      </c>
      <c r="J2071" s="2" t="s">
        <v>8037</v>
      </c>
      <c r="K2071" s="2" t="s">
        <v>495</v>
      </c>
      <c r="L2071" s="13" t="s">
        <v>496</v>
      </c>
      <c r="M2071" s="2" t="s">
        <v>26</v>
      </c>
      <c r="N2071" s="11" t="s">
        <v>576</v>
      </c>
      <c r="O2071" s="12" t="s">
        <v>53</v>
      </c>
      <c r="P2071" s="5" t="str">
        <f>IFERROR(__xludf.DUMMYFUNCTION("TEXTJOIN("" | "",TRUE,IF(OR(D2071="""",E2071="""",I2071="""",J2071="""",H2071=""""),""ফাঁকা ঘর"",""""),IF(AND(C2071&lt;&gt;"""",D2071&lt;&gt;"""",C2071=D2071),""gloss=figurative"",""""),IF(LEN(D2071)&lt;15,""figurative ছোট"",""""),IF(AND(I2071=""Positive"",REGEXMATCH(H2"&amp;"071,""মূর্খ|ভণ্ড|প্রতার|অলস|লোভ|স্বার্থ|অক্ষম|অযোগ্য|বোকা|কৃপণ|হিংস"")),""valence-target অমিল"",""""),IF(COUNTIF($B:$B,B2071)&gt;1,""ডুপ্লিকেট"",""""))"),"figurative ছোট")</f>
        <v>figurative ছোট</v>
      </c>
      <c r="Q2071" s="5" t="str">
        <f t="shared" si="1"/>
        <v>১ আগে দেখো</v>
      </c>
    </row>
    <row r="2072">
      <c r="A2072" s="4">
        <v>7769.0</v>
      </c>
      <c r="B2072" s="2" t="s">
        <v>8039</v>
      </c>
      <c r="C2072" s="2" t="s">
        <v>8040</v>
      </c>
      <c r="D2072" s="2" t="s">
        <v>1775</v>
      </c>
      <c r="E2072" s="2" t="s">
        <v>8041</v>
      </c>
      <c r="F2072" s="2" t="b">
        <v>1</v>
      </c>
      <c r="G2072" s="2" t="b">
        <v>0</v>
      </c>
      <c r="H2072" s="2" t="s">
        <v>37</v>
      </c>
      <c r="I2072" s="2" t="s">
        <v>32</v>
      </c>
      <c r="J2072" s="2" t="s">
        <v>1775</v>
      </c>
      <c r="K2072" s="2" t="s">
        <v>495</v>
      </c>
      <c r="L2072" s="13" t="s">
        <v>496</v>
      </c>
      <c r="M2072" s="2" t="s">
        <v>26</v>
      </c>
      <c r="N2072" s="11" t="s">
        <v>8042</v>
      </c>
      <c r="O2072" s="12" t="s">
        <v>53</v>
      </c>
      <c r="P2072" s="5" t="str">
        <f>IFERROR(__xludf.DUMMYFUNCTION("TEXTJOIN("" | "",TRUE,IF(OR(D2072="""",E2072="""",I2072="""",J2072="""",H2072=""""),""ফাঁকা ঘর"",""""),IF(AND(C2072&lt;&gt;"""",D2072&lt;&gt;"""",C2072=D2072),""gloss=figurative"",""""),IF(LEN(D2072)&lt;15,""figurative ছোট"",""""),IF(AND(I2072=""Positive"",REGEXMATCH(H2"&amp;"072,""মূর্খ|ভণ্ড|প্রতার|অলস|লোভ|স্বার্থ|অক্ষম|অযোগ্য|বোকা|কৃপণ|হিংস"")),""valence-target অমিল"",""""),IF(COUNTIF($B:$B,B2072)&gt;1,""ডুপ্লিকেট"",""""))"),"figurative ছোট | ডুপ্লিকেট")</f>
        <v>figurative ছোট | ডুপ্লিকেট</v>
      </c>
      <c r="Q2072" s="5" t="str">
        <f t="shared" si="1"/>
        <v>১ আগে দেখো</v>
      </c>
    </row>
    <row r="2073">
      <c r="A2073" s="4">
        <v>7770.0</v>
      </c>
      <c r="B2073" s="2" t="s">
        <v>8043</v>
      </c>
      <c r="C2073" s="2" t="s">
        <v>8044</v>
      </c>
      <c r="D2073" s="2" t="s">
        <v>8045</v>
      </c>
      <c r="E2073" s="2" t="s">
        <v>8046</v>
      </c>
      <c r="F2073" s="2" t="b">
        <v>1</v>
      </c>
      <c r="G2073" s="2" t="b">
        <v>0</v>
      </c>
      <c r="H2073" s="2" t="s">
        <v>37</v>
      </c>
      <c r="I2073" s="2" t="s">
        <v>49</v>
      </c>
      <c r="J2073" s="2" t="s">
        <v>8045</v>
      </c>
      <c r="K2073" s="2" t="s">
        <v>495</v>
      </c>
      <c r="L2073" s="13" t="s">
        <v>496</v>
      </c>
      <c r="M2073" s="2" t="s">
        <v>26</v>
      </c>
      <c r="N2073" s="11" t="s">
        <v>576</v>
      </c>
      <c r="O2073" s="12" t="s">
        <v>53</v>
      </c>
      <c r="P2073" s="5" t="str">
        <f>IFERROR(__xludf.DUMMYFUNCTION("TEXTJOIN("" | "",TRUE,IF(OR(D2073="""",E2073="""",I2073="""",J2073="""",H2073=""""),""ফাঁকা ঘর"",""""),IF(AND(C2073&lt;&gt;"""",D2073&lt;&gt;"""",C2073=D2073),""gloss=figurative"",""""),IF(LEN(D2073)&lt;15,""figurative ছোট"",""""),IF(AND(I2073=""Positive"",REGEXMATCH(H2"&amp;"073,""মূর্খ|ভণ্ড|প্রতার|অলস|লোভ|স্বার্থ|অক্ষম|অযোগ্য|বোকা|কৃপণ|হিংস"")),""valence-target অমিল"",""""),IF(COUNTIF($B:$B,B2073)&gt;1,""ডুপ্লিকেট"",""""))"),"figurative ছোট")</f>
        <v>figurative ছোট</v>
      </c>
      <c r="Q2073" s="5" t="str">
        <f t="shared" si="1"/>
        <v>১ আগে দেখো</v>
      </c>
    </row>
    <row r="2074">
      <c r="A2074" s="4">
        <v>7771.0</v>
      </c>
      <c r="B2074" s="2" t="s">
        <v>8047</v>
      </c>
      <c r="C2074" s="2" t="s">
        <v>8048</v>
      </c>
      <c r="D2074" s="2" t="s">
        <v>8045</v>
      </c>
      <c r="E2074" s="2" t="s">
        <v>8049</v>
      </c>
      <c r="F2074" s="2" t="b">
        <v>1</v>
      </c>
      <c r="G2074" s="2" t="b">
        <v>0</v>
      </c>
      <c r="H2074" s="2" t="s">
        <v>37</v>
      </c>
      <c r="I2074" s="2" t="s">
        <v>49</v>
      </c>
      <c r="J2074" s="2" t="s">
        <v>8045</v>
      </c>
      <c r="K2074" s="2" t="s">
        <v>495</v>
      </c>
      <c r="L2074" s="13" t="s">
        <v>496</v>
      </c>
      <c r="M2074" s="2" t="s">
        <v>26</v>
      </c>
      <c r="N2074" s="11" t="s">
        <v>576</v>
      </c>
      <c r="O2074" s="12" t="s">
        <v>53</v>
      </c>
      <c r="P2074" s="5" t="str">
        <f>IFERROR(__xludf.DUMMYFUNCTION("TEXTJOIN("" | "",TRUE,IF(OR(D2074="""",E2074="""",I2074="""",J2074="""",H2074=""""),""ফাঁকা ঘর"",""""),IF(AND(C2074&lt;&gt;"""",D2074&lt;&gt;"""",C2074=D2074),""gloss=figurative"",""""),IF(LEN(D2074)&lt;15,""figurative ছোট"",""""),IF(AND(I2074=""Positive"",REGEXMATCH(H2"&amp;"074,""মূর্খ|ভণ্ড|প্রতার|অলস|লোভ|স্বার্থ|অক্ষম|অযোগ্য|বোকা|কৃপণ|হিংস"")),""valence-target অমিল"",""""),IF(COUNTIF($B:$B,B2074)&gt;1,""ডুপ্লিকেট"",""""))"),"figurative ছোট")</f>
        <v>figurative ছোট</v>
      </c>
      <c r="Q2074" s="5" t="str">
        <f t="shared" si="1"/>
        <v>১ আগে দেখো</v>
      </c>
    </row>
    <row r="2075">
      <c r="A2075" s="4">
        <v>7772.0</v>
      </c>
      <c r="B2075" s="2" t="s">
        <v>8050</v>
      </c>
      <c r="C2075" s="2" t="s">
        <v>8051</v>
      </c>
      <c r="D2075" s="2" t="s">
        <v>1175</v>
      </c>
      <c r="E2075" s="2" t="s">
        <v>8052</v>
      </c>
      <c r="F2075" s="2" t="b">
        <v>1</v>
      </c>
      <c r="G2075" s="2" t="b">
        <v>0</v>
      </c>
      <c r="H2075" s="2" t="s">
        <v>37</v>
      </c>
      <c r="I2075" s="2" t="s">
        <v>32</v>
      </c>
      <c r="J2075" s="2" t="s">
        <v>1175</v>
      </c>
      <c r="K2075" s="2" t="s">
        <v>495</v>
      </c>
      <c r="L2075" s="13" t="s">
        <v>496</v>
      </c>
      <c r="M2075" s="2" t="s">
        <v>26</v>
      </c>
      <c r="N2075" s="11" t="s">
        <v>576</v>
      </c>
      <c r="O2075" s="12" t="s">
        <v>53</v>
      </c>
      <c r="P2075" s="5" t="str">
        <f>IFERROR(__xludf.DUMMYFUNCTION("TEXTJOIN("" | "",TRUE,IF(OR(D2075="""",E2075="""",I2075="""",J2075="""",H2075=""""),""ফাঁকা ঘর"",""""),IF(AND(C2075&lt;&gt;"""",D2075&lt;&gt;"""",C2075=D2075),""gloss=figurative"",""""),IF(LEN(D2075)&lt;15,""figurative ছোট"",""""),IF(AND(I2075=""Positive"",REGEXMATCH(H2"&amp;"075,""মূর্খ|ভণ্ড|প্রতার|অলস|লোভ|স্বার্থ|অক্ষম|অযোগ্য|বোকা|কৃপণ|হিংস"")),""valence-target অমিল"",""""),IF(COUNTIF($B:$B,B2075)&gt;1,""ডুপ্লিকেট"",""""))"),"figurative ছোট")</f>
        <v>figurative ছোট</v>
      </c>
      <c r="Q2075" s="5" t="str">
        <f t="shared" si="1"/>
        <v>১ আগে দেখো</v>
      </c>
    </row>
    <row r="2076">
      <c r="A2076" s="4">
        <v>7773.0</v>
      </c>
      <c r="B2076" s="2" t="s">
        <v>8053</v>
      </c>
      <c r="C2076" s="2" t="s">
        <v>8054</v>
      </c>
      <c r="D2076" s="2" t="s">
        <v>8055</v>
      </c>
      <c r="E2076" s="2" t="s">
        <v>8056</v>
      </c>
      <c r="F2076" s="2" t="b">
        <v>1</v>
      </c>
      <c r="G2076" s="2" t="b">
        <v>0</v>
      </c>
      <c r="H2076" s="2" t="s">
        <v>37</v>
      </c>
      <c r="I2076" s="2" t="s">
        <v>49</v>
      </c>
      <c r="J2076" s="2" t="s">
        <v>1175</v>
      </c>
      <c r="K2076" s="2" t="s">
        <v>495</v>
      </c>
      <c r="L2076" s="13" t="s">
        <v>496</v>
      </c>
      <c r="M2076" s="2" t="s">
        <v>26</v>
      </c>
      <c r="N2076" s="11" t="s">
        <v>576</v>
      </c>
      <c r="O2076" s="12" t="s">
        <v>53</v>
      </c>
      <c r="P2076" s="5" t="str">
        <f>IFERROR(__xludf.DUMMYFUNCTION("TEXTJOIN("" | "",TRUE,IF(OR(D2076="""",E2076="""",I2076="""",J2076="""",H2076=""""),""ফাঁকা ঘর"",""""),IF(AND(C2076&lt;&gt;"""",D2076&lt;&gt;"""",C2076=D2076),""gloss=figurative"",""""),IF(LEN(D2076)&lt;15,""figurative ছোট"",""""),IF(AND(I2076=""Positive"",REGEXMATCH(H2"&amp;"076,""মূর্খ|ভণ্ড|প্রতার|অলস|লোভ|স্বার্থ|অক্ষম|অযোগ্য|বোকা|কৃপণ|হিংস"")),""valence-target অমিল"",""""),IF(COUNTIF($B:$B,B2076)&gt;1,""ডুপ্লিকেট"",""""))"),"figurative ছোট")</f>
        <v>figurative ছোট</v>
      </c>
      <c r="Q2076" s="5" t="str">
        <f t="shared" si="1"/>
        <v>১ আগে দেখো</v>
      </c>
    </row>
    <row r="2077">
      <c r="A2077" s="4">
        <v>7774.0</v>
      </c>
      <c r="B2077" s="2" t="s">
        <v>8057</v>
      </c>
      <c r="C2077" s="2" t="s">
        <v>8058</v>
      </c>
      <c r="D2077" s="2" t="s">
        <v>739</v>
      </c>
      <c r="E2077" s="2" t="s">
        <v>8059</v>
      </c>
      <c r="F2077" s="2" t="b">
        <v>1</v>
      </c>
      <c r="G2077" s="2" t="b">
        <v>0</v>
      </c>
      <c r="H2077" s="2" t="s">
        <v>37</v>
      </c>
      <c r="I2077" s="2" t="s">
        <v>22</v>
      </c>
      <c r="J2077" s="2" t="s">
        <v>739</v>
      </c>
      <c r="K2077" s="2" t="s">
        <v>495</v>
      </c>
      <c r="L2077" s="13" t="s">
        <v>496</v>
      </c>
      <c r="M2077" s="2" t="s">
        <v>26</v>
      </c>
      <c r="N2077" s="11" t="s">
        <v>576</v>
      </c>
      <c r="O2077" s="12" t="s">
        <v>53</v>
      </c>
      <c r="P2077" s="5" t="str">
        <f>IFERROR(__xludf.DUMMYFUNCTION("TEXTJOIN("" | "",TRUE,IF(OR(D2077="""",E2077="""",I2077="""",J2077="""",H2077=""""),""ফাঁকা ঘর"",""""),IF(AND(C2077&lt;&gt;"""",D2077&lt;&gt;"""",C2077=D2077),""gloss=figurative"",""""),IF(LEN(D2077)&lt;15,""figurative ছোট"",""""),IF(AND(I2077=""Positive"",REGEXMATCH(H2"&amp;"077,""মূর্খ|ভণ্ড|প্রতার|অলস|লোভ|স্বার্থ|অক্ষম|অযোগ্য|বোকা|কৃপণ|হিংস"")),""valence-target অমিল"",""""),IF(COUNTIF($B:$B,B2077)&gt;1,""ডুপ্লিকেট"",""""))"),"figurative ছোট")</f>
        <v>figurative ছোট</v>
      </c>
      <c r="Q2077" s="5" t="str">
        <f t="shared" si="1"/>
        <v>১ আগে দেখো</v>
      </c>
    </row>
    <row r="2078">
      <c r="A2078" s="4">
        <v>7775.0</v>
      </c>
      <c r="B2078" s="2" t="s">
        <v>8060</v>
      </c>
      <c r="C2078" s="2" t="s">
        <v>8061</v>
      </c>
      <c r="D2078" s="2" t="s">
        <v>1259</v>
      </c>
      <c r="E2078" s="2" t="s">
        <v>8062</v>
      </c>
      <c r="F2078" s="2" t="b">
        <v>1</v>
      </c>
      <c r="G2078" s="2" t="b">
        <v>0</v>
      </c>
      <c r="H2078" s="2" t="s">
        <v>37</v>
      </c>
      <c r="I2078" s="2" t="s">
        <v>49</v>
      </c>
      <c r="J2078" s="2" t="s">
        <v>1259</v>
      </c>
      <c r="K2078" s="2" t="s">
        <v>495</v>
      </c>
      <c r="L2078" s="13" t="s">
        <v>496</v>
      </c>
      <c r="M2078" s="2" t="s">
        <v>26</v>
      </c>
      <c r="N2078" s="11" t="s">
        <v>576</v>
      </c>
      <c r="O2078" s="12" t="s">
        <v>53</v>
      </c>
      <c r="P2078" s="5" t="str">
        <f>IFERROR(__xludf.DUMMYFUNCTION("TEXTJOIN("" | "",TRUE,IF(OR(D2078="""",E2078="""",I2078="""",J2078="""",H2078=""""),""ফাঁকা ঘর"",""""),IF(AND(C2078&lt;&gt;"""",D2078&lt;&gt;"""",C2078=D2078),""gloss=figurative"",""""),IF(LEN(D2078)&lt;15,""figurative ছোট"",""""),IF(AND(I2078=""Positive"",REGEXMATCH(H2"&amp;"078,""মূর্খ|ভণ্ড|প্রতার|অলস|লোভ|স্বার্থ|অক্ষম|অযোগ্য|বোকা|কৃপণ|হিংস"")),""valence-target অমিল"",""""),IF(COUNTIF($B:$B,B2078)&gt;1,""ডুপ্লিকেট"",""""))"),"figurative ছোট")</f>
        <v>figurative ছোট</v>
      </c>
      <c r="Q2078" s="5" t="str">
        <f t="shared" si="1"/>
        <v>১ আগে দেখো</v>
      </c>
    </row>
    <row r="2079">
      <c r="A2079" s="4">
        <v>7776.0</v>
      </c>
      <c r="B2079" s="2" t="s">
        <v>8063</v>
      </c>
      <c r="C2079" s="2" t="s">
        <v>8064</v>
      </c>
      <c r="D2079" s="2" t="s">
        <v>1175</v>
      </c>
      <c r="E2079" s="2" t="s">
        <v>8065</v>
      </c>
      <c r="F2079" s="2" t="b">
        <v>1</v>
      </c>
      <c r="G2079" s="2" t="b">
        <v>0</v>
      </c>
      <c r="H2079" s="2" t="s">
        <v>37</v>
      </c>
      <c r="I2079" s="2" t="s">
        <v>49</v>
      </c>
      <c r="J2079" s="2" t="s">
        <v>1175</v>
      </c>
      <c r="K2079" s="2" t="s">
        <v>495</v>
      </c>
      <c r="L2079" s="13" t="s">
        <v>496</v>
      </c>
      <c r="M2079" s="2" t="s">
        <v>26</v>
      </c>
      <c r="N2079" s="11" t="s">
        <v>576</v>
      </c>
      <c r="O2079" s="12" t="s">
        <v>53</v>
      </c>
      <c r="P2079" s="5" t="str">
        <f>IFERROR(__xludf.DUMMYFUNCTION("TEXTJOIN("" | "",TRUE,IF(OR(D2079="""",E2079="""",I2079="""",J2079="""",H2079=""""),""ফাঁকা ঘর"",""""),IF(AND(C2079&lt;&gt;"""",D2079&lt;&gt;"""",C2079=D2079),""gloss=figurative"",""""),IF(LEN(D2079)&lt;15,""figurative ছোট"",""""),IF(AND(I2079=""Positive"",REGEXMATCH(H2"&amp;"079,""মূর্খ|ভণ্ড|প্রতার|অলস|লোভ|স্বার্থ|অক্ষম|অযোগ্য|বোকা|কৃপণ|হিংস"")),""valence-target অমিল"",""""),IF(COUNTIF($B:$B,B2079)&gt;1,""ডুপ্লিকেট"",""""))"),"figurative ছোট")</f>
        <v>figurative ছোট</v>
      </c>
      <c r="Q2079" s="5" t="str">
        <f t="shared" si="1"/>
        <v>১ আগে দেখো</v>
      </c>
    </row>
    <row r="2080">
      <c r="A2080" s="4">
        <v>7777.0</v>
      </c>
      <c r="B2080" s="2" t="s">
        <v>8039</v>
      </c>
      <c r="C2080" s="2" t="s">
        <v>8066</v>
      </c>
      <c r="D2080" s="2" t="s">
        <v>1775</v>
      </c>
      <c r="E2080" s="2" t="s">
        <v>8067</v>
      </c>
      <c r="F2080" s="2" t="b">
        <v>1</v>
      </c>
      <c r="G2080" s="2" t="b">
        <v>0</v>
      </c>
      <c r="H2080" s="2" t="s">
        <v>37</v>
      </c>
      <c r="I2080" s="2" t="s">
        <v>32</v>
      </c>
      <c r="J2080" s="2" t="s">
        <v>1775</v>
      </c>
      <c r="K2080" s="2" t="s">
        <v>495</v>
      </c>
      <c r="L2080" s="13" t="s">
        <v>496</v>
      </c>
      <c r="M2080" s="2" t="s">
        <v>26</v>
      </c>
      <c r="N2080" s="11" t="s">
        <v>8068</v>
      </c>
      <c r="O2080" s="12" t="s">
        <v>53</v>
      </c>
      <c r="P2080" s="5" t="str">
        <f>IFERROR(__xludf.DUMMYFUNCTION("TEXTJOIN("" | "",TRUE,IF(OR(D2080="""",E2080="""",I2080="""",J2080="""",H2080=""""),""ফাঁকা ঘর"",""""),IF(AND(C2080&lt;&gt;"""",D2080&lt;&gt;"""",C2080=D2080),""gloss=figurative"",""""),IF(LEN(D2080)&lt;15,""figurative ছোট"",""""),IF(AND(I2080=""Positive"",REGEXMATCH(H2"&amp;"080,""মূর্খ|ভণ্ড|প্রতার|অলস|লোভ|স্বার্থ|অক্ষম|অযোগ্য|বোকা|কৃপণ|হিংস"")),""valence-target অমিল"",""""),IF(COUNTIF($B:$B,B2080)&gt;1,""ডুপ্লিকেট"",""""))"),"figurative ছোট | ডুপ্লিকেট")</f>
        <v>figurative ছোট | ডুপ্লিকেট</v>
      </c>
      <c r="Q2080" s="5" t="str">
        <f t="shared" si="1"/>
        <v>১ আগে দেখো</v>
      </c>
    </row>
    <row r="2081">
      <c r="A2081" s="4">
        <v>7778.0</v>
      </c>
      <c r="B2081" s="2" t="s">
        <v>8069</v>
      </c>
      <c r="C2081" s="2" t="s">
        <v>8070</v>
      </c>
      <c r="D2081" s="2" t="s">
        <v>8071</v>
      </c>
      <c r="E2081" s="2" t="s">
        <v>8072</v>
      </c>
      <c r="F2081" s="2" t="b">
        <v>1</v>
      </c>
      <c r="G2081" s="2" t="b">
        <v>0</v>
      </c>
      <c r="H2081" s="2" t="s">
        <v>37</v>
      </c>
      <c r="I2081" s="2" t="s">
        <v>22</v>
      </c>
      <c r="J2081" s="2" t="s">
        <v>300</v>
      </c>
      <c r="K2081" s="2" t="s">
        <v>495</v>
      </c>
      <c r="L2081" s="13" t="s">
        <v>496</v>
      </c>
      <c r="M2081" s="2" t="s">
        <v>26</v>
      </c>
      <c r="N2081" s="11" t="s">
        <v>576</v>
      </c>
      <c r="O2081" s="12" t="s">
        <v>53</v>
      </c>
      <c r="P2081" s="5" t="str">
        <f>IFERROR(__xludf.DUMMYFUNCTION("TEXTJOIN("" | "",TRUE,IF(OR(D2081="""",E2081="""",I2081="""",J2081="""",H2081=""""),""ফাঁকা ঘর"",""""),IF(AND(C2081&lt;&gt;"""",D2081&lt;&gt;"""",C2081=D2081),""gloss=figurative"",""""),IF(LEN(D2081)&lt;15,""figurative ছোট"",""""),IF(AND(I2081=""Positive"",REGEXMATCH(H2"&amp;"081,""মূর্খ|ভণ্ড|প্রতার|অলস|লোভ|স্বার্থ|অক্ষম|অযোগ্য|বোকা|কৃপণ|হিংস"")),""valence-target অমিল"",""""),IF(COUNTIF($B:$B,B2081)&gt;1,""ডুপ্লিকেট"",""""))"),"figurative ছোট")</f>
        <v>figurative ছোট</v>
      </c>
      <c r="Q2081" s="5" t="str">
        <f t="shared" si="1"/>
        <v>১ আগে দেখো</v>
      </c>
    </row>
    <row r="2082">
      <c r="A2082" s="4">
        <v>7779.0</v>
      </c>
      <c r="B2082" s="2" t="s">
        <v>8073</v>
      </c>
      <c r="C2082" s="2" t="s">
        <v>8074</v>
      </c>
      <c r="D2082" s="2" t="s">
        <v>6470</v>
      </c>
      <c r="E2082" s="2" t="s">
        <v>8075</v>
      </c>
      <c r="F2082" s="2" t="b">
        <v>1</v>
      </c>
      <c r="G2082" s="2" t="b">
        <v>0</v>
      </c>
      <c r="H2082" s="2" t="s">
        <v>37</v>
      </c>
      <c r="I2082" s="2" t="s">
        <v>49</v>
      </c>
      <c r="J2082" s="2" t="s">
        <v>6470</v>
      </c>
      <c r="K2082" s="2" t="s">
        <v>495</v>
      </c>
      <c r="L2082" s="13" t="s">
        <v>496</v>
      </c>
      <c r="M2082" s="2" t="s">
        <v>26</v>
      </c>
      <c r="N2082" s="11" t="s">
        <v>576</v>
      </c>
      <c r="O2082" s="12" t="s">
        <v>53</v>
      </c>
      <c r="P2082" s="5" t="str">
        <f>IFERROR(__xludf.DUMMYFUNCTION("TEXTJOIN("" | "",TRUE,IF(OR(D2082="""",E2082="""",I2082="""",J2082="""",H2082=""""),""ফাঁকা ঘর"",""""),IF(AND(C2082&lt;&gt;"""",D2082&lt;&gt;"""",C2082=D2082),""gloss=figurative"",""""),IF(LEN(D2082)&lt;15,""figurative ছোট"",""""),IF(AND(I2082=""Positive"",REGEXMATCH(H2"&amp;"082,""মূর্খ|ভণ্ড|প্রতার|অলস|লোভ|স্বার্থ|অক্ষম|অযোগ্য|বোকা|কৃপণ|হিংস"")),""valence-target অমিল"",""""),IF(COUNTIF($B:$B,B2082)&gt;1,""ডুপ্লিকেট"",""""))"),"figurative ছোট")</f>
        <v>figurative ছোট</v>
      </c>
      <c r="Q2082" s="5" t="str">
        <f t="shared" si="1"/>
        <v>১ আগে দেখো</v>
      </c>
    </row>
    <row r="2083">
      <c r="A2083" s="4">
        <v>7780.0</v>
      </c>
      <c r="B2083" s="2" t="s">
        <v>8076</v>
      </c>
      <c r="C2083" s="2" t="s">
        <v>8077</v>
      </c>
      <c r="D2083" s="2" t="s">
        <v>1106</v>
      </c>
      <c r="E2083" s="2" t="s">
        <v>8078</v>
      </c>
      <c r="F2083" s="2" t="b">
        <v>1</v>
      </c>
      <c r="G2083" s="2" t="b">
        <v>1</v>
      </c>
      <c r="H2083" s="2" t="s">
        <v>1106</v>
      </c>
      <c r="I2083" s="2" t="s">
        <v>22</v>
      </c>
      <c r="J2083" s="2" t="s">
        <v>1315</v>
      </c>
      <c r="K2083" s="2" t="s">
        <v>495</v>
      </c>
      <c r="L2083" s="13" t="s">
        <v>496</v>
      </c>
      <c r="M2083" s="2" t="s">
        <v>26</v>
      </c>
      <c r="N2083" s="11" t="s">
        <v>576</v>
      </c>
      <c r="O2083" s="12" t="s">
        <v>53</v>
      </c>
      <c r="P2083" s="5" t="str">
        <f>IFERROR(__xludf.DUMMYFUNCTION("TEXTJOIN("" | "",TRUE,IF(OR(D2083="""",E2083="""",I2083="""",J2083="""",H2083=""""),""ফাঁকা ঘর"",""""),IF(AND(C2083&lt;&gt;"""",D2083&lt;&gt;"""",C2083=D2083),""gloss=figurative"",""""),IF(LEN(D2083)&lt;15,""figurative ছোট"",""""),IF(AND(I2083=""Positive"",REGEXMATCH(H2"&amp;"083,""মূর্খ|ভণ্ড|প্রতার|অলস|লোভ|স্বার্থ|অক্ষম|অযোগ্য|বোকা|কৃপণ|হিংস"")),""valence-target অমিল"",""""),IF(COUNTIF($B:$B,B2083)&gt;1,""ডুপ্লিকেট"",""""))"),"figurative ছোট")</f>
        <v>figurative ছোট</v>
      </c>
      <c r="Q2083" s="5" t="str">
        <f t="shared" si="1"/>
        <v>১ আগে দেখো</v>
      </c>
    </row>
    <row r="2084">
      <c r="A2084" s="4">
        <v>7781.0</v>
      </c>
      <c r="B2084" s="2" t="s">
        <v>8079</v>
      </c>
      <c r="C2084" s="2" t="s">
        <v>8080</v>
      </c>
      <c r="D2084" s="2" t="s">
        <v>8081</v>
      </c>
      <c r="E2084" s="2" t="s">
        <v>8082</v>
      </c>
      <c r="F2084" s="2" t="b">
        <v>1</v>
      </c>
      <c r="G2084" s="2" t="b">
        <v>1</v>
      </c>
      <c r="H2084" s="2" t="s">
        <v>1106</v>
      </c>
      <c r="I2084" s="2" t="s">
        <v>22</v>
      </c>
      <c r="J2084" s="2" t="s">
        <v>1315</v>
      </c>
      <c r="K2084" s="2" t="s">
        <v>495</v>
      </c>
      <c r="L2084" s="13" t="s">
        <v>496</v>
      </c>
      <c r="M2084" s="2" t="s">
        <v>26</v>
      </c>
      <c r="N2084" s="11" t="s">
        <v>576</v>
      </c>
      <c r="O2084" s="12" t="s">
        <v>53</v>
      </c>
      <c r="P2084" s="5" t="str">
        <f>IFERROR(__xludf.DUMMYFUNCTION("TEXTJOIN("" | "",TRUE,IF(OR(D2084="""",E2084="""",I2084="""",J2084="""",H2084=""""),""ফাঁকা ঘর"",""""),IF(AND(C2084&lt;&gt;"""",D2084&lt;&gt;"""",C2084=D2084),""gloss=figurative"",""""),IF(LEN(D2084)&lt;15,""figurative ছোট"",""""),IF(AND(I2084=""Positive"",REGEXMATCH(H2"&amp;"084,""মূর্খ|ভণ্ড|প্রতার|অলস|লোভ|স্বার্থ|অক্ষম|অযোগ্য|বোকা|কৃপণ|হিংস"")),""valence-target অমিল"",""""),IF(COUNTIF($B:$B,B2084)&gt;1,""ডুপ্লিকেট"",""""))"),"figurative ছোট")</f>
        <v>figurative ছোট</v>
      </c>
      <c r="Q2084" s="5" t="str">
        <f t="shared" si="1"/>
        <v>১ আগে দেখো</v>
      </c>
    </row>
    <row r="2085">
      <c r="A2085" s="4">
        <v>7782.0</v>
      </c>
      <c r="B2085" s="2" t="s">
        <v>8083</v>
      </c>
      <c r="C2085" s="2" t="s">
        <v>8084</v>
      </c>
      <c r="D2085" s="2" t="s">
        <v>1106</v>
      </c>
      <c r="E2085" s="2" t="s">
        <v>8085</v>
      </c>
      <c r="F2085" s="2" t="b">
        <v>1</v>
      </c>
      <c r="G2085" s="2" t="b">
        <v>1</v>
      </c>
      <c r="H2085" s="2" t="s">
        <v>1106</v>
      </c>
      <c r="I2085" s="2" t="s">
        <v>22</v>
      </c>
      <c r="J2085" s="2" t="s">
        <v>1315</v>
      </c>
      <c r="K2085" s="2" t="s">
        <v>495</v>
      </c>
      <c r="L2085" s="13" t="s">
        <v>496</v>
      </c>
      <c r="M2085" s="2" t="s">
        <v>26</v>
      </c>
      <c r="N2085" s="11" t="s">
        <v>576</v>
      </c>
      <c r="O2085" s="12" t="s">
        <v>53</v>
      </c>
      <c r="P2085" s="5" t="str">
        <f>IFERROR(__xludf.DUMMYFUNCTION("TEXTJOIN("" | "",TRUE,IF(OR(D2085="""",E2085="""",I2085="""",J2085="""",H2085=""""),""ফাঁকা ঘর"",""""),IF(AND(C2085&lt;&gt;"""",D2085&lt;&gt;"""",C2085=D2085),""gloss=figurative"",""""),IF(LEN(D2085)&lt;15,""figurative ছোট"",""""),IF(AND(I2085=""Positive"",REGEXMATCH(H2"&amp;"085,""মূর্খ|ভণ্ড|প্রতার|অলস|লোভ|স্বার্থ|অক্ষম|অযোগ্য|বোকা|কৃপণ|হিংস"")),""valence-target অমিল"",""""),IF(COUNTIF($B:$B,B2085)&gt;1,""ডুপ্লিকেট"",""""))"),"figurative ছোট")</f>
        <v>figurative ছোট</v>
      </c>
      <c r="Q2085" s="5" t="str">
        <f t="shared" si="1"/>
        <v>১ আগে দেখো</v>
      </c>
    </row>
    <row r="2086">
      <c r="A2086" s="4">
        <v>7783.0</v>
      </c>
      <c r="B2086" s="2" t="s">
        <v>8086</v>
      </c>
      <c r="C2086" s="2" t="s">
        <v>8087</v>
      </c>
      <c r="D2086" s="2" t="s">
        <v>1315</v>
      </c>
      <c r="E2086" s="2" t="s">
        <v>8088</v>
      </c>
      <c r="F2086" s="2" t="b">
        <v>1</v>
      </c>
      <c r="G2086" s="2" t="b">
        <v>1</v>
      </c>
      <c r="H2086" s="2" t="s">
        <v>800</v>
      </c>
      <c r="I2086" s="2" t="s">
        <v>32</v>
      </c>
      <c r="J2086" s="2" t="s">
        <v>1315</v>
      </c>
      <c r="K2086" s="2" t="s">
        <v>495</v>
      </c>
      <c r="L2086" s="13" t="s">
        <v>496</v>
      </c>
      <c r="M2086" s="2" t="s">
        <v>26</v>
      </c>
      <c r="N2086" s="11" t="s">
        <v>576</v>
      </c>
      <c r="O2086" s="12" t="s">
        <v>53</v>
      </c>
      <c r="P2086" s="5" t="str">
        <f>IFERROR(__xludf.DUMMYFUNCTION("TEXTJOIN("" | "",TRUE,IF(OR(D2086="""",E2086="""",I2086="""",J2086="""",H2086=""""),""ফাঁকা ঘর"",""""),IF(AND(C2086&lt;&gt;"""",D2086&lt;&gt;"""",C2086=D2086),""gloss=figurative"",""""),IF(LEN(D2086)&lt;15,""figurative ছোট"",""""),IF(AND(I2086=""Positive"",REGEXMATCH(H2"&amp;"086,""মূর্খ|ভণ্ড|প্রতার|অলস|লোভ|স্বার্থ|অক্ষম|অযোগ্য|বোকা|কৃপণ|হিংস"")),""valence-target অমিল"",""""),IF(COUNTIF($B:$B,B2086)&gt;1,""ডুপ্লিকেট"",""""))"),"figurative ছোট")</f>
        <v>figurative ছোট</v>
      </c>
      <c r="Q2086" s="5" t="str">
        <f t="shared" si="1"/>
        <v>১ আগে দেখো</v>
      </c>
    </row>
    <row r="2087">
      <c r="A2087" s="4">
        <v>7784.0</v>
      </c>
      <c r="B2087" s="2" t="s">
        <v>8089</v>
      </c>
      <c r="C2087" s="2" t="s">
        <v>8090</v>
      </c>
      <c r="D2087" s="2" t="s">
        <v>2165</v>
      </c>
      <c r="E2087" s="2" t="s">
        <v>8091</v>
      </c>
      <c r="F2087" s="2" t="b">
        <v>1</v>
      </c>
      <c r="G2087" s="2" t="b">
        <v>1</v>
      </c>
      <c r="H2087" s="2" t="s">
        <v>3079</v>
      </c>
      <c r="I2087" s="2" t="s">
        <v>49</v>
      </c>
      <c r="J2087" s="2" t="s">
        <v>1315</v>
      </c>
      <c r="K2087" s="2" t="s">
        <v>495</v>
      </c>
      <c r="L2087" s="13" t="s">
        <v>496</v>
      </c>
      <c r="M2087" s="2" t="s">
        <v>26</v>
      </c>
      <c r="N2087" s="11" t="s">
        <v>576</v>
      </c>
      <c r="O2087" s="12" t="s">
        <v>53</v>
      </c>
      <c r="P2087" s="5" t="str">
        <f>IFERROR(__xludf.DUMMYFUNCTION("TEXTJOIN("" | "",TRUE,IF(OR(D2087="""",E2087="""",I2087="""",J2087="""",H2087=""""),""ফাঁকা ঘর"",""""),IF(AND(C2087&lt;&gt;"""",D2087&lt;&gt;"""",C2087=D2087),""gloss=figurative"",""""),IF(LEN(D2087)&lt;15,""figurative ছোট"",""""),IF(AND(I2087=""Positive"",REGEXMATCH(H2"&amp;"087,""মূর্খ|ভণ্ড|প্রতার|অলস|লোভ|স্বার্থ|অক্ষম|অযোগ্য|বোকা|কৃপণ|হিংস"")),""valence-target অমিল"",""""),IF(COUNTIF($B:$B,B2087)&gt;1,""ডুপ্লিকেট"",""""))"),"figurative ছোট")</f>
        <v>figurative ছোট</v>
      </c>
      <c r="Q2087" s="5" t="str">
        <f t="shared" si="1"/>
        <v>১ আগে দেখো</v>
      </c>
    </row>
    <row r="2088">
      <c r="A2088" s="4">
        <v>7785.0</v>
      </c>
      <c r="B2088" s="2" t="s">
        <v>8092</v>
      </c>
      <c r="C2088" s="2" t="s">
        <v>8093</v>
      </c>
      <c r="D2088" s="2" t="s">
        <v>3079</v>
      </c>
      <c r="E2088" s="2" t="s">
        <v>8094</v>
      </c>
      <c r="F2088" s="2" t="b">
        <v>1</v>
      </c>
      <c r="G2088" s="2" t="b">
        <v>1</v>
      </c>
      <c r="H2088" s="2" t="s">
        <v>3079</v>
      </c>
      <c r="I2088" s="2" t="s">
        <v>49</v>
      </c>
      <c r="J2088" s="2" t="s">
        <v>1315</v>
      </c>
      <c r="K2088" s="2" t="s">
        <v>495</v>
      </c>
      <c r="L2088" s="13" t="s">
        <v>496</v>
      </c>
      <c r="M2088" s="2" t="s">
        <v>26</v>
      </c>
      <c r="N2088" s="11" t="s">
        <v>576</v>
      </c>
      <c r="O2088" s="12" t="s">
        <v>53</v>
      </c>
      <c r="P2088" s="5" t="str">
        <f>IFERROR(__xludf.DUMMYFUNCTION("TEXTJOIN("" | "",TRUE,IF(OR(D2088="""",E2088="""",I2088="""",J2088="""",H2088=""""),""ফাঁকা ঘর"",""""),IF(AND(C2088&lt;&gt;"""",D2088&lt;&gt;"""",C2088=D2088),""gloss=figurative"",""""),IF(LEN(D2088)&lt;15,""figurative ছোট"",""""),IF(AND(I2088=""Positive"",REGEXMATCH(H2"&amp;"088,""মূর্খ|ভণ্ড|প্রতার|অলস|লোভ|স্বার্থ|অক্ষম|অযোগ্য|বোকা|কৃপণ|হিংস"")),""valence-target অমিল"",""""),IF(COUNTIF($B:$B,B2088)&gt;1,""ডুপ্লিকেট"",""""))"),"figurative ছোট")</f>
        <v>figurative ছোট</v>
      </c>
      <c r="Q2088" s="5" t="str">
        <f t="shared" si="1"/>
        <v>১ আগে দেখো</v>
      </c>
    </row>
    <row r="2089">
      <c r="A2089" s="4">
        <v>7786.0</v>
      </c>
      <c r="B2089" s="2" t="s">
        <v>8095</v>
      </c>
      <c r="C2089" s="2" t="s">
        <v>8095</v>
      </c>
      <c r="D2089" s="2" t="s">
        <v>3079</v>
      </c>
      <c r="E2089" s="2" t="s">
        <v>8096</v>
      </c>
      <c r="F2089" s="2" t="b">
        <v>1</v>
      </c>
      <c r="G2089" s="2" t="b">
        <v>1</v>
      </c>
      <c r="H2089" s="2" t="s">
        <v>1106</v>
      </c>
      <c r="I2089" s="2" t="s">
        <v>49</v>
      </c>
      <c r="J2089" s="2" t="s">
        <v>1315</v>
      </c>
      <c r="K2089" s="2" t="s">
        <v>495</v>
      </c>
      <c r="L2089" s="13" t="s">
        <v>496</v>
      </c>
      <c r="M2089" s="2" t="s">
        <v>26</v>
      </c>
      <c r="N2089" s="11" t="s">
        <v>576</v>
      </c>
      <c r="O2089" s="12" t="s">
        <v>53</v>
      </c>
      <c r="P2089" s="5" t="str">
        <f>IFERROR(__xludf.DUMMYFUNCTION("TEXTJOIN("" | "",TRUE,IF(OR(D2089="""",E2089="""",I2089="""",J2089="""",H2089=""""),""ফাঁকা ঘর"",""""),IF(AND(C2089&lt;&gt;"""",D2089&lt;&gt;"""",C2089=D2089),""gloss=figurative"",""""),IF(LEN(D2089)&lt;15,""figurative ছোট"",""""),IF(AND(I2089=""Positive"",REGEXMATCH(H2"&amp;"089,""মূর্খ|ভণ্ড|প্রতার|অলস|লোভ|স্বার্থ|অক্ষম|অযোগ্য|বোকা|কৃপণ|হিংস"")),""valence-target অমিল"",""""),IF(COUNTIF($B:$B,B2089)&gt;1,""ডুপ্লিকেট"",""""))"),"figurative ছোট")</f>
        <v>figurative ছোট</v>
      </c>
      <c r="Q2089" s="5" t="str">
        <f t="shared" si="1"/>
        <v>১ আগে দেখো</v>
      </c>
    </row>
    <row r="2090">
      <c r="A2090" s="4">
        <v>7787.0</v>
      </c>
      <c r="B2090" s="2" t="s">
        <v>8097</v>
      </c>
      <c r="C2090" s="2" t="s">
        <v>8098</v>
      </c>
      <c r="D2090" s="2" t="s">
        <v>1106</v>
      </c>
      <c r="E2090" s="2" t="s">
        <v>8099</v>
      </c>
      <c r="F2090" s="2" t="b">
        <v>1</v>
      </c>
      <c r="G2090" s="2" t="b">
        <v>1</v>
      </c>
      <c r="H2090" s="2" t="s">
        <v>1106</v>
      </c>
      <c r="I2090" s="2" t="s">
        <v>49</v>
      </c>
      <c r="J2090" s="2" t="s">
        <v>1315</v>
      </c>
      <c r="K2090" s="2" t="s">
        <v>495</v>
      </c>
      <c r="L2090" s="13" t="s">
        <v>496</v>
      </c>
      <c r="M2090" s="2" t="s">
        <v>26</v>
      </c>
      <c r="N2090" s="11" t="s">
        <v>576</v>
      </c>
      <c r="O2090" s="12" t="s">
        <v>53</v>
      </c>
      <c r="P2090" s="5" t="str">
        <f>IFERROR(__xludf.DUMMYFUNCTION("TEXTJOIN("" | "",TRUE,IF(OR(D2090="""",E2090="""",I2090="""",J2090="""",H2090=""""),""ফাঁকা ঘর"",""""),IF(AND(C2090&lt;&gt;"""",D2090&lt;&gt;"""",C2090=D2090),""gloss=figurative"",""""),IF(LEN(D2090)&lt;15,""figurative ছোট"",""""),IF(AND(I2090=""Positive"",REGEXMATCH(H2"&amp;"090,""মূর্খ|ভণ্ড|প্রতার|অলস|লোভ|স্বার্থ|অক্ষম|অযোগ্য|বোকা|কৃপণ|হিংস"")),""valence-target অমিল"",""""),IF(COUNTIF($B:$B,B2090)&gt;1,""ডুপ্লিকেট"",""""))"),"figurative ছোট")</f>
        <v>figurative ছোট</v>
      </c>
      <c r="Q2090" s="5" t="str">
        <f t="shared" si="1"/>
        <v>১ আগে দেখো</v>
      </c>
    </row>
    <row r="2091">
      <c r="A2091" s="4">
        <v>7788.0</v>
      </c>
      <c r="B2091" s="2" t="s">
        <v>8100</v>
      </c>
      <c r="C2091" s="2" t="s">
        <v>8101</v>
      </c>
      <c r="D2091" s="2" t="s">
        <v>8102</v>
      </c>
      <c r="E2091" s="2" t="s">
        <v>8103</v>
      </c>
      <c r="F2091" s="2" t="b">
        <v>1</v>
      </c>
      <c r="G2091" s="2" t="b">
        <v>0</v>
      </c>
      <c r="H2091" s="2" t="s">
        <v>3807</v>
      </c>
      <c r="I2091" s="2" t="s">
        <v>22</v>
      </c>
      <c r="J2091" s="2" t="s">
        <v>669</v>
      </c>
      <c r="K2091" s="2" t="s">
        <v>495</v>
      </c>
      <c r="L2091" s="13" t="s">
        <v>496</v>
      </c>
      <c r="M2091" s="2" t="s">
        <v>26</v>
      </c>
      <c r="N2091" s="11" t="s">
        <v>576</v>
      </c>
      <c r="O2091" s="12" t="s">
        <v>53</v>
      </c>
      <c r="P2091" s="5" t="str">
        <f>IFERROR(__xludf.DUMMYFUNCTION("TEXTJOIN("" | "",TRUE,IF(OR(D2091="""",E2091="""",I2091="""",J2091="""",H2091=""""),""ফাঁকা ঘর"",""""),IF(AND(C2091&lt;&gt;"""",D2091&lt;&gt;"""",C2091=D2091),""gloss=figurative"",""""),IF(LEN(D2091)&lt;15,""figurative ছোট"",""""),IF(AND(I2091=""Positive"",REGEXMATCH(H2"&amp;"091,""মূর্খ|ভণ্ড|প্রতার|অলস|লোভ|স্বার্থ|অক্ষম|অযোগ্য|বোকা|কৃপণ|হিংস"")),""valence-target অমিল"",""""),IF(COUNTIF($B:$B,B2091)&gt;1,""ডুপ্লিকেট"",""""))"),"figurative ছোট")</f>
        <v>figurative ছোট</v>
      </c>
      <c r="Q2091" s="5" t="str">
        <f t="shared" si="1"/>
        <v>১ আগে দেখো</v>
      </c>
    </row>
    <row r="2092">
      <c r="A2092" s="4">
        <v>7789.0</v>
      </c>
      <c r="B2092" s="2" t="s">
        <v>8104</v>
      </c>
      <c r="C2092" s="2" t="s">
        <v>8105</v>
      </c>
      <c r="D2092" s="2" t="s">
        <v>1212</v>
      </c>
      <c r="E2092" s="2" t="s">
        <v>8106</v>
      </c>
      <c r="F2092" s="2" t="b">
        <v>1</v>
      </c>
      <c r="G2092" s="2" t="b">
        <v>0</v>
      </c>
      <c r="H2092" s="2" t="s">
        <v>37</v>
      </c>
      <c r="I2092" s="2" t="s">
        <v>22</v>
      </c>
      <c r="J2092" s="2" t="s">
        <v>814</v>
      </c>
      <c r="K2092" s="2" t="s">
        <v>495</v>
      </c>
      <c r="L2092" s="13" t="s">
        <v>496</v>
      </c>
      <c r="M2092" s="2" t="s">
        <v>26</v>
      </c>
      <c r="N2092" s="11" t="s">
        <v>576</v>
      </c>
      <c r="O2092" s="12" t="s">
        <v>53</v>
      </c>
      <c r="P2092" s="5" t="str">
        <f>IFERROR(__xludf.DUMMYFUNCTION("TEXTJOIN("" | "",TRUE,IF(OR(D2092="""",E2092="""",I2092="""",J2092="""",H2092=""""),""ফাঁকা ঘর"",""""),IF(AND(C2092&lt;&gt;"""",D2092&lt;&gt;"""",C2092=D2092),""gloss=figurative"",""""),IF(LEN(D2092)&lt;15,""figurative ছোট"",""""),IF(AND(I2092=""Positive"",REGEXMATCH(H2"&amp;"092,""মূর্খ|ভণ্ড|প্রতার|অলস|লোভ|স্বার্থ|অক্ষম|অযোগ্য|বোকা|কৃপণ|হিংস"")),""valence-target অমিল"",""""),IF(COUNTIF($B:$B,B2092)&gt;1,""ডুপ্লিকেট"",""""))"),"figurative ছোট")</f>
        <v>figurative ছোট</v>
      </c>
      <c r="Q2092" s="5" t="str">
        <f t="shared" si="1"/>
        <v>১ আগে দেখো</v>
      </c>
    </row>
    <row r="2093">
      <c r="A2093" s="4">
        <v>7791.0</v>
      </c>
      <c r="B2093" s="2" t="s">
        <v>8107</v>
      </c>
      <c r="C2093" s="2" t="s">
        <v>8108</v>
      </c>
      <c r="D2093" s="2" t="s">
        <v>695</v>
      </c>
      <c r="E2093" s="2" t="s">
        <v>8109</v>
      </c>
      <c r="F2093" s="2" t="b">
        <v>1</v>
      </c>
      <c r="G2093" s="2" t="b">
        <v>0</v>
      </c>
      <c r="H2093" s="2" t="s">
        <v>37</v>
      </c>
      <c r="I2093" s="2" t="s">
        <v>49</v>
      </c>
      <c r="J2093" s="2" t="s">
        <v>3416</v>
      </c>
      <c r="K2093" s="2" t="s">
        <v>495</v>
      </c>
      <c r="L2093" s="13" t="s">
        <v>496</v>
      </c>
      <c r="M2093" s="2" t="s">
        <v>26</v>
      </c>
      <c r="N2093" s="11" t="s">
        <v>576</v>
      </c>
      <c r="O2093" s="12" t="s">
        <v>53</v>
      </c>
      <c r="P2093" s="5" t="str">
        <f>IFERROR(__xludf.DUMMYFUNCTION("TEXTJOIN("" | "",TRUE,IF(OR(D2093="""",E2093="""",I2093="""",J2093="""",H2093=""""),""ফাঁকা ঘর"",""""),IF(AND(C2093&lt;&gt;"""",D2093&lt;&gt;"""",C2093=D2093),""gloss=figurative"",""""),IF(LEN(D2093)&lt;15,""figurative ছোট"",""""),IF(AND(I2093=""Positive"",REGEXMATCH(H2"&amp;"093,""মূর্খ|ভণ্ড|প্রতার|অলস|লোভ|স্বার্থ|অক্ষম|অযোগ্য|বোকা|কৃপণ|হিংস"")),""valence-target অমিল"",""""),IF(COUNTIF($B:$B,B2093)&gt;1,""ডুপ্লিকেট"",""""))"),"figurative ছোট")</f>
        <v>figurative ছোট</v>
      </c>
      <c r="Q2093" s="5" t="str">
        <f t="shared" si="1"/>
        <v>১ আগে দেখো</v>
      </c>
    </row>
    <row r="2094">
      <c r="A2094" s="4">
        <v>7792.0</v>
      </c>
      <c r="B2094" s="2" t="s">
        <v>8110</v>
      </c>
      <c r="C2094" s="2" t="s">
        <v>8111</v>
      </c>
      <c r="D2094" s="2" t="s">
        <v>695</v>
      </c>
      <c r="E2094" s="2" t="s">
        <v>8112</v>
      </c>
      <c r="F2094" s="2" t="b">
        <v>1</v>
      </c>
      <c r="G2094" s="2" t="b">
        <v>0</v>
      </c>
      <c r="H2094" s="2" t="s">
        <v>37</v>
      </c>
      <c r="I2094" s="2" t="s">
        <v>49</v>
      </c>
      <c r="J2094" s="2" t="s">
        <v>3416</v>
      </c>
      <c r="K2094" s="2" t="s">
        <v>495</v>
      </c>
      <c r="L2094" s="13" t="s">
        <v>496</v>
      </c>
      <c r="M2094" s="2" t="s">
        <v>26</v>
      </c>
      <c r="N2094" s="11" t="s">
        <v>576</v>
      </c>
      <c r="O2094" s="12" t="s">
        <v>53</v>
      </c>
      <c r="P2094" s="5" t="str">
        <f>IFERROR(__xludf.DUMMYFUNCTION("TEXTJOIN("" | "",TRUE,IF(OR(D2094="""",E2094="""",I2094="""",J2094="""",H2094=""""),""ফাঁকা ঘর"",""""),IF(AND(C2094&lt;&gt;"""",D2094&lt;&gt;"""",C2094=D2094),""gloss=figurative"",""""),IF(LEN(D2094)&lt;15,""figurative ছোট"",""""),IF(AND(I2094=""Positive"",REGEXMATCH(H2"&amp;"094,""মূর্খ|ভণ্ড|প্রতার|অলস|লোভ|স্বার্থ|অক্ষম|অযোগ্য|বোকা|কৃপণ|হিংস"")),""valence-target অমিল"",""""),IF(COUNTIF($B:$B,B2094)&gt;1,""ডুপ্লিকেট"",""""))"),"figurative ছোট")</f>
        <v>figurative ছোট</v>
      </c>
      <c r="Q2094" s="5" t="str">
        <f t="shared" si="1"/>
        <v>১ আগে দেখো</v>
      </c>
    </row>
    <row r="2095">
      <c r="A2095" s="4">
        <v>7793.0</v>
      </c>
      <c r="B2095" s="2" t="s">
        <v>8113</v>
      </c>
      <c r="C2095" s="2" t="s">
        <v>8114</v>
      </c>
      <c r="D2095" s="2" t="s">
        <v>695</v>
      </c>
      <c r="E2095" s="2" t="s">
        <v>8115</v>
      </c>
      <c r="F2095" s="2" t="b">
        <v>1</v>
      </c>
      <c r="G2095" s="2" t="b">
        <v>0</v>
      </c>
      <c r="H2095" s="2" t="s">
        <v>756</v>
      </c>
      <c r="I2095" s="2" t="s">
        <v>22</v>
      </c>
      <c r="J2095" s="2" t="s">
        <v>3416</v>
      </c>
      <c r="K2095" s="2" t="s">
        <v>495</v>
      </c>
      <c r="L2095" s="13" t="s">
        <v>496</v>
      </c>
      <c r="M2095" s="2" t="s">
        <v>26</v>
      </c>
      <c r="N2095" s="11" t="s">
        <v>576</v>
      </c>
      <c r="O2095" s="12" t="s">
        <v>53</v>
      </c>
      <c r="P2095" s="5" t="str">
        <f>IFERROR(__xludf.DUMMYFUNCTION("TEXTJOIN("" | "",TRUE,IF(OR(D2095="""",E2095="""",I2095="""",J2095="""",H2095=""""),""ফাঁকা ঘর"",""""),IF(AND(C2095&lt;&gt;"""",D2095&lt;&gt;"""",C2095=D2095),""gloss=figurative"",""""),IF(LEN(D2095)&lt;15,""figurative ছোট"",""""),IF(AND(I2095=""Positive"",REGEXMATCH(H2"&amp;"095,""মূর্খ|ভণ্ড|প্রতার|অলস|লোভ|স্বার্থ|অক্ষম|অযোগ্য|বোকা|কৃপণ|হিংস"")),""valence-target অমিল"",""""),IF(COUNTIF($B:$B,B2095)&gt;1,""ডুপ্লিকেট"",""""))"),"figurative ছোট")</f>
        <v>figurative ছোট</v>
      </c>
      <c r="Q2095" s="5" t="str">
        <f t="shared" si="1"/>
        <v>১ আগে দেখো</v>
      </c>
    </row>
    <row r="2096">
      <c r="A2096" s="4">
        <v>7794.0</v>
      </c>
      <c r="B2096" s="2" t="s">
        <v>8116</v>
      </c>
      <c r="C2096" s="2" t="s">
        <v>8117</v>
      </c>
      <c r="D2096" s="2" t="s">
        <v>695</v>
      </c>
      <c r="E2096" s="2" t="s">
        <v>7607</v>
      </c>
      <c r="F2096" s="2" t="b">
        <v>1</v>
      </c>
      <c r="G2096" s="2" t="b">
        <v>0</v>
      </c>
      <c r="H2096" s="2" t="s">
        <v>37</v>
      </c>
      <c r="I2096" s="2" t="s">
        <v>49</v>
      </c>
      <c r="J2096" s="2" t="s">
        <v>3416</v>
      </c>
      <c r="K2096" s="2" t="s">
        <v>495</v>
      </c>
      <c r="L2096" s="13" t="s">
        <v>496</v>
      </c>
      <c r="M2096" s="2" t="s">
        <v>26</v>
      </c>
      <c r="N2096" s="11" t="s">
        <v>576</v>
      </c>
      <c r="O2096" s="12" t="s">
        <v>53</v>
      </c>
      <c r="P2096" s="5" t="str">
        <f>IFERROR(__xludf.DUMMYFUNCTION("TEXTJOIN("" | "",TRUE,IF(OR(D2096="""",E2096="""",I2096="""",J2096="""",H2096=""""),""ফাঁকা ঘর"",""""),IF(AND(C2096&lt;&gt;"""",D2096&lt;&gt;"""",C2096=D2096),""gloss=figurative"",""""),IF(LEN(D2096)&lt;15,""figurative ছোট"",""""),IF(AND(I2096=""Positive"",REGEXMATCH(H2"&amp;"096,""মূর্খ|ভণ্ড|প্রতার|অলস|লোভ|স্বার্থ|অক্ষম|অযোগ্য|বোকা|কৃপণ|হিংস"")),""valence-target অমিল"",""""),IF(COUNTIF($B:$B,B2096)&gt;1,""ডুপ্লিকেট"",""""))"),"figurative ছোট")</f>
        <v>figurative ছোট</v>
      </c>
      <c r="Q2096" s="5" t="str">
        <f t="shared" si="1"/>
        <v>১ আগে দেখো</v>
      </c>
    </row>
    <row r="2097">
      <c r="A2097" s="4">
        <v>7795.0</v>
      </c>
      <c r="B2097" s="2" t="s">
        <v>8118</v>
      </c>
      <c r="C2097" s="2" t="s">
        <v>8119</v>
      </c>
      <c r="D2097" s="2" t="s">
        <v>8120</v>
      </c>
      <c r="E2097" s="2" t="s">
        <v>8121</v>
      </c>
      <c r="F2097" s="2" t="b">
        <v>1</v>
      </c>
      <c r="G2097" s="2" t="b">
        <v>0</v>
      </c>
      <c r="H2097" s="2" t="s">
        <v>37</v>
      </c>
      <c r="I2097" s="2" t="s">
        <v>22</v>
      </c>
      <c r="J2097" s="2" t="s">
        <v>4804</v>
      </c>
      <c r="K2097" s="2" t="s">
        <v>495</v>
      </c>
      <c r="L2097" s="13" t="s">
        <v>496</v>
      </c>
      <c r="M2097" s="2" t="s">
        <v>26</v>
      </c>
      <c r="N2097" s="11" t="s">
        <v>576</v>
      </c>
      <c r="O2097" s="12" t="s">
        <v>53</v>
      </c>
      <c r="P2097" s="5" t="str">
        <f>IFERROR(__xludf.DUMMYFUNCTION("TEXTJOIN("" | "",TRUE,IF(OR(D2097="""",E2097="""",I2097="""",J2097="""",H2097=""""),""ফাঁকা ঘর"",""""),IF(AND(C2097&lt;&gt;"""",D2097&lt;&gt;"""",C2097=D2097),""gloss=figurative"",""""),IF(LEN(D2097)&lt;15,""figurative ছোট"",""""),IF(AND(I2097=""Positive"",REGEXMATCH(H2"&amp;"097,""মূর্খ|ভণ্ড|প্রতার|অলস|লোভ|স্বার্থ|অক্ষম|অযোগ্য|বোকা|কৃপণ|হিংস"")),""valence-target অমিল"",""""),IF(COUNTIF($B:$B,B2097)&gt;1,""ডুপ্লিকেট"",""""))"),"figurative ছোট")</f>
        <v>figurative ছোট</v>
      </c>
      <c r="Q2097" s="5" t="str">
        <f t="shared" si="1"/>
        <v>১ আগে দেখো</v>
      </c>
    </row>
    <row r="2098">
      <c r="A2098" s="4">
        <v>7796.0</v>
      </c>
      <c r="B2098" s="2" t="s">
        <v>8122</v>
      </c>
      <c r="C2098" s="2" t="s">
        <v>8123</v>
      </c>
      <c r="D2098" s="2" t="s">
        <v>8124</v>
      </c>
      <c r="E2098" s="2" t="s">
        <v>8125</v>
      </c>
      <c r="F2098" s="2" t="b">
        <v>1</v>
      </c>
      <c r="G2098" s="2" t="b">
        <v>0</v>
      </c>
      <c r="H2098" s="2" t="s">
        <v>37</v>
      </c>
      <c r="I2098" s="2" t="s">
        <v>49</v>
      </c>
      <c r="J2098" s="2" t="s">
        <v>8124</v>
      </c>
      <c r="K2098" s="2" t="s">
        <v>495</v>
      </c>
      <c r="L2098" s="13" t="s">
        <v>496</v>
      </c>
      <c r="M2098" s="2" t="s">
        <v>26</v>
      </c>
      <c r="N2098" s="11" t="s">
        <v>8126</v>
      </c>
      <c r="O2098" s="12" t="s">
        <v>53</v>
      </c>
      <c r="P2098" s="5" t="str">
        <f>IFERROR(__xludf.DUMMYFUNCTION("TEXTJOIN("" | "",TRUE,IF(OR(D2098="""",E2098="""",I2098="""",J2098="""",H2098=""""),""ফাঁকা ঘর"",""""),IF(AND(C2098&lt;&gt;"""",D2098&lt;&gt;"""",C2098=D2098),""gloss=figurative"",""""),IF(LEN(D2098)&lt;15,""figurative ছোট"",""""),IF(AND(I2098=""Positive"",REGEXMATCH(H2"&amp;"098,""মূর্খ|ভণ্ড|প্রতার|অলস|লোভ|স্বার্থ|অক্ষম|অযোগ্য|বোকা|কৃপণ|হিংস"")),""valence-target অমিল"",""""),IF(COUNTIF($B:$B,B2098)&gt;1,""ডুপ্লিকেট"",""""))"),"figurative ছোট")</f>
        <v>figurative ছোট</v>
      </c>
      <c r="Q2098" s="5" t="str">
        <f t="shared" si="1"/>
        <v>১ আগে দেখো</v>
      </c>
    </row>
    <row r="2099">
      <c r="A2099" s="4">
        <v>7797.0</v>
      </c>
      <c r="B2099" s="2" t="s">
        <v>8127</v>
      </c>
      <c r="C2099" s="2" t="s">
        <v>8128</v>
      </c>
      <c r="D2099" s="2" t="s">
        <v>8124</v>
      </c>
      <c r="E2099" s="2" t="s">
        <v>8129</v>
      </c>
      <c r="F2099" s="2" t="b">
        <v>1</v>
      </c>
      <c r="G2099" s="2" t="b">
        <v>0</v>
      </c>
      <c r="H2099" s="2" t="s">
        <v>37</v>
      </c>
      <c r="I2099" s="2" t="s">
        <v>49</v>
      </c>
      <c r="J2099" s="2" t="s">
        <v>8124</v>
      </c>
      <c r="K2099" s="2" t="s">
        <v>495</v>
      </c>
      <c r="L2099" s="13" t="s">
        <v>496</v>
      </c>
      <c r="M2099" s="2" t="s">
        <v>26</v>
      </c>
      <c r="N2099" s="11" t="s">
        <v>8130</v>
      </c>
      <c r="O2099" s="12" t="s">
        <v>53</v>
      </c>
      <c r="P2099" s="5" t="str">
        <f>IFERROR(__xludf.DUMMYFUNCTION("TEXTJOIN("" | "",TRUE,IF(OR(D2099="""",E2099="""",I2099="""",J2099="""",H2099=""""),""ফাঁকা ঘর"",""""),IF(AND(C2099&lt;&gt;"""",D2099&lt;&gt;"""",C2099=D2099),""gloss=figurative"",""""),IF(LEN(D2099)&lt;15,""figurative ছোট"",""""),IF(AND(I2099=""Positive"",REGEXMATCH(H2"&amp;"099,""মূর্খ|ভণ্ড|প্রতার|অলস|লোভ|স্বার্থ|অক্ষম|অযোগ্য|বোকা|কৃপণ|হিংস"")),""valence-target অমিল"",""""),IF(COUNTIF($B:$B,B2099)&gt;1,""ডুপ্লিকেট"",""""))"),"figurative ছোট")</f>
        <v>figurative ছোট</v>
      </c>
      <c r="Q2099" s="5" t="str">
        <f t="shared" si="1"/>
        <v>১ আগে দেখো</v>
      </c>
    </row>
    <row r="2100">
      <c r="A2100" s="4">
        <v>7798.0</v>
      </c>
      <c r="B2100" s="2" t="s">
        <v>8131</v>
      </c>
      <c r="C2100" s="2" t="s">
        <v>8132</v>
      </c>
      <c r="D2100" s="2" t="s">
        <v>1603</v>
      </c>
      <c r="E2100" s="2" t="s">
        <v>8133</v>
      </c>
      <c r="F2100" s="2" t="b">
        <v>1</v>
      </c>
      <c r="G2100" s="2" t="b">
        <v>0</v>
      </c>
      <c r="H2100" s="2" t="s">
        <v>37</v>
      </c>
      <c r="I2100" s="2" t="s">
        <v>22</v>
      </c>
      <c r="J2100" s="2" t="s">
        <v>1603</v>
      </c>
      <c r="K2100" s="2" t="s">
        <v>495</v>
      </c>
      <c r="L2100" s="13" t="s">
        <v>496</v>
      </c>
      <c r="M2100" s="2" t="s">
        <v>26</v>
      </c>
      <c r="N2100" s="11" t="s">
        <v>576</v>
      </c>
      <c r="O2100" s="12" t="s">
        <v>53</v>
      </c>
      <c r="P2100" s="5" t="str">
        <f>IFERROR(__xludf.DUMMYFUNCTION("TEXTJOIN("" | "",TRUE,IF(OR(D2100="""",E2100="""",I2100="""",J2100="""",H2100=""""),""ফাঁকা ঘর"",""""),IF(AND(C2100&lt;&gt;"""",D2100&lt;&gt;"""",C2100=D2100),""gloss=figurative"",""""),IF(LEN(D2100)&lt;15,""figurative ছোট"",""""),IF(AND(I2100=""Positive"",REGEXMATCH(H2"&amp;"100,""মূর্খ|ভণ্ড|প্রতার|অলস|লোভ|স্বার্থ|অক্ষম|অযোগ্য|বোকা|কৃপণ|হিংস"")),""valence-target অমিল"",""""),IF(COUNTIF($B:$B,B2100)&gt;1,""ডুপ্লিকেট"",""""))"),"figurative ছোট")</f>
        <v>figurative ছোট</v>
      </c>
      <c r="Q2100" s="5" t="str">
        <f t="shared" si="1"/>
        <v>১ আগে দেখো</v>
      </c>
    </row>
    <row r="2101">
      <c r="A2101" s="4">
        <v>7800.0</v>
      </c>
      <c r="B2101" s="2" t="s">
        <v>8134</v>
      </c>
      <c r="C2101" s="2" t="s">
        <v>8135</v>
      </c>
      <c r="D2101" s="2" t="s">
        <v>8071</v>
      </c>
      <c r="E2101" s="2" t="s">
        <v>8136</v>
      </c>
      <c r="F2101" s="2" t="b">
        <v>1</v>
      </c>
      <c r="G2101" s="2" t="b">
        <v>0</v>
      </c>
      <c r="H2101" s="2" t="s">
        <v>37</v>
      </c>
      <c r="I2101" s="2" t="s">
        <v>49</v>
      </c>
      <c r="J2101" s="2" t="s">
        <v>8071</v>
      </c>
      <c r="K2101" s="2" t="s">
        <v>495</v>
      </c>
      <c r="L2101" s="13" t="s">
        <v>496</v>
      </c>
      <c r="M2101" s="2" t="s">
        <v>26</v>
      </c>
      <c r="N2101" s="11" t="s">
        <v>576</v>
      </c>
      <c r="O2101" s="12" t="s">
        <v>53</v>
      </c>
      <c r="P2101" s="5" t="str">
        <f>IFERROR(__xludf.DUMMYFUNCTION("TEXTJOIN("" | "",TRUE,IF(OR(D2101="""",E2101="""",I2101="""",J2101="""",H2101=""""),""ফাঁকা ঘর"",""""),IF(AND(C2101&lt;&gt;"""",D2101&lt;&gt;"""",C2101=D2101),""gloss=figurative"",""""),IF(LEN(D2101)&lt;15,""figurative ছোট"",""""),IF(AND(I2101=""Positive"",REGEXMATCH(H2"&amp;"101,""মূর্খ|ভণ্ড|প্রতার|অলস|লোভ|স্বার্থ|অক্ষম|অযোগ্য|বোকা|কৃপণ|হিংস"")),""valence-target অমিল"",""""),IF(COUNTIF($B:$B,B2101)&gt;1,""ডুপ্লিকেট"",""""))"),"figurative ছোট")</f>
        <v>figurative ছোট</v>
      </c>
      <c r="Q2101" s="5" t="str">
        <f t="shared" si="1"/>
        <v>১ আগে দেখো</v>
      </c>
    </row>
    <row r="2102">
      <c r="A2102" s="4">
        <v>7801.0</v>
      </c>
      <c r="B2102" s="2" t="s">
        <v>8137</v>
      </c>
      <c r="C2102" s="2" t="s">
        <v>8138</v>
      </c>
      <c r="D2102" s="2" t="s">
        <v>2255</v>
      </c>
      <c r="E2102" s="2" t="s">
        <v>8139</v>
      </c>
      <c r="F2102" s="2" t="b">
        <v>1</v>
      </c>
      <c r="G2102" s="2" t="b">
        <v>0</v>
      </c>
      <c r="H2102" s="2" t="s">
        <v>37</v>
      </c>
      <c r="I2102" s="2" t="s">
        <v>22</v>
      </c>
      <c r="J2102" s="2" t="s">
        <v>2255</v>
      </c>
      <c r="K2102" s="2" t="s">
        <v>495</v>
      </c>
      <c r="L2102" s="13" t="s">
        <v>496</v>
      </c>
      <c r="M2102" s="2" t="s">
        <v>26</v>
      </c>
      <c r="N2102" s="11" t="s">
        <v>576</v>
      </c>
      <c r="O2102" s="12" t="s">
        <v>53</v>
      </c>
      <c r="P2102" s="5" t="str">
        <f>IFERROR(__xludf.DUMMYFUNCTION("TEXTJOIN("" | "",TRUE,IF(OR(D2102="""",E2102="""",I2102="""",J2102="""",H2102=""""),""ফাঁকা ঘর"",""""),IF(AND(C2102&lt;&gt;"""",D2102&lt;&gt;"""",C2102=D2102),""gloss=figurative"",""""),IF(LEN(D2102)&lt;15,""figurative ছোট"",""""),IF(AND(I2102=""Positive"",REGEXMATCH(H2"&amp;"102,""মূর্খ|ভণ্ড|প্রতার|অলস|লোভ|স্বার্থ|অক্ষম|অযোগ্য|বোকা|কৃপণ|হিংস"")),""valence-target অমিল"",""""),IF(COUNTIF($B:$B,B2102)&gt;1,""ডুপ্লিকেট"",""""))"),"figurative ছোট")</f>
        <v>figurative ছোট</v>
      </c>
      <c r="Q2102" s="5" t="str">
        <f t="shared" si="1"/>
        <v>১ আগে দেখো</v>
      </c>
    </row>
    <row r="2103">
      <c r="A2103" s="4">
        <v>7802.0</v>
      </c>
      <c r="B2103" s="2" t="s">
        <v>8140</v>
      </c>
      <c r="C2103" s="2" t="s">
        <v>8141</v>
      </c>
      <c r="D2103" s="2" t="s">
        <v>8142</v>
      </c>
      <c r="E2103" s="2" t="s">
        <v>8143</v>
      </c>
      <c r="F2103" s="2" t="b">
        <v>1</v>
      </c>
      <c r="G2103" s="2" t="b">
        <v>0</v>
      </c>
      <c r="H2103" s="2" t="s">
        <v>37</v>
      </c>
      <c r="I2103" s="2" t="s">
        <v>49</v>
      </c>
      <c r="J2103" s="2" t="s">
        <v>1060</v>
      </c>
      <c r="K2103" s="2" t="s">
        <v>495</v>
      </c>
      <c r="L2103" s="13" t="s">
        <v>496</v>
      </c>
      <c r="M2103" s="2" t="s">
        <v>26</v>
      </c>
      <c r="N2103" s="11" t="s">
        <v>576</v>
      </c>
      <c r="O2103" s="12" t="s">
        <v>53</v>
      </c>
      <c r="P2103" s="5" t="str">
        <f>IFERROR(__xludf.DUMMYFUNCTION("TEXTJOIN("" | "",TRUE,IF(OR(D2103="""",E2103="""",I2103="""",J2103="""",H2103=""""),""ফাঁকা ঘর"",""""),IF(AND(C2103&lt;&gt;"""",D2103&lt;&gt;"""",C2103=D2103),""gloss=figurative"",""""),IF(LEN(D2103)&lt;15,""figurative ছোট"",""""),IF(AND(I2103=""Positive"",REGEXMATCH(H2"&amp;"103,""মূর্খ|ভণ্ড|প্রতার|অলস|লোভ|স্বার্থ|অক্ষম|অযোগ্য|বোকা|কৃপণ|হিংস"")),""valence-target অমিল"",""""),IF(COUNTIF($B:$B,B2103)&gt;1,""ডুপ্লিকেট"",""""))"),"figurative ছোট")</f>
        <v>figurative ছোট</v>
      </c>
      <c r="Q2103" s="5" t="str">
        <f t="shared" si="1"/>
        <v>১ আগে দেখো</v>
      </c>
    </row>
    <row r="2104">
      <c r="A2104" s="4">
        <v>7803.0</v>
      </c>
      <c r="B2104" s="2" t="s">
        <v>8144</v>
      </c>
      <c r="C2104" s="2" t="s">
        <v>8145</v>
      </c>
      <c r="D2104" s="2" t="s">
        <v>2540</v>
      </c>
      <c r="E2104" s="2" t="s">
        <v>8146</v>
      </c>
      <c r="F2104" s="2" t="b">
        <v>1</v>
      </c>
      <c r="G2104" s="2" t="b">
        <v>0</v>
      </c>
      <c r="H2104" s="2" t="s">
        <v>37</v>
      </c>
      <c r="I2104" s="2" t="s">
        <v>49</v>
      </c>
      <c r="J2104" s="2" t="s">
        <v>7857</v>
      </c>
      <c r="K2104" s="2" t="s">
        <v>495</v>
      </c>
      <c r="L2104" s="13" t="s">
        <v>496</v>
      </c>
      <c r="M2104" s="2" t="s">
        <v>26</v>
      </c>
      <c r="N2104" s="11" t="s">
        <v>576</v>
      </c>
      <c r="O2104" s="12" t="s">
        <v>53</v>
      </c>
      <c r="P2104" s="5" t="str">
        <f>IFERROR(__xludf.DUMMYFUNCTION("TEXTJOIN("" | "",TRUE,IF(OR(D2104="""",E2104="""",I2104="""",J2104="""",H2104=""""),""ফাঁকা ঘর"",""""),IF(AND(C2104&lt;&gt;"""",D2104&lt;&gt;"""",C2104=D2104),""gloss=figurative"",""""),IF(LEN(D2104)&lt;15,""figurative ছোট"",""""),IF(AND(I2104=""Positive"",REGEXMATCH(H2"&amp;"104,""মূর্খ|ভণ্ড|প্রতার|অলস|লোভ|স্বার্থ|অক্ষম|অযোগ্য|বোকা|কৃপণ|হিংস"")),""valence-target অমিল"",""""),IF(COUNTIF($B:$B,B2104)&gt;1,""ডুপ্লিকেট"",""""))"),"figurative ছোট")</f>
        <v>figurative ছোট</v>
      </c>
      <c r="Q2104" s="5" t="str">
        <f t="shared" si="1"/>
        <v>১ আগে দেখো</v>
      </c>
    </row>
    <row r="2105">
      <c r="A2105" s="4">
        <v>7804.0</v>
      </c>
      <c r="B2105" s="2" t="s">
        <v>8147</v>
      </c>
      <c r="C2105" s="2" t="s">
        <v>8148</v>
      </c>
      <c r="D2105" s="2" t="s">
        <v>8149</v>
      </c>
      <c r="E2105" s="2" t="s">
        <v>8150</v>
      </c>
      <c r="F2105" s="2" t="b">
        <v>1</v>
      </c>
      <c r="G2105" s="2" t="b">
        <v>0</v>
      </c>
      <c r="H2105" s="2" t="s">
        <v>37</v>
      </c>
      <c r="I2105" s="2" t="s">
        <v>49</v>
      </c>
      <c r="J2105" s="2" t="s">
        <v>8149</v>
      </c>
      <c r="K2105" s="2" t="s">
        <v>495</v>
      </c>
      <c r="L2105" s="13" t="s">
        <v>496</v>
      </c>
      <c r="M2105" s="2" t="s">
        <v>26</v>
      </c>
      <c r="N2105" s="11" t="s">
        <v>576</v>
      </c>
      <c r="O2105" s="12" t="s">
        <v>53</v>
      </c>
      <c r="P2105" s="5" t="str">
        <f>IFERROR(__xludf.DUMMYFUNCTION("TEXTJOIN("" | "",TRUE,IF(OR(D2105="""",E2105="""",I2105="""",J2105="""",H2105=""""),""ফাঁকা ঘর"",""""),IF(AND(C2105&lt;&gt;"""",D2105&lt;&gt;"""",C2105=D2105),""gloss=figurative"",""""),IF(LEN(D2105)&lt;15,""figurative ছোট"",""""),IF(AND(I2105=""Positive"",REGEXMATCH(H2"&amp;"105,""মূর্খ|ভণ্ড|প্রতার|অলস|লোভ|স্বার্থ|অক্ষম|অযোগ্য|বোকা|কৃপণ|হিংস"")),""valence-target অমিল"",""""),IF(COUNTIF($B:$B,B2105)&gt;1,""ডুপ্লিকেট"",""""))"),"figurative ছোট")</f>
        <v>figurative ছোট</v>
      </c>
      <c r="Q2105" s="5" t="str">
        <f t="shared" si="1"/>
        <v>১ আগে দেখো</v>
      </c>
    </row>
    <row r="2106">
      <c r="A2106" s="4">
        <v>7805.0</v>
      </c>
      <c r="B2106" s="2" t="s">
        <v>8151</v>
      </c>
      <c r="C2106" s="2" t="s">
        <v>8151</v>
      </c>
      <c r="D2106" s="2" t="s">
        <v>590</v>
      </c>
      <c r="E2106" s="2" t="s">
        <v>8152</v>
      </c>
      <c r="F2106" s="2" t="b">
        <v>1</v>
      </c>
      <c r="G2106" s="2" t="b">
        <v>0</v>
      </c>
      <c r="H2106" s="2" t="s">
        <v>37</v>
      </c>
      <c r="I2106" s="2" t="s">
        <v>22</v>
      </c>
      <c r="J2106" s="2" t="s">
        <v>590</v>
      </c>
      <c r="K2106" s="2" t="s">
        <v>495</v>
      </c>
      <c r="L2106" s="13" t="s">
        <v>496</v>
      </c>
      <c r="M2106" s="2" t="s">
        <v>26</v>
      </c>
      <c r="N2106" s="11" t="s">
        <v>576</v>
      </c>
      <c r="O2106" s="12" t="s">
        <v>53</v>
      </c>
      <c r="P2106" s="5" t="str">
        <f>IFERROR(__xludf.DUMMYFUNCTION("TEXTJOIN("" | "",TRUE,IF(OR(D2106="""",E2106="""",I2106="""",J2106="""",H2106=""""),""ফাঁকা ঘর"",""""),IF(AND(C2106&lt;&gt;"""",D2106&lt;&gt;"""",C2106=D2106),""gloss=figurative"",""""),IF(LEN(D2106)&lt;15,""figurative ছোট"",""""),IF(AND(I2106=""Positive"",REGEXMATCH(H2"&amp;"106,""মূর্খ|ভণ্ড|প্রতার|অলস|লোভ|স্বার্থ|অক্ষম|অযোগ্য|বোকা|কৃপণ|হিংস"")),""valence-target অমিল"",""""),IF(COUNTIF($B:$B,B2106)&gt;1,""ডুপ্লিকেট"",""""))"),"figurative ছোট")</f>
        <v>figurative ছোট</v>
      </c>
      <c r="Q2106" s="5" t="str">
        <f t="shared" si="1"/>
        <v>১ আগে দেখো</v>
      </c>
    </row>
    <row r="2107">
      <c r="A2107" s="4">
        <v>7806.0</v>
      </c>
      <c r="B2107" s="2" t="s">
        <v>8153</v>
      </c>
      <c r="C2107" s="2" t="s">
        <v>8153</v>
      </c>
      <c r="D2107" s="2" t="s">
        <v>669</v>
      </c>
      <c r="E2107" s="2" t="s">
        <v>8154</v>
      </c>
      <c r="F2107" s="2" t="b">
        <v>1</v>
      </c>
      <c r="G2107" s="2" t="b">
        <v>0</v>
      </c>
      <c r="H2107" s="2" t="s">
        <v>37</v>
      </c>
      <c r="I2107" s="2" t="s">
        <v>22</v>
      </c>
      <c r="J2107" s="2" t="s">
        <v>669</v>
      </c>
      <c r="K2107" s="2" t="s">
        <v>495</v>
      </c>
      <c r="L2107" s="13" t="s">
        <v>496</v>
      </c>
      <c r="M2107" s="2" t="s">
        <v>26</v>
      </c>
      <c r="N2107" s="11" t="s">
        <v>576</v>
      </c>
      <c r="O2107" s="12" t="s">
        <v>53</v>
      </c>
      <c r="P2107" s="5" t="str">
        <f>IFERROR(__xludf.DUMMYFUNCTION("TEXTJOIN("" | "",TRUE,IF(OR(D2107="""",E2107="""",I2107="""",J2107="""",H2107=""""),""ফাঁকা ঘর"",""""),IF(AND(C2107&lt;&gt;"""",D2107&lt;&gt;"""",C2107=D2107),""gloss=figurative"",""""),IF(LEN(D2107)&lt;15,""figurative ছোট"",""""),IF(AND(I2107=""Positive"",REGEXMATCH(H2"&amp;"107,""মূর্খ|ভণ্ড|প্রতার|অলস|লোভ|স্বার্থ|অক্ষম|অযোগ্য|বোকা|কৃপণ|হিংস"")),""valence-target অমিল"",""""),IF(COUNTIF($B:$B,B2107)&gt;1,""ডুপ্লিকেট"",""""))"),"figurative ছোট")</f>
        <v>figurative ছোট</v>
      </c>
      <c r="Q2107" s="5" t="str">
        <f t="shared" si="1"/>
        <v>১ আগে দেখো</v>
      </c>
    </row>
    <row r="2108">
      <c r="A2108" s="4">
        <v>7807.0</v>
      </c>
      <c r="B2108" s="2" t="s">
        <v>8155</v>
      </c>
      <c r="C2108" s="2" t="s">
        <v>8156</v>
      </c>
      <c r="D2108" s="2" t="s">
        <v>669</v>
      </c>
      <c r="E2108" s="2" t="s">
        <v>8157</v>
      </c>
      <c r="F2108" s="2" t="b">
        <v>1</v>
      </c>
      <c r="G2108" s="2" t="b">
        <v>0</v>
      </c>
      <c r="H2108" s="2" t="s">
        <v>37</v>
      </c>
      <c r="I2108" s="2" t="s">
        <v>22</v>
      </c>
      <c r="J2108" s="2" t="s">
        <v>669</v>
      </c>
      <c r="K2108" s="2" t="s">
        <v>495</v>
      </c>
      <c r="L2108" s="13" t="s">
        <v>496</v>
      </c>
      <c r="M2108" s="2" t="s">
        <v>26</v>
      </c>
      <c r="N2108" s="11" t="s">
        <v>576</v>
      </c>
      <c r="O2108" s="12" t="s">
        <v>53</v>
      </c>
      <c r="P2108" s="5" t="str">
        <f>IFERROR(__xludf.DUMMYFUNCTION("TEXTJOIN("" | "",TRUE,IF(OR(D2108="""",E2108="""",I2108="""",J2108="""",H2108=""""),""ফাঁকা ঘর"",""""),IF(AND(C2108&lt;&gt;"""",D2108&lt;&gt;"""",C2108=D2108),""gloss=figurative"",""""),IF(LEN(D2108)&lt;15,""figurative ছোট"",""""),IF(AND(I2108=""Positive"",REGEXMATCH(H2"&amp;"108,""মূর্খ|ভণ্ড|প্রতার|অলস|লোভ|স্বার্থ|অক্ষম|অযোগ্য|বোকা|কৃপণ|হিংস"")),""valence-target অমিল"",""""),IF(COUNTIF($B:$B,B2108)&gt;1,""ডুপ্লিকেট"",""""))"),"figurative ছোট")</f>
        <v>figurative ছোট</v>
      </c>
      <c r="Q2108" s="5" t="str">
        <f t="shared" si="1"/>
        <v>১ আগে দেখো</v>
      </c>
    </row>
    <row r="2109">
      <c r="A2109" s="4">
        <v>7808.0</v>
      </c>
      <c r="B2109" s="2" t="s">
        <v>8158</v>
      </c>
      <c r="C2109" s="2" t="s">
        <v>8159</v>
      </c>
      <c r="D2109" s="2" t="s">
        <v>3105</v>
      </c>
      <c r="E2109" s="2" t="s">
        <v>8160</v>
      </c>
      <c r="F2109" s="2" t="b">
        <v>1</v>
      </c>
      <c r="G2109" s="2" t="b">
        <v>0</v>
      </c>
      <c r="H2109" s="2" t="s">
        <v>1284</v>
      </c>
      <c r="I2109" s="2" t="s">
        <v>32</v>
      </c>
      <c r="J2109" s="2" t="s">
        <v>1471</v>
      </c>
      <c r="K2109" s="2" t="s">
        <v>495</v>
      </c>
      <c r="L2109" s="13" t="s">
        <v>496</v>
      </c>
      <c r="M2109" s="2" t="s">
        <v>26</v>
      </c>
      <c r="N2109" s="11" t="s">
        <v>576</v>
      </c>
      <c r="O2109" s="12" t="s">
        <v>53</v>
      </c>
      <c r="P2109" s="5" t="str">
        <f>IFERROR(__xludf.DUMMYFUNCTION("TEXTJOIN("" | "",TRUE,IF(OR(D2109="""",E2109="""",I2109="""",J2109="""",H2109=""""),""ফাঁকা ঘর"",""""),IF(AND(C2109&lt;&gt;"""",D2109&lt;&gt;"""",C2109=D2109),""gloss=figurative"",""""),IF(LEN(D2109)&lt;15,""figurative ছোট"",""""),IF(AND(I2109=""Positive"",REGEXMATCH(H2"&amp;"109,""মূর্খ|ভণ্ড|প্রতার|অলস|লোভ|স্বার্থ|অক্ষম|অযোগ্য|বোকা|কৃপণ|হিংস"")),""valence-target অমিল"",""""),IF(COUNTIF($B:$B,B2109)&gt;1,""ডুপ্লিকেট"",""""))"),"figurative ছোট")</f>
        <v>figurative ছোট</v>
      </c>
      <c r="Q2109" s="5" t="str">
        <f t="shared" si="1"/>
        <v>১ আগে দেখো</v>
      </c>
    </row>
    <row r="2110">
      <c r="A2110" s="4">
        <v>7809.0</v>
      </c>
      <c r="B2110" s="2" t="s">
        <v>8161</v>
      </c>
      <c r="C2110" s="2" t="s">
        <v>8162</v>
      </c>
      <c r="D2110" s="2" t="s">
        <v>8163</v>
      </c>
      <c r="E2110" s="2" t="s">
        <v>8164</v>
      </c>
      <c r="F2110" s="2" t="b">
        <v>1</v>
      </c>
      <c r="G2110" s="2" t="b">
        <v>0</v>
      </c>
      <c r="H2110" s="2" t="s">
        <v>37</v>
      </c>
      <c r="I2110" s="2" t="s">
        <v>22</v>
      </c>
      <c r="J2110" s="2" t="s">
        <v>447</v>
      </c>
      <c r="K2110" s="2" t="s">
        <v>495</v>
      </c>
      <c r="L2110" s="13" t="s">
        <v>496</v>
      </c>
      <c r="M2110" s="2" t="s">
        <v>26</v>
      </c>
      <c r="N2110" s="11" t="s">
        <v>576</v>
      </c>
      <c r="O2110" s="12" t="s">
        <v>53</v>
      </c>
      <c r="P2110" s="5" t="str">
        <f>IFERROR(__xludf.DUMMYFUNCTION("TEXTJOIN("" | "",TRUE,IF(OR(D2110="""",E2110="""",I2110="""",J2110="""",H2110=""""),""ফাঁকা ঘর"",""""),IF(AND(C2110&lt;&gt;"""",D2110&lt;&gt;"""",C2110=D2110),""gloss=figurative"",""""),IF(LEN(D2110)&lt;15,""figurative ছোট"",""""),IF(AND(I2110=""Positive"",REGEXMATCH(H2"&amp;"110,""মূর্খ|ভণ্ড|প্রতার|অলস|লোভ|স্বার্থ|অক্ষম|অযোগ্য|বোকা|কৃপণ|হিংস"")),""valence-target অমিল"",""""),IF(COUNTIF($B:$B,B2110)&gt;1,""ডুপ্লিকেট"",""""))"),"figurative ছোট")</f>
        <v>figurative ছোট</v>
      </c>
      <c r="Q2110" s="5" t="str">
        <f t="shared" si="1"/>
        <v>১ আগে দেখো</v>
      </c>
    </row>
    <row r="2111">
      <c r="A2111" s="4">
        <v>7810.0</v>
      </c>
      <c r="B2111" s="2" t="s">
        <v>8165</v>
      </c>
      <c r="C2111" s="2" t="s">
        <v>8166</v>
      </c>
      <c r="D2111" s="2" t="s">
        <v>590</v>
      </c>
      <c r="E2111" s="2" t="s">
        <v>8167</v>
      </c>
      <c r="F2111" s="2" t="b">
        <v>1</v>
      </c>
      <c r="G2111" s="2" t="b">
        <v>0</v>
      </c>
      <c r="H2111" s="2" t="s">
        <v>37</v>
      </c>
      <c r="I2111" s="2" t="s">
        <v>22</v>
      </c>
      <c r="J2111" s="2" t="s">
        <v>590</v>
      </c>
      <c r="K2111" s="2" t="s">
        <v>495</v>
      </c>
      <c r="L2111" s="13" t="s">
        <v>496</v>
      </c>
      <c r="M2111" s="2" t="s">
        <v>26</v>
      </c>
      <c r="N2111" s="11" t="s">
        <v>8168</v>
      </c>
      <c r="O2111" s="12" t="s">
        <v>53</v>
      </c>
      <c r="P2111" s="5" t="str">
        <f>IFERROR(__xludf.DUMMYFUNCTION("TEXTJOIN("" | "",TRUE,IF(OR(D2111="""",E2111="""",I2111="""",J2111="""",H2111=""""),""ফাঁকা ঘর"",""""),IF(AND(C2111&lt;&gt;"""",D2111&lt;&gt;"""",C2111=D2111),""gloss=figurative"",""""),IF(LEN(D2111)&lt;15,""figurative ছোট"",""""),IF(AND(I2111=""Positive"",REGEXMATCH(H2"&amp;"111,""মূর্খ|ভণ্ড|প্রতার|অলস|লোভ|স্বার্থ|অক্ষম|অযোগ্য|বোকা|কৃপণ|হিংস"")),""valence-target অমিল"",""""),IF(COUNTIF($B:$B,B2111)&gt;1,""ডুপ্লিকেট"",""""))"),"figurative ছোট")</f>
        <v>figurative ছোট</v>
      </c>
      <c r="Q2111" s="5" t="str">
        <f t="shared" si="1"/>
        <v>১ আগে দেখো</v>
      </c>
    </row>
    <row r="2112">
      <c r="A2112" s="4">
        <v>7811.0</v>
      </c>
      <c r="B2112" s="2" t="s">
        <v>8169</v>
      </c>
      <c r="C2112" s="2" t="s">
        <v>8170</v>
      </c>
      <c r="D2112" s="2" t="s">
        <v>8171</v>
      </c>
      <c r="E2112" s="2" t="s">
        <v>8172</v>
      </c>
      <c r="F2112" s="2" t="b">
        <v>1</v>
      </c>
      <c r="G2112" s="2" t="b">
        <v>0</v>
      </c>
      <c r="H2112" s="2" t="s">
        <v>37</v>
      </c>
      <c r="I2112" s="2" t="s">
        <v>22</v>
      </c>
      <c r="J2112" s="2" t="s">
        <v>1656</v>
      </c>
      <c r="K2112" s="2" t="s">
        <v>495</v>
      </c>
      <c r="L2112" s="13" t="s">
        <v>496</v>
      </c>
      <c r="M2112" s="2" t="s">
        <v>26</v>
      </c>
      <c r="N2112" s="11" t="s">
        <v>8173</v>
      </c>
      <c r="O2112" s="12" t="s">
        <v>53</v>
      </c>
      <c r="P2112" s="5" t="str">
        <f>IFERROR(__xludf.DUMMYFUNCTION("TEXTJOIN("" | "",TRUE,IF(OR(D2112="""",E2112="""",I2112="""",J2112="""",H2112=""""),""ফাঁকা ঘর"",""""),IF(AND(C2112&lt;&gt;"""",D2112&lt;&gt;"""",C2112=D2112),""gloss=figurative"",""""),IF(LEN(D2112)&lt;15,""figurative ছোট"",""""),IF(AND(I2112=""Positive"",REGEXMATCH(H2"&amp;"112,""মূর্খ|ভণ্ড|প্রতার|অলস|লোভ|স্বার্থ|অক্ষম|অযোগ্য|বোকা|কৃপণ|হিংস"")),""valence-target অমিল"",""""),IF(COUNTIF($B:$B,B2112)&gt;1,""ডুপ্লিকেট"",""""))"),"figurative ছোট")</f>
        <v>figurative ছোট</v>
      </c>
      <c r="Q2112" s="5" t="str">
        <f t="shared" si="1"/>
        <v>১ আগে দেখো</v>
      </c>
    </row>
    <row r="2113">
      <c r="A2113" s="4">
        <v>7812.0</v>
      </c>
      <c r="B2113" s="2" t="s">
        <v>8174</v>
      </c>
      <c r="C2113" s="2" t="s">
        <v>8175</v>
      </c>
      <c r="D2113" s="2" t="s">
        <v>1264</v>
      </c>
      <c r="E2113" s="2" t="s">
        <v>8176</v>
      </c>
      <c r="F2113" s="2" t="b">
        <v>1</v>
      </c>
      <c r="G2113" s="2" t="b">
        <v>0</v>
      </c>
      <c r="H2113" s="2" t="s">
        <v>37</v>
      </c>
      <c r="I2113" s="2" t="s">
        <v>49</v>
      </c>
      <c r="J2113" s="2" t="s">
        <v>1264</v>
      </c>
      <c r="K2113" s="2" t="s">
        <v>495</v>
      </c>
      <c r="L2113" s="13" t="s">
        <v>496</v>
      </c>
      <c r="M2113" s="2" t="s">
        <v>26</v>
      </c>
      <c r="N2113" s="11" t="s">
        <v>576</v>
      </c>
      <c r="O2113" s="12" t="s">
        <v>53</v>
      </c>
      <c r="P2113" s="5" t="str">
        <f>IFERROR(__xludf.DUMMYFUNCTION("TEXTJOIN("" | "",TRUE,IF(OR(D2113="""",E2113="""",I2113="""",J2113="""",H2113=""""),""ফাঁকা ঘর"",""""),IF(AND(C2113&lt;&gt;"""",D2113&lt;&gt;"""",C2113=D2113),""gloss=figurative"",""""),IF(LEN(D2113)&lt;15,""figurative ছোট"",""""),IF(AND(I2113=""Positive"",REGEXMATCH(H2"&amp;"113,""মূর্খ|ভণ্ড|প্রতার|অলস|লোভ|স্বার্থ|অক্ষম|অযোগ্য|বোকা|কৃপণ|হিংস"")),""valence-target অমিল"",""""),IF(COUNTIF($B:$B,B2113)&gt;1,""ডুপ্লিকেট"",""""))"),"figurative ছোট")</f>
        <v>figurative ছোট</v>
      </c>
      <c r="Q2113" s="5" t="str">
        <f t="shared" si="1"/>
        <v>১ আগে দেখো</v>
      </c>
    </row>
    <row r="2114">
      <c r="A2114" s="4">
        <v>7813.0</v>
      </c>
      <c r="B2114" s="2" t="s">
        <v>8177</v>
      </c>
      <c r="C2114" s="2" t="s">
        <v>8178</v>
      </c>
      <c r="D2114" s="2" t="s">
        <v>8179</v>
      </c>
      <c r="E2114" s="2" t="s">
        <v>8180</v>
      </c>
      <c r="F2114" s="2" t="b">
        <v>1</v>
      </c>
      <c r="G2114" s="2" t="b">
        <v>0</v>
      </c>
      <c r="H2114" s="2" t="s">
        <v>37</v>
      </c>
      <c r="I2114" s="2" t="s">
        <v>22</v>
      </c>
      <c r="J2114" s="2" t="s">
        <v>300</v>
      </c>
      <c r="K2114" s="2" t="s">
        <v>495</v>
      </c>
      <c r="L2114" s="13" t="s">
        <v>496</v>
      </c>
      <c r="M2114" s="2" t="s">
        <v>26</v>
      </c>
      <c r="N2114" s="11" t="s">
        <v>576</v>
      </c>
      <c r="O2114" s="12" t="s">
        <v>53</v>
      </c>
      <c r="P2114" s="5" t="str">
        <f>IFERROR(__xludf.DUMMYFUNCTION("TEXTJOIN("" | "",TRUE,IF(OR(D2114="""",E2114="""",I2114="""",J2114="""",H2114=""""),""ফাঁকা ঘর"",""""),IF(AND(C2114&lt;&gt;"""",D2114&lt;&gt;"""",C2114=D2114),""gloss=figurative"",""""),IF(LEN(D2114)&lt;15,""figurative ছোট"",""""),IF(AND(I2114=""Positive"",REGEXMATCH(H2"&amp;"114,""মূর্খ|ভণ্ড|প্রতার|অলস|লোভ|স্বার্থ|অক্ষম|অযোগ্য|বোকা|কৃপণ|হিংস"")),""valence-target অমিল"",""""),IF(COUNTIF($B:$B,B2114)&gt;1,""ডুপ্লিকেট"",""""))"),"figurative ছোট")</f>
        <v>figurative ছোট</v>
      </c>
      <c r="Q2114" s="5" t="str">
        <f t="shared" si="1"/>
        <v>১ আগে দেখো</v>
      </c>
    </row>
    <row r="2115">
      <c r="A2115" s="4">
        <v>7814.0</v>
      </c>
      <c r="B2115" s="2" t="s">
        <v>8181</v>
      </c>
      <c r="C2115" s="2" t="s">
        <v>8182</v>
      </c>
      <c r="D2115" s="2" t="s">
        <v>1264</v>
      </c>
      <c r="E2115" s="2" t="s">
        <v>8183</v>
      </c>
      <c r="F2115" s="2" t="b">
        <v>1</v>
      </c>
      <c r="G2115" s="2" t="b">
        <v>0</v>
      </c>
      <c r="H2115" s="2" t="s">
        <v>37</v>
      </c>
      <c r="I2115" s="2" t="s">
        <v>49</v>
      </c>
      <c r="J2115" s="2" t="s">
        <v>1264</v>
      </c>
      <c r="K2115" s="2" t="s">
        <v>495</v>
      </c>
      <c r="L2115" s="13" t="s">
        <v>496</v>
      </c>
      <c r="M2115" s="2" t="s">
        <v>26</v>
      </c>
      <c r="N2115" s="11" t="s">
        <v>576</v>
      </c>
      <c r="O2115" s="12" t="s">
        <v>53</v>
      </c>
      <c r="P2115" s="5" t="str">
        <f>IFERROR(__xludf.DUMMYFUNCTION("TEXTJOIN("" | "",TRUE,IF(OR(D2115="""",E2115="""",I2115="""",J2115="""",H2115=""""),""ফাঁকা ঘর"",""""),IF(AND(C2115&lt;&gt;"""",D2115&lt;&gt;"""",C2115=D2115),""gloss=figurative"",""""),IF(LEN(D2115)&lt;15,""figurative ছোট"",""""),IF(AND(I2115=""Positive"",REGEXMATCH(H2"&amp;"115,""মূর্খ|ভণ্ড|প্রতার|অলস|লোভ|স্বার্থ|অক্ষম|অযোগ্য|বোকা|কৃপণ|হিংস"")),""valence-target অমিল"",""""),IF(COUNTIF($B:$B,B2115)&gt;1,""ডুপ্লিকেট"",""""))"),"figurative ছোট")</f>
        <v>figurative ছোট</v>
      </c>
      <c r="Q2115" s="5" t="str">
        <f t="shared" si="1"/>
        <v>১ আগে দেখো</v>
      </c>
    </row>
    <row r="2116">
      <c r="A2116" s="4">
        <v>7815.0</v>
      </c>
      <c r="B2116" s="2" t="s">
        <v>8184</v>
      </c>
      <c r="C2116" s="2" t="s">
        <v>8185</v>
      </c>
      <c r="D2116" s="2" t="s">
        <v>3079</v>
      </c>
      <c r="E2116" s="2" t="s">
        <v>8186</v>
      </c>
      <c r="F2116" s="2" t="b">
        <v>1</v>
      </c>
      <c r="G2116" s="2" t="b">
        <v>1</v>
      </c>
      <c r="H2116" s="2" t="s">
        <v>3079</v>
      </c>
      <c r="I2116" s="2" t="s">
        <v>49</v>
      </c>
      <c r="J2116" s="2" t="s">
        <v>1315</v>
      </c>
      <c r="K2116" s="2" t="s">
        <v>495</v>
      </c>
      <c r="L2116" s="13" t="s">
        <v>496</v>
      </c>
      <c r="M2116" s="2" t="s">
        <v>26</v>
      </c>
      <c r="N2116" s="11" t="s">
        <v>576</v>
      </c>
      <c r="O2116" s="12" t="s">
        <v>53</v>
      </c>
      <c r="P2116" s="5" t="str">
        <f>IFERROR(__xludf.DUMMYFUNCTION("TEXTJOIN("" | "",TRUE,IF(OR(D2116="""",E2116="""",I2116="""",J2116="""",H2116=""""),""ফাঁকা ঘর"",""""),IF(AND(C2116&lt;&gt;"""",D2116&lt;&gt;"""",C2116=D2116),""gloss=figurative"",""""),IF(LEN(D2116)&lt;15,""figurative ছোট"",""""),IF(AND(I2116=""Positive"",REGEXMATCH(H2"&amp;"116,""মূর্খ|ভণ্ড|প্রতার|অলস|লোভ|স্বার্থ|অক্ষম|অযোগ্য|বোকা|কৃপণ|হিংস"")),""valence-target অমিল"",""""),IF(COUNTIF($B:$B,B2116)&gt;1,""ডুপ্লিকেট"",""""))"),"figurative ছোট")</f>
        <v>figurative ছোট</v>
      </c>
      <c r="Q2116" s="5" t="str">
        <f t="shared" si="1"/>
        <v>১ আগে দেখো</v>
      </c>
    </row>
    <row r="2117">
      <c r="A2117" s="4">
        <v>7816.0</v>
      </c>
      <c r="B2117" s="2" t="s">
        <v>8187</v>
      </c>
      <c r="C2117" s="2" t="s">
        <v>8188</v>
      </c>
      <c r="D2117" s="2" t="s">
        <v>3079</v>
      </c>
      <c r="E2117" s="2" t="s">
        <v>8189</v>
      </c>
      <c r="F2117" s="2" t="b">
        <v>1</v>
      </c>
      <c r="G2117" s="2" t="b">
        <v>1</v>
      </c>
      <c r="H2117" s="2" t="s">
        <v>3079</v>
      </c>
      <c r="I2117" s="2" t="s">
        <v>49</v>
      </c>
      <c r="J2117" s="2" t="s">
        <v>1315</v>
      </c>
      <c r="K2117" s="2" t="s">
        <v>495</v>
      </c>
      <c r="L2117" s="13" t="s">
        <v>496</v>
      </c>
      <c r="M2117" s="2" t="s">
        <v>26</v>
      </c>
      <c r="N2117" s="11" t="s">
        <v>576</v>
      </c>
      <c r="O2117" s="12" t="s">
        <v>53</v>
      </c>
      <c r="P2117" s="5" t="str">
        <f>IFERROR(__xludf.DUMMYFUNCTION("TEXTJOIN("" | "",TRUE,IF(OR(D2117="""",E2117="""",I2117="""",J2117="""",H2117=""""),""ফাঁকা ঘর"",""""),IF(AND(C2117&lt;&gt;"""",D2117&lt;&gt;"""",C2117=D2117),""gloss=figurative"",""""),IF(LEN(D2117)&lt;15,""figurative ছোট"",""""),IF(AND(I2117=""Positive"",REGEXMATCH(H2"&amp;"117,""মূর্খ|ভণ্ড|প্রতার|অলস|লোভ|স্বার্থ|অক্ষম|অযোগ্য|বোকা|কৃপণ|হিংস"")),""valence-target অমিল"",""""),IF(COUNTIF($B:$B,B2117)&gt;1,""ডুপ্লিকেট"",""""))"),"figurative ছোট")</f>
        <v>figurative ছোট</v>
      </c>
      <c r="Q2117" s="5" t="str">
        <f t="shared" si="1"/>
        <v>১ আগে দেখো</v>
      </c>
    </row>
    <row r="2118">
      <c r="A2118" s="4">
        <v>7817.0</v>
      </c>
      <c r="B2118" s="2" t="s">
        <v>8190</v>
      </c>
      <c r="C2118" s="2" t="s">
        <v>8191</v>
      </c>
      <c r="D2118" s="2" t="s">
        <v>1438</v>
      </c>
      <c r="E2118" s="2" t="s">
        <v>8192</v>
      </c>
      <c r="F2118" s="2" t="b">
        <v>1</v>
      </c>
      <c r="G2118" s="2" t="b">
        <v>0</v>
      </c>
      <c r="H2118" s="2" t="s">
        <v>488</v>
      </c>
      <c r="I2118" s="2" t="s">
        <v>22</v>
      </c>
      <c r="J2118" s="2" t="s">
        <v>1438</v>
      </c>
      <c r="K2118" s="2" t="s">
        <v>495</v>
      </c>
      <c r="L2118" s="13" t="s">
        <v>496</v>
      </c>
      <c r="M2118" s="2" t="s">
        <v>26</v>
      </c>
      <c r="N2118" s="11" t="s">
        <v>576</v>
      </c>
      <c r="O2118" s="12" t="s">
        <v>53</v>
      </c>
      <c r="P2118" s="5" t="str">
        <f>IFERROR(__xludf.DUMMYFUNCTION("TEXTJOIN("" | "",TRUE,IF(OR(D2118="""",E2118="""",I2118="""",J2118="""",H2118=""""),""ফাঁকা ঘর"",""""),IF(AND(C2118&lt;&gt;"""",D2118&lt;&gt;"""",C2118=D2118),""gloss=figurative"",""""),IF(LEN(D2118)&lt;15,""figurative ছোট"",""""),IF(AND(I2118=""Positive"",REGEXMATCH(H2"&amp;"118,""মূর্খ|ভণ্ড|প্রতার|অলস|লোভ|স্বার্থ|অক্ষম|অযোগ্য|বোকা|কৃপণ|হিংস"")),""valence-target অমিল"",""""),IF(COUNTIF($B:$B,B2118)&gt;1,""ডুপ্লিকেট"",""""))"),"figurative ছোট")</f>
        <v>figurative ছোট</v>
      </c>
      <c r="Q2118" s="5" t="str">
        <f t="shared" si="1"/>
        <v>১ আগে দেখো</v>
      </c>
    </row>
    <row r="2119">
      <c r="A2119" s="4">
        <v>7818.0</v>
      </c>
      <c r="B2119" s="2" t="s">
        <v>8193</v>
      </c>
      <c r="C2119" s="2" t="s">
        <v>8194</v>
      </c>
      <c r="D2119" s="2" t="s">
        <v>1438</v>
      </c>
      <c r="E2119" s="2" t="s">
        <v>8195</v>
      </c>
      <c r="F2119" s="2" t="b">
        <v>1</v>
      </c>
      <c r="G2119" s="2" t="b">
        <v>0</v>
      </c>
      <c r="H2119" s="2" t="s">
        <v>37</v>
      </c>
      <c r="I2119" s="2" t="s">
        <v>22</v>
      </c>
      <c r="J2119" s="2" t="s">
        <v>1438</v>
      </c>
      <c r="K2119" s="2" t="s">
        <v>495</v>
      </c>
      <c r="L2119" s="13" t="s">
        <v>496</v>
      </c>
      <c r="M2119" s="2" t="s">
        <v>26</v>
      </c>
      <c r="N2119" s="11" t="s">
        <v>576</v>
      </c>
      <c r="O2119" s="12" t="s">
        <v>53</v>
      </c>
      <c r="P2119" s="5" t="str">
        <f>IFERROR(__xludf.DUMMYFUNCTION("TEXTJOIN("" | "",TRUE,IF(OR(D2119="""",E2119="""",I2119="""",J2119="""",H2119=""""),""ফাঁকা ঘর"",""""),IF(AND(C2119&lt;&gt;"""",D2119&lt;&gt;"""",C2119=D2119),""gloss=figurative"",""""),IF(LEN(D2119)&lt;15,""figurative ছোট"",""""),IF(AND(I2119=""Positive"",REGEXMATCH(H2"&amp;"119,""মূর্খ|ভণ্ড|প্রতার|অলস|লোভ|স্বার্থ|অক্ষম|অযোগ্য|বোকা|কৃপণ|হিংস"")),""valence-target অমিল"",""""),IF(COUNTIF($B:$B,B2119)&gt;1,""ডুপ্লিকেট"",""""))"),"figurative ছোট")</f>
        <v>figurative ছোট</v>
      </c>
      <c r="Q2119" s="5" t="str">
        <f t="shared" si="1"/>
        <v>১ আগে দেখো</v>
      </c>
    </row>
    <row r="2120">
      <c r="A2120" s="4">
        <v>7819.0</v>
      </c>
      <c r="B2120" s="2" t="s">
        <v>8196</v>
      </c>
      <c r="C2120" s="2" t="s">
        <v>8196</v>
      </c>
      <c r="D2120" s="2" t="s">
        <v>1008</v>
      </c>
      <c r="E2120" s="2" t="s">
        <v>8197</v>
      </c>
      <c r="F2120" s="2" t="b">
        <v>1</v>
      </c>
      <c r="G2120" s="2" t="b">
        <v>0</v>
      </c>
      <c r="H2120" s="2" t="s">
        <v>37</v>
      </c>
      <c r="I2120" s="2" t="s">
        <v>49</v>
      </c>
      <c r="J2120" s="2" t="s">
        <v>1008</v>
      </c>
      <c r="K2120" s="2" t="s">
        <v>495</v>
      </c>
      <c r="L2120" s="13" t="s">
        <v>496</v>
      </c>
      <c r="M2120" s="2" t="s">
        <v>26</v>
      </c>
      <c r="N2120" s="11" t="s">
        <v>576</v>
      </c>
      <c r="O2120" s="12" t="s">
        <v>53</v>
      </c>
      <c r="P2120" s="5" t="str">
        <f>IFERROR(__xludf.DUMMYFUNCTION("TEXTJOIN("" | "",TRUE,IF(OR(D2120="""",E2120="""",I2120="""",J2120="""",H2120=""""),""ফাঁকা ঘর"",""""),IF(AND(C2120&lt;&gt;"""",D2120&lt;&gt;"""",C2120=D2120),""gloss=figurative"",""""),IF(LEN(D2120)&lt;15,""figurative ছোট"",""""),IF(AND(I2120=""Positive"",REGEXMATCH(H2"&amp;"120,""মূর্খ|ভণ্ড|প্রতার|অলস|লোভ|স্বার্থ|অক্ষম|অযোগ্য|বোকা|কৃপণ|হিংস"")),""valence-target অমিল"",""""),IF(COUNTIF($B:$B,B2120)&gt;1,""ডুপ্লিকেট"",""""))"),"figurative ছোট")</f>
        <v>figurative ছোট</v>
      </c>
      <c r="Q2120" s="5" t="str">
        <f t="shared" si="1"/>
        <v>১ আগে দেখো</v>
      </c>
    </row>
    <row r="2121">
      <c r="A2121" s="4">
        <v>7820.0</v>
      </c>
      <c r="B2121" s="2" t="s">
        <v>8198</v>
      </c>
      <c r="C2121" s="2" t="s">
        <v>8199</v>
      </c>
      <c r="D2121" s="2" t="s">
        <v>8200</v>
      </c>
      <c r="E2121" s="2" t="s">
        <v>8201</v>
      </c>
      <c r="F2121" s="2" t="b">
        <v>1</v>
      </c>
      <c r="G2121" s="2" t="b">
        <v>0</v>
      </c>
      <c r="H2121" s="2" t="s">
        <v>37</v>
      </c>
      <c r="I2121" s="2" t="s">
        <v>49</v>
      </c>
      <c r="J2121" s="2" t="s">
        <v>4617</v>
      </c>
      <c r="K2121" s="2" t="s">
        <v>495</v>
      </c>
      <c r="L2121" s="13" t="s">
        <v>496</v>
      </c>
      <c r="M2121" s="2" t="s">
        <v>26</v>
      </c>
      <c r="N2121" s="11" t="s">
        <v>576</v>
      </c>
      <c r="O2121" s="12" t="s">
        <v>53</v>
      </c>
      <c r="P2121" s="5" t="str">
        <f>IFERROR(__xludf.DUMMYFUNCTION("TEXTJOIN("" | "",TRUE,IF(OR(D2121="""",E2121="""",I2121="""",J2121="""",H2121=""""),""ফাঁকা ঘর"",""""),IF(AND(C2121&lt;&gt;"""",D2121&lt;&gt;"""",C2121=D2121),""gloss=figurative"",""""),IF(LEN(D2121)&lt;15,""figurative ছোট"",""""),IF(AND(I2121=""Positive"",REGEXMATCH(H2"&amp;"121,""মূর্খ|ভণ্ড|প্রতার|অলস|লোভ|স্বার্থ|অক্ষম|অযোগ্য|বোকা|কৃপণ|হিংস"")),""valence-target অমিল"",""""),IF(COUNTIF($B:$B,B2121)&gt;1,""ডুপ্লিকেট"",""""))"),"figurative ছোট")</f>
        <v>figurative ছোট</v>
      </c>
      <c r="Q2121" s="5" t="str">
        <f t="shared" si="1"/>
        <v>১ আগে দেখো</v>
      </c>
    </row>
    <row r="2122">
      <c r="A2122" s="4">
        <v>7821.0</v>
      </c>
      <c r="B2122" s="2" t="s">
        <v>8202</v>
      </c>
      <c r="C2122" s="2" t="s">
        <v>8203</v>
      </c>
      <c r="D2122" s="2" t="s">
        <v>8204</v>
      </c>
      <c r="E2122" s="2" t="s">
        <v>8205</v>
      </c>
      <c r="F2122" s="2" t="b">
        <v>1</v>
      </c>
      <c r="G2122" s="2" t="b">
        <v>1</v>
      </c>
      <c r="H2122" s="2" t="s">
        <v>1065</v>
      </c>
      <c r="I2122" s="2" t="s">
        <v>22</v>
      </c>
      <c r="J2122" s="2" t="s">
        <v>3327</v>
      </c>
      <c r="K2122" s="2" t="s">
        <v>495</v>
      </c>
      <c r="L2122" s="13" t="s">
        <v>496</v>
      </c>
      <c r="M2122" s="2" t="s">
        <v>26</v>
      </c>
      <c r="N2122" s="11" t="s">
        <v>576</v>
      </c>
      <c r="O2122" s="12" t="s">
        <v>53</v>
      </c>
      <c r="P2122" s="5" t="str">
        <f>IFERROR(__xludf.DUMMYFUNCTION("TEXTJOIN("" | "",TRUE,IF(OR(D2122="""",E2122="""",I2122="""",J2122="""",H2122=""""),""ফাঁকা ঘর"",""""),IF(AND(C2122&lt;&gt;"""",D2122&lt;&gt;"""",C2122=D2122),""gloss=figurative"",""""),IF(LEN(D2122)&lt;15,""figurative ছোট"",""""),IF(AND(I2122=""Positive"",REGEXMATCH(H2"&amp;"122,""মূর্খ|ভণ্ড|প্রতার|অলস|লোভ|স্বার্থ|অক্ষম|অযোগ্য|বোকা|কৃপণ|হিংস"")),""valence-target অমিল"",""""),IF(COUNTIF($B:$B,B2122)&gt;1,""ডুপ্লিকেট"",""""))"),"figurative ছোট")</f>
        <v>figurative ছোট</v>
      </c>
      <c r="Q2122" s="5" t="str">
        <f t="shared" si="1"/>
        <v>১ আগে দেখো</v>
      </c>
    </row>
    <row r="2123">
      <c r="A2123" s="4">
        <v>7822.0</v>
      </c>
      <c r="B2123" s="2" t="s">
        <v>8206</v>
      </c>
      <c r="C2123" s="2" t="s">
        <v>8206</v>
      </c>
      <c r="D2123" s="2" t="s">
        <v>2869</v>
      </c>
      <c r="E2123" s="2" t="s">
        <v>8207</v>
      </c>
      <c r="F2123" s="2" t="b">
        <v>1</v>
      </c>
      <c r="G2123" s="2" t="b">
        <v>0</v>
      </c>
      <c r="H2123" s="2" t="s">
        <v>37</v>
      </c>
      <c r="I2123" s="2" t="s">
        <v>22</v>
      </c>
      <c r="J2123" s="2" t="s">
        <v>2869</v>
      </c>
      <c r="K2123" s="2" t="s">
        <v>495</v>
      </c>
      <c r="L2123" s="13" t="s">
        <v>496</v>
      </c>
      <c r="M2123" s="2" t="s">
        <v>26</v>
      </c>
      <c r="N2123" s="11" t="s">
        <v>576</v>
      </c>
      <c r="O2123" s="12" t="s">
        <v>53</v>
      </c>
      <c r="P2123" s="5" t="str">
        <f>IFERROR(__xludf.DUMMYFUNCTION("TEXTJOIN("" | "",TRUE,IF(OR(D2123="""",E2123="""",I2123="""",J2123="""",H2123=""""),""ফাঁকা ঘর"",""""),IF(AND(C2123&lt;&gt;"""",D2123&lt;&gt;"""",C2123=D2123),""gloss=figurative"",""""),IF(LEN(D2123)&lt;15,""figurative ছোট"",""""),IF(AND(I2123=""Positive"",REGEXMATCH(H2"&amp;"123,""মূর্খ|ভণ্ড|প্রতার|অলস|লোভ|স্বার্থ|অক্ষম|অযোগ্য|বোকা|কৃপণ|হিংস"")),""valence-target অমিল"",""""),IF(COUNTIF($B:$B,B2123)&gt;1,""ডুপ্লিকেট"",""""))"),"figurative ছোট")</f>
        <v>figurative ছোট</v>
      </c>
      <c r="Q2123" s="5" t="str">
        <f t="shared" si="1"/>
        <v>১ আগে দেখো</v>
      </c>
    </row>
    <row r="2124">
      <c r="A2124" s="4">
        <v>7823.0</v>
      </c>
      <c r="B2124" s="2" t="s">
        <v>8208</v>
      </c>
      <c r="C2124" s="2" t="s">
        <v>8209</v>
      </c>
      <c r="D2124" s="2" t="s">
        <v>1397</v>
      </c>
      <c r="E2124" s="2" t="s">
        <v>8210</v>
      </c>
      <c r="F2124" s="2" t="b">
        <v>1</v>
      </c>
      <c r="G2124" s="2" t="b">
        <v>0</v>
      </c>
      <c r="H2124" s="2" t="s">
        <v>37</v>
      </c>
      <c r="I2124" s="2" t="s">
        <v>22</v>
      </c>
      <c r="J2124" s="2" t="s">
        <v>1397</v>
      </c>
      <c r="K2124" s="2" t="s">
        <v>495</v>
      </c>
      <c r="L2124" s="13" t="s">
        <v>496</v>
      </c>
      <c r="M2124" s="2" t="s">
        <v>26</v>
      </c>
      <c r="N2124" s="11" t="s">
        <v>576</v>
      </c>
      <c r="O2124" s="12" t="s">
        <v>53</v>
      </c>
      <c r="P2124" s="5" t="str">
        <f>IFERROR(__xludf.DUMMYFUNCTION("TEXTJOIN("" | "",TRUE,IF(OR(D2124="""",E2124="""",I2124="""",J2124="""",H2124=""""),""ফাঁকা ঘর"",""""),IF(AND(C2124&lt;&gt;"""",D2124&lt;&gt;"""",C2124=D2124),""gloss=figurative"",""""),IF(LEN(D2124)&lt;15,""figurative ছোট"",""""),IF(AND(I2124=""Positive"",REGEXMATCH(H2"&amp;"124,""মূর্খ|ভণ্ড|প্রতার|অলস|লোভ|স্বার্থ|অক্ষম|অযোগ্য|বোকা|কৃপণ|হিংস"")),""valence-target অমিল"",""""),IF(COUNTIF($B:$B,B2124)&gt;1,""ডুপ্লিকেট"",""""))"),"figurative ছোট")</f>
        <v>figurative ছোট</v>
      </c>
      <c r="Q2124" s="5" t="str">
        <f t="shared" si="1"/>
        <v>১ আগে দেখো</v>
      </c>
    </row>
    <row r="2125">
      <c r="A2125" s="4">
        <v>7824.0</v>
      </c>
      <c r="B2125" s="2" t="s">
        <v>8211</v>
      </c>
      <c r="C2125" s="2" t="s">
        <v>8212</v>
      </c>
      <c r="D2125" s="2" t="s">
        <v>2882</v>
      </c>
      <c r="E2125" s="2" t="s">
        <v>8213</v>
      </c>
      <c r="F2125" s="2" t="b">
        <v>1</v>
      </c>
      <c r="G2125" s="2" t="b">
        <v>0</v>
      </c>
      <c r="H2125" s="2" t="s">
        <v>756</v>
      </c>
      <c r="I2125" s="2" t="s">
        <v>22</v>
      </c>
      <c r="J2125" s="2" t="s">
        <v>1630</v>
      </c>
      <c r="K2125" s="2" t="s">
        <v>495</v>
      </c>
      <c r="L2125" s="13" t="s">
        <v>496</v>
      </c>
      <c r="M2125" s="2" t="s">
        <v>26</v>
      </c>
      <c r="N2125" s="11" t="s">
        <v>576</v>
      </c>
      <c r="O2125" s="12" t="s">
        <v>53</v>
      </c>
      <c r="P2125" s="5" t="str">
        <f>IFERROR(__xludf.DUMMYFUNCTION("TEXTJOIN("" | "",TRUE,IF(OR(D2125="""",E2125="""",I2125="""",J2125="""",H2125=""""),""ফাঁকা ঘর"",""""),IF(AND(C2125&lt;&gt;"""",D2125&lt;&gt;"""",C2125=D2125),""gloss=figurative"",""""),IF(LEN(D2125)&lt;15,""figurative ছোট"",""""),IF(AND(I2125=""Positive"",REGEXMATCH(H2"&amp;"125,""মূর্খ|ভণ্ড|প্রতার|অলস|লোভ|স্বার্থ|অক্ষম|অযোগ্য|বোকা|কৃপণ|হিংস"")),""valence-target অমিল"",""""),IF(COUNTIF($B:$B,B2125)&gt;1,""ডুপ্লিকেট"",""""))"),"figurative ছোট")</f>
        <v>figurative ছোট</v>
      </c>
      <c r="Q2125" s="5" t="str">
        <f t="shared" si="1"/>
        <v>১ আগে দেখো</v>
      </c>
    </row>
    <row r="2126">
      <c r="A2126" s="4">
        <v>7825.0</v>
      </c>
      <c r="B2126" s="2" t="s">
        <v>8214</v>
      </c>
      <c r="C2126" s="2" t="s">
        <v>8215</v>
      </c>
      <c r="D2126" s="2" t="s">
        <v>2882</v>
      </c>
      <c r="E2126" s="2" t="s">
        <v>8216</v>
      </c>
      <c r="F2126" s="2" t="b">
        <v>1</v>
      </c>
      <c r="G2126" s="2" t="b">
        <v>0</v>
      </c>
      <c r="H2126" s="2" t="s">
        <v>37</v>
      </c>
      <c r="I2126" s="2" t="s">
        <v>22</v>
      </c>
      <c r="J2126" s="2" t="s">
        <v>340</v>
      </c>
      <c r="K2126" s="2" t="s">
        <v>495</v>
      </c>
      <c r="L2126" s="13" t="s">
        <v>496</v>
      </c>
      <c r="M2126" s="2" t="s">
        <v>26</v>
      </c>
      <c r="N2126" s="11" t="s">
        <v>576</v>
      </c>
      <c r="O2126" s="12" t="s">
        <v>53</v>
      </c>
      <c r="P2126" s="5" t="str">
        <f>IFERROR(__xludf.DUMMYFUNCTION("TEXTJOIN("" | "",TRUE,IF(OR(D2126="""",E2126="""",I2126="""",J2126="""",H2126=""""),""ফাঁকা ঘর"",""""),IF(AND(C2126&lt;&gt;"""",D2126&lt;&gt;"""",C2126=D2126),""gloss=figurative"",""""),IF(LEN(D2126)&lt;15,""figurative ছোট"",""""),IF(AND(I2126=""Positive"",REGEXMATCH(H2"&amp;"126,""মূর্খ|ভণ্ড|প্রতার|অলস|লোভ|স্বার্থ|অক্ষম|অযোগ্য|বোকা|কৃপণ|হিংস"")),""valence-target অমিল"",""""),IF(COUNTIF($B:$B,B2126)&gt;1,""ডুপ্লিকেট"",""""))"),"figurative ছোট")</f>
        <v>figurative ছোট</v>
      </c>
      <c r="Q2126" s="5" t="str">
        <f t="shared" si="1"/>
        <v>১ আগে দেখো</v>
      </c>
    </row>
    <row r="2127">
      <c r="A2127" s="4">
        <v>7826.0</v>
      </c>
      <c r="B2127" s="2" t="s">
        <v>8217</v>
      </c>
      <c r="C2127" s="2" t="s">
        <v>8218</v>
      </c>
      <c r="D2127" s="2" t="s">
        <v>340</v>
      </c>
      <c r="E2127" s="2" t="s">
        <v>8219</v>
      </c>
      <c r="F2127" s="2" t="b">
        <v>1</v>
      </c>
      <c r="G2127" s="2" t="b">
        <v>0</v>
      </c>
      <c r="H2127" s="2" t="s">
        <v>5587</v>
      </c>
      <c r="I2127" s="2" t="s">
        <v>22</v>
      </c>
      <c r="J2127" s="2" t="s">
        <v>340</v>
      </c>
      <c r="K2127" s="2" t="s">
        <v>495</v>
      </c>
      <c r="L2127" s="13" t="s">
        <v>496</v>
      </c>
      <c r="M2127" s="2" t="s">
        <v>26</v>
      </c>
      <c r="N2127" s="11" t="s">
        <v>576</v>
      </c>
      <c r="O2127" s="12" t="s">
        <v>53</v>
      </c>
      <c r="P2127" s="5" t="str">
        <f>IFERROR(__xludf.DUMMYFUNCTION("TEXTJOIN("" | "",TRUE,IF(OR(D2127="""",E2127="""",I2127="""",J2127="""",H2127=""""),""ফাঁকা ঘর"",""""),IF(AND(C2127&lt;&gt;"""",D2127&lt;&gt;"""",C2127=D2127),""gloss=figurative"",""""),IF(LEN(D2127)&lt;15,""figurative ছোট"",""""),IF(AND(I2127=""Positive"",REGEXMATCH(H2"&amp;"127,""মূর্খ|ভণ্ড|প্রতার|অলস|লোভ|স্বার্থ|অক্ষম|অযোগ্য|বোকা|কৃপণ|হিংস"")),""valence-target অমিল"",""""),IF(COUNTIF($B:$B,B2127)&gt;1,""ডুপ্লিকেট"",""""))"),"figurative ছোট")</f>
        <v>figurative ছোট</v>
      </c>
      <c r="Q2127" s="5" t="str">
        <f t="shared" si="1"/>
        <v>১ আগে দেখো</v>
      </c>
    </row>
    <row r="2128">
      <c r="A2128" s="4">
        <v>7829.0</v>
      </c>
      <c r="B2128" s="2" t="s">
        <v>8220</v>
      </c>
      <c r="C2128" s="2" t="s">
        <v>8221</v>
      </c>
      <c r="D2128" s="2" t="s">
        <v>1106</v>
      </c>
      <c r="E2128" s="2" t="s">
        <v>8222</v>
      </c>
      <c r="F2128" s="2" t="b">
        <v>1</v>
      </c>
      <c r="G2128" s="2" t="b">
        <v>1</v>
      </c>
      <c r="H2128" s="2" t="s">
        <v>1106</v>
      </c>
      <c r="I2128" s="2" t="s">
        <v>22</v>
      </c>
      <c r="J2128" s="2" t="s">
        <v>1315</v>
      </c>
      <c r="K2128" s="2" t="s">
        <v>495</v>
      </c>
      <c r="L2128" s="13" t="s">
        <v>496</v>
      </c>
      <c r="M2128" s="2" t="s">
        <v>26</v>
      </c>
      <c r="N2128" s="11" t="s">
        <v>576</v>
      </c>
      <c r="O2128" s="12" t="s">
        <v>53</v>
      </c>
      <c r="P2128" s="5" t="str">
        <f>IFERROR(__xludf.DUMMYFUNCTION("TEXTJOIN("" | "",TRUE,IF(OR(D2128="""",E2128="""",I2128="""",J2128="""",H2128=""""),""ফাঁকা ঘর"",""""),IF(AND(C2128&lt;&gt;"""",D2128&lt;&gt;"""",C2128=D2128),""gloss=figurative"",""""),IF(LEN(D2128)&lt;15,""figurative ছোট"",""""),IF(AND(I2128=""Positive"",REGEXMATCH(H2"&amp;"128,""মূর্খ|ভণ্ড|প্রতার|অলস|লোভ|স্বার্থ|অক্ষম|অযোগ্য|বোকা|কৃপণ|হিংস"")),""valence-target অমিল"",""""),IF(COUNTIF($B:$B,B2128)&gt;1,""ডুপ্লিকেট"",""""))"),"figurative ছোট")</f>
        <v>figurative ছোট</v>
      </c>
      <c r="Q2128" s="5" t="str">
        <f t="shared" si="1"/>
        <v>১ আগে দেখো</v>
      </c>
    </row>
    <row r="2129">
      <c r="A2129" s="4">
        <v>7830.0</v>
      </c>
      <c r="B2129" s="2" t="s">
        <v>8223</v>
      </c>
      <c r="C2129" s="2" t="s">
        <v>8223</v>
      </c>
      <c r="D2129" s="2" t="s">
        <v>1484</v>
      </c>
      <c r="E2129" s="2" t="s">
        <v>8224</v>
      </c>
      <c r="F2129" s="2" t="b">
        <v>1</v>
      </c>
      <c r="G2129" s="2" t="b">
        <v>0</v>
      </c>
      <c r="H2129" s="2" t="s">
        <v>1484</v>
      </c>
      <c r="I2129" s="2" t="s">
        <v>22</v>
      </c>
      <c r="J2129" s="2" t="s">
        <v>990</v>
      </c>
      <c r="K2129" s="2" t="s">
        <v>495</v>
      </c>
      <c r="L2129" s="13" t="s">
        <v>496</v>
      </c>
      <c r="M2129" s="2" t="s">
        <v>26</v>
      </c>
      <c r="N2129" s="11" t="s">
        <v>576</v>
      </c>
      <c r="O2129" s="12" t="s">
        <v>53</v>
      </c>
      <c r="P2129" s="5" t="str">
        <f>IFERROR(__xludf.DUMMYFUNCTION("TEXTJOIN("" | "",TRUE,IF(OR(D2129="""",E2129="""",I2129="""",J2129="""",H2129=""""),""ফাঁকা ঘর"",""""),IF(AND(C2129&lt;&gt;"""",D2129&lt;&gt;"""",C2129=D2129),""gloss=figurative"",""""),IF(LEN(D2129)&lt;15,""figurative ছোট"",""""),IF(AND(I2129=""Positive"",REGEXMATCH(H2"&amp;"129,""মূর্খ|ভণ্ড|প্রতার|অলস|লোভ|স্বার্থ|অক্ষম|অযোগ্য|বোকা|কৃপণ|হিংস"")),""valence-target অমিল"",""""),IF(COUNTIF($B:$B,B2129)&gt;1,""ডুপ্লিকেট"",""""))"),"figurative ছোট")</f>
        <v>figurative ছোট</v>
      </c>
      <c r="Q2129" s="5" t="str">
        <f t="shared" si="1"/>
        <v>১ আগে দেখো</v>
      </c>
    </row>
    <row r="2130">
      <c r="A2130" s="4">
        <v>7831.0</v>
      </c>
      <c r="B2130" s="2" t="s">
        <v>8225</v>
      </c>
      <c r="C2130" s="2" t="s">
        <v>8226</v>
      </c>
      <c r="D2130" s="2" t="s">
        <v>8227</v>
      </c>
      <c r="E2130" s="2" t="s">
        <v>8228</v>
      </c>
      <c r="F2130" s="2" t="b">
        <v>1</v>
      </c>
      <c r="G2130" s="2" t="b">
        <v>0</v>
      </c>
      <c r="H2130" s="2" t="s">
        <v>37</v>
      </c>
      <c r="I2130" s="2" t="s">
        <v>22</v>
      </c>
      <c r="J2130" s="2" t="s">
        <v>1320</v>
      </c>
      <c r="K2130" s="2" t="s">
        <v>495</v>
      </c>
      <c r="L2130" s="13" t="s">
        <v>496</v>
      </c>
      <c r="M2130" s="2" t="s">
        <v>26</v>
      </c>
      <c r="N2130" s="11" t="s">
        <v>576</v>
      </c>
      <c r="O2130" s="12" t="s">
        <v>53</v>
      </c>
      <c r="P2130" s="5" t="str">
        <f>IFERROR(__xludf.DUMMYFUNCTION("TEXTJOIN("" | "",TRUE,IF(OR(D2130="""",E2130="""",I2130="""",J2130="""",H2130=""""),""ফাঁকা ঘর"",""""),IF(AND(C2130&lt;&gt;"""",D2130&lt;&gt;"""",C2130=D2130),""gloss=figurative"",""""),IF(LEN(D2130)&lt;15,""figurative ছোট"",""""),IF(AND(I2130=""Positive"",REGEXMATCH(H2"&amp;"130,""মূর্খ|ভণ্ড|প্রতার|অলস|লোভ|স্বার্থ|অক্ষম|অযোগ্য|বোকা|কৃপণ|হিংস"")),""valence-target অমিল"",""""),IF(COUNTIF($B:$B,B2130)&gt;1,""ডুপ্লিকেট"",""""))"),"figurative ছোট")</f>
        <v>figurative ছোট</v>
      </c>
      <c r="Q2130" s="5" t="str">
        <f t="shared" si="1"/>
        <v>১ আগে দেখো</v>
      </c>
    </row>
    <row r="2131">
      <c r="A2131" s="4">
        <v>7832.0</v>
      </c>
      <c r="B2131" s="2" t="s">
        <v>8229</v>
      </c>
      <c r="C2131" s="2" t="s">
        <v>8229</v>
      </c>
      <c r="D2131" s="2" t="s">
        <v>8230</v>
      </c>
      <c r="E2131" s="2" t="s">
        <v>8231</v>
      </c>
      <c r="F2131" s="2" t="b">
        <v>1</v>
      </c>
      <c r="G2131" s="2" t="b">
        <v>0</v>
      </c>
      <c r="H2131" s="2" t="s">
        <v>37</v>
      </c>
      <c r="I2131" s="2" t="s">
        <v>22</v>
      </c>
      <c r="J2131" s="2" t="s">
        <v>848</v>
      </c>
      <c r="K2131" s="2" t="s">
        <v>495</v>
      </c>
      <c r="L2131" s="13" t="s">
        <v>496</v>
      </c>
      <c r="M2131" s="2" t="s">
        <v>26</v>
      </c>
      <c r="N2131" s="11" t="s">
        <v>576</v>
      </c>
      <c r="O2131" s="12" t="s">
        <v>53</v>
      </c>
      <c r="P2131" s="5" t="str">
        <f>IFERROR(__xludf.DUMMYFUNCTION("TEXTJOIN("" | "",TRUE,IF(OR(D2131="""",E2131="""",I2131="""",J2131="""",H2131=""""),""ফাঁকা ঘর"",""""),IF(AND(C2131&lt;&gt;"""",D2131&lt;&gt;"""",C2131=D2131),""gloss=figurative"",""""),IF(LEN(D2131)&lt;15,""figurative ছোট"",""""),IF(AND(I2131=""Positive"",REGEXMATCH(H2"&amp;"131,""মূর্খ|ভণ্ড|প্রতার|অলস|লোভ|স্বার্থ|অক্ষম|অযোগ্য|বোকা|কৃপণ|হিংস"")),""valence-target অমিল"",""""),IF(COUNTIF($B:$B,B2131)&gt;1,""ডুপ্লিকেট"",""""))"),"figurative ছোট")</f>
        <v>figurative ছোট</v>
      </c>
      <c r="Q2131" s="5" t="str">
        <f t="shared" si="1"/>
        <v>১ আগে দেখো</v>
      </c>
    </row>
    <row r="2132">
      <c r="A2132" s="4">
        <v>7833.0</v>
      </c>
      <c r="B2132" s="2" t="s">
        <v>8232</v>
      </c>
      <c r="C2132" s="2" t="s">
        <v>8233</v>
      </c>
      <c r="D2132" s="2" t="s">
        <v>4688</v>
      </c>
      <c r="E2132" s="2" t="s">
        <v>8234</v>
      </c>
      <c r="F2132" s="2" t="b">
        <v>1</v>
      </c>
      <c r="G2132" s="2" t="b">
        <v>0</v>
      </c>
      <c r="H2132" s="2" t="s">
        <v>37</v>
      </c>
      <c r="I2132" s="2" t="s">
        <v>22</v>
      </c>
      <c r="J2132" s="2" t="s">
        <v>4688</v>
      </c>
      <c r="K2132" s="2" t="s">
        <v>495</v>
      </c>
      <c r="L2132" s="13" t="s">
        <v>496</v>
      </c>
      <c r="M2132" s="2" t="s">
        <v>26</v>
      </c>
      <c r="N2132" s="11" t="s">
        <v>576</v>
      </c>
      <c r="O2132" s="12" t="s">
        <v>53</v>
      </c>
      <c r="P2132" s="5" t="str">
        <f>IFERROR(__xludf.DUMMYFUNCTION("TEXTJOIN("" | "",TRUE,IF(OR(D2132="""",E2132="""",I2132="""",J2132="""",H2132=""""),""ফাঁকা ঘর"",""""),IF(AND(C2132&lt;&gt;"""",D2132&lt;&gt;"""",C2132=D2132),""gloss=figurative"",""""),IF(LEN(D2132)&lt;15,""figurative ছোট"",""""),IF(AND(I2132=""Positive"",REGEXMATCH(H2"&amp;"132,""মূর্খ|ভণ্ড|প্রতার|অলস|লোভ|স্বার্থ|অক্ষম|অযোগ্য|বোকা|কৃপণ|হিংস"")),""valence-target অমিল"",""""),IF(COUNTIF($B:$B,B2132)&gt;1,""ডুপ্লিকেট"",""""))"),"figurative ছোট")</f>
        <v>figurative ছোট</v>
      </c>
      <c r="Q2132" s="5" t="str">
        <f t="shared" si="1"/>
        <v>১ আগে দেখো</v>
      </c>
    </row>
    <row r="2133">
      <c r="A2133" s="4">
        <v>7834.0</v>
      </c>
      <c r="B2133" s="2" t="s">
        <v>8235</v>
      </c>
      <c r="C2133" s="2" t="s">
        <v>8236</v>
      </c>
      <c r="D2133" s="2" t="s">
        <v>1607</v>
      </c>
      <c r="E2133" s="2" t="s">
        <v>8237</v>
      </c>
      <c r="F2133" s="2" t="b">
        <v>1</v>
      </c>
      <c r="G2133" s="2" t="b">
        <v>0</v>
      </c>
      <c r="H2133" s="2" t="s">
        <v>4349</v>
      </c>
      <c r="I2133" s="2" t="s">
        <v>22</v>
      </c>
      <c r="J2133" s="2" t="s">
        <v>1607</v>
      </c>
      <c r="K2133" s="2" t="s">
        <v>495</v>
      </c>
      <c r="L2133" s="13" t="s">
        <v>496</v>
      </c>
      <c r="M2133" s="2" t="s">
        <v>26</v>
      </c>
      <c r="N2133" s="11" t="s">
        <v>576</v>
      </c>
      <c r="O2133" s="12" t="s">
        <v>53</v>
      </c>
      <c r="P2133" s="5" t="str">
        <f>IFERROR(__xludf.DUMMYFUNCTION("TEXTJOIN("" | "",TRUE,IF(OR(D2133="""",E2133="""",I2133="""",J2133="""",H2133=""""),""ফাঁকা ঘর"",""""),IF(AND(C2133&lt;&gt;"""",D2133&lt;&gt;"""",C2133=D2133),""gloss=figurative"",""""),IF(LEN(D2133)&lt;15,""figurative ছোট"",""""),IF(AND(I2133=""Positive"",REGEXMATCH(H2"&amp;"133,""মূর্খ|ভণ্ড|প্রতার|অলস|লোভ|স্বার্থ|অক্ষম|অযোগ্য|বোকা|কৃপণ|হিংস"")),""valence-target অমিল"",""""),IF(COUNTIF($B:$B,B2133)&gt;1,""ডুপ্লিকেট"",""""))"),"figurative ছোট")</f>
        <v>figurative ছোট</v>
      </c>
      <c r="Q2133" s="5" t="str">
        <f t="shared" si="1"/>
        <v>১ আগে দেখো</v>
      </c>
    </row>
    <row r="2134">
      <c r="A2134" s="4">
        <v>7835.0</v>
      </c>
      <c r="B2134" s="2" t="s">
        <v>8238</v>
      </c>
      <c r="C2134" s="2" t="s">
        <v>8239</v>
      </c>
      <c r="D2134" s="2" t="s">
        <v>5048</v>
      </c>
      <c r="E2134" s="2" t="s">
        <v>5049</v>
      </c>
      <c r="F2134" s="2" t="b">
        <v>1</v>
      </c>
      <c r="G2134" s="2" t="b">
        <v>0</v>
      </c>
      <c r="H2134" s="2" t="s">
        <v>37</v>
      </c>
      <c r="I2134" s="2" t="s">
        <v>32</v>
      </c>
      <c r="J2134" s="2" t="s">
        <v>176</v>
      </c>
      <c r="K2134" s="2" t="s">
        <v>495</v>
      </c>
      <c r="L2134" s="13" t="s">
        <v>496</v>
      </c>
      <c r="M2134" s="2" t="s">
        <v>26</v>
      </c>
      <c r="N2134" s="11" t="s">
        <v>576</v>
      </c>
      <c r="O2134" s="12" t="s">
        <v>53</v>
      </c>
      <c r="P2134" s="5" t="str">
        <f>IFERROR(__xludf.DUMMYFUNCTION("TEXTJOIN("" | "",TRUE,IF(OR(D2134="""",E2134="""",I2134="""",J2134="""",H2134=""""),""ফাঁকা ঘর"",""""),IF(AND(C2134&lt;&gt;"""",D2134&lt;&gt;"""",C2134=D2134),""gloss=figurative"",""""),IF(LEN(D2134)&lt;15,""figurative ছোট"",""""),IF(AND(I2134=""Positive"",REGEXMATCH(H2"&amp;"134,""মূর্খ|ভণ্ড|প্রতার|অলস|লোভ|স্বার্থ|অক্ষম|অযোগ্য|বোকা|কৃপণ|হিংস"")),""valence-target অমিল"",""""),IF(COUNTIF($B:$B,B2134)&gt;1,""ডুপ্লিকেট"",""""))"),"figurative ছোট")</f>
        <v>figurative ছোট</v>
      </c>
      <c r="Q2134" s="5" t="str">
        <f t="shared" si="1"/>
        <v>১ আগে দেখো</v>
      </c>
    </row>
    <row r="2135">
      <c r="A2135" s="4">
        <v>7836.0</v>
      </c>
      <c r="B2135" s="2" t="s">
        <v>8240</v>
      </c>
      <c r="C2135" s="2" t="s">
        <v>8240</v>
      </c>
      <c r="D2135" s="2" t="s">
        <v>8241</v>
      </c>
      <c r="E2135" s="2" t="s">
        <v>8242</v>
      </c>
      <c r="F2135" s="2" t="b">
        <v>1</v>
      </c>
      <c r="G2135" s="2" t="b">
        <v>0</v>
      </c>
      <c r="H2135" s="2" t="s">
        <v>37</v>
      </c>
      <c r="I2135" s="2" t="s">
        <v>22</v>
      </c>
      <c r="J2135" s="2" t="s">
        <v>848</v>
      </c>
      <c r="K2135" s="2" t="s">
        <v>495</v>
      </c>
      <c r="L2135" s="13" t="s">
        <v>496</v>
      </c>
      <c r="M2135" s="2" t="s">
        <v>26</v>
      </c>
      <c r="N2135" s="11" t="s">
        <v>576</v>
      </c>
      <c r="O2135" s="12" t="s">
        <v>53</v>
      </c>
      <c r="P2135" s="5" t="str">
        <f>IFERROR(__xludf.DUMMYFUNCTION("TEXTJOIN("" | "",TRUE,IF(OR(D2135="""",E2135="""",I2135="""",J2135="""",H2135=""""),""ফাঁকা ঘর"",""""),IF(AND(C2135&lt;&gt;"""",D2135&lt;&gt;"""",C2135=D2135),""gloss=figurative"",""""),IF(LEN(D2135)&lt;15,""figurative ছোট"",""""),IF(AND(I2135=""Positive"",REGEXMATCH(H2"&amp;"135,""মূর্খ|ভণ্ড|প্রতার|অলস|লোভ|স্বার্থ|অক্ষম|অযোগ্য|বোকা|কৃপণ|হিংস"")),""valence-target অমিল"",""""),IF(COUNTIF($B:$B,B2135)&gt;1,""ডুপ্লিকেট"",""""))"),"figurative ছোট")</f>
        <v>figurative ছোট</v>
      </c>
      <c r="Q2135" s="5" t="str">
        <f t="shared" si="1"/>
        <v>১ আগে দেখো</v>
      </c>
    </row>
    <row r="2136">
      <c r="A2136" s="4">
        <v>7838.0</v>
      </c>
      <c r="B2136" s="2" t="s">
        <v>8243</v>
      </c>
      <c r="C2136" s="2" t="s">
        <v>8243</v>
      </c>
      <c r="D2136" s="2" t="s">
        <v>3761</v>
      </c>
      <c r="E2136" s="2" t="s">
        <v>8244</v>
      </c>
      <c r="F2136" s="2" t="b">
        <v>1</v>
      </c>
      <c r="G2136" s="2" t="b">
        <v>0</v>
      </c>
      <c r="H2136" s="2" t="s">
        <v>37</v>
      </c>
      <c r="I2136" s="2" t="s">
        <v>49</v>
      </c>
      <c r="J2136" s="2" t="s">
        <v>868</v>
      </c>
      <c r="K2136" s="2" t="s">
        <v>495</v>
      </c>
      <c r="L2136" s="13" t="s">
        <v>496</v>
      </c>
      <c r="M2136" s="2" t="s">
        <v>26</v>
      </c>
      <c r="N2136" s="11" t="s">
        <v>576</v>
      </c>
      <c r="O2136" s="12" t="s">
        <v>53</v>
      </c>
      <c r="P2136" s="5" t="str">
        <f>IFERROR(__xludf.DUMMYFUNCTION("TEXTJOIN("" | "",TRUE,IF(OR(D2136="""",E2136="""",I2136="""",J2136="""",H2136=""""),""ফাঁকা ঘর"",""""),IF(AND(C2136&lt;&gt;"""",D2136&lt;&gt;"""",C2136=D2136),""gloss=figurative"",""""),IF(LEN(D2136)&lt;15,""figurative ছোট"",""""),IF(AND(I2136=""Positive"",REGEXMATCH(H2"&amp;"136,""মূর্খ|ভণ্ড|প্রতার|অলস|লোভ|স্বার্থ|অক্ষম|অযোগ্য|বোকা|কৃপণ|হিংস"")),""valence-target অমিল"",""""),IF(COUNTIF($B:$B,B2136)&gt;1,""ডুপ্লিকেট"",""""))"),"figurative ছোট")</f>
        <v>figurative ছোট</v>
      </c>
      <c r="Q2136" s="5" t="str">
        <f t="shared" si="1"/>
        <v>১ আগে দেখো</v>
      </c>
    </row>
    <row r="2137">
      <c r="A2137" s="4">
        <v>7839.0</v>
      </c>
      <c r="B2137" s="2" t="s">
        <v>8245</v>
      </c>
      <c r="C2137" s="2" t="s">
        <v>8246</v>
      </c>
      <c r="D2137" s="2" t="s">
        <v>1334</v>
      </c>
      <c r="E2137" s="2" t="s">
        <v>8247</v>
      </c>
      <c r="F2137" s="2" t="b">
        <v>1</v>
      </c>
      <c r="G2137" s="2" t="b">
        <v>0</v>
      </c>
      <c r="H2137" s="2" t="s">
        <v>1334</v>
      </c>
      <c r="I2137" s="2" t="s">
        <v>22</v>
      </c>
      <c r="J2137" s="2" t="s">
        <v>820</v>
      </c>
      <c r="K2137" s="2" t="s">
        <v>495</v>
      </c>
      <c r="L2137" s="13" t="s">
        <v>496</v>
      </c>
      <c r="M2137" s="2" t="s">
        <v>26</v>
      </c>
      <c r="N2137" s="11" t="s">
        <v>576</v>
      </c>
      <c r="O2137" s="12" t="s">
        <v>53</v>
      </c>
      <c r="P2137" s="5" t="str">
        <f>IFERROR(__xludf.DUMMYFUNCTION("TEXTJOIN("" | "",TRUE,IF(OR(D2137="""",E2137="""",I2137="""",J2137="""",H2137=""""),""ফাঁকা ঘর"",""""),IF(AND(C2137&lt;&gt;"""",D2137&lt;&gt;"""",C2137=D2137),""gloss=figurative"",""""),IF(LEN(D2137)&lt;15,""figurative ছোট"",""""),IF(AND(I2137=""Positive"",REGEXMATCH(H2"&amp;"137,""মূর্খ|ভণ্ড|প্রতার|অলস|লোভ|স্বার্থ|অক্ষম|অযোগ্য|বোকা|কৃপণ|হিংস"")),""valence-target অমিল"",""""),IF(COUNTIF($B:$B,B2137)&gt;1,""ডুপ্লিকেট"",""""))"),"figurative ছোট")</f>
        <v>figurative ছোট</v>
      </c>
      <c r="Q2137" s="5" t="str">
        <f t="shared" si="1"/>
        <v>১ আগে দেখো</v>
      </c>
    </row>
    <row r="2138">
      <c r="A2138" s="4">
        <v>7840.0</v>
      </c>
      <c r="B2138" s="2" t="s">
        <v>8248</v>
      </c>
      <c r="C2138" s="2" t="s">
        <v>8249</v>
      </c>
      <c r="D2138" s="2" t="s">
        <v>1334</v>
      </c>
      <c r="E2138" s="2" t="s">
        <v>8250</v>
      </c>
      <c r="F2138" s="2" t="b">
        <v>1</v>
      </c>
      <c r="G2138" s="2" t="b">
        <v>0</v>
      </c>
      <c r="H2138" s="2" t="s">
        <v>1334</v>
      </c>
      <c r="I2138" s="2" t="s">
        <v>22</v>
      </c>
      <c r="J2138" s="2" t="s">
        <v>820</v>
      </c>
      <c r="K2138" s="2" t="s">
        <v>495</v>
      </c>
      <c r="L2138" s="13" t="s">
        <v>496</v>
      </c>
      <c r="M2138" s="2" t="s">
        <v>26</v>
      </c>
      <c r="N2138" s="11" t="s">
        <v>576</v>
      </c>
      <c r="O2138" s="12" t="s">
        <v>53</v>
      </c>
      <c r="P2138" s="5" t="str">
        <f>IFERROR(__xludf.DUMMYFUNCTION("TEXTJOIN("" | "",TRUE,IF(OR(D2138="""",E2138="""",I2138="""",J2138="""",H2138=""""),""ফাঁকা ঘর"",""""),IF(AND(C2138&lt;&gt;"""",D2138&lt;&gt;"""",C2138=D2138),""gloss=figurative"",""""),IF(LEN(D2138)&lt;15,""figurative ছোট"",""""),IF(AND(I2138=""Positive"",REGEXMATCH(H2"&amp;"138,""মূর্খ|ভণ্ড|প্রতার|অলস|লোভ|স্বার্থ|অক্ষম|অযোগ্য|বোকা|কৃপণ|হিংস"")),""valence-target অমিল"",""""),IF(COUNTIF($B:$B,B2138)&gt;1,""ডুপ্লিকেট"",""""))"),"figurative ছোট")</f>
        <v>figurative ছোট</v>
      </c>
      <c r="Q2138" s="5" t="str">
        <f t="shared" si="1"/>
        <v>১ আগে দেখো</v>
      </c>
    </row>
    <row r="2139">
      <c r="A2139" s="4">
        <v>7841.0</v>
      </c>
      <c r="B2139" s="2" t="s">
        <v>8251</v>
      </c>
      <c r="C2139" s="2" t="s">
        <v>8252</v>
      </c>
      <c r="D2139" s="2" t="s">
        <v>739</v>
      </c>
      <c r="E2139" s="2" t="s">
        <v>8253</v>
      </c>
      <c r="F2139" s="2" t="b">
        <v>1</v>
      </c>
      <c r="G2139" s="2" t="b">
        <v>0</v>
      </c>
      <c r="H2139" s="2" t="s">
        <v>37</v>
      </c>
      <c r="I2139" s="2" t="s">
        <v>32</v>
      </c>
      <c r="J2139" s="2" t="s">
        <v>739</v>
      </c>
      <c r="K2139" s="2" t="s">
        <v>495</v>
      </c>
      <c r="L2139" s="13" t="s">
        <v>496</v>
      </c>
      <c r="M2139" s="2" t="s">
        <v>26</v>
      </c>
      <c r="N2139" s="11" t="s">
        <v>576</v>
      </c>
      <c r="O2139" s="12" t="s">
        <v>53</v>
      </c>
      <c r="P2139" s="5" t="str">
        <f>IFERROR(__xludf.DUMMYFUNCTION("TEXTJOIN("" | "",TRUE,IF(OR(D2139="""",E2139="""",I2139="""",J2139="""",H2139=""""),""ফাঁকা ঘর"",""""),IF(AND(C2139&lt;&gt;"""",D2139&lt;&gt;"""",C2139=D2139),""gloss=figurative"",""""),IF(LEN(D2139)&lt;15,""figurative ছোট"",""""),IF(AND(I2139=""Positive"",REGEXMATCH(H2"&amp;"139,""মূর্খ|ভণ্ড|প্রতার|অলস|লোভ|স্বার্থ|অক্ষম|অযোগ্য|বোকা|কৃপণ|হিংস"")),""valence-target অমিল"",""""),IF(COUNTIF($B:$B,B2139)&gt;1,""ডুপ্লিকেট"",""""))"),"figurative ছোট")</f>
        <v>figurative ছোট</v>
      </c>
      <c r="Q2139" s="5" t="str">
        <f t="shared" si="1"/>
        <v>১ আগে দেখো</v>
      </c>
    </row>
    <row r="2140">
      <c r="A2140" s="4">
        <v>7842.0</v>
      </c>
      <c r="B2140" s="2" t="s">
        <v>8254</v>
      </c>
      <c r="C2140" s="2" t="s">
        <v>8254</v>
      </c>
      <c r="D2140" s="2" t="s">
        <v>2980</v>
      </c>
      <c r="E2140" s="2" t="s">
        <v>8255</v>
      </c>
      <c r="F2140" s="2" t="b">
        <v>1</v>
      </c>
      <c r="G2140" s="2" t="b">
        <v>0</v>
      </c>
      <c r="H2140" s="2" t="s">
        <v>37</v>
      </c>
      <c r="I2140" s="2" t="s">
        <v>49</v>
      </c>
      <c r="J2140" s="2" t="s">
        <v>2249</v>
      </c>
      <c r="K2140" s="2" t="s">
        <v>495</v>
      </c>
      <c r="L2140" s="13" t="s">
        <v>496</v>
      </c>
      <c r="M2140" s="2" t="s">
        <v>26</v>
      </c>
      <c r="N2140" s="11" t="s">
        <v>576</v>
      </c>
      <c r="O2140" s="12" t="s">
        <v>53</v>
      </c>
      <c r="P2140" s="5" t="str">
        <f>IFERROR(__xludf.DUMMYFUNCTION("TEXTJOIN("" | "",TRUE,IF(OR(D2140="""",E2140="""",I2140="""",J2140="""",H2140=""""),""ফাঁকা ঘর"",""""),IF(AND(C2140&lt;&gt;"""",D2140&lt;&gt;"""",C2140=D2140),""gloss=figurative"",""""),IF(LEN(D2140)&lt;15,""figurative ছোট"",""""),IF(AND(I2140=""Positive"",REGEXMATCH(H2"&amp;"140,""মূর্খ|ভণ্ড|প্রতার|অলস|লোভ|স্বার্থ|অক্ষম|অযোগ্য|বোকা|কৃপণ|হিংস"")),""valence-target অমিল"",""""),IF(COUNTIF($B:$B,B2140)&gt;1,""ডুপ্লিকেট"",""""))"),"figurative ছোট")</f>
        <v>figurative ছোট</v>
      </c>
      <c r="Q2140" s="5" t="str">
        <f t="shared" si="1"/>
        <v>১ আগে দেখো</v>
      </c>
    </row>
    <row r="2141">
      <c r="A2141" s="4">
        <v>7843.0</v>
      </c>
      <c r="B2141" s="2" t="s">
        <v>8256</v>
      </c>
      <c r="C2141" s="2" t="s">
        <v>8256</v>
      </c>
      <c r="D2141" s="2" t="s">
        <v>2540</v>
      </c>
      <c r="E2141" s="2" t="s">
        <v>8257</v>
      </c>
      <c r="F2141" s="2" t="b">
        <v>1</v>
      </c>
      <c r="G2141" s="2" t="b">
        <v>0</v>
      </c>
      <c r="H2141" s="2" t="s">
        <v>37</v>
      </c>
      <c r="I2141" s="2" t="s">
        <v>32</v>
      </c>
      <c r="J2141" s="2" t="s">
        <v>2540</v>
      </c>
      <c r="K2141" s="2" t="s">
        <v>495</v>
      </c>
      <c r="L2141" s="13" t="s">
        <v>496</v>
      </c>
      <c r="M2141" s="2" t="s">
        <v>26</v>
      </c>
      <c r="N2141" s="11" t="s">
        <v>576</v>
      </c>
      <c r="O2141" s="12" t="s">
        <v>53</v>
      </c>
      <c r="P2141" s="5" t="str">
        <f>IFERROR(__xludf.DUMMYFUNCTION("TEXTJOIN("" | "",TRUE,IF(OR(D2141="""",E2141="""",I2141="""",J2141="""",H2141=""""),""ফাঁকা ঘর"",""""),IF(AND(C2141&lt;&gt;"""",D2141&lt;&gt;"""",C2141=D2141),""gloss=figurative"",""""),IF(LEN(D2141)&lt;15,""figurative ছোট"",""""),IF(AND(I2141=""Positive"",REGEXMATCH(H2"&amp;"141,""মূর্খ|ভণ্ড|প্রতার|অলস|লোভ|স্বার্থ|অক্ষম|অযোগ্য|বোকা|কৃপণ|হিংস"")),""valence-target অমিল"",""""),IF(COUNTIF($B:$B,B2141)&gt;1,""ডুপ্লিকেট"",""""))"),"figurative ছোট")</f>
        <v>figurative ছোট</v>
      </c>
      <c r="Q2141" s="5" t="str">
        <f t="shared" si="1"/>
        <v>১ আগে দেখো</v>
      </c>
    </row>
    <row r="2142">
      <c r="A2142" s="4">
        <v>7844.0</v>
      </c>
      <c r="B2142" s="2" t="s">
        <v>8258</v>
      </c>
      <c r="C2142" s="2" t="s">
        <v>8259</v>
      </c>
      <c r="D2142" s="2" t="s">
        <v>8260</v>
      </c>
      <c r="E2142" s="2" t="s">
        <v>8261</v>
      </c>
      <c r="F2142" s="2" t="b">
        <v>1</v>
      </c>
      <c r="G2142" s="2" t="b">
        <v>0</v>
      </c>
      <c r="H2142" s="2" t="s">
        <v>37</v>
      </c>
      <c r="I2142" s="2" t="s">
        <v>32</v>
      </c>
      <c r="J2142" s="2" t="s">
        <v>814</v>
      </c>
      <c r="K2142" s="2" t="s">
        <v>495</v>
      </c>
      <c r="L2142" s="13" t="s">
        <v>496</v>
      </c>
      <c r="M2142" s="2" t="s">
        <v>26</v>
      </c>
      <c r="N2142" s="11" t="s">
        <v>8262</v>
      </c>
      <c r="O2142" s="12" t="s">
        <v>53</v>
      </c>
      <c r="P2142" s="5" t="str">
        <f>IFERROR(__xludf.DUMMYFUNCTION("TEXTJOIN("" | "",TRUE,IF(OR(D2142="""",E2142="""",I2142="""",J2142="""",H2142=""""),""ফাঁকা ঘর"",""""),IF(AND(C2142&lt;&gt;"""",D2142&lt;&gt;"""",C2142=D2142),""gloss=figurative"",""""),IF(LEN(D2142)&lt;15,""figurative ছোট"",""""),IF(AND(I2142=""Positive"",REGEXMATCH(H2"&amp;"142,""মূর্খ|ভণ্ড|প্রতার|অলস|লোভ|স্বার্থ|অক্ষম|অযোগ্য|বোকা|কৃপণ|হিংস"")),""valence-target অমিল"",""""),IF(COUNTIF($B:$B,B2142)&gt;1,""ডুপ্লিকেট"",""""))"),"figurative ছোট")</f>
        <v>figurative ছোট</v>
      </c>
      <c r="Q2142" s="5" t="str">
        <f t="shared" si="1"/>
        <v>১ আগে দেখো</v>
      </c>
    </row>
    <row r="2143">
      <c r="A2143" s="4">
        <v>7845.0</v>
      </c>
      <c r="B2143" s="2" t="s">
        <v>8263</v>
      </c>
      <c r="C2143" s="2" t="s">
        <v>8264</v>
      </c>
      <c r="D2143" s="2" t="s">
        <v>8265</v>
      </c>
      <c r="E2143" s="2" t="s">
        <v>8266</v>
      </c>
      <c r="F2143" s="2" t="b">
        <v>1</v>
      </c>
      <c r="G2143" s="2" t="b">
        <v>0</v>
      </c>
      <c r="H2143" s="2" t="s">
        <v>37</v>
      </c>
      <c r="I2143" s="2" t="s">
        <v>32</v>
      </c>
      <c r="J2143" s="2" t="s">
        <v>814</v>
      </c>
      <c r="K2143" s="2" t="s">
        <v>495</v>
      </c>
      <c r="L2143" s="13" t="s">
        <v>496</v>
      </c>
      <c r="M2143" s="2" t="s">
        <v>26</v>
      </c>
      <c r="N2143" s="11" t="s">
        <v>8267</v>
      </c>
      <c r="O2143" s="12" t="s">
        <v>53</v>
      </c>
      <c r="P2143" s="5" t="str">
        <f>IFERROR(__xludf.DUMMYFUNCTION("TEXTJOIN("" | "",TRUE,IF(OR(D2143="""",E2143="""",I2143="""",J2143="""",H2143=""""),""ফাঁকা ঘর"",""""),IF(AND(C2143&lt;&gt;"""",D2143&lt;&gt;"""",C2143=D2143),""gloss=figurative"",""""),IF(LEN(D2143)&lt;15,""figurative ছোট"",""""),IF(AND(I2143=""Positive"",REGEXMATCH(H2"&amp;"143,""মূর্খ|ভণ্ড|প্রতার|অলস|লোভ|স্বার্থ|অক্ষম|অযোগ্য|বোকা|কৃপণ|হিংস"")),""valence-target অমিল"",""""),IF(COUNTIF($B:$B,B2143)&gt;1,""ডুপ্লিকেট"",""""))"),"figurative ছোট")</f>
        <v>figurative ছোট</v>
      </c>
      <c r="Q2143" s="5" t="str">
        <f t="shared" si="1"/>
        <v>১ আগে দেখো</v>
      </c>
    </row>
    <row r="2144">
      <c r="A2144" s="4">
        <v>7846.0</v>
      </c>
      <c r="B2144" s="2" t="s">
        <v>8268</v>
      </c>
      <c r="C2144" s="2" t="s">
        <v>8269</v>
      </c>
      <c r="D2144" s="2" t="s">
        <v>1443</v>
      </c>
      <c r="E2144" s="2" t="s">
        <v>8270</v>
      </c>
      <c r="F2144" s="2" t="b">
        <v>1</v>
      </c>
      <c r="G2144" s="2" t="b">
        <v>0</v>
      </c>
      <c r="H2144" s="2" t="s">
        <v>37</v>
      </c>
      <c r="I2144" s="2" t="s">
        <v>49</v>
      </c>
      <c r="J2144" s="2" t="s">
        <v>1060</v>
      </c>
      <c r="K2144" s="2" t="s">
        <v>495</v>
      </c>
      <c r="L2144" s="13" t="s">
        <v>496</v>
      </c>
      <c r="M2144" s="2" t="s">
        <v>26</v>
      </c>
      <c r="N2144" s="11" t="s">
        <v>576</v>
      </c>
      <c r="O2144" s="12" t="s">
        <v>53</v>
      </c>
      <c r="P2144" s="5" t="str">
        <f>IFERROR(__xludf.DUMMYFUNCTION("TEXTJOIN("" | "",TRUE,IF(OR(D2144="""",E2144="""",I2144="""",J2144="""",H2144=""""),""ফাঁকা ঘর"",""""),IF(AND(C2144&lt;&gt;"""",D2144&lt;&gt;"""",C2144=D2144),""gloss=figurative"",""""),IF(LEN(D2144)&lt;15,""figurative ছোট"",""""),IF(AND(I2144=""Positive"",REGEXMATCH(H2"&amp;"144,""মূর্খ|ভণ্ড|প্রতার|অলস|লোভ|স্বার্থ|অক্ষম|অযোগ্য|বোকা|কৃপণ|হিংস"")),""valence-target অমিল"",""""),IF(COUNTIF($B:$B,B2144)&gt;1,""ডুপ্লিকেট"",""""))"),"figurative ছোট")</f>
        <v>figurative ছোট</v>
      </c>
      <c r="Q2144" s="5" t="str">
        <f t="shared" si="1"/>
        <v>১ আগে দেখো</v>
      </c>
    </row>
    <row r="2145">
      <c r="A2145" s="4">
        <v>7847.0</v>
      </c>
      <c r="B2145" s="2" t="s">
        <v>8271</v>
      </c>
      <c r="C2145" s="2" t="s">
        <v>8272</v>
      </c>
      <c r="D2145" s="2" t="s">
        <v>8273</v>
      </c>
      <c r="E2145" s="2" t="s">
        <v>8274</v>
      </c>
      <c r="F2145" s="2" t="b">
        <v>1</v>
      </c>
      <c r="G2145" s="2" t="b">
        <v>0</v>
      </c>
      <c r="H2145" s="2" t="s">
        <v>37</v>
      </c>
      <c r="I2145" s="2" t="s">
        <v>49</v>
      </c>
      <c r="J2145" s="2" t="s">
        <v>1060</v>
      </c>
      <c r="K2145" s="2" t="s">
        <v>495</v>
      </c>
      <c r="L2145" s="13" t="s">
        <v>496</v>
      </c>
      <c r="M2145" s="2" t="s">
        <v>26</v>
      </c>
      <c r="N2145" s="11" t="s">
        <v>576</v>
      </c>
      <c r="O2145" s="12" t="s">
        <v>53</v>
      </c>
      <c r="P2145" s="5" t="str">
        <f>IFERROR(__xludf.DUMMYFUNCTION("TEXTJOIN("" | "",TRUE,IF(OR(D2145="""",E2145="""",I2145="""",J2145="""",H2145=""""),""ফাঁকা ঘর"",""""),IF(AND(C2145&lt;&gt;"""",D2145&lt;&gt;"""",C2145=D2145),""gloss=figurative"",""""),IF(LEN(D2145)&lt;15,""figurative ছোট"",""""),IF(AND(I2145=""Positive"",REGEXMATCH(H2"&amp;"145,""মূর্খ|ভণ্ড|প্রতার|অলস|লোভ|স্বার্থ|অক্ষম|অযোগ্য|বোকা|কৃপণ|হিংস"")),""valence-target অমিল"",""""),IF(COUNTIF($B:$B,B2145)&gt;1,""ডুপ্লিকেট"",""""))"),"figurative ছোট")</f>
        <v>figurative ছোট</v>
      </c>
      <c r="Q2145" s="5" t="str">
        <f t="shared" si="1"/>
        <v>১ আগে দেখো</v>
      </c>
    </row>
    <row r="2146">
      <c r="A2146" s="4">
        <v>7848.0</v>
      </c>
      <c r="B2146" s="2" t="s">
        <v>8275</v>
      </c>
      <c r="C2146" s="2" t="s">
        <v>8275</v>
      </c>
      <c r="D2146" s="2" t="s">
        <v>8276</v>
      </c>
      <c r="E2146" s="2" t="s">
        <v>8277</v>
      </c>
      <c r="F2146" s="2" t="b">
        <v>1</v>
      </c>
      <c r="G2146" s="2" t="b">
        <v>0</v>
      </c>
      <c r="H2146" s="2" t="s">
        <v>37</v>
      </c>
      <c r="I2146" s="2" t="s">
        <v>32</v>
      </c>
      <c r="J2146" s="2" t="s">
        <v>1249</v>
      </c>
      <c r="K2146" s="2" t="s">
        <v>495</v>
      </c>
      <c r="L2146" s="13" t="s">
        <v>496</v>
      </c>
      <c r="M2146" s="2" t="s">
        <v>26</v>
      </c>
      <c r="N2146" s="11" t="s">
        <v>576</v>
      </c>
      <c r="O2146" s="12" t="s">
        <v>53</v>
      </c>
      <c r="P2146" s="5" t="str">
        <f>IFERROR(__xludf.DUMMYFUNCTION("TEXTJOIN("" | "",TRUE,IF(OR(D2146="""",E2146="""",I2146="""",J2146="""",H2146=""""),""ফাঁকা ঘর"",""""),IF(AND(C2146&lt;&gt;"""",D2146&lt;&gt;"""",C2146=D2146),""gloss=figurative"",""""),IF(LEN(D2146)&lt;15,""figurative ছোট"",""""),IF(AND(I2146=""Positive"",REGEXMATCH(H2"&amp;"146,""মূর্খ|ভণ্ড|প্রতার|অলস|লোভ|স্বার্থ|অক্ষম|অযোগ্য|বোকা|কৃপণ|হিংস"")),""valence-target অমিল"",""""),IF(COUNTIF($B:$B,B2146)&gt;1,""ডুপ্লিকেট"",""""))"),"figurative ছোট")</f>
        <v>figurative ছোট</v>
      </c>
      <c r="Q2146" s="5" t="str">
        <f t="shared" si="1"/>
        <v>১ আগে দেখো</v>
      </c>
    </row>
    <row r="2147">
      <c r="A2147" s="4">
        <v>7849.0</v>
      </c>
      <c r="B2147" s="2" t="s">
        <v>8278</v>
      </c>
      <c r="C2147" s="2" t="s">
        <v>8279</v>
      </c>
      <c r="D2147" s="2" t="s">
        <v>8280</v>
      </c>
      <c r="E2147" s="2" t="s">
        <v>8281</v>
      </c>
      <c r="F2147" s="2" t="b">
        <v>1</v>
      </c>
      <c r="G2147" s="2" t="b">
        <v>0</v>
      </c>
      <c r="H2147" s="2" t="s">
        <v>37</v>
      </c>
      <c r="I2147" s="2" t="s">
        <v>22</v>
      </c>
      <c r="J2147" s="2" t="s">
        <v>3710</v>
      </c>
      <c r="K2147" s="2" t="s">
        <v>495</v>
      </c>
      <c r="L2147" s="13" t="s">
        <v>496</v>
      </c>
      <c r="M2147" s="2" t="s">
        <v>26</v>
      </c>
      <c r="N2147" s="11" t="s">
        <v>576</v>
      </c>
      <c r="O2147" s="12" t="s">
        <v>53</v>
      </c>
      <c r="P2147" s="5" t="str">
        <f>IFERROR(__xludf.DUMMYFUNCTION("TEXTJOIN("" | "",TRUE,IF(OR(D2147="""",E2147="""",I2147="""",J2147="""",H2147=""""),""ফাঁকা ঘর"",""""),IF(AND(C2147&lt;&gt;"""",D2147&lt;&gt;"""",C2147=D2147),""gloss=figurative"",""""),IF(LEN(D2147)&lt;15,""figurative ছোট"",""""),IF(AND(I2147=""Positive"",REGEXMATCH(H2"&amp;"147,""মূর্খ|ভণ্ড|প্রতার|অলস|লোভ|স্বার্থ|অক্ষম|অযোগ্য|বোকা|কৃপণ|হিংস"")),""valence-target অমিল"",""""),IF(COUNTIF($B:$B,B2147)&gt;1,""ডুপ্লিকেট"",""""))"),"figurative ছোট")</f>
        <v>figurative ছোট</v>
      </c>
      <c r="Q2147" s="5" t="str">
        <f t="shared" si="1"/>
        <v>১ আগে দেখো</v>
      </c>
    </row>
    <row r="2148">
      <c r="A2148" s="4">
        <v>7850.0</v>
      </c>
      <c r="B2148" s="2" t="s">
        <v>8282</v>
      </c>
      <c r="C2148" s="2" t="s">
        <v>8283</v>
      </c>
      <c r="D2148" s="2" t="s">
        <v>2629</v>
      </c>
      <c r="E2148" s="2" t="s">
        <v>8284</v>
      </c>
      <c r="F2148" s="2" t="b">
        <v>1</v>
      </c>
      <c r="G2148" s="2" t="b">
        <v>0</v>
      </c>
      <c r="H2148" s="2" t="s">
        <v>37</v>
      </c>
      <c r="I2148" s="2" t="s">
        <v>22</v>
      </c>
      <c r="J2148" s="2" t="s">
        <v>1357</v>
      </c>
      <c r="K2148" s="2" t="s">
        <v>495</v>
      </c>
      <c r="L2148" s="13" t="s">
        <v>496</v>
      </c>
      <c r="M2148" s="2" t="s">
        <v>26</v>
      </c>
      <c r="N2148" s="11" t="s">
        <v>576</v>
      </c>
      <c r="O2148" s="12" t="s">
        <v>53</v>
      </c>
      <c r="P2148" s="5" t="str">
        <f>IFERROR(__xludf.DUMMYFUNCTION("TEXTJOIN("" | "",TRUE,IF(OR(D2148="""",E2148="""",I2148="""",J2148="""",H2148=""""),""ফাঁকা ঘর"",""""),IF(AND(C2148&lt;&gt;"""",D2148&lt;&gt;"""",C2148=D2148),""gloss=figurative"",""""),IF(LEN(D2148)&lt;15,""figurative ছোট"",""""),IF(AND(I2148=""Positive"",REGEXMATCH(H2"&amp;"148,""মূর্খ|ভণ্ড|প্রতার|অলস|লোভ|স্বার্থ|অক্ষম|অযোগ্য|বোকা|কৃপণ|হিংস"")),""valence-target অমিল"",""""),IF(COUNTIF($B:$B,B2148)&gt;1,""ডুপ্লিকেট"",""""))"),"figurative ছোট")</f>
        <v>figurative ছোট</v>
      </c>
      <c r="Q2148" s="5" t="str">
        <f t="shared" si="1"/>
        <v>১ আগে দেখো</v>
      </c>
    </row>
    <row r="2149">
      <c r="A2149" s="4">
        <v>7851.0</v>
      </c>
      <c r="B2149" s="2" t="s">
        <v>8285</v>
      </c>
      <c r="C2149" s="2" t="s">
        <v>8286</v>
      </c>
      <c r="D2149" s="2" t="s">
        <v>1934</v>
      </c>
      <c r="E2149" s="2" t="s">
        <v>8287</v>
      </c>
      <c r="F2149" s="2" t="b">
        <v>1</v>
      </c>
      <c r="G2149" s="2" t="b">
        <v>1</v>
      </c>
      <c r="H2149" s="2" t="s">
        <v>3079</v>
      </c>
      <c r="I2149" s="2" t="s">
        <v>22</v>
      </c>
      <c r="J2149" s="2" t="s">
        <v>1315</v>
      </c>
      <c r="K2149" s="2" t="s">
        <v>495</v>
      </c>
      <c r="L2149" s="13" t="s">
        <v>496</v>
      </c>
      <c r="M2149" s="2" t="s">
        <v>26</v>
      </c>
      <c r="N2149" s="11" t="s">
        <v>576</v>
      </c>
      <c r="O2149" s="12" t="s">
        <v>53</v>
      </c>
      <c r="P2149" s="5" t="str">
        <f>IFERROR(__xludf.DUMMYFUNCTION("TEXTJOIN("" | "",TRUE,IF(OR(D2149="""",E2149="""",I2149="""",J2149="""",H2149=""""),""ফাঁকা ঘর"",""""),IF(AND(C2149&lt;&gt;"""",D2149&lt;&gt;"""",C2149=D2149),""gloss=figurative"",""""),IF(LEN(D2149)&lt;15,""figurative ছোট"",""""),IF(AND(I2149=""Positive"",REGEXMATCH(H2"&amp;"149,""মূর্খ|ভণ্ড|প্রতার|অলস|লোভ|স্বার্থ|অক্ষম|অযোগ্য|বোকা|কৃপণ|হিংস"")),""valence-target অমিল"",""""),IF(COUNTIF($B:$B,B2149)&gt;1,""ডুপ্লিকেট"",""""))"),"figurative ছোট")</f>
        <v>figurative ছোট</v>
      </c>
      <c r="Q2149" s="5" t="str">
        <f t="shared" si="1"/>
        <v>১ আগে দেখো</v>
      </c>
    </row>
    <row r="2150">
      <c r="A2150" s="4">
        <v>7852.0</v>
      </c>
      <c r="B2150" s="2" t="s">
        <v>8288</v>
      </c>
      <c r="C2150" s="2" t="s">
        <v>8289</v>
      </c>
      <c r="D2150" s="2" t="s">
        <v>8290</v>
      </c>
      <c r="E2150" s="2" t="s">
        <v>8291</v>
      </c>
      <c r="F2150" s="2" t="b">
        <v>1</v>
      </c>
      <c r="G2150" s="2" t="b">
        <v>0</v>
      </c>
      <c r="H2150" s="2" t="s">
        <v>37</v>
      </c>
      <c r="I2150" s="2" t="s">
        <v>32</v>
      </c>
      <c r="J2150" s="2" t="s">
        <v>8290</v>
      </c>
      <c r="K2150" s="2" t="s">
        <v>495</v>
      </c>
      <c r="L2150" s="13" t="s">
        <v>496</v>
      </c>
      <c r="M2150" s="2" t="s">
        <v>26</v>
      </c>
      <c r="N2150" s="11" t="s">
        <v>576</v>
      </c>
      <c r="O2150" s="12" t="s">
        <v>53</v>
      </c>
      <c r="P2150" s="5" t="str">
        <f>IFERROR(__xludf.DUMMYFUNCTION("TEXTJOIN("" | "",TRUE,IF(OR(D2150="""",E2150="""",I2150="""",J2150="""",H2150=""""),""ফাঁকা ঘর"",""""),IF(AND(C2150&lt;&gt;"""",D2150&lt;&gt;"""",C2150=D2150),""gloss=figurative"",""""),IF(LEN(D2150)&lt;15,""figurative ছোট"",""""),IF(AND(I2150=""Positive"",REGEXMATCH(H2"&amp;"150,""মূর্খ|ভণ্ড|প্রতার|অলস|লোভ|স্বার্থ|অক্ষম|অযোগ্য|বোকা|কৃপণ|হিংস"")),""valence-target অমিল"",""""),IF(COUNTIF($B:$B,B2150)&gt;1,""ডুপ্লিকেট"",""""))"),"figurative ছোট")</f>
        <v>figurative ছোট</v>
      </c>
      <c r="Q2150" s="5" t="str">
        <f t="shared" si="1"/>
        <v>১ আগে দেখো</v>
      </c>
    </row>
    <row r="2151">
      <c r="A2151" s="4">
        <v>7853.0</v>
      </c>
      <c r="B2151" s="2" t="s">
        <v>8292</v>
      </c>
      <c r="C2151" s="2" t="s">
        <v>8293</v>
      </c>
      <c r="D2151" s="2" t="s">
        <v>5338</v>
      </c>
      <c r="E2151" s="2" t="s">
        <v>8294</v>
      </c>
      <c r="F2151" s="2" t="b">
        <v>1</v>
      </c>
      <c r="G2151" s="2" t="b">
        <v>0</v>
      </c>
      <c r="H2151" s="2" t="s">
        <v>37</v>
      </c>
      <c r="I2151" s="2" t="s">
        <v>32</v>
      </c>
      <c r="J2151" s="2" t="s">
        <v>669</v>
      </c>
      <c r="K2151" s="2" t="s">
        <v>495</v>
      </c>
      <c r="L2151" s="13" t="s">
        <v>496</v>
      </c>
      <c r="M2151" s="2" t="s">
        <v>26</v>
      </c>
      <c r="N2151" s="11" t="s">
        <v>8295</v>
      </c>
      <c r="O2151" s="12" t="s">
        <v>53</v>
      </c>
      <c r="P2151" s="5" t="str">
        <f>IFERROR(__xludf.DUMMYFUNCTION("TEXTJOIN("" | "",TRUE,IF(OR(D2151="""",E2151="""",I2151="""",J2151="""",H2151=""""),""ফাঁকা ঘর"",""""),IF(AND(C2151&lt;&gt;"""",D2151&lt;&gt;"""",C2151=D2151),""gloss=figurative"",""""),IF(LEN(D2151)&lt;15,""figurative ছোট"",""""),IF(AND(I2151=""Positive"",REGEXMATCH(H2"&amp;"151,""মূর্খ|ভণ্ড|প্রতার|অলস|লোভ|স্বার্থ|অক্ষম|অযোগ্য|বোকা|কৃপণ|হিংস"")),""valence-target অমিল"",""""),IF(COUNTIF($B:$B,B2151)&gt;1,""ডুপ্লিকেট"",""""))"),"figurative ছোট")</f>
        <v>figurative ছোট</v>
      </c>
      <c r="Q2151" s="5" t="str">
        <f t="shared" si="1"/>
        <v>১ আগে দেখো</v>
      </c>
    </row>
    <row r="2152">
      <c r="A2152" s="4">
        <v>7854.0</v>
      </c>
      <c r="B2152" s="2" t="s">
        <v>8296</v>
      </c>
      <c r="C2152" s="2" t="s">
        <v>8297</v>
      </c>
      <c r="D2152" s="2" t="s">
        <v>4826</v>
      </c>
      <c r="E2152" s="2" t="s">
        <v>8298</v>
      </c>
      <c r="F2152" s="2" t="b">
        <v>1</v>
      </c>
      <c r="G2152" s="2" t="b">
        <v>0</v>
      </c>
      <c r="H2152" s="2" t="s">
        <v>37</v>
      </c>
      <c r="I2152" s="2" t="s">
        <v>32</v>
      </c>
      <c r="J2152" s="2" t="s">
        <v>669</v>
      </c>
      <c r="K2152" s="2" t="s">
        <v>495</v>
      </c>
      <c r="L2152" s="13" t="s">
        <v>496</v>
      </c>
      <c r="M2152" s="2" t="s">
        <v>26</v>
      </c>
      <c r="N2152" s="11" t="s">
        <v>8299</v>
      </c>
      <c r="O2152" s="12" t="s">
        <v>53</v>
      </c>
      <c r="P2152" s="5" t="str">
        <f>IFERROR(__xludf.DUMMYFUNCTION("TEXTJOIN("" | "",TRUE,IF(OR(D2152="""",E2152="""",I2152="""",J2152="""",H2152=""""),""ফাঁকা ঘর"",""""),IF(AND(C2152&lt;&gt;"""",D2152&lt;&gt;"""",C2152=D2152),""gloss=figurative"",""""),IF(LEN(D2152)&lt;15,""figurative ছোট"",""""),IF(AND(I2152=""Positive"",REGEXMATCH(H2"&amp;"152,""মূর্খ|ভণ্ড|প্রতার|অলস|লোভ|স্বার্থ|অক্ষম|অযোগ্য|বোকা|কৃপণ|হিংস"")),""valence-target অমিল"",""""),IF(COUNTIF($B:$B,B2152)&gt;1,""ডুপ্লিকেট"",""""))"),"figurative ছোট")</f>
        <v>figurative ছোট</v>
      </c>
      <c r="Q2152" s="5" t="str">
        <f t="shared" si="1"/>
        <v>১ আগে দেখো</v>
      </c>
    </row>
    <row r="2153">
      <c r="A2153" s="4">
        <v>7855.0</v>
      </c>
      <c r="B2153" s="2" t="s">
        <v>8300</v>
      </c>
      <c r="C2153" s="2" t="s">
        <v>8301</v>
      </c>
      <c r="D2153" s="2" t="s">
        <v>4100</v>
      </c>
      <c r="E2153" s="2" t="s">
        <v>8302</v>
      </c>
      <c r="F2153" s="2" t="b">
        <v>1</v>
      </c>
      <c r="G2153" s="2" t="b">
        <v>1</v>
      </c>
      <c r="H2153" s="2" t="s">
        <v>1065</v>
      </c>
      <c r="I2153" s="2" t="s">
        <v>32</v>
      </c>
      <c r="J2153" s="2" t="s">
        <v>4946</v>
      </c>
      <c r="K2153" s="2" t="s">
        <v>495</v>
      </c>
      <c r="L2153" s="13" t="s">
        <v>496</v>
      </c>
      <c r="M2153" s="2" t="s">
        <v>26</v>
      </c>
      <c r="N2153" s="11" t="s">
        <v>576</v>
      </c>
      <c r="O2153" s="12" t="s">
        <v>53</v>
      </c>
      <c r="P2153" s="5" t="str">
        <f>IFERROR(__xludf.DUMMYFUNCTION("TEXTJOIN("" | "",TRUE,IF(OR(D2153="""",E2153="""",I2153="""",J2153="""",H2153=""""),""ফাঁকা ঘর"",""""),IF(AND(C2153&lt;&gt;"""",D2153&lt;&gt;"""",C2153=D2153),""gloss=figurative"",""""),IF(LEN(D2153)&lt;15,""figurative ছোট"",""""),IF(AND(I2153=""Positive"",REGEXMATCH(H2"&amp;"153,""মূর্খ|ভণ্ড|প্রতার|অলস|লোভ|স্বার্থ|অক্ষম|অযোগ্য|বোকা|কৃপণ|হিংস"")),""valence-target অমিল"",""""),IF(COUNTIF($B:$B,B2153)&gt;1,""ডুপ্লিকেট"",""""))"),"figurative ছোট")</f>
        <v>figurative ছোট</v>
      </c>
      <c r="Q2153" s="5" t="str">
        <f t="shared" si="1"/>
        <v>১ আগে দেখো</v>
      </c>
    </row>
    <row r="2154">
      <c r="A2154" s="4">
        <v>7856.0</v>
      </c>
      <c r="B2154" s="2" t="s">
        <v>8303</v>
      </c>
      <c r="C2154" s="2" t="s">
        <v>8304</v>
      </c>
      <c r="D2154" s="2" t="s">
        <v>7606</v>
      </c>
      <c r="E2154" s="2" t="s">
        <v>8305</v>
      </c>
      <c r="F2154" s="2" t="b">
        <v>1</v>
      </c>
      <c r="G2154" s="2" t="b">
        <v>0</v>
      </c>
      <c r="H2154" s="2" t="s">
        <v>37</v>
      </c>
      <c r="I2154" s="2" t="s">
        <v>32</v>
      </c>
      <c r="J2154" s="2" t="s">
        <v>713</v>
      </c>
      <c r="K2154" s="2" t="s">
        <v>495</v>
      </c>
      <c r="L2154" s="13" t="s">
        <v>496</v>
      </c>
      <c r="M2154" s="2" t="s">
        <v>26</v>
      </c>
      <c r="N2154" s="11" t="s">
        <v>8306</v>
      </c>
      <c r="O2154" s="12" t="s">
        <v>53</v>
      </c>
      <c r="P2154" s="5" t="str">
        <f>IFERROR(__xludf.DUMMYFUNCTION("TEXTJOIN("" | "",TRUE,IF(OR(D2154="""",E2154="""",I2154="""",J2154="""",H2154=""""),""ফাঁকা ঘর"",""""),IF(AND(C2154&lt;&gt;"""",D2154&lt;&gt;"""",C2154=D2154),""gloss=figurative"",""""),IF(LEN(D2154)&lt;15,""figurative ছোট"",""""),IF(AND(I2154=""Positive"",REGEXMATCH(H2"&amp;"154,""মূর্খ|ভণ্ড|প্রতার|অলস|লোভ|স্বার্থ|অক্ষম|অযোগ্য|বোকা|কৃপণ|হিংস"")),""valence-target অমিল"",""""),IF(COUNTIF($B:$B,B2154)&gt;1,""ডুপ্লিকেট"",""""))"),"figurative ছোট")</f>
        <v>figurative ছোট</v>
      </c>
      <c r="Q2154" s="5" t="str">
        <f t="shared" si="1"/>
        <v>১ আগে দেখো</v>
      </c>
    </row>
    <row r="2155">
      <c r="A2155" s="4">
        <v>7857.0</v>
      </c>
      <c r="B2155" s="2" t="s">
        <v>8307</v>
      </c>
      <c r="C2155" s="2" t="s">
        <v>8308</v>
      </c>
      <c r="D2155" s="2" t="s">
        <v>4103</v>
      </c>
      <c r="E2155" s="2" t="s">
        <v>8309</v>
      </c>
      <c r="F2155" s="2" t="b">
        <v>1</v>
      </c>
      <c r="G2155" s="2" t="b">
        <v>0</v>
      </c>
      <c r="H2155" s="2" t="s">
        <v>37</v>
      </c>
      <c r="I2155" s="2" t="s">
        <v>32</v>
      </c>
      <c r="J2155" s="2" t="s">
        <v>713</v>
      </c>
      <c r="K2155" s="2" t="s">
        <v>495</v>
      </c>
      <c r="L2155" s="13" t="s">
        <v>496</v>
      </c>
      <c r="M2155" s="2" t="s">
        <v>26</v>
      </c>
      <c r="N2155" s="11" t="s">
        <v>8310</v>
      </c>
      <c r="O2155" s="12" t="s">
        <v>53</v>
      </c>
      <c r="P2155" s="5" t="str">
        <f>IFERROR(__xludf.DUMMYFUNCTION("TEXTJOIN("" | "",TRUE,IF(OR(D2155="""",E2155="""",I2155="""",J2155="""",H2155=""""),""ফাঁকা ঘর"",""""),IF(AND(C2155&lt;&gt;"""",D2155&lt;&gt;"""",C2155=D2155),""gloss=figurative"",""""),IF(LEN(D2155)&lt;15,""figurative ছোট"",""""),IF(AND(I2155=""Positive"",REGEXMATCH(H2"&amp;"155,""মূর্খ|ভণ্ড|প্রতার|অলস|লোভ|স্বার্থ|অক্ষম|অযোগ্য|বোকা|কৃপণ|হিংস"")),""valence-target অমিল"",""""),IF(COUNTIF($B:$B,B2155)&gt;1,""ডুপ্লিকেট"",""""))"),"figurative ছোট")</f>
        <v>figurative ছোট</v>
      </c>
      <c r="Q2155" s="5" t="str">
        <f t="shared" si="1"/>
        <v>১ আগে দেখো</v>
      </c>
    </row>
    <row r="2156">
      <c r="A2156" s="4">
        <v>7858.0</v>
      </c>
      <c r="B2156" s="2" t="s">
        <v>8311</v>
      </c>
      <c r="C2156" s="2" t="s">
        <v>8312</v>
      </c>
      <c r="D2156" s="2" t="s">
        <v>5980</v>
      </c>
      <c r="E2156" s="2" t="s">
        <v>8313</v>
      </c>
      <c r="F2156" s="2" t="b">
        <v>1</v>
      </c>
      <c r="G2156" s="2" t="b">
        <v>0</v>
      </c>
      <c r="H2156" s="2" t="s">
        <v>37</v>
      </c>
      <c r="I2156" s="2" t="s">
        <v>49</v>
      </c>
      <c r="J2156" s="2" t="s">
        <v>1357</v>
      </c>
      <c r="K2156" s="2" t="s">
        <v>495</v>
      </c>
      <c r="L2156" s="13" t="s">
        <v>496</v>
      </c>
      <c r="M2156" s="2" t="s">
        <v>26</v>
      </c>
      <c r="N2156" s="11" t="s">
        <v>576</v>
      </c>
      <c r="O2156" s="12" t="s">
        <v>53</v>
      </c>
      <c r="P2156" s="5" t="str">
        <f>IFERROR(__xludf.DUMMYFUNCTION("TEXTJOIN("" | "",TRUE,IF(OR(D2156="""",E2156="""",I2156="""",J2156="""",H2156=""""),""ফাঁকা ঘর"",""""),IF(AND(C2156&lt;&gt;"""",D2156&lt;&gt;"""",C2156=D2156),""gloss=figurative"",""""),IF(LEN(D2156)&lt;15,""figurative ছোট"",""""),IF(AND(I2156=""Positive"",REGEXMATCH(H2"&amp;"156,""মূর্খ|ভণ্ড|প্রতার|অলস|লোভ|স্বার্থ|অক্ষম|অযোগ্য|বোকা|কৃপণ|হিংস"")),""valence-target অমিল"",""""),IF(COUNTIF($B:$B,B2156)&gt;1,""ডুপ্লিকেট"",""""))"),"figurative ছোট")</f>
        <v>figurative ছোট</v>
      </c>
      <c r="Q2156" s="5" t="str">
        <f t="shared" si="1"/>
        <v>১ আগে দেখো</v>
      </c>
    </row>
    <row r="2157">
      <c r="A2157" s="4">
        <v>7859.0</v>
      </c>
      <c r="B2157" s="2" t="s">
        <v>8314</v>
      </c>
      <c r="C2157" s="2" t="s">
        <v>8315</v>
      </c>
      <c r="D2157" s="2" t="s">
        <v>989</v>
      </c>
      <c r="E2157" s="2" t="s">
        <v>8316</v>
      </c>
      <c r="F2157" s="2" t="b">
        <v>1</v>
      </c>
      <c r="G2157" s="2" t="b">
        <v>0</v>
      </c>
      <c r="H2157" s="2" t="s">
        <v>989</v>
      </c>
      <c r="I2157" s="2" t="s">
        <v>22</v>
      </c>
      <c r="J2157" s="2" t="s">
        <v>990</v>
      </c>
      <c r="K2157" s="2" t="s">
        <v>495</v>
      </c>
      <c r="L2157" s="13" t="s">
        <v>496</v>
      </c>
      <c r="M2157" s="2" t="s">
        <v>26</v>
      </c>
      <c r="N2157" s="11" t="s">
        <v>576</v>
      </c>
      <c r="O2157" s="12" t="s">
        <v>53</v>
      </c>
      <c r="P2157" s="5" t="str">
        <f>IFERROR(__xludf.DUMMYFUNCTION("TEXTJOIN("" | "",TRUE,IF(OR(D2157="""",E2157="""",I2157="""",J2157="""",H2157=""""),""ফাঁকা ঘর"",""""),IF(AND(C2157&lt;&gt;"""",D2157&lt;&gt;"""",C2157=D2157),""gloss=figurative"",""""),IF(LEN(D2157)&lt;15,""figurative ছোট"",""""),IF(AND(I2157=""Positive"",REGEXMATCH(H2"&amp;"157,""মূর্খ|ভণ্ড|প্রতার|অলস|লোভ|স্বার্থ|অক্ষম|অযোগ্য|বোকা|কৃপণ|হিংস"")),""valence-target অমিল"",""""),IF(COUNTIF($B:$B,B2157)&gt;1,""ডুপ্লিকেট"",""""))"),"figurative ছোট")</f>
        <v>figurative ছোট</v>
      </c>
      <c r="Q2157" s="5" t="str">
        <f t="shared" si="1"/>
        <v>১ আগে দেখো</v>
      </c>
    </row>
    <row r="2158">
      <c r="A2158" s="4">
        <v>7860.0</v>
      </c>
      <c r="B2158" s="2" t="s">
        <v>8317</v>
      </c>
      <c r="C2158" s="2" t="s">
        <v>8318</v>
      </c>
      <c r="D2158" s="2" t="s">
        <v>6723</v>
      </c>
      <c r="E2158" s="2" t="s">
        <v>8319</v>
      </c>
      <c r="F2158" s="2" t="b">
        <v>1</v>
      </c>
      <c r="G2158" s="2" t="b">
        <v>0</v>
      </c>
      <c r="H2158" s="2" t="s">
        <v>37</v>
      </c>
      <c r="I2158" s="2" t="s">
        <v>22</v>
      </c>
      <c r="J2158" s="2" t="s">
        <v>4463</v>
      </c>
      <c r="K2158" s="2" t="s">
        <v>495</v>
      </c>
      <c r="L2158" s="13" t="s">
        <v>496</v>
      </c>
      <c r="M2158" s="2" t="s">
        <v>26</v>
      </c>
      <c r="N2158" s="11" t="s">
        <v>576</v>
      </c>
      <c r="O2158" s="12" t="s">
        <v>53</v>
      </c>
      <c r="P2158" s="5" t="str">
        <f>IFERROR(__xludf.DUMMYFUNCTION("TEXTJOIN("" | "",TRUE,IF(OR(D2158="""",E2158="""",I2158="""",J2158="""",H2158=""""),""ফাঁকা ঘর"",""""),IF(AND(C2158&lt;&gt;"""",D2158&lt;&gt;"""",C2158=D2158),""gloss=figurative"",""""),IF(LEN(D2158)&lt;15,""figurative ছোট"",""""),IF(AND(I2158=""Positive"",REGEXMATCH(H2"&amp;"158,""মূর্খ|ভণ্ড|প্রতার|অলস|লোভ|স্বার্থ|অক্ষম|অযোগ্য|বোকা|কৃপণ|হিংস"")),""valence-target অমিল"",""""),IF(COUNTIF($B:$B,B2158)&gt;1,""ডুপ্লিকেট"",""""))"),"figurative ছোট")</f>
        <v>figurative ছোট</v>
      </c>
      <c r="Q2158" s="5" t="str">
        <f t="shared" si="1"/>
        <v>১ আগে দেখো</v>
      </c>
    </row>
    <row r="2159">
      <c r="A2159" s="4">
        <v>7861.0</v>
      </c>
      <c r="B2159" s="2" t="s">
        <v>8320</v>
      </c>
      <c r="C2159" s="2" t="s">
        <v>8320</v>
      </c>
      <c r="D2159" s="2" t="s">
        <v>8321</v>
      </c>
      <c r="E2159" s="2" t="s">
        <v>8322</v>
      </c>
      <c r="F2159" s="2" t="b">
        <v>1</v>
      </c>
      <c r="G2159" s="2" t="b">
        <v>0</v>
      </c>
      <c r="H2159" s="2" t="s">
        <v>37</v>
      </c>
      <c r="I2159" s="2" t="s">
        <v>32</v>
      </c>
      <c r="J2159" s="2" t="s">
        <v>830</v>
      </c>
      <c r="K2159" s="2" t="s">
        <v>495</v>
      </c>
      <c r="L2159" s="13" t="s">
        <v>496</v>
      </c>
      <c r="M2159" s="2" t="s">
        <v>26</v>
      </c>
      <c r="N2159" s="11" t="s">
        <v>576</v>
      </c>
      <c r="O2159" s="12" t="s">
        <v>53</v>
      </c>
      <c r="P2159" s="5" t="str">
        <f>IFERROR(__xludf.DUMMYFUNCTION("TEXTJOIN("" | "",TRUE,IF(OR(D2159="""",E2159="""",I2159="""",J2159="""",H2159=""""),""ফাঁকা ঘর"",""""),IF(AND(C2159&lt;&gt;"""",D2159&lt;&gt;"""",C2159=D2159),""gloss=figurative"",""""),IF(LEN(D2159)&lt;15,""figurative ছোট"",""""),IF(AND(I2159=""Positive"",REGEXMATCH(H2"&amp;"159,""মূর্খ|ভণ্ড|প্রতার|অলস|লোভ|স্বার্থ|অক্ষম|অযোগ্য|বোকা|কৃপণ|হিংস"")),""valence-target অমিল"",""""),IF(COUNTIF($B:$B,B2159)&gt;1,""ডুপ্লিকেট"",""""))"),"figurative ছোট")</f>
        <v>figurative ছোট</v>
      </c>
      <c r="Q2159" s="5" t="str">
        <f t="shared" si="1"/>
        <v>১ আগে দেখো</v>
      </c>
    </row>
    <row r="2160">
      <c r="A2160" s="4">
        <v>7862.0</v>
      </c>
      <c r="B2160" s="2" t="s">
        <v>8323</v>
      </c>
      <c r="C2160" s="2" t="s">
        <v>8324</v>
      </c>
      <c r="D2160" s="2" t="s">
        <v>713</v>
      </c>
      <c r="E2160" s="2" t="s">
        <v>8325</v>
      </c>
      <c r="F2160" s="2" t="b">
        <v>1</v>
      </c>
      <c r="G2160" s="2" t="b">
        <v>0</v>
      </c>
      <c r="H2160" s="2" t="s">
        <v>37</v>
      </c>
      <c r="I2160" s="2" t="s">
        <v>32</v>
      </c>
      <c r="J2160" s="2" t="s">
        <v>713</v>
      </c>
      <c r="K2160" s="2" t="s">
        <v>495</v>
      </c>
      <c r="L2160" s="13" t="s">
        <v>496</v>
      </c>
      <c r="M2160" s="2" t="s">
        <v>26</v>
      </c>
      <c r="N2160" s="11" t="s">
        <v>576</v>
      </c>
      <c r="O2160" s="12" t="s">
        <v>53</v>
      </c>
      <c r="P2160" s="5" t="str">
        <f>IFERROR(__xludf.DUMMYFUNCTION("TEXTJOIN("" | "",TRUE,IF(OR(D2160="""",E2160="""",I2160="""",J2160="""",H2160=""""),""ফাঁকা ঘর"",""""),IF(AND(C2160&lt;&gt;"""",D2160&lt;&gt;"""",C2160=D2160),""gloss=figurative"",""""),IF(LEN(D2160)&lt;15,""figurative ছোট"",""""),IF(AND(I2160=""Positive"",REGEXMATCH(H2"&amp;"160,""মূর্খ|ভণ্ড|প্রতার|অলস|লোভ|স্বার্থ|অক্ষম|অযোগ্য|বোকা|কৃপণ|হিংস"")),""valence-target অমিল"",""""),IF(COUNTIF($B:$B,B2160)&gt;1,""ডুপ্লিকেট"",""""))"),"figurative ছোট")</f>
        <v>figurative ছোট</v>
      </c>
      <c r="Q2160" s="5" t="str">
        <f t="shared" si="1"/>
        <v>১ আগে দেখো</v>
      </c>
    </row>
    <row r="2161">
      <c r="A2161" s="4">
        <v>7863.0</v>
      </c>
      <c r="B2161" s="2" t="s">
        <v>8326</v>
      </c>
      <c r="C2161" s="2" t="s">
        <v>8326</v>
      </c>
      <c r="D2161" s="2" t="s">
        <v>5696</v>
      </c>
      <c r="E2161" s="2" t="s">
        <v>8327</v>
      </c>
      <c r="F2161" s="2" t="b">
        <v>1</v>
      </c>
      <c r="G2161" s="2" t="b">
        <v>0</v>
      </c>
      <c r="H2161" s="2" t="s">
        <v>37</v>
      </c>
      <c r="I2161" s="2" t="s">
        <v>49</v>
      </c>
      <c r="J2161" s="2" t="s">
        <v>5696</v>
      </c>
      <c r="K2161" s="2" t="s">
        <v>495</v>
      </c>
      <c r="L2161" s="13" t="s">
        <v>496</v>
      </c>
      <c r="M2161" s="2" t="s">
        <v>26</v>
      </c>
      <c r="N2161" s="11" t="s">
        <v>576</v>
      </c>
      <c r="O2161" s="12" t="s">
        <v>53</v>
      </c>
      <c r="P2161" s="5" t="str">
        <f>IFERROR(__xludf.DUMMYFUNCTION("TEXTJOIN("" | "",TRUE,IF(OR(D2161="""",E2161="""",I2161="""",J2161="""",H2161=""""),""ফাঁকা ঘর"",""""),IF(AND(C2161&lt;&gt;"""",D2161&lt;&gt;"""",C2161=D2161),""gloss=figurative"",""""),IF(LEN(D2161)&lt;15,""figurative ছোট"",""""),IF(AND(I2161=""Positive"",REGEXMATCH(H2"&amp;"161,""মূর্খ|ভণ্ড|প্রতার|অলস|লোভ|স্বার্থ|অক্ষম|অযোগ্য|বোকা|কৃপণ|হিংস"")),""valence-target অমিল"",""""),IF(COUNTIF($B:$B,B2161)&gt;1,""ডুপ্লিকেট"",""""))"),"figurative ছোট")</f>
        <v>figurative ছোট</v>
      </c>
      <c r="Q2161" s="5" t="str">
        <f t="shared" si="1"/>
        <v>১ আগে দেখো</v>
      </c>
    </row>
    <row r="2162">
      <c r="A2162" s="4">
        <v>7864.0</v>
      </c>
      <c r="B2162" s="2" t="s">
        <v>8328</v>
      </c>
      <c r="C2162" s="2" t="s">
        <v>8328</v>
      </c>
      <c r="D2162" s="2" t="s">
        <v>1644</v>
      </c>
      <c r="E2162" s="2" t="s">
        <v>8329</v>
      </c>
      <c r="F2162" s="2" t="b">
        <v>1</v>
      </c>
      <c r="G2162" s="2" t="b">
        <v>0</v>
      </c>
      <c r="H2162" s="2" t="s">
        <v>37</v>
      </c>
      <c r="I2162" s="2" t="s">
        <v>32</v>
      </c>
      <c r="J2162" s="2" t="s">
        <v>1644</v>
      </c>
      <c r="K2162" s="2" t="s">
        <v>495</v>
      </c>
      <c r="L2162" s="13" t="s">
        <v>496</v>
      </c>
      <c r="M2162" s="2" t="s">
        <v>26</v>
      </c>
      <c r="N2162" s="11" t="s">
        <v>576</v>
      </c>
      <c r="O2162" s="12" t="s">
        <v>53</v>
      </c>
      <c r="P2162" s="5" t="str">
        <f>IFERROR(__xludf.DUMMYFUNCTION("TEXTJOIN("" | "",TRUE,IF(OR(D2162="""",E2162="""",I2162="""",J2162="""",H2162=""""),""ফাঁকা ঘর"",""""),IF(AND(C2162&lt;&gt;"""",D2162&lt;&gt;"""",C2162=D2162),""gloss=figurative"",""""),IF(LEN(D2162)&lt;15,""figurative ছোট"",""""),IF(AND(I2162=""Positive"",REGEXMATCH(H2"&amp;"162,""মূর্খ|ভণ্ড|প্রতার|অলস|লোভ|স্বার্থ|অক্ষম|অযোগ্য|বোকা|কৃপণ|হিংস"")),""valence-target অমিল"",""""),IF(COUNTIF($B:$B,B2162)&gt;1,""ডুপ্লিকেট"",""""))"),"figurative ছোট")</f>
        <v>figurative ছোট</v>
      </c>
      <c r="Q2162" s="5" t="str">
        <f t="shared" si="1"/>
        <v>১ আগে দেখো</v>
      </c>
    </row>
    <row r="2163">
      <c r="A2163" s="4">
        <v>7865.0</v>
      </c>
      <c r="B2163" s="2" t="s">
        <v>8330</v>
      </c>
      <c r="C2163" s="2" t="s">
        <v>8331</v>
      </c>
      <c r="D2163" s="2" t="s">
        <v>1397</v>
      </c>
      <c r="E2163" s="2" t="s">
        <v>8210</v>
      </c>
      <c r="F2163" s="2" t="b">
        <v>1</v>
      </c>
      <c r="G2163" s="2" t="b">
        <v>0</v>
      </c>
      <c r="H2163" s="2" t="s">
        <v>37</v>
      </c>
      <c r="I2163" s="2" t="s">
        <v>22</v>
      </c>
      <c r="J2163" s="2" t="s">
        <v>1397</v>
      </c>
      <c r="K2163" s="2" t="s">
        <v>495</v>
      </c>
      <c r="L2163" s="13" t="s">
        <v>496</v>
      </c>
      <c r="M2163" s="2" t="s">
        <v>26</v>
      </c>
      <c r="N2163" s="11" t="s">
        <v>576</v>
      </c>
      <c r="O2163" s="12" t="s">
        <v>53</v>
      </c>
      <c r="P2163" s="5" t="str">
        <f>IFERROR(__xludf.DUMMYFUNCTION("TEXTJOIN("" | "",TRUE,IF(OR(D2163="""",E2163="""",I2163="""",J2163="""",H2163=""""),""ফাঁকা ঘর"",""""),IF(AND(C2163&lt;&gt;"""",D2163&lt;&gt;"""",C2163=D2163),""gloss=figurative"",""""),IF(LEN(D2163)&lt;15,""figurative ছোট"",""""),IF(AND(I2163=""Positive"",REGEXMATCH(H2"&amp;"163,""মূর্খ|ভণ্ড|প্রতার|অলস|লোভ|স্বার্থ|অক্ষম|অযোগ্য|বোকা|কৃপণ|হিংস"")),""valence-target অমিল"",""""),IF(COUNTIF($B:$B,B2163)&gt;1,""ডুপ্লিকেট"",""""))"),"figurative ছোট")</f>
        <v>figurative ছোট</v>
      </c>
      <c r="Q2163" s="5" t="str">
        <f t="shared" si="1"/>
        <v>১ আগে দেখো</v>
      </c>
    </row>
    <row r="2164">
      <c r="A2164" s="4">
        <v>7866.0</v>
      </c>
      <c r="B2164" s="2" t="s">
        <v>8332</v>
      </c>
      <c r="C2164" s="2" t="s">
        <v>8333</v>
      </c>
      <c r="D2164" s="2" t="s">
        <v>842</v>
      </c>
      <c r="E2164" s="2" t="s">
        <v>8334</v>
      </c>
      <c r="F2164" s="2" t="b">
        <v>1</v>
      </c>
      <c r="G2164" s="2" t="b">
        <v>0</v>
      </c>
      <c r="H2164" s="2" t="s">
        <v>37</v>
      </c>
      <c r="I2164" s="2" t="s">
        <v>22</v>
      </c>
      <c r="J2164" s="2" t="s">
        <v>842</v>
      </c>
      <c r="K2164" s="2" t="s">
        <v>495</v>
      </c>
      <c r="L2164" s="13" t="s">
        <v>496</v>
      </c>
      <c r="M2164" s="2" t="s">
        <v>26</v>
      </c>
      <c r="N2164" s="11" t="s">
        <v>576</v>
      </c>
      <c r="O2164" s="12" t="s">
        <v>53</v>
      </c>
      <c r="P2164" s="5" t="str">
        <f>IFERROR(__xludf.DUMMYFUNCTION("TEXTJOIN("" | "",TRUE,IF(OR(D2164="""",E2164="""",I2164="""",J2164="""",H2164=""""),""ফাঁকা ঘর"",""""),IF(AND(C2164&lt;&gt;"""",D2164&lt;&gt;"""",C2164=D2164),""gloss=figurative"",""""),IF(LEN(D2164)&lt;15,""figurative ছোট"",""""),IF(AND(I2164=""Positive"",REGEXMATCH(H2"&amp;"164,""মূর্খ|ভণ্ড|প্রতার|অলস|লোভ|স্বার্থ|অক্ষম|অযোগ্য|বোকা|কৃপণ|হিংস"")),""valence-target অমিল"",""""),IF(COUNTIF($B:$B,B2164)&gt;1,""ডুপ্লিকেট"",""""))"),"figurative ছোট")</f>
        <v>figurative ছোট</v>
      </c>
      <c r="Q2164" s="5" t="str">
        <f t="shared" si="1"/>
        <v>১ আগে দেখো</v>
      </c>
    </row>
    <row r="2165">
      <c r="A2165" s="4">
        <v>7867.0</v>
      </c>
      <c r="B2165" s="2" t="s">
        <v>8335</v>
      </c>
      <c r="C2165" s="2" t="s">
        <v>8336</v>
      </c>
      <c r="D2165" s="2" t="s">
        <v>4411</v>
      </c>
      <c r="E2165" s="2" t="s">
        <v>8337</v>
      </c>
      <c r="F2165" s="2" t="b">
        <v>1</v>
      </c>
      <c r="G2165" s="2" t="b">
        <v>0</v>
      </c>
      <c r="H2165" s="2" t="s">
        <v>37</v>
      </c>
      <c r="I2165" s="2" t="s">
        <v>49</v>
      </c>
      <c r="J2165" s="2" t="s">
        <v>1476</v>
      </c>
      <c r="K2165" s="2" t="s">
        <v>495</v>
      </c>
      <c r="L2165" s="13" t="s">
        <v>496</v>
      </c>
      <c r="M2165" s="2" t="s">
        <v>26</v>
      </c>
      <c r="N2165" s="11" t="s">
        <v>8338</v>
      </c>
      <c r="O2165" s="12" t="s">
        <v>53</v>
      </c>
      <c r="P2165" s="5" t="str">
        <f>IFERROR(__xludf.DUMMYFUNCTION("TEXTJOIN("" | "",TRUE,IF(OR(D2165="""",E2165="""",I2165="""",J2165="""",H2165=""""),""ফাঁকা ঘর"",""""),IF(AND(C2165&lt;&gt;"""",D2165&lt;&gt;"""",C2165=D2165),""gloss=figurative"",""""),IF(LEN(D2165)&lt;15,""figurative ছোট"",""""),IF(AND(I2165=""Positive"",REGEXMATCH(H2"&amp;"165,""মূর্খ|ভণ্ড|প্রতার|অলস|লোভ|স্বার্থ|অক্ষম|অযোগ্য|বোকা|কৃপণ|হিংস"")),""valence-target অমিল"",""""),IF(COUNTIF($B:$B,B2165)&gt;1,""ডুপ্লিকেট"",""""))"),"figurative ছোট")</f>
        <v>figurative ছোট</v>
      </c>
      <c r="Q2165" s="5" t="str">
        <f t="shared" si="1"/>
        <v>১ আগে দেখো</v>
      </c>
    </row>
    <row r="2166">
      <c r="A2166" s="4">
        <v>7868.0</v>
      </c>
      <c r="B2166" s="2" t="s">
        <v>8339</v>
      </c>
      <c r="C2166" s="2" t="s">
        <v>8340</v>
      </c>
      <c r="D2166" s="2" t="s">
        <v>8341</v>
      </c>
      <c r="E2166" s="2" t="s">
        <v>8342</v>
      </c>
      <c r="F2166" s="2" t="b">
        <v>1</v>
      </c>
      <c r="G2166" s="2" t="b">
        <v>0</v>
      </c>
      <c r="H2166" s="2" t="s">
        <v>37</v>
      </c>
      <c r="I2166" s="2" t="s">
        <v>49</v>
      </c>
      <c r="J2166" s="2" t="s">
        <v>1476</v>
      </c>
      <c r="K2166" s="2" t="s">
        <v>495</v>
      </c>
      <c r="L2166" s="13" t="s">
        <v>496</v>
      </c>
      <c r="M2166" s="2" t="s">
        <v>26</v>
      </c>
      <c r="N2166" s="11" t="s">
        <v>8343</v>
      </c>
      <c r="O2166" s="12" t="s">
        <v>53</v>
      </c>
      <c r="P2166" s="5" t="str">
        <f>IFERROR(__xludf.DUMMYFUNCTION("TEXTJOIN("" | "",TRUE,IF(OR(D2166="""",E2166="""",I2166="""",J2166="""",H2166=""""),""ফাঁকা ঘর"",""""),IF(AND(C2166&lt;&gt;"""",D2166&lt;&gt;"""",C2166=D2166),""gloss=figurative"",""""),IF(LEN(D2166)&lt;15,""figurative ছোট"",""""),IF(AND(I2166=""Positive"",REGEXMATCH(H2"&amp;"166,""মূর্খ|ভণ্ড|প্রতার|অলস|লোভ|স্বার্থ|অক্ষম|অযোগ্য|বোকা|কৃপণ|হিংস"")),""valence-target অমিল"",""""),IF(COUNTIF($B:$B,B2166)&gt;1,""ডুপ্লিকেট"",""""))"),"figurative ছোট")</f>
        <v>figurative ছোট</v>
      </c>
      <c r="Q2166" s="5" t="str">
        <f t="shared" si="1"/>
        <v>১ আগে দেখো</v>
      </c>
    </row>
    <row r="2167">
      <c r="A2167" s="4">
        <v>7869.0</v>
      </c>
      <c r="B2167" s="2" t="s">
        <v>8344</v>
      </c>
      <c r="C2167" s="2" t="s">
        <v>8345</v>
      </c>
      <c r="D2167" s="2" t="s">
        <v>2550</v>
      </c>
      <c r="E2167" s="2" t="s">
        <v>8346</v>
      </c>
      <c r="F2167" s="2" t="b">
        <v>1</v>
      </c>
      <c r="G2167" s="2" t="b">
        <v>0</v>
      </c>
      <c r="H2167" s="2" t="s">
        <v>37</v>
      </c>
      <c r="I2167" s="2" t="s">
        <v>49</v>
      </c>
      <c r="J2167" s="2" t="s">
        <v>2550</v>
      </c>
      <c r="K2167" s="2" t="s">
        <v>495</v>
      </c>
      <c r="L2167" s="13" t="s">
        <v>496</v>
      </c>
      <c r="M2167" s="2" t="s">
        <v>26</v>
      </c>
      <c r="N2167" s="11" t="s">
        <v>576</v>
      </c>
      <c r="O2167" s="12" t="s">
        <v>53</v>
      </c>
      <c r="P2167" s="5" t="str">
        <f>IFERROR(__xludf.DUMMYFUNCTION("TEXTJOIN("" | "",TRUE,IF(OR(D2167="""",E2167="""",I2167="""",J2167="""",H2167=""""),""ফাঁকা ঘর"",""""),IF(AND(C2167&lt;&gt;"""",D2167&lt;&gt;"""",C2167=D2167),""gloss=figurative"",""""),IF(LEN(D2167)&lt;15,""figurative ছোট"",""""),IF(AND(I2167=""Positive"",REGEXMATCH(H2"&amp;"167,""মূর্খ|ভণ্ড|প্রতার|অলস|লোভ|স্বার্থ|অক্ষম|অযোগ্য|বোকা|কৃপণ|হিংস"")),""valence-target অমিল"",""""),IF(COUNTIF($B:$B,B2167)&gt;1,""ডুপ্লিকেট"",""""))"),"figurative ছোট")</f>
        <v>figurative ছোট</v>
      </c>
      <c r="Q2167" s="5" t="str">
        <f t="shared" si="1"/>
        <v>১ আগে দেখো</v>
      </c>
    </row>
    <row r="2168">
      <c r="A2168" s="4">
        <v>7870.0</v>
      </c>
      <c r="B2168" s="2" t="s">
        <v>8347</v>
      </c>
      <c r="C2168" s="2" t="s">
        <v>8348</v>
      </c>
      <c r="D2168" s="2" t="s">
        <v>3783</v>
      </c>
      <c r="E2168" s="2" t="s">
        <v>8349</v>
      </c>
      <c r="F2168" s="2" t="b">
        <v>1</v>
      </c>
      <c r="G2168" s="2" t="b">
        <v>0</v>
      </c>
      <c r="H2168" s="2" t="s">
        <v>37</v>
      </c>
      <c r="I2168" s="2" t="s">
        <v>32</v>
      </c>
      <c r="J2168" s="2" t="s">
        <v>3783</v>
      </c>
      <c r="K2168" s="2" t="s">
        <v>495</v>
      </c>
      <c r="L2168" s="13" t="s">
        <v>496</v>
      </c>
      <c r="M2168" s="2" t="s">
        <v>26</v>
      </c>
      <c r="N2168" s="11" t="s">
        <v>8350</v>
      </c>
      <c r="O2168" s="12" t="s">
        <v>53</v>
      </c>
      <c r="P2168" s="5" t="str">
        <f>IFERROR(__xludf.DUMMYFUNCTION("TEXTJOIN("" | "",TRUE,IF(OR(D2168="""",E2168="""",I2168="""",J2168="""",H2168=""""),""ফাঁকা ঘর"",""""),IF(AND(C2168&lt;&gt;"""",D2168&lt;&gt;"""",C2168=D2168),""gloss=figurative"",""""),IF(LEN(D2168)&lt;15,""figurative ছোট"",""""),IF(AND(I2168=""Positive"",REGEXMATCH(H2"&amp;"168,""মূর্খ|ভণ্ড|প্রতার|অলস|লোভ|স্বার্থ|অক্ষম|অযোগ্য|বোকা|কৃপণ|হিংস"")),""valence-target অমিল"",""""),IF(COUNTIF($B:$B,B2168)&gt;1,""ডুপ্লিকেট"",""""))"),"figurative ছোট")</f>
        <v>figurative ছোট</v>
      </c>
      <c r="Q2168" s="5" t="str">
        <f t="shared" si="1"/>
        <v>১ আগে দেখো</v>
      </c>
    </row>
    <row r="2169">
      <c r="A2169" s="4">
        <v>7871.0</v>
      </c>
      <c r="B2169" s="2" t="s">
        <v>8351</v>
      </c>
      <c r="C2169" s="2" t="s">
        <v>8352</v>
      </c>
      <c r="D2169" s="2" t="s">
        <v>3783</v>
      </c>
      <c r="E2169" s="2" t="s">
        <v>8353</v>
      </c>
      <c r="F2169" s="2" t="b">
        <v>1</v>
      </c>
      <c r="G2169" s="2" t="b">
        <v>0</v>
      </c>
      <c r="H2169" s="2" t="s">
        <v>37</v>
      </c>
      <c r="I2169" s="2" t="s">
        <v>32</v>
      </c>
      <c r="J2169" s="2" t="s">
        <v>3783</v>
      </c>
      <c r="K2169" s="2" t="s">
        <v>495</v>
      </c>
      <c r="L2169" s="13" t="s">
        <v>496</v>
      </c>
      <c r="M2169" s="2" t="s">
        <v>26</v>
      </c>
      <c r="N2169" s="11" t="s">
        <v>8354</v>
      </c>
      <c r="O2169" s="12" t="s">
        <v>53</v>
      </c>
      <c r="P2169" s="5" t="str">
        <f>IFERROR(__xludf.DUMMYFUNCTION("TEXTJOIN("" | "",TRUE,IF(OR(D2169="""",E2169="""",I2169="""",J2169="""",H2169=""""),""ফাঁকা ঘর"",""""),IF(AND(C2169&lt;&gt;"""",D2169&lt;&gt;"""",C2169=D2169),""gloss=figurative"",""""),IF(LEN(D2169)&lt;15,""figurative ছোট"",""""),IF(AND(I2169=""Positive"",REGEXMATCH(H2"&amp;"169,""মূর্খ|ভণ্ড|প্রতার|অলস|লোভ|স্বার্থ|অক্ষম|অযোগ্য|বোকা|কৃপণ|হিংস"")),""valence-target অমিল"",""""),IF(COUNTIF($B:$B,B2169)&gt;1,""ডুপ্লিকেট"",""""))"),"figurative ছোট")</f>
        <v>figurative ছোট</v>
      </c>
      <c r="Q2169" s="5" t="str">
        <f t="shared" si="1"/>
        <v>১ আগে দেখো</v>
      </c>
    </row>
    <row r="2170">
      <c r="A2170" s="4">
        <v>7872.0</v>
      </c>
      <c r="B2170" s="2" t="s">
        <v>8355</v>
      </c>
      <c r="C2170" s="2" t="s">
        <v>8356</v>
      </c>
      <c r="D2170" s="2" t="s">
        <v>1876</v>
      </c>
      <c r="E2170" s="2" t="s">
        <v>8357</v>
      </c>
      <c r="F2170" s="2" t="b">
        <v>1</v>
      </c>
      <c r="G2170" s="2" t="b">
        <v>0</v>
      </c>
      <c r="H2170" s="2" t="s">
        <v>37</v>
      </c>
      <c r="I2170" s="2" t="s">
        <v>22</v>
      </c>
      <c r="J2170" s="2" t="s">
        <v>1876</v>
      </c>
      <c r="K2170" s="2" t="s">
        <v>495</v>
      </c>
      <c r="L2170" s="13" t="s">
        <v>496</v>
      </c>
      <c r="M2170" s="2" t="s">
        <v>26</v>
      </c>
      <c r="N2170" s="11" t="s">
        <v>576</v>
      </c>
      <c r="O2170" s="12" t="s">
        <v>53</v>
      </c>
      <c r="P2170" s="5" t="str">
        <f>IFERROR(__xludf.DUMMYFUNCTION("TEXTJOIN("" | "",TRUE,IF(OR(D2170="""",E2170="""",I2170="""",J2170="""",H2170=""""),""ফাঁকা ঘর"",""""),IF(AND(C2170&lt;&gt;"""",D2170&lt;&gt;"""",C2170=D2170),""gloss=figurative"",""""),IF(LEN(D2170)&lt;15,""figurative ছোট"",""""),IF(AND(I2170=""Positive"",REGEXMATCH(H2"&amp;"170,""মূর্খ|ভণ্ড|প্রতার|অলস|লোভ|স্বার্থ|অক্ষম|অযোগ্য|বোকা|কৃপণ|হিংস"")),""valence-target অমিল"",""""),IF(COUNTIF($B:$B,B2170)&gt;1,""ডুপ্লিকেট"",""""))"),"figurative ছোট")</f>
        <v>figurative ছোট</v>
      </c>
      <c r="Q2170" s="5" t="str">
        <f t="shared" si="1"/>
        <v>১ আগে দেখো</v>
      </c>
    </row>
    <row r="2171">
      <c r="A2171" s="4">
        <v>7873.0</v>
      </c>
      <c r="B2171" s="2" t="s">
        <v>8358</v>
      </c>
      <c r="C2171" s="2" t="s">
        <v>8359</v>
      </c>
      <c r="D2171" s="2" t="s">
        <v>669</v>
      </c>
      <c r="E2171" s="2" t="s">
        <v>8360</v>
      </c>
      <c r="F2171" s="2" t="b">
        <v>1</v>
      </c>
      <c r="G2171" s="2" t="b">
        <v>0</v>
      </c>
      <c r="H2171" s="2" t="s">
        <v>37</v>
      </c>
      <c r="I2171" s="2" t="s">
        <v>22</v>
      </c>
      <c r="J2171" s="2" t="s">
        <v>669</v>
      </c>
      <c r="K2171" s="2" t="s">
        <v>495</v>
      </c>
      <c r="L2171" s="13" t="s">
        <v>496</v>
      </c>
      <c r="M2171" s="2" t="s">
        <v>26</v>
      </c>
      <c r="N2171" s="11" t="s">
        <v>576</v>
      </c>
      <c r="O2171" s="12" t="s">
        <v>53</v>
      </c>
      <c r="P2171" s="5" t="str">
        <f>IFERROR(__xludf.DUMMYFUNCTION("TEXTJOIN("" | "",TRUE,IF(OR(D2171="""",E2171="""",I2171="""",J2171="""",H2171=""""),""ফাঁকা ঘর"",""""),IF(AND(C2171&lt;&gt;"""",D2171&lt;&gt;"""",C2171=D2171),""gloss=figurative"",""""),IF(LEN(D2171)&lt;15,""figurative ছোট"",""""),IF(AND(I2171=""Positive"",REGEXMATCH(H2"&amp;"171,""মূর্খ|ভণ্ড|প্রতার|অলস|লোভ|স্বার্থ|অক্ষম|অযোগ্য|বোকা|কৃপণ|হিংস"")),""valence-target অমিল"",""""),IF(COUNTIF($B:$B,B2171)&gt;1,""ডুপ্লিকেট"",""""))"),"figurative ছোট")</f>
        <v>figurative ছোট</v>
      </c>
      <c r="Q2171" s="5" t="str">
        <f t="shared" si="1"/>
        <v>১ আগে দেখো</v>
      </c>
    </row>
    <row r="2172">
      <c r="A2172" s="4">
        <v>7874.0</v>
      </c>
      <c r="B2172" s="2" t="s">
        <v>8361</v>
      </c>
      <c r="C2172" s="2" t="s">
        <v>8362</v>
      </c>
      <c r="D2172" s="2" t="s">
        <v>669</v>
      </c>
      <c r="E2172" s="2" t="s">
        <v>8363</v>
      </c>
      <c r="F2172" s="2" t="b">
        <v>1</v>
      </c>
      <c r="G2172" s="2" t="b">
        <v>0</v>
      </c>
      <c r="H2172" s="2" t="s">
        <v>37</v>
      </c>
      <c r="I2172" s="2" t="s">
        <v>22</v>
      </c>
      <c r="J2172" s="2" t="s">
        <v>669</v>
      </c>
      <c r="K2172" s="2" t="s">
        <v>495</v>
      </c>
      <c r="L2172" s="13" t="s">
        <v>496</v>
      </c>
      <c r="M2172" s="2" t="s">
        <v>26</v>
      </c>
      <c r="N2172" s="11" t="s">
        <v>576</v>
      </c>
      <c r="O2172" s="12" t="s">
        <v>53</v>
      </c>
      <c r="P2172" s="5" t="str">
        <f>IFERROR(__xludf.DUMMYFUNCTION("TEXTJOIN("" | "",TRUE,IF(OR(D2172="""",E2172="""",I2172="""",J2172="""",H2172=""""),""ফাঁকা ঘর"",""""),IF(AND(C2172&lt;&gt;"""",D2172&lt;&gt;"""",C2172=D2172),""gloss=figurative"",""""),IF(LEN(D2172)&lt;15,""figurative ছোট"",""""),IF(AND(I2172=""Positive"",REGEXMATCH(H2"&amp;"172,""মূর্খ|ভণ্ড|প্রতার|অলস|লোভ|স্বার্থ|অক্ষম|অযোগ্য|বোকা|কৃপণ|হিংস"")),""valence-target অমিল"",""""),IF(COUNTIF($B:$B,B2172)&gt;1,""ডুপ্লিকেট"",""""))"),"figurative ছোট")</f>
        <v>figurative ছোট</v>
      </c>
      <c r="Q2172" s="5" t="str">
        <f t="shared" si="1"/>
        <v>১ আগে দেখো</v>
      </c>
    </row>
    <row r="2173">
      <c r="A2173" s="4">
        <v>7875.0</v>
      </c>
      <c r="B2173" s="2" t="s">
        <v>8364</v>
      </c>
      <c r="C2173" s="2" t="s">
        <v>8365</v>
      </c>
      <c r="D2173" s="2" t="s">
        <v>1679</v>
      </c>
      <c r="E2173" s="2" t="s">
        <v>8366</v>
      </c>
      <c r="F2173" s="2" t="b">
        <v>1</v>
      </c>
      <c r="G2173" s="2" t="b">
        <v>0</v>
      </c>
      <c r="H2173" s="2" t="s">
        <v>37</v>
      </c>
      <c r="I2173" s="2" t="s">
        <v>49</v>
      </c>
      <c r="J2173" s="2" t="s">
        <v>1679</v>
      </c>
      <c r="K2173" s="2" t="s">
        <v>495</v>
      </c>
      <c r="L2173" s="13" t="s">
        <v>496</v>
      </c>
      <c r="M2173" s="2" t="s">
        <v>26</v>
      </c>
      <c r="N2173" s="11" t="s">
        <v>576</v>
      </c>
      <c r="O2173" s="12" t="s">
        <v>53</v>
      </c>
      <c r="P2173" s="5" t="str">
        <f>IFERROR(__xludf.DUMMYFUNCTION("TEXTJOIN("" | "",TRUE,IF(OR(D2173="""",E2173="""",I2173="""",J2173="""",H2173=""""),""ফাঁকা ঘর"",""""),IF(AND(C2173&lt;&gt;"""",D2173&lt;&gt;"""",C2173=D2173),""gloss=figurative"",""""),IF(LEN(D2173)&lt;15,""figurative ছোট"",""""),IF(AND(I2173=""Positive"",REGEXMATCH(H2"&amp;"173,""মূর্খ|ভণ্ড|প্রতার|অলস|লোভ|স্বার্থ|অক্ষম|অযোগ্য|বোকা|কৃপণ|হিংস"")),""valence-target অমিল"",""""),IF(COUNTIF($B:$B,B2173)&gt;1,""ডুপ্লিকেট"",""""))"),"figurative ছোট")</f>
        <v>figurative ছোট</v>
      </c>
      <c r="Q2173" s="5" t="str">
        <f t="shared" si="1"/>
        <v>১ আগে দেখো</v>
      </c>
    </row>
    <row r="2174">
      <c r="A2174" s="4">
        <v>7876.0</v>
      </c>
      <c r="B2174" s="2" t="s">
        <v>8367</v>
      </c>
      <c r="C2174" s="2" t="s">
        <v>8368</v>
      </c>
      <c r="D2174" s="2" t="s">
        <v>8071</v>
      </c>
      <c r="E2174" s="2" t="s">
        <v>8369</v>
      </c>
      <c r="F2174" s="2" t="b">
        <v>1</v>
      </c>
      <c r="G2174" s="2" t="b">
        <v>0</v>
      </c>
      <c r="H2174" s="2" t="s">
        <v>756</v>
      </c>
      <c r="I2174" s="2" t="s">
        <v>22</v>
      </c>
      <c r="J2174" s="2" t="s">
        <v>8071</v>
      </c>
      <c r="K2174" s="2" t="s">
        <v>495</v>
      </c>
      <c r="L2174" s="13" t="s">
        <v>496</v>
      </c>
      <c r="M2174" s="2" t="s">
        <v>26</v>
      </c>
      <c r="N2174" s="11" t="s">
        <v>576</v>
      </c>
      <c r="O2174" s="12" t="s">
        <v>53</v>
      </c>
      <c r="P2174" s="5" t="str">
        <f>IFERROR(__xludf.DUMMYFUNCTION("TEXTJOIN("" | "",TRUE,IF(OR(D2174="""",E2174="""",I2174="""",J2174="""",H2174=""""),""ফাঁকা ঘর"",""""),IF(AND(C2174&lt;&gt;"""",D2174&lt;&gt;"""",C2174=D2174),""gloss=figurative"",""""),IF(LEN(D2174)&lt;15,""figurative ছোট"",""""),IF(AND(I2174=""Positive"",REGEXMATCH(H2"&amp;"174,""মূর্খ|ভণ্ড|প্রতার|অলস|লোভ|স্বার্থ|অক্ষম|অযোগ্য|বোকা|কৃপণ|হিংস"")),""valence-target অমিল"",""""),IF(COUNTIF($B:$B,B2174)&gt;1,""ডুপ্লিকেট"",""""))"),"figurative ছোট")</f>
        <v>figurative ছোট</v>
      </c>
      <c r="Q2174" s="5" t="str">
        <f t="shared" si="1"/>
        <v>১ আগে দেখো</v>
      </c>
    </row>
    <row r="2175">
      <c r="A2175" s="4">
        <v>7877.0</v>
      </c>
      <c r="B2175" s="2" t="s">
        <v>8370</v>
      </c>
      <c r="C2175" s="2" t="s">
        <v>8370</v>
      </c>
      <c r="D2175" s="2" t="s">
        <v>4830</v>
      </c>
      <c r="E2175" s="2" t="s">
        <v>8371</v>
      </c>
      <c r="F2175" s="2" t="b">
        <v>1</v>
      </c>
      <c r="G2175" s="2" t="b">
        <v>0</v>
      </c>
      <c r="H2175" s="2" t="s">
        <v>37</v>
      </c>
      <c r="I2175" s="2" t="s">
        <v>32</v>
      </c>
      <c r="J2175" s="2" t="s">
        <v>2108</v>
      </c>
      <c r="K2175" s="2" t="s">
        <v>495</v>
      </c>
      <c r="L2175" s="13" t="s">
        <v>496</v>
      </c>
      <c r="M2175" s="2" t="s">
        <v>26</v>
      </c>
      <c r="N2175" s="11" t="s">
        <v>576</v>
      </c>
      <c r="O2175" s="12" t="s">
        <v>53</v>
      </c>
      <c r="P2175" s="5" t="str">
        <f>IFERROR(__xludf.DUMMYFUNCTION("TEXTJOIN("" | "",TRUE,IF(OR(D2175="""",E2175="""",I2175="""",J2175="""",H2175=""""),""ফাঁকা ঘর"",""""),IF(AND(C2175&lt;&gt;"""",D2175&lt;&gt;"""",C2175=D2175),""gloss=figurative"",""""),IF(LEN(D2175)&lt;15,""figurative ছোট"",""""),IF(AND(I2175=""Positive"",REGEXMATCH(H2"&amp;"175,""মূর্খ|ভণ্ড|প্রতার|অলস|লোভ|স্বার্থ|অক্ষম|অযোগ্য|বোকা|কৃপণ|হিংস"")),""valence-target অমিল"",""""),IF(COUNTIF($B:$B,B2175)&gt;1,""ডুপ্লিকেট"",""""))"),"figurative ছোট")</f>
        <v>figurative ছোট</v>
      </c>
      <c r="Q2175" s="5" t="str">
        <f t="shared" si="1"/>
        <v>১ আগে দেখো</v>
      </c>
    </row>
    <row r="2176">
      <c r="A2176" s="4">
        <v>7878.0</v>
      </c>
      <c r="B2176" s="2" t="s">
        <v>8372</v>
      </c>
      <c r="C2176" s="2" t="s">
        <v>8372</v>
      </c>
      <c r="D2176" s="2" t="s">
        <v>8373</v>
      </c>
      <c r="E2176" s="2" t="s">
        <v>8374</v>
      </c>
      <c r="F2176" s="2" t="b">
        <v>1</v>
      </c>
      <c r="G2176" s="2" t="b">
        <v>0</v>
      </c>
      <c r="H2176" s="2" t="s">
        <v>37</v>
      </c>
      <c r="I2176" s="2" t="s">
        <v>22</v>
      </c>
      <c r="J2176" s="2" t="s">
        <v>990</v>
      </c>
      <c r="K2176" s="2" t="s">
        <v>495</v>
      </c>
      <c r="L2176" s="13" t="s">
        <v>496</v>
      </c>
      <c r="M2176" s="2" t="s">
        <v>26</v>
      </c>
      <c r="N2176" s="11" t="s">
        <v>576</v>
      </c>
      <c r="O2176" s="12" t="s">
        <v>53</v>
      </c>
      <c r="P2176" s="5" t="str">
        <f>IFERROR(__xludf.DUMMYFUNCTION("TEXTJOIN("" | "",TRUE,IF(OR(D2176="""",E2176="""",I2176="""",J2176="""",H2176=""""),""ফাঁকা ঘর"",""""),IF(AND(C2176&lt;&gt;"""",D2176&lt;&gt;"""",C2176=D2176),""gloss=figurative"",""""),IF(LEN(D2176)&lt;15,""figurative ছোট"",""""),IF(AND(I2176=""Positive"",REGEXMATCH(H2"&amp;"176,""মূর্খ|ভণ্ড|প্রতার|অলস|লোভ|স্বার্থ|অক্ষম|অযোগ্য|বোকা|কৃপণ|হিংস"")),""valence-target অমিল"",""""),IF(COUNTIF($B:$B,B2176)&gt;1,""ডুপ্লিকেট"",""""))"),"figurative ছোট")</f>
        <v>figurative ছোট</v>
      </c>
      <c r="Q2176" s="5" t="str">
        <f t="shared" si="1"/>
        <v>১ আগে দেখো</v>
      </c>
    </row>
    <row r="2177">
      <c r="A2177" s="4">
        <v>7879.0</v>
      </c>
      <c r="B2177" s="2" t="s">
        <v>8375</v>
      </c>
      <c r="C2177" s="2" t="s">
        <v>8376</v>
      </c>
      <c r="D2177" s="2" t="s">
        <v>3867</v>
      </c>
      <c r="E2177" s="2" t="s">
        <v>8377</v>
      </c>
      <c r="F2177" s="2" t="b">
        <v>1</v>
      </c>
      <c r="G2177" s="2" t="b">
        <v>0</v>
      </c>
      <c r="H2177" s="2" t="s">
        <v>37</v>
      </c>
      <c r="I2177" s="2" t="s">
        <v>22</v>
      </c>
      <c r="J2177" s="2" t="s">
        <v>3869</v>
      </c>
      <c r="K2177" s="2" t="s">
        <v>495</v>
      </c>
      <c r="L2177" s="13" t="s">
        <v>496</v>
      </c>
      <c r="M2177" s="2" t="s">
        <v>26</v>
      </c>
      <c r="N2177" s="11" t="s">
        <v>576</v>
      </c>
      <c r="O2177" s="12" t="s">
        <v>53</v>
      </c>
      <c r="P2177" s="5" t="str">
        <f>IFERROR(__xludf.DUMMYFUNCTION("TEXTJOIN("" | "",TRUE,IF(OR(D2177="""",E2177="""",I2177="""",J2177="""",H2177=""""),""ফাঁকা ঘর"",""""),IF(AND(C2177&lt;&gt;"""",D2177&lt;&gt;"""",C2177=D2177),""gloss=figurative"",""""),IF(LEN(D2177)&lt;15,""figurative ছোট"",""""),IF(AND(I2177=""Positive"",REGEXMATCH(H2"&amp;"177,""মূর্খ|ভণ্ড|প্রতার|অলস|লোভ|স্বার্থ|অক্ষম|অযোগ্য|বোকা|কৃপণ|হিংস"")),""valence-target অমিল"",""""),IF(COUNTIF($B:$B,B2177)&gt;1,""ডুপ্লিকেট"",""""))"),"figurative ছোট")</f>
        <v>figurative ছোট</v>
      </c>
      <c r="Q2177" s="5" t="str">
        <f t="shared" si="1"/>
        <v>১ আগে দেখো</v>
      </c>
    </row>
    <row r="2178">
      <c r="A2178" s="4">
        <v>7880.0</v>
      </c>
      <c r="B2178" s="2" t="s">
        <v>8378</v>
      </c>
      <c r="C2178" s="2" t="s">
        <v>8378</v>
      </c>
      <c r="D2178" s="2" t="s">
        <v>8379</v>
      </c>
      <c r="E2178" s="2" t="s">
        <v>8380</v>
      </c>
      <c r="F2178" s="2" t="b">
        <v>1</v>
      </c>
      <c r="G2178" s="2" t="b">
        <v>0</v>
      </c>
      <c r="H2178" s="2" t="s">
        <v>37</v>
      </c>
      <c r="I2178" s="2" t="s">
        <v>32</v>
      </c>
      <c r="J2178" s="2" t="s">
        <v>4103</v>
      </c>
      <c r="K2178" s="2" t="s">
        <v>495</v>
      </c>
      <c r="L2178" s="13" t="s">
        <v>496</v>
      </c>
      <c r="M2178" s="2" t="s">
        <v>26</v>
      </c>
      <c r="N2178" s="11" t="s">
        <v>576</v>
      </c>
      <c r="O2178" s="12" t="s">
        <v>53</v>
      </c>
      <c r="P2178" s="5" t="str">
        <f>IFERROR(__xludf.DUMMYFUNCTION("TEXTJOIN("" | "",TRUE,IF(OR(D2178="""",E2178="""",I2178="""",J2178="""",H2178=""""),""ফাঁকা ঘর"",""""),IF(AND(C2178&lt;&gt;"""",D2178&lt;&gt;"""",C2178=D2178),""gloss=figurative"",""""),IF(LEN(D2178)&lt;15,""figurative ছোট"",""""),IF(AND(I2178=""Positive"",REGEXMATCH(H2"&amp;"178,""মূর্খ|ভণ্ড|প্রতার|অলস|লোভ|স্বার্থ|অক্ষম|অযোগ্য|বোকা|কৃপণ|হিংস"")),""valence-target অমিল"",""""),IF(COUNTIF($B:$B,B2178)&gt;1,""ডুপ্লিকেট"",""""))"),"figurative ছোট")</f>
        <v>figurative ছোট</v>
      </c>
      <c r="Q2178" s="5" t="str">
        <f t="shared" si="1"/>
        <v>১ আগে দেখো</v>
      </c>
    </row>
    <row r="2179">
      <c r="A2179" s="4">
        <v>7881.0</v>
      </c>
      <c r="B2179" s="2" t="s">
        <v>8381</v>
      </c>
      <c r="C2179" s="2" t="s">
        <v>8382</v>
      </c>
      <c r="D2179" s="2" t="s">
        <v>2122</v>
      </c>
      <c r="E2179" s="2" t="s">
        <v>8383</v>
      </c>
      <c r="F2179" s="2" t="b">
        <v>1</v>
      </c>
      <c r="G2179" s="2" t="b">
        <v>0</v>
      </c>
      <c r="H2179" s="2" t="s">
        <v>8384</v>
      </c>
      <c r="I2179" s="2" t="s">
        <v>22</v>
      </c>
      <c r="J2179" s="2" t="s">
        <v>2122</v>
      </c>
      <c r="K2179" s="2" t="s">
        <v>495</v>
      </c>
      <c r="L2179" s="13" t="s">
        <v>496</v>
      </c>
      <c r="M2179" s="2" t="s">
        <v>26</v>
      </c>
      <c r="N2179" s="11" t="s">
        <v>576</v>
      </c>
      <c r="O2179" s="12" t="s">
        <v>53</v>
      </c>
      <c r="P2179" s="5" t="str">
        <f>IFERROR(__xludf.DUMMYFUNCTION("TEXTJOIN("" | "",TRUE,IF(OR(D2179="""",E2179="""",I2179="""",J2179="""",H2179=""""),""ফাঁকা ঘর"",""""),IF(AND(C2179&lt;&gt;"""",D2179&lt;&gt;"""",C2179=D2179),""gloss=figurative"",""""),IF(LEN(D2179)&lt;15,""figurative ছোট"",""""),IF(AND(I2179=""Positive"",REGEXMATCH(H2"&amp;"179,""মূর্খ|ভণ্ড|প্রতার|অলস|লোভ|স্বার্থ|অক্ষম|অযোগ্য|বোকা|কৃপণ|হিংস"")),""valence-target অমিল"",""""),IF(COUNTIF($B:$B,B2179)&gt;1,""ডুপ্লিকেট"",""""))"),"figurative ছোট")</f>
        <v>figurative ছোট</v>
      </c>
      <c r="Q2179" s="5" t="str">
        <f t="shared" si="1"/>
        <v>১ আগে দেখো</v>
      </c>
    </row>
    <row r="2180">
      <c r="A2180" s="4">
        <v>7882.0</v>
      </c>
      <c r="B2180" s="2" t="s">
        <v>8385</v>
      </c>
      <c r="C2180" s="2" t="s">
        <v>8386</v>
      </c>
      <c r="D2180" s="2" t="s">
        <v>1334</v>
      </c>
      <c r="E2180" s="2" t="s">
        <v>8387</v>
      </c>
      <c r="F2180" s="2" t="b">
        <v>1</v>
      </c>
      <c r="G2180" s="2" t="b">
        <v>1</v>
      </c>
      <c r="H2180" s="2" t="s">
        <v>1106</v>
      </c>
      <c r="I2180" s="2" t="s">
        <v>22</v>
      </c>
      <c r="J2180" s="2" t="s">
        <v>820</v>
      </c>
      <c r="K2180" s="2" t="s">
        <v>495</v>
      </c>
      <c r="L2180" s="13" t="s">
        <v>496</v>
      </c>
      <c r="M2180" s="2" t="s">
        <v>26</v>
      </c>
      <c r="N2180" s="11" t="s">
        <v>576</v>
      </c>
      <c r="O2180" s="12" t="s">
        <v>53</v>
      </c>
      <c r="P2180" s="5" t="str">
        <f>IFERROR(__xludf.DUMMYFUNCTION("TEXTJOIN("" | "",TRUE,IF(OR(D2180="""",E2180="""",I2180="""",J2180="""",H2180=""""),""ফাঁকা ঘর"",""""),IF(AND(C2180&lt;&gt;"""",D2180&lt;&gt;"""",C2180=D2180),""gloss=figurative"",""""),IF(LEN(D2180)&lt;15,""figurative ছোট"",""""),IF(AND(I2180=""Positive"",REGEXMATCH(H2"&amp;"180,""মূর্খ|ভণ্ড|প্রতার|অলস|লোভ|স্বার্থ|অক্ষম|অযোগ্য|বোকা|কৃপণ|হিংস"")),""valence-target অমিল"",""""),IF(COUNTIF($B:$B,B2180)&gt;1,""ডুপ্লিকেট"",""""))"),"figurative ছোট")</f>
        <v>figurative ছোট</v>
      </c>
      <c r="Q2180" s="5" t="str">
        <f t="shared" si="1"/>
        <v>১ আগে দেখো</v>
      </c>
    </row>
    <row r="2181">
      <c r="A2181" s="4">
        <v>7883.0</v>
      </c>
      <c r="B2181" s="2" t="s">
        <v>8388</v>
      </c>
      <c r="C2181" s="2" t="s">
        <v>8389</v>
      </c>
      <c r="D2181" s="2" t="s">
        <v>8390</v>
      </c>
      <c r="E2181" s="2" t="s">
        <v>8391</v>
      </c>
      <c r="F2181" s="2" t="b">
        <v>1</v>
      </c>
      <c r="G2181" s="2" t="b">
        <v>0</v>
      </c>
      <c r="H2181" s="2" t="s">
        <v>37</v>
      </c>
      <c r="I2181" s="2" t="s">
        <v>32</v>
      </c>
      <c r="J2181" s="2" t="s">
        <v>8392</v>
      </c>
      <c r="K2181" s="2" t="s">
        <v>495</v>
      </c>
      <c r="L2181" s="13" t="s">
        <v>496</v>
      </c>
      <c r="M2181" s="2" t="s">
        <v>26</v>
      </c>
      <c r="N2181" s="11" t="s">
        <v>576</v>
      </c>
      <c r="O2181" s="12" t="s">
        <v>53</v>
      </c>
      <c r="P2181" s="5" t="str">
        <f>IFERROR(__xludf.DUMMYFUNCTION("TEXTJOIN("" | "",TRUE,IF(OR(D2181="""",E2181="""",I2181="""",J2181="""",H2181=""""),""ফাঁকা ঘর"",""""),IF(AND(C2181&lt;&gt;"""",D2181&lt;&gt;"""",C2181=D2181),""gloss=figurative"",""""),IF(LEN(D2181)&lt;15,""figurative ছোট"",""""),IF(AND(I2181=""Positive"",REGEXMATCH(H2"&amp;"181,""মূর্খ|ভণ্ড|প্রতার|অলস|লোভ|স্বার্থ|অক্ষম|অযোগ্য|বোকা|কৃপণ|হিংস"")),""valence-target অমিল"",""""),IF(COUNTIF($B:$B,B2181)&gt;1,""ডুপ্লিকেট"",""""))"),"figurative ছোট")</f>
        <v>figurative ছোট</v>
      </c>
      <c r="Q2181" s="5" t="str">
        <f t="shared" si="1"/>
        <v>১ আগে দেখো</v>
      </c>
    </row>
    <row r="2182">
      <c r="A2182" s="4">
        <v>7884.0</v>
      </c>
      <c r="B2182" s="2" t="s">
        <v>8393</v>
      </c>
      <c r="C2182" s="2" t="s">
        <v>8394</v>
      </c>
      <c r="D2182" s="2" t="s">
        <v>8395</v>
      </c>
      <c r="E2182" s="2" t="s">
        <v>8396</v>
      </c>
      <c r="F2182" s="2" t="b">
        <v>1</v>
      </c>
      <c r="G2182" s="2" t="b">
        <v>0</v>
      </c>
      <c r="H2182" s="2" t="s">
        <v>37</v>
      </c>
      <c r="I2182" s="2" t="s">
        <v>22</v>
      </c>
      <c r="J2182" s="2" t="s">
        <v>8395</v>
      </c>
      <c r="K2182" s="2" t="s">
        <v>495</v>
      </c>
      <c r="L2182" s="13" t="s">
        <v>496</v>
      </c>
      <c r="M2182" s="2" t="s">
        <v>26</v>
      </c>
      <c r="N2182" s="11" t="s">
        <v>8397</v>
      </c>
      <c r="O2182" s="12" t="s">
        <v>53</v>
      </c>
      <c r="P2182" s="5" t="str">
        <f>IFERROR(__xludf.DUMMYFUNCTION("TEXTJOIN("" | "",TRUE,IF(OR(D2182="""",E2182="""",I2182="""",J2182="""",H2182=""""),""ফাঁকা ঘর"",""""),IF(AND(C2182&lt;&gt;"""",D2182&lt;&gt;"""",C2182=D2182),""gloss=figurative"",""""),IF(LEN(D2182)&lt;15,""figurative ছোট"",""""),IF(AND(I2182=""Positive"",REGEXMATCH(H2"&amp;"182,""মূর্খ|ভণ্ড|প্রতার|অলস|লোভ|স্বার্থ|অক্ষম|অযোগ্য|বোকা|কৃপণ|হিংস"")),""valence-target অমিল"",""""),IF(COUNTIF($B:$B,B2182)&gt;1,""ডুপ্লিকেট"",""""))"),"figurative ছোট")</f>
        <v>figurative ছোট</v>
      </c>
      <c r="Q2182" s="5" t="str">
        <f t="shared" si="1"/>
        <v>১ আগে দেখো</v>
      </c>
    </row>
    <row r="2183">
      <c r="A2183" s="4">
        <v>7885.0</v>
      </c>
      <c r="B2183" s="2" t="s">
        <v>8398</v>
      </c>
      <c r="C2183" s="2" t="s">
        <v>8399</v>
      </c>
      <c r="D2183" s="2" t="s">
        <v>8400</v>
      </c>
      <c r="E2183" s="2" t="s">
        <v>8401</v>
      </c>
      <c r="F2183" s="2" t="b">
        <v>1</v>
      </c>
      <c r="G2183" s="2" t="b">
        <v>0</v>
      </c>
      <c r="H2183" s="2" t="s">
        <v>37</v>
      </c>
      <c r="I2183" s="2" t="s">
        <v>22</v>
      </c>
      <c r="J2183" s="2" t="s">
        <v>8395</v>
      </c>
      <c r="K2183" s="2" t="s">
        <v>495</v>
      </c>
      <c r="L2183" s="13" t="s">
        <v>496</v>
      </c>
      <c r="M2183" s="2" t="s">
        <v>26</v>
      </c>
      <c r="N2183" s="11" t="s">
        <v>8402</v>
      </c>
      <c r="O2183" s="12" t="s">
        <v>53</v>
      </c>
      <c r="P2183" s="5" t="str">
        <f>IFERROR(__xludf.DUMMYFUNCTION("TEXTJOIN("" | "",TRUE,IF(OR(D2183="""",E2183="""",I2183="""",J2183="""",H2183=""""),""ফাঁকা ঘর"",""""),IF(AND(C2183&lt;&gt;"""",D2183&lt;&gt;"""",C2183=D2183),""gloss=figurative"",""""),IF(LEN(D2183)&lt;15,""figurative ছোট"",""""),IF(AND(I2183=""Positive"",REGEXMATCH(H2"&amp;"183,""মূর্খ|ভণ্ড|প্রতার|অলস|লোভ|স্বার্থ|অক্ষম|অযোগ্য|বোকা|কৃপণ|হিংস"")),""valence-target অমিল"",""""),IF(COUNTIF($B:$B,B2183)&gt;1,""ডুপ্লিকেট"",""""))"),"figurative ছোট")</f>
        <v>figurative ছোট</v>
      </c>
      <c r="Q2183" s="5" t="str">
        <f t="shared" si="1"/>
        <v>১ আগে দেখো</v>
      </c>
    </row>
    <row r="2184">
      <c r="A2184" s="4">
        <v>7886.0</v>
      </c>
      <c r="B2184" s="2" t="s">
        <v>8403</v>
      </c>
      <c r="C2184" s="2" t="s">
        <v>8404</v>
      </c>
      <c r="D2184" s="2" t="s">
        <v>8405</v>
      </c>
      <c r="E2184" s="2" t="s">
        <v>8406</v>
      </c>
      <c r="F2184" s="2" t="b">
        <v>1</v>
      </c>
      <c r="G2184" s="2" t="b">
        <v>0</v>
      </c>
      <c r="H2184" s="2" t="s">
        <v>37</v>
      </c>
      <c r="I2184" s="2" t="s">
        <v>22</v>
      </c>
      <c r="J2184" s="2" t="s">
        <v>4551</v>
      </c>
      <c r="K2184" s="2" t="s">
        <v>495</v>
      </c>
      <c r="L2184" s="13" t="s">
        <v>496</v>
      </c>
      <c r="M2184" s="2" t="s">
        <v>26</v>
      </c>
      <c r="N2184" s="11" t="s">
        <v>576</v>
      </c>
      <c r="O2184" s="12" t="s">
        <v>53</v>
      </c>
      <c r="P2184" s="5" t="str">
        <f>IFERROR(__xludf.DUMMYFUNCTION("TEXTJOIN("" | "",TRUE,IF(OR(D2184="""",E2184="""",I2184="""",J2184="""",H2184=""""),""ফাঁকা ঘর"",""""),IF(AND(C2184&lt;&gt;"""",D2184&lt;&gt;"""",C2184=D2184),""gloss=figurative"",""""),IF(LEN(D2184)&lt;15,""figurative ছোট"",""""),IF(AND(I2184=""Positive"",REGEXMATCH(H2"&amp;"184,""মূর্খ|ভণ্ড|প্রতার|অলস|লোভ|স্বার্থ|অক্ষম|অযোগ্য|বোকা|কৃপণ|হিংস"")),""valence-target অমিল"",""""),IF(COUNTIF($B:$B,B2184)&gt;1,""ডুপ্লিকেট"",""""))"),"figurative ছোট")</f>
        <v>figurative ছোট</v>
      </c>
      <c r="Q2184" s="5" t="str">
        <f t="shared" si="1"/>
        <v>১ আগে দেখো</v>
      </c>
    </row>
    <row r="2185">
      <c r="A2185" s="4">
        <v>7887.0</v>
      </c>
      <c r="B2185" s="2" t="s">
        <v>8407</v>
      </c>
      <c r="C2185" s="2" t="s">
        <v>8408</v>
      </c>
      <c r="D2185" s="2" t="s">
        <v>8409</v>
      </c>
      <c r="E2185" s="2" t="s">
        <v>8410</v>
      </c>
      <c r="F2185" s="2" t="b">
        <v>1</v>
      </c>
      <c r="G2185" s="2" t="b">
        <v>0</v>
      </c>
      <c r="H2185" s="2" t="s">
        <v>37</v>
      </c>
      <c r="I2185" s="2" t="s">
        <v>22</v>
      </c>
      <c r="J2185" s="2" t="s">
        <v>971</v>
      </c>
      <c r="K2185" s="2" t="s">
        <v>495</v>
      </c>
      <c r="L2185" s="13" t="s">
        <v>496</v>
      </c>
      <c r="M2185" s="2" t="s">
        <v>26</v>
      </c>
      <c r="N2185" s="11" t="s">
        <v>8411</v>
      </c>
      <c r="O2185" s="12" t="s">
        <v>53</v>
      </c>
      <c r="P2185" s="5" t="str">
        <f>IFERROR(__xludf.DUMMYFUNCTION("TEXTJOIN("" | "",TRUE,IF(OR(D2185="""",E2185="""",I2185="""",J2185="""",H2185=""""),""ফাঁকা ঘর"",""""),IF(AND(C2185&lt;&gt;"""",D2185&lt;&gt;"""",C2185=D2185),""gloss=figurative"",""""),IF(LEN(D2185)&lt;15,""figurative ছোট"",""""),IF(AND(I2185=""Positive"",REGEXMATCH(H2"&amp;"185,""মূর্খ|ভণ্ড|প্রতার|অলস|লোভ|স্বার্থ|অক্ষম|অযোগ্য|বোকা|কৃপণ|হিংস"")),""valence-target অমিল"",""""),IF(COUNTIF($B:$B,B2185)&gt;1,""ডুপ্লিকেট"",""""))"),"figurative ছোট")</f>
        <v>figurative ছোট</v>
      </c>
      <c r="Q2185" s="5" t="str">
        <f t="shared" si="1"/>
        <v>১ আগে দেখো</v>
      </c>
    </row>
    <row r="2186">
      <c r="A2186" s="4">
        <v>7888.0</v>
      </c>
      <c r="B2186" s="2" t="s">
        <v>8412</v>
      </c>
      <c r="C2186" s="2" t="s">
        <v>8413</v>
      </c>
      <c r="D2186" s="2" t="s">
        <v>2064</v>
      </c>
      <c r="E2186" s="2" t="s">
        <v>8414</v>
      </c>
      <c r="F2186" s="2" t="b">
        <v>1</v>
      </c>
      <c r="G2186" s="2" t="b">
        <v>0</v>
      </c>
      <c r="H2186" s="2" t="s">
        <v>37</v>
      </c>
      <c r="I2186" s="2" t="s">
        <v>22</v>
      </c>
      <c r="J2186" s="2" t="s">
        <v>2064</v>
      </c>
      <c r="K2186" s="2" t="s">
        <v>495</v>
      </c>
      <c r="L2186" s="13" t="s">
        <v>496</v>
      </c>
      <c r="M2186" s="2" t="s">
        <v>26</v>
      </c>
      <c r="N2186" s="11" t="s">
        <v>8415</v>
      </c>
      <c r="O2186" s="12" t="s">
        <v>53</v>
      </c>
      <c r="P2186" s="5" t="str">
        <f>IFERROR(__xludf.DUMMYFUNCTION("TEXTJOIN("" | "",TRUE,IF(OR(D2186="""",E2186="""",I2186="""",J2186="""",H2186=""""),""ফাঁকা ঘর"",""""),IF(AND(C2186&lt;&gt;"""",D2186&lt;&gt;"""",C2186=D2186),""gloss=figurative"",""""),IF(LEN(D2186)&lt;15,""figurative ছোট"",""""),IF(AND(I2186=""Positive"",REGEXMATCH(H2"&amp;"186,""মূর্খ|ভণ্ড|প্রতার|অলস|লোভ|স্বার্থ|অক্ষম|অযোগ্য|বোকা|কৃপণ|হিংস"")),""valence-target অমিল"",""""),IF(COUNTIF($B:$B,B2186)&gt;1,""ডুপ্লিকেট"",""""))"),"figurative ছোট")</f>
        <v>figurative ছোট</v>
      </c>
      <c r="Q2186" s="5" t="str">
        <f t="shared" si="1"/>
        <v>১ আগে দেখো</v>
      </c>
    </row>
    <row r="2187">
      <c r="A2187" s="4">
        <v>7889.0</v>
      </c>
      <c r="B2187" s="2" t="s">
        <v>8416</v>
      </c>
      <c r="C2187" s="2" t="s">
        <v>8416</v>
      </c>
      <c r="D2187" s="2" t="s">
        <v>8417</v>
      </c>
      <c r="E2187" s="2" t="s">
        <v>8418</v>
      </c>
      <c r="F2187" s="2" t="b">
        <v>1</v>
      </c>
      <c r="G2187" s="2" t="b">
        <v>0</v>
      </c>
      <c r="H2187" s="2" t="s">
        <v>37</v>
      </c>
      <c r="I2187" s="2" t="s">
        <v>22</v>
      </c>
      <c r="J2187" s="2" t="s">
        <v>5207</v>
      </c>
      <c r="K2187" s="2" t="s">
        <v>495</v>
      </c>
      <c r="L2187" s="13" t="s">
        <v>496</v>
      </c>
      <c r="M2187" s="2" t="s">
        <v>26</v>
      </c>
      <c r="N2187" s="11" t="s">
        <v>576</v>
      </c>
      <c r="O2187" s="12" t="s">
        <v>53</v>
      </c>
      <c r="P2187" s="5" t="str">
        <f>IFERROR(__xludf.DUMMYFUNCTION("TEXTJOIN("" | "",TRUE,IF(OR(D2187="""",E2187="""",I2187="""",J2187="""",H2187=""""),""ফাঁকা ঘর"",""""),IF(AND(C2187&lt;&gt;"""",D2187&lt;&gt;"""",C2187=D2187),""gloss=figurative"",""""),IF(LEN(D2187)&lt;15,""figurative ছোট"",""""),IF(AND(I2187=""Positive"",REGEXMATCH(H2"&amp;"187,""মূর্খ|ভণ্ড|প্রতার|অলস|লোভ|স্বার্থ|অক্ষম|অযোগ্য|বোকা|কৃপণ|হিংস"")),""valence-target অমিল"",""""),IF(COUNTIF($B:$B,B2187)&gt;1,""ডুপ্লিকেট"",""""))"),"figurative ছোট")</f>
        <v>figurative ছোট</v>
      </c>
      <c r="Q2187" s="5" t="str">
        <f t="shared" si="1"/>
        <v>১ আগে দেখো</v>
      </c>
    </row>
    <row r="2188">
      <c r="A2188" s="4">
        <v>7890.0</v>
      </c>
      <c r="B2188" s="2" t="s">
        <v>8419</v>
      </c>
      <c r="C2188" s="2" t="s">
        <v>8420</v>
      </c>
      <c r="D2188" s="2" t="s">
        <v>190</v>
      </c>
      <c r="E2188" s="2" t="s">
        <v>8421</v>
      </c>
      <c r="F2188" s="2" t="b">
        <v>1</v>
      </c>
      <c r="G2188" s="2" t="b">
        <v>0</v>
      </c>
      <c r="H2188" s="2" t="s">
        <v>37</v>
      </c>
      <c r="I2188" s="2" t="s">
        <v>32</v>
      </c>
      <c r="J2188" s="2" t="s">
        <v>1553</v>
      </c>
      <c r="K2188" s="2" t="s">
        <v>495</v>
      </c>
      <c r="L2188" s="13" t="s">
        <v>496</v>
      </c>
      <c r="M2188" s="2" t="s">
        <v>26</v>
      </c>
      <c r="N2188" s="11" t="s">
        <v>576</v>
      </c>
      <c r="O2188" s="12" t="s">
        <v>53</v>
      </c>
      <c r="P2188" s="5" t="str">
        <f>IFERROR(__xludf.DUMMYFUNCTION("TEXTJOIN("" | "",TRUE,IF(OR(D2188="""",E2188="""",I2188="""",J2188="""",H2188=""""),""ফাঁকা ঘর"",""""),IF(AND(C2188&lt;&gt;"""",D2188&lt;&gt;"""",C2188=D2188),""gloss=figurative"",""""),IF(LEN(D2188)&lt;15,""figurative ছোট"",""""),IF(AND(I2188=""Positive"",REGEXMATCH(H2"&amp;"188,""মূর্খ|ভণ্ড|প্রতার|অলস|লোভ|স্বার্থ|অক্ষম|অযোগ্য|বোকা|কৃপণ|হিংস"")),""valence-target অমিল"",""""),IF(COUNTIF($B:$B,B2188)&gt;1,""ডুপ্লিকেট"",""""))"),"figurative ছোট")</f>
        <v>figurative ছোট</v>
      </c>
      <c r="Q2188" s="5" t="str">
        <f t="shared" si="1"/>
        <v>১ আগে দেখো</v>
      </c>
    </row>
    <row r="2189">
      <c r="A2189" s="4">
        <v>7891.0</v>
      </c>
      <c r="B2189" s="2" t="s">
        <v>8422</v>
      </c>
      <c r="C2189" s="2" t="s">
        <v>8423</v>
      </c>
      <c r="D2189" s="2" t="s">
        <v>739</v>
      </c>
      <c r="E2189" s="2" t="s">
        <v>8424</v>
      </c>
      <c r="F2189" s="2" t="b">
        <v>1</v>
      </c>
      <c r="G2189" s="2" t="b">
        <v>0</v>
      </c>
      <c r="H2189" s="2" t="s">
        <v>37</v>
      </c>
      <c r="I2189" s="2" t="s">
        <v>22</v>
      </c>
      <c r="J2189" s="2" t="s">
        <v>739</v>
      </c>
      <c r="K2189" s="2" t="s">
        <v>495</v>
      </c>
      <c r="L2189" s="13" t="s">
        <v>496</v>
      </c>
      <c r="M2189" s="2" t="s">
        <v>26</v>
      </c>
      <c r="N2189" s="11" t="s">
        <v>576</v>
      </c>
      <c r="O2189" s="12" t="s">
        <v>53</v>
      </c>
      <c r="P2189" s="5" t="str">
        <f>IFERROR(__xludf.DUMMYFUNCTION("TEXTJOIN("" | "",TRUE,IF(OR(D2189="""",E2189="""",I2189="""",J2189="""",H2189=""""),""ফাঁকা ঘর"",""""),IF(AND(C2189&lt;&gt;"""",D2189&lt;&gt;"""",C2189=D2189),""gloss=figurative"",""""),IF(LEN(D2189)&lt;15,""figurative ছোট"",""""),IF(AND(I2189=""Positive"",REGEXMATCH(H2"&amp;"189,""মূর্খ|ভণ্ড|প্রতার|অলস|লোভ|স্বার্থ|অক্ষম|অযোগ্য|বোকা|কৃপণ|হিংস"")),""valence-target অমিল"",""""),IF(COUNTIF($B:$B,B2189)&gt;1,""ডুপ্লিকেট"",""""))"),"figurative ছোট")</f>
        <v>figurative ছোট</v>
      </c>
      <c r="Q2189" s="5" t="str">
        <f t="shared" si="1"/>
        <v>১ আগে দেখো</v>
      </c>
    </row>
    <row r="2190">
      <c r="A2190" s="4">
        <v>7892.0</v>
      </c>
      <c r="B2190" s="2" t="s">
        <v>8425</v>
      </c>
      <c r="C2190" s="2" t="s">
        <v>8426</v>
      </c>
      <c r="D2190" s="2" t="s">
        <v>8427</v>
      </c>
      <c r="E2190" s="2" t="s">
        <v>8428</v>
      </c>
      <c r="F2190" s="2" t="b">
        <v>1</v>
      </c>
      <c r="G2190" s="2" t="b">
        <v>0</v>
      </c>
      <c r="H2190" s="2" t="s">
        <v>37</v>
      </c>
      <c r="I2190" s="2" t="s">
        <v>32</v>
      </c>
      <c r="J2190" s="2" t="s">
        <v>1510</v>
      </c>
      <c r="K2190" s="2" t="s">
        <v>495</v>
      </c>
      <c r="L2190" s="13" t="s">
        <v>496</v>
      </c>
      <c r="M2190" s="2" t="s">
        <v>26</v>
      </c>
      <c r="N2190" s="11" t="s">
        <v>8429</v>
      </c>
      <c r="O2190" s="12" t="s">
        <v>53</v>
      </c>
      <c r="P2190" s="5" t="str">
        <f>IFERROR(__xludf.DUMMYFUNCTION("TEXTJOIN("" | "",TRUE,IF(OR(D2190="""",E2190="""",I2190="""",J2190="""",H2190=""""),""ফাঁকা ঘর"",""""),IF(AND(C2190&lt;&gt;"""",D2190&lt;&gt;"""",C2190=D2190),""gloss=figurative"",""""),IF(LEN(D2190)&lt;15,""figurative ছোট"",""""),IF(AND(I2190=""Positive"",REGEXMATCH(H2"&amp;"190,""মূর্খ|ভণ্ড|প্রতার|অলস|লোভ|স্বার্থ|অক্ষম|অযোগ্য|বোকা|কৃপণ|হিংস"")),""valence-target অমিল"",""""),IF(COUNTIF($B:$B,B2190)&gt;1,""ডুপ্লিকেট"",""""))"),"figurative ছোট")</f>
        <v>figurative ছোট</v>
      </c>
      <c r="Q2190" s="5" t="str">
        <f t="shared" si="1"/>
        <v>১ আগে দেখো</v>
      </c>
    </row>
    <row r="2191">
      <c r="A2191" s="4">
        <v>7893.0</v>
      </c>
      <c r="B2191" s="2" t="s">
        <v>8430</v>
      </c>
      <c r="C2191" s="2" t="s">
        <v>8431</v>
      </c>
      <c r="D2191" s="2" t="s">
        <v>3570</v>
      </c>
      <c r="E2191" s="2" t="s">
        <v>8432</v>
      </c>
      <c r="F2191" s="2" t="b">
        <v>1</v>
      </c>
      <c r="G2191" s="2" t="b">
        <v>0</v>
      </c>
      <c r="H2191" s="2" t="s">
        <v>37</v>
      </c>
      <c r="I2191" s="2" t="s">
        <v>32</v>
      </c>
      <c r="J2191" s="2" t="s">
        <v>1510</v>
      </c>
      <c r="K2191" s="2" t="s">
        <v>495</v>
      </c>
      <c r="L2191" s="13" t="s">
        <v>496</v>
      </c>
      <c r="M2191" s="2" t="s">
        <v>26</v>
      </c>
      <c r="N2191" s="11" t="s">
        <v>8433</v>
      </c>
      <c r="O2191" s="12" t="s">
        <v>53</v>
      </c>
      <c r="P2191" s="5" t="str">
        <f>IFERROR(__xludf.DUMMYFUNCTION("TEXTJOIN("" | "",TRUE,IF(OR(D2191="""",E2191="""",I2191="""",J2191="""",H2191=""""),""ফাঁকা ঘর"",""""),IF(AND(C2191&lt;&gt;"""",D2191&lt;&gt;"""",C2191=D2191),""gloss=figurative"",""""),IF(LEN(D2191)&lt;15,""figurative ছোট"",""""),IF(AND(I2191=""Positive"",REGEXMATCH(H2"&amp;"191,""মূর্খ|ভণ্ড|প্রতার|অলস|লোভ|স্বার্থ|অক্ষম|অযোগ্য|বোকা|কৃপণ|হিংস"")),""valence-target অমিল"",""""),IF(COUNTIF($B:$B,B2191)&gt;1,""ডুপ্লিকেট"",""""))"),"figurative ছোট")</f>
        <v>figurative ছোট</v>
      </c>
      <c r="Q2191" s="5" t="str">
        <f t="shared" si="1"/>
        <v>১ আগে দেখো</v>
      </c>
    </row>
    <row r="2192">
      <c r="A2192" s="4">
        <v>7894.0</v>
      </c>
      <c r="B2192" s="2" t="s">
        <v>8434</v>
      </c>
      <c r="C2192" s="2" t="s">
        <v>8434</v>
      </c>
      <c r="D2192" s="2" t="s">
        <v>8435</v>
      </c>
      <c r="E2192" s="2" t="s">
        <v>8436</v>
      </c>
      <c r="F2192" s="2" t="b">
        <v>1</v>
      </c>
      <c r="G2192" s="2" t="b">
        <v>0</v>
      </c>
      <c r="H2192" s="2" t="s">
        <v>37</v>
      </c>
      <c r="I2192" s="2" t="s">
        <v>22</v>
      </c>
      <c r="J2192" s="2" t="s">
        <v>4551</v>
      </c>
      <c r="K2192" s="2" t="s">
        <v>495</v>
      </c>
      <c r="L2192" s="13" t="s">
        <v>496</v>
      </c>
      <c r="M2192" s="2" t="s">
        <v>26</v>
      </c>
      <c r="N2192" s="11" t="s">
        <v>576</v>
      </c>
      <c r="O2192" s="12" t="s">
        <v>53</v>
      </c>
      <c r="P2192" s="5" t="str">
        <f>IFERROR(__xludf.DUMMYFUNCTION("TEXTJOIN("" | "",TRUE,IF(OR(D2192="""",E2192="""",I2192="""",J2192="""",H2192=""""),""ফাঁকা ঘর"",""""),IF(AND(C2192&lt;&gt;"""",D2192&lt;&gt;"""",C2192=D2192),""gloss=figurative"",""""),IF(LEN(D2192)&lt;15,""figurative ছোট"",""""),IF(AND(I2192=""Positive"",REGEXMATCH(H2"&amp;"192,""মূর্খ|ভণ্ড|প্রতার|অলস|লোভ|স্বার্থ|অক্ষম|অযোগ্য|বোকা|কৃপণ|হিংস"")),""valence-target অমিল"",""""),IF(COUNTIF($B:$B,B2192)&gt;1,""ডুপ্লিকেট"",""""))"),"figurative ছোট")</f>
        <v>figurative ছোট</v>
      </c>
      <c r="Q2192" s="5" t="str">
        <f t="shared" si="1"/>
        <v>১ আগে দেখো</v>
      </c>
    </row>
    <row r="2193">
      <c r="A2193" s="4">
        <v>7895.0</v>
      </c>
      <c r="B2193" s="2" t="s">
        <v>8437</v>
      </c>
      <c r="C2193" s="2" t="s">
        <v>8438</v>
      </c>
      <c r="D2193" s="2" t="s">
        <v>1940</v>
      </c>
      <c r="E2193" s="2" t="s">
        <v>8439</v>
      </c>
      <c r="F2193" s="2" t="b">
        <v>1</v>
      </c>
      <c r="G2193" s="2" t="b">
        <v>0</v>
      </c>
      <c r="H2193" s="2" t="s">
        <v>37</v>
      </c>
      <c r="I2193" s="2" t="s">
        <v>32</v>
      </c>
      <c r="J2193" s="2" t="s">
        <v>1940</v>
      </c>
      <c r="K2193" s="2" t="s">
        <v>495</v>
      </c>
      <c r="L2193" s="13" t="s">
        <v>496</v>
      </c>
      <c r="M2193" s="2" t="s">
        <v>26</v>
      </c>
      <c r="N2193" s="11" t="s">
        <v>576</v>
      </c>
      <c r="O2193" s="12" t="s">
        <v>53</v>
      </c>
      <c r="P2193" s="5" t="str">
        <f>IFERROR(__xludf.DUMMYFUNCTION("TEXTJOIN("" | "",TRUE,IF(OR(D2193="""",E2193="""",I2193="""",J2193="""",H2193=""""),""ফাঁকা ঘর"",""""),IF(AND(C2193&lt;&gt;"""",D2193&lt;&gt;"""",C2193=D2193),""gloss=figurative"",""""),IF(LEN(D2193)&lt;15,""figurative ছোট"",""""),IF(AND(I2193=""Positive"",REGEXMATCH(H2"&amp;"193,""মূর্খ|ভণ্ড|প্রতার|অলস|লোভ|স্বার্থ|অক্ষম|অযোগ্য|বোকা|কৃপণ|হিংস"")),""valence-target অমিল"",""""),IF(COUNTIF($B:$B,B2193)&gt;1,""ডুপ্লিকেট"",""""))"),"figurative ছোট")</f>
        <v>figurative ছোট</v>
      </c>
      <c r="Q2193" s="5" t="str">
        <f t="shared" si="1"/>
        <v>১ আগে দেখো</v>
      </c>
    </row>
    <row r="2194">
      <c r="A2194" s="4">
        <v>7896.0</v>
      </c>
      <c r="B2194" s="2" t="s">
        <v>8440</v>
      </c>
      <c r="C2194" s="2" t="s">
        <v>8441</v>
      </c>
      <c r="D2194" s="2" t="s">
        <v>8442</v>
      </c>
      <c r="E2194" s="2" t="s">
        <v>8443</v>
      </c>
      <c r="F2194" s="2" t="b">
        <v>1</v>
      </c>
      <c r="G2194" s="2" t="b">
        <v>0</v>
      </c>
      <c r="H2194" s="2" t="s">
        <v>3161</v>
      </c>
      <c r="I2194" s="2" t="s">
        <v>22</v>
      </c>
      <c r="J2194" s="2" t="s">
        <v>601</v>
      </c>
      <c r="K2194" s="2" t="s">
        <v>495</v>
      </c>
      <c r="L2194" s="13" t="s">
        <v>496</v>
      </c>
      <c r="M2194" s="2" t="s">
        <v>26</v>
      </c>
      <c r="N2194" s="11" t="s">
        <v>8444</v>
      </c>
      <c r="O2194" s="12" t="s">
        <v>53</v>
      </c>
      <c r="P2194" s="5" t="str">
        <f>IFERROR(__xludf.DUMMYFUNCTION("TEXTJOIN("" | "",TRUE,IF(OR(D2194="""",E2194="""",I2194="""",J2194="""",H2194=""""),""ফাঁকা ঘর"",""""),IF(AND(C2194&lt;&gt;"""",D2194&lt;&gt;"""",C2194=D2194),""gloss=figurative"",""""),IF(LEN(D2194)&lt;15,""figurative ছোট"",""""),IF(AND(I2194=""Positive"",REGEXMATCH(H2"&amp;"194,""মূর্খ|ভণ্ড|প্রতার|অলস|লোভ|স্বার্থ|অক্ষম|অযোগ্য|বোকা|কৃপণ|হিংস"")),""valence-target অমিল"",""""),IF(COUNTIF($B:$B,B2194)&gt;1,""ডুপ্লিকেট"",""""))"),"figurative ছোট | ডুপ্লিকেট")</f>
        <v>figurative ছোট | ডুপ্লিকেট</v>
      </c>
      <c r="Q2194" s="5" t="str">
        <f t="shared" si="1"/>
        <v>১ আগে দেখো</v>
      </c>
    </row>
    <row r="2195">
      <c r="A2195" s="4">
        <v>7897.0</v>
      </c>
      <c r="B2195" s="2" t="s">
        <v>8440</v>
      </c>
      <c r="C2195" s="2" t="s">
        <v>8445</v>
      </c>
      <c r="D2195" s="2" t="s">
        <v>2255</v>
      </c>
      <c r="E2195" s="2" t="s">
        <v>8446</v>
      </c>
      <c r="F2195" s="2" t="b">
        <v>1</v>
      </c>
      <c r="G2195" s="2" t="b">
        <v>0</v>
      </c>
      <c r="H2195" s="2" t="s">
        <v>3161</v>
      </c>
      <c r="I2195" s="2" t="s">
        <v>22</v>
      </c>
      <c r="J2195" s="2" t="s">
        <v>601</v>
      </c>
      <c r="K2195" s="2" t="s">
        <v>495</v>
      </c>
      <c r="L2195" s="13" t="s">
        <v>496</v>
      </c>
      <c r="M2195" s="2" t="s">
        <v>26</v>
      </c>
      <c r="N2195" s="11" t="s">
        <v>8447</v>
      </c>
      <c r="O2195" s="12" t="s">
        <v>53</v>
      </c>
      <c r="P2195" s="5" t="str">
        <f>IFERROR(__xludf.DUMMYFUNCTION("TEXTJOIN("" | "",TRUE,IF(OR(D2195="""",E2195="""",I2195="""",J2195="""",H2195=""""),""ফাঁকা ঘর"",""""),IF(AND(C2195&lt;&gt;"""",D2195&lt;&gt;"""",C2195=D2195),""gloss=figurative"",""""),IF(LEN(D2195)&lt;15,""figurative ছোট"",""""),IF(AND(I2195=""Positive"",REGEXMATCH(H2"&amp;"195,""মূর্খ|ভণ্ড|প্রতার|অলস|লোভ|স্বার্থ|অক্ষম|অযোগ্য|বোকা|কৃপণ|হিংস"")),""valence-target অমিল"",""""),IF(COUNTIF($B:$B,B2195)&gt;1,""ডুপ্লিকেট"",""""))"),"figurative ছোট | ডুপ্লিকেট")</f>
        <v>figurative ছোট | ডুপ্লিকেট</v>
      </c>
      <c r="Q2195" s="5" t="str">
        <f t="shared" si="1"/>
        <v>১ আগে দেখো</v>
      </c>
    </row>
    <row r="2196">
      <c r="A2196" s="4">
        <v>7898.0</v>
      </c>
      <c r="B2196" s="2" t="s">
        <v>8448</v>
      </c>
      <c r="C2196" s="2" t="s">
        <v>8448</v>
      </c>
      <c r="D2196" s="2" t="s">
        <v>990</v>
      </c>
      <c r="E2196" s="2" t="s">
        <v>8449</v>
      </c>
      <c r="F2196" s="2" t="b">
        <v>1</v>
      </c>
      <c r="G2196" s="2" t="b">
        <v>0</v>
      </c>
      <c r="H2196" s="2" t="s">
        <v>989</v>
      </c>
      <c r="I2196" s="2" t="s">
        <v>22</v>
      </c>
      <c r="J2196" s="2" t="s">
        <v>990</v>
      </c>
      <c r="K2196" s="2" t="s">
        <v>495</v>
      </c>
      <c r="L2196" s="13" t="s">
        <v>496</v>
      </c>
      <c r="M2196" s="2" t="s">
        <v>26</v>
      </c>
      <c r="N2196" s="11" t="s">
        <v>576</v>
      </c>
      <c r="O2196" s="12" t="s">
        <v>53</v>
      </c>
      <c r="P2196" s="5" t="str">
        <f>IFERROR(__xludf.DUMMYFUNCTION("TEXTJOIN("" | "",TRUE,IF(OR(D2196="""",E2196="""",I2196="""",J2196="""",H2196=""""),""ফাঁকা ঘর"",""""),IF(AND(C2196&lt;&gt;"""",D2196&lt;&gt;"""",C2196=D2196),""gloss=figurative"",""""),IF(LEN(D2196)&lt;15,""figurative ছোট"",""""),IF(AND(I2196=""Positive"",REGEXMATCH(H2"&amp;"196,""মূর্খ|ভণ্ড|প্রতার|অলস|লোভ|স্বার্থ|অক্ষম|অযোগ্য|বোকা|কৃপণ|হিংস"")),""valence-target অমিল"",""""),IF(COUNTIF($B:$B,B2196)&gt;1,""ডুপ্লিকেট"",""""))"),"figurative ছোট")</f>
        <v>figurative ছোট</v>
      </c>
      <c r="Q2196" s="5" t="str">
        <f t="shared" si="1"/>
        <v>১ আগে দেখো</v>
      </c>
    </row>
    <row r="2197">
      <c r="A2197" s="4">
        <v>7900.0</v>
      </c>
      <c r="B2197" s="2" t="s">
        <v>8450</v>
      </c>
      <c r="C2197" s="2" t="s">
        <v>8450</v>
      </c>
      <c r="D2197" s="2" t="s">
        <v>8451</v>
      </c>
      <c r="E2197" s="2" t="s">
        <v>8452</v>
      </c>
      <c r="F2197" s="2" t="b">
        <v>1</v>
      </c>
      <c r="G2197" s="2" t="b">
        <v>0</v>
      </c>
      <c r="H2197" s="2" t="s">
        <v>37</v>
      </c>
      <c r="I2197" s="2" t="s">
        <v>49</v>
      </c>
      <c r="J2197" s="2" t="s">
        <v>636</v>
      </c>
      <c r="K2197" s="2" t="s">
        <v>495</v>
      </c>
      <c r="L2197" s="13" t="s">
        <v>496</v>
      </c>
      <c r="M2197" s="2" t="s">
        <v>26</v>
      </c>
      <c r="N2197" s="11" t="s">
        <v>576</v>
      </c>
      <c r="O2197" s="12" t="s">
        <v>53</v>
      </c>
      <c r="P2197" s="5" t="str">
        <f>IFERROR(__xludf.DUMMYFUNCTION("TEXTJOIN("" | "",TRUE,IF(OR(D2197="""",E2197="""",I2197="""",J2197="""",H2197=""""),""ফাঁকা ঘর"",""""),IF(AND(C2197&lt;&gt;"""",D2197&lt;&gt;"""",C2197=D2197),""gloss=figurative"",""""),IF(LEN(D2197)&lt;15,""figurative ছোট"",""""),IF(AND(I2197=""Positive"",REGEXMATCH(H2"&amp;"197,""মূর্খ|ভণ্ড|প্রতার|অলস|লোভ|স্বার্থ|অক্ষম|অযোগ্য|বোকা|কৃপণ|হিংস"")),""valence-target অমিল"",""""),IF(COUNTIF($B:$B,B2197)&gt;1,""ডুপ্লিকেট"",""""))"),"figurative ছোট")</f>
        <v>figurative ছোট</v>
      </c>
      <c r="Q2197" s="5" t="str">
        <f t="shared" si="1"/>
        <v>১ আগে দেখো</v>
      </c>
    </row>
    <row r="2198">
      <c r="A2198" s="4">
        <v>7901.0</v>
      </c>
      <c r="B2198" s="2" t="s">
        <v>8453</v>
      </c>
      <c r="C2198" s="2" t="s">
        <v>8454</v>
      </c>
      <c r="D2198" s="2" t="s">
        <v>590</v>
      </c>
      <c r="E2198" s="2" t="s">
        <v>8455</v>
      </c>
      <c r="F2198" s="2" t="b">
        <v>1</v>
      </c>
      <c r="G2198" s="2" t="b">
        <v>0</v>
      </c>
      <c r="H2198" s="2" t="s">
        <v>37</v>
      </c>
      <c r="I2198" s="2" t="s">
        <v>22</v>
      </c>
      <c r="J2198" s="2" t="s">
        <v>590</v>
      </c>
      <c r="K2198" s="2" t="s">
        <v>495</v>
      </c>
      <c r="L2198" s="13" t="s">
        <v>496</v>
      </c>
      <c r="M2198" s="2" t="s">
        <v>26</v>
      </c>
      <c r="N2198" s="11" t="s">
        <v>576</v>
      </c>
      <c r="O2198" s="12" t="s">
        <v>53</v>
      </c>
      <c r="P2198" s="5" t="str">
        <f>IFERROR(__xludf.DUMMYFUNCTION("TEXTJOIN("" | "",TRUE,IF(OR(D2198="""",E2198="""",I2198="""",J2198="""",H2198=""""),""ফাঁকা ঘর"",""""),IF(AND(C2198&lt;&gt;"""",D2198&lt;&gt;"""",C2198=D2198),""gloss=figurative"",""""),IF(LEN(D2198)&lt;15,""figurative ছোট"",""""),IF(AND(I2198=""Positive"",REGEXMATCH(H2"&amp;"198,""মূর্খ|ভণ্ড|প্রতার|অলস|লোভ|স্বার্থ|অক্ষম|অযোগ্য|বোকা|কৃপণ|হিংস"")),""valence-target অমিল"",""""),IF(COUNTIF($B:$B,B2198)&gt;1,""ডুপ্লিকেট"",""""))"),"figurative ছোট")</f>
        <v>figurative ছোট</v>
      </c>
      <c r="Q2198" s="5" t="str">
        <f t="shared" si="1"/>
        <v>১ আগে দেখো</v>
      </c>
    </row>
    <row r="2199">
      <c r="A2199" s="4">
        <v>7902.0</v>
      </c>
      <c r="B2199" s="2" t="s">
        <v>8456</v>
      </c>
      <c r="C2199" s="2" t="s">
        <v>8456</v>
      </c>
      <c r="D2199" s="2" t="s">
        <v>590</v>
      </c>
      <c r="E2199" s="2" t="s">
        <v>8457</v>
      </c>
      <c r="F2199" s="2" t="b">
        <v>1</v>
      </c>
      <c r="G2199" s="2" t="b">
        <v>0</v>
      </c>
      <c r="H2199" s="2" t="s">
        <v>37</v>
      </c>
      <c r="I2199" s="2" t="s">
        <v>22</v>
      </c>
      <c r="J2199" s="2" t="s">
        <v>590</v>
      </c>
      <c r="K2199" s="2" t="s">
        <v>495</v>
      </c>
      <c r="L2199" s="13" t="s">
        <v>496</v>
      </c>
      <c r="M2199" s="2" t="s">
        <v>26</v>
      </c>
      <c r="N2199" s="11" t="s">
        <v>576</v>
      </c>
      <c r="O2199" s="12" t="s">
        <v>53</v>
      </c>
      <c r="P2199" s="5" t="str">
        <f>IFERROR(__xludf.DUMMYFUNCTION("TEXTJOIN("" | "",TRUE,IF(OR(D2199="""",E2199="""",I2199="""",J2199="""",H2199=""""),""ফাঁকা ঘর"",""""),IF(AND(C2199&lt;&gt;"""",D2199&lt;&gt;"""",C2199=D2199),""gloss=figurative"",""""),IF(LEN(D2199)&lt;15,""figurative ছোট"",""""),IF(AND(I2199=""Positive"",REGEXMATCH(H2"&amp;"199,""মূর্খ|ভণ্ড|প্রতার|অলস|লোভ|স্বার্থ|অক্ষম|অযোগ্য|বোকা|কৃপণ|হিংস"")),""valence-target অমিল"",""""),IF(COUNTIF($B:$B,B2199)&gt;1,""ডুপ্লিকেট"",""""))"),"figurative ছোট")</f>
        <v>figurative ছোট</v>
      </c>
      <c r="Q2199" s="5" t="str">
        <f t="shared" si="1"/>
        <v>১ আগে দেখো</v>
      </c>
    </row>
    <row r="2200">
      <c r="A2200" s="4">
        <v>7903.0</v>
      </c>
      <c r="B2200" s="2" t="s">
        <v>8458</v>
      </c>
      <c r="C2200" s="2" t="s">
        <v>8459</v>
      </c>
      <c r="D2200" s="2" t="s">
        <v>8460</v>
      </c>
      <c r="E2200" s="2" t="s">
        <v>8461</v>
      </c>
      <c r="F2200" s="2" t="b">
        <v>1</v>
      </c>
      <c r="G2200" s="2" t="b">
        <v>0</v>
      </c>
      <c r="H2200" s="2" t="s">
        <v>37</v>
      </c>
      <c r="I2200" s="2" t="s">
        <v>22</v>
      </c>
      <c r="J2200" s="2" t="s">
        <v>842</v>
      </c>
      <c r="K2200" s="2" t="s">
        <v>495</v>
      </c>
      <c r="L2200" s="13" t="s">
        <v>496</v>
      </c>
      <c r="M2200" s="2" t="s">
        <v>26</v>
      </c>
      <c r="N2200" s="11" t="s">
        <v>576</v>
      </c>
      <c r="O2200" s="12" t="s">
        <v>53</v>
      </c>
      <c r="P2200" s="5" t="str">
        <f>IFERROR(__xludf.DUMMYFUNCTION("TEXTJOIN("" | "",TRUE,IF(OR(D2200="""",E2200="""",I2200="""",J2200="""",H2200=""""),""ফাঁকা ঘর"",""""),IF(AND(C2200&lt;&gt;"""",D2200&lt;&gt;"""",C2200=D2200),""gloss=figurative"",""""),IF(LEN(D2200)&lt;15,""figurative ছোট"",""""),IF(AND(I2200=""Positive"",REGEXMATCH(H2"&amp;"200,""মূর্খ|ভণ্ড|প্রতার|অলস|লোভ|স্বার্থ|অক্ষম|অযোগ্য|বোকা|কৃপণ|হিংস"")),""valence-target অমিল"",""""),IF(COUNTIF($B:$B,B2200)&gt;1,""ডুপ্লিকেট"",""""))"),"figurative ছোট")</f>
        <v>figurative ছোট</v>
      </c>
      <c r="Q2200" s="5" t="str">
        <f t="shared" si="1"/>
        <v>১ আগে দেখো</v>
      </c>
    </row>
    <row r="2201">
      <c r="A2201" s="4">
        <v>7904.0</v>
      </c>
      <c r="B2201" s="2" t="s">
        <v>8462</v>
      </c>
      <c r="C2201" s="2" t="s">
        <v>8463</v>
      </c>
      <c r="D2201" s="2" t="s">
        <v>4554</v>
      </c>
      <c r="E2201" s="2" t="s">
        <v>8464</v>
      </c>
      <c r="F2201" s="2" t="b">
        <v>1</v>
      </c>
      <c r="G2201" s="2" t="b">
        <v>0</v>
      </c>
      <c r="H2201" s="2" t="s">
        <v>37</v>
      </c>
      <c r="I2201" s="2" t="s">
        <v>22</v>
      </c>
      <c r="J2201" s="2" t="s">
        <v>1607</v>
      </c>
      <c r="K2201" s="2" t="s">
        <v>495</v>
      </c>
      <c r="L2201" s="13" t="s">
        <v>496</v>
      </c>
      <c r="M2201" s="2" t="s">
        <v>26</v>
      </c>
      <c r="N2201" s="11" t="s">
        <v>8465</v>
      </c>
      <c r="O2201" s="12" t="s">
        <v>53</v>
      </c>
      <c r="P2201" s="5" t="str">
        <f>IFERROR(__xludf.DUMMYFUNCTION("TEXTJOIN("" | "",TRUE,IF(OR(D2201="""",E2201="""",I2201="""",J2201="""",H2201=""""),""ফাঁকা ঘর"",""""),IF(AND(C2201&lt;&gt;"""",D2201&lt;&gt;"""",C2201=D2201),""gloss=figurative"",""""),IF(LEN(D2201)&lt;15,""figurative ছোট"",""""),IF(AND(I2201=""Positive"",REGEXMATCH(H2"&amp;"201,""মূর্খ|ভণ্ড|প্রতার|অলস|লোভ|স্বার্থ|অক্ষম|অযোগ্য|বোকা|কৃপণ|হিংস"")),""valence-target অমিল"",""""),IF(COUNTIF($B:$B,B2201)&gt;1,""ডুপ্লিকেট"",""""))"),"figurative ছোট")</f>
        <v>figurative ছোট</v>
      </c>
      <c r="Q2201" s="5" t="str">
        <f t="shared" si="1"/>
        <v>১ আগে দেখো</v>
      </c>
    </row>
    <row r="2202">
      <c r="A2202" s="4">
        <v>7905.0</v>
      </c>
      <c r="B2202" s="2" t="s">
        <v>8466</v>
      </c>
      <c r="C2202" s="2" t="s">
        <v>8467</v>
      </c>
      <c r="D2202" s="2" t="s">
        <v>8468</v>
      </c>
      <c r="E2202" s="2" t="s">
        <v>8469</v>
      </c>
      <c r="F2202" s="2" t="b">
        <v>1</v>
      </c>
      <c r="G2202" s="2" t="b">
        <v>0</v>
      </c>
      <c r="H2202" s="2" t="s">
        <v>37</v>
      </c>
      <c r="I2202" s="2" t="s">
        <v>22</v>
      </c>
      <c r="J2202" s="2" t="s">
        <v>1607</v>
      </c>
      <c r="K2202" s="2" t="s">
        <v>495</v>
      </c>
      <c r="L2202" s="13" t="s">
        <v>496</v>
      </c>
      <c r="M2202" s="2" t="s">
        <v>26</v>
      </c>
      <c r="N2202" s="11" t="s">
        <v>8470</v>
      </c>
      <c r="O2202" s="12" t="s">
        <v>53</v>
      </c>
      <c r="P2202" s="5" t="str">
        <f>IFERROR(__xludf.DUMMYFUNCTION("TEXTJOIN("" | "",TRUE,IF(OR(D2202="""",E2202="""",I2202="""",J2202="""",H2202=""""),""ফাঁকা ঘর"",""""),IF(AND(C2202&lt;&gt;"""",D2202&lt;&gt;"""",C2202=D2202),""gloss=figurative"",""""),IF(LEN(D2202)&lt;15,""figurative ছোট"",""""),IF(AND(I2202=""Positive"",REGEXMATCH(H2"&amp;"202,""মূর্খ|ভণ্ড|প্রতার|অলস|লোভ|স্বার্থ|অক্ষম|অযোগ্য|বোকা|কৃপণ|হিংস"")),""valence-target অমিল"",""""),IF(COUNTIF($B:$B,B2202)&gt;1,""ডুপ্লিকেট"",""""))"),"figurative ছোট")</f>
        <v>figurative ছোট</v>
      </c>
      <c r="Q2202" s="5" t="str">
        <f t="shared" si="1"/>
        <v>১ আগে দেখো</v>
      </c>
    </row>
    <row r="2203">
      <c r="A2203" s="4">
        <v>7906.0</v>
      </c>
      <c r="B2203" s="2" t="s">
        <v>8471</v>
      </c>
      <c r="C2203" s="2" t="s">
        <v>8472</v>
      </c>
      <c r="D2203" s="2" t="s">
        <v>8473</v>
      </c>
      <c r="E2203" s="2" t="s">
        <v>8474</v>
      </c>
      <c r="F2203" s="2" t="b">
        <v>1</v>
      </c>
      <c r="G2203" s="2" t="b">
        <v>0</v>
      </c>
      <c r="H2203" s="2" t="s">
        <v>37</v>
      </c>
      <c r="I2203" s="2" t="s">
        <v>32</v>
      </c>
      <c r="J2203" s="2" t="s">
        <v>4067</v>
      </c>
      <c r="K2203" s="2" t="s">
        <v>495</v>
      </c>
      <c r="L2203" s="13" t="s">
        <v>496</v>
      </c>
      <c r="M2203" s="2" t="s">
        <v>26</v>
      </c>
      <c r="N2203" s="11" t="s">
        <v>576</v>
      </c>
      <c r="O2203" s="12" t="s">
        <v>53</v>
      </c>
      <c r="P2203" s="5" t="str">
        <f>IFERROR(__xludf.DUMMYFUNCTION("TEXTJOIN("" | "",TRUE,IF(OR(D2203="""",E2203="""",I2203="""",J2203="""",H2203=""""),""ফাঁকা ঘর"",""""),IF(AND(C2203&lt;&gt;"""",D2203&lt;&gt;"""",C2203=D2203),""gloss=figurative"",""""),IF(LEN(D2203)&lt;15,""figurative ছোট"",""""),IF(AND(I2203=""Positive"",REGEXMATCH(H2"&amp;"203,""মূর্খ|ভণ্ড|প্রতার|অলস|লোভ|স্বার্থ|অক্ষম|অযোগ্য|বোকা|কৃপণ|হিংস"")),""valence-target অমিল"",""""),IF(COUNTIF($B:$B,B2203)&gt;1,""ডুপ্লিকেট"",""""))"),"figurative ছোট")</f>
        <v>figurative ছোট</v>
      </c>
      <c r="Q2203" s="5" t="str">
        <f t="shared" si="1"/>
        <v>১ আগে দেখো</v>
      </c>
    </row>
    <row r="2204">
      <c r="A2204" s="4">
        <v>7907.0</v>
      </c>
      <c r="B2204" s="2" t="s">
        <v>8475</v>
      </c>
      <c r="C2204" s="2" t="s">
        <v>8476</v>
      </c>
      <c r="D2204" s="2" t="s">
        <v>669</v>
      </c>
      <c r="E2204" s="2" t="s">
        <v>8477</v>
      </c>
      <c r="F2204" s="2" t="b">
        <v>1</v>
      </c>
      <c r="G2204" s="2" t="b">
        <v>0</v>
      </c>
      <c r="H2204" s="2" t="s">
        <v>37</v>
      </c>
      <c r="I2204" s="2" t="s">
        <v>49</v>
      </c>
      <c r="J2204" s="2" t="s">
        <v>669</v>
      </c>
      <c r="K2204" s="2" t="s">
        <v>495</v>
      </c>
      <c r="L2204" s="13" t="s">
        <v>496</v>
      </c>
      <c r="M2204" s="2" t="s">
        <v>26</v>
      </c>
      <c r="N2204" s="11" t="s">
        <v>576</v>
      </c>
      <c r="O2204" s="12" t="s">
        <v>53</v>
      </c>
      <c r="P2204" s="5" t="str">
        <f>IFERROR(__xludf.DUMMYFUNCTION("TEXTJOIN("" | "",TRUE,IF(OR(D2204="""",E2204="""",I2204="""",J2204="""",H2204=""""),""ফাঁকা ঘর"",""""),IF(AND(C2204&lt;&gt;"""",D2204&lt;&gt;"""",C2204=D2204),""gloss=figurative"",""""),IF(LEN(D2204)&lt;15,""figurative ছোট"",""""),IF(AND(I2204=""Positive"",REGEXMATCH(H2"&amp;"204,""মূর্খ|ভণ্ড|প্রতার|অলস|লোভ|স্বার্থ|অক্ষম|অযোগ্য|বোকা|কৃপণ|হিংস"")),""valence-target অমিল"",""""),IF(COUNTIF($B:$B,B2204)&gt;1,""ডুপ্লিকেট"",""""))"),"figurative ছোট")</f>
        <v>figurative ছোট</v>
      </c>
      <c r="Q2204" s="5" t="str">
        <f t="shared" si="1"/>
        <v>১ আগে দেখো</v>
      </c>
    </row>
    <row r="2205">
      <c r="A2205" s="4">
        <v>7908.0</v>
      </c>
      <c r="B2205" s="2" t="s">
        <v>8478</v>
      </c>
      <c r="C2205" s="2" t="s">
        <v>8479</v>
      </c>
      <c r="D2205" s="2" t="s">
        <v>3506</v>
      </c>
      <c r="E2205" s="2" t="s">
        <v>8480</v>
      </c>
      <c r="F2205" s="2" t="b">
        <v>1</v>
      </c>
      <c r="G2205" s="2" t="b">
        <v>0</v>
      </c>
      <c r="H2205" s="2" t="s">
        <v>37</v>
      </c>
      <c r="I2205" s="2" t="s">
        <v>49</v>
      </c>
      <c r="J2205" s="2" t="s">
        <v>3506</v>
      </c>
      <c r="K2205" s="2" t="s">
        <v>495</v>
      </c>
      <c r="L2205" s="13" t="s">
        <v>496</v>
      </c>
      <c r="M2205" s="2" t="s">
        <v>26</v>
      </c>
      <c r="N2205" s="11" t="s">
        <v>576</v>
      </c>
      <c r="O2205" s="12" t="s">
        <v>53</v>
      </c>
      <c r="P2205" s="5" t="str">
        <f>IFERROR(__xludf.DUMMYFUNCTION("TEXTJOIN("" | "",TRUE,IF(OR(D2205="""",E2205="""",I2205="""",J2205="""",H2205=""""),""ফাঁকা ঘর"",""""),IF(AND(C2205&lt;&gt;"""",D2205&lt;&gt;"""",C2205=D2205),""gloss=figurative"",""""),IF(LEN(D2205)&lt;15,""figurative ছোট"",""""),IF(AND(I2205=""Positive"",REGEXMATCH(H2"&amp;"205,""মূর্খ|ভণ্ড|প্রতার|অলস|লোভ|স্বার্থ|অক্ষম|অযোগ্য|বোকা|কৃপণ|হিংস"")),""valence-target অমিল"",""""),IF(COUNTIF($B:$B,B2205)&gt;1,""ডুপ্লিকেট"",""""))"),"figurative ছোট")</f>
        <v>figurative ছোট</v>
      </c>
      <c r="Q2205" s="5" t="str">
        <f t="shared" si="1"/>
        <v>১ আগে দেখো</v>
      </c>
    </row>
    <row r="2206">
      <c r="A2206" s="4">
        <v>7910.0</v>
      </c>
      <c r="B2206" s="2" t="s">
        <v>8481</v>
      </c>
      <c r="C2206" s="2" t="s">
        <v>8482</v>
      </c>
      <c r="D2206" s="2" t="s">
        <v>8483</v>
      </c>
      <c r="E2206" s="2" t="s">
        <v>8484</v>
      </c>
      <c r="F2206" s="2" t="b">
        <v>1</v>
      </c>
      <c r="G2206" s="2" t="b">
        <v>1</v>
      </c>
      <c r="H2206" s="2" t="s">
        <v>1982</v>
      </c>
      <c r="I2206" s="2" t="s">
        <v>49</v>
      </c>
      <c r="J2206" s="2" t="s">
        <v>868</v>
      </c>
      <c r="K2206" s="2" t="s">
        <v>495</v>
      </c>
      <c r="L2206" s="13" t="s">
        <v>496</v>
      </c>
      <c r="M2206" s="2" t="s">
        <v>26</v>
      </c>
      <c r="N2206" s="11" t="s">
        <v>576</v>
      </c>
      <c r="O2206" s="12" t="s">
        <v>53</v>
      </c>
      <c r="P2206" s="5" t="str">
        <f>IFERROR(__xludf.DUMMYFUNCTION("TEXTJOIN("" | "",TRUE,IF(OR(D2206="""",E2206="""",I2206="""",J2206="""",H2206=""""),""ফাঁকা ঘর"",""""),IF(AND(C2206&lt;&gt;"""",D2206&lt;&gt;"""",C2206=D2206),""gloss=figurative"",""""),IF(LEN(D2206)&lt;15,""figurative ছোট"",""""),IF(AND(I2206=""Positive"",REGEXMATCH(H2"&amp;"206,""মূর্খ|ভণ্ড|প্রতার|অলস|লোভ|স্বার্থ|অক্ষম|অযোগ্য|বোকা|কৃপণ|হিংস"")),""valence-target অমিল"",""""),IF(COUNTIF($B:$B,B2206)&gt;1,""ডুপ্লিকেট"",""""))"),"figurative ছোট")</f>
        <v>figurative ছোট</v>
      </c>
      <c r="Q2206" s="5" t="str">
        <f t="shared" si="1"/>
        <v>১ আগে দেখো</v>
      </c>
    </row>
    <row r="2207">
      <c r="A2207" s="4">
        <v>7911.0</v>
      </c>
      <c r="B2207" s="2" t="s">
        <v>8485</v>
      </c>
      <c r="C2207" s="2" t="s">
        <v>8486</v>
      </c>
      <c r="D2207" s="2" t="s">
        <v>2869</v>
      </c>
      <c r="E2207" s="2" t="s">
        <v>8487</v>
      </c>
      <c r="F2207" s="2" t="b">
        <v>1</v>
      </c>
      <c r="G2207" s="2" t="b">
        <v>0</v>
      </c>
      <c r="H2207" s="2" t="s">
        <v>37</v>
      </c>
      <c r="I2207" s="2" t="s">
        <v>22</v>
      </c>
      <c r="J2207" s="2" t="s">
        <v>8488</v>
      </c>
      <c r="K2207" s="2" t="s">
        <v>495</v>
      </c>
      <c r="L2207" s="13" t="s">
        <v>496</v>
      </c>
      <c r="M2207" s="2" t="s">
        <v>26</v>
      </c>
      <c r="N2207" s="11" t="s">
        <v>576</v>
      </c>
      <c r="O2207" s="12" t="s">
        <v>53</v>
      </c>
      <c r="P2207" s="5" t="str">
        <f>IFERROR(__xludf.DUMMYFUNCTION("TEXTJOIN("" | "",TRUE,IF(OR(D2207="""",E2207="""",I2207="""",J2207="""",H2207=""""),""ফাঁকা ঘর"",""""),IF(AND(C2207&lt;&gt;"""",D2207&lt;&gt;"""",C2207=D2207),""gloss=figurative"",""""),IF(LEN(D2207)&lt;15,""figurative ছোট"",""""),IF(AND(I2207=""Positive"",REGEXMATCH(H2"&amp;"207,""মূর্খ|ভণ্ড|প্রতার|অলস|লোভ|স্বার্থ|অক্ষম|অযোগ্য|বোকা|কৃপণ|হিংস"")),""valence-target অমিল"",""""),IF(COUNTIF($B:$B,B2207)&gt;1,""ডুপ্লিকেট"",""""))"),"figurative ছোট")</f>
        <v>figurative ছোট</v>
      </c>
      <c r="Q2207" s="5" t="str">
        <f t="shared" si="1"/>
        <v>১ আগে দেখো</v>
      </c>
    </row>
    <row r="2208">
      <c r="A2208" s="4">
        <v>7912.0</v>
      </c>
      <c r="B2208" s="2" t="s">
        <v>8489</v>
      </c>
      <c r="C2208" s="2" t="s">
        <v>8490</v>
      </c>
      <c r="D2208" s="2" t="s">
        <v>2857</v>
      </c>
      <c r="E2208" s="2" t="s">
        <v>8491</v>
      </c>
      <c r="F2208" s="2" t="b">
        <v>1</v>
      </c>
      <c r="G2208" s="2" t="b">
        <v>0</v>
      </c>
      <c r="H2208" s="2" t="s">
        <v>37</v>
      </c>
      <c r="I2208" s="2" t="s">
        <v>22</v>
      </c>
      <c r="J2208" s="2" t="s">
        <v>2857</v>
      </c>
      <c r="K2208" s="2" t="s">
        <v>495</v>
      </c>
      <c r="L2208" s="13" t="s">
        <v>496</v>
      </c>
      <c r="M2208" s="2" t="s">
        <v>26</v>
      </c>
      <c r="N2208" s="11" t="s">
        <v>576</v>
      </c>
      <c r="O2208" s="12" t="s">
        <v>53</v>
      </c>
      <c r="P2208" s="5" t="str">
        <f>IFERROR(__xludf.DUMMYFUNCTION("TEXTJOIN("" | "",TRUE,IF(OR(D2208="""",E2208="""",I2208="""",J2208="""",H2208=""""),""ফাঁকা ঘর"",""""),IF(AND(C2208&lt;&gt;"""",D2208&lt;&gt;"""",C2208=D2208),""gloss=figurative"",""""),IF(LEN(D2208)&lt;15,""figurative ছোট"",""""),IF(AND(I2208=""Positive"",REGEXMATCH(H2"&amp;"208,""মূর্খ|ভণ্ড|প্রতার|অলস|লোভ|স্বার্থ|অক্ষম|অযোগ্য|বোকা|কৃপণ|হিংস"")),""valence-target অমিল"",""""),IF(COUNTIF($B:$B,B2208)&gt;1,""ডুপ্লিকেট"",""""))"),"figurative ছোট")</f>
        <v>figurative ছোট</v>
      </c>
      <c r="Q2208" s="5" t="str">
        <f t="shared" si="1"/>
        <v>১ আগে দেখো</v>
      </c>
    </row>
    <row r="2209">
      <c r="A2209" s="4">
        <v>7913.0</v>
      </c>
      <c r="B2209" s="2" t="s">
        <v>8492</v>
      </c>
      <c r="C2209" s="2" t="s">
        <v>8492</v>
      </c>
      <c r="D2209" s="2" t="s">
        <v>8493</v>
      </c>
      <c r="E2209" s="2" t="s">
        <v>8494</v>
      </c>
      <c r="F2209" s="2" t="b">
        <v>1</v>
      </c>
      <c r="G2209" s="2" t="b">
        <v>0</v>
      </c>
      <c r="H2209" s="2" t="s">
        <v>37</v>
      </c>
      <c r="I2209" s="2" t="s">
        <v>49</v>
      </c>
      <c r="J2209" s="2" t="s">
        <v>2440</v>
      </c>
      <c r="K2209" s="2" t="s">
        <v>495</v>
      </c>
      <c r="L2209" s="13" t="s">
        <v>496</v>
      </c>
      <c r="M2209" s="2" t="s">
        <v>26</v>
      </c>
      <c r="N2209" s="11" t="s">
        <v>576</v>
      </c>
      <c r="O2209" s="12" t="s">
        <v>53</v>
      </c>
      <c r="P2209" s="5" t="str">
        <f>IFERROR(__xludf.DUMMYFUNCTION("TEXTJOIN("" | "",TRUE,IF(OR(D2209="""",E2209="""",I2209="""",J2209="""",H2209=""""),""ফাঁকা ঘর"",""""),IF(AND(C2209&lt;&gt;"""",D2209&lt;&gt;"""",C2209=D2209),""gloss=figurative"",""""),IF(LEN(D2209)&lt;15,""figurative ছোট"",""""),IF(AND(I2209=""Positive"",REGEXMATCH(H2"&amp;"209,""মূর্খ|ভণ্ড|প্রতার|অলস|লোভ|স্বার্থ|অক্ষম|অযোগ্য|বোকা|কৃপণ|হিংস"")),""valence-target অমিল"",""""),IF(COUNTIF($B:$B,B2209)&gt;1,""ডুপ্লিকেট"",""""))"),"figurative ছোট")</f>
        <v>figurative ছোট</v>
      </c>
      <c r="Q2209" s="5" t="str">
        <f t="shared" si="1"/>
        <v>১ আগে দেখো</v>
      </c>
    </row>
    <row r="2210">
      <c r="A2210" s="4">
        <v>7914.0</v>
      </c>
      <c r="B2210" s="2" t="s">
        <v>8495</v>
      </c>
      <c r="C2210" s="2" t="s">
        <v>8496</v>
      </c>
      <c r="D2210" s="2" t="s">
        <v>1175</v>
      </c>
      <c r="E2210" s="2" t="s">
        <v>8497</v>
      </c>
      <c r="F2210" s="2" t="b">
        <v>1</v>
      </c>
      <c r="G2210" s="2" t="b">
        <v>0</v>
      </c>
      <c r="H2210" s="2" t="s">
        <v>37</v>
      </c>
      <c r="I2210" s="2" t="s">
        <v>49</v>
      </c>
      <c r="J2210" s="2" t="s">
        <v>1175</v>
      </c>
      <c r="K2210" s="2" t="s">
        <v>495</v>
      </c>
      <c r="L2210" s="13" t="s">
        <v>496</v>
      </c>
      <c r="M2210" s="2" t="s">
        <v>26</v>
      </c>
      <c r="N2210" s="11" t="s">
        <v>8498</v>
      </c>
      <c r="O2210" s="12" t="s">
        <v>53</v>
      </c>
      <c r="P2210" s="5" t="str">
        <f>IFERROR(__xludf.DUMMYFUNCTION("TEXTJOIN("" | "",TRUE,IF(OR(D2210="""",E2210="""",I2210="""",J2210="""",H2210=""""),""ফাঁকা ঘর"",""""),IF(AND(C2210&lt;&gt;"""",D2210&lt;&gt;"""",C2210=D2210),""gloss=figurative"",""""),IF(LEN(D2210)&lt;15,""figurative ছোট"",""""),IF(AND(I2210=""Positive"",REGEXMATCH(H2"&amp;"210,""মূর্খ|ভণ্ড|প্রতার|অলস|লোভ|স্বার্থ|অক্ষম|অযোগ্য|বোকা|কৃপণ|হিংস"")),""valence-target অমিল"",""""),IF(COUNTIF($B:$B,B2210)&gt;1,""ডুপ্লিকেট"",""""))"),"figurative ছোট")</f>
        <v>figurative ছোট</v>
      </c>
      <c r="Q2210" s="5" t="str">
        <f t="shared" si="1"/>
        <v>১ আগে দেখো</v>
      </c>
    </row>
    <row r="2211">
      <c r="A2211" s="4">
        <v>7915.0</v>
      </c>
      <c r="B2211" s="2" t="s">
        <v>8499</v>
      </c>
      <c r="C2211" s="2" t="s">
        <v>8500</v>
      </c>
      <c r="D2211" s="2" t="s">
        <v>842</v>
      </c>
      <c r="E2211" s="2" t="s">
        <v>8497</v>
      </c>
      <c r="F2211" s="2" t="b">
        <v>1</v>
      </c>
      <c r="G2211" s="2" t="b">
        <v>0</v>
      </c>
      <c r="H2211" s="2" t="s">
        <v>37</v>
      </c>
      <c r="I2211" s="2" t="s">
        <v>22</v>
      </c>
      <c r="J2211" s="2" t="s">
        <v>842</v>
      </c>
      <c r="K2211" s="2" t="s">
        <v>495</v>
      </c>
      <c r="L2211" s="13" t="s">
        <v>496</v>
      </c>
      <c r="M2211" s="2" t="s">
        <v>26</v>
      </c>
      <c r="N2211" s="11" t="s">
        <v>8501</v>
      </c>
      <c r="O2211" s="12" t="s">
        <v>53</v>
      </c>
      <c r="P2211" s="5" t="str">
        <f>IFERROR(__xludf.DUMMYFUNCTION("TEXTJOIN("" | "",TRUE,IF(OR(D2211="""",E2211="""",I2211="""",J2211="""",H2211=""""),""ফাঁকা ঘর"",""""),IF(AND(C2211&lt;&gt;"""",D2211&lt;&gt;"""",C2211=D2211),""gloss=figurative"",""""),IF(LEN(D2211)&lt;15,""figurative ছোট"",""""),IF(AND(I2211=""Positive"",REGEXMATCH(H2"&amp;"211,""মূর্খ|ভণ্ড|প্রতার|অলস|লোভ|স্বার্থ|অক্ষম|অযোগ্য|বোকা|কৃপণ|হিংস"")),""valence-target অমিল"",""""),IF(COUNTIF($B:$B,B2211)&gt;1,""ডুপ্লিকেট"",""""))"),"figurative ছোট")</f>
        <v>figurative ছোট</v>
      </c>
      <c r="Q2211" s="5" t="str">
        <f t="shared" si="1"/>
        <v>১ আগে দেখো</v>
      </c>
    </row>
    <row r="2212">
      <c r="A2212" s="4">
        <v>7916.0</v>
      </c>
      <c r="B2212" s="2" t="s">
        <v>8502</v>
      </c>
      <c r="C2212" s="2" t="s">
        <v>8503</v>
      </c>
      <c r="D2212" s="2" t="s">
        <v>8504</v>
      </c>
      <c r="E2212" s="2" t="s">
        <v>8505</v>
      </c>
      <c r="F2212" s="2" t="b">
        <v>1</v>
      </c>
      <c r="G2212" s="2" t="b">
        <v>0</v>
      </c>
      <c r="H2212" s="2" t="s">
        <v>37</v>
      </c>
      <c r="I2212" s="2" t="s">
        <v>32</v>
      </c>
      <c r="J2212" s="2" t="s">
        <v>868</v>
      </c>
      <c r="K2212" s="2" t="s">
        <v>495</v>
      </c>
      <c r="L2212" s="13" t="s">
        <v>496</v>
      </c>
      <c r="M2212" s="2" t="s">
        <v>26</v>
      </c>
      <c r="N2212" s="11" t="s">
        <v>576</v>
      </c>
      <c r="O2212" s="12" t="s">
        <v>53</v>
      </c>
      <c r="P2212" s="5" t="str">
        <f>IFERROR(__xludf.DUMMYFUNCTION("TEXTJOIN("" | "",TRUE,IF(OR(D2212="""",E2212="""",I2212="""",J2212="""",H2212=""""),""ফাঁকা ঘর"",""""),IF(AND(C2212&lt;&gt;"""",D2212&lt;&gt;"""",C2212=D2212),""gloss=figurative"",""""),IF(LEN(D2212)&lt;15,""figurative ছোট"",""""),IF(AND(I2212=""Positive"",REGEXMATCH(H2"&amp;"212,""মূর্খ|ভণ্ড|প্রতার|অলস|লোভ|স্বার্থ|অক্ষম|অযোগ্য|বোকা|কৃপণ|হিংস"")),""valence-target অমিল"",""""),IF(COUNTIF($B:$B,B2212)&gt;1,""ডুপ্লিকেট"",""""))"),"figurative ছোট")</f>
        <v>figurative ছোট</v>
      </c>
      <c r="Q2212" s="5" t="str">
        <f t="shared" si="1"/>
        <v>১ আগে দেখো</v>
      </c>
    </row>
    <row r="2213">
      <c r="A2213" s="4">
        <v>7917.0</v>
      </c>
      <c r="B2213" s="2" t="s">
        <v>8506</v>
      </c>
      <c r="C2213" s="2" t="s">
        <v>8506</v>
      </c>
      <c r="D2213" s="2" t="s">
        <v>590</v>
      </c>
      <c r="E2213" s="2" t="s">
        <v>8507</v>
      </c>
      <c r="F2213" s="2" t="b">
        <v>1</v>
      </c>
      <c r="G2213" s="2" t="b">
        <v>0</v>
      </c>
      <c r="H2213" s="2" t="s">
        <v>37</v>
      </c>
      <c r="I2213" s="2" t="s">
        <v>22</v>
      </c>
      <c r="J2213" s="2" t="s">
        <v>590</v>
      </c>
      <c r="K2213" s="2" t="s">
        <v>495</v>
      </c>
      <c r="L2213" s="13" t="s">
        <v>496</v>
      </c>
      <c r="M2213" s="2" t="s">
        <v>26</v>
      </c>
      <c r="N2213" s="11" t="s">
        <v>576</v>
      </c>
      <c r="O2213" s="12" t="s">
        <v>53</v>
      </c>
      <c r="P2213" s="5" t="str">
        <f>IFERROR(__xludf.DUMMYFUNCTION("TEXTJOIN("" | "",TRUE,IF(OR(D2213="""",E2213="""",I2213="""",J2213="""",H2213=""""),""ফাঁকা ঘর"",""""),IF(AND(C2213&lt;&gt;"""",D2213&lt;&gt;"""",C2213=D2213),""gloss=figurative"",""""),IF(LEN(D2213)&lt;15,""figurative ছোট"",""""),IF(AND(I2213=""Positive"",REGEXMATCH(H2"&amp;"213,""মূর্খ|ভণ্ড|প্রতার|অলস|লোভ|স্বার্থ|অক্ষম|অযোগ্য|বোকা|কৃপণ|হিংস"")),""valence-target অমিল"",""""),IF(COUNTIF($B:$B,B2213)&gt;1,""ডুপ্লিকেট"",""""))"),"figurative ছোট")</f>
        <v>figurative ছোট</v>
      </c>
      <c r="Q2213" s="5" t="str">
        <f t="shared" si="1"/>
        <v>১ আগে দেখো</v>
      </c>
    </row>
    <row r="2214">
      <c r="A2214" s="4">
        <v>7918.0</v>
      </c>
      <c r="B2214" s="2" t="s">
        <v>8508</v>
      </c>
      <c r="C2214" s="2" t="s">
        <v>8509</v>
      </c>
      <c r="D2214" s="2" t="s">
        <v>6624</v>
      </c>
      <c r="E2214" s="2" t="s">
        <v>8510</v>
      </c>
      <c r="F2214" s="2" t="b">
        <v>1</v>
      </c>
      <c r="G2214" s="2" t="b">
        <v>0</v>
      </c>
      <c r="H2214" s="2" t="s">
        <v>37</v>
      </c>
      <c r="I2214" s="2" t="s">
        <v>32</v>
      </c>
      <c r="J2214" s="2" t="s">
        <v>8511</v>
      </c>
      <c r="K2214" s="2" t="s">
        <v>495</v>
      </c>
      <c r="L2214" s="13" t="s">
        <v>496</v>
      </c>
      <c r="M2214" s="2" t="s">
        <v>26</v>
      </c>
      <c r="N2214" s="11" t="s">
        <v>576</v>
      </c>
      <c r="O2214" s="12" t="s">
        <v>53</v>
      </c>
      <c r="P2214" s="5" t="str">
        <f>IFERROR(__xludf.DUMMYFUNCTION("TEXTJOIN("" | "",TRUE,IF(OR(D2214="""",E2214="""",I2214="""",J2214="""",H2214=""""),""ফাঁকা ঘর"",""""),IF(AND(C2214&lt;&gt;"""",D2214&lt;&gt;"""",C2214=D2214),""gloss=figurative"",""""),IF(LEN(D2214)&lt;15,""figurative ছোট"",""""),IF(AND(I2214=""Positive"",REGEXMATCH(H2"&amp;"214,""মূর্খ|ভণ্ড|প্রতার|অলস|লোভ|স্বার্থ|অক্ষম|অযোগ্য|বোকা|কৃপণ|হিংস"")),""valence-target অমিল"",""""),IF(COUNTIF($B:$B,B2214)&gt;1,""ডুপ্লিকেট"",""""))"),"figurative ছোট")</f>
        <v>figurative ছোট</v>
      </c>
      <c r="Q2214" s="5" t="str">
        <f t="shared" si="1"/>
        <v>১ আগে দেখো</v>
      </c>
    </row>
    <row r="2215">
      <c r="A2215" s="4">
        <v>7919.0</v>
      </c>
      <c r="B2215" s="2" t="s">
        <v>8512</v>
      </c>
      <c r="C2215" s="2" t="s">
        <v>8512</v>
      </c>
      <c r="D2215" s="2" t="s">
        <v>8513</v>
      </c>
      <c r="E2215" s="2" t="s">
        <v>8514</v>
      </c>
      <c r="F2215" s="2" t="b">
        <v>1</v>
      </c>
      <c r="G2215" s="2" t="b">
        <v>0</v>
      </c>
      <c r="H2215" s="2" t="s">
        <v>37</v>
      </c>
      <c r="I2215" s="2" t="s">
        <v>22</v>
      </c>
      <c r="J2215" s="2" t="s">
        <v>8515</v>
      </c>
      <c r="K2215" s="2" t="s">
        <v>495</v>
      </c>
      <c r="L2215" s="13" t="s">
        <v>496</v>
      </c>
      <c r="M2215" s="2" t="s">
        <v>26</v>
      </c>
      <c r="N2215" s="11" t="s">
        <v>576</v>
      </c>
      <c r="O2215" s="12" t="s">
        <v>53</v>
      </c>
      <c r="P2215" s="5" t="str">
        <f>IFERROR(__xludf.DUMMYFUNCTION("TEXTJOIN("" | "",TRUE,IF(OR(D2215="""",E2215="""",I2215="""",J2215="""",H2215=""""),""ফাঁকা ঘর"",""""),IF(AND(C2215&lt;&gt;"""",D2215&lt;&gt;"""",C2215=D2215),""gloss=figurative"",""""),IF(LEN(D2215)&lt;15,""figurative ছোট"",""""),IF(AND(I2215=""Positive"",REGEXMATCH(H2"&amp;"215,""মূর্খ|ভণ্ড|প্রতার|অলস|লোভ|স্বার্থ|অক্ষম|অযোগ্য|বোকা|কৃপণ|হিংস"")),""valence-target অমিল"",""""),IF(COUNTIF($B:$B,B2215)&gt;1,""ডুপ্লিকেট"",""""))"),"figurative ছোট")</f>
        <v>figurative ছোট</v>
      </c>
      <c r="Q2215" s="5" t="str">
        <f t="shared" si="1"/>
        <v>১ আগে দেখো</v>
      </c>
    </row>
    <row r="2216">
      <c r="A2216" s="4">
        <v>7920.0</v>
      </c>
      <c r="B2216" s="2" t="s">
        <v>8516</v>
      </c>
      <c r="C2216" s="2" t="s">
        <v>8517</v>
      </c>
      <c r="D2216" s="2" t="s">
        <v>1784</v>
      </c>
      <c r="E2216" s="2" t="s">
        <v>8518</v>
      </c>
      <c r="F2216" s="2" t="b">
        <v>1</v>
      </c>
      <c r="G2216" s="2" t="b">
        <v>0</v>
      </c>
      <c r="H2216" s="2" t="s">
        <v>37</v>
      </c>
      <c r="I2216" s="2" t="s">
        <v>49</v>
      </c>
      <c r="J2216" s="2" t="s">
        <v>1784</v>
      </c>
      <c r="K2216" s="2" t="s">
        <v>495</v>
      </c>
      <c r="L2216" s="13" t="s">
        <v>496</v>
      </c>
      <c r="M2216" s="2" t="s">
        <v>26</v>
      </c>
      <c r="N2216" s="11" t="s">
        <v>576</v>
      </c>
      <c r="O2216" s="12" t="s">
        <v>53</v>
      </c>
      <c r="P2216" s="5" t="str">
        <f>IFERROR(__xludf.DUMMYFUNCTION("TEXTJOIN("" | "",TRUE,IF(OR(D2216="""",E2216="""",I2216="""",J2216="""",H2216=""""),""ফাঁকা ঘর"",""""),IF(AND(C2216&lt;&gt;"""",D2216&lt;&gt;"""",C2216=D2216),""gloss=figurative"",""""),IF(LEN(D2216)&lt;15,""figurative ছোট"",""""),IF(AND(I2216=""Positive"",REGEXMATCH(H2"&amp;"216,""মূর্খ|ভণ্ড|প্রতার|অলস|লোভ|স্বার্থ|অক্ষম|অযোগ্য|বোকা|কৃপণ|হিংস"")),""valence-target অমিল"",""""),IF(COUNTIF($B:$B,B2216)&gt;1,""ডুপ্লিকেট"",""""))"),"figurative ছোট")</f>
        <v>figurative ছোট</v>
      </c>
      <c r="Q2216" s="5" t="str">
        <f t="shared" si="1"/>
        <v>১ আগে দেখো</v>
      </c>
    </row>
    <row r="2217">
      <c r="A2217" s="4">
        <v>7921.0</v>
      </c>
      <c r="B2217" s="2" t="s">
        <v>8519</v>
      </c>
      <c r="C2217" s="2" t="s">
        <v>8520</v>
      </c>
      <c r="D2217" s="2" t="s">
        <v>1621</v>
      </c>
      <c r="E2217" s="2" t="s">
        <v>8521</v>
      </c>
      <c r="F2217" s="2" t="b">
        <v>1</v>
      </c>
      <c r="G2217" s="2" t="b">
        <v>0</v>
      </c>
      <c r="H2217" s="2" t="s">
        <v>2482</v>
      </c>
      <c r="I2217" s="2" t="s">
        <v>49</v>
      </c>
      <c r="J2217" s="2" t="s">
        <v>1621</v>
      </c>
      <c r="K2217" s="2" t="s">
        <v>495</v>
      </c>
      <c r="L2217" s="13" t="s">
        <v>496</v>
      </c>
      <c r="M2217" s="2" t="s">
        <v>26</v>
      </c>
      <c r="N2217" s="11" t="s">
        <v>576</v>
      </c>
      <c r="O2217" s="12" t="s">
        <v>53</v>
      </c>
      <c r="P2217" s="5" t="str">
        <f>IFERROR(__xludf.DUMMYFUNCTION("TEXTJOIN("" | "",TRUE,IF(OR(D2217="""",E2217="""",I2217="""",J2217="""",H2217=""""),""ফাঁকা ঘর"",""""),IF(AND(C2217&lt;&gt;"""",D2217&lt;&gt;"""",C2217=D2217),""gloss=figurative"",""""),IF(LEN(D2217)&lt;15,""figurative ছোট"",""""),IF(AND(I2217=""Positive"",REGEXMATCH(H2"&amp;"217,""মূর্খ|ভণ্ড|প্রতার|অলস|লোভ|স্বার্থ|অক্ষম|অযোগ্য|বোকা|কৃপণ|হিংস"")),""valence-target অমিল"",""""),IF(COUNTIF($B:$B,B2217)&gt;1,""ডুপ্লিকেট"",""""))"),"figurative ছোট")</f>
        <v>figurative ছোট</v>
      </c>
      <c r="Q2217" s="5" t="str">
        <f t="shared" si="1"/>
        <v>১ আগে দেখো</v>
      </c>
    </row>
    <row r="2218">
      <c r="A2218" s="4">
        <v>7922.0</v>
      </c>
      <c r="B2218" s="2" t="s">
        <v>8522</v>
      </c>
      <c r="C2218" s="2" t="s">
        <v>8522</v>
      </c>
      <c r="D2218" s="2" t="s">
        <v>8523</v>
      </c>
      <c r="E2218" s="2" t="s">
        <v>8524</v>
      </c>
      <c r="F2218" s="2" t="b">
        <v>1</v>
      </c>
      <c r="G2218" s="2" t="b">
        <v>0</v>
      </c>
      <c r="H2218" s="2" t="s">
        <v>37</v>
      </c>
      <c r="I2218" s="2" t="s">
        <v>49</v>
      </c>
      <c r="J2218" s="2" t="s">
        <v>565</v>
      </c>
      <c r="K2218" s="2" t="s">
        <v>495</v>
      </c>
      <c r="L2218" s="13" t="s">
        <v>496</v>
      </c>
      <c r="M2218" s="2" t="s">
        <v>26</v>
      </c>
      <c r="N2218" s="11" t="s">
        <v>576</v>
      </c>
      <c r="O2218" s="12" t="s">
        <v>53</v>
      </c>
      <c r="P2218" s="5" t="str">
        <f>IFERROR(__xludf.DUMMYFUNCTION("TEXTJOIN("" | "",TRUE,IF(OR(D2218="""",E2218="""",I2218="""",J2218="""",H2218=""""),""ফাঁকা ঘর"",""""),IF(AND(C2218&lt;&gt;"""",D2218&lt;&gt;"""",C2218=D2218),""gloss=figurative"",""""),IF(LEN(D2218)&lt;15,""figurative ছোট"",""""),IF(AND(I2218=""Positive"",REGEXMATCH(H2"&amp;"218,""মূর্খ|ভণ্ড|প্রতার|অলস|লোভ|স্বার্থ|অক্ষম|অযোগ্য|বোকা|কৃপণ|হিংস"")),""valence-target অমিল"",""""),IF(COUNTIF($B:$B,B2218)&gt;1,""ডুপ্লিকেট"",""""))"),"figurative ছোট")</f>
        <v>figurative ছোট</v>
      </c>
      <c r="Q2218" s="5" t="str">
        <f t="shared" si="1"/>
        <v>১ আগে দেখো</v>
      </c>
    </row>
    <row r="2219">
      <c r="A2219" s="4">
        <v>7923.0</v>
      </c>
      <c r="B2219" s="2" t="s">
        <v>8525</v>
      </c>
      <c r="C2219" s="2" t="s">
        <v>8526</v>
      </c>
      <c r="D2219" s="2" t="s">
        <v>8527</v>
      </c>
      <c r="E2219" s="2" t="s">
        <v>8528</v>
      </c>
      <c r="F2219" s="2" t="b">
        <v>1</v>
      </c>
      <c r="G2219" s="2" t="b">
        <v>0</v>
      </c>
      <c r="H2219" s="2" t="s">
        <v>749</v>
      </c>
      <c r="I2219" s="2" t="s">
        <v>22</v>
      </c>
      <c r="J2219" s="2" t="s">
        <v>750</v>
      </c>
      <c r="K2219" s="2" t="s">
        <v>495</v>
      </c>
      <c r="L2219" s="13" t="s">
        <v>496</v>
      </c>
      <c r="M2219" s="2" t="s">
        <v>26</v>
      </c>
      <c r="N2219" s="11" t="s">
        <v>576</v>
      </c>
      <c r="O2219" s="12" t="s">
        <v>53</v>
      </c>
      <c r="P2219" s="5" t="str">
        <f>IFERROR(__xludf.DUMMYFUNCTION("TEXTJOIN("" | "",TRUE,IF(OR(D2219="""",E2219="""",I2219="""",J2219="""",H2219=""""),""ফাঁকা ঘর"",""""),IF(AND(C2219&lt;&gt;"""",D2219&lt;&gt;"""",C2219=D2219),""gloss=figurative"",""""),IF(LEN(D2219)&lt;15,""figurative ছোট"",""""),IF(AND(I2219=""Positive"",REGEXMATCH(H2"&amp;"219,""মূর্খ|ভণ্ড|প্রতার|অলস|লোভ|স্বার্থ|অক্ষম|অযোগ্য|বোকা|কৃপণ|হিংস"")),""valence-target অমিল"",""""),IF(COUNTIF($B:$B,B2219)&gt;1,""ডুপ্লিকেট"",""""))"),"figurative ছোট")</f>
        <v>figurative ছোট</v>
      </c>
      <c r="Q2219" s="5" t="str">
        <f t="shared" si="1"/>
        <v>১ আগে দেখো</v>
      </c>
    </row>
    <row r="2220">
      <c r="A2220" s="4">
        <v>7924.0</v>
      </c>
      <c r="B2220" s="2" t="s">
        <v>8529</v>
      </c>
      <c r="C2220" s="2" t="s">
        <v>8530</v>
      </c>
      <c r="D2220" s="2" t="s">
        <v>8531</v>
      </c>
      <c r="E2220" s="2" t="s">
        <v>8532</v>
      </c>
      <c r="F2220" s="2" t="b">
        <v>1</v>
      </c>
      <c r="G2220" s="2" t="b">
        <v>0</v>
      </c>
      <c r="H2220" s="2" t="s">
        <v>37</v>
      </c>
      <c r="I2220" s="2" t="s">
        <v>22</v>
      </c>
      <c r="J2220" s="2" t="s">
        <v>971</v>
      </c>
      <c r="K2220" s="2" t="s">
        <v>495</v>
      </c>
      <c r="L2220" s="13" t="s">
        <v>496</v>
      </c>
      <c r="M2220" s="2" t="s">
        <v>26</v>
      </c>
      <c r="N2220" s="11" t="s">
        <v>8533</v>
      </c>
      <c r="O2220" s="12" t="s">
        <v>53</v>
      </c>
      <c r="P2220" s="5" t="str">
        <f>IFERROR(__xludf.DUMMYFUNCTION("TEXTJOIN("" | "",TRUE,IF(OR(D2220="""",E2220="""",I2220="""",J2220="""",H2220=""""),""ফাঁকা ঘর"",""""),IF(AND(C2220&lt;&gt;"""",D2220&lt;&gt;"""",C2220=D2220),""gloss=figurative"",""""),IF(LEN(D2220)&lt;15,""figurative ছোট"",""""),IF(AND(I2220=""Positive"",REGEXMATCH(H2"&amp;"220,""মূর্খ|ভণ্ড|প্রতার|অলস|লোভ|স্বার্থ|অক্ষম|অযোগ্য|বোকা|কৃপণ|হিংস"")),""valence-target অমিল"",""""),IF(COUNTIF($B:$B,B2220)&gt;1,""ডুপ্লিকেট"",""""))"),"figurative ছোট")</f>
        <v>figurative ছোট</v>
      </c>
      <c r="Q2220" s="5" t="str">
        <f t="shared" si="1"/>
        <v>১ আগে দেখো</v>
      </c>
    </row>
    <row r="2221">
      <c r="A2221" s="4">
        <v>7925.0</v>
      </c>
      <c r="B2221" s="2" t="s">
        <v>8534</v>
      </c>
      <c r="C2221" s="2" t="s">
        <v>8535</v>
      </c>
      <c r="D2221" s="2" t="s">
        <v>8536</v>
      </c>
      <c r="E2221" s="2" t="s">
        <v>8537</v>
      </c>
      <c r="F2221" s="2" t="b">
        <v>1</v>
      </c>
      <c r="G2221" s="2" t="b">
        <v>0</v>
      </c>
      <c r="H2221" s="2" t="s">
        <v>37</v>
      </c>
      <c r="I2221" s="2" t="s">
        <v>22</v>
      </c>
      <c r="J2221" s="2" t="s">
        <v>971</v>
      </c>
      <c r="K2221" s="2" t="s">
        <v>495</v>
      </c>
      <c r="L2221" s="13" t="s">
        <v>496</v>
      </c>
      <c r="M2221" s="2" t="s">
        <v>26</v>
      </c>
      <c r="N2221" s="11" t="s">
        <v>8538</v>
      </c>
      <c r="O2221" s="12" t="s">
        <v>53</v>
      </c>
      <c r="P2221" s="5" t="str">
        <f>IFERROR(__xludf.DUMMYFUNCTION("TEXTJOIN("" | "",TRUE,IF(OR(D2221="""",E2221="""",I2221="""",J2221="""",H2221=""""),""ফাঁকা ঘর"",""""),IF(AND(C2221&lt;&gt;"""",D2221&lt;&gt;"""",C2221=D2221),""gloss=figurative"",""""),IF(LEN(D2221)&lt;15,""figurative ছোট"",""""),IF(AND(I2221=""Positive"",REGEXMATCH(H2"&amp;"221,""মূর্খ|ভণ্ড|প্রতার|অলস|লোভ|স্বার্থ|অক্ষম|অযোগ্য|বোকা|কৃপণ|হিংস"")),""valence-target অমিল"",""""),IF(COUNTIF($B:$B,B2221)&gt;1,""ডুপ্লিকেট"",""""))"),"figurative ছোট")</f>
        <v>figurative ছোট</v>
      </c>
      <c r="Q2221" s="5" t="str">
        <f t="shared" si="1"/>
        <v>১ আগে দেখো</v>
      </c>
    </row>
    <row r="2222">
      <c r="A2222" s="4">
        <v>7926.0</v>
      </c>
      <c r="B2222" s="2" t="s">
        <v>8539</v>
      </c>
      <c r="C2222" s="2" t="s">
        <v>8540</v>
      </c>
      <c r="D2222" s="2" t="s">
        <v>1644</v>
      </c>
      <c r="E2222" s="2" t="s">
        <v>8541</v>
      </c>
      <c r="F2222" s="2" t="b">
        <v>1</v>
      </c>
      <c r="G2222" s="2" t="b">
        <v>0</v>
      </c>
      <c r="H2222" s="2" t="s">
        <v>37</v>
      </c>
      <c r="I2222" s="2" t="s">
        <v>32</v>
      </c>
      <c r="J2222" s="2" t="s">
        <v>646</v>
      </c>
      <c r="K2222" s="2" t="s">
        <v>495</v>
      </c>
      <c r="L2222" s="13" t="s">
        <v>496</v>
      </c>
      <c r="M2222" s="2" t="s">
        <v>26</v>
      </c>
      <c r="N2222" s="11" t="s">
        <v>8542</v>
      </c>
      <c r="O2222" s="12" t="s">
        <v>53</v>
      </c>
      <c r="P2222" s="5" t="str">
        <f>IFERROR(__xludf.DUMMYFUNCTION("TEXTJOIN("" | "",TRUE,IF(OR(D2222="""",E2222="""",I2222="""",J2222="""",H2222=""""),""ফাঁকা ঘর"",""""),IF(AND(C2222&lt;&gt;"""",D2222&lt;&gt;"""",C2222=D2222),""gloss=figurative"",""""),IF(LEN(D2222)&lt;15,""figurative ছোট"",""""),IF(AND(I2222=""Positive"",REGEXMATCH(H2"&amp;"222,""মূর্খ|ভণ্ড|প্রতার|অলস|লোভ|স্বার্থ|অক্ষম|অযোগ্য|বোকা|কৃপণ|হিংস"")),""valence-target অমিল"",""""),IF(COUNTIF($B:$B,B2222)&gt;1,""ডুপ্লিকেট"",""""))"),"figurative ছোট")</f>
        <v>figurative ছোট</v>
      </c>
      <c r="Q2222" s="5" t="str">
        <f t="shared" si="1"/>
        <v>১ আগে দেখো</v>
      </c>
    </row>
    <row r="2223">
      <c r="A2223" s="4">
        <v>7927.0</v>
      </c>
      <c r="B2223" s="2" t="s">
        <v>8543</v>
      </c>
      <c r="C2223" s="2" t="s">
        <v>8544</v>
      </c>
      <c r="D2223" s="2" t="s">
        <v>300</v>
      </c>
      <c r="E2223" s="2" t="s">
        <v>8545</v>
      </c>
      <c r="F2223" s="2" t="b">
        <v>1</v>
      </c>
      <c r="G2223" s="2" t="b">
        <v>0</v>
      </c>
      <c r="H2223" s="2" t="s">
        <v>37</v>
      </c>
      <c r="I2223" s="2" t="s">
        <v>49</v>
      </c>
      <c r="J2223" s="2" t="s">
        <v>300</v>
      </c>
      <c r="K2223" s="2" t="s">
        <v>495</v>
      </c>
      <c r="L2223" s="13" t="s">
        <v>496</v>
      </c>
      <c r="M2223" s="2" t="s">
        <v>26</v>
      </c>
      <c r="N2223" s="11" t="s">
        <v>8542</v>
      </c>
      <c r="O2223" s="12" t="s">
        <v>53</v>
      </c>
      <c r="P2223" s="5" t="str">
        <f>IFERROR(__xludf.DUMMYFUNCTION("TEXTJOIN("" | "",TRUE,IF(OR(D2223="""",E2223="""",I2223="""",J2223="""",H2223=""""),""ফাঁকা ঘর"",""""),IF(AND(C2223&lt;&gt;"""",D2223&lt;&gt;"""",C2223=D2223),""gloss=figurative"",""""),IF(LEN(D2223)&lt;15,""figurative ছোট"",""""),IF(AND(I2223=""Positive"",REGEXMATCH(H2"&amp;"223,""মূর্খ|ভণ্ড|প্রতার|অলস|লোভ|স্বার্থ|অক্ষম|অযোগ্য|বোকা|কৃপণ|হিংস"")),""valence-target অমিল"",""""),IF(COUNTIF($B:$B,B2223)&gt;1,""ডুপ্লিকেট"",""""))"),"figurative ছোট")</f>
        <v>figurative ছোট</v>
      </c>
      <c r="Q2223" s="5" t="str">
        <f t="shared" si="1"/>
        <v>১ আগে দেখো</v>
      </c>
    </row>
    <row r="2224">
      <c r="A2224" s="4">
        <v>7928.0</v>
      </c>
      <c r="B2224" s="2" t="s">
        <v>8546</v>
      </c>
      <c r="C2224" s="2" t="s">
        <v>8547</v>
      </c>
      <c r="D2224" s="2" t="s">
        <v>4862</v>
      </c>
      <c r="E2224" s="2" t="s">
        <v>8548</v>
      </c>
      <c r="F2224" s="2" t="b">
        <v>1</v>
      </c>
      <c r="G2224" s="2" t="b">
        <v>0</v>
      </c>
      <c r="H2224" s="2" t="s">
        <v>37</v>
      </c>
      <c r="I2224" s="2" t="s">
        <v>49</v>
      </c>
      <c r="J2224" s="2" t="s">
        <v>565</v>
      </c>
      <c r="K2224" s="2" t="s">
        <v>495</v>
      </c>
      <c r="L2224" s="13" t="s">
        <v>496</v>
      </c>
      <c r="M2224" s="2" t="s">
        <v>26</v>
      </c>
      <c r="N2224" s="11" t="s">
        <v>8542</v>
      </c>
      <c r="O2224" s="12" t="s">
        <v>53</v>
      </c>
      <c r="P2224" s="5" t="str">
        <f>IFERROR(__xludf.DUMMYFUNCTION("TEXTJOIN("" | "",TRUE,IF(OR(D2224="""",E2224="""",I2224="""",J2224="""",H2224=""""),""ফাঁকা ঘর"",""""),IF(AND(C2224&lt;&gt;"""",D2224&lt;&gt;"""",C2224=D2224),""gloss=figurative"",""""),IF(LEN(D2224)&lt;15,""figurative ছোট"",""""),IF(AND(I2224=""Positive"",REGEXMATCH(H2"&amp;"224,""মূর্খ|ভণ্ড|প্রতার|অলস|লোভ|স্বার্থ|অক্ষম|অযোগ্য|বোকা|কৃপণ|হিংস"")),""valence-target অমিল"",""""),IF(COUNTIF($B:$B,B2224)&gt;1,""ডুপ্লিকেট"",""""))"),"figurative ছোট")</f>
        <v>figurative ছোট</v>
      </c>
      <c r="Q2224" s="5" t="str">
        <f t="shared" si="1"/>
        <v>১ আগে দেখো</v>
      </c>
    </row>
    <row r="2225">
      <c r="A2225" s="4">
        <v>7929.0</v>
      </c>
      <c r="B2225" s="2" t="s">
        <v>8549</v>
      </c>
      <c r="C2225" s="2" t="s">
        <v>8550</v>
      </c>
      <c r="D2225" s="2" t="s">
        <v>922</v>
      </c>
      <c r="E2225" s="2" t="s">
        <v>8551</v>
      </c>
      <c r="F2225" s="2" t="b">
        <v>1</v>
      </c>
      <c r="G2225" s="2" t="b">
        <v>0</v>
      </c>
      <c r="H2225" s="2" t="s">
        <v>37</v>
      </c>
      <c r="I2225" s="2" t="s">
        <v>49</v>
      </c>
      <c r="J2225" s="2" t="s">
        <v>924</v>
      </c>
      <c r="K2225" s="2" t="s">
        <v>495</v>
      </c>
      <c r="L2225" s="13" t="s">
        <v>496</v>
      </c>
      <c r="M2225" s="2" t="s">
        <v>26</v>
      </c>
      <c r="N2225" s="11" t="s">
        <v>8552</v>
      </c>
      <c r="O2225" s="12" t="s">
        <v>53</v>
      </c>
      <c r="P2225" s="5" t="str">
        <f>IFERROR(__xludf.DUMMYFUNCTION("TEXTJOIN("" | "",TRUE,IF(OR(D2225="""",E2225="""",I2225="""",J2225="""",H2225=""""),""ফাঁকা ঘর"",""""),IF(AND(C2225&lt;&gt;"""",D2225&lt;&gt;"""",C2225=D2225),""gloss=figurative"",""""),IF(LEN(D2225)&lt;15,""figurative ছোট"",""""),IF(AND(I2225=""Positive"",REGEXMATCH(H2"&amp;"225,""মূর্খ|ভণ্ড|প্রতার|অলস|লোভ|স্বার্থ|অক্ষম|অযোগ্য|বোকা|কৃপণ|হিংস"")),""valence-target অমিল"",""""),IF(COUNTIF($B:$B,B2225)&gt;1,""ডুপ্লিকেট"",""""))"),"figurative ছোট")</f>
        <v>figurative ছোট</v>
      </c>
      <c r="Q2225" s="5" t="str">
        <f t="shared" si="1"/>
        <v>১ আগে দেখো</v>
      </c>
    </row>
    <row r="2226">
      <c r="A2226" s="4">
        <v>7930.0</v>
      </c>
      <c r="B2226" s="2" t="s">
        <v>8553</v>
      </c>
      <c r="C2226" s="2" t="s">
        <v>8554</v>
      </c>
      <c r="D2226" s="2" t="s">
        <v>2234</v>
      </c>
      <c r="E2226" s="2" t="s">
        <v>8555</v>
      </c>
      <c r="F2226" s="2" t="b">
        <v>1</v>
      </c>
      <c r="G2226" s="2" t="b">
        <v>0</v>
      </c>
      <c r="H2226" s="2" t="s">
        <v>37</v>
      </c>
      <c r="I2226" s="2" t="s">
        <v>49</v>
      </c>
      <c r="J2226" s="2" t="s">
        <v>924</v>
      </c>
      <c r="K2226" s="2" t="s">
        <v>495</v>
      </c>
      <c r="L2226" s="13" t="s">
        <v>496</v>
      </c>
      <c r="M2226" s="2" t="s">
        <v>26</v>
      </c>
      <c r="N2226" s="11" t="s">
        <v>8556</v>
      </c>
      <c r="O2226" s="12" t="s">
        <v>53</v>
      </c>
      <c r="P2226" s="5" t="str">
        <f>IFERROR(__xludf.DUMMYFUNCTION("TEXTJOIN("" | "",TRUE,IF(OR(D2226="""",E2226="""",I2226="""",J2226="""",H2226=""""),""ফাঁকা ঘর"",""""),IF(AND(C2226&lt;&gt;"""",D2226&lt;&gt;"""",C2226=D2226),""gloss=figurative"",""""),IF(LEN(D2226)&lt;15,""figurative ছোট"",""""),IF(AND(I2226=""Positive"",REGEXMATCH(H2"&amp;"226,""মূর্খ|ভণ্ড|প্রতার|অলস|লোভ|স্বার্থ|অক্ষম|অযোগ্য|বোকা|কৃপণ|হিংস"")),""valence-target অমিল"",""""),IF(COUNTIF($B:$B,B2226)&gt;1,""ডুপ্লিকেট"",""""))"),"figurative ছোট")</f>
        <v>figurative ছোট</v>
      </c>
      <c r="Q2226" s="5" t="str">
        <f t="shared" si="1"/>
        <v>১ আগে দেখো</v>
      </c>
    </row>
    <row r="2227">
      <c r="A2227" s="4">
        <v>7931.0</v>
      </c>
      <c r="B2227" s="2" t="s">
        <v>8557</v>
      </c>
      <c r="C2227" s="2" t="s">
        <v>8558</v>
      </c>
      <c r="D2227" s="2" t="s">
        <v>8559</v>
      </c>
      <c r="E2227" s="2" t="s">
        <v>8560</v>
      </c>
      <c r="F2227" s="2" t="b">
        <v>1</v>
      </c>
      <c r="G2227" s="2" t="b">
        <v>0</v>
      </c>
      <c r="H2227" s="2" t="s">
        <v>37</v>
      </c>
      <c r="I2227" s="2" t="s">
        <v>49</v>
      </c>
      <c r="J2227" s="2" t="s">
        <v>176</v>
      </c>
      <c r="K2227" s="2" t="s">
        <v>495</v>
      </c>
      <c r="L2227" s="13" t="s">
        <v>496</v>
      </c>
      <c r="M2227" s="2" t="s">
        <v>26</v>
      </c>
      <c r="N2227" s="11" t="s">
        <v>576</v>
      </c>
      <c r="O2227" s="12" t="s">
        <v>53</v>
      </c>
      <c r="P2227" s="5" t="str">
        <f>IFERROR(__xludf.DUMMYFUNCTION("TEXTJOIN("" | "",TRUE,IF(OR(D2227="""",E2227="""",I2227="""",J2227="""",H2227=""""),""ফাঁকা ঘর"",""""),IF(AND(C2227&lt;&gt;"""",D2227&lt;&gt;"""",C2227=D2227),""gloss=figurative"",""""),IF(LEN(D2227)&lt;15,""figurative ছোট"",""""),IF(AND(I2227=""Positive"",REGEXMATCH(H2"&amp;"227,""মূর্খ|ভণ্ড|প্রতার|অলস|লোভ|স্বার্থ|অক্ষম|অযোগ্য|বোকা|কৃপণ|হিংস"")),""valence-target অমিল"",""""),IF(COUNTIF($B:$B,B2227)&gt;1,""ডুপ্লিকেট"",""""))"),"figurative ছোট")</f>
        <v>figurative ছোট</v>
      </c>
      <c r="Q2227" s="5" t="str">
        <f t="shared" si="1"/>
        <v>১ আগে দেখো</v>
      </c>
    </row>
    <row r="2228">
      <c r="A2228" s="4">
        <v>7932.0</v>
      </c>
      <c r="B2228" s="2" t="s">
        <v>8561</v>
      </c>
      <c r="C2228" s="2" t="s">
        <v>8562</v>
      </c>
      <c r="D2228" s="2" t="s">
        <v>581</v>
      </c>
      <c r="E2228" s="2" t="s">
        <v>8563</v>
      </c>
      <c r="F2228" s="2" t="b">
        <v>1</v>
      </c>
      <c r="G2228" s="2" t="b">
        <v>0</v>
      </c>
      <c r="H2228" s="2" t="s">
        <v>37</v>
      </c>
      <c r="I2228" s="2" t="s">
        <v>22</v>
      </c>
      <c r="J2228" s="2" t="s">
        <v>3127</v>
      </c>
      <c r="K2228" s="2" t="s">
        <v>495</v>
      </c>
      <c r="L2228" s="13" t="s">
        <v>496</v>
      </c>
      <c r="M2228" s="2" t="s">
        <v>26</v>
      </c>
      <c r="N2228" s="11" t="s">
        <v>576</v>
      </c>
      <c r="O2228" s="12" t="s">
        <v>53</v>
      </c>
      <c r="P2228" s="5" t="str">
        <f>IFERROR(__xludf.DUMMYFUNCTION("TEXTJOIN("" | "",TRUE,IF(OR(D2228="""",E2228="""",I2228="""",J2228="""",H2228=""""),""ফাঁকা ঘর"",""""),IF(AND(C2228&lt;&gt;"""",D2228&lt;&gt;"""",C2228=D2228),""gloss=figurative"",""""),IF(LEN(D2228)&lt;15,""figurative ছোট"",""""),IF(AND(I2228=""Positive"",REGEXMATCH(H2"&amp;"228,""মূর্খ|ভণ্ড|প্রতার|অলস|লোভ|স্বার্থ|অক্ষম|অযোগ্য|বোকা|কৃপণ|হিংস"")),""valence-target অমিল"",""""),IF(COUNTIF($B:$B,B2228)&gt;1,""ডুপ্লিকেট"",""""))"),"figurative ছোট")</f>
        <v>figurative ছোট</v>
      </c>
      <c r="Q2228" s="5" t="str">
        <f t="shared" si="1"/>
        <v>১ আগে দেখো</v>
      </c>
    </row>
    <row r="2229">
      <c r="A2229" s="4">
        <v>7933.0</v>
      </c>
      <c r="B2229" s="2" t="s">
        <v>8564</v>
      </c>
      <c r="C2229" s="2" t="s">
        <v>8564</v>
      </c>
      <c r="D2229" s="2" t="s">
        <v>8565</v>
      </c>
      <c r="E2229" s="2" t="s">
        <v>8566</v>
      </c>
      <c r="F2229" s="2" t="b">
        <v>1</v>
      </c>
      <c r="G2229" s="2" t="b">
        <v>0</v>
      </c>
      <c r="H2229" s="2" t="s">
        <v>37</v>
      </c>
      <c r="I2229" s="2" t="s">
        <v>32</v>
      </c>
      <c r="J2229" s="2" t="s">
        <v>3475</v>
      </c>
      <c r="K2229" s="2" t="s">
        <v>495</v>
      </c>
      <c r="L2229" s="13" t="s">
        <v>496</v>
      </c>
      <c r="M2229" s="2" t="s">
        <v>26</v>
      </c>
      <c r="N2229" s="11" t="s">
        <v>576</v>
      </c>
      <c r="O2229" s="12" t="s">
        <v>53</v>
      </c>
      <c r="P2229" s="5" t="str">
        <f>IFERROR(__xludf.DUMMYFUNCTION("TEXTJOIN("" | "",TRUE,IF(OR(D2229="""",E2229="""",I2229="""",J2229="""",H2229=""""),""ফাঁকা ঘর"",""""),IF(AND(C2229&lt;&gt;"""",D2229&lt;&gt;"""",C2229=D2229),""gloss=figurative"",""""),IF(LEN(D2229)&lt;15,""figurative ছোট"",""""),IF(AND(I2229=""Positive"",REGEXMATCH(H2"&amp;"229,""মূর্খ|ভণ্ড|প্রতার|অলস|লোভ|স্বার্থ|অক্ষম|অযোগ্য|বোকা|কৃপণ|হিংস"")),""valence-target অমিল"",""""),IF(COUNTIF($B:$B,B2229)&gt;1,""ডুপ্লিকেট"",""""))"),"figurative ছোট")</f>
        <v>figurative ছোট</v>
      </c>
      <c r="Q2229" s="5" t="str">
        <f t="shared" si="1"/>
        <v>১ আগে দেখো</v>
      </c>
    </row>
    <row r="2230">
      <c r="A2230" s="4">
        <v>7934.0</v>
      </c>
      <c r="B2230" s="2" t="s">
        <v>8567</v>
      </c>
      <c r="C2230" s="2" t="s">
        <v>8568</v>
      </c>
      <c r="D2230" s="2" t="s">
        <v>8569</v>
      </c>
      <c r="E2230" s="2" t="s">
        <v>8570</v>
      </c>
      <c r="F2230" s="2" t="b">
        <v>1</v>
      </c>
      <c r="G2230" s="2" t="b">
        <v>0</v>
      </c>
      <c r="H2230" s="2" t="s">
        <v>37</v>
      </c>
      <c r="I2230" s="2" t="s">
        <v>32</v>
      </c>
      <c r="J2230" s="2" t="s">
        <v>1598</v>
      </c>
      <c r="K2230" s="2" t="s">
        <v>495</v>
      </c>
      <c r="L2230" s="13" t="s">
        <v>496</v>
      </c>
      <c r="M2230" s="2" t="s">
        <v>26</v>
      </c>
      <c r="N2230" s="11" t="s">
        <v>576</v>
      </c>
      <c r="O2230" s="12" t="s">
        <v>53</v>
      </c>
      <c r="P2230" s="5" t="str">
        <f>IFERROR(__xludf.DUMMYFUNCTION("TEXTJOIN("" | "",TRUE,IF(OR(D2230="""",E2230="""",I2230="""",J2230="""",H2230=""""),""ফাঁকা ঘর"",""""),IF(AND(C2230&lt;&gt;"""",D2230&lt;&gt;"""",C2230=D2230),""gloss=figurative"",""""),IF(LEN(D2230)&lt;15,""figurative ছোট"",""""),IF(AND(I2230=""Positive"",REGEXMATCH(H2"&amp;"230,""মূর্খ|ভণ্ড|প্রতার|অলস|লোভ|স্বার্থ|অক্ষম|অযোগ্য|বোকা|কৃপণ|হিংস"")),""valence-target অমিল"",""""),IF(COUNTIF($B:$B,B2230)&gt;1,""ডুপ্লিকেট"",""""))"),"figurative ছোট")</f>
        <v>figurative ছোট</v>
      </c>
      <c r="Q2230" s="5" t="str">
        <f t="shared" si="1"/>
        <v>১ আগে দেখো</v>
      </c>
    </row>
    <row r="2231">
      <c r="A2231" s="4">
        <v>7935.0</v>
      </c>
      <c r="B2231" s="2" t="s">
        <v>8571</v>
      </c>
      <c r="C2231" s="2" t="s">
        <v>8571</v>
      </c>
      <c r="D2231" s="2" t="s">
        <v>6277</v>
      </c>
      <c r="E2231" s="2" t="s">
        <v>8572</v>
      </c>
      <c r="F2231" s="2" t="b">
        <v>1</v>
      </c>
      <c r="G2231" s="2" t="b">
        <v>0</v>
      </c>
      <c r="H2231" s="2" t="s">
        <v>37</v>
      </c>
      <c r="I2231" s="2" t="s">
        <v>22</v>
      </c>
      <c r="J2231" s="2" t="s">
        <v>1013</v>
      </c>
      <c r="K2231" s="2" t="s">
        <v>495</v>
      </c>
      <c r="L2231" s="13" t="s">
        <v>496</v>
      </c>
      <c r="M2231" s="2" t="s">
        <v>26</v>
      </c>
      <c r="N2231" s="11" t="s">
        <v>576</v>
      </c>
      <c r="O2231" s="12" t="s">
        <v>53</v>
      </c>
      <c r="P2231" s="5" t="str">
        <f>IFERROR(__xludf.DUMMYFUNCTION("TEXTJOIN("" | "",TRUE,IF(OR(D2231="""",E2231="""",I2231="""",J2231="""",H2231=""""),""ফাঁকা ঘর"",""""),IF(AND(C2231&lt;&gt;"""",D2231&lt;&gt;"""",C2231=D2231),""gloss=figurative"",""""),IF(LEN(D2231)&lt;15,""figurative ছোট"",""""),IF(AND(I2231=""Positive"",REGEXMATCH(H2"&amp;"231,""মূর্খ|ভণ্ড|প্রতার|অলস|লোভ|স্বার্থ|অক্ষম|অযোগ্য|বোকা|কৃপণ|হিংস"")),""valence-target অমিল"",""""),IF(COUNTIF($B:$B,B2231)&gt;1,""ডুপ্লিকেট"",""""))"),"figurative ছোট")</f>
        <v>figurative ছোট</v>
      </c>
      <c r="Q2231" s="5" t="str">
        <f t="shared" si="1"/>
        <v>১ আগে দেখো</v>
      </c>
    </row>
    <row r="2232">
      <c r="A2232" s="4">
        <v>7936.0</v>
      </c>
      <c r="B2232" s="2" t="s">
        <v>8573</v>
      </c>
      <c r="C2232" s="2" t="s">
        <v>8573</v>
      </c>
      <c r="D2232" s="2" t="s">
        <v>7019</v>
      </c>
      <c r="E2232" s="2" t="s">
        <v>8574</v>
      </c>
      <c r="F2232" s="2" t="b">
        <v>1</v>
      </c>
      <c r="G2232" s="2" t="b">
        <v>0</v>
      </c>
      <c r="H2232" s="2" t="s">
        <v>37</v>
      </c>
      <c r="I2232" s="2" t="s">
        <v>32</v>
      </c>
      <c r="J2232" s="2" t="s">
        <v>8575</v>
      </c>
      <c r="K2232" s="2" t="s">
        <v>495</v>
      </c>
      <c r="L2232" s="13" t="s">
        <v>496</v>
      </c>
      <c r="M2232" s="2" t="s">
        <v>26</v>
      </c>
      <c r="N2232" s="11" t="s">
        <v>576</v>
      </c>
      <c r="O2232" s="12" t="s">
        <v>53</v>
      </c>
      <c r="P2232" s="5" t="str">
        <f>IFERROR(__xludf.DUMMYFUNCTION("TEXTJOIN("" | "",TRUE,IF(OR(D2232="""",E2232="""",I2232="""",J2232="""",H2232=""""),""ফাঁকা ঘর"",""""),IF(AND(C2232&lt;&gt;"""",D2232&lt;&gt;"""",C2232=D2232),""gloss=figurative"",""""),IF(LEN(D2232)&lt;15,""figurative ছোট"",""""),IF(AND(I2232=""Positive"",REGEXMATCH(H2"&amp;"232,""মূর্খ|ভণ্ড|প্রতার|অলস|লোভ|স্বার্থ|অক্ষম|অযোগ্য|বোকা|কৃপণ|হিংস"")),""valence-target অমিল"",""""),IF(COUNTIF($B:$B,B2232)&gt;1,""ডুপ্লিকেট"",""""))"),"figurative ছোট")</f>
        <v>figurative ছোট</v>
      </c>
      <c r="Q2232" s="5" t="str">
        <f t="shared" si="1"/>
        <v>১ আগে দেখো</v>
      </c>
    </row>
    <row r="2233">
      <c r="A2233" s="4">
        <v>7937.0</v>
      </c>
      <c r="B2233" s="2" t="s">
        <v>8576</v>
      </c>
      <c r="C2233" s="2" t="s">
        <v>8577</v>
      </c>
      <c r="D2233" s="2" t="s">
        <v>8578</v>
      </c>
      <c r="E2233" s="2" t="s">
        <v>8579</v>
      </c>
      <c r="F2233" s="2" t="b">
        <v>1</v>
      </c>
      <c r="G2233" s="2" t="b">
        <v>0</v>
      </c>
      <c r="H2233" s="2" t="s">
        <v>37</v>
      </c>
      <c r="I2233" s="2" t="s">
        <v>22</v>
      </c>
      <c r="J2233" s="2" t="s">
        <v>1117</v>
      </c>
      <c r="K2233" s="2" t="s">
        <v>495</v>
      </c>
      <c r="L2233" s="13" t="s">
        <v>496</v>
      </c>
      <c r="M2233" s="2" t="s">
        <v>26</v>
      </c>
      <c r="N2233" s="11" t="s">
        <v>576</v>
      </c>
      <c r="O2233" s="12" t="s">
        <v>53</v>
      </c>
      <c r="P2233" s="5" t="str">
        <f>IFERROR(__xludf.DUMMYFUNCTION("TEXTJOIN("" | "",TRUE,IF(OR(D2233="""",E2233="""",I2233="""",J2233="""",H2233=""""),""ফাঁকা ঘর"",""""),IF(AND(C2233&lt;&gt;"""",D2233&lt;&gt;"""",C2233=D2233),""gloss=figurative"",""""),IF(LEN(D2233)&lt;15,""figurative ছোট"",""""),IF(AND(I2233=""Positive"",REGEXMATCH(H2"&amp;"233,""মূর্খ|ভণ্ড|প্রতার|অলস|লোভ|স্বার্থ|অক্ষম|অযোগ্য|বোকা|কৃপণ|হিংস"")),""valence-target অমিল"",""""),IF(COUNTIF($B:$B,B2233)&gt;1,""ডুপ্লিকেট"",""""))"),"figurative ছোট")</f>
        <v>figurative ছোট</v>
      </c>
      <c r="Q2233" s="5" t="str">
        <f t="shared" si="1"/>
        <v>১ আগে দেখো</v>
      </c>
    </row>
    <row r="2234">
      <c r="A2234" s="4">
        <v>7938.0</v>
      </c>
      <c r="B2234" s="2" t="s">
        <v>8580</v>
      </c>
      <c r="C2234" s="2" t="s">
        <v>8581</v>
      </c>
      <c r="D2234" s="2" t="s">
        <v>750</v>
      </c>
      <c r="E2234" s="2" t="s">
        <v>8582</v>
      </c>
      <c r="F2234" s="2" t="b">
        <v>1</v>
      </c>
      <c r="G2234" s="2" t="b">
        <v>0</v>
      </c>
      <c r="H2234" s="2" t="s">
        <v>749</v>
      </c>
      <c r="I2234" s="2" t="s">
        <v>22</v>
      </c>
      <c r="J2234" s="2" t="s">
        <v>750</v>
      </c>
      <c r="K2234" s="2" t="s">
        <v>495</v>
      </c>
      <c r="L2234" s="13" t="s">
        <v>496</v>
      </c>
      <c r="M2234" s="2" t="s">
        <v>26</v>
      </c>
      <c r="N2234" s="11" t="s">
        <v>576</v>
      </c>
      <c r="O2234" s="12" t="s">
        <v>53</v>
      </c>
      <c r="P2234" s="5" t="str">
        <f>IFERROR(__xludf.DUMMYFUNCTION("TEXTJOIN("" | "",TRUE,IF(OR(D2234="""",E2234="""",I2234="""",J2234="""",H2234=""""),""ফাঁকা ঘর"",""""),IF(AND(C2234&lt;&gt;"""",D2234&lt;&gt;"""",C2234=D2234),""gloss=figurative"",""""),IF(LEN(D2234)&lt;15,""figurative ছোট"",""""),IF(AND(I2234=""Positive"",REGEXMATCH(H2"&amp;"234,""মূর্খ|ভণ্ড|প্রতার|অলস|লোভ|স্বার্থ|অক্ষম|অযোগ্য|বোকা|কৃপণ|হিংস"")),""valence-target অমিল"",""""),IF(COUNTIF($B:$B,B2234)&gt;1,""ডুপ্লিকেট"",""""))"),"figurative ছোট")</f>
        <v>figurative ছোট</v>
      </c>
      <c r="Q2234" s="5" t="str">
        <f t="shared" si="1"/>
        <v>১ আগে দেখো</v>
      </c>
    </row>
    <row r="2235">
      <c r="A2235" s="4">
        <v>7939.0</v>
      </c>
      <c r="B2235" s="2" t="s">
        <v>8583</v>
      </c>
      <c r="C2235" s="2" t="s">
        <v>8584</v>
      </c>
      <c r="D2235" s="2" t="s">
        <v>424</v>
      </c>
      <c r="E2235" s="2" t="s">
        <v>8585</v>
      </c>
      <c r="F2235" s="2" t="b">
        <v>1</v>
      </c>
      <c r="G2235" s="2" t="b">
        <v>0</v>
      </c>
      <c r="H2235" s="2" t="s">
        <v>37</v>
      </c>
      <c r="I2235" s="2" t="s">
        <v>22</v>
      </c>
      <c r="J2235" s="2" t="s">
        <v>424</v>
      </c>
      <c r="K2235" s="2" t="s">
        <v>495</v>
      </c>
      <c r="L2235" s="13" t="s">
        <v>496</v>
      </c>
      <c r="M2235" s="2" t="s">
        <v>26</v>
      </c>
      <c r="N2235" s="11" t="s">
        <v>576</v>
      </c>
      <c r="O2235" s="12" t="s">
        <v>53</v>
      </c>
      <c r="P2235" s="5" t="str">
        <f>IFERROR(__xludf.DUMMYFUNCTION("TEXTJOIN("" | "",TRUE,IF(OR(D2235="""",E2235="""",I2235="""",J2235="""",H2235=""""),""ফাঁকা ঘর"",""""),IF(AND(C2235&lt;&gt;"""",D2235&lt;&gt;"""",C2235=D2235),""gloss=figurative"",""""),IF(LEN(D2235)&lt;15,""figurative ছোট"",""""),IF(AND(I2235=""Positive"",REGEXMATCH(H2"&amp;"235,""মূর্খ|ভণ্ড|প্রতার|অলস|লোভ|স্বার্থ|অক্ষম|অযোগ্য|বোকা|কৃপণ|হিংস"")),""valence-target অমিল"",""""),IF(COUNTIF($B:$B,B2235)&gt;1,""ডুপ্লিকেট"",""""))"),"figurative ছোট")</f>
        <v>figurative ছোট</v>
      </c>
      <c r="Q2235" s="5" t="str">
        <f t="shared" si="1"/>
        <v>১ আগে দেখো</v>
      </c>
    </row>
    <row r="2236">
      <c r="A2236" s="4">
        <v>7940.0</v>
      </c>
      <c r="B2236" s="2" t="s">
        <v>8586</v>
      </c>
      <c r="C2236" s="2" t="s">
        <v>8587</v>
      </c>
      <c r="D2236" s="2" t="s">
        <v>8588</v>
      </c>
      <c r="E2236" s="2" t="s">
        <v>8589</v>
      </c>
      <c r="F2236" s="2" t="b">
        <v>1</v>
      </c>
      <c r="G2236" s="2" t="b">
        <v>0</v>
      </c>
      <c r="H2236" s="2" t="s">
        <v>37</v>
      </c>
      <c r="I2236" s="2" t="s">
        <v>22</v>
      </c>
      <c r="J2236" s="2" t="s">
        <v>1462</v>
      </c>
      <c r="K2236" s="2" t="s">
        <v>495</v>
      </c>
      <c r="L2236" s="13" t="s">
        <v>496</v>
      </c>
      <c r="M2236" s="2" t="s">
        <v>26</v>
      </c>
      <c r="N2236" s="11" t="s">
        <v>8590</v>
      </c>
      <c r="O2236" s="12" t="s">
        <v>53</v>
      </c>
      <c r="P2236" s="5" t="str">
        <f>IFERROR(__xludf.DUMMYFUNCTION("TEXTJOIN("" | "",TRUE,IF(OR(D2236="""",E2236="""",I2236="""",J2236="""",H2236=""""),""ফাঁকা ঘর"",""""),IF(AND(C2236&lt;&gt;"""",D2236&lt;&gt;"""",C2236=D2236),""gloss=figurative"",""""),IF(LEN(D2236)&lt;15,""figurative ছোট"",""""),IF(AND(I2236=""Positive"",REGEXMATCH(H2"&amp;"236,""মূর্খ|ভণ্ড|প্রতার|অলস|লোভ|স্বার্থ|অক্ষম|অযোগ্য|বোকা|কৃপণ|হিংস"")),""valence-target অমিল"",""""),IF(COUNTIF($B:$B,B2236)&gt;1,""ডুপ্লিকেট"",""""))"),"figurative ছোট")</f>
        <v>figurative ছোট</v>
      </c>
      <c r="Q2236" s="5" t="str">
        <f t="shared" si="1"/>
        <v>১ আগে দেখো</v>
      </c>
    </row>
    <row r="2237">
      <c r="A2237" s="4">
        <v>7941.0</v>
      </c>
      <c r="B2237" s="2" t="s">
        <v>8591</v>
      </c>
      <c r="C2237" s="2" t="s">
        <v>8592</v>
      </c>
      <c r="D2237" s="2" t="s">
        <v>8593</v>
      </c>
      <c r="E2237" s="2" t="s">
        <v>8594</v>
      </c>
      <c r="F2237" s="2" t="b">
        <v>1</v>
      </c>
      <c r="G2237" s="2" t="b">
        <v>0</v>
      </c>
      <c r="H2237" s="2" t="s">
        <v>37</v>
      </c>
      <c r="I2237" s="2" t="s">
        <v>22</v>
      </c>
      <c r="J2237" s="2" t="s">
        <v>1462</v>
      </c>
      <c r="K2237" s="2" t="s">
        <v>495</v>
      </c>
      <c r="L2237" s="13" t="s">
        <v>496</v>
      </c>
      <c r="M2237" s="2" t="s">
        <v>26</v>
      </c>
      <c r="N2237" s="11" t="s">
        <v>8595</v>
      </c>
      <c r="O2237" s="12" t="s">
        <v>53</v>
      </c>
      <c r="P2237" s="5" t="str">
        <f>IFERROR(__xludf.DUMMYFUNCTION("TEXTJOIN("" | "",TRUE,IF(OR(D2237="""",E2237="""",I2237="""",J2237="""",H2237=""""),""ফাঁকা ঘর"",""""),IF(AND(C2237&lt;&gt;"""",D2237&lt;&gt;"""",C2237=D2237),""gloss=figurative"",""""),IF(LEN(D2237)&lt;15,""figurative ছোট"",""""),IF(AND(I2237=""Positive"",REGEXMATCH(H2"&amp;"237,""মূর্খ|ভণ্ড|প্রতার|অলস|লোভ|স্বার্থ|অক্ষম|অযোগ্য|বোকা|কৃপণ|হিংস"")),""valence-target অমিল"",""""),IF(COUNTIF($B:$B,B2237)&gt;1,""ডুপ্লিকেট"",""""))"),"figurative ছোট")</f>
        <v>figurative ছোট</v>
      </c>
      <c r="Q2237" s="5" t="str">
        <f t="shared" si="1"/>
        <v>১ আগে দেখো</v>
      </c>
    </row>
    <row r="2238">
      <c r="A2238" s="4">
        <v>7942.0</v>
      </c>
      <c r="B2238" s="2" t="s">
        <v>8596</v>
      </c>
      <c r="C2238" s="2" t="s">
        <v>8597</v>
      </c>
      <c r="D2238" s="2" t="s">
        <v>8598</v>
      </c>
      <c r="E2238" s="2" t="s">
        <v>8599</v>
      </c>
      <c r="F2238" s="2" t="b">
        <v>1</v>
      </c>
      <c r="G2238" s="2" t="b">
        <v>0</v>
      </c>
      <c r="H2238" s="2" t="s">
        <v>37</v>
      </c>
      <c r="I2238" s="2" t="s">
        <v>22</v>
      </c>
      <c r="J2238" s="2" t="s">
        <v>729</v>
      </c>
      <c r="K2238" s="2" t="s">
        <v>495</v>
      </c>
      <c r="L2238" s="13" t="s">
        <v>496</v>
      </c>
      <c r="M2238" s="2" t="s">
        <v>26</v>
      </c>
      <c r="N2238" s="11" t="s">
        <v>576</v>
      </c>
      <c r="O2238" s="12" t="s">
        <v>53</v>
      </c>
      <c r="P2238" s="5" t="str">
        <f>IFERROR(__xludf.DUMMYFUNCTION("TEXTJOIN("" | "",TRUE,IF(OR(D2238="""",E2238="""",I2238="""",J2238="""",H2238=""""),""ফাঁকা ঘর"",""""),IF(AND(C2238&lt;&gt;"""",D2238&lt;&gt;"""",C2238=D2238),""gloss=figurative"",""""),IF(LEN(D2238)&lt;15,""figurative ছোট"",""""),IF(AND(I2238=""Positive"",REGEXMATCH(H2"&amp;"238,""মূর্খ|ভণ্ড|প্রতার|অলস|লোভ|স্বার্থ|অক্ষম|অযোগ্য|বোকা|কৃপণ|হিংস"")),""valence-target অমিল"",""""),IF(COUNTIF($B:$B,B2238)&gt;1,""ডুপ্লিকেট"",""""))"),"figurative ছোট")</f>
        <v>figurative ছোট</v>
      </c>
      <c r="Q2238" s="5" t="str">
        <f t="shared" si="1"/>
        <v>১ আগে দেখো</v>
      </c>
    </row>
    <row r="2239">
      <c r="A2239" s="4">
        <v>7943.0</v>
      </c>
      <c r="B2239" s="2" t="s">
        <v>8600</v>
      </c>
      <c r="C2239" s="2" t="s">
        <v>8601</v>
      </c>
      <c r="D2239" s="2" t="s">
        <v>7769</v>
      </c>
      <c r="E2239" s="2" t="s">
        <v>8602</v>
      </c>
      <c r="F2239" s="2" t="b">
        <v>1</v>
      </c>
      <c r="G2239" s="2" t="b">
        <v>0</v>
      </c>
      <c r="H2239" s="2" t="s">
        <v>37</v>
      </c>
      <c r="I2239" s="2" t="s">
        <v>22</v>
      </c>
      <c r="J2239" s="2" t="s">
        <v>2937</v>
      </c>
      <c r="K2239" s="2" t="s">
        <v>495</v>
      </c>
      <c r="L2239" s="13" t="s">
        <v>496</v>
      </c>
      <c r="M2239" s="2" t="s">
        <v>26</v>
      </c>
      <c r="N2239" s="11" t="s">
        <v>576</v>
      </c>
      <c r="O2239" s="12" t="s">
        <v>53</v>
      </c>
      <c r="P2239" s="5" t="str">
        <f>IFERROR(__xludf.DUMMYFUNCTION("TEXTJOIN("" | "",TRUE,IF(OR(D2239="""",E2239="""",I2239="""",J2239="""",H2239=""""),""ফাঁকা ঘর"",""""),IF(AND(C2239&lt;&gt;"""",D2239&lt;&gt;"""",C2239=D2239),""gloss=figurative"",""""),IF(LEN(D2239)&lt;15,""figurative ছোট"",""""),IF(AND(I2239=""Positive"",REGEXMATCH(H2"&amp;"239,""মূর্খ|ভণ্ড|প্রতার|অলস|লোভ|স্বার্থ|অক্ষম|অযোগ্য|বোকা|কৃপণ|হিংস"")),""valence-target অমিল"",""""),IF(COUNTIF($B:$B,B2239)&gt;1,""ডুপ্লিকেট"",""""))"),"figurative ছোট")</f>
        <v>figurative ছোট</v>
      </c>
      <c r="Q2239" s="5" t="str">
        <f t="shared" si="1"/>
        <v>১ আগে দেখো</v>
      </c>
    </row>
    <row r="2240">
      <c r="A2240" s="4">
        <v>7944.0</v>
      </c>
      <c r="B2240" s="2" t="s">
        <v>8603</v>
      </c>
      <c r="C2240" s="2" t="s">
        <v>8603</v>
      </c>
      <c r="D2240" s="2" t="s">
        <v>8604</v>
      </c>
      <c r="E2240" s="2" t="s">
        <v>8605</v>
      </c>
      <c r="F2240" s="2" t="b">
        <v>1</v>
      </c>
      <c r="G2240" s="2" t="b">
        <v>0</v>
      </c>
      <c r="H2240" s="2" t="s">
        <v>37</v>
      </c>
      <c r="I2240" s="2" t="s">
        <v>22</v>
      </c>
      <c r="J2240" s="2" t="s">
        <v>8606</v>
      </c>
      <c r="K2240" s="2" t="s">
        <v>495</v>
      </c>
      <c r="L2240" s="13" t="s">
        <v>496</v>
      </c>
      <c r="M2240" s="2" t="s">
        <v>26</v>
      </c>
      <c r="N2240" s="11" t="s">
        <v>576</v>
      </c>
      <c r="O2240" s="12" t="s">
        <v>53</v>
      </c>
      <c r="P2240" s="5" t="str">
        <f>IFERROR(__xludf.DUMMYFUNCTION("TEXTJOIN("" | "",TRUE,IF(OR(D2240="""",E2240="""",I2240="""",J2240="""",H2240=""""),""ফাঁকা ঘর"",""""),IF(AND(C2240&lt;&gt;"""",D2240&lt;&gt;"""",C2240=D2240),""gloss=figurative"",""""),IF(LEN(D2240)&lt;15,""figurative ছোট"",""""),IF(AND(I2240=""Positive"",REGEXMATCH(H2"&amp;"240,""মূর্খ|ভণ্ড|প্রতার|অলস|লোভ|স্বার্থ|অক্ষম|অযোগ্য|বোকা|কৃপণ|হিংস"")),""valence-target অমিল"",""""),IF(COUNTIF($B:$B,B2240)&gt;1,""ডুপ্লিকেট"",""""))"),"figurative ছোট")</f>
        <v>figurative ছোট</v>
      </c>
      <c r="Q2240" s="5" t="str">
        <f t="shared" si="1"/>
        <v>১ আগে দেখো</v>
      </c>
    </row>
    <row r="2241">
      <c r="A2241" s="4">
        <v>7945.0</v>
      </c>
      <c r="B2241" s="2" t="s">
        <v>8607</v>
      </c>
      <c r="C2241" s="2" t="s">
        <v>8608</v>
      </c>
      <c r="D2241" s="2" t="s">
        <v>2742</v>
      </c>
      <c r="E2241" s="2" t="s">
        <v>8609</v>
      </c>
      <c r="F2241" s="2" t="b">
        <v>1</v>
      </c>
      <c r="G2241" s="2" t="b">
        <v>0</v>
      </c>
      <c r="H2241" s="2" t="s">
        <v>37</v>
      </c>
      <c r="I2241" s="2" t="s">
        <v>49</v>
      </c>
      <c r="J2241" s="2" t="s">
        <v>2742</v>
      </c>
      <c r="K2241" s="2" t="s">
        <v>495</v>
      </c>
      <c r="L2241" s="13" t="s">
        <v>496</v>
      </c>
      <c r="M2241" s="2" t="s">
        <v>26</v>
      </c>
      <c r="N2241" s="11" t="s">
        <v>576</v>
      </c>
      <c r="O2241" s="12" t="s">
        <v>53</v>
      </c>
      <c r="P2241" s="5" t="str">
        <f>IFERROR(__xludf.DUMMYFUNCTION("TEXTJOIN("" | "",TRUE,IF(OR(D2241="""",E2241="""",I2241="""",J2241="""",H2241=""""),""ফাঁকা ঘর"",""""),IF(AND(C2241&lt;&gt;"""",D2241&lt;&gt;"""",C2241=D2241),""gloss=figurative"",""""),IF(LEN(D2241)&lt;15,""figurative ছোট"",""""),IF(AND(I2241=""Positive"",REGEXMATCH(H2"&amp;"241,""মূর্খ|ভণ্ড|প্রতার|অলস|লোভ|স্বার্থ|অক্ষম|অযোগ্য|বোকা|কৃপণ|হিংস"")),""valence-target অমিল"",""""),IF(COUNTIF($B:$B,B2241)&gt;1,""ডুপ্লিকেট"",""""))"),"figurative ছোট")</f>
        <v>figurative ছোট</v>
      </c>
      <c r="Q2241" s="5" t="str">
        <f t="shared" si="1"/>
        <v>১ আগে দেখো</v>
      </c>
    </row>
    <row r="2242">
      <c r="A2242" s="4">
        <v>7946.0</v>
      </c>
      <c r="B2242" s="2" t="s">
        <v>8610</v>
      </c>
      <c r="C2242" s="2" t="s">
        <v>8610</v>
      </c>
      <c r="D2242" s="2" t="s">
        <v>924</v>
      </c>
      <c r="E2242" s="2" t="s">
        <v>8611</v>
      </c>
      <c r="F2242" s="2" t="b">
        <v>1</v>
      </c>
      <c r="G2242" s="2" t="b">
        <v>0</v>
      </c>
      <c r="H2242" s="2" t="s">
        <v>37</v>
      </c>
      <c r="I2242" s="2" t="s">
        <v>49</v>
      </c>
      <c r="J2242" s="2" t="s">
        <v>924</v>
      </c>
      <c r="K2242" s="2" t="s">
        <v>495</v>
      </c>
      <c r="L2242" s="13" t="s">
        <v>496</v>
      </c>
      <c r="M2242" s="2" t="s">
        <v>26</v>
      </c>
      <c r="N2242" s="11" t="s">
        <v>576</v>
      </c>
      <c r="O2242" s="12" t="s">
        <v>53</v>
      </c>
      <c r="P2242" s="5" t="str">
        <f>IFERROR(__xludf.DUMMYFUNCTION("TEXTJOIN("" | "",TRUE,IF(OR(D2242="""",E2242="""",I2242="""",J2242="""",H2242=""""),""ফাঁকা ঘর"",""""),IF(AND(C2242&lt;&gt;"""",D2242&lt;&gt;"""",C2242=D2242),""gloss=figurative"",""""),IF(LEN(D2242)&lt;15,""figurative ছোট"",""""),IF(AND(I2242=""Positive"",REGEXMATCH(H2"&amp;"242,""মূর্খ|ভণ্ড|প্রতার|অলস|লোভ|স্বার্থ|অক্ষম|অযোগ্য|বোকা|কৃপণ|হিংস"")),""valence-target অমিল"",""""),IF(COUNTIF($B:$B,B2242)&gt;1,""ডুপ্লিকেট"",""""))"),"figurative ছোট")</f>
        <v>figurative ছোট</v>
      </c>
      <c r="Q2242" s="5" t="str">
        <f t="shared" si="1"/>
        <v>১ আগে দেখো</v>
      </c>
    </row>
    <row r="2243">
      <c r="A2243" s="4">
        <v>7947.0</v>
      </c>
      <c r="B2243" s="2" t="s">
        <v>8612</v>
      </c>
      <c r="C2243" s="2" t="s">
        <v>8612</v>
      </c>
      <c r="D2243" s="2" t="s">
        <v>8613</v>
      </c>
      <c r="E2243" s="2" t="s">
        <v>8614</v>
      </c>
      <c r="F2243" s="2" t="b">
        <v>1</v>
      </c>
      <c r="G2243" s="2" t="b">
        <v>0</v>
      </c>
      <c r="H2243" s="2" t="s">
        <v>37</v>
      </c>
      <c r="I2243" s="2" t="s">
        <v>22</v>
      </c>
      <c r="J2243" s="2" t="s">
        <v>8613</v>
      </c>
      <c r="K2243" s="2" t="s">
        <v>495</v>
      </c>
      <c r="L2243" s="13" t="s">
        <v>496</v>
      </c>
      <c r="M2243" s="2" t="s">
        <v>26</v>
      </c>
      <c r="N2243" s="11" t="s">
        <v>576</v>
      </c>
      <c r="O2243" s="12" t="s">
        <v>53</v>
      </c>
      <c r="P2243" s="5" t="str">
        <f>IFERROR(__xludf.DUMMYFUNCTION("TEXTJOIN("" | "",TRUE,IF(OR(D2243="""",E2243="""",I2243="""",J2243="""",H2243=""""),""ফাঁকা ঘর"",""""),IF(AND(C2243&lt;&gt;"""",D2243&lt;&gt;"""",C2243=D2243),""gloss=figurative"",""""),IF(LEN(D2243)&lt;15,""figurative ছোট"",""""),IF(AND(I2243=""Positive"",REGEXMATCH(H2"&amp;"243,""মূর্খ|ভণ্ড|প্রতার|অলস|লোভ|স্বার্থ|অক্ষম|অযোগ্য|বোকা|কৃপণ|হিংস"")),""valence-target অমিল"",""""),IF(COUNTIF($B:$B,B2243)&gt;1,""ডুপ্লিকেট"",""""))"),"figurative ছোট")</f>
        <v>figurative ছোট</v>
      </c>
      <c r="Q2243" s="5" t="str">
        <f t="shared" si="1"/>
        <v>১ আগে দেখো</v>
      </c>
    </row>
    <row r="2244">
      <c r="A2244" s="4">
        <v>7948.0</v>
      </c>
      <c r="B2244" s="2" t="s">
        <v>8615</v>
      </c>
      <c r="C2244" s="2" t="s">
        <v>8616</v>
      </c>
      <c r="D2244" s="2" t="s">
        <v>8617</v>
      </c>
      <c r="E2244" s="2" t="s">
        <v>8618</v>
      </c>
      <c r="F2244" s="2" t="b">
        <v>1</v>
      </c>
      <c r="G2244" s="2" t="b">
        <v>0</v>
      </c>
      <c r="H2244" s="2" t="s">
        <v>8617</v>
      </c>
      <c r="I2244" s="2" t="s">
        <v>22</v>
      </c>
      <c r="J2244" s="2" t="s">
        <v>669</v>
      </c>
      <c r="K2244" s="2" t="s">
        <v>495</v>
      </c>
      <c r="L2244" s="13" t="s">
        <v>496</v>
      </c>
      <c r="M2244" s="2" t="s">
        <v>26</v>
      </c>
      <c r="N2244" s="11" t="s">
        <v>576</v>
      </c>
      <c r="O2244" s="12" t="s">
        <v>53</v>
      </c>
      <c r="P2244" s="5" t="str">
        <f>IFERROR(__xludf.DUMMYFUNCTION("TEXTJOIN("" | "",TRUE,IF(OR(D2244="""",E2244="""",I2244="""",J2244="""",H2244=""""),""ফাঁকা ঘর"",""""),IF(AND(C2244&lt;&gt;"""",D2244&lt;&gt;"""",C2244=D2244),""gloss=figurative"",""""),IF(LEN(D2244)&lt;15,""figurative ছোট"",""""),IF(AND(I2244=""Positive"",REGEXMATCH(H2"&amp;"244,""মূর্খ|ভণ্ড|প্রতার|অলস|লোভ|স্বার্থ|অক্ষম|অযোগ্য|বোকা|কৃপণ|হিংস"")),""valence-target অমিল"",""""),IF(COUNTIF($B:$B,B2244)&gt;1,""ডুপ্লিকেট"",""""))"),"figurative ছোট")</f>
        <v>figurative ছোট</v>
      </c>
      <c r="Q2244" s="5" t="str">
        <f t="shared" si="1"/>
        <v>১ আগে দেখো</v>
      </c>
    </row>
    <row r="2245">
      <c r="A2245" s="4">
        <v>7949.0</v>
      </c>
      <c r="B2245" s="2" t="s">
        <v>8619</v>
      </c>
      <c r="C2245" s="2" t="s">
        <v>8619</v>
      </c>
      <c r="D2245" s="2" t="s">
        <v>2869</v>
      </c>
      <c r="E2245" s="2" t="s">
        <v>8620</v>
      </c>
      <c r="F2245" s="2" t="b">
        <v>1</v>
      </c>
      <c r="G2245" s="2" t="b">
        <v>0</v>
      </c>
      <c r="H2245" s="2" t="s">
        <v>37</v>
      </c>
      <c r="I2245" s="2" t="s">
        <v>32</v>
      </c>
      <c r="J2245" s="2" t="s">
        <v>4924</v>
      </c>
      <c r="K2245" s="2" t="s">
        <v>495</v>
      </c>
      <c r="L2245" s="13" t="s">
        <v>496</v>
      </c>
      <c r="M2245" s="2" t="s">
        <v>26</v>
      </c>
      <c r="N2245" s="11" t="s">
        <v>576</v>
      </c>
      <c r="O2245" s="12" t="s">
        <v>53</v>
      </c>
      <c r="P2245" s="5" t="str">
        <f>IFERROR(__xludf.DUMMYFUNCTION("TEXTJOIN("" | "",TRUE,IF(OR(D2245="""",E2245="""",I2245="""",J2245="""",H2245=""""),""ফাঁকা ঘর"",""""),IF(AND(C2245&lt;&gt;"""",D2245&lt;&gt;"""",C2245=D2245),""gloss=figurative"",""""),IF(LEN(D2245)&lt;15,""figurative ছোট"",""""),IF(AND(I2245=""Positive"",REGEXMATCH(H2"&amp;"245,""মূর্খ|ভণ্ড|প্রতার|অলস|লোভ|স্বার্থ|অক্ষম|অযোগ্য|বোকা|কৃপণ|হিংস"")),""valence-target অমিল"",""""),IF(COUNTIF($B:$B,B2245)&gt;1,""ডুপ্লিকেট"",""""))"),"figurative ছোট")</f>
        <v>figurative ছোট</v>
      </c>
      <c r="Q2245" s="5" t="str">
        <f t="shared" si="1"/>
        <v>১ আগে দেখো</v>
      </c>
    </row>
    <row r="2246">
      <c r="A2246" s="4">
        <v>7950.0</v>
      </c>
      <c r="B2246" s="2" t="s">
        <v>8621</v>
      </c>
      <c r="C2246" s="2" t="s">
        <v>8622</v>
      </c>
      <c r="D2246" s="2" t="s">
        <v>814</v>
      </c>
      <c r="E2246" s="2" t="s">
        <v>8623</v>
      </c>
      <c r="F2246" s="2" t="b">
        <v>1</v>
      </c>
      <c r="G2246" s="2" t="b">
        <v>0</v>
      </c>
      <c r="H2246" s="2" t="s">
        <v>37</v>
      </c>
      <c r="I2246" s="2" t="s">
        <v>32</v>
      </c>
      <c r="J2246" s="2" t="s">
        <v>814</v>
      </c>
      <c r="K2246" s="2" t="s">
        <v>495</v>
      </c>
      <c r="L2246" s="13" t="s">
        <v>496</v>
      </c>
      <c r="M2246" s="2" t="s">
        <v>26</v>
      </c>
      <c r="N2246" s="11" t="s">
        <v>576</v>
      </c>
      <c r="O2246" s="12" t="s">
        <v>53</v>
      </c>
      <c r="P2246" s="5" t="str">
        <f>IFERROR(__xludf.DUMMYFUNCTION("TEXTJOIN("" | "",TRUE,IF(OR(D2246="""",E2246="""",I2246="""",J2246="""",H2246=""""),""ফাঁকা ঘর"",""""),IF(AND(C2246&lt;&gt;"""",D2246&lt;&gt;"""",C2246=D2246),""gloss=figurative"",""""),IF(LEN(D2246)&lt;15,""figurative ছোট"",""""),IF(AND(I2246=""Positive"",REGEXMATCH(H2"&amp;"246,""মূর্খ|ভণ্ড|প্রতার|অলস|লোভ|স্বার্থ|অক্ষম|অযোগ্য|বোকা|কৃপণ|হিংস"")),""valence-target অমিল"",""""),IF(COUNTIF($B:$B,B2246)&gt;1,""ডুপ্লিকেট"",""""))"),"figurative ছোট")</f>
        <v>figurative ছোট</v>
      </c>
      <c r="Q2246" s="5" t="str">
        <f t="shared" si="1"/>
        <v>১ আগে দেখো</v>
      </c>
    </row>
    <row r="2247">
      <c r="A2247" s="4">
        <v>7951.0</v>
      </c>
      <c r="B2247" s="2" t="s">
        <v>8624</v>
      </c>
      <c r="C2247" s="2" t="s">
        <v>8625</v>
      </c>
      <c r="D2247" s="2" t="s">
        <v>581</v>
      </c>
      <c r="E2247" s="2" t="s">
        <v>8626</v>
      </c>
      <c r="F2247" s="2" t="b">
        <v>1</v>
      </c>
      <c r="G2247" s="2" t="b">
        <v>0</v>
      </c>
      <c r="H2247" s="2" t="s">
        <v>37</v>
      </c>
      <c r="I2247" s="2" t="s">
        <v>49</v>
      </c>
      <c r="J2247" s="2" t="s">
        <v>581</v>
      </c>
      <c r="K2247" s="2" t="s">
        <v>495</v>
      </c>
      <c r="L2247" s="13" t="s">
        <v>496</v>
      </c>
      <c r="M2247" s="2" t="s">
        <v>26</v>
      </c>
      <c r="N2247" s="11" t="s">
        <v>576</v>
      </c>
      <c r="O2247" s="12" t="s">
        <v>53</v>
      </c>
      <c r="P2247" s="5" t="str">
        <f>IFERROR(__xludf.DUMMYFUNCTION("TEXTJOIN("" | "",TRUE,IF(OR(D2247="""",E2247="""",I2247="""",J2247="""",H2247=""""),""ফাঁকা ঘর"",""""),IF(AND(C2247&lt;&gt;"""",D2247&lt;&gt;"""",C2247=D2247),""gloss=figurative"",""""),IF(LEN(D2247)&lt;15,""figurative ছোট"",""""),IF(AND(I2247=""Positive"",REGEXMATCH(H2"&amp;"247,""মূর্খ|ভণ্ড|প্রতার|অলস|লোভ|স্বার্থ|অক্ষম|অযোগ্য|বোকা|কৃপণ|হিংস"")),""valence-target অমিল"",""""),IF(COUNTIF($B:$B,B2247)&gt;1,""ডুপ্লিকেট"",""""))"),"figurative ছোট")</f>
        <v>figurative ছোট</v>
      </c>
      <c r="Q2247" s="5" t="str">
        <f t="shared" si="1"/>
        <v>১ আগে দেখো</v>
      </c>
    </row>
    <row r="2248">
      <c r="A2248" s="4">
        <v>7952.0</v>
      </c>
      <c r="B2248" s="2" t="s">
        <v>8627</v>
      </c>
      <c r="C2248" s="2" t="s">
        <v>8627</v>
      </c>
      <c r="D2248" s="2" t="s">
        <v>8628</v>
      </c>
      <c r="E2248" s="2" t="s">
        <v>8629</v>
      </c>
      <c r="F2248" s="2" t="b">
        <v>1</v>
      </c>
      <c r="G2248" s="2" t="b">
        <v>0</v>
      </c>
      <c r="H2248" s="2" t="s">
        <v>37</v>
      </c>
      <c r="I2248" s="2" t="s">
        <v>22</v>
      </c>
      <c r="J2248" s="2" t="s">
        <v>6442</v>
      </c>
      <c r="K2248" s="2" t="s">
        <v>495</v>
      </c>
      <c r="L2248" s="13" t="s">
        <v>496</v>
      </c>
      <c r="M2248" s="2" t="s">
        <v>26</v>
      </c>
      <c r="N2248" s="11" t="s">
        <v>8630</v>
      </c>
      <c r="O2248" s="12" t="s">
        <v>53</v>
      </c>
      <c r="P2248" s="5" t="str">
        <f>IFERROR(__xludf.DUMMYFUNCTION("TEXTJOIN("" | "",TRUE,IF(OR(D2248="""",E2248="""",I2248="""",J2248="""",H2248=""""),""ফাঁকা ঘর"",""""),IF(AND(C2248&lt;&gt;"""",D2248&lt;&gt;"""",C2248=D2248),""gloss=figurative"",""""),IF(LEN(D2248)&lt;15,""figurative ছোট"",""""),IF(AND(I2248=""Positive"",REGEXMATCH(H2"&amp;"248,""মূর্খ|ভণ্ড|প্রতার|অলস|লোভ|স্বার্থ|অক্ষম|অযোগ্য|বোকা|কৃপণ|হিংস"")),""valence-target অমিল"",""""),IF(COUNTIF($B:$B,B2248)&gt;1,""ডুপ্লিকেট"",""""))"),"figurative ছোট")</f>
        <v>figurative ছোট</v>
      </c>
      <c r="Q2248" s="5" t="str">
        <f t="shared" si="1"/>
        <v>১ আগে দেখো</v>
      </c>
    </row>
    <row r="2249">
      <c r="A2249" s="4">
        <v>7953.0</v>
      </c>
      <c r="B2249" s="2" t="s">
        <v>8631</v>
      </c>
      <c r="C2249" s="2" t="s">
        <v>8632</v>
      </c>
      <c r="D2249" s="2" t="s">
        <v>8633</v>
      </c>
      <c r="E2249" s="2" t="s">
        <v>8634</v>
      </c>
      <c r="F2249" s="2" t="b">
        <v>1</v>
      </c>
      <c r="G2249" s="2" t="b">
        <v>0</v>
      </c>
      <c r="H2249" s="2" t="s">
        <v>37</v>
      </c>
      <c r="I2249" s="2" t="s">
        <v>49</v>
      </c>
      <c r="J2249" s="2" t="s">
        <v>8633</v>
      </c>
      <c r="K2249" s="2" t="s">
        <v>495</v>
      </c>
      <c r="L2249" s="13" t="s">
        <v>496</v>
      </c>
      <c r="M2249" s="2" t="s">
        <v>26</v>
      </c>
      <c r="N2249" s="11" t="s">
        <v>576</v>
      </c>
      <c r="O2249" s="12" t="s">
        <v>53</v>
      </c>
      <c r="P2249" s="5" t="str">
        <f>IFERROR(__xludf.DUMMYFUNCTION("TEXTJOIN("" | "",TRUE,IF(OR(D2249="""",E2249="""",I2249="""",J2249="""",H2249=""""),""ফাঁকা ঘর"",""""),IF(AND(C2249&lt;&gt;"""",D2249&lt;&gt;"""",C2249=D2249),""gloss=figurative"",""""),IF(LEN(D2249)&lt;15,""figurative ছোট"",""""),IF(AND(I2249=""Positive"",REGEXMATCH(H2"&amp;"249,""মূর্খ|ভণ্ড|প্রতার|অলস|লোভ|স্বার্থ|অক্ষম|অযোগ্য|বোকা|কৃপণ|হিংস"")),""valence-target অমিল"",""""),IF(COUNTIF($B:$B,B2249)&gt;1,""ডুপ্লিকেট"",""""))"),"figurative ছোট")</f>
        <v>figurative ছোট</v>
      </c>
      <c r="Q2249" s="5" t="str">
        <f t="shared" si="1"/>
        <v>১ আগে দেখো</v>
      </c>
    </row>
    <row r="2250">
      <c r="A2250" s="4">
        <v>7954.0</v>
      </c>
      <c r="B2250" s="2" t="s">
        <v>8635</v>
      </c>
      <c r="C2250" s="2" t="s">
        <v>8636</v>
      </c>
      <c r="D2250" s="2" t="s">
        <v>2140</v>
      </c>
      <c r="E2250" s="2" t="s">
        <v>8637</v>
      </c>
      <c r="F2250" s="2" t="b">
        <v>1</v>
      </c>
      <c r="G2250" s="2" t="b">
        <v>0</v>
      </c>
      <c r="H2250" s="2" t="s">
        <v>37</v>
      </c>
      <c r="I2250" s="2" t="s">
        <v>49</v>
      </c>
      <c r="J2250" s="2" t="s">
        <v>2140</v>
      </c>
      <c r="K2250" s="2" t="s">
        <v>495</v>
      </c>
      <c r="L2250" s="13" t="s">
        <v>496</v>
      </c>
      <c r="M2250" s="2" t="s">
        <v>26</v>
      </c>
      <c r="N2250" s="11" t="s">
        <v>576</v>
      </c>
      <c r="O2250" s="12" t="s">
        <v>53</v>
      </c>
      <c r="P2250" s="5" t="str">
        <f>IFERROR(__xludf.DUMMYFUNCTION("TEXTJOIN("" | "",TRUE,IF(OR(D2250="""",E2250="""",I2250="""",J2250="""",H2250=""""),""ফাঁকা ঘর"",""""),IF(AND(C2250&lt;&gt;"""",D2250&lt;&gt;"""",C2250=D2250),""gloss=figurative"",""""),IF(LEN(D2250)&lt;15,""figurative ছোট"",""""),IF(AND(I2250=""Positive"",REGEXMATCH(H2"&amp;"250,""মূর্খ|ভণ্ড|প্রতার|অলস|লোভ|স্বার্থ|অক্ষম|অযোগ্য|বোকা|কৃপণ|হিংস"")),""valence-target অমিল"",""""),IF(COUNTIF($B:$B,B2250)&gt;1,""ডুপ্লিকেট"",""""))"),"figurative ছোট")</f>
        <v>figurative ছোট</v>
      </c>
      <c r="Q2250" s="5" t="str">
        <f t="shared" si="1"/>
        <v>১ আগে দেখো</v>
      </c>
    </row>
    <row r="2251">
      <c r="A2251" s="4">
        <v>7955.0</v>
      </c>
      <c r="B2251" s="2" t="s">
        <v>8638</v>
      </c>
      <c r="C2251" s="2" t="s">
        <v>8639</v>
      </c>
      <c r="D2251" s="2" t="s">
        <v>2140</v>
      </c>
      <c r="E2251" s="2" t="s">
        <v>8640</v>
      </c>
      <c r="F2251" s="2" t="b">
        <v>1</v>
      </c>
      <c r="G2251" s="2" t="b">
        <v>0</v>
      </c>
      <c r="H2251" s="2" t="s">
        <v>37</v>
      </c>
      <c r="I2251" s="2" t="s">
        <v>22</v>
      </c>
      <c r="J2251" s="2" t="s">
        <v>2140</v>
      </c>
      <c r="K2251" s="2" t="s">
        <v>495</v>
      </c>
      <c r="L2251" s="13" t="s">
        <v>496</v>
      </c>
      <c r="M2251" s="2" t="s">
        <v>26</v>
      </c>
      <c r="N2251" s="11" t="s">
        <v>576</v>
      </c>
      <c r="O2251" s="12" t="s">
        <v>53</v>
      </c>
      <c r="P2251" s="5" t="str">
        <f>IFERROR(__xludf.DUMMYFUNCTION("TEXTJOIN("" | "",TRUE,IF(OR(D2251="""",E2251="""",I2251="""",J2251="""",H2251=""""),""ফাঁকা ঘর"",""""),IF(AND(C2251&lt;&gt;"""",D2251&lt;&gt;"""",C2251=D2251),""gloss=figurative"",""""),IF(LEN(D2251)&lt;15,""figurative ছোট"",""""),IF(AND(I2251=""Positive"",REGEXMATCH(H2"&amp;"251,""মূর্খ|ভণ্ড|প্রতার|অলস|লোভ|স্বার্থ|অক্ষম|অযোগ্য|বোকা|কৃপণ|হিংস"")),""valence-target অমিল"",""""),IF(COUNTIF($B:$B,B2251)&gt;1,""ডুপ্লিকেট"",""""))"),"figurative ছোট")</f>
        <v>figurative ছোট</v>
      </c>
      <c r="Q2251" s="5" t="str">
        <f t="shared" si="1"/>
        <v>১ আগে দেখো</v>
      </c>
    </row>
    <row r="2252">
      <c r="A2252" s="4">
        <v>7956.0</v>
      </c>
      <c r="B2252" s="2" t="s">
        <v>8641</v>
      </c>
      <c r="C2252" s="2" t="s">
        <v>8642</v>
      </c>
      <c r="D2252" s="2" t="s">
        <v>528</v>
      </c>
      <c r="E2252" s="2" t="s">
        <v>8643</v>
      </c>
      <c r="F2252" s="2" t="b">
        <v>1</v>
      </c>
      <c r="G2252" s="2" t="b">
        <v>0</v>
      </c>
      <c r="H2252" s="2" t="s">
        <v>37</v>
      </c>
      <c r="I2252" s="2" t="s">
        <v>32</v>
      </c>
      <c r="J2252" s="2" t="s">
        <v>528</v>
      </c>
      <c r="K2252" s="2" t="s">
        <v>495</v>
      </c>
      <c r="L2252" s="13" t="s">
        <v>496</v>
      </c>
      <c r="M2252" s="2" t="s">
        <v>26</v>
      </c>
      <c r="N2252" s="11" t="s">
        <v>576</v>
      </c>
      <c r="O2252" s="12" t="s">
        <v>53</v>
      </c>
      <c r="P2252" s="5" t="str">
        <f>IFERROR(__xludf.DUMMYFUNCTION("TEXTJOIN("" | "",TRUE,IF(OR(D2252="""",E2252="""",I2252="""",J2252="""",H2252=""""),""ফাঁকা ঘর"",""""),IF(AND(C2252&lt;&gt;"""",D2252&lt;&gt;"""",C2252=D2252),""gloss=figurative"",""""),IF(LEN(D2252)&lt;15,""figurative ছোট"",""""),IF(AND(I2252=""Positive"",REGEXMATCH(H2"&amp;"252,""মূর্খ|ভণ্ড|প্রতার|অলস|লোভ|স্বার্থ|অক্ষম|অযোগ্য|বোকা|কৃপণ|হিংস"")),""valence-target অমিল"",""""),IF(COUNTIF($B:$B,B2252)&gt;1,""ডুপ্লিকেট"",""""))"),"figurative ছোট")</f>
        <v>figurative ছোট</v>
      </c>
      <c r="Q2252" s="5" t="str">
        <f t="shared" si="1"/>
        <v>১ আগে দেখো</v>
      </c>
    </row>
    <row r="2253">
      <c r="A2253" s="4">
        <v>7957.0</v>
      </c>
      <c r="B2253" s="2" t="s">
        <v>8644</v>
      </c>
      <c r="C2253" s="2" t="s">
        <v>8645</v>
      </c>
      <c r="D2253" s="2" t="s">
        <v>8646</v>
      </c>
      <c r="E2253" s="2" t="s">
        <v>8647</v>
      </c>
      <c r="F2253" s="2" t="b">
        <v>1</v>
      </c>
      <c r="G2253" s="2" t="b">
        <v>0</v>
      </c>
      <c r="H2253" s="2" t="s">
        <v>37</v>
      </c>
      <c r="I2253" s="2" t="s">
        <v>22</v>
      </c>
      <c r="J2253" s="2" t="s">
        <v>8648</v>
      </c>
      <c r="K2253" s="2" t="s">
        <v>495</v>
      </c>
      <c r="L2253" s="13" t="s">
        <v>496</v>
      </c>
      <c r="M2253" s="2" t="s">
        <v>26</v>
      </c>
      <c r="N2253" s="11" t="s">
        <v>576</v>
      </c>
      <c r="O2253" s="12" t="s">
        <v>53</v>
      </c>
      <c r="P2253" s="5" t="str">
        <f>IFERROR(__xludf.DUMMYFUNCTION("TEXTJOIN("" | "",TRUE,IF(OR(D2253="""",E2253="""",I2253="""",J2253="""",H2253=""""),""ফাঁকা ঘর"",""""),IF(AND(C2253&lt;&gt;"""",D2253&lt;&gt;"""",C2253=D2253),""gloss=figurative"",""""),IF(LEN(D2253)&lt;15,""figurative ছোট"",""""),IF(AND(I2253=""Positive"",REGEXMATCH(H2"&amp;"253,""মূর্খ|ভণ্ড|প্রতার|অলস|লোভ|স্বার্থ|অক্ষম|অযোগ্য|বোকা|কৃপণ|হিংস"")),""valence-target অমিল"",""""),IF(COUNTIF($B:$B,B2253)&gt;1,""ডুপ্লিকেট"",""""))"),"figurative ছোট")</f>
        <v>figurative ছোট</v>
      </c>
      <c r="Q2253" s="5" t="str">
        <f t="shared" si="1"/>
        <v>১ আগে দেখো</v>
      </c>
    </row>
    <row r="2254">
      <c r="A2254" s="4">
        <v>7958.0</v>
      </c>
      <c r="B2254" s="2" t="s">
        <v>8649</v>
      </c>
      <c r="C2254" s="2" t="s">
        <v>8649</v>
      </c>
      <c r="D2254" s="2" t="s">
        <v>2550</v>
      </c>
      <c r="E2254" s="2" t="s">
        <v>8650</v>
      </c>
      <c r="F2254" s="2" t="b">
        <v>1</v>
      </c>
      <c r="G2254" s="2" t="b">
        <v>0</v>
      </c>
      <c r="H2254" s="2" t="s">
        <v>37</v>
      </c>
      <c r="I2254" s="2" t="s">
        <v>49</v>
      </c>
      <c r="J2254" s="2" t="s">
        <v>2550</v>
      </c>
      <c r="K2254" s="2" t="s">
        <v>495</v>
      </c>
      <c r="L2254" s="13" t="s">
        <v>496</v>
      </c>
      <c r="M2254" s="2" t="s">
        <v>26</v>
      </c>
      <c r="N2254" s="11" t="s">
        <v>576</v>
      </c>
      <c r="O2254" s="12" t="s">
        <v>53</v>
      </c>
      <c r="P2254" s="5" t="str">
        <f>IFERROR(__xludf.DUMMYFUNCTION("TEXTJOIN("" | "",TRUE,IF(OR(D2254="""",E2254="""",I2254="""",J2254="""",H2254=""""),""ফাঁকা ঘর"",""""),IF(AND(C2254&lt;&gt;"""",D2254&lt;&gt;"""",C2254=D2254),""gloss=figurative"",""""),IF(LEN(D2254)&lt;15,""figurative ছোট"",""""),IF(AND(I2254=""Positive"",REGEXMATCH(H2"&amp;"254,""মূর্খ|ভণ্ড|প্রতার|অলস|লোভ|স্বার্থ|অক্ষম|অযোগ্য|বোকা|কৃপণ|হিংস"")),""valence-target অমিল"",""""),IF(COUNTIF($B:$B,B2254)&gt;1,""ডুপ্লিকেট"",""""))"),"figurative ছোট")</f>
        <v>figurative ছোট</v>
      </c>
      <c r="Q2254" s="5" t="str">
        <f t="shared" si="1"/>
        <v>১ আগে দেখো</v>
      </c>
    </row>
    <row r="2255">
      <c r="A2255" s="4">
        <v>7959.0</v>
      </c>
      <c r="B2255" s="2" t="s">
        <v>8651</v>
      </c>
      <c r="C2255" s="2" t="s">
        <v>8652</v>
      </c>
      <c r="D2255" s="2" t="s">
        <v>8653</v>
      </c>
      <c r="E2255" s="2" t="s">
        <v>8654</v>
      </c>
      <c r="F2255" s="2" t="b">
        <v>1</v>
      </c>
      <c r="G2255" s="2" t="b">
        <v>0</v>
      </c>
      <c r="H2255" s="2" t="s">
        <v>37</v>
      </c>
      <c r="I2255" s="2" t="s">
        <v>22</v>
      </c>
      <c r="J2255" s="2" t="s">
        <v>8653</v>
      </c>
      <c r="K2255" s="2" t="s">
        <v>495</v>
      </c>
      <c r="L2255" s="13" t="s">
        <v>496</v>
      </c>
      <c r="M2255" s="2" t="s">
        <v>26</v>
      </c>
      <c r="N2255" s="11" t="s">
        <v>576</v>
      </c>
      <c r="O2255" s="12" t="s">
        <v>53</v>
      </c>
      <c r="P2255" s="5" t="str">
        <f>IFERROR(__xludf.DUMMYFUNCTION("TEXTJOIN("" | "",TRUE,IF(OR(D2255="""",E2255="""",I2255="""",J2255="""",H2255=""""),""ফাঁকা ঘর"",""""),IF(AND(C2255&lt;&gt;"""",D2255&lt;&gt;"""",C2255=D2255),""gloss=figurative"",""""),IF(LEN(D2255)&lt;15,""figurative ছোট"",""""),IF(AND(I2255=""Positive"",REGEXMATCH(H2"&amp;"255,""মূর্খ|ভণ্ড|প্রতার|অলস|লোভ|স্বার্থ|অক্ষম|অযোগ্য|বোকা|কৃপণ|হিংস"")),""valence-target অমিল"",""""),IF(COUNTIF($B:$B,B2255)&gt;1,""ডুপ্লিকেট"",""""))"),"figurative ছোট")</f>
        <v>figurative ছোট</v>
      </c>
      <c r="Q2255" s="5" t="str">
        <f t="shared" si="1"/>
        <v>১ আগে দেখো</v>
      </c>
    </row>
    <row r="2256">
      <c r="A2256" s="4">
        <v>7960.0</v>
      </c>
      <c r="B2256" s="2" t="s">
        <v>8655</v>
      </c>
      <c r="C2256" s="2" t="s">
        <v>8655</v>
      </c>
      <c r="D2256" s="2" t="s">
        <v>8656</v>
      </c>
      <c r="E2256" s="2" t="s">
        <v>8657</v>
      </c>
      <c r="F2256" s="2" t="b">
        <v>1</v>
      </c>
      <c r="G2256" s="2" t="b">
        <v>0</v>
      </c>
      <c r="H2256" s="2" t="s">
        <v>37</v>
      </c>
      <c r="I2256" s="2" t="s">
        <v>49</v>
      </c>
      <c r="J2256" s="2" t="s">
        <v>8656</v>
      </c>
      <c r="K2256" s="2" t="s">
        <v>495</v>
      </c>
      <c r="L2256" s="13" t="s">
        <v>496</v>
      </c>
      <c r="M2256" s="2" t="s">
        <v>26</v>
      </c>
      <c r="N2256" s="11" t="s">
        <v>576</v>
      </c>
      <c r="O2256" s="12" t="s">
        <v>53</v>
      </c>
      <c r="P2256" s="5" t="str">
        <f>IFERROR(__xludf.DUMMYFUNCTION("TEXTJOIN("" | "",TRUE,IF(OR(D2256="""",E2256="""",I2256="""",J2256="""",H2256=""""),""ফাঁকা ঘর"",""""),IF(AND(C2256&lt;&gt;"""",D2256&lt;&gt;"""",C2256=D2256),""gloss=figurative"",""""),IF(LEN(D2256)&lt;15,""figurative ছোট"",""""),IF(AND(I2256=""Positive"",REGEXMATCH(H2"&amp;"256,""মূর্খ|ভণ্ড|প্রতার|অলস|লোভ|স্বার্থ|অক্ষম|অযোগ্য|বোকা|কৃপণ|হিংস"")),""valence-target অমিল"",""""),IF(COUNTIF($B:$B,B2256)&gt;1,""ডুপ্লিকেট"",""""))"),"figurative ছোট")</f>
        <v>figurative ছোট</v>
      </c>
      <c r="Q2256" s="5" t="str">
        <f t="shared" si="1"/>
        <v>১ আগে দেখো</v>
      </c>
    </row>
    <row r="2257">
      <c r="A2257" s="4">
        <v>7961.0</v>
      </c>
      <c r="B2257" s="2" t="s">
        <v>8658</v>
      </c>
      <c r="C2257" s="2" t="s">
        <v>8659</v>
      </c>
      <c r="D2257" s="2" t="s">
        <v>5524</v>
      </c>
      <c r="E2257" s="2" t="s">
        <v>8660</v>
      </c>
      <c r="F2257" s="2" t="b">
        <v>1</v>
      </c>
      <c r="G2257" s="2" t="b">
        <v>0</v>
      </c>
      <c r="H2257" s="2" t="s">
        <v>37</v>
      </c>
      <c r="I2257" s="2" t="s">
        <v>49</v>
      </c>
      <c r="J2257" s="2" t="s">
        <v>5524</v>
      </c>
      <c r="K2257" s="2" t="s">
        <v>495</v>
      </c>
      <c r="L2257" s="13" t="s">
        <v>496</v>
      </c>
      <c r="M2257" s="2" t="s">
        <v>26</v>
      </c>
      <c r="N2257" s="11" t="s">
        <v>576</v>
      </c>
      <c r="O2257" s="12" t="s">
        <v>53</v>
      </c>
      <c r="P2257" s="5" t="str">
        <f>IFERROR(__xludf.DUMMYFUNCTION("TEXTJOIN("" | "",TRUE,IF(OR(D2257="""",E2257="""",I2257="""",J2257="""",H2257=""""),""ফাঁকা ঘর"",""""),IF(AND(C2257&lt;&gt;"""",D2257&lt;&gt;"""",C2257=D2257),""gloss=figurative"",""""),IF(LEN(D2257)&lt;15,""figurative ছোট"",""""),IF(AND(I2257=""Positive"",REGEXMATCH(H2"&amp;"257,""মূর্খ|ভণ্ড|প্রতার|অলস|লোভ|স্বার্থ|অক্ষম|অযোগ্য|বোকা|কৃপণ|হিংস"")),""valence-target অমিল"",""""),IF(COUNTIF($B:$B,B2257)&gt;1,""ডুপ্লিকেট"",""""))"),"figurative ছোট")</f>
        <v>figurative ছোট</v>
      </c>
      <c r="Q2257" s="5" t="str">
        <f t="shared" si="1"/>
        <v>১ আগে দেখো</v>
      </c>
    </row>
    <row r="2258">
      <c r="A2258" s="4">
        <v>7962.0</v>
      </c>
      <c r="B2258" s="2" t="s">
        <v>8661</v>
      </c>
      <c r="C2258" s="2" t="s">
        <v>8662</v>
      </c>
      <c r="D2258" s="2" t="s">
        <v>3615</v>
      </c>
      <c r="E2258" s="2" t="s">
        <v>8663</v>
      </c>
      <c r="F2258" s="2" t="b">
        <v>1</v>
      </c>
      <c r="G2258" s="2" t="b">
        <v>0</v>
      </c>
      <c r="H2258" s="2" t="s">
        <v>37</v>
      </c>
      <c r="I2258" s="2" t="s">
        <v>49</v>
      </c>
      <c r="J2258" s="2" t="s">
        <v>3615</v>
      </c>
      <c r="K2258" s="2" t="s">
        <v>495</v>
      </c>
      <c r="L2258" s="13" t="s">
        <v>496</v>
      </c>
      <c r="M2258" s="2" t="s">
        <v>26</v>
      </c>
      <c r="N2258" s="11" t="s">
        <v>576</v>
      </c>
      <c r="O2258" s="12" t="s">
        <v>53</v>
      </c>
      <c r="P2258" s="5" t="str">
        <f>IFERROR(__xludf.DUMMYFUNCTION("TEXTJOIN("" | "",TRUE,IF(OR(D2258="""",E2258="""",I2258="""",J2258="""",H2258=""""),""ফাঁকা ঘর"",""""),IF(AND(C2258&lt;&gt;"""",D2258&lt;&gt;"""",C2258=D2258),""gloss=figurative"",""""),IF(LEN(D2258)&lt;15,""figurative ছোট"",""""),IF(AND(I2258=""Positive"",REGEXMATCH(H2"&amp;"258,""মূর্খ|ভণ্ড|প্রতার|অলস|লোভ|স্বার্থ|অক্ষম|অযোগ্য|বোকা|কৃপণ|হিংস"")),""valence-target অমিল"",""""),IF(COUNTIF($B:$B,B2258)&gt;1,""ডুপ্লিকেট"",""""))"),"figurative ছোট")</f>
        <v>figurative ছোট</v>
      </c>
      <c r="Q2258" s="5" t="str">
        <f t="shared" si="1"/>
        <v>১ আগে দেখো</v>
      </c>
    </row>
    <row r="2259">
      <c r="A2259" s="4">
        <v>7963.0</v>
      </c>
      <c r="B2259" s="2" t="s">
        <v>8664</v>
      </c>
      <c r="C2259" s="2" t="s">
        <v>8665</v>
      </c>
      <c r="D2259" s="2" t="s">
        <v>2255</v>
      </c>
      <c r="E2259" s="2" t="s">
        <v>8666</v>
      </c>
      <c r="F2259" s="2" t="b">
        <v>1</v>
      </c>
      <c r="G2259" s="2" t="b">
        <v>0</v>
      </c>
      <c r="H2259" s="2" t="s">
        <v>37</v>
      </c>
      <c r="I2259" s="2" t="s">
        <v>22</v>
      </c>
      <c r="J2259" s="2" t="s">
        <v>2255</v>
      </c>
      <c r="K2259" s="2" t="s">
        <v>495</v>
      </c>
      <c r="L2259" s="13" t="s">
        <v>496</v>
      </c>
      <c r="M2259" s="2" t="s">
        <v>26</v>
      </c>
      <c r="N2259" s="11" t="s">
        <v>576</v>
      </c>
      <c r="O2259" s="12" t="s">
        <v>53</v>
      </c>
      <c r="P2259" s="5" t="str">
        <f>IFERROR(__xludf.DUMMYFUNCTION("TEXTJOIN("" | "",TRUE,IF(OR(D2259="""",E2259="""",I2259="""",J2259="""",H2259=""""),""ফাঁকা ঘর"",""""),IF(AND(C2259&lt;&gt;"""",D2259&lt;&gt;"""",C2259=D2259),""gloss=figurative"",""""),IF(LEN(D2259)&lt;15,""figurative ছোট"",""""),IF(AND(I2259=""Positive"",REGEXMATCH(H2"&amp;"259,""মূর্খ|ভণ্ড|প্রতার|অলস|লোভ|স্বার্থ|অক্ষম|অযোগ্য|বোকা|কৃপণ|হিংস"")),""valence-target অমিল"",""""),IF(COUNTIF($B:$B,B2259)&gt;1,""ডুপ্লিকেট"",""""))"),"figurative ছোট")</f>
        <v>figurative ছোট</v>
      </c>
      <c r="Q2259" s="5" t="str">
        <f t="shared" si="1"/>
        <v>১ আগে দেখো</v>
      </c>
    </row>
    <row r="2260">
      <c r="A2260" s="4">
        <v>7964.0</v>
      </c>
      <c r="B2260" s="2" t="s">
        <v>8667</v>
      </c>
      <c r="C2260" s="2" t="s">
        <v>8668</v>
      </c>
      <c r="D2260" s="2" t="s">
        <v>989</v>
      </c>
      <c r="E2260" s="2" t="s">
        <v>8669</v>
      </c>
      <c r="F2260" s="2" t="b">
        <v>1</v>
      </c>
      <c r="G2260" s="2" t="b">
        <v>0</v>
      </c>
      <c r="H2260" s="2" t="s">
        <v>989</v>
      </c>
      <c r="I2260" s="2" t="s">
        <v>22</v>
      </c>
      <c r="J2260" s="2" t="s">
        <v>990</v>
      </c>
      <c r="K2260" s="2" t="s">
        <v>495</v>
      </c>
      <c r="L2260" s="13" t="s">
        <v>496</v>
      </c>
      <c r="M2260" s="2" t="s">
        <v>26</v>
      </c>
      <c r="N2260" s="11" t="s">
        <v>576</v>
      </c>
      <c r="O2260" s="12" t="s">
        <v>53</v>
      </c>
      <c r="P2260" s="5" t="str">
        <f>IFERROR(__xludf.DUMMYFUNCTION("TEXTJOIN("" | "",TRUE,IF(OR(D2260="""",E2260="""",I2260="""",J2260="""",H2260=""""),""ফাঁকা ঘর"",""""),IF(AND(C2260&lt;&gt;"""",D2260&lt;&gt;"""",C2260=D2260),""gloss=figurative"",""""),IF(LEN(D2260)&lt;15,""figurative ছোট"",""""),IF(AND(I2260=""Positive"",REGEXMATCH(H2"&amp;"260,""মূর্খ|ভণ্ড|প্রতার|অলস|লোভ|স্বার্থ|অক্ষম|অযোগ্য|বোকা|কৃপণ|হিংস"")),""valence-target অমিল"",""""),IF(COUNTIF($B:$B,B2260)&gt;1,""ডুপ্লিকেট"",""""))"),"figurative ছোট")</f>
        <v>figurative ছোট</v>
      </c>
      <c r="Q2260" s="5" t="str">
        <f t="shared" si="1"/>
        <v>১ আগে দেখো</v>
      </c>
    </row>
    <row r="2261">
      <c r="A2261" s="4">
        <v>7965.0</v>
      </c>
      <c r="B2261" s="2" t="s">
        <v>8670</v>
      </c>
      <c r="C2261" s="2" t="s">
        <v>8671</v>
      </c>
      <c r="D2261" s="2" t="s">
        <v>1244</v>
      </c>
      <c r="E2261" s="2" t="s">
        <v>8672</v>
      </c>
      <c r="F2261" s="2" t="b">
        <v>1</v>
      </c>
      <c r="G2261" s="2" t="b">
        <v>0</v>
      </c>
      <c r="H2261" s="2" t="s">
        <v>37</v>
      </c>
      <c r="I2261" s="2" t="s">
        <v>49</v>
      </c>
      <c r="J2261" s="2" t="s">
        <v>1244</v>
      </c>
      <c r="K2261" s="2" t="s">
        <v>495</v>
      </c>
      <c r="L2261" s="13" t="s">
        <v>496</v>
      </c>
      <c r="M2261" s="2" t="s">
        <v>26</v>
      </c>
      <c r="N2261" s="11" t="s">
        <v>576</v>
      </c>
      <c r="O2261" s="12" t="s">
        <v>53</v>
      </c>
      <c r="P2261" s="5" t="str">
        <f>IFERROR(__xludf.DUMMYFUNCTION("TEXTJOIN("" | "",TRUE,IF(OR(D2261="""",E2261="""",I2261="""",J2261="""",H2261=""""),""ফাঁকা ঘর"",""""),IF(AND(C2261&lt;&gt;"""",D2261&lt;&gt;"""",C2261=D2261),""gloss=figurative"",""""),IF(LEN(D2261)&lt;15,""figurative ছোট"",""""),IF(AND(I2261=""Positive"",REGEXMATCH(H2"&amp;"261,""মূর্খ|ভণ্ড|প্রতার|অলস|লোভ|স্বার্থ|অক্ষম|অযোগ্য|বোকা|কৃপণ|হিংস"")),""valence-target অমিল"",""""),IF(COUNTIF($B:$B,B2261)&gt;1,""ডুপ্লিকেট"",""""))"),"figurative ছোট")</f>
        <v>figurative ছোট</v>
      </c>
      <c r="Q2261" s="5" t="str">
        <f t="shared" si="1"/>
        <v>১ আগে দেখো</v>
      </c>
    </row>
    <row r="2262">
      <c r="A2262" s="4">
        <v>7966.0</v>
      </c>
      <c r="B2262" s="2" t="s">
        <v>8673</v>
      </c>
      <c r="C2262" s="2" t="s">
        <v>8674</v>
      </c>
      <c r="D2262" s="2" t="s">
        <v>913</v>
      </c>
      <c r="E2262" s="2" t="s">
        <v>8675</v>
      </c>
      <c r="F2262" s="2" t="b">
        <v>1</v>
      </c>
      <c r="G2262" s="2" t="b">
        <v>0</v>
      </c>
      <c r="H2262" s="2" t="s">
        <v>37</v>
      </c>
      <c r="I2262" s="2" t="s">
        <v>22</v>
      </c>
      <c r="J2262" s="2" t="s">
        <v>913</v>
      </c>
      <c r="K2262" s="2" t="s">
        <v>495</v>
      </c>
      <c r="L2262" s="13" t="s">
        <v>496</v>
      </c>
      <c r="M2262" s="2" t="s">
        <v>26</v>
      </c>
      <c r="N2262" s="11" t="s">
        <v>576</v>
      </c>
      <c r="O2262" s="12" t="s">
        <v>53</v>
      </c>
      <c r="P2262" s="5" t="str">
        <f>IFERROR(__xludf.DUMMYFUNCTION("TEXTJOIN("" | "",TRUE,IF(OR(D2262="""",E2262="""",I2262="""",J2262="""",H2262=""""),""ফাঁকা ঘর"",""""),IF(AND(C2262&lt;&gt;"""",D2262&lt;&gt;"""",C2262=D2262),""gloss=figurative"",""""),IF(LEN(D2262)&lt;15,""figurative ছোট"",""""),IF(AND(I2262=""Positive"",REGEXMATCH(H2"&amp;"262,""মূর্খ|ভণ্ড|প্রতার|অলস|লোভ|স্বার্থ|অক্ষম|অযোগ্য|বোকা|কৃপণ|হিংস"")),""valence-target অমিল"",""""),IF(COUNTIF($B:$B,B2262)&gt;1,""ডুপ্লিকেট"",""""))"),"figurative ছোট")</f>
        <v>figurative ছোট</v>
      </c>
      <c r="Q2262" s="5" t="str">
        <f t="shared" si="1"/>
        <v>১ আগে দেখো</v>
      </c>
    </row>
    <row r="2263">
      <c r="A2263" s="4">
        <v>7967.0</v>
      </c>
      <c r="B2263" s="2" t="s">
        <v>8676</v>
      </c>
      <c r="C2263" s="2" t="s">
        <v>8677</v>
      </c>
      <c r="D2263" s="2" t="s">
        <v>2243</v>
      </c>
      <c r="E2263" s="2" t="s">
        <v>8678</v>
      </c>
      <c r="F2263" s="2" t="b">
        <v>1</v>
      </c>
      <c r="G2263" s="2" t="b">
        <v>0</v>
      </c>
      <c r="H2263" s="2" t="s">
        <v>2243</v>
      </c>
      <c r="I2263" s="2" t="s">
        <v>22</v>
      </c>
      <c r="J2263" s="2" t="s">
        <v>820</v>
      </c>
      <c r="K2263" s="2" t="s">
        <v>495</v>
      </c>
      <c r="L2263" s="13" t="s">
        <v>496</v>
      </c>
      <c r="M2263" s="2" t="s">
        <v>26</v>
      </c>
      <c r="N2263" s="11" t="s">
        <v>576</v>
      </c>
      <c r="O2263" s="12" t="s">
        <v>53</v>
      </c>
      <c r="P2263" s="5" t="str">
        <f>IFERROR(__xludf.DUMMYFUNCTION("TEXTJOIN("" | "",TRUE,IF(OR(D2263="""",E2263="""",I2263="""",J2263="""",H2263=""""),""ফাঁকা ঘর"",""""),IF(AND(C2263&lt;&gt;"""",D2263&lt;&gt;"""",C2263=D2263),""gloss=figurative"",""""),IF(LEN(D2263)&lt;15,""figurative ছোট"",""""),IF(AND(I2263=""Positive"",REGEXMATCH(H2"&amp;"263,""মূর্খ|ভণ্ড|প্রতার|অলস|লোভ|স্বার্থ|অক্ষম|অযোগ্য|বোকা|কৃপণ|হিংস"")),""valence-target অমিল"",""""),IF(COUNTIF($B:$B,B2263)&gt;1,""ডুপ্লিকেট"",""""))"),"figurative ছোট")</f>
        <v>figurative ছোট</v>
      </c>
      <c r="Q2263" s="5" t="str">
        <f t="shared" si="1"/>
        <v>১ আগে দেখো</v>
      </c>
    </row>
    <row r="2264">
      <c r="A2264" s="4">
        <v>7968.0</v>
      </c>
      <c r="B2264" s="2" t="s">
        <v>8679</v>
      </c>
      <c r="C2264" s="2" t="s">
        <v>8645</v>
      </c>
      <c r="D2264" s="2" t="s">
        <v>8680</v>
      </c>
      <c r="E2264" s="2" t="s">
        <v>8647</v>
      </c>
      <c r="F2264" s="2" t="b">
        <v>1</v>
      </c>
      <c r="G2264" s="2" t="b">
        <v>0</v>
      </c>
      <c r="H2264" s="2" t="s">
        <v>37</v>
      </c>
      <c r="I2264" s="2" t="s">
        <v>22</v>
      </c>
      <c r="J2264" s="2" t="s">
        <v>8648</v>
      </c>
      <c r="K2264" s="2" t="s">
        <v>495</v>
      </c>
      <c r="L2264" s="13" t="s">
        <v>496</v>
      </c>
      <c r="M2264" s="2" t="s">
        <v>26</v>
      </c>
      <c r="N2264" s="11" t="s">
        <v>576</v>
      </c>
      <c r="O2264" s="12" t="s">
        <v>53</v>
      </c>
      <c r="P2264" s="5" t="str">
        <f>IFERROR(__xludf.DUMMYFUNCTION("TEXTJOIN("" | "",TRUE,IF(OR(D2264="""",E2264="""",I2264="""",J2264="""",H2264=""""),""ফাঁকা ঘর"",""""),IF(AND(C2264&lt;&gt;"""",D2264&lt;&gt;"""",C2264=D2264),""gloss=figurative"",""""),IF(LEN(D2264)&lt;15,""figurative ছোট"",""""),IF(AND(I2264=""Positive"",REGEXMATCH(H2"&amp;"264,""মূর্খ|ভণ্ড|প্রতার|অলস|লোভ|স্বার্থ|অক্ষম|অযোগ্য|বোকা|কৃপণ|হিংস"")),""valence-target অমিল"",""""),IF(COUNTIF($B:$B,B2264)&gt;1,""ডুপ্লিকেট"",""""))"),"figurative ছোট")</f>
        <v>figurative ছোট</v>
      </c>
      <c r="Q2264" s="5" t="str">
        <f t="shared" si="1"/>
        <v>১ আগে দেখো</v>
      </c>
    </row>
    <row r="2265">
      <c r="A2265" s="4">
        <v>7969.0</v>
      </c>
      <c r="B2265" s="2" t="s">
        <v>8681</v>
      </c>
      <c r="C2265" s="2" t="s">
        <v>8682</v>
      </c>
      <c r="D2265" s="2" t="s">
        <v>8683</v>
      </c>
      <c r="E2265" s="2" t="s">
        <v>8684</v>
      </c>
      <c r="F2265" s="2" t="b">
        <v>1</v>
      </c>
      <c r="G2265" s="2" t="b">
        <v>0</v>
      </c>
      <c r="H2265" s="2" t="s">
        <v>37</v>
      </c>
      <c r="I2265" s="2" t="s">
        <v>49</v>
      </c>
      <c r="J2265" s="2" t="s">
        <v>983</v>
      </c>
      <c r="K2265" s="2" t="s">
        <v>495</v>
      </c>
      <c r="L2265" s="13" t="s">
        <v>496</v>
      </c>
      <c r="M2265" s="2" t="s">
        <v>26</v>
      </c>
      <c r="N2265" s="11" t="s">
        <v>576</v>
      </c>
      <c r="O2265" s="12" t="s">
        <v>53</v>
      </c>
      <c r="P2265" s="5" t="str">
        <f>IFERROR(__xludf.DUMMYFUNCTION("TEXTJOIN("" | "",TRUE,IF(OR(D2265="""",E2265="""",I2265="""",J2265="""",H2265=""""),""ফাঁকা ঘর"",""""),IF(AND(C2265&lt;&gt;"""",D2265&lt;&gt;"""",C2265=D2265),""gloss=figurative"",""""),IF(LEN(D2265)&lt;15,""figurative ছোট"",""""),IF(AND(I2265=""Positive"",REGEXMATCH(H2"&amp;"265,""মূর্খ|ভণ্ড|প্রতার|অলস|লোভ|স্বার্থ|অক্ষম|অযোগ্য|বোকা|কৃপণ|হিংস"")),""valence-target অমিল"",""""),IF(COUNTIF($B:$B,B2265)&gt;1,""ডুপ্লিকেট"",""""))"),"figurative ছোট")</f>
        <v>figurative ছোট</v>
      </c>
      <c r="Q2265" s="5" t="str">
        <f t="shared" si="1"/>
        <v>১ আগে দেখো</v>
      </c>
    </row>
    <row r="2266">
      <c r="A2266" s="4">
        <v>7970.0</v>
      </c>
      <c r="B2266" s="2" t="s">
        <v>8685</v>
      </c>
      <c r="C2266" s="2" t="s">
        <v>8686</v>
      </c>
      <c r="D2266" s="2" t="s">
        <v>6440</v>
      </c>
      <c r="E2266" s="2" t="s">
        <v>8687</v>
      </c>
      <c r="F2266" s="2" t="b">
        <v>1</v>
      </c>
      <c r="G2266" s="2" t="b">
        <v>0</v>
      </c>
      <c r="H2266" s="2" t="s">
        <v>37</v>
      </c>
      <c r="I2266" s="2" t="s">
        <v>49</v>
      </c>
      <c r="J2266" s="2" t="s">
        <v>6440</v>
      </c>
      <c r="K2266" s="2" t="s">
        <v>495</v>
      </c>
      <c r="L2266" s="13" t="s">
        <v>496</v>
      </c>
      <c r="M2266" s="2" t="s">
        <v>26</v>
      </c>
      <c r="N2266" s="11" t="s">
        <v>576</v>
      </c>
      <c r="O2266" s="12" t="s">
        <v>53</v>
      </c>
      <c r="P2266" s="5" t="str">
        <f>IFERROR(__xludf.DUMMYFUNCTION("TEXTJOIN("" | "",TRUE,IF(OR(D2266="""",E2266="""",I2266="""",J2266="""",H2266=""""),""ফাঁকা ঘর"",""""),IF(AND(C2266&lt;&gt;"""",D2266&lt;&gt;"""",C2266=D2266),""gloss=figurative"",""""),IF(LEN(D2266)&lt;15,""figurative ছোট"",""""),IF(AND(I2266=""Positive"",REGEXMATCH(H2"&amp;"266,""মূর্খ|ভণ্ড|প্রতার|অলস|লোভ|স্বার্থ|অক্ষম|অযোগ্য|বোকা|কৃপণ|হিংস"")),""valence-target অমিল"",""""),IF(COUNTIF($B:$B,B2266)&gt;1,""ডুপ্লিকেট"",""""))"),"figurative ছোট")</f>
        <v>figurative ছোট</v>
      </c>
      <c r="Q2266" s="5" t="str">
        <f t="shared" si="1"/>
        <v>১ আগে দেখো</v>
      </c>
    </row>
    <row r="2267">
      <c r="A2267" s="4">
        <v>7971.0</v>
      </c>
      <c r="B2267" s="2" t="s">
        <v>8688</v>
      </c>
      <c r="C2267" s="2" t="s">
        <v>8688</v>
      </c>
      <c r="D2267" s="2" t="s">
        <v>7512</v>
      </c>
      <c r="E2267" s="2" t="s">
        <v>8689</v>
      </c>
      <c r="F2267" s="2" t="b">
        <v>1</v>
      </c>
      <c r="G2267" s="2" t="b">
        <v>0</v>
      </c>
      <c r="H2267" s="2" t="s">
        <v>1484</v>
      </c>
      <c r="I2267" s="2" t="s">
        <v>22</v>
      </c>
      <c r="J2267" s="2" t="s">
        <v>1740</v>
      </c>
      <c r="K2267" s="2" t="s">
        <v>495</v>
      </c>
      <c r="L2267" s="13" t="s">
        <v>496</v>
      </c>
      <c r="M2267" s="2" t="s">
        <v>26</v>
      </c>
      <c r="N2267" s="11" t="s">
        <v>576</v>
      </c>
      <c r="O2267" s="12" t="s">
        <v>53</v>
      </c>
      <c r="P2267" s="5" t="str">
        <f>IFERROR(__xludf.DUMMYFUNCTION("TEXTJOIN("" | "",TRUE,IF(OR(D2267="""",E2267="""",I2267="""",J2267="""",H2267=""""),""ফাঁকা ঘর"",""""),IF(AND(C2267&lt;&gt;"""",D2267&lt;&gt;"""",C2267=D2267),""gloss=figurative"",""""),IF(LEN(D2267)&lt;15,""figurative ছোট"",""""),IF(AND(I2267=""Positive"",REGEXMATCH(H2"&amp;"267,""মূর্খ|ভণ্ড|প্রতার|অলস|লোভ|স্বার্থ|অক্ষম|অযোগ্য|বোকা|কৃপণ|হিংস"")),""valence-target অমিল"",""""),IF(COUNTIF($B:$B,B2267)&gt;1,""ডুপ্লিকেট"",""""))"),"figurative ছোট")</f>
        <v>figurative ছোট</v>
      </c>
      <c r="Q2267" s="5" t="str">
        <f t="shared" si="1"/>
        <v>১ আগে দেখো</v>
      </c>
    </row>
    <row r="2268">
      <c r="A2268" s="4">
        <v>7972.0</v>
      </c>
      <c r="B2268" s="2" t="s">
        <v>8690</v>
      </c>
      <c r="C2268" s="2" t="s">
        <v>8691</v>
      </c>
      <c r="D2268" s="2" t="s">
        <v>8692</v>
      </c>
      <c r="E2268" s="2" t="s">
        <v>8693</v>
      </c>
      <c r="F2268" s="2" t="b">
        <v>1</v>
      </c>
      <c r="G2268" s="2" t="b">
        <v>0</v>
      </c>
      <c r="H2268" s="2" t="s">
        <v>37</v>
      </c>
      <c r="I2268" s="2" t="s">
        <v>32</v>
      </c>
      <c r="J2268" s="2" t="s">
        <v>1635</v>
      </c>
      <c r="K2268" s="2" t="s">
        <v>495</v>
      </c>
      <c r="L2268" s="13" t="s">
        <v>496</v>
      </c>
      <c r="M2268" s="2" t="s">
        <v>26</v>
      </c>
      <c r="N2268" s="11" t="s">
        <v>576</v>
      </c>
      <c r="O2268" s="12" t="s">
        <v>53</v>
      </c>
      <c r="P2268" s="5" t="str">
        <f>IFERROR(__xludf.DUMMYFUNCTION("TEXTJOIN("" | "",TRUE,IF(OR(D2268="""",E2268="""",I2268="""",J2268="""",H2268=""""),""ফাঁকা ঘর"",""""),IF(AND(C2268&lt;&gt;"""",D2268&lt;&gt;"""",C2268=D2268),""gloss=figurative"",""""),IF(LEN(D2268)&lt;15,""figurative ছোট"",""""),IF(AND(I2268=""Positive"",REGEXMATCH(H2"&amp;"268,""মূর্খ|ভণ্ড|প্রতার|অলস|লোভ|স্বার্থ|অক্ষম|অযোগ্য|বোকা|কৃপণ|হিংস"")),""valence-target অমিল"",""""),IF(COUNTIF($B:$B,B2268)&gt;1,""ডুপ্লিকেট"",""""))"),"figurative ছোট")</f>
        <v>figurative ছোট</v>
      </c>
      <c r="Q2268" s="5" t="str">
        <f t="shared" si="1"/>
        <v>১ আগে দেখো</v>
      </c>
    </row>
    <row r="2269">
      <c r="A2269" s="4">
        <v>7973.0</v>
      </c>
      <c r="B2269" s="2" t="s">
        <v>8694</v>
      </c>
      <c r="C2269" s="2" t="s">
        <v>8695</v>
      </c>
      <c r="D2269" s="2" t="s">
        <v>4155</v>
      </c>
      <c r="E2269" s="2" t="s">
        <v>8696</v>
      </c>
      <c r="F2269" s="2" t="b">
        <v>1</v>
      </c>
      <c r="G2269" s="2" t="b">
        <v>0</v>
      </c>
      <c r="H2269" s="2" t="s">
        <v>37</v>
      </c>
      <c r="I2269" s="2" t="s">
        <v>32</v>
      </c>
      <c r="J2269" s="2" t="s">
        <v>1765</v>
      </c>
      <c r="K2269" s="2" t="s">
        <v>495</v>
      </c>
      <c r="L2269" s="13" t="s">
        <v>496</v>
      </c>
      <c r="M2269" s="2" t="s">
        <v>26</v>
      </c>
      <c r="N2269" s="11" t="s">
        <v>576</v>
      </c>
      <c r="O2269" s="12" t="s">
        <v>53</v>
      </c>
      <c r="P2269" s="5" t="str">
        <f>IFERROR(__xludf.DUMMYFUNCTION("TEXTJOIN("" | "",TRUE,IF(OR(D2269="""",E2269="""",I2269="""",J2269="""",H2269=""""),""ফাঁকা ঘর"",""""),IF(AND(C2269&lt;&gt;"""",D2269&lt;&gt;"""",C2269=D2269),""gloss=figurative"",""""),IF(LEN(D2269)&lt;15,""figurative ছোট"",""""),IF(AND(I2269=""Positive"",REGEXMATCH(H2"&amp;"269,""মূর্খ|ভণ্ড|প্রতার|অলস|লোভ|স্বার্থ|অক্ষম|অযোগ্য|বোকা|কৃপণ|হিংস"")),""valence-target অমিল"",""""),IF(COUNTIF($B:$B,B2269)&gt;1,""ডুপ্লিকেট"",""""))"),"figurative ছোট")</f>
        <v>figurative ছোট</v>
      </c>
      <c r="Q2269" s="5" t="str">
        <f t="shared" si="1"/>
        <v>১ আগে দেখো</v>
      </c>
    </row>
    <row r="2270">
      <c r="A2270" s="4">
        <v>7974.0</v>
      </c>
      <c r="B2270" s="2" t="s">
        <v>8697</v>
      </c>
      <c r="C2270" s="2" t="s">
        <v>8698</v>
      </c>
      <c r="D2270" s="2" t="s">
        <v>8699</v>
      </c>
      <c r="E2270" s="2" t="s">
        <v>8700</v>
      </c>
      <c r="F2270" s="2" t="b">
        <v>1</v>
      </c>
      <c r="G2270" s="2" t="b">
        <v>0</v>
      </c>
      <c r="H2270" s="2" t="s">
        <v>37</v>
      </c>
      <c r="I2270" s="2" t="s">
        <v>32</v>
      </c>
      <c r="J2270" s="2" t="s">
        <v>8699</v>
      </c>
      <c r="K2270" s="2" t="s">
        <v>495</v>
      </c>
      <c r="L2270" s="13" t="s">
        <v>496</v>
      </c>
      <c r="M2270" s="2" t="s">
        <v>26</v>
      </c>
      <c r="N2270" s="11" t="s">
        <v>576</v>
      </c>
      <c r="O2270" s="12" t="s">
        <v>53</v>
      </c>
      <c r="P2270" s="5" t="str">
        <f>IFERROR(__xludf.DUMMYFUNCTION("TEXTJOIN("" | "",TRUE,IF(OR(D2270="""",E2270="""",I2270="""",J2270="""",H2270=""""),""ফাঁকা ঘর"",""""),IF(AND(C2270&lt;&gt;"""",D2270&lt;&gt;"""",C2270=D2270),""gloss=figurative"",""""),IF(LEN(D2270)&lt;15,""figurative ছোট"",""""),IF(AND(I2270=""Positive"",REGEXMATCH(H2"&amp;"270,""মূর্খ|ভণ্ড|প্রতার|অলস|লোভ|স্বার্থ|অক্ষম|অযোগ্য|বোকা|কৃপণ|হিংস"")),""valence-target অমিল"",""""),IF(COUNTIF($B:$B,B2270)&gt;1,""ডুপ্লিকেট"",""""))"),"figurative ছোট")</f>
        <v>figurative ছোট</v>
      </c>
      <c r="Q2270" s="5" t="str">
        <f t="shared" si="1"/>
        <v>১ আগে দেখো</v>
      </c>
    </row>
    <row r="2271">
      <c r="A2271" s="4">
        <v>7975.0</v>
      </c>
      <c r="B2271" s="2" t="s">
        <v>8701</v>
      </c>
      <c r="C2271" s="2" t="s">
        <v>8702</v>
      </c>
      <c r="D2271" s="2" t="s">
        <v>4256</v>
      </c>
      <c r="E2271" s="2" t="s">
        <v>8703</v>
      </c>
      <c r="F2271" s="2" t="b">
        <v>1</v>
      </c>
      <c r="G2271" s="2" t="b">
        <v>0</v>
      </c>
      <c r="H2271" s="2" t="s">
        <v>37</v>
      </c>
      <c r="I2271" s="2" t="s">
        <v>22</v>
      </c>
      <c r="J2271" s="2" t="s">
        <v>4256</v>
      </c>
      <c r="K2271" s="2" t="s">
        <v>495</v>
      </c>
      <c r="L2271" s="13" t="s">
        <v>496</v>
      </c>
      <c r="M2271" s="2" t="s">
        <v>26</v>
      </c>
      <c r="N2271" s="11" t="s">
        <v>8704</v>
      </c>
      <c r="O2271" s="12" t="s">
        <v>53</v>
      </c>
      <c r="P2271" s="5" t="str">
        <f>IFERROR(__xludf.DUMMYFUNCTION("TEXTJOIN("" | "",TRUE,IF(OR(D2271="""",E2271="""",I2271="""",J2271="""",H2271=""""),""ফাঁকা ঘর"",""""),IF(AND(C2271&lt;&gt;"""",D2271&lt;&gt;"""",C2271=D2271),""gloss=figurative"",""""),IF(LEN(D2271)&lt;15,""figurative ছোট"",""""),IF(AND(I2271=""Positive"",REGEXMATCH(H2"&amp;"271,""মূর্খ|ভণ্ড|প্রতার|অলস|লোভ|স্বার্থ|অক্ষম|অযোগ্য|বোকা|কৃপণ|হিংস"")),""valence-target অমিল"",""""),IF(COUNTIF($B:$B,B2271)&gt;1,""ডুপ্লিকেট"",""""))"),"figurative ছোট")</f>
        <v>figurative ছোট</v>
      </c>
      <c r="Q2271" s="5" t="str">
        <f t="shared" si="1"/>
        <v>১ আগে দেখো</v>
      </c>
    </row>
    <row r="2272">
      <c r="A2272" s="4">
        <v>7976.0</v>
      </c>
      <c r="B2272" s="2" t="s">
        <v>8705</v>
      </c>
      <c r="C2272" s="2" t="s">
        <v>8706</v>
      </c>
      <c r="D2272" s="2" t="s">
        <v>8707</v>
      </c>
      <c r="E2272" s="2" t="s">
        <v>8708</v>
      </c>
      <c r="F2272" s="2" t="b">
        <v>1</v>
      </c>
      <c r="G2272" s="2" t="b">
        <v>0</v>
      </c>
      <c r="H2272" s="2" t="s">
        <v>37</v>
      </c>
      <c r="I2272" s="2" t="s">
        <v>22</v>
      </c>
      <c r="J2272" s="2" t="s">
        <v>4256</v>
      </c>
      <c r="K2272" s="2" t="s">
        <v>495</v>
      </c>
      <c r="L2272" s="13" t="s">
        <v>496</v>
      </c>
      <c r="M2272" s="2" t="s">
        <v>26</v>
      </c>
      <c r="N2272" s="11" t="s">
        <v>8709</v>
      </c>
      <c r="O2272" s="12" t="s">
        <v>53</v>
      </c>
      <c r="P2272" s="5" t="str">
        <f>IFERROR(__xludf.DUMMYFUNCTION("TEXTJOIN("" | "",TRUE,IF(OR(D2272="""",E2272="""",I2272="""",J2272="""",H2272=""""),""ফাঁকা ঘর"",""""),IF(AND(C2272&lt;&gt;"""",D2272&lt;&gt;"""",C2272=D2272),""gloss=figurative"",""""),IF(LEN(D2272)&lt;15,""figurative ছোট"",""""),IF(AND(I2272=""Positive"",REGEXMATCH(H2"&amp;"272,""মূর্খ|ভণ্ড|প্রতার|অলস|লোভ|স্বার্থ|অক্ষম|অযোগ্য|বোকা|কৃপণ|হিংস"")),""valence-target অমিল"",""""),IF(COUNTIF($B:$B,B2272)&gt;1,""ডুপ্লিকেট"",""""))"),"figurative ছোট")</f>
        <v>figurative ছোট</v>
      </c>
      <c r="Q2272" s="5" t="str">
        <f t="shared" si="1"/>
        <v>১ আগে দেখো</v>
      </c>
    </row>
    <row r="2273">
      <c r="A2273" s="4">
        <v>2.0</v>
      </c>
      <c r="B2273" s="2" t="s">
        <v>1302</v>
      </c>
      <c r="C2273" s="2" t="s">
        <v>8710</v>
      </c>
      <c r="D2273" s="2" t="s">
        <v>8711</v>
      </c>
      <c r="E2273" s="2" t="s">
        <v>8712</v>
      </c>
      <c r="F2273" s="2" t="b">
        <v>1</v>
      </c>
      <c r="G2273" s="2" t="b">
        <v>0</v>
      </c>
      <c r="H2273" s="2" t="s">
        <v>8713</v>
      </c>
      <c r="I2273" s="2" t="s">
        <v>22</v>
      </c>
      <c r="J2273" s="2" t="s">
        <v>8714</v>
      </c>
      <c r="K2273" s="2" t="s">
        <v>24</v>
      </c>
      <c r="L2273" s="2" t="s">
        <v>25</v>
      </c>
      <c r="M2273" s="2" t="s">
        <v>26</v>
      </c>
      <c r="N2273" s="2"/>
      <c r="P2273" s="5" t="str">
        <f>IFERROR(__xludf.DUMMYFUNCTION("TEXTJOIN("" | "",TRUE,IF(OR(D2273="""",E2273="""",I2273="""",J2273="""",H2273=""""),""ফাঁকা ঘর"",""""),IF(AND(C2273&lt;&gt;"""",D2273&lt;&gt;"""",C2273=D2273),""gloss=figurative"",""""),IF(LEN(D2273)&lt;15,""figurative ছোট"",""""),IF(AND(I2273=""Positive"",REGEXMATCH(H2"&amp;"273,""মূর্খ|ভণ্ড|প্রতার|অলস|লোভ|স্বার্থ|অক্ষম|অযোগ্য|বোকা|কৃপণ|হিংস"")),""valence-target অমিল"",""""),IF(COUNTIF($B:$B,B2273)&gt;1,""ডুপ্লিকেট"",""""))"),"")</f>
        <v/>
      </c>
      <c r="Q2273" s="5" t="str">
        <f t="shared" si="1"/>
        <v>২ পরে</v>
      </c>
    </row>
    <row r="2274">
      <c r="A2274" s="4">
        <v>3.0</v>
      </c>
      <c r="B2274" s="2" t="s">
        <v>4683</v>
      </c>
      <c r="C2274" s="2" t="s">
        <v>8715</v>
      </c>
      <c r="D2274" s="2" t="s">
        <v>8716</v>
      </c>
      <c r="E2274" s="2" t="s">
        <v>8717</v>
      </c>
      <c r="F2274" s="2" t="b">
        <v>1</v>
      </c>
      <c r="G2274" s="2" t="b">
        <v>0</v>
      </c>
      <c r="H2274" s="2" t="s">
        <v>8718</v>
      </c>
      <c r="I2274" s="2" t="s">
        <v>22</v>
      </c>
      <c r="J2274" s="2" t="s">
        <v>59</v>
      </c>
      <c r="K2274" s="2" t="s">
        <v>24</v>
      </c>
      <c r="L2274" s="2" t="s">
        <v>25</v>
      </c>
      <c r="M2274" s="2" t="s">
        <v>26</v>
      </c>
      <c r="N2274" s="2"/>
      <c r="P2274" s="5" t="str">
        <f>IFERROR(__xludf.DUMMYFUNCTION("TEXTJOIN("" | "",TRUE,IF(OR(D2274="""",E2274="""",I2274="""",J2274="""",H2274=""""),""ফাঁকা ঘর"",""""),IF(AND(C2274&lt;&gt;"""",D2274&lt;&gt;"""",C2274=D2274),""gloss=figurative"",""""),IF(LEN(D2274)&lt;15,""figurative ছোট"",""""),IF(AND(I2274=""Positive"",REGEXMATCH(H2"&amp;"274,""মূর্খ|ভণ্ড|প্রতার|অলস|লোভ|স্বার্থ|অক্ষম|অযোগ্য|বোকা|কৃপণ|হিংস"")),""valence-target অমিল"",""""),IF(COUNTIF($B:$B,B2274)&gt;1,""ডুপ্লিকেট"",""""))"),"")</f>
        <v/>
      </c>
      <c r="Q2274" s="5" t="str">
        <f t="shared" si="1"/>
        <v>২ পরে</v>
      </c>
    </row>
    <row r="2275">
      <c r="A2275" s="4">
        <v>5.0</v>
      </c>
      <c r="B2275" s="2" t="s">
        <v>8719</v>
      </c>
      <c r="C2275" s="2" t="s">
        <v>8720</v>
      </c>
      <c r="D2275" s="2" t="s">
        <v>8721</v>
      </c>
      <c r="E2275" s="2" t="s">
        <v>8722</v>
      </c>
      <c r="F2275" s="2" t="b">
        <v>1</v>
      </c>
      <c r="G2275" s="2" t="b">
        <v>0</v>
      </c>
      <c r="H2275" s="2" t="s">
        <v>8723</v>
      </c>
      <c r="I2275" s="2" t="s">
        <v>32</v>
      </c>
      <c r="J2275" s="2" t="s">
        <v>123</v>
      </c>
      <c r="K2275" s="2" t="s">
        <v>24</v>
      </c>
      <c r="L2275" s="2" t="s">
        <v>25</v>
      </c>
      <c r="M2275" s="2" t="s">
        <v>26</v>
      </c>
      <c r="N2275" s="2"/>
      <c r="P2275" s="5" t="str">
        <f>IFERROR(__xludf.DUMMYFUNCTION("TEXTJOIN("" | "",TRUE,IF(OR(D2275="""",E2275="""",I2275="""",J2275="""",H2275=""""),""ফাঁকা ঘর"",""""),IF(AND(C2275&lt;&gt;"""",D2275&lt;&gt;"""",C2275=D2275),""gloss=figurative"",""""),IF(LEN(D2275)&lt;15,""figurative ছোট"",""""),IF(AND(I2275=""Positive"",REGEXMATCH(H2"&amp;"275,""মূর্খ|ভণ্ড|প্রতার|অলস|লোভ|স্বার্থ|অক্ষম|অযোগ্য|বোকা|কৃপণ|হিংস"")),""valence-target অমিল"",""""),IF(COUNTIF($B:$B,B2275)&gt;1,""ডুপ্লিকেট"",""""))"),"")</f>
        <v/>
      </c>
      <c r="Q2275" s="5" t="str">
        <f t="shared" si="1"/>
        <v>২ পরে</v>
      </c>
    </row>
    <row r="2276">
      <c r="A2276" s="4">
        <v>6.0</v>
      </c>
      <c r="B2276" s="2" t="s">
        <v>8724</v>
      </c>
      <c r="C2276" s="2" t="s">
        <v>8725</v>
      </c>
      <c r="D2276" s="2" t="s">
        <v>8726</v>
      </c>
      <c r="E2276" s="2" t="s">
        <v>8727</v>
      </c>
      <c r="F2276" s="2" t="b">
        <v>1</v>
      </c>
      <c r="G2276" s="2" t="b">
        <v>0</v>
      </c>
      <c r="H2276" s="2" t="s">
        <v>8728</v>
      </c>
      <c r="I2276" s="2" t="s">
        <v>32</v>
      </c>
      <c r="J2276" s="2" t="s">
        <v>324</v>
      </c>
      <c r="K2276" s="2" t="s">
        <v>24</v>
      </c>
      <c r="L2276" s="2" t="s">
        <v>25</v>
      </c>
      <c r="M2276" s="2" t="s">
        <v>26</v>
      </c>
      <c r="P2276" s="5" t="str">
        <f>IFERROR(__xludf.DUMMYFUNCTION("TEXTJOIN("" | "",TRUE,IF(OR(D2276="""",E2276="""",I2276="""",J2276="""",H2276=""""),""ফাঁকা ঘর"",""""),IF(AND(C2276&lt;&gt;"""",D2276&lt;&gt;"""",C2276=D2276),""gloss=figurative"",""""),IF(LEN(D2276)&lt;15,""figurative ছোট"",""""),IF(AND(I2276=""Positive"",REGEXMATCH(H2"&amp;"276,""মূর্খ|ভণ্ড|প্রতার|অলস|লোভ|স্বার্থ|অক্ষম|অযোগ্য|বোকা|কৃপণ|হিংস"")),""valence-target অমিল"",""""),IF(COUNTIF($B:$B,B2276)&gt;1,""ডুপ্লিকেট"",""""))"),"")</f>
        <v/>
      </c>
      <c r="Q2276" s="5" t="str">
        <f t="shared" si="1"/>
        <v>২ পরে</v>
      </c>
    </row>
    <row r="2277">
      <c r="A2277" s="4">
        <v>7.0</v>
      </c>
      <c r="B2277" s="2" t="s">
        <v>8729</v>
      </c>
      <c r="C2277" s="2" t="s">
        <v>8730</v>
      </c>
      <c r="D2277" s="2" t="s">
        <v>8731</v>
      </c>
      <c r="E2277" s="2" t="s">
        <v>8732</v>
      </c>
      <c r="F2277" s="2" t="b">
        <v>1</v>
      </c>
      <c r="G2277" s="2" t="b">
        <v>0</v>
      </c>
      <c r="H2277" s="2" t="s">
        <v>37</v>
      </c>
      <c r="I2277" s="2" t="s">
        <v>22</v>
      </c>
      <c r="J2277" s="2" t="s">
        <v>8733</v>
      </c>
      <c r="K2277" s="2" t="s">
        <v>24</v>
      </c>
      <c r="L2277" s="2" t="s">
        <v>25</v>
      </c>
      <c r="M2277" s="2" t="s">
        <v>26</v>
      </c>
      <c r="P2277" s="5" t="str">
        <f>IFERROR(__xludf.DUMMYFUNCTION("TEXTJOIN("" | "",TRUE,IF(OR(D2277="""",E2277="""",I2277="""",J2277="""",H2277=""""),""ফাঁকা ঘর"",""""),IF(AND(C2277&lt;&gt;"""",D2277&lt;&gt;"""",C2277=D2277),""gloss=figurative"",""""),IF(LEN(D2277)&lt;15,""figurative ছোট"",""""),IF(AND(I2277=""Positive"",REGEXMATCH(H2"&amp;"277,""মূর্খ|ভণ্ড|প্রতার|অলস|লোভ|স্বার্থ|অক্ষম|অযোগ্য|বোকা|কৃপণ|হিংস"")),""valence-target অমিল"",""""),IF(COUNTIF($B:$B,B2277)&gt;1,""ডুপ্লিকেট"",""""))"),"")</f>
        <v/>
      </c>
      <c r="Q2277" s="5" t="str">
        <f t="shared" si="1"/>
        <v>২ পরে</v>
      </c>
    </row>
    <row r="2278">
      <c r="A2278" s="4">
        <v>8.0</v>
      </c>
      <c r="B2278" s="2" t="s">
        <v>8734</v>
      </c>
      <c r="C2278" s="2" t="s">
        <v>8735</v>
      </c>
      <c r="D2278" s="2" t="s">
        <v>8736</v>
      </c>
      <c r="E2278" s="2" t="s">
        <v>8737</v>
      </c>
      <c r="F2278" s="2" t="b">
        <v>1</v>
      </c>
      <c r="G2278" s="2" t="b">
        <v>1</v>
      </c>
      <c r="H2278" s="2" t="s">
        <v>8738</v>
      </c>
      <c r="I2278" s="2" t="s">
        <v>22</v>
      </c>
      <c r="J2278" s="2" t="s">
        <v>8739</v>
      </c>
      <c r="K2278" s="2" t="s">
        <v>24</v>
      </c>
      <c r="L2278" s="2" t="s">
        <v>25</v>
      </c>
      <c r="M2278" s="2" t="s">
        <v>26</v>
      </c>
      <c r="P2278" s="5" t="str">
        <f>IFERROR(__xludf.DUMMYFUNCTION("TEXTJOIN("" | "",TRUE,IF(OR(D2278="""",E2278="""",I2278="""",J2278="""",H2278=""""),""ফাঁকা ঘর"",""""),IF(AND(C2278&lt;&gt;"""",D2278&lt;&gt;"""",C2278=D2278),""gloss=figurative"",""""),IF(LEN(D2278)&lt;15,""figurative ছোট"",""""),IF(AND(I2278=""Positive"",REGEXMATCH(H2"&amp;"278,""মূর্খ|ভণ্ড|প্রতার|অলস|লোভ|স্বার্থ|অক্ষম|অযোগ্য|বোকা|কৃপণ|হিংস"")),""valence-target অমিল"",""""),IF(COUNTIF($B:$B,B2278)&gt;1,""ডুপ্লিকেট"",""""))"),"")</f>
        <v/>
      </c>
      <c r="Q2278" s="5" t="str">
        <f t="shared" si="1"/>
        <v>২ পরে</v>
      </c>
    </row>
    <row r="2279">
      <c r="A2279" s="4">
        <v>9.0</v>
      </c>
      <c r="B2279" s="2" t="s">
        <v>8740</v>
      </c>
      <c r="C2279" s="2" t="s">
        <v>8741</v>
      </c>
      <c r="D2279" s="2" t="s">
        <v>8742</v>
      </c>
      <c r="E2279" s="2" t="s">
        <v>8743</v>
      </c>
      <c r="F2279" s="2" t="b">
        <v>1</v>
      </c>
      <c r="G2279" s="2" t="b">
        <v>0</v>
      </c>
      <c r="H2279" s="2" t="s">
        <v>8744</v>
      </c>
      <c r="I2279" s="2" t="s">
        <v>32</v>
      </c>
      <c r="J2279" s="2" t="s">
        <v>1679</v>
      </c>
      <c r="K2279" s="2" t="s">
        <v>24</v>
      </c>
      <c r="L2279" s="2" t="s">
        <v>25</v>
      </c>
      <c r="M2279" s="2" t="s">
        <v>26</v>
      </c>
      <c r="P2279" s="5" t="str">
        <f>IFERROR(__xludf.DUMMYFUNCTION("TEXTJOIN("" | "",TRUE,IF(OR(D2279="""",E2279="""",I2279="""",J2279="""",H2279=""""),""ফাঁকা ঘর"",""""),IF(AND(C2279&lt;&gt;"""",D2279&lt;&gt;"""",C2279=D2279),""gloss=figurative"",""""),IF(LEN(D2279)&lt;15,""figurative ছোট"",""""),IF(AND(I2279=""Positive"",REGEXMATCH(H2"&amp;"279,""মূর্খ|ভণ্ড|প্রতার|অলস|লোভ|স্বার্থ|অক্ষম|অযোগ্য|বোকা|কৃপণ|হিংস"")),""valence-target অমিল"",""""),IF(COUNTIF($B:$B,B2279)&gt;1,""ডুপ্লিকেট"",""""))"),"")</f>
        <v/>
      </c>
      <c r="Q2279" s="5" t="str">
        <f t="shared" si="1"/>
        <v>২ পরে</v>
      </c>
    </row>
    <row r="2280">
      <c r="A2280" s="4">
        <v>10.0</v>
      </c>
      <c r="B2280" s="2" t="s">
        <v>8745</v>
      </c>
      <c r="C2280" s="2" t="s">
        <v>8746</v>
      </c>
      <c r="D2280" s="2" t="s">
        <v>8747</v>
      </c>
      <c r="E2280" s="2" t="s">
        <v>8748</v>
      </c>
      <c r="F2280" s="2" t="b">
        <v>1</v>
      </c>
      <c r="G2280" s="2" t="b">
        <v>0</v>
      </c>
      <c r="H2280" s="2" t="s">
        <v>8749</v>
      </c>
      <c r="I2280" s="2" t="s">
        <v>49</v>
      </c>
      <c r="J2280" s="2" t="s">
        <v>8750</v>
      </c>
      <c r="K2280" s="2" t="s">
        <v>24</v>
      </c>
      <c r="L2280" s="2" t="s">
        <v>25</v>
      </c>
      <c r="M2280" s="2" t="s">
        <v>26</v>
      </c>
      <c r="P2280" s="5" t="str">
        <f>IFERROR(__xludf.DUMMYFUNCTION("TEXTJOIN("" | "",TRUE,IF(OR(D2280="""",E2280="""",I2280="""",J2280="""",H2280=""""),""ফাঁকা ঘর"",""""),IF(AND(C2280&lt;&gt;"""",D2280&lt;&gt;"""",C2280=D2280),""gloss=figurative"",""""),IF(LEN(D2280)&lt;15,""figurative ছোট"",""""),IF(AND(I2280=""Positive"",REGEXMATCH(H2"&amp;"280,""মূর্খ|ভণ্ড|প্রতার|অলস|লোভ|স্বার্থ|অক্ষম|অযোগ্য|বোকা|কৃপণ|হিংস"")),""valence-target অমিল"",""""),IF(COUNTIF($B:$B,B2280)&gt;1,""ডুপ্লিকেট"",""""))"),"")</f>
        <v/>
      </c>
      <c r="Q2280" s="5" t="str">
        <f t="shared" si="1"/>
        <v>২ পরে</v>
      </c>
    </row>
    <row r="2281">
      <c r="A2281" s="16">
        <v>12.0</v>
      </c>
      <c r="B2281" s="17" t="s">
        <v>8751</v>
      </c>
      <c r="C2281" s="17" t="s">
        <v>8751</v>
      </c>
      <c r="D2281" s="18" t="s">
        <v>8752</v>
      </c>
      <c r="E2281" s="16" t="s">
        <v>8753</v>
      </c>
      <c r="F2281" s="16" t="b">
        <v>1</v>
      </c>
      <c r="G2281" s="16" t="b">
        <v>0</v>
      </c>
      <c r="H2281" s="2" t="s">
        <v>37</v>
      </c>
      <c r="I2281" s="16" t="s">
        <v>32</v>
      </c>
      <c r="J2281" s="2" t="s">
        <v>37</v>
      </c>
      <c r="K2281" s="2" t="s">
        <v>24</v>
      </c>
      <c r="L2281" s="2" t="s">
        <v>25</v>
      </c>
      <c r="M2281" s="16" t="s">
        <v>38</v>
      </c>
      <c r="N2281" s="14"/>
      <c r="O2281" s="14"/>
      <c r="P2281" s="14" t="str">
        <f>IFERROR(__xludf.DUMMYFUNCTION("TEXTJOIN("" | "",TRUE,IF(OR(D2281="""",E2281="""",I2281="""",J2281="""",H2281=""""),""ফাঁকা ঘর"",""""),IF(AND(C2281&lt;&gt;"""",D2281&lt;&gt;"""",C2281=D2281),""gloss=figurative"",""""),IF(LEN(D2281)&lt;15,""figurative ছোট"",""""),IF(AND(I2281=""Positive"",REGEXMATCH(H2"&amp;"281,""মূর্খ|ভণ্ড|প্রতার|অলস|লোভ|স্বার্থ|অক্ষম|অযোগ্য|বোকা|কৃপণ|হিংস"")),""valence-target অমিল"",""""),IF(COUNTIF($B:$B,B2281)&gt;1,""ডুপ্লিকেট"",""""))"),"")</f>
        <v/>
      </c>
      <c r="Q2281" s="5" t="str">
        <f t="shared" si="1"/>
        <v>২ পরে</v>
      </c>
    </row>
    <row r="2282">
      <c r="A2282" s="16">
        <v>13.0</v>
      </c>
      <c r="B2282" s="17" t="s">
        <v>8754</v>
      </c>
      <c r="C2282" s="17" t="s">
        <v>8754</v>
      </c>
      <c r="D2282" s="18" t="s">
        <v>8755</v>
      </c>
      <c r="E2282" s="16" t="s">
        <v>8756</v>
      </c>
      <c r="F2282" s="16" t="b">
        <v>1</v>
      </c>
      <c r="G2282" s="16" t="b">
        <v>0</v>
      </c>
      <c r="H2282" s="2" t="s">
        <v>37</v>
      </c>
      <c r="I2282" s="16" t="s">
        <v>32</v>
      </c>
      <c r="J2282" s="2" t="s">
        <v>37</v>
      </c>
      <c r="K2282" s="2" t="s">
        <v>24</v>
      </c>
      <c r="L2282" s="2" t="s">
        <v>25</v>
      </c>
      <c r="M2282" s="16" t="s">
        <v>38</v>
      </c>
      <c r="N2282" s="14"/>
      <c r="O2282" s="14"/>
      <c r="P2282" s="14" t="str">
        <f>IFERROR(__xludf.DUMMYFUNCTION("TEXTJOIN("" | "",TRUE,IF(OR(D2282="""",E2282="""",I2282="""",J2282="""",H2282=""""),""ফাঁকা ঘর"",""""),IF(AND(C2282&lt;&gt;"""",D2282&lt;&gt;"""",C2282=D2282),""gloss=figurative"",""""),IF(LEN(D2282)&lt;15,""figurative ছোট"",""""),IF(AND(I2282=""Positive"",REGEXMATCH(H2"&amp;"282,""মূর্খ|ভণ্ড|প্রতার|অলস|লোভ|স্বার্থ|অক্ষম|অযোগ্য|বোকা|কৃপণ|হিংস"")),""valence-target অমিল"",""""),IF(COUNTIF($B:$B,B2282)&gt;1,""ডুপ্লিকেট"",""""))"),"")</f>
        <v/>
      </c>
      <c r="Q2282" s="5" t="str">
        <f t="shared" si="1"/>
        <v>২ পরে</v>
      </c>
    </row>
    <row r="2283">
      <c r="A2283" s="16">
        <v>14.0</v>
      </c>
      <c r="B2283" s="18" t="s">
        <v>8757</v>
      </c>
      <c r="C2283" s="18" t="s">
        <v>8757</v>
      </c>
      <c r="D2283" s="18" t="s">
        <v>8758</v>
      </c>
      <c r="E2283" s="16" t="s">
        <v>8759</v>
      </c>
      <c r="F2283" s="16" t="b">
        <v>1</v>
      </c>
      <c r="G2283" s="16" t="b">
        <v>0</v>
      </c>
      <c r="H2283" s="16" t="s">
        <v>8760</v>
      </c>
      <c r="I2283" s="16" t="s">
        <v>22</v>
      </c>
      <c r="J2283" s="16" t="s">
        <v>43</v>
      </c>
      <c r="K2283" s="2" t="s">
        <v>24</v>
      </c>
      <c r="L2283" s="2" t="s">
        <v>25</v>
      </c>
      <c r="M2283" s="16" t="s">
        <v>38</v>
      </c>
      <c r="N2283" s="14"/>
      <c r="O2283" s="14"/>
      <c r="P2283" s="14" t="str">
        <f>IFERROR(__xludf.DUMMYFUNCTION("TEXTJOIN("" | "",TRUE,IF(OR(D2283="""",E2283="""",I2283="""",J2283="""",H2283=""""),""ফাঁকা ঘর"",""""),IF(AND(C2283&lt;&gt;"""",D2283&lt;&gt;"""",C2283=D2283),""gloss=figurative"",""""),IF(LEN(D2283)&lt;15,""figurative ছোট"",""""),IF(AND(I2283=""Positive"",REGEXMATCH(H2"&amp;"283,""মূর্খ|ভণ্ড|প্রতার|অলস|লোভ|স্বার্থ|অক্ষম|অযোগ্য|বোকা|কৃপণ|হিংস"")),""valence-target অমিল"",""""),IF(COUNTIF($B:$B,B2283)&gt;1,""ডুপ্লিকেট"",""""))"),"")</f>
        <v/>
      </c>
      <c r="Q2283" s="5" t="str">
        <f t="shared" si="1"/>
        <v>২ পরে</v>
      </c>
    </row>
    <row r="2284">
      <c r="A2284" s="7">
        <v>16.0</v>
      </c>
      <c r="B2284" s="8" t="s">
        <v>8761</v>
      </c>
      <c r="C2284" s="8" t="s">
        <v>8761</v>
      </c>
      <c r="D2284" s="19" t="s">
        <v>8762</v>
      </c>
      <c r="E2284" s="3" t="s">
        <v>8763</v>
      </c>
      <c r="F2284" s="3" t="b">
        <v>1</v>
      </c>
      <c r="G2284" s="3" t="b">
        <v>0</v>
      </c>
      <c r="H2284" s="7" t="s">
        <v>8764</v>
      </c>
      <c r="I2284" s="7" t="s">
        <v>22</v>
      </c>
      <c r="J2284" s="3" t="s">
        <v>43</v>
      </c>
      <c r="K2284" s="2" t="s">
        <v>24</v>
      </c>
      <c r="L2284" s="2" t="s">
        <v>25</v>
      </c>
      <c r="M2284" s="3" t="s">
        <v>38</v>
      </c>
      <c r="N2284" s="9"/>
      <c r="O2284" s="9"/>
      <c r="P2284" s="5" t="str">
        <f>IFERROR(__xludf.DUMMYFUNCTION("TEXTJOIN("" | "",TRUE,IF(OR(D2284="""",E2284="""",I2284="""",J2284="""",H2284=""""),""ফাঁকা ঘর"",""""),IF(AND(C2284&lt;&gt;"""",D2284&lt;&gt;"""",C2284=D2284),""gloss=figurative"",""""),IF(LEN(D2284)&lt;15,""figurative ছোট"",""""),IF(AND(I2284=""Positive"",REGEXMATCH(H2"&amp;"284,""মূর্খ|ভণ্ড|প্রতার|অলস|লোভ|স্বার্থ|অক্ষম|অযোগ্য|বোকা|কৃপণ|হিংস"")),""valence-target অমিল"",""""),IF(COUNTIF($B:$B,B2284)&gt;1,""ডুপ্লিকেট"",""""))"),"")</f>
        <v/>
      </c>
      <c r="Q2284" s="5" t="str">
        <f t="shared" si="1"/>
        <v>২ পরে</v>
      </c>
    </row>
    <row r="2285">
      <c r="A2285" s="3">
        <v>17.0</v>
      </c>
      <c r="B2285" s="20" t="s">
        <v>8765</v>
      </c>
      <c r="C2285" s="20" t="s">
        <v>8765</v>
      </c>
      <c r="D2285" s="3" t="s">
        <v>8766</v>
      </c>
      <c r="E2285" s="21" t="s">
        <v>47</v>
      </c>
      <c r="F2285" s="3" t="b">
        <v>1</v>
      </c>
      <c r="G2285" s="3" t="b">
        <v>0</v>
      </c>
      <c r="H2285" s="2" t="s">
        <v>37</v>
      </c>
      <c r="I2285" s="3" t="s">
        <v>32</v>
      </c>
      <c r="J2285" s="3" t="s">
        <v>8767</v>
      </c>
      <c r="K2285" s="2" t="s">
        <v>24</v>
      </c>
      <c r="L2285" s="2" t="s">
        <v>25</v>
      </c>
      <c r="M2285" s="3" t="s">
        <v>38</v>
      </c>
      <c r="P2285" s="5" t="str">
        <f>IFERROR(__xludf.DUMMYFUNCTION("TEXTJOIN("" | "",TRUE,IF(OR(D2285="""",E2285="""",I2285="""",J2285="""",H2285=""""),""ফাঁকা ঘর"",""""),IF(AND(C2285&lt;&gt;"""",D2285&lt;&gt;"""",C2285=D2285),""gloss=figurative"",""""),IF(LEN(D2285)&lt;15,""figurative ছোট"",""""),IF(AND(I2285=""Positive"",REGEXMATCH(H2"&amp;"285,""মূর্খ|ভণ্ড|প্রতার|অলস|লোভ|স্বার্থ|অক্ষম|অযোগ্য|বোকা|কৃপণ|হিংস"")),""valence-target অমিল"",""""),IF(COUNTIF($B:$B,B2285)&gt;1,""ডুপ্লিকেট"",""""))"),"")</f>
        <v/>
      </c>
      <c r="Q2285" s="5" t="str">
        <f t="shared" si="1"/>
        <v>২ পরে</v>
      </c>
    </row>
    <row r="2286">
      <c r="A2286" s="4">
        <v>18.0</v>
      </c>
      <c r="B2286" s="2" t="s">
        <v>8768</v>
      </c>
      <c r="C2286" s="2" t="s">
        <v>8769</v>
      </c>
      <c r="D2286" s="2" t="s">
        <v>8770</v>
      </c>
      <c r="E2286" s="2" t="s">
        <v>8771</v>
      </c>
      <c r="F2286" s="2" t="b">
        <v>1</v>
      </c>
      <c r="G2286" s="2" t="b">
        <v>0</v>
      </c>
      <c r="H2286" s="2" t="s">
        <v>8772</v>
      </c>
      <c r="I2286" s="2" t="s">
        <v>49</v>
      </c>
      <c r="J2286" s="2" t="s">
        <v>8773</v>
      </c>
      <c r="K2286" s="2" t="s">
        <v>24</v>
      </c>
      <c r="L2286" s="22" t="s">
        <v>51</v>
      </c>
      <c r="M2286" s="2" t="s">
        <v>26</v>
      </c>
      <c r="P2286" s="5" t="str">
        <f>IFERROR(__xludf.DUMMYFUNCTION("TEXTJOIN("" | "",TRUE,IF(OR(D2286="""",E2286="""",I2286="""",J2286="""",H2286=""""),""ফাঁকা ঘর"",""""),IF(AND(C2286&lt;&gt;"""",D2286&lt;&gt;"""",C2286=D2286),""gloss=figurative"",""""),IF(LEN(D2286)&lt;15,""figurative ছোট"",""""),IF(AND(I2286=""Positive"",REGEXMATCH(H2"&amp;"286,""মূর্খ|ভণ্ড|প্রতার|অলস|লোভ|স্বার্থ|অক্ষম|অযোগ্য|বোকা|কৃপণ|হিংস"")),""valence-target অমিল"",""""),IF(COUNTIF($B:$B,B2286)&gt;1,""ডুপ্লিকেট"",""""))"),"")</f>
        <v/>
      </c>
      <c r="Q2286" s="5" t="str">
        <f t="shared" si="1"/>
        <v>২ পরে</v>
      </c>
    </row>
    <row r="2287">
      <c r="A2287" s="23">
        <v>19.0</v>
      </c>
      <c r="B2287" s="2" t="s">
        <v>8774</v>
      </c>
      <c r="C2287" s="2" t="s">
        <v>8775</v>
      </c>
      <c r="D2287" s="2" t="s">
        <v>8776</v>
      </c>
      <c r="E2287" s="2" t="s">
        <v>8777</v>
      </c>
      <c r="F2287" s="2" t="b">
        <v>1</v>
      </c>
      <c r="G2287" s="2" t="b">
        <v>1</v>
      </c>
      <c r="H2287" s="2" t="s">
        <v>8778</v>
      </c>
      <c r="I2287" s="2" t="s">
        <v>49</v>
      </c>
      <c r="J2287" s="2" t="s">
        <v>8779</v>
      </c>
      <c r="K2287" s="2" t="s">
        <v>24</v>
      </c>
      <c r="L2287" s="13" t="s">
        <v>51</v>
      </c>
      <c r="M2287" s="2" t="s">
        <v>26</v>
      </c>
      <c r="P2287" s="5" t="str">
        <f>IFERROR(__xludf.DUMMYFUNCTION("TEXTJOIN("" | "",TRUE,IF(OR(D2287="""",E2287="""",I2287="""",J2287="""",H2287=""""),""ফাঁকা ঘর"",""""),IF(AND(C2287&lt;&gt;"""",D2287&lt;&gt;"""",C2287=D2287),""gloss=figurative"",""""),IF(LEN(D2287)&lt;15,""figurative ছোট"",""""),IF(AND(I2287=""Positive"",REGEXMATCH(H2"&amp;"287,""মূর্খ|ভণ্ড|প্রতার|অলস|লোভ|স্বার্থ|অক্ষম|অযোগ্য|বোকা|কৃপণ|হিংস"")),""valence-target অমিল"",""""),IF(COUNTIF($B:$B,B2287)&gt;1,""ডুপ্লিকেট"",""""))"),"")</f>
        <v/>
      </c>
      <c r="Q2287" s="5" t="str">
        <f t="shared" si="1"/>
        <v>২ পরে</v>
      </c>
    </row>
    <row r="2288">
      <c r="A2288" s="4">
        <v>20.0</v>
      </c>
      <c r="B2288" s="2" t="s">
        <v>8780</v>
      </c>
      <c r="C2288" s="2" t="s">
        <v>8775</v>
      </c>
      <c r="D2288" s="2" t="s">
        <v>8776</v>
      </c>
      <c r="E2288" s="2" t="s">
        <v>8781</v>
      </c>
      <c r="F2288" s="2" t="b">
        <v>1</v>
      </c>
      <c r="G2288" s="2" t="b">
        <v>1</v>
      </c>
      <c r="H2288" s="2" t="s">
        <v>8778</v>
      </c>
      <c r="I2288" s="2" t="s">
        <v>49</v>
      </c>
      <c r="J2288" s="2" t="s">
        <v>8779</v>
      </c>
      <c r="K2288" s="2" t="s">
        <v>24</v>
      </c>
      <c r="L2288" s="13" t="s">
        <v>51</v>
      </c>
      <c r="M2288" s="2" t="s">
        <v>26</v>
      </c>
      <c r="P2288" s="5" t="str">
        <f>IFERROR(__xludf.DUMMYFUNCTION("TEXTJOIN("" | "",TRUE,IF(OR(D2288="""",E2288="""",I2288="""",J2288="""",H2288=""""),""ফাঁকা ঘর"",""""),IF(AND(C2288&lt;&gt;"""",D2288&lt;&gt;"""",C2288=D2288),""gloss=figurative"",""""),IF(LEN(D2288)&lt;15,""figurative ছোট"",""""),IF(AND(I2288=""Positive"",REGEXMATCH(H2"&amp;"288,""মূর্খ|ভণ্ড|প্রতার|অলস|লোভ|স্বার্থ|অক্ষম|অযোগ্য|বোকা|কৃপণ|হিংস"")),""valence-target অমিল"",""""),IF(COUNTIF($B:$B,B2288)&gt;1,""ডুপ্লিকেট"",""""))"),"")</f>
        <v/>
      </c>
      <c r="Q2288" s="5" t="str">
        <f t="shared" si="1"/>
        <v>২ পরে</v>
      </c>
    </row>
    <row r="2289">
      <c r="A2289" s="4">
        <v>21.0</v>
      </c>
      <c r="B2289" s="2" t="s">
        <v>8782</v>
      </c>
      <c r="C2289" s="2" t="s">
        <v>8783</v>
      </c>
      <c r="D2289" s="2" t="s">
        <v>8784</v>
      </c>
      <c r="E2289" s="2" t="s">
        <v>8785</v>
      </c>
      <c r="F2289" s="2" t="b">
        <v>1</v>
      </c>
      <c r="G2289" s="2" t="b">
        <v>0</v>
      </c>
      <c r="H2289" s="2" t="s">
        <v>8786</v>
      </c>
      <c r="I2289" s="2" t="s">
        <v>32</v>
      </c>
      <c r="J2289" s="2" t="s">
        <v>8787</v>
      </c>
      <c r="K2289" s="2" t="s">
        <v>24</v>
      </c>
      <c r="L2289" s="13" t="s">
        <v>51</v>
      </c>
      <c r="M2289" s="2" t="s">
        <v>26</v>
      </c>
      <c r="P2289" s="5" t="str">
        <f>IFERROR(__xludf.DUMMYFUNCTION("TEXTJOIN("" | "",TRUE,IF(OR(D2289="""",E2289="""",I2289="""",J2289="""",H2289=""""),""ফাঁকা ঘর"",""""),IF(AND(C2289&lt;&gt;"""",D2289&lt;&gt;"""",C2289=D2289),""gloss=figurative"",""""),IF(LEN(D2289)&lt;15,""figurative ছোট"",""""),IF(AND(I2289=""Positive"",REGEXMATCH(H2"&amp;"289,""মূর্খ|ভণ্ড|প্রতার|অলস|লোভ|স্বার্থ|অক্ষম|অযোগ্য|বোকা|কৃপণ|হিংস"")),""valence-target অমিল"",""""),IF(COUNTIF($B:$B,B2289)&gt;1,""ডুপ্লিকেট"",""""))"),"")</f>
        <v/>
      </c>
      <c r="Q2289" s="5" t="str">
        <f t="shared" si="1"/>
        <v>২ পরে</v>
      </c>
    </row>
    <row r="2290">
      <c r="A2290" s="4">
        <v>22.0</v>
      </c>
      <c r="B2290" s="2" t="s">
        <v>8788</v>
      </c>
      <c r="C2290" s="2" t="s">
        <v>8789</v>
      </c>
      <c r="D2290" s="2" t="s">
        <v>8790</v>
      </c>
      <c r="E2290" s="2" t="s">
        <v>8791</v>
      </c>
      <c r="F2290" s="2" t="b">
        <v>1</v>
      </c>
      <c r="G2290" s="2" t="b">
        <v>0</v>
      </c>
      <c r="H2290" s="2" t="s">
        <v>8792</v>
      </c>
      <c r="I2290" s="2" t="s">
        <v>32</v>
      </c>
      <c r="J2290" s="2" t="s">
        <v>286</v>
      </c>
      <c r="K2290" s="2" t="s">
        <v>24</v>
      </c>
      <c r="L2290" s="13" t="s">
        <v>51</v>
      </c>
      <c r="M2290" s="2" t="s">
        <v>26</v>
      </c>
      <c r="N2290" s="24" t="s">
        <v>8793</v>
      </c>
      <c r="O2290" s="12" t="s">
        <v>53</v>
      </c>
      <c r="P2290" s="5" t="str">
        <f>IFERROR(__xludf.DUMMYFUNCTION("TEXTJOIN("" | "",TRUE,IF(OR(D2290="""",E2290="""",I2290="""",J2290="""",H2290=""""),""ফাঁকা ঘর"",""""),IF(AND(C2290&lt;&gt;"""",D2290&lt;&gt;"""",C2290=D2290),""gloss=figurative"",""""),IF(LEN(D2290)&lt;15,""figurative ছোট"",""""),IF(AND(I2290=""Positive"",REGEXMATCH(H2"&amp;"290,""মূর্খ|ভণ্ড|প্রতার|অলস|লোভ|স্বার্থ|অক্ষম|অযোগ্য|বোকা|কৃপণ|হিংস"")),""valence-target অমিল"",""""),IF(COUNTIF($B:$B,B2290)&gt;1,""ডুপ্লিকেট"",""""))"),"")</f>
        <v/>
      </c>
      <c r="Q2290" s="5" t="str">
        <f t="shared" si="1"/>
        <v>২ পরে</v>
      </c>
    </row>
    <row r="2291">
      <c r="A2291" s="4">
        <v>23.0</v>
      </c>
      <c r="B2291" s="2" t="s">
        <v>8794</v>
      </c>
      <c r="C2291" s="2" t="s">
        <v>8795</v>
      </c>
      <c r="D2291" s="2" t="s">
        <v>8796</v>
      </c>
      <c r="E2291" s="2" t="s">
        <v>8797</v>
      </c>
      <c r="F2291" s="2" t="b">
        <v>1</v>
      </c>
      <c r="G2291" s="2" t="b">
        <v>0</v>
      </c>
      <c r="H2291" s="2" t="s">
        <v>8798</v>
      </c>
      <c r="I2291" s="2" t="s">
        <v>32</v>
      </c>
      <c r="J2291" s="2" t="s">
        <v>225</v>
      </c>
      <c r="K2291" s="2" t="s">
        <v>24</v>
      </c>
      <c r="L2291" s="13" t="s">
        <v>51</v>
      </c>
      <c r="M2291" s="2" t="s">
        <v>26</v>
      </c>
      <c r="N2291" s="24" t="s">
        <v>8793</v>
      </c>
      <c r="O2291" s="12" t="s">
        <v>53</v>
      </c>
      <c r="P2291" s="5" t="str">
        <f>IFERROR(__xludf.DUMMYFUNCTION("TEXTJOIN("" | "",TRUE,IF(OR(D2291="""",E2291="""",I2291="""",J2291="""",H2291=""""),""ফাঁকা ঘর"",""""),IF(AND(C2291&lt;&gt;"""",D2291&lt;&gt;"""",C2291=D2291),""gloss=figurative"",""""),IF(LEN(D2291)&lt;15,""figurative ছোট"",""""),IF(AND(I2291=""Positive"",REGEXMATCH(H2"&amp;"291,""মূর্খ|ভণ্ড|প্রতার|অলস|লোভ|স্বার্থ|অক্ষম|অযোগ্য|বোকা|কৃপণ|হিংস"")),""valence-target অমিল"",""""),IF(COUNTIF($B:$B,B2291)&gt;1,""ডুপ্লিকেট"",""""))"),"")</f>
        <v/>
      </c>
      <c r="Q2291" s="5" t="str">
        <f t="shared" si="1"/>
        <v>২ পরে</v>
      </c>
    </row>
    <row r="2292">
      <c r="A2292" s="4">
        <v>24.0</v>
      </c>
      <c r="B2292" s="2" t="s">
        <v>8799</v>
      </c>
      <c r="C2292" s="2" t="s">
        <v>8800</v>
      </c>
      <c r="D2292" s="2" t="s">
        <v>8801</v>
      </c>
      <c r="E2292" s="2" t="s">
        <v>8802</v>
      </c>
      <c r="F2292" s="2" t="b">
        <v>1</v>
      </c>
      <c r="G2292" s="2" t="b">
        <v>0</v>
      </c>
      <c r="H2292" s="2" t="s">
        <v>8803</v>
      </c>
      <c r="I2292" s="2" t="s">
        <v>22</v>
      </c>
      <c r="J2292" s="2" t="s">
        <v>8804</v>
      </c>
      <c r="K2292" s="2" t="s">
        <v>24</v>
      </c>
      <c r="L2292" s="13" t="s">
        <v>51</v>
      </c>
      <c r="M2292" s="2" t="s">
        <v>26</v>
      </c>
      <c r="N2292" s="24" t="s">
        <v>8793</v>
      </c>
      <c r="O2292" s="12" t="s">
        <v>53</v>
      </c>
      <c r="P2292" s="5" t="str">
        <f>IFERROR(__xludf.DUMMYFUNCTION("TEXTJOIN("" | "",TRUE,IF(OR(D2292="""",E2292="""",I2292="""",J2292="""",H2292=""""),""ফাঁকা ঘর"",""""),IF(AND(C2292&lt;&gt;"""",D2292&lt;&gt;"""",C2292=D2292),""gloss=figurative"",""""),IF(LEN(D2292)&lt;15,""figurative ছোট"",""""),IF(AND(I2292=""Positive"",REGEXMATCH(H2"&amp;"292,""মূর্খ|ভণ্ড|প্রতার|অলস|লোভ|স্বার্থ|অক্ষম|অযোগ্য|বোকা|কৃপণ|হিংস"")),""valence-target অমিল"",""""),IF(COUNTIF($B:$B,B2292)&gt;1,""ডুপ্লিকেট"",""""))"),"")</f>
        <v/>
      </c>
      <c r="Q2292" s="5" t="str">
        <f t="shared" si="1"/>
        <v>২ পরে</v>
      </c>
    </row>
    <row r="2293">
      <c r="A2293" s="4">
        <v>25.0</v>
      </c>
      <c r="B2293" s="2" t="s">
        <v>8805</v>
      </c>
      <c r="C2293" s="2" t="s">
        <v>8806</v>
      </c>
      <c r="D2293" s="2" t="s">
        <v>8807</v>
      </c>
      <c r="E2293" s="2" t="s">
        <v>8808</v>
      </c>
      <c r="F2293" s="2" t="b">
        <v>1</v>
      </c>
      <c r="G2293" s="2" t="b">
        <v>0</v>
      </c>
      <c r="H2293" s="2" t="s">
        <v>8809</v>
      </c>
      <c r="I2293" s="2" t="s">
        <v>49</v>
      </c>
      <c r="J2293" s="2" t="s">
        <v>123</v>
      </c>
      <c r="K2293" s="2" t="s">
        <v>24</v>
      </c>
      <c r="L2293" s="13" t="s">
        <v>51</v>
      </c>
      <c r="M2293" s="2" t="s">
        <v>26</v>
      </c>
      <c r="N2293" s="24" t="s">
        <v>8793</v>
      </c>
      <c r="O2293" s="12" t="s">
        <v>53</v>
      </c>
      <c r="P2293" s="5" t="str">
        <f>IFERROR(__xludf.DUMMYFUNCTION("TEXTJOIN("" | "",TRUE,IF(OR(D2293="""",E2293="""",I2293="""",J2293="""",H2293=""""),""ফাঁকা ঘর"",""""),IF(AND(C2293&lt;&gt;"""",D2293&lt;&gt;"""",C2293=D2293),""gloss=figurative"",""""),IF(LEN(D2293)&lt;15,""figurative ছোট"",""""),IF(AND(I2293=""Positive"",REGEXMATCH(H2"&amp;"293,""মূর্খ|ভণ্ড|প্রতার|অলস|লোভ|স্বার্থ|অক্ষম|অযোগ্য|বোকা|কৃপণ|হিংস"")),""valence-target অমিল"",""""),IF(COUNTIF($B:$B,B2293)&gt;1,""ডুপ্লিকেট"",""""))"),"")</f>
        <v/>
      </c>
      <c r="Q2293" s="5" t="str">
        <f t="shared" si="1"/>
        <v>২ পরে</v>
      </c>
    </row>
    <row r="2294">
      <c r="A2294" s="4">
        <v>26.0</v>
      </c>
      <c r="B2294" s="2" t="s">
        <v>8810</v>
      </c>
      <c r="C2294" s="2" t="s">
        <v>8811</v>
      </c>
      <c r="D2294" s="2" t="s">
        <v>8812</v>
      </c>
      <c r="E2294" s="2" t="s">
        <v>8813</v>
      </c>
      <c r="F2294" s="2" t="b">
        <v>1</v>
      </c>
      <c r="G2294" s="2" t="b">
        <v>0</v>
      </c>
      <c r="H2294" s="2" t="s">
        <v>8814</v>
      </c>
      <c r="I2294" s="2" t="s">
        <v>49</v>
      </c>
      <c r="J2294" s="2" t="s">
        <v>8815</v>
      </c>
      <c r="K2294" s="2" t="s">
        <v>24</v>
      </c>
      <c r="L2294" s="13" t="s">
        <v>51</v>
      </c>
      <c r="M2294" s="2" t="s">
        <v>26</v>
      </c>
      <c r="N2294" s="24" t="s">
        <v>8793</v>
      </c>
      <c r="O2294" s="12" t="s">
        <v>53</v>
      </c>
      <c r="P2294" s="5" t="str">
        <f>IFERROR(__xludf.DUMMYFUNCTION("TEXTJOIN("" | "",TRUE,IF(OR(D2294="""",E2294="""",I2294="""",J2294="""",H2294=""""),""ফাঁকা ঘর"",""""),IF(AND(C2294&lt;&gt;"""",D2294&lt;&gt;"""",C2294=D2294),""gloss=figurative"",""""),IF(LEN(D2294)&lt;15,""figurative ছোট"",""""),IF(AND(I2294=""Positive"",REGEXMATCH(H2"&amp;"294,""মূর্খ|ভণ্ড|প্রতার|অলস|লোভ|স্বার্থ|অক্ষম|অযোগ্য|বোকা|কৃপণ|হিংস"")),""valence-target অমিল"",""""),IF(COUNTIF($B:$B,B2294)&gt;1,""ডুপ্লিকেট"",""""))"),"")</f>
        <v/>
      </c>
      <c r="Q2294" s="5" t="str">
        <f t="shared" si="1"/>
        <v>২ পরে</v>
      </c>
    </row>
    <row r="2295">
      <c r="A2295" s="4">
        <v>27.0</v>
      </c>
      <c r="B2295" s="2" t="s">
        <v>8816</v>
      </c>
      <c r="C2295" s="2" t="s">
        <v>8817</v>
      </c>
      <c r="D2295" s="2" t="s">
        <v>8818</v>
      </c>
      <c r="E2295" s="2" t="s">
        <v>8819</v>
      </c>
      <c r="F2295" s="2" t="b">
        <v>1</v>
      </c>
      <c r="G2295" s="2" t="b">
        <v>0</v>
      </c>
      <c r="H2295" s="2" t="s">
        <v>8820</v>
      </c>
      <c r="I2295" s="2" t="s">
        <v>49</v>
      </c>
      <c r="J2295" s="2" t="s">
        <v>123</v>
      </c>
      <c r="K2295" s="2" t="s">
        <v>24</v>
      </c>
      <c r="L2295" s="13" t="s">
        <v>51</v>
      </c>
      <c r="M2295" s="2" t="s">
        <v>26</v>
      </c>
      <c r="N2295" s="25" t="s">
        <v>8821</v>
      </c>
      <c r="O2295" s="12" t="s">
        <v>53</v>
      </c>
      <c r="P2295" s="5" t="str">
        <f>IFERROR(__xludf.DUMMYFUNCTION("TEXTJOIN("" | "",TRUE,IF(OR(D2295="""",E2295="""",I2295="""",J2295="""",H2295=""""),""ফাঁকা ঘর"",""""),IF(AND(C2295&lt;&gt;"""",D2295&lt;&gt;"""",C2295=D2295),""gloss=figurative"",""""),IF(LEN(D2295)&lt;15,""figurative ছোট"",""""),IF(AND(I2295=""Positive"",REGEXMATCH(H2"&amp;"295,""মূর্খ|ভণ্ড|প্রতার|অলস|লোভ|স্বার্থ|অক্ষম|অযোগ্য|বোকা|কৃপণ|হিংস"")),""valence-target অমিল"",""""),IF(COUNTIF($B:$B,B2295)&gt;1,""ডুপ্লিকেট"",""""))"),"")</f>
        <v/>
      </c>
      <c r="Q2295" s="5" t="str">
        <f t="shared" si="1"/>
        <v>২ পরে</v>
      </c>
    </row>
    <row r="2296">
      <c r="A2296" s="4">
        <v>28.0</v>
      </c>
      <c r="B2296" s="2" t="s">
        <v>8822</v>
      </c>
      <c r="C2296" s="2" t="s">
        <v>8823</v>
      </c>
      <c r="D2296" s="2" t="s">
        <v>8824</v>
      </c>
      <c r="E2296" s="2" t="s">
        <v>8825</v>
      </c>
      <c r="F2296" s="2" t="b">
        <v>1</v>
      </c>
      <c r="G2296" s="2" t="b">
        <v>0</v>
      </c>
      <c r="H2296" s="2" t="s">
        <v>8826</v>
      </c>
      <c r="I2296" s="2" t="s">
        <v>22</v>
      </c>
      <c r="J2296" s="2" t="s">
        <v>286</v>
      </c>
      <c r="K2296" s="2" t="s">
        <v>24</v>
      </c>
      <c r="L2296" s="13" t="s">
        <v>51</v>
      </c>
      <c r="M2296" s="2" t="s">
        <v>26</v>
      </c>
      <c r="N2296" s="24" t="s">
        <v>8793</v>
      </c>
      <c r="O2296" s="12" t="s">
        <v>53</v>
      </c>
      <c r="P2296" s="5" t="str">
        <f>IFERROR(__xludf.DUMMYFUNCTION("TEXTJOIN("" | "",TRUE,IF(OR(D2296="""",E2296="""",I2296="""",J2296="""",H2296=""""),""ফাঁকা ঘর"",""""),IF(AND(C2296&lt;&gt;"""",D2296&lt;&gt;"""",C2296=D2296),""gloss=figurative"",""""),IF(LEN(D2296)&lt;15,""figurative ছোট"",""""),IF(AND(I2296=""Positive"",REGEXMATCH(H2"&amp;"296,""মূর্খ|ভণ্ড|প্রতার|অলস|লোভ|স্বার্থ|অক্ষম|অযোগ্য|বোকা|কৃপণ|হিংস"")),""valence-target অমিল"",""""),IF(COUNTIF($B:$B,B2296)&gt;1,""ডুপ্লিকেট"",""""))"),"")</f>
        <v/>
      </c>
      <c r="Q2296" s="5" t="str">
        <f t="shared" si="1"/>
        <v>২ পরে</v>
      </c>
    </row>
    <row r="2297">
      <c r="A2297" s="4">
        <v>29.0</v>
      </c>
      <c r="B2297" s="2" t="s">
        <v>8827</v>
      </c>
      <c r="C2297" s="2" t="s">
        <v>8828</v>
      </c>
      <c r="D2297" s="2" t="s">
        <v>8829</v>
      </c>
      <c r="E2297" s="2" t="s">
        <v>8830</v>
      </c>
      <c r="F2297" s="2" t="b">
        <v>1</v>
      </c>
      <c r="G2297" s="2" t="b">
        <v>0</v>
      </c>
      <c r="H2297" s="2" t="s">
        <v>8831</v>
      </c>
      <c r="I2297" s="2" t="s">
        <v>22</v>
      </c>
      <c r="J2297" s="2" t="s">
        <v>59</v>
      </c>
      <c r="K2297" s="2" t="s">
        <v>24</v>
      </c>
      <c r="L2297" s="13" t="s">
        <v>51</v>
      </c>
      <c r="M2297" s="2" t="s">
        <v>26</v>
      </c>
      <c r="N2297" s="25" t="s">
        <v>8832</v>
      </c>
      <c r="O2297" s="12" t="s">
        <v>53</v>
      </c>
      <c r="P2297" s="5" t="str">
        <f>IFERROR(__xludf.DUMMYFUNCTION("TEXTJOIN("" | "",TRUE,IF(OR(D2297="""",E2297="""",I2297="""",J2297="""",H2297=""""),""ফাঁকা ঘর"",""""),IF(AND(C2297&lt;&gt;"""",D2297&lt;&gt;"""",C2297=D2297),""gloss=figurative"",""""),IF(LEN(D2297)&lt;15,""figurative ছোট"",""""),IF(AND(I2297=""Positive"",REGEXMATCH(H2"&amp;"297,""মূর্খ|ভণ্ড|প্রতার|অলস|লোভ|স্বার্থ|অক্ষম|অযোগ্য|বোকা|কৃপণ|হিংস"")),""valence-target অমিল"",""""),IF(COUNTIF($B:$B,B2297)&gt;1,""ডুপ্লিকেট"",""""))"),"")</f>
        <v/>
      </c>
      <c r="Q2297" s="5" t="str">
        <f t="shared" si="1"/>
        <v>২ পরে</v>
      </c>
    </row>
    <row r="2298">
      <c r="A2298" s="4">
        <v>30.0</v>
      </c>
      <c r="B2298" s="2" t="s">
        <v>8833</v>
      </c>
      <c r="C2298" s="2" t="s">
        <v>8834</v>
      </c>
      <c r="D2298" s="2" t="s">
        <v>8835</v>
      </c>
      <c r="E2298" s="2" t="s">
        <v>8836</v>
      </c>
      <c r="F2298" s="2" t="b">
        <v>1</v>
      </c>
      <c r="G2298" s="2" t="b">
        <v>0</v>
      </c>
      <c r="H2298" s="2" t="s">
        <v>8837</v>
      </c>
      <c r="I2298" s="2" t="s">
        <v>22</v>
      </c>
      <c r="J2298" s="2" t="s">
        <v>59</v>
      </c>
      <c r="K2298" s="2" t="s">
        <v>24</v>
      </c>
      <c r="L2298" s="13" t="s">
        <v>51</v>
      </c>
      <c r="M2298" s="2" t="s">
        <v>26</v>
      </c>
      <c r="N2298" s="24" t="s">
        <v>8838</v>
      </c>
      <c r="O2298" s="12" t="s">
        <v>53</v>
      </c>
      <c r="P2298" s="5" t="str">
        <f>IFERROR(__xludf.DUMMYFUNCTION("TEXTJOIN("" | "",TRUE,IF(OR(D2298="""",E2298="""",I2298="""",J2298="""",H2298=""""),""ফাঁকা ঘর"",""""),IF(AND(C2298&lt;&gt;"""",D2298&lt;&gt;"""",C2298=D2298),""gloss=figurative"",""""),IF(LEN(D2298)&lt;15,""figurative ছোট"",""""),IF(AND(I2298=""Positive"",REGEXMATCH(H2"&amp;"298,""মূর্খ|ভণ্ড|প্রতার|অলস|লোভ|স্বার্থ|অক্ষম|অযোগ্য|বোকা|কৃপণ|হিংস"")),""valence-target অমিল"",""""),IF(COUNTIF($B:$B,B2298)&gt;1,""ডুপ্লিকেট"",""""))"),"")</f>
        <v/>
      </c>
      <c r="Q2298" s="5" t="str">
        <f t="shared" si="1"/>
        <v>২ পরে</v>
      </c>
    </row>
    <row r="2299">
      <c r="A2299" s="4">
        <v>31.0</v>
      </c>
      <c r="B2299" s="2" t="s">
        <v>8839</v>
      </c>
      <c r="C2299" s="2" t="s">
        <v>8840</v>
      </c>
      <c r="D2299" s="2" t="s">
        <v>8841</v>
      </c>
      <c r="E2299" s="2" t="s">
        <v>8842</v>
      </c>
      <c r="F2299" s="2" t="b">
        <v>1</v>
      </c>
      <c r="G2299" s="2" t="b">
        <v>0</v>
      </c>
      <c r="H2299" s="2" t="s">
        <v>37</v>
      </c>
      <c r="I2299" s="2" t="s">
        <v>32</v>
      </c>
      <c r="J2299" s="2" t="s">
        <v>8843</v>
      </c>
      <c r="K2299" s="2" t="s">
        <v>24</v>
      </c>
      <c r="L2299" s="13" t="s">
        <v>51</v>
      </c>
      <c r="M2299" s="2" t="s">
        <v>26</v>
      </c>
      <c r="N2299" s="24" t="s">
        <v>8793</v>
      </c>
      <c r="O2299" s="12" t="s">
        <v>53</v>
      </c>
      <c r="P2299" s="5" t="str">
        <f>IFERROR(__xludf.DUMMYFUNCTION("TEXTJOIN("" | "",TRUE,IF(OR(D2299="""",E2299="""",I2299="""",J2299="""",H2299=""""),""ফাঁকা ঘর"",""""),IF(AND(C2299&lt;&gt;"""",D2299&lt;&gt;"""",C2299=D2299),""gloss=figurative"",""""),IF(LEN(D2299)&lt;15,""figurative ছোট"",""""),IF(AND(I2299=""Positive"",REGEXMATCH(H2"&amp;"299,""মূর্খ|ভণ্ড|প্রতার|অলস|লোভ|স্বার্থ|অক্ষম|অযোগ্য|বোকা|কৃপণ|হিংস"")),""valence-target অমিল"",""""),IF(COUNTIF($B:$B,B2299)&gt;1,""ডুপ্লিকেট"",""""))"),"")</f>
        <v/>
      </c>
      <c r="Q2299" s="5" t="str">
        <f t="shared" si="1"/>
        <v>২ পরে</v>
      </c>
    </row>
    <row r="2300">
      <c r="A2300" s="4">
        <v>32.0</v>
      </c>
      <c r="B2300" s="2" t="s">
        <v>8844</v>
      </c>
      <c r="C2300" s="2" t="s">
        <v>8845</v>
      </c>
      <c r="D2300" s="2" t="s">
        <v>8846</v>
      </c>
      <c r="E2300" s="2" t="s">
        <v>8847</v>
      </c>
      <c r="F2300" s="2" t="b">
        <v>1</v>
      </c>
      <c r="G2300" s="2" t="b">
        <v>0</v>
      </c>
      <c r="H2300" s="2" t="s">
        <v>8848</v>
      </c>
      <c r="I2300" s="2" t="s">
        <v>22</v>
      </c>
      <c r="J2300" s="2" t="s">
        <v>123</v>
      </c>
      <c r="K2300" s="2" t="s">
        <v>24</v>
      </c>
      <c r="L2300" s="13" t="s">
        <v>51</v>
      </c>
      <c r="M2300" s="2" t="s">
        <v>26</v>
      </c>
      <c r="N2300" s="24" t="s">
        <v>8849</v>
      </c>
      <c r="O2300" s="12" t="s">
        <v>53</v>
      </c>
      <c r="P2300" s="5" t="str">
        <f>IFERROR(__xludf.DUMMYFUNCTION("TEXTJOIN("" | "",TRUE,IF(OR(D2300="""",E2300="""",I2300="""",J2300="""",H2300=""""),""ফাঁকা ঘর"",""""),IF(AND(C2300&lt;&gt;"""",D2300&lt;&gt;"""",C2300=D2300),""gloss=figurative"",""""),IF(LEN(D2300)&lt;15,""figurative ছোট"",""""),IF(AND(I2300=""Positive"",REGEXMATCH(H2"&amp;"300,""মূর্খ|ভণ্ড|প্রতার|অলস|লোভ|স্বার্থ|অক্ষম|অযোগ্য|বোকা|কৃপণ|হিংস"")),""valence-target অমিল"",""""),IF(COUNTIF($B:$B,B2300)&gt;1,""ডুপ্লিকেট"",""""))"),"")</f>
        <v/>
      </c>
      <c r="Q2300" s="5" t="str">
        <f t="shared" si="1"/>
        <v>২ পরে</v>
      </c>
    </row>
    <row r="2301">
      <c r="A2301" s="4">
        <v>33.0</v>
      </c>
      <c r="B2301" s="2" t="s">
        <v>8850</v>
      </c>
      <c r="C2301" s="2" t="s">
        <v>8851</v>
      </c>
      <c r="D2301" s="2" t="s">
        <v>8852</v>
      </c>
      <c r="E2301" s="2" t="s">
        <v>8853</v>
      </c>
      <c r="F2301" s="2" t="b">
        <v>1</v>
      </c>
      <c r="G2301" s="2" t="b">
        <v>0</v>
      </c>
      <c r="H2301" s="2" t="s">
        <v>8848</v>
      </c>
      <c r="I2301" s="2" t="s">
        <v>22</v>
      </c>
      <c r="J2301" s="2" t="s">
        <v>123</v>
      </c>
      <c r="K2301" s="2" t="s">
        <v>24</v>
      </c>
      <c r="L2301" s="13" t="s">
        <v>51</v>
      </c>
      <c r="M2301" s="2" t="s">
        <v>26</v>
      </c>
      <c r="N2301" s="24" t="s">
        <v>8793</v>
      </c>
      <c r="O2301" s="12" t="s">
        <v>53</v>
      </c>
      <c r="P2301" s="5" t="str">
        <f>IFERROR(__xludf.DUMMYFUNCTION("TEXTJOIN("" | "",TRUE,IF(OR(D2301="""",E2301="""",I2301="""",J2301="""",H2301=""""),""ফাঁকা ঘর"",""""),IF(AND(C2301&lt;&gt;"""",D2301&lt;&gt;"""",C2301=D2301),""gloss=figurative"",""""),IF(LEN(D2301)&lt;15,""figurative ছোট"",""""),IF(AND(I2301=""Positive"",REGEXMATCH(H2"&amp;"301,""মূর্খ|ভণ্ড|প্রতার|অলস|লোভ|স্বার্থ|অক্ষম|অযোগ্য|বোকা|কৃপণ|হিংস"")),""valence-target অমিল"",""""),IF(COUNTIF($B:$B,B2301)&gt;1,""ডুপ্লিকেট"",""""))"),"")</f>
        <v/>
      </c>
      <c r="Q2301" s="5" t="str">
        <f t="shared" si="1"/>
        <v>২ পরে</v>
      </c>
    </row>
    <row r="2302">
      <c r="A2302" s="4">
        <v>34.0</v>
      </c>
      <c r="B2302" s="2" t="s">
        <v>8854</v>
      </c>
      <c r="C2302" s="2" t="s">
        <v>8855</v>
      </c>
      <c r="D2302" s="2" t="s">
        <v>8856</v>
      </c>
      <c r="E2302" s="2" t="s">
        <v>8857</v>
      </c>
      <c r="F2302" s="2" t="b">
        <v>1</v>
      </c>
      <c r="G2302" s="2" t="b">
        <v>0</v>
      </c>
      <c r="H2302" s="2" t="s">
        <v>8858</v>
      </c>
      <c r="I2302" s="2" t="s">
        <v>22</v>
      </c>
      <c r="J2302" s="2" t="s">
        <v>8859</v>
      </c>
      <c r="K2302" s="2" t="s">
        <v>24</v>
      </c>
      <c r="L2302" s="13" t="s">
        <v>51</v>
      </c>
      <c r="M2302" s="2" t="s">
        <v>26</v>
      </c>
      <c r="N2302" s="24" t="s">
        <v>8793</v>
      </c>
      <c r="O2302" s="12" t="s">
        <v>53</v>
      </c>
      <c r="P2302" s="5" t="str">
        <f>IFERROR(__xludf.DUMMYFUNCTION("TEXTJOIN("" | "",TRUE,IF(OR(D2302="""",E2302="""",I2302="""",J2302="""",H2302=""""),""ফাঁকা ঘর"",""""),IF(AND(C2302&lt;&gt;"""",D2302&lt;&gt;"""",C2302=D2302),""gloss=figurative"",""""),IF(LEN(D2302)&lt;15,""figurative ছোট"",""""),IF(AND(I2302=""Positive"",REGEXMATCH(H2"&amp;"302,""মূর্খ|ভণ্ড|প্রতার|অলস|লোভ|স্বার্থ|অক্ষম|অযোগ্য|বোকা|কৃপণ|হিংস"")),""valence-target অমিল"",""""),IF(COUNTIF($B:$B,B2302)&gt;1,""ডুপ্লিকেট"",""""))"),"")</f>
        <v/>
      </c>
      <c r="Q2302" s="5" t="str">
        <f t="shared" si="1"/>
        <v>২ পরে</v>
      </c>
    </row>
    <row r="2303">
      <c r="A2303" s="4">
        <v>35.0</v>
      </c>
      <c r="B2303" s="2" t="s">
        <v>8860</v>
      </c>
      <c r="C2303" s="2" t="s">
        <v>8861</v>
      </c>
      <c r="D2303" s="2" t="s">
        <v>8862</v>
      </c>
      <c r="E2303" s="2" t="s">
        <v>8863</v>
      </c>
      <c r="F2303" s="2" t="b">
        <v>1</v>
      </c>
      <c r="G2303" s="2" t="b">
        <v>0</v>
      </c>
      <c r="H2303" s="2" t="s">
        <v>8864</v>
      </c>
      <c r="I2303" s="2" t="s">
        <v>22</v>
      </c>
      <c r="J2303" s="2" t="s">
        <v>197</v>
      </c>
      <c r="K2303" s="2" t="s">
        <v>24</v>
      </c>
      <c r="L2303" s="13" t="s">
        <v>51</v>
      </c>
      <c r="M2303" s="2" t="s">
        <v>26</v>
      </c>
      <c r="N2303" s="25" t="s">
        <v>8865</v>
      </c>
      <c r="O2303" s="12" t="s">
        <v>53</v>
      </c>
      <c r="P2303" s="5" t="str">
        <f>IFERROR(__xludf.DUMMYFUNCTION("TEXTJOIN("" | "",TRUE,IF(OR(D2303="""",E2303="""",I2303="""",J2303="""",H2303=""""),""ফাঁকা ঘর"",""""),IF(AND(C2303&lt;&gt;"""",D2303&lt;&gt;"""",C2303=D2303),""gloss=figurative"",""""),IF(LEN(D2303)&lt;15,""figurative ছোট"",""""),IF(AND(I2303=""Positive"",REGEXMATCH(H2"&amp;"303,""মূর্খ|ভণ্ড|প্রতার|অলস|লোভ|স্বার্থ|অক্ষম|অযোগ্য|বোকা|কৃপণ|হিংস"")),""valence-target অমিল"",""""),IF(COUNTIF($B:$B,B2303)&gt;1,""ডুপ্লিকেট"",""""))"),"")</f>
        <v/>
      </c>
      <c r="Q2303" s="5" t="str">
        <f t="shared" si="1"/>
        <v>২ পরে</v>
      </c>
    </row>
    <row r="2304">
      <c r="A2304" s="4">
        <v>36.0</v>
      </c>
      <c r="B2304" s="2" t="s">
        <v>8866</v>
      </c>
      <c r="C2304" s="2" t="s">
        <v>8867</v>
      </c>
      <c r="D2304" s="2" t="s">
        <v>8868</v>
      </c>
      <c r="E2304" s="2" t="s">
        <v>8869</v>
      </c>
      <c r="F2304" s="2" t="b">
        <v>1</v>
      </c>
      <c r="G2304" s="2" t="b">
        <v>0</v>
      </c>
      <c r="H2304" s="2" t="s">
        <v>8870</v>
      </c>
      <c r="I2304" s="2" t="s">
        <v>32</v>
      </c>
      <c r="J2304" s="2" t="s">
        <v>142</v>
      </c>
      <c r="K2304" s="2" t="s">
        <v>24</v>
      </c>
      <c r="L2304" s="13" t="s">
        <v>51</v>
      </c>
      <c r="M2304" s="2" t="s">
        <v>26</v>
      </c>
      <c r="N2304" s="24" t="s">
        <v>8793</v>
      </c>
      <c r="O2304" s="12" t="s">
        <v>53</v>
      </c>
      <c r="P2304" s="5" t="str">
        <f>IFERROR(__xludf.DUMMYFUNCTION("TEXTJOIN("" | "",TRUE,IF(OR(D2304="""",E2304="""",I2304="""",J2304="""",H2304=""""),""ফাঁকা ঘর"",""""),IF(AND(C2304&lt;&gt;"""",D2304&lt;&gt;"""",C2304=D2304),""gloss=figurative"",""""),IF(LEN(D2304)&lt;15,""figurative ছোট"",""""),IF(AND(I2304=""Positive"",REGEXMATCH(H2"&amp;"304,""মূর্খ|ভণ্ড|প্রতার|অলস|লোভ|স্বার্থ|অক্ষম|অযোগ্য|বোকা|কৃপণ|হিংস"")),""valence-target অমিল"",""""),IF(COUNTIF($B:$B,B2304)&gt;1,""ডুপ্লিকেট"",""""))"),"")</f>
        <v/>
      </c>
      <c r="Q2304" s="5" t="str">
        <f t="shared" si="1"/>
        <v>২ পরে</v>
      </c>
    </row>
    <row r="2305">
      <c r="A2305" s="4">
        <v>37.0</v>
      </c>
      <c r="B2305" s="2" t="s">
        <v>8871</v>
      </c>
      <c r="C2305" s="2" t="s">
        <v>8872</v>
      </c>
      <c r="D2305" s="2" t="s">
        <v>8873</v>
      </c>
      <c r="E2305" s="2" t="s">
        <v>8874</v>
      </c>
      <c r="F2305" s="2" t="b">
        <v>1</v>
      </c>
      <c r="G2305" s="2" t="b">
        <v>0</v>
      </c>
      <c r="H2305" s="2" t="s">
        <v>37</v>
      </c>
      <c r="I2305" s="2" t="s">
        <v>49</v>
      </c>
      <c r="J2305" s="2" t="s">
        <v>8875</v>
      </c>
      <c r="K2305" s="2" t="s">
        <v>24</v>
      </c>
      <c r="L2305" s="13" t="s">
        <v>51</v>
      </c>
      <c r="M2305" s="2" t="s">
        <v>26</v>
      </c>
      <c r="N2305" s="24" t="s">
        <v>8793</v>
      </c>
      <c r="O2305" s="12" t="s">
        <v>53</v>
      </c>
      <c r="P2305" s="5" t="str">
        <f>IFERROR(__xludf.DUMMYFUNCTION("TEXTJOIN("" | "",TRUE,IF(OR(D2305="""",E2305="""",I2305="""",J2305="""",H2305=""""),""ফাঁকা ঘর"",""""),IF(AND(C2305&lt;&gt;"""",D2305&lt;&gt;"""",C2305=D2305),""gloss=figurative"",""""),IF(LEN(D2305)&lt;15,""figurative ছোট"",""""),IF(AND(I2305=""Positive"",REGEXMATCH(H2"&amp;"305,""মূর্খ|ভণ্ড|প্রতার|অলস|লোভ|স্বার্থ|অক্ষম|অযোগ্য|বোকা|কৃপণ|হিংস"")),""valence-target অমিল"",""""),IF(COUNTIF($B:$B,B2305)&gt;1,""ডুপ্লিকেট"",""""))"),"")</f>
        <v/>
      </c>
      <c r="Q2305" s="5" t="str">
        <f t="shared" si="1"/>
        <v>২ পরে</v>
      </c>
    </row>
    <row r="2306">
      <c r="A2306" s="4">
        <v>38.0</v>
      </c>
      <c r="B2306" s="2" t="s">
        <v>8876</v>
      </c>
      <c r="C2306" s="2" t="s">
        <v>8877</v>
      </c>
      <c r="D2306" s="2" t="s">
        <v>8878</v>
      </c>
      <c r="E2306" s="2" t="s">
        <v>8879</v>
      </c>
      <c r="F2306" s="2" t="b">
        <v>1</v>
      </c>
      <c r="G2306" s="2" t="b">
        <v>0</v>
      </c>
      <c r="H2306" s="2" t="s">
        <v>8880</v>
      </c>
      <c r="I2306" s="2" t="s">
        <v>32</v>
      </c>
      <c r="J2306" s="2" t="s">
        <v>8881</v>
      </c>
      <c r="K2306" s="2" t="s">
        <v>24</v>
      </c>
      <c r="L2306" s="13" t="s">
        <v>51</v>
      </c>
      <c r="M2306" s="2" t="s">
        <v>26</v>
      </c>
      <c r="N2306" s="24" t="s">
        <v>8793</v>
      </c>
      <c r="O2306" s="12" t="s">
        <v>53</v>
      </c>
      <c r="P2306" s="5" t="str">
        <f>IFERROR(__xludf.DUMMYFUNCTION("TEXTJOIN("" | "",TRUE,IF(OR(D2306="""",E2306="""",I2306="""",J2306="""",H2306=""""),""ফাঁকা ঘর"",""""),IF(AND(C2306&lt;&gt;"""",D2306&lt;&gt;"""",C2306=D2306),""gloss=figurative"",""""),IF(LEN(D2306)&lt;15,""figurative ছোট"",""""),IF(AND(I2306=""Positive"",REGEXMATCH(H2"&amp;"306,""মূর্খ|ভণ্ড|প্রতার|অলস|লোভ|স্বার্থ|অক্ষম|অযোগ্য|বোকা|কৃপণ|হিংস"")),""valence-target অমিল"",""""),IF(COUNTIF($B:$B,B2306)&gt;1,""ডুপ্লিকেট"",""""))"),"")</f>
        <v/>
      </c>
      <c r="Q2306" s="5" t="str">
        <f t="shared" si="1"/>
        <v>২ পরে</v>
      </c>
    </row>
    <row r="2307">
      <c r="A2307" s="4">
        <v>39.0</v>
      </c>
      <c r="B2307" s="2" t="s">
        <v>8882</v>
      </c>
      <c r="C2307" s="2" t="s">
        <v>8883</v>
      </c>
      <c r="D2307" s="2" t="s">
        <v>8884</v>
      </c>
      <c r="E2307" s="2" t="s">
        <v>8885</v>
      </c>
      <c r="F2307" s="2" t="b">
        <v>1</v>
      </c>
      <c r="G2307" s="2" t="b">
        <v>0</v>
      </c>
      <c r="H2307" s="2" t="s">
        <v>8848</v>
      </c>
      <c r="I2307" s="2" t="s">
        <v>32</v>
      </c>
      <c r="J2307" s="2" t="s">
        <v>123</v>
      </c>
      <c r="K2307" s="2" t="s">
        <v>24</v>
      </c>
      <c r="L2307" s="13" t="s">
        <v>51</v>
      </c>
      <c r="M2307" s="2" t="s">
        <v>26</v>
      </c>
      <c r="N2307" s="24" t="s">
        <v>8793</v>
      </c>
      <c r="O2307" s="12" t="s">
        <v>53</v>
      </c>
      <c r="P2307" s="5" t="str">
        <f>IFERROR(__xludf.DUMMYFUNCTION("TEXTJOIN("" | "",TRUE,IF(OR(D2307="""",E2307="""",I2307="""",J2307="""",H2307=""""),""ফাঁকা ঘর"",""""),IF(AND(C2307&lt;&gt;"""",D2307&lt;&gt;"""",C2307=D2307),""gloss=figurative"",""""),IF(LEN(D2307)&lt;15,""figurative ছোট"",""""),IF(AND(I2307=""Positive"",REGEXMATCH(H2"&amp;"307,""মূর্খ|ভণ্ড|প্রতার|অলস|লোভ|স্বার্থ|অক্ষম|অযোগ্য|বোকা|কৃপণ|হিংস"")),""valence-target অমিল"",""""),IF(COUNTIF($B:$B,B2307)&gt;1,""ডুপ্লিকেট"",""""))"),"")</f>
        <v/>
      </c>
      <c r="Q2307" s="5" t="str">
        <f t="shared" si="1"/>
        <v>২ পরে</v>
      </c>
    </row>
    <row r="2308">
      <c r="A2308" s="4">
        <v>40.0</v>
      </c>
      <c r="B2308" s="2" t="s">
        <v>8886</v>
      </c>
      <c r="C2308" s="2" t="s">
        <v>8887</v>
      </c>
      <c r="D2308" s="2" t="s">
        <v>8888</v>
      </c>
      <c r="E2308" s="2" t="s">
        <v>8889</v>
      </c>
      <c r="F2308" s="2" t="b">
        <v>1</v>
      </c>
      <c r="G2308" s="2" t="b">
        <v>0</v>
      </c>
      <c r="H2308" s="2" t="s">
        <v>351</v>
      </c>
      <c r="I2308" s="2" t="s">
        <v>49</v>
      </c>
      <c r="J2308" s="2" t="s">
        <v>96</v>
      </c>
      <c r="K2308" s="2" t="s">
        <v>24</v>
      </c>
      <c r="L2308" s="13" t="s">
        <v>51</v>
      </c>
      <c r="M2308" s="2" t="s">
        <v>26</v>
      </c>
      <c r="N2308" s="24" t="s">
        <v>8793</v>
      </c>
      <c r="O2308" s="12" t="s">
        <v>53</v>
      </c>
      <c r="P2308" s="5" t="str">
        <f>IFERROR(__xludf.DUMMYFUNCTION("TEXTJOIN("" | "",TRUE,IF(OR(D2308="""",E2308="""",I2308="""",J2308="""",H2308=""""),""ফাঁকা ঘর"",""""),IF(AND(C2308&lt;&gt;"""",D2308&lt;&gt;"""",C2308=D2308),""gloss=figurative"",""""),IF(LEN(D2308)&lt;15,""figurative ছোট"",""""),IF(AND(I2308=""Positive"",REGEXMATCH(H2"&amp;"308,""মূর্খ|ভণ্ড|প্রতার|অলস|লোভ|স্বার্থ|অক্ষম|অযোগ্য|বোকা|কৃপণ|হিংস"")),""valence-target অমিল"",""""),IF(COUNTIF($B:$B,B2308)&gt;1,""ডুপ্লিকেট"",""""))"),"")</f>
        <v/>
      </c>
      <c r="Q2308" s="5" t="str">
        <f t="shared" si="1"/>
        <v>২ পরে</v>
      </c>
    </row>
    <row r="2309">
      <c r="A2309" s="4">
        <v>41.0</v>
      </c>
      <c r="B2309" s="2" t="s">
        <v>8890</v>
      </c>
      <c r="C2309" s="2" t="s">
        <v>8891</v>
      </c>
      <c r="D2309" s="2" t="s">
        <v>8892</v>
      </c>
      <c r="E2309" s="2" t="s">
        <v>8893</v>
      </c>
      <c r="F2309" s="2" t="b">
        <v>1</v>
      </c>
      <c r="G2309" s="2" t="b">
        <v>0</v>
      </c>
      <c r="H2309" s="2" t="s">
        <v>8894</v>
      </c>
      <c r="I2309" s="2" t="s">
        <v>22</v>
      </c>
      <c r="J2309" s="2" t="s">
        <v>8895</v>
      </c>
      <c r="K2309" s="2" t="s">
        <v>24</v>
      </c>
      <c r="L2309" s="13" t="s">
        <v>51</v>
      </c>
      <c r="M2309" s="2" t="s">
        <v>26</v>
      </c>
      <c r="N2309" s="24" t="s">
        <v>8896</v>
      </c>
      <c r="O2309" s="12" t="s">
        <v>53</v>
      </c>
      <c r="P2309" s="5" t="str">
        <f>IFERROR(__xludf.DUMMYFUNCTION("TEXTJOIN("" | "",TRUE,IF(OR(D2309="""",E2309="""",I2309="""",J2309="""",H2309=""""),""ফাঁকা ঘর"",""""),IF(AND(C2309&lt;&gt;"""",D2309&lt;&gt;"""",C2309=D2309),""gloss=figurative"",""""),IF(LEN(D2309)&lt;15,""figurative ছোট"",""""),IF(AND(I2309=""Positive"",REGEXMATCH(H2"&amp;"309,""মূর্খ|ভণ্ড|প্রতার|অলস|লোভ|স্বার্থ|অক্ষম|অযোগ্য|বোকা|কৃপণ|হিংস"")),""valence-target অমিল"",""""),IF(COUNTIF($B:$B,B2309)&gt;1,""ডুপ্লিকেট"",""""))"),"")</f>
        <v/>
      </c>
      <c r="Q2309" s="5" t="str">
        <f t="shared" si="1"/>
        <v>২ পরে</v>
      </c>
    </row>
    <row r="2310">
      <c r="A2310" s="4">
        <v>42.0</v>
      </c>
      <c r="B2310" s="2" t="s">
        <v>8897</v>
      </c>
      <c r="C2310" s="2" t="s">
        <v>8898</v>
      </c>
      <c r="D2310" s="2" t="s">
        <v>8899</v>
      </c>
      <c r="E2310" s="2" t="s">
        <v>8900</v>
      </c>
      <c r="F2310" s="2" t="b">
        <v>1</v>
      </c>
      <c r="G2310" s="2" t="b">
        <v>0</v>
      </c>
      <c r="H2310" s="2" t="s">
        <v>8901</v>
      </c>
      <c r="I2310" s="2" t="s">
        <v>22</v>
      </c>
      <c r="J2310" s="2" t="s">
        <v>8902</v>
      </c>
      <c r="K2310" s="2" t="s">
        <v>24</v>
      </c>
      <c r="L2310" s="13" t="s">
        <v>51</v>
      </c>
      <c r="M2310" s="2" t="s">
        <v>26</v>
      </c>
      <c r="N2310" s="24" t="s">
        <v>8903</v>
      </c>
      <c r="O2310" s="12" t="s">
        <v>53</v>
      </c>
      <c r="P2310" s="5" t="str">
        <f>IFERROR(__xludf.DUMMYFUNCTION("TEXTJOIN("" | "",TRUE,IF(OR(D2310="""",E2310="""",I2310="""",J2310="""",H2310=""""),""ফাঁকা ঘর"",""""),IF(AND(C2310&lt;&gt;"""",D2310&lt;&gt;"""",C2310=D2310),""gloss=figurative"",""""),IF(LEN(D2310)&lt;15,""figurative ছোট"",""""),IF(AND(I2310=""Positive"",REGEXMATCH(H2"&amp;"310,""মূর্খ|ভণ্ড|প্রতার|অলস|লোভ|স্বার্থ|অক্ষম|অযোগ্য|বোকা|কৃপণ|হিংস"")),""valence-target অমিল"",""""),IF(COUNTIF($B:$B,B2310)&gt;1,""ডুপ্লিকেট"",""""))"),"")</f>
        <v/>
      </c>
      <c r="Q2310" s="5" t="str">
        <f t="shared" si="1"/>
        <v>২ পরে</v>
      </c>
    </row>
    <row r="2311">
      <c r="A2311" s="4">
        <v>43.0</v>
      </c>
      <c r="B2311" s="2" t="s">
        <v>8904</v>
      </c>
      <c r="C2311" s="2" t="s">
        <v>8905</v>
      </c>
      <c r="D2311" s="2" t="s">
        <v>8906</v>
      </c>
      <c r="E2311" s="2" t="s">
        <v>8907</v>
      </c>
      <c r="F2311" s="2" t="b">
        <v>1</v>
      </c>
      <c r="G2311" s="2" t="b">
        <v>0</v>
      </c>
      <c r="H2311" s="2" t="s">
        <v>37</v>
      </c>
      <c r="I2311" s="2" t="s">
        <v>22</v>
      </c>
      <c r="J2311" s="2" t="s">
        <v>8908</v>
      </c>
      <c r="K2311" s="2" t="s">
        <v>24</v>
      </c>
      <c r="L2311" s="13" t="s">
        <v>51</v>
      </c>
      <c r="M2311" s="2" t="s">
        <v>26</v>
      </c>
      <c r="N2311" s="24" t="s">
        <v>8793</v>
      </c>
      <c r="O2311" s="12" t="s">
        <v>53</v>
      </c>
      <c r="P2311" s="5" t="str">
        <f>IFERROR(__xludf.DUMMYFUNCTION("TEXTJOIN("" | "",TRUE,IF(OR(D2311="""",E2311="""",I2311="""",J2311="""",H2311=""""),""ফাঁকা ঘর"",""""),IF(AND(C2311&lt;&gt;"""",D2311&lt;&gt;"""",C2311=D2311),""gloss=figurative"",""""),IF(LEN(D2311)&lt;15,""figurative ছোট"",""""),IF(AND(I2311=""Positive"",REGEXMATCH(H2"&amp;"311,""মূর্খ|ভণ্ড|প্রতার|অলস|লোভ|স্বার্থ|অক্ষম|অযোগ্য|বোকা|কৃপণ|হিংস"")),""valence-target অমিল"",""""),IF(COUNTIF($B:$B,B2311)&gt;1,""ডুপ্লিকেট"",""""))"),"")</f>
        <v/>
      </c>
      <c r="Q2311" s="5" t="str">
        <f t="shared" si="1"/>
        <v>২ পরে</v>
      </c>
    </row>
    <row r="2312">
      <c r="A2312" s="4">
        <v>44.0</v>
      </c>
      <c r="B2312" s="2" t="s">
        <v>8909</v>
      </c>
      <c r="C2312" s="2" t="s">
        <v>8910</v>
      </c>
      <c r="D2312" s="2" t="s">
        <v>8911</v>
      </c>
      <c r="E2312" s="2" t="s">
        <v>8759</v>
      </c>
      <c r="F2312" s="2" t="b">
        <v>1</v>
      </c>
      <c r="G2312" s="2" t="b">
        <v>0</v>
      </c>
      <c r="H2312" s="2" t="s">
        <v>8912</v>
      </c>
      <c r="I2312" s="2" t="s">
        <v>22</v>
      </c>
      <c r="J2312" s="2" t="s">
        <v>8913</v>
      </c>
      <c r="K2312" s="2" t="s">
        <v>24</v>
      </c>
      <c r="L2312" s="13" t="s">
        <v>51</v>
      </c>
      <c r="M2312" s="2" t="s">
        <v>26</v>
      </c>
      <c r="N2312" s="24" t="s">
        <v>8793</v>
      </c>
      <c r="O2312" s="12" t="s">
        <v>53</v>
      </c>
      <c r="P2312" s="5" t="str">
        <f>IFERROR(__xludf.DUMMYFUNCTION("TEXTJOIN("" | "",TRUE,IF(OR(D2312="""",E2312="""",I2312="""",J2312="""",H2312=""""),""ফাঁকা ঘর"",""""),IF(AND(C2312&lt;&gt;"""",D2312&lt;&gt;"""",C2312=D2312),""gloss=figurative"",""""),IF(LEN(D2312)&lt;15,""figurative ছোট"",""""),IF(AND(I2312=""Positive"",REGEXMATCH(H2"&amp;"312,""মূর্খ|ভণ্ড|প্রতার|অলস|লোভ|স্বার্থ|অক্ষম|অযোগ্য|বোকা|কৃপণ|হিংস"")),""valence-target অমিল"",""""),IF(COUNTIF($B:$B,B2312)&gt;1,""ডুপ্লিকেট"",""""))"),"")</f>
        <v/>
      </c>
      <c r="Q2312" s="5" t="str">
        <f t="shared" si="1"/>
        <v>২ পরে</v>
      </c>
    </row>
    <row r="2313">
      <c r="A2313" s="4">
        <v>45.0</v>
      </c>
      <c r="B2313" s="2" t="s">
        <v>8914</v>
      </c>
      <c r="C2313" s="2" t="s">
        <v>8915</v>
      </c>
      <c r="D2313" s="2" t="s">
        <v>8916</v>
      </c>
      <c r="E2313" s="2" t="s">
        <v>8917</v>
      </c>
      <c r="F2313" s="2" t="b">
        <v>1</v>
      </c>
      <c r="G2313" s="2" t="b">
        <v>0</v>
      </c>
      <c r="H2313" s="2" t="s">
        <v>8918</v>
      </c>
      <c r="I2313" s="2" t="s">
        <v>32</v>
      </c>
      <c r="J2313" s="2" t="s">
        <v>8919</v>
      </c>
      <c r="K2313" s="2" t="s">
        <v>24</v>
      </c>
      <c r="L2313" s="13" t="s">
        <v>51</v>
      </c>
      <c r="M2313" s="2" t="s">
        <v>26</v>
      </c>
      <c r="N2313" s="24" t="s">
        <v>8793</v>
      </c>
      <c r="O2313" s="12" t="s">
        <v>53</v>
      </c>
      <c r="P2313" s="5" t="str">
        <f>IFERROR(__xludf.DUMMYFUNCTION("TEXTJOIN("" | "",TRUE,IF(OR(D2313="""",E2313="""",I2313="""",J2313="""",H2313=""""),""ফাঁকা ঘর"",""""),IF(AND(C2313&lt;&gt;"""",D2313&lt;&gt;"""",C2313=D2313),""gloss=figurative"",""""),IF(LEN(D2313)&lt;15,""figurative ছোট"",""""),IF(AND(I2313=""Positive"",REGEXMATCH(H2"&amp;"313,""মূর্খ|ভণ্ড|প্রতার|অলস|লোভ|স্বার্থ|অক্ষম|অযোগ্য|বোকা|কৃপণ|হিংস"")),""valence-target অমিল"",""""),IF(COUNTIF($B:$B,B2313)&gt;1,""ডুপ্লিকেট"",""""))"),"")</f>
        <v/>
      </c>
      <c r="Q2313" s="5" t="str">
        <f t="shared" si="1"/>
        <v>২ পরে</v>
      </c>
    </row>
    <row r="2314">
      <c r="A2314" s="4">
        <v>46.0</v>
      </c>
      <c r="B2314" s="2" t="s">
        <v>8920</v>
      </c>
      <c r="C2314" s="2" t="s">
        <v>8921</v>
      </c>
      <c r="D2314" s="2" t="s">
        <v>8922</v>
      </c>
      <c r="E2314" s="2" t="s">
        <v>8923</v>
      </c>
      <c r="F2314" s="2" t="b">
        <v>1</v>
      </c>
      <c r="G2314" s="2" t="b">
        <v>0</v>
      </c>
      <c r="H2314" s="2" t="s">
        <v>8760</v>
      </c>
      <c r="I2314" s="2" t="s">
        <v>22</v>
      </c>
      <c r="J2314" s="2" t="s">
        <v>142</v>
      </c>
      <c r="K2314" s="2" t="s">
        <v>24</v>
      </c>
      <c r="L2314" s="13" t="s">
        <v>51</v>
      </c>
      <c r="M2314" s="2" t="s">
        <v>26</v>
      </c>
      <c r="N2314" s="24" t="s">
        <v>8793</v>
      </c>
      <c r="O2314" s="12" t="s">
        <v>53</v>
      </c>
      <c r="P2314" s="5" t="str">
        <f>IFERROR(__xludf.DUMMYFUNCTION("TEXTJOIN("" | "",TRUE,IF(OR(D2314="""",E2314="""",I2314="""",J2314="""",H2314=""""),""ফাঁকা ঘর"",""""),IF(AND(C2314&lt;&gt;"""",D2314&lt;&gt;"""",C2314=D2314),""gloss=figurative"",""""),IF(LEN(D2314)&lt;15,""figurative ছোট"",""""),IF(AND(I2314=""Positive"",REGEXMATCH(H2"&amp;"314,""মূর্খ|ভণ্ড|প্রতার|অলস|লোভ|স্বার্থ|অক্ষম|অযোগ্য|বোকা|কৃপণ|হিংস"")),""valence-target অমিল"",""""),IF(COUNTIF($B:$B,B2314)&gt;1,""ডুপ্লিকেট"",""""))"),"")</f>
        <v/>
      </c>
      <c r="Q2314" s="5" t="str">
        <f t="shared" si="1"/>
        <v>২ পরে</v>
      </c>
    </row>
    <row r="2315">
      <c r="A2315" s="4">
        <v>47.0</v>
      </c>
      <c r="B2315" s="2" t="s">
        <v>8924</v>
      </c>
      <c r="C2315" s="2" t="s">
        <v>8924</v>
      </c>
      <c r="D2315" s="2" t="s">
        <v>8925</v>
      </c>
      <c r="E2315" s="2" t="s">
        <v>8926</v>
      </c>
      <c r="F2315" s="2" t="b">
        <v>1</v>
      </c>
      <c r="G2315" s="2" t="b">
        <v>0</v>
      </c>
      <c r="H2315" s="2" t="s">
        <v>8927</v>
      </c>
      <c r="I2315" s="2" t="s">
        <v>22</v>
      </c>
      <c r="J2315" s="2" t="s">
        <v>8928</v>
      </c>
      <c r="K2315" s="2" t="s">
        <v>24</v>
      </c>
      <c r="L2315" s="13" t="s">
        <v>51</v>
      </c>
      <c r="M2315" s="2" t="s">
        <v>26</v>
      </c>
      <c r="N2315" s="24" t="s">
        <v>8793</v>
      </c>
      <c r="O2315" s="12" t="s">
        <v>53</v>
      </c>
      <c r="P2315" s="5" t="str">
        <f>IFERROR(__xludf.DUMMYFUNCTION("TEXTJOIN("" | "",TRUE,IF(OR(D2315="""",E2315="""",I2315="""",J2315="""",H2315=""""),""ফাঁকা ঘর"",""""),IF(AND(C2315&lt;&gt;"""",D2315&lt;&gt;"""",C2315=D2315),""gloss=figurative"",""""),IF(LEN(D2315)&lt;15,""figurative ছোট"",""""),IF(AND(I2315=""Positive"",REGEXMATCH(H2"&amp;"315,""মূর্খ|ভণ্ড|প্রতার|অলস|লোভ|স্বার্থ|অক্ষম|অযোগ্য|বোকা|কৃপণ|হিংস"")),""valence-target অমিল"",""""),IF(COUNTIF($B:$B,B2315)&gt;1,""ডুপ্লিকেট"",""""))"),"")</f>
        <v/>
      </c>
      <c r="Q2315" s="5" t="str">
        <f t="shared" si="1"/>
        <v>২ পরে</v>
      </c>
    </row>
    <row r="2316">
      <c r="A2316" s="4">
        <v>48.0</v>
      </c>
      <c r="B2316" s="2" t="s">
        <v>8929</v>
      </c>
      <c r="C2316" s="2" t="s">
        <v>8930</v>
      </c>
      <c r="D2316" s="2" t="s">
        <v>8931</v>
      </c>
      <c r="E2316" s="2" t="s">
        <v>8932</v>
      </c>
      <c r="F2316" s="2" t="b">
        <v>1</v>
      </c>
      <c r="G2316" s="2" t="b">
        <v>0</v>
      </c>
      <c r="H2316" s="2" t="s">
        <v>8933</v>
      </c>
      <c r="I2316" s="2" t="s">
        <v>22</v>
      </c>
      <c r="J2316" s="2" t="s">
        <v>8934</v>
      </c>
      <c r="K2316" s="2" t="s">
        <v>24</v>
      </c>
      <c r="L2316" s="13" t="s">
        <v>51</v>
      </c>
      <c r="M2316" s="2" t="s">
        <v>26</v>
      </c>
      <c r="N2316" s="24" t="s">
        <v>8793</v>
      </c>
      <c r="O2316" s="12" t="s">
        <v>53</v>
      </c>
      <c r="P2316" s="5" t="str">
        <f>IFERROR(__xludf.DUMMYFUNCTION("TEXTJOIN("" | "",TRUE,IF(OR(D2316="""",E2316="""",I2316="""",J2316="""",H2316=""""),""ফাঁকা ঘর"",""""),IF(AND(C2316&lt;&gt;"""",D2316&lt;&gt;"""",C2316=D2316),""gloss=figurative"",""""),IF(LEN(D2316)&lt;15,""figurative ছোট"",""""),IF(AND(I2316=""Positive"",REGEXMATCH(H2"&amp;"316,""মূর্খ|ভণ্ড|প্রতার|অলস|লোভ|স্বার্থ|অক্ষম|অযোগ্য|বোকা|কৃপণ|হিংস"")),""valence-target অমিল"",""""),IF(COUNTIF($B:$B,B2316)&gt;1,""ডুপ্লিকেট"",""""))"),"")</f>
        <v/>
      </c>
      <c r="Q2316" s="5" t="str">
        <f t="shared" si="1"/>
        <v>২ পরে</v>
      </c>
    </row>
    <row r="2317">
      <c r="A2317" s="4">
        <v>49.0</v>
      </c>
      <c r="B2317" s="2" t="s">
        <v>8935</v>
      </c>
      <c r="C2317" s="2" t="s">
        <v>8936</v>
      </c>
      <c r="D2317" s="2" t="s">
        <v>8937</v>
      </c>
      <c r="E2317" s="2" t="s">
        <v>8938</v>
      </c>
      <c r="F2317" s="2" t="b">
        <v>1</v>
      </c>
      <c r="G2317" s="2" t="b">
        <v>0</v>
      </c>
      <c r="H2317" s="2" t="s">
        <v>189</v>
      </c>
      <c r="I2317" s="2" t="s">
        <v>22</v>
      </c>
      <c r="J2317" s="2" t="s">
        <v>59</v>
      </c>
      <c r="K2317" s="2" t="s">
        <v>24</v>
      </c>
      <c r="L2317" s="13" t="s">
        <v>51</v>
      </c>
      <c r="M2317" s="2" t="s">
        <v>26</v>
      </c>
      <c r="N2317" s="24" t="s">
        <v>8793</v>
      </c>
      <c r="O2317" s="12" t="s">
        <v>53</v>
      </c>
      <c r="P2317" s="5" t="str">
        <f>IFERROR(__xludf.DUMMYFUNCTION("TEXTJOIN("" | "",TRUE,IF(OR(D2317="""",E2317="""",I2317="""",J2317="""",H2317=""""),""ফাঁকা ঘর"",""""),IF(AND(C2317&lt;&gt;"""",D2317&lt;&gt;"""",C2317=D2317),""gloss=figurative"",""""),IF(LEN(D2317)&lt;15,""figurative ছোট"",""""),IF(AND(I2317=""Positive"",REGEXMATCH(H2"&amp;"317,""মূর্খ|ভণ্ড|প্রতার|অলস|লোভ|স্বার্থ|অক্ষম|অযোগ্য|বোকা|কৃপণ|হিংস"")),""valence-target অমিল"",""""),IF(COUNTIF($B:$B,B2317)&gt;1,""ডুপ্লিকেট"",""""))"),"")</f>
        <v/>
      </c>
      <c r="Q2317" s="5" t="str">
        <f t="shared" si="1"/>
        <v>২ পরে</v>
      </c>
    </row>
    <row r="2318">
      <c r="A2318" s="4">
        <v>50.0</v>
      </c>
      <c r="B2318" s="2" t="s">
        <v>8939</v>
      </c>
      <c r="C2318" s="2" t="s">
        <v>8940</v>
      </c>
      <c r="D2318" s="2" t="s">
        <v>8941</v>
      </c>
      <c r="E2318" s="2" t="s">
        <v>8942</v>
      </c>
      <c r="F2318" s="2" t="b">
        <v>1</v>
      </c>
      <c r="G2318" s="2" t="b">
        <v>0</v>
      </c>
      <c r="H2318" s="2" t="s">
        <v>8943</v>
      </c>
      <c r="I2318" s="2" t="s">
        <v>49</v>
      </c>
      <c r="J2318" s="2" t="s">
        <v>142</v>
      </c>
      <c r="K2318" s="2" t="s">
        <v>24</v>
      </c>
      <c r="L2318" s="13" t="s">
        <v>51</v>
      </c>
      <c r="M2318" s="2" t="s">
        <v>26</v>
      </c>
      <c r="N2318" s="24" t="s">
        <v>8944</v>
      </c>
      <c r="O2318" s="12" t="s">
        <v>53</v>
      </c>
      <c r="P2318" s="5" t="str">
        <f>IFERROR(__xludf.DUMMYFUNCTION("TEXTJOIN("" | "",TRUE,IF(OR(D2318="""",E2318="""",I2318="""",J2318="""",H2318=""""),""ফাঁকা ঘর"",""""),IF(AND(C2318&lt;&gt;"""",D2318&lt;&gt;"""",C2318=D2318),""gloss=figurative"",""""),IF(LEN(D2318)&lt;15,""figurative ছোট"",""""),IF(AND(I2318=""Positive"",REGEXMATCH(H2"&amp;"318,""মূর্খ|ভণ্ড|প্রতার|অলস|লোভ|স্বার্থ|অক্ষম|অযোগ্য|বোকা|কৃপণ|হিংস"")),""valence-target অমিল"",""""),IF(COUNTIF($B:$B,B2318)&gt;1,""ডুপ্লিকেট"",""""))"),"")</f>
        <v/>
      </c>
      <c r="Q2318" s="5" t="str">
        <f t="shared" si="1"/>
        <v>২ পরে</v>
      </c>
    </row>
    <row r="2319">
      <c r="A2319" s="4">
        <v>51.0</v>
      </c>
      <c r="B2319" s="2" t="s">
        <v>8945</v>
      </c>
      <c r="C2319" s="2" t="s">
        <v>8946</v>
      </c>
      <c r="D2319" s="2" t="s">
        <v>8947</v>
      </c>
      <c r="E2319" s="2" t="s">
        <v>8948</v>
      </c>
      <c r="F2319" s="2" t="b">
        <v>1</v>
      </c>
      <c r="G2319" s="2" t="b">
        <v>0</v>
      </c>
      <c r="H2319" s="2" t="s">
        <v>37</v>
      </c>
      <c r="I2319" s="2" t="s">
        <v>32</v>
      </c>
      <c r="J2319" s="2" t="s">
        <v>8949</v>
      </c>
      <c r="K2319" s="2" t="s">
        <v>24</v>
      </c>
      <c r="L2319" s="13" t="s">
        <v>51</v>
      </c>
      <c r="M2319" s="2" t="s">
        <v>26</v>
      </c>
      <c r="N2319" s="24" t="s">
        <v>8793</v>
      </c>
      <c r="O2319" s="12" t="s">
        <v>53</v>
      </c>
      <c r="P2319" s="5" t="str">
        <f>IFERROR(__xludf.DUMMYFUNCTION("TEXTJOIN("" | "",TRUE,IF(OR(D2319="""",E2319="""",I2319="""",J2319="""",H2319=""""),""ফাঁকা ঘর"",""""),IF(AND(C2319&lt;&gt;"""",D2319&lt;&gt;"""",C2319=D2319),""gloss=figurative"",""""),IF(LEN(D2319)&lt;15,""figurative ছোট"",""""),IF(AND(I2319=""Positive"",REGEXMATCH(H2"&amp;"319,""মূর্খ|ভণ্ড|প্রতার|অলস|লোভ|স্বার্থ|অক্ষম|অযোগ্য|বোকা|কৃপণ|হিংস"")),""valence-target অমিল"",""""),IF(COUNTIF($B:$B,B2319)&gt;1,""ডুপ্লিকেট"",""""))"),"")</f>
        <v/>
      </c>
      <c r="Q2319" s="5" t="str">
        <f t="shared" si="1"/>
        <v>২ পরে</v>
      </c>
    </row>
    <row r="2320">
      <c r="A2320" s="4">
        <v>52.0</v>
      </c>
      <c r="B2320" s="2" t="s">
        <v>8950</v>
      </c>
      <c r="C2320" s="2" t="s">
        <v>8951</v>
      </c>
      <c r="D2320" s="2" t="s">
        <v>8952</v>
      </c>
      <c r="E2320" s="2" t="s">
        <v>8953</v>
      </c>
      <c r="F2320" s="2" t="b">
        <v>1</v>
      </c>
      <c r="G2320" s="2" t="b">
        <v>0</v>
      </c>
      <c r="H2320" s="2" t="s">
        <v>156</v>
      </c>
      <c r="I2320" s="2" t="s">
        <v>49</v>
      </c>
      <c r="J2320" s="2" t="s">
        <v>8928</v>
      </c>
      <c r="K2320" s="2" t="s">
        <v>24</v>
      </c>
      <c r="L2320" s="13" t="s">
        <v>51</v>
      </c>
      <c r="M2320" s="2" t="s">
        <v>26</v>
      </c>
      <c r="N2320" s="24" t="s">
        <v>8793</v>
      </c>
      <c r="O2320" s="12" t="s">
        <v>53</v>
      </c>
      <c r="P2320" s="5" t="str">
        <f>IFERROR(__xludf.DUMMYFUNCTION("TEXTJOIN("" | "",TRUE,IF(OR(D2320="""",E2320="""",I2320="""",J2320="""",H2320=""""),""ফাঁকা ঘর"",""""),IF(AND(C2320&lt;&gt;"""",D2320&lt;&gt;"""",C2320=D2320),""gloss=figurative"",""""),IF(LEN(D2320)&lt;15,""figurative ছোট"",""""),IF(AND(I2320=""Positive"",REGEXMATCH(H2"&amp;"320,""মূর্খ|ভণ্ড|প্রতার|অলস|লোভ|স্বার্থ|অক্ষম|অযোগ্য|বোকা|কৃপণ|হিংস"")),""valence-target অমিল"",""""),IF(COUNTIF($B:$B,B2320)&gt;1,""ডুপ্লিকেট"",""""))"),"")</f>
        <v/>
      </c>
      <c r="Q2320" s="5" t="str">
        <f t="shared" si="1"/>
        <v>২ পরে</v>
      </c>
    </row>
    <row r="2321">
      <c r="A2321" s="4">
        <v>54.0</v>
      </c>
      <c r="B2321" s="2" t="s">
        <v>8954</v>
      </c>
      <c r="C2321" s="2" t="s">
        <v>8955</v>
      </c>
      <c r="D2321" s="2" t="s">
        <v>8956</v>
      </c>
      <c r="E2321" s="2" t="s">
        <v>8957</v>
      </c>
      <c r="F2321" s="2" t="b">
        <v>1</v>
      </c>
      <c r="G2321" s="2" t="b">
        <v>0</v>
      </c>
      <c r="H2321" s="2" t="s">
        <v>37</v>
      </c>
      <c r="I2321" s="2" t="s">
        <v>32</v>
      </c>
      <c r="J2321" s="2" t="s">
        <v>8958</v>
      </c>
      <c r="K2321" s="2" t="s">
        <v>24</v>
      </c>
      <c r="L2321" s="13" t="s">
        <v>51</v>
      </c>
      <c r="M2321" s="2" t="s">
        <v>26</v>
      </c>
      <c r="N2321" s="24" t="s">
        <v>8793</v>
      </c>
      <c r="O2321" s="12" t="s">
        <v>53</v>
      </c>
      <c r="P2321" s="5" t="str">
        <f>IFERROR(__xludf.DUMMYFUNCTION("TEXTJOIN("" | "",TRUE,IF(OR(D2321="""",E2321="""",I2321="""",J2321="""",H2321=""""),""ফাঁকা ঘর"",""""),IF(AND(C2321&lt;&gt;"""",D2321&lt;&gt;"""",C2321=D2321),""gloss=figurative"",""""),IF(LEN(D2321)&lt;15,""figurative ছোট"",""""),IF(AND(I2321=""Positive"",REGEXMATCH(H2"&amp;"321,""মূর্খ|ভণ্ড|প্রতার|অলস|লোভ|স্বার্থ|অক্ষম|অযোগ্য|বোকা|কৃপণ|হিংস"")),""valence-target অমিল"",""""),IF(COUNTIF($B:$B,B2321)&gt;1,""ডুপ্লিকেট"",""""))"),"")</f>
        <v/>
      </c>
      <c r="Q2321" s="5" t="str">
        <f t="shared" si="1"/>
        <v>২ পরে</v>
      </c>
    </row>
    <row r="2322">
      <c r="A2322" s="4">
        <v>55.0</v>
      </c>
      <c r="B2322" s="2" t="s">
        <v>8959</v>
      </c>
      <c r="C2322" s="2" t="s">
        <v>8960</v>
      </c>
      <c r="D2322" s="2" t="s">
        <v>8961</v>
      </c>
      <c r="E2322" s="2" t="s">
        <v>8962</v>
      </c>
      <c r="F2322" s="2" t="b">
        <v>1</v>
      </c>
      <c r="G2322" s="2" t="b">
        <v>0</v>
      </c>
      <c r="H2322" s="2" t="s">
        <v>8963</v>
      </c>
      <c r="I2322" s="2" t="s">
        <v>22</v>
      </c>
      <c r="J2322" s="2" t="s">
        <v>59</v>
      </c>
      <c r="K2322" s="2" t="s">
        <v>24</v>
      </c>
      <c r="L2322" s="13" t="s">
        <v>51</v>
      </c>
      <c r="M2322" s="2" t="s">
        <v>26</v>
      </c>
      <c r="N2322" s="24" t="s">
        <v>8793</v>
      </c>
      <c r="O2322" s="12" t="s">
        <v>53</v>
      </c>
      <c r="P2322" s="5" t="str">
        <f>IFERROR(__xludf.DUMMYFUNCTION("TEXTJOIN("" | "",TRUE,IF(OR(D2322="""",E2322="""",I2322="""",J2322="""",H2322=""""),""ফাঁকা ঘর"",""""),IF(AND(C2322&lt;&gt;"""",D2322&lt;&gt;"""",C2322=D2322),""gloss=figurative"",""""),IF(LEN(D2322)&lt;15,""figurative ছোট"",""""),IF(AND(I2322=""Positive"",REGEXMATCH(H2"&amp;"322,""মূর্খ|ভণ্ড|প্রতার|অলস|লোভ|স্বার্থ|অক্ষম|অযোগ্য|বোকা|কৃপণ|হিংস"")),""valence-target অমিল"",""""),IF(COUNTIF($B:$B,B2322)&gt;1,""ডুপ্লিকেট"",""""))"),"")</f>
        <v/>
      </c>
      <c r="Q2322" s="5" t="str">
        <f t="shared" si="1"/>
        <v>২ পরে</v>
      </c>
    </row>
    <row r="2323">
      <c r="A2323" s="4">
        <v>56.0</v>
      </c>
      <c r="B2323" s="2" t="s">
        <v>8964</v>
      </c>
      <c r="C2323" s="2" t="s">
        <v>8965</v>
      </c>
      <c r="D2323" s="2" t="s">
        <v>8966</v>
      </c>
      <c r="E2323" s="2" t="s">
        <v>8967</v>
      </c>
      <c r="F2323" s="2" t="b">
        <v>1</v>
      </c>
      <c r="G2323" s="2" t="b">
        <v>0</v>
      </c>
      <c r="H2323" s="2" t="s">
        <v>37</v>
      </c>
      <c r="I2323" s="2" t="s">
        <v>49</v>
      </c>
      <c r="J2323" s="2" t="s">
        <v>1175</v>
      </c>
      <c r="K2323" s="2" t="s">
        <v>24</v>
      </c>
      <c r="L2323" s="13" t="s">
        <v>51</v>
      </c>
      <c r="M2323" s="2" t="s">
        <v>26</v>
      </c>
      <c r="N2323" s="24" t="s">
        <v>8793</v>
      </c>
      <c r="O2323" s="12" t="s">
        <v>53</v>
      </c>
      <c r="P2323" s="5" t="str">
        <f>IFERROR(__xludf.DUMMYFUNCTION("TEXTJOIN("" | "",TRUE,IF(OR(D2323="""",E2323="""",I2323="""",J2323="""",H2323=""""),""ফাঁকা ঘর"",""""),IF(AND(C2323&lt;&gt;"""",D2323&lt;&gt;"""",C2323=D2323),""gloss=figurative"",""""),IF(LEN(D2323)&lt;15,""figurative ছোট"",""""),IF(AND(I2323=""Positive"",REGEXMATCH(H2"&amp;"323,""মূর্খ|ভণ্ড|প্রতার|অলস|লোভ|স্বার্থ|অক্ষম|অযোগ্য|বোকা|কৃপণ|হিংস"")),""valence-target অমিল"",""""),IF(COUNTIF($B:$B,B2323)&gt;1,""ডুপ্লিকেট"",""""))"),"")</f>
        <v/>
      </c>
      <c r="Q2323" s="5" t="str">
        <f t="shared" si="1"/>
        <v>২ পরে</v>
      </c>
    </row>
    <row r="2324">
      <c r="A2324" s="4">
        <v>57.0</v>
      </c>
      <c r="B2324" s="2" t="s">
        <v>8968</v>
      </c>
      <c r="C2324" s="2" t="s">
        <v>8969</v>
      </c>
      <c r="D2324" s="2" t="s">
        <v>8970</v>
      </c>
      <c r="E2324" s="2" t="s">
        <v>8971</v>
      </c>
      <c r="F2324" s="2" t="b">
        <v>1</v>
      </c>
      <c r="G2324" s="2" t="b">
        <v>0</v>
      </c>
      <c r="H2324" s="2" t="s">
        <v>8972</v>
      </c>
      <c r="I2324" s="2" t="s">
        <v>32</v>
      </c>
      <c r="J2324" s="2" t="s">
        <v>8973</v>
      </c>
      <c r="K2324" s="2" t="s">
        <v>24</v>
      </c>
      <c r="L2324" s="13" t="s">
        <v>51</v>
      </c>
      <c r="M2324" s="2" t="s">
        <v>26</v>
      </c>
      <c r="N2324" s="25" t="s">
        <v>8974</v>
      </c>
      <c r="O2324" s="12" t="s">
        <v>53</v>
      </c>
      <c r="P2324" s="5" t="str">
        <f>IFERROR(__xludf.DUMMYFUNCTION("TEXTJOIN("" | "",TRUE,IF(OR(D2324="""",E2324="""",I2324="""",J2324="""",H2324=""""),""ফাঁকা ঘর"",""""),IF(AND(C2324&lt;&gt;"""",D2324&lt;&gt;"""",C2324=D2324),""gloss=figurative"",""""),IF(LEN(D2324)&lt;15,""figurative ছোট"",""""),IF(AND(I2324=""Positive"",REGEXMATCH(H2"&amp;"324,""মূর্খ|ভণ্ড|প্রতার|অলস|লোভ|স্বার্থ|অক্ষম|অযোগ্য|বোকা|কৃপণ|হিংস"")),""valence-target অমিল"",""""),IF(COUNTIF($B:$B,B2324)&gt;1,""ডুপ্লিকেট"",""""))"),"")</f>
        <v/>
      </c>
      <c r="Q2324" s="5" t="str">
        <f t="shared" si="1"/>
        <v>২ পরে</v>
      </c>
    </row>
    <row r="2325">
      <c r="A2325" s="4">
        <v>58.0</v>
      </c>
      <c r="B2325" s="2" t="s">
        <v>8975</v>
      </c>
      <c r="C2325" s="2" t="s">
        <v>8976</v>
      </c>
      <c r="D2325" s="2" t="s">
        <v>8977</v>
      </c>
      <c r="E2325" s="2" t="s">
        <v>8978</v>
      </c>
      <c r="F2325" s="2" t="b">
        <v>1</v>
      </c>
      <c r="G2325" s="2" t="b">
        <v>0</v>
      </c>
      <c r="H2325" s="2" t="s">
        <v>8979</v>
      </c>
      <c r="I2325" s="2" t="s">
        <v>49</v>
      </c>
      <c r="J2325" s="2" t="s">
        <v>142</v>
      </c>
      <c r="K2325" s="2" t="s">
        <v>24</v>
      </c>
      <c r="L2325" s="13" t="s">
        <v>51</v>
      </c>
      <c r="M2325" s="2" t="s">
        <v>26</v>
      </c>
      <c r="N2325" s="24" t="s">
        <v>8980</v>
      </c>
      <c r="O2325" s="12" t="s">
        <v>53</v>
      </c>
      <c r="P2325" s="5" t="str">
        <f>IFERROR(__xludf.DUMMYFUNCTION("TEXTJOIN("" | "",TRUE,IF(OR(D2325="""",E2325="""",I2325="""",J2325="""",H2325=""""),""ফাঁকা ঘর"",""""),IF(AND(C2325&lt;&gt;"""",D2325&lt;&gt;"""",C2325=D2325),""gloss=figurative"",""""),IF(LEN(D2325)&lt;15,""figurative ছোট"",""""),IF(AND(I2325=""Positive"",REGEXMATCH(H2"&amp;"325,""মূর্খ|ভণ্ড|প্রতার|অলস|লোভ|স্বার্থ|অক্ষম|অযোগ্য|বোকা|কৃপণ|হিংস"")),""valence-target অমিল"",""""),IF(COUNTIF($B:$B,B2325)&gt;1,""ডুপ্লিকেট"",""""))"),"")</f>
        <v/>
      </c>
      <c r="Q2325" s="5" t="str">
        <f t="shared" si="1"/>
        <v>২ পরে</v>
      </c>
    </row>
    <row r="2326">
      <c r="A2326" s="4">
        <v>59.0</v>
      </c>
      <c r="B2326" s="2" t="s">
        <v>8981</v>
      </c>
      <c r="C2326" s="2" t="s">
        <v>6489</v>
      </c>
      <c r="D2326" s="2" t="s">
        <v>8982</v>
      </c>
      <c r="E2326" s="2" t="s">
        <v>8983</v>
      </c>
      <c r="F2326" s="2" t="b">
        <v>1</v>
      </c>
      <c r="G2326" s="2" t="b">
        <v>0</v>
      </c>
      <c r="H2326" s="2" t="s">
        <v>65</v>
      </c>
      <c r="I2326" s="2" t="s">
        <v>22</v>
      </c>
      <c r="J2326" s="2" t="s">
        <v>225</v>
      </c>
      <c r="K2326" s="2" t="s">
        <v>24</v>
      </c>
      <c r="L2326" s="13" t="s">
        <v>51</v>
      </c>
      <c r="M2326" s="2" t="s">
        <v>26</v>
      </c>
      <c r="N2326" s="24" t="s">
        <v>8984</v>
      </c>
      <c r="O2326" s="12" t="s">
        <v>53</v>
      </c>
      <c r="P2326" s="5" t="str">
        <f>IFERROR(__xludf.DUMMYFUNCTION("TEXTJOIN("" | "",TRUE,IF(OR(D2326="""",E2326="""",I2326="""",J2326="""",H2326=""""),""ফাঁকা ঘর"",""""),IF(AND(C2326&lt;&gt;"""",D2326&lt;&gt;"""",C2326=D2326),""gloss=figurative"",""""),IF(LEN(D2326)&lt;15,""figurative ছোট"",""""),IF(AND(I2326=""Positive"",REGEXMATCH(H2"&amp;"326,""মূর্খ|ভণ্ড|প্রতার|অলস|লোভ|স্বার্থ|অক্ষম|অযোগ্য|বোকা|কৃপণ|হিংস"")),""valence-target অমিল"",""""),IF(COUNTIF($B:$B,B2326)&gt;1,""ডুপ্লিকেট"",""""))"),"")</f>
        <v/>
      </c>
      <c r="Q2326" s="5" t="str">
        <f t="shared" si="1"/>
        <v>২ পরে</v>
      </c>
    </row>
    <row r="2327">
      <c r="A2327" s="4">
        <v>60.0</v>
      </c>
      <c r="B2327" s="2" t="s">
        <v>8985</v>
      </c>
      <c r="C2327" s="2" t="s">
        <v>8986</v>
      </c>
      <c r="D2327" s="2" t="s">
        <v>8987</v>
      </c>
      <c r="E2327" s="2" t="s">
        <v>8988</v>
      </c>
      <c r="F2327" s="2" t="b">
        <v>1</v>
      </c>
      <c r="G2327" s="2" t="b">
        <v>0</v>
      </c>
      <c r="H2327" s="2" t="s">
        <v>8837</v>
      </c>
      <c r="I2327" s="2" t="s">
        <v>32</v>
      </c>
      <c r="J2327" s="2" t="s">
        <v>59</v>
      </c>
      <c r="K2327" s="2" t="s">
        <v>24</v>
      </c>
      <c r="L2327" s="13" t="s">
        <v>51</v>
      </c>
      <c r="M2327" s="2" t="s">
        <v>26</v>
      </c>
      <c r="N2327" s="24" t="s">
        <v>8989</v>
      </c>
      <c r="O2327" s="12" t="s">
        <v>53</v>
      </c>
      <c r="P2327" s="5" t="str">
        <f>IFERROR(__xludf.DUMMYFUNCTION("TEXTJOIN("" | "",TRUE,IF(OR(D2327="""",E2327="""",I2327="""",J2327="""",H2327=""""),""ফাঁকা ঘর"",""""),IF(AND(C2327&lt;&gt;"""",D2327&lt;&gt;"""",C2327=D2327),""gloss=figurative"",""""),IF(LEN(D2327)&lt;15,""figurative ছোট"",""""),IF(AND(I2327=""Positive"",REGEXMATCH(H2"&amp;"327,""মূর্খ|ভণ্ড|প্রতার|অলস|লোভ|স্বার্থ|অক্ষম|অযোগ্য|বোকা|কৃপণ|হিংস"")),""valence-target অমিল"",""""),IF(COUNTIF($B:$B,B2327)&gt;1,""ডুপ্লিকেট"",""""))"),"")</f>
        <v/>
      </c>
      <c r="Q2327" s="5" t="str">
        <f t="shared" si="1"/>
        <v>২ পরে</v>
      </c>
    </row>
    <row r="2328">
      <c r="A2328" s="4">
        <v>61.0</v>
      </c>
      <c r="B2328" s="2" t="s">
        <v>8990</v>
      </c>
      <c r="C2328" s="2" t="s">
        <v>8991</v>
      </c>
      <c r="D2328" s="2" t="s">
        <v>8992</v>
      </c>
      <c r="E2328" s="2" t="s">
        <v>8993</v>
      </c>
      <c r="F2328" s="2" t="b">
        <v>1</v>
      </c>
      <c r="G2328" s="2" t="b">
        <v>0</v>
      </c>
      <c r="H2328" s="2" t="s">
        <v>37</v>
      </c>
      <c r="I2328" s="2" t="s">
        <v>32</v>
      </c>
      <c r="J2328" s="2" t="s">
        <v>324</v>
      </c>
      <c r="K2328" s="2" t="s">
        <v>24</v>
      </c>
      <c r="L2328" s="13" t="s">
        <v>51</v>
      </c>
      <c r="M2328" s="2" t="s">
        <v>26</v>
      </c>
      <c r="N2328" s="24" t="s">
        <v>8793</v>
      </c>
      <c r="O2328" s="12" t="s">
        <v>53</v>
      </c>
      <c r="P2328" s="5" t="str">
        <f>IFERROR(__xludf.DUMMYFUNCTION("TEXTJOIN("" | "",TRUE,IF(OR(D2328="""",E2328="""",I2328="""",J2328="""",H2328=""""),""ফাঁকা ঘর"",""""),IF(AND(C2328&lt;&gt;"""",D2328&lt;&gt;"""",C2328=D2328),""gloss=figurative"",""""),IF(LEN(D2328)&lt;15,""figurative ছোট"",""""),IF(AND(I2328=""Positive"",REGEXMATCH(H2"&amp;"328,""মূর্খ|ভণ্ড|প্রতার|অলস|লোভ|স্বার্থ|অক্ষম|অযোগ্য|বোকা|কৃপণ|হিংস"")),""valence-target অমিল"",""""),IF(COUNTIF($B:$B,B2328)&gt;1,""ডুপ্লিকেট"",""""))"),"")</f>
        <v/>
      </c>
      <c r="Q2328" s="5" t="str">
        <f t="shared" si="1"/>
        <v>২ পরে</v>
      </c>
    </row>
    <row r="2329">
      <c r="A2329" s="4">
        <v>62.0</v>
      </c>
      <c r="B2329" s="2" t="s">
        <v>8994</v>
      </c>
      <c r="C2329" s="2" t="s">
        <v>8995</v>
      </c>
      <c r="D2329" s="2" t="s">
        <v>8996</v>
      </c>
      <c r="E2329" s="2" t="s">
        <v>8997</v>
      </c>
      <c r="F2329" s="2" t="b">
        <v>1</v>
      </c>
      <c r="G2329" s="2" t="b">
        <v>0</v>
      </c>
      <c r="H2329" s="2" t="s">
        <v>8927</v>
      </c>
      <c r="I2329" s="2" t="s">
        <v>22</v>
      </c>
      <c r="J2329" s="2" t="s">
        <v>8928</v>
      </c>
      <c r="K2329" s="2" t="s">
        <v>24</v>
      </c>
      <c r="L2329" s="13" t="s">
        <v>51</v>
      </c>
      <c r="M2329" s="2" t="s">
        <v>26</v>
      </c>
      <c r="N2329" s="24" t="s">
        <v>8793</v>
      </c>
      <c r="O2329" s="12" t="s">
        <v>53</v>
      </c>
      <c r="P2329" s="5" t="str">
        <f>IFERROR(__xludf.DUMMYFUNCTION("TEXTJOIN("" | "",TRUE,IF(OR(D2329="""",E2329="""",I2329="""",J2329="""",H2329=""""),""ফাঁকা ঘর"",""""),IF(AND(C2329&lt;&gt;"""",D2329&lt;&gt;"""",C2329=D2329),""gloss=figurative"",""""),IF(LEN(D2329)&lt;15,""figurative ছোট"",""""),IF(AND(I2329=""Positive"",REGEXMATCH(H2"&amp;"329,""মূর্খ|ভণ্ড|প্রতার|অলস|লোভ|স্বার্থ|অক্ষম|অযোগ্য|বোকা|কৃপণ|হিংস"")),""valence-target অমিল"",""""),IF(COUNTIF($B:$B,B2329)&gt;1,""ডুপ্লিকেট"",""""))"),"")</f>
        <v/>
      </c>
      <c r="Q2329" s="5" t="str">
        <f t="shared" si="1"/>
        <v>২ পরে</v>
      </c>
    </row>
    <row r="2330">
      <c r="A2330" s="4">
        <v>63.0</v>
      </c>
      <c r="B2330" s="2" t="s">
        <v>8998</v>
      </c>
      <c r="C2330" s="2" t="s">
        <v>8999</v>
      </c>
      <c r="D2330" s="2" t="s">
        <v>9000</v>
      </c>
      <c r="E2330" s="2" t="s">
        <v>9001</v>
      </c>
      <c r="F2330" s="2" t="b">
        <v>1</v>
      </c>
      <c r="G2330" s="2" t="b">
        <v>1</v>
      </c>
      <c r="H2330" s="2" t="s">
        <v>1106</v>
      </c>
      <c r="I2330" s="2" t="s">
        <v>32</v>
      </c>
      <c r="J2330" s="2" t="s">
        <v>1315</v>
      </c>
      <c r="K2330" s="2" t="s">
        <v>24</v>
      </c>
      <c r="L2330" s="13" t="s">
        <v>51</v>
      </c>
      <c r="M2330" s="2" t="s">
        <v>26</v>
      </c>
      <c r="N2330" s="24" t="s">
        <v>9002</v>
      </c>
      <c r="O2330" s="12" t="s">
        <v>53</v>
      </c>
      <c r="P2330" s="5" t="str">
        <f>IFERROR(__xludf.DUMMYFUNCTION("TEXTJOIN("" | "",TRUE,IF(OR(D2330="""",E2330="""",I2330="""",J2330="""",H2330=""""),""ফাঁকা ঘর"",""""),IF(AND(C2330&lt;&gt;"""",D2330&lt;&gt;"""",C2330=D2330),""gloss=figurative"",""""),IF(LEN(D2330)&lt;15,""figurative ছোট"",""""),IF(AND(I2330=""Positive"",REGEXMATCH(H2"&amp;"330,""মূর্খ|ভণ্ড|প্রতার|অলস|লোভ|স্বার্থ|অক্ষম|অযোগ্য|বোকা|কৃপণ|হিংস"")),""valence-target অমিল"",""""),IF(COUNTIF($B:$B,B2330)&gt;1,""ডুপ্লিকেট"",""""))"),"")</f>
        <v/>
      </c>
      <c r="Q2330" s="5" t="str">
        <f t="shared" si="1"/>
        <v>২ পরে</v>
      </c>
    </row>
    <row r="2331">
      <c r="A2331" s="4">
        <v>64.0</v>
      </c>
      <c r="B2331" s="2" t="s">
        <v>9003</v>
      </c>
      <c r="C2331" s="2" t="s">
        <v>9004</v>
      </c>
      <c r="D2331" s="2" t="s">
        <v>9005</v>
      </c>
      <c r="E2331" s="2" t="s">
        <v>9006</v>
      </c>
      <c r="F2331" s="2" t="b">
        <v>1</v>
      </c>
      <c r="G2331" s="2" t="b">
        <v>1</v>
      </c>
      <c r="H2331" s="2" t="s">
        <v>1106</v>
      </c>
      <c r="I2331" s="2" t="s">
        <v>32</v>
      </c>
      <c r="J2331" s="2" t="s">
        <v>9007</v>
      </c>
      <c r="K2331" s="2" t="s">
        <v>24</v>
      </c>
      <c r="L2331" s="13" t="s">
        <v>51</v>
      </c>
      <c r="M2331" s="2" t="s">
        <v>26</v>
      </c>
      <c r="N2331" s="25" t="s">
        <v>9008</v>
      </c>
      <c r="O2331" s="12" t="s">
        <v>53</v>
      </c>
      <c r="P2331" s="5" t="str">
        <f>IFERROR(__xludf.DUMMYFUNCTION("TEXTJOIN("" | "",TRUE,IF(OR(D2331="""",E2331="""",I2331="""",J2331="""",H2331=""""),""ফাঁকা ঘর"",""""),IF(AND(C2331&lt;&gt;"""",D2331&lt;&gt;"""",C2331=D2331),""gloss=figurative"",""""),IF(LEN(D2331)&lt;15,""figurative ছোট"",""""),IF(AND(I2331=""Positive"",REGEXMATCH(H2"&amp;"331,""মূর্খ|ভণ্ড|প্রতার|অলস|লোভ|স্বার্থ|অক্ষম|অযোগ্য|বোকা|কৃপণ|হিংস"")),""valence-target অমিল"",""""),IF(COUNTIF($B:$B,B2331)&gt;1,""ডুপ্লিকেট"",""""))"),"")</f>
        <v/>
      </c>
      <c r="Q2331" s="5" t="str">
        <f t="shared" si="1"/>
        <v>২ পরে</v>
      </c>
    </row>
    <row r="2332">
      <c r="A2332" s="4">
        <v>65.0</v>
      </c>
      <c r="B2332" s="2" t="s">
        <v>9009</v>
      </c>
      <c r="C2332" s="2" t="s">
        <v>9010</v>
      </c>
      <c r="D2332" s="2" t="s">
        <v>9011</v>
      </c>
      <c r="E2332" s="2" t="s">
        <v>9012</v>
      </c>
      <c r="F2332" s="2" t="b">
        <v>1</v>
      </c>
      <c r="G2332" s="2" t="b">
        <v>1</v>
      </c>
      <c r="H2332" s="2" t="s">
        <v>1106</v>
      </c>
      <c r="I2332" s="2" t="s">
        <v>32</v>
      </c>
      <c r="J2332" s="2" t="s">
        <v>9007</v>
      </c>
      <c r="K2332" s="2" t="s">
        <v>24</v>
      </c>
      <c r="L2332" s="13" t="s">
        <v>51</v>
      </c>
      <c r="M2332" s="2" t="s">
        <v>26</v>
      </c>
      <c r="N2332" s="25" t="s">
        <v>9013</v>
      </c>
      <c r="O2332" s="12" t="s">
        <v>53</v>
      </c>
      <c r="P2332" s="5" t="str">
        <f>IFERROR(__xludf.DUMMYFUNCTION("TEXTJOIN("" | "",TRUE,IF(OR(D2332="""",E2332="""",I2332="""",J2332="""",H2332=""""),""ফাঁকা ঘর"",""""),IF(AND(C2332&lt;&gt;"""",D2332&lt;&gt;"""",C2332=D2332),""gloss=figurative"",""""),IF(LEN(D2332)&lt;15,""figurative ছোট"",""""),IF(AND(I2332=""Positive"",REGEXMATCH(H2"&amp;"332,""মূর্খ|ভণ্ড|প্রতার|অলস|লোভ|স্বার্থ|অক্ষম|অযোগ্য|বোকা|কৃপণ|হিংস"")),""valence-target অমিল"",""""),IF(COUNTIF($B:$B,B2332)&gt;1,""ডুপ্লিকেট"",""""))"),"")</f>
        <v/>
      </c>
      <c r="Q2332" s="5" t="str">
        <f t="shared" si="1"/>
        <v>২ পরে</v>
      </c>
    </row>
    <row r="2333">
      <c r="A2333" s="4">
        <v>66.0</v>
      </c>
      <c r="B2333" s="2" t="s">
        <v>9014</v>
      </c>
      <c r="C2333" s="2" t="s">
        <v>9015</v>
      </c>
      <c r="D2333" s="2" t="s">
        <v>9016</v>
      </c>
      <c r="E2333" s="2" t="s">
        <v>9017</v>
      </c>
      <c r="F2333" s="2" t="b">
        <v>1</v>
      </c>
      <c r="G2333" s="2" t="b">
        <v>0</v>
      </c>
      <c r="H2333" s="2" t="s">
        <v>308</v>
      </c>
      <c r="I2333" s="2" t="s">
        <v>22</v>
      </c>
      <c r="J2333" s="2" t="s">
        <v>59</v>
      </c>
      <c r="K2333" s="2" t="s">
        <v>24</v>
      </c>
      <c r="L2333" s="13" t="s">
        <v>51</v>
      </c>
      <c r="M2333" s="2" t="s">
        <v>26</v>
      </c>
      <c r="N2333" s="24" t="s">
        <v>8793</v>
      </c>
      <c r="O2333" s="12" t="s">
        <v>53</v>
      </c>
      <c r="P2333" s="5" t="str">
        <f>IFERROR(__xludf.DUMMYFUNCTION("TEXTJOIN("" | "",TRUE,IF(OR(D2333="""",E2333="""",I2333="""",J2333="""",H2333=""""),""ফাঁকা ঘর"",""""),IF(AND(C2333&lt;&gt;"""",D2333&lt;&gt;"""",C2333=D2333),""gloss=figurative"",""""),IF(LEN(D2333)&lt;15,""figurative ছোট"",""""),IF(AND(I2333=""Positive"",REGEXMATCH(H2"&amp;"333,""মূর্খ|ভণ্ড|প্রতার|অলস|লোভ|স্বার্থ|অক্ষম|অযোগ্য|বোকা|কৃপণ|হিংস"")),""valence-target অমিল"",""""),IF(COUNTIF($B:$B,B2333)&gt;1,""ডুপ্লিকেট"",""""))"),"")</f>
        <v/>
      </c>
      <c r="Q2333" s="5" t="str">
        <f t="shared" si="1"/>
        <v>২ পরে</v>
      </c>
    </row>
    <row r="2334">
      <c r="A2334" s="4">
        <v>67.0</v>
      </c>
      <c r="B2334" s="2" t="s">
        <v>9018</v>
      </c>
      <c r="C2334" s="2" t="s">
        <v>9019</v>
      </c>
      <c r="D2334" s="2" t="s">
        <v>9020</v>
      </c>
      <c r="E2334" s="2" t="s">
        <v>9021</v>
      </c>
      <c r="F2334" s="2" t="b">
        <v>1</v>
      </c>
      <c r="G2334" s="2" t="b">
        <v>0</v>
      </c>
      <c r="H2334" s="2" t="s">
        <v>156</v>
      </c>
      <c r="I2334" s="2" t="s">
        <v>49</v>
      </c>
      <c r="J2334" s="2" t="s">
        <v>9022</v>
      </c>
      <c r="K2334" s="2" t="s">
        <v>24</v>
      </c>
      <c r="L2334" s="13" t="s">
        <v>51</v>
      </c>
      <c r="M2334" s="2" t="s">
        <v>26</v>
      </c>
      <c r="N2334" s="24" t="s">
        <v>8793</v>
      </c>
      <c r="O2334" s="12" t="s">
        <v>53</v>
      </c>
      <c r="P2334" s="5" t="str">
        <f>IFERROR(__xludf.DUMMYFUNCTION("TEXTJOIN("" | "",TRUE,IF(OR(D2334="""",E2334="""",I2334="""",J2334="""",H2334=""""),""ফাঁকা ঘর"",""""),IF(AND(C2334&lt;&gt;"""",D2334&lt;&gt;"""",C2334=D2334),""gloss=figurative"",""""),IF(LEN(D2334)&lt;15,""figurative ছোট"",""""),IF(AND(I2334=""Positive"",REGEXMATCH(H2"&amp;"334,""মূর্খ|ভণ্ড|প্রতার|অলস|লোভ|স্বার্থ|অক্ষম|অযোগ্য|বোকা|কৃপণ|হিংস"")),""valence-target অমিল"",""""),IF(COUNTIF($B:$B,B2334)&gt;1,""ডুপ্লিকেট"",""""))"),"")</f>
        <v/>
      </c>
      <c r="Q2334" s="5" t="str">
        <f t="shared" si="1"/>
        <v>২ পরে</v>
      </c>
    </row>
    <row r="2335">
      <c r="A2335" s="4">
        <v>68.0</v>
      </c>
      <c r="B2335" s="2" t="s">
        <v>9023</v>
      </c>
      <c r="C2335" s="2" t="s">
        <v>9024</v>
      </c>
      <c r="D2335" s="2" t="s">
        <v>9025</v>
      </c>
      <c r="E2335" s="2" t="s">
        <v>9026</v>
      </c>
      <c r="F2335" s="2" t="b">
        <v>1</v>
      </c>
      <c r="G2335" s="2" t="b">
        <v>0</v>
      </c>
      <c r="H2335" s="2" t="s">
        <v>356</v>
      </c>
      <c r="I2335" s="2" t="s">
        <v>32</v>
      </c>
      <c r="J2335" s="2" t="s">
        <v>9027</v>
      </c>
      <c r="K2335" s="2" t="s">
        <v>24</v>
      </c>
      <c r="L2335" s="13" t="s">
        <v>51</v>
      </c>
      <c r="M2335" s="2" t="s">
        <v>26</v>
      </c>
      <c r="N2335" s="24" t="s">
        <v>8793</v>
      </c>
      <c r="O2335" s="12" t="s">
        <v>53</v>
      </c>
      <c r="P2335" s="5" t="str">
        <f>IFERROR(__xludf.DUMMYFUNCTION("TEXTJOIN("" | "",TRUE,IF(OR(D2335="""",E2335="""",I2335="""",J2335="""",H2335=""""),""ফাঁকা ঘর"",""""),IF(AND(C2335&lt;&gt;"""",D2335&lt;&gt;"""",C2335=D2335),""gloss=figurative"",""""),IF(LEN(D2335)&lt;15,""figurative ছোট"",""""),IF(AND(I2335=""Positive"",REGEXMATCH(H2"&amp;"335,""মূর্খ|ভণ্ড|প্রতার|অলস|লোভ|স্বার্থ|অক্ষম|অযোগ্য|বোকা|কৃপণ|হিংস"")),""valence-target অমিল"",""""),IF(COUNTIF($B:$B,B2335)&gt;1,""ডুপ্লিকেট"",""""))"),"")</f>
        <v/>
      </c>
      <c r="Q2335" s="5" t="str">
        <f t="shared" si="1"/>
        <v>২ পরে</v>
      </c>
    </row>
    <row r="2336">
      <c r="A2336" s="4">
        <v>69.0</v>
      </c>
      <c r="B2336" s="2" t="s">
        <v>9028</v>
      </c>
      <c r="C2336" s="2" t="s">
        <v>9029</v>
      </c>
      <c r="D2336" s="2" t="s">
        <v>9030</v>
      </c>
      <c r="E2336" s="2" t="s">
        <v>9031</v>
      </c>
      <c r="F2336" s="2" t="b">
        <v>1</v>
      </c>
      <c r="G2336" s="2" t="b">
        <v>0</v>
      </c>
      <c r="H2336" s="2" t="s">
        <v>37</v>
      </c>
      <c r="I2336" s="2" t="s">
        <v>32</v>
      </c>
      <c r="J2336" s="2" t="s">
        <v>202</v>
      </c>
      <c r="K2336" s="2" t="s">
        <v>24</v>
      </c>
      <c r="L2336" s="13" t="s">
        <v>51</v>
      </c>
      <c r="M2336" s="2" t="s">
        <v>26</v>
      </c>
      <c r="N2336" s="24" t="s">
        <v>9032</v>
      </c>
      <c r="O2336" s="12" t="s">
        <v>53</v>
      </c>
      <c r="P2336" s="5" t="str">
        <f>IFERROR(__xludf.DUMMYFUNCTION("TEXTJOIN("" | "",TRUE,IF(OR(D2336="""",E2336="""",I2336="""",J2336="""",H2336=""""),""ফাঁকা ঘর"",""""),IF(AND(C2336&lt;&gt;"""",D2336&lt;&gt;"""",C2336=D2336),""gloss=figurative"",""""),IF(LEN(D2336)&lt;15,""figurative ছোট"",""""),IF(AND(I2336=""Positive"",REGEXMATCH(H2"&amp;"336,""মূর্খ|ভণ্ড|প্রতার|অলস|লোভ|স্বার্থ|অক্ষম|অযোগ্য|বোকা|কৃপণ|হিংস"")),""valence-target অমিল"",""""),IF(COUNTIF($B:$B,B2336)&gt;1,""ডুপ্লিকেট"",""""))"),"")</f>
        <v/>
      </c>
      <c r="Q2336" s="5" t="str">
        <f t="shared" si="1"/>
        <v>২ পরে</v>
      </c>
    </row>
    <row r="2337">
      <c r="A2337" s="4">
        <v>70.0</v>
      </c>
      <c r="B2337" s="2" t="s">
        <v>9033</v>
      </c>
      <c r="C2337" s="2" t="s">
        <v>9034</v>
      </c>
      <c r="D2337" s="2" t="s">
        <v>9035</v>
      </c>
      <c r="E2337" s="2" t="s">
        <v>9036</v>
      </c>
      <c r="F2337" s="2" t="b">
        <v>1</v>
      </c>
      <c r="G2337" s="2" t="b">
        <v>0</v>
      </c>
      <c r="H2337" s="2" t="s">
        <v>37</v>
      </c>
      <c r="I2337" s="2" t="s">
        <v>49</v>
      </c>
      <c r="J2337" s="2" t="s">
        <v>9037</v>
      </c>
      <c r="K2337" s="2" t="s">
        <v>24</v>
      </c>
      <c r="L2337" s="13" t="s">
        <v>51</v>
      </c>
      <c r="M2337" s="2" t="s">
        <v>26</v>
      </c>
      <c r="N2337" s="24" t="s">
        <v>9038</v>
      </c>
      <c r="O2337" s="12" t="s">
        <v>53</v>
      </c>
      <c r="P2337" s="5" t="str">
        <f>IFERROR(__xludf.DUMMYFUNCTION("TEXTJOIN("" | "",TRUE,IF(OR(D2337="""",E2337="""",I2337="""",J2337="""",H2337=""""),""ফাঁকা ঘর"",""""),IF(AND(C2337&lt;&gt;"""",D2337&lt;&gt;"""",C2337=D2337),""gloss=figurative"",""""),IF(LEN(D2337)&lt;15,""figurative ছোট"",""""),IF(AND(I2337=""Positive"",REGEXMATCH(H2"&amp;"337,""মূর্খ|ভণ্ড|প্রতার|অলস|লোভ|স্বার্থ|অক্ষম|অযোগ্য|বোকা|কৃপণ|হিংস"")),""valence-target অমিল"",""""),IF(COUNTIF($B:$B,B2337)&gt;1,""ডুপ্লিকেট"",""""))"),"")</f>
        <v/>
      </c>
      <c r="Q2337" s="5" t="str">
        <f t="shared" si="1"/>
        <v>২ পরে</v>
      </c>
    </row>
    <row r="2338">
      <c r="A2338" s="4">
        <v>71.0</v>
      </c>
      <c r="B2338" s="2" t="s">
        <v>9039</v>
      </c>
      <c r="C2338" s="2" t="s">
        <v>9040</v>
      </c>
      <c r="D2338" s="2" t="s">
        <v>9041</v>
      </c>
      <c r="E2338" s="2" t="s">
        <v>9042</v>
      </c>
      <c r="F2338" s="2" t="b">
        <v>1</v>
      </c>
      <c r="G2338" s="2" t="b">
        <v>0</v>
      </c>
      <c r="H2338" s="2" t="s">
        <v>37</v>
      </c>
      <c r="I2338" s="2" t="s">
        <v>49</v>
      </c>
      <c r="J2338" s="2" t="s">
        <v>9037</v>
      </c>
      <c r="K2338" s="2" t="s">
        <v>24</v>
      </c>
      <c r="L2338" s="13" t="s">
        <v>51</v>
      </c>
      <c r="M2338" s="2" t="s">
        <v>26</v>
      </c>
      <c r="N2338" s="24" t="s">
        <v>8793</v>
      </c>
      <c r="O2338" s="12" t="s">
        <v>53</v>
      </c>
      <c r="P2338" s="5" t="str">
        <f>IFERROR(__xludf.DUMMYFUNCTION("TEXTJOIN("" | "",TRUE,IF(OR(D2338="""",E2338="""",I2338="""",J2338="""",H2338=""""),""ফাঁকা ঘর"",""""),IF(AND(C2338&lt;&gt;"""",D2338&lt;&gt;"""",C2338=D2338),""gloss=figurative"",""""),IF(LEN(D2338)&lt;15,""figurative ছোট"",""""),IF(AND(I2338=""Positive"",REGEXMATCH(H2"&amp;"338,""মূর্খ|ভণ্ড|প্রতার|অলস|লোভ|স্বার্থ|অক্ষম|অযোগ্য|বোকা|কৃপণ|হিংস"")),""valence-target অমিল"",""""),IF(COUNTIF($B:$B,B2338)&gt;1,""ডুপ্লিকেট"",""""))"),"")</f>
        <v/>
      </c>
      <c r="Q2338" s="5" t="str">
        <f t="shared" si="1"/>
        <v>২ পরে</v>
      </c>
    </row>
    <row r="2339">
      <c r="A2339" s="4">
        <v>73.0</v>
      </c>
      <c r="B2339" s="2" t="s">
        <v>9043</v>
      </c>
      <c r="C2339" s="2" t="s">
        <v>9044</v>
      </c>
      <c r="D2339" s="2" t="s">
        <v>9045</v>
      </c>
      <c r="E2339" s="2" t="s">
        <v>9046</v>
      </c>
      <c r="F2339" s="2" t="b">
        <v>1</v>
      </c>
      <c r="G2339" s="2" t="b">
        <v>0</v>
      </c>
      <c r="H2339" s="2" t="s">
        <v>9047</v>
      </c>
      <c r="I2339" s="2" t="s">
        <v>22</v>
      </c>
      <c r="J2339" s="2" t="s">
        <v>59</v>
      </c>
      <c r="K2339" s="2" t="s">
        <v>24</v>
      </c>
      <c r="L2339" s="13" t="s">
        <v>51</v>
      </c>
      <c r="M2339" s="2" t="s">
        <v>26</v>
      </c>
      <c r="N2339" s="24" t="s">
        <v>9048</v>
      </c>
      <c r="O2339" s="12" t="s">
        <v>53</v>
      </c>
      <c r="P2339" s="5" t="str">
        <f>IFERROR(__xludf.DUMMYFUNCTION("TEXTJOIN("" | "",TRUE,IF(OR(D2339="""",E2339="""",I2339="""",J2339="""",H2339=""""),""ফাঁকা ঘর"",""""),IF(AND(C2339&lt;&gt;"""",D2339&lt;&gt;"""",C2339=D2339),""gloss=figurative"",""""),IF(LEN(D2339)&lt;15,""figurative ছোট"",""""),IF(AND(I2339=""Positive"",REGEXMATCH(H2"&amp;"339,""মূর্খ|ভণ্ড|প্রতার|অলস|লোভ|স্বার্থ|অক্ষম|অযোগ্য|বোকা|কৃপণ|হিংস"")),""valence-target অমিল"",""""),IF(COUNTIF($B:$B,B2339)&gt;1,""ডুপ্লিকেট"",""""))"),"")</f>
        <v/>
      </c>
      <c r="Q2339" s="5" t="str">
        <f t="shared" si="1"/>
        <v>২ পরে</v>
      </c>
    </row>
    <row r="2340">
      <c r="A2340" s="4">
        <v>74.0</v>
      </c>
      <c r="B2340" s="2" t="s">
        <v>9049</v>
      </c>
      <c r="C2340" s="2" t="s">
        <v>4768</v>
      </c>
      <c r="D2340" s="2" t="s">
        <v>9050</v>
      </c>
      <c r="E2340" s="2" t="s">
        <v>9051</v>
      </c>
      <c r="F2340" s="2" t="b">
        <v>1</v>
      </c>
      <c r="G2340" s="2" t="b">
        <v>0</v>
      </c>
      <c r="H2340" s="2" t="s">
        <v>37</v>
      </c>
      <c r="I2340" s="2" t="s">
        <v>32</v>
      </c>
      <c r="J2340" s="2" t="s">
        <v>9037</v>
      </c>
      <c r="K2340" s="2" t="s">
        <v>24</v>
      </c>
      <c r="L2340" s="13" t="s">
        <v>51</v>
      </c>
      <c r="M2340" s="2" t="s">
        <v>26</v>
      </c>
      <c r="N2340" s="24" t="s">
        <v>9052</v>
      </c>
      <c r="O2340" s="12" t="s">
        <v>53</v>
      </c>
      <c r="P2340" s="5" t="str">
        <f>IFERROR(__xludf.DUMMYFUNCTION("TEXTJOIN("" | "",TRUE,IF(OR(D2340="""",E2340="""",I2340="""",J2340="""",H2340=""""),""ফাঁকা ঘর"",""""),IF(AND(C2340&lt;&gt;"""",D2340&lt;&gt;"""",C2340=D2340),""gloss=figurative"",""""),IF(LEN(D2340)&lt;15,""figurative ছোট"",""""),IF(AND(I2340=""Positive"",REGEXMATCH(H2"&amp;"340,""মূর্খ|ভণ্ড|প্রতার|অলস|লোভ|স্বার্থ|অক্ষম|অযোগ্য|বোকা|কৃপণ|হিংস"")),""valence-target অমিল"",""""),IF(COUNTIF($B:$B,B2340)&gt;1,""ডুপ্লিকেট"",""""))"),"")</f>
        <v/>
      </c>
      <c r="Q2340" s="5" t="str">
        <f t="shared" si="1"/>
        <v>২ পরে</v>
      </c>
    </row>
    <row r="2341">
      <c r="A2341" s="4">
        <v>75.0</v>
      </c>
      <c r="B2341" s="2" t="s">
        <v>9053</v>
      </c>
      <c r="C2341" s="2" t="s">
        <v>9054</v>
      </c>
      <c r="D2341" s="2" t="s">
        <v>9055</v>
      </c>
      <c r="E2341" s="2" t="s">
        <v>9056</v>
      </c>
      <c r="F2341" s="2" t="b">
        <v>1</v>
      </c>
      <c r="G2341" s="2" t="b">
        <v>0</v>
      </c>
      <c r="H2341" s="2" t="s">
        <v>9057</v>
      </c>
      <c r="I2341" s="2" t="s">
        <v>22</v>
      </c>
      <c r="J2341" s="2" t="s">
        <v>59</v>
      </c>
      <c r="K2341" s="2" t="s">
        <v>24</v>
      </c>
      <c r="L2341" s="13" t="s">
        <v>51</v>
      </c>
      <c r="M2341" s="2" t="s">
        <v>26</v>
      </c>
      <c r="N2341" s="24" t="s">
        <v>9058</v>
      </c>
      <c r="O2341" s="12" t="s">
        <v>53</v>
      </c>
      <c r="P2341" s="5" t="str">
        <f>IFERROR(__xludf.DUMMYFUNCTION("TEXTJOIN("" | "",TRUE,IF(OR(D2341="""",E2341="""",I2341="""",J2341="""",H2341=""""),""ফাঁকা ঘর"",""""),IF(AND(C2341&lt;&gt;"""",D2341&lt;&gt;"""",C2341=D2341),""gloss=figurative"",""""),IF(LEN(D2341)&lt;15,""figurative ছোট"",""""),IF(AND(I2341=""Positive"",REGEXMATCH(H2"&amp;"341,""মূর্খ|ভণ্ড|প্রতার|অলস|লোভ|স্বার্থ|অক্ষম|অযোগ্য|বোকা|কৃপণ|হিংস"")),""valence-target অমিল"",""""),IF(COUNTIF($B:$B,B2341)&gt;1,""ডুপ্লিকেট"",""""))"),"")</f>
        <v/>
      </c>
      <c r="Q2341" s="5" t="str">
        <f t="shared" si="1"/>
        <v>২ পরে</v>
      </c>
    </row>
    <row r="2342">
      <c r="A2342" s="4">
        <v>76.0</v>
      </c>
      <c r="B2342" s="2" t="s">
        <v>9059</v>
      </c>
      <c r="C2342" s="2" t="s">
        <v>9060</v>
      </c>
      <c r="D2342" s="2" t="s">
        <v>9061</v>
      </c>
      <c r="E2342" s="2" t="s">
        <v>9062</v>
      </c>
      <c r="F2342" s="2" t="b">
        <v>1</v>
      </c>
      <c r="G2342" s="2" t="b">
        <v>0</v>
      </c>
      <c r="H2342" s="2" t="s">
        <v>37</v>
      </c>
      <c r="I2342" s="2" t="s">
        <v>32</v>
      </c>
      <c r="J2342" s="2" t="s">
        <v>8973</v>
      </c>
      <c r="K2342" s="2" t="s">
        <v>24</v>
      </c>
      <c r="L2342" s="13" t="s">
        <v>51</v>
      </c>
      <c r="M2342" s="2" t="s">
        <v>26</v>
      </c>
      <c r="N2342" s="24" t="s">
        <v>8793</v>
      </c>
      <c r="O2342" s="12" t="s">
        <v>53</v>
      </c>
      <c r="P2342" s="5" t="str">
        <f>IFERROR(__xludf.DUMMYFUNCTION("TEXTJOIN("" | "",TRUE,IF(OR(D2342="""",E2342="""",I2342="""",J2342="""",H2342=""""),""ফাঁকা ঘর"",""""),IF(AND(C2342&lt;&gt;"""",D2342&lt;&gt;"""",C2342=D2342),""gloss=figurative"",""""),IF(LEN(D2342)&lt;15,""figurative ছোট"",""""),IF(AND(I2342=""Positive"",REGEXMATCH(H2"&amp;"342,""মূর্খ|ভণ্ড|প্রতার|অলস|লোভ|স্বার্থ|অক্ষম|অযোগ্য|বোকা|কৃপণ|হিংস"")),""valence-target অমিল"",""""),IF(COUNTIF($B:$B,B2342)&gt;1,""ডুপ্লিকেট"",""""))"),"")</f>
        <v/>
      </c>
      <c r="Q2342" s="5" t="str">
        <f t="shared" si="1"/>
        <v>২ পরে</v>
      </c>
    </row>
    <row r="2343">
      <c r="A2343" s="4">
        <v>78.0</v>
      </c>
      <c r="B2343" s="2" t="s">
        <v>9063</v>
      </c>
      <c r="C2343" s="2" t="s">
        <v>1322</v>
      </c>
      <c r="D2343" s="2" t="s">
        <v>9064</v>
      </c>
      <c r="E2343" s="2" t="s">
        <v>9065</v>
      </c>
      <c r="F2343" s="2" t="b">
        <v>1</v>
      </c>
      <c r="G2343" s="2" t="b">
        <v>0</v>
      </c>
      <c r="H2343" s="2" t="s">
        <v>37</v>
      </c>
      <c r="I2343" s="2" t="s">
        <v>32</v>
      </c>
      <c r="J2343" s="2" t="s">
        <v>9066</v>
      </c>
      <c r="K2343" s="2" t="s">
        <v>24</v>
      </c>
      <c r="L2343" s="13" t="s">
        <v>51</v>
      </c>
      <c r="M2343" s="2" t="s">
        <v>26</v>
      </c>
      <c r="N2343" s="24" t="s">
        <v>9067</v>
      </c>
      <c r="O2343" s="12" t="s">
        <v>53</v>
      </c>
      <c r="P2343" s="5" t="str">
        <f>IFERROR(__xludf.DUMMYFUNCTION("TEXTJOIN("" | "",TRUE,IF(OR(D2343="""",E2343="""",I2343="""",J2343="""",H2343=""""),""ফাঁকা ঘর"",""""),IF(AND(C2343&lt;&gt;"""",D2343&lt;&gt;"""",C2343=D2343),""gloss=figurative"",""""),IF(LEN(D2343)&lt;15,""figurative ছোট"",""""),IF(AND(I2343=""Positive"",REGEXMATCH(H2"&amp;"343,""মূর্খ|ভণ্ড|প্রতার|অলস|লোভ|স্বার্থ|অক্ষম|অযোগ্য|বোকা|কৃপণ|হিংস"")),""valence-target অমিল"",""""),IF(COUNTIF($B:$B,B2343)&gt;1,""ডুপ্লিকেট"",""""))"),"")</f>
        <v/>
      </c>
      <c r="Q2343" s="5" t="str">
        <f t="shared" si="1"/>
        <v>২ পরে</v>
      </c>
    </row>
    <row r="2344">
      <c r="A2344" s="4">
        <v>79.0</v>
      </c>
      <c r="B2344" s="2" t="s">
        <v>9068</v>
      </c>
      <c r="C2344" s="2" t="s">
        <v>9069</v>
      </c>
      <c r="D2344" s="2" t="s">
        <v>9070</v>
      </c>
      <c r="E2344" s="2" t="s">
        <v>9071</v>
      </c>
      <c r="F2344" s="2" t="b">
        <v>1</v>
      </c>
      <c r="G2344" s="2" t="b">
        <v>0</v>
      </c>
      <c r="H2344" s="2" t="s">
        <v>110</v>
      </c>
      <c r="I2344" s="2" t="s">
        <v>22</v>
      </c>
      <c r="J2344" s="2" t="s">
        <v>59</v>
      </c>
      <c r="K2344" s="2" t="s">
        <v>24</v>
      </c>
      <c r="L2344" s="13" t="s">
        <v>51</v>
      </c>
      <c r="M2344" s="2" t="s">
        <v>26</v>
      </c>
      <c r="N2344" s="24" t="s">
        <v>8793</v>
      </c>
      <c r="O2344" s="12" t="s">
        <v>53</v>
      </c>
      <c r="P2344" s="5" t="str">
        <f>IFERROR(__xludf.DUMMYFUNCTION("TEXTJOIN("" | "",TRUE,IF(OR(D2344="""",E2344="""",I2344="""",J2344="""",H2344=""""),""ফাঁকা ঘর"",""""),IF(AND(C2344&lt;&gt;"""",D2344&lt;&gt;"""",C2344=D2344),""gloss=figurative"",""""),IF(LEN(D2344)&lt;15,""figurative ছোট"",""""),IF(AND(I2344=""Positive"",REGEXMATCH(H2"&amp;"344,""মূর্খ|ভণ্ড|প্রতার|অলস|লোভ|স্বার্থ|অক্ষম|অযোগ্য|বোকা|কৃপণ|হিংস"")),""valence-target অমিল"",""""),IF(COUNTIF($B:$B,B2344)&gt;1,""ডুপ্লিকেট"",""""))"),"")</f>
        <v/>
      </c>
      <c r="Q2344" s="5" t="str">
        <f t="shared" si="1"/>
        <v>২ পরে</v>
      </c>
    </row>
    <row r="2345">
      <c r="A2345" s="4">
        <v>80.0</v>
      </c>
      <c r="B2345" s="2" t="s">
        <v>9072</v>
      </c>
      <c r="C2345" s="2" t="s">
        <v>9073</v>
      </c>
      <c r="D2345" s="2" t="s">
        <v>9074</v>
      </c>
      <c r="E2345" s="2" t="s">
        <v>9075</v>
      </c>
      <c r="F2345" s="2" t="b">
        <v>1</v>
      </c>
      <c r="G2345" s="2" t="b">
        <v>0</v>
      </c>
      <c r="H2345" s="2" t="s">
        <v>37</v>
      </c>
      <c r="I2345" s="2" t="s">
        <v>32</v>
      </c>
      <c r="J2345" s="2" t="s">
        <v>9037</v>
      </c>
      <c r="K2345" s="2" t="s">
        <v>24</v>
      </c>
      <c r="L2345" s="13" t="s">
        <v>51</v>
      </c>
      <c r="M2345" s="2" t="s">
        <v>26</v>
      </c>
      <c r="N2345" s="24" t="s">
        <v>8793</v>
      </c>
      <c r="O2345" s="12" t="s">
        <v>53</v>
      </c>
      <c r="P2345" s="5" t="str">
        <f>IFERROR(__xludf.DUMMYFUNCTION("TEXTJOIN("" | "",TRUE,IF(OR(D2345="""",E2345="""",I2345="""",J2345="""",H2345=""""),""ফাঁকা ঘর"",""""),IF(AND(C2345&lt;&gt;"""",D2345&lt;&gt;"""",C2345=D2345),""gloss=figurative"",""""),IF(LEN(D2345)&lt;15,""figurative ছোট"",""""),IF(AND(I2345=""Positive"",REGEXMATCH(H2"&amp;"345,""মূর্খ|ভণ্ড|প্রতার|অলস|লোভ|স্বার্থ|অক্ষম|অযোগ্য|বোকা|কৃপণ|হিংস"")),""valence-target অমিল"",""""),IF(COUNTIF($B:$B,B2345)&gt;1,""ডুপ্লিকেট"",""""))"),"")</f>
        <v/>
      </c>
      <c r="Q2345" s="5" t="str">
        <f t="shared" si="1"/>
        <v>২ পরে</v>
      </c>
    </row>
    <row r="2346">
      <c r="A2346" s="4">
        <v>81.0</v>
      </c>
      <c r="B2346" s="2" t="s">
        <v>9076</v>
      </c>
      <c r="C2346" s="2" t="s">
        <v>9077</v>
      </c>
      <c r="D2346" s="2" t="s">
        <v>9078</v>
      </c>
      <c r="E2346" s="2" t="s">
        <v>9079</v>
      </c>
      <c r="F2346" s="2" t="b">
        <v>1</v>
      </c>
      <c r="G2346" s="2" t="b">
        <v>0</v>
      </c>
      <c r="H2346" s="2" t="s">
        <v>37</v>
      </c>
      <c r="I2346" s="2" t="s">
        <v>49</v>
      </c>
      <c r="J2346" s="2" t="s">
        <v>9037</v>
      </c>
      <c r="K2346" s="2" t="s">
        <v>24</v>
      </c>
      <c r="L2346" s="13" t="s">
        <v>51</v>
      </c>
      <c r="M2346" s="2" t="s">
        <v>26</v>
      </c>
      <c r="N2346" s="24" t="s">
        <v>8793</v>
      </c>
      <c r="O2346" s="12" t="s">
        <v>53</v>
      </c>
      <c r="P2346" s="5" t="str">
        <f>IFERROR(__xludf.DUMMYFUNCTION("TEXTJOIN("" | "",TRUE,IF(OR(D2346="""",E2346="""",I2346="""",J2346="""",H2346=""""),""ফাঁকা ঘর"",""""),IF(AND(C2346&lt;&gt;"""",D2346&lt;&gt;"""",C2346=D2346),""gloss=figurative"",""""),IF(LEN(D2346)&lt;15,""figurative ছোট"",""""),IF(AND(I2346=""Positive"",REGEXMATCH(H2"&amp;"346,""মূর্খ|ভণ্ড|প্রতার|অলস|লোভ|স্বার্থ|অক্ষম|অযোগ্য|বোকা|কৃপণ|হিংস"")),""valence-target অমিল"",""""),IF(COUNTIF($B:$B,B2346)&gt;1,""ডুপ্লিকেট"",""""))"),"")</f>
        <v/>
      </c>
      <c r="Q2346" s="5" t="str">
        <f t="shared" si="1"/>
        <v>২ পরে</v>
      </c>
    </row>
    <row r="2347">
      <c r="A2347" s="4">
        <v>82.0</v>
      </c>
      <c r="B2347" s="2" t="s">
        <v>9080</v>
      </c>
      <c r="C2347" s="2" t="s">
        <v>9081</v>
      </c>
      <c r="D2347" s="2" t="s">
        <v>9082</v>
      </c>
      <c r="E2347" s="2" t="s">
        <v>9083</v>
      </c>
      <c r="F2347" s="2" t="b">
        <v>1</v>
      </c>
      <c r="G2347" s="2" t="b">
        <v>0</v>
      </c>
      <c r="H2347" s="2" t="s">
        <v>9084</v>
      </c>
      <c r="I2347" s="2" t="s">
        <v>22</v>
      </c>
      <c r="J2347" s="2" t="s">
        <v>59</v>
      </c>
      <c r="K2347" s="2" t="s">
        <v>24</v>
      </c>
      <c r="L2347" s="13" t="s">
        <v>51</v>
      </c>
      <c r="M2347" s="2" t="s">
        <v>26</v>
      </c>
      <c r="N2347" s="24" t="s">
        <v>8793</v>
      </c>
      <c r="O2347" s="12" t="s">
        <v>53</v>
      </c>
      <c r="P2347" s="5" t="str">
        <f>IFERROR(__xludf.DUMMYFUNCTION("TEXTJOIN("" | "",TRUE,IF(OR(D2347="""",E2347="""",I2347="""",J2347="""",H2347=""""),""ফাঁকা ঘর"",""""),IF(AND(C2347&lt;&gt;"""",D2347&lt;&gt;"""",C2347=D2347),""gloss=figurative"",""""),IF(LEN(D2347)&lt;15,""figurative ছোট"",""""),IF(AND(I2347=""Positive"",REGEXMATCH(H2"&amp;"347,""মূর্খ|ভণ্ড|প্রতার|অলস|লোভ|স্বার্থ|অক্ষম|অযোগ্য|বোকা|কৃপণ|হিংস"")),""valence-target অমিল"",""""),IF(COUNTIF($B:$B,B2347)&gt;1,""ডুপ্লিকেট"",""""))"),"")</f>
        <v/>
      </c>
      <c r="Q2347" s="5" t="str">
        <f t="shared" si="1"/>
        <v>২ পরে</v>
      </c>
    </row>
    <row r="2348">
      <c r="A2348" s="4">
        <v>83.0</v>
      </c>
      <c r="B2348" s="2" t="s">
        <v>9085</v>
      </c>
      <c r="C2348" s="2" t="s">
        <v>9086</v>
      </c>
      <c r="D2348" s="2" t="s">
        <v>9087</v>
      </c>
      <c r="E2348" s="2" t="s">
        <v>5049</v>
      </c>
      <c r="F2348" s="2" t="b">
        <v>1</v>
      </c>
      <c r="G2348" s="2" t="b">
        <v>0</v>
      </c>
      <c r="H2348" s="2" t="s">
        <v>37</v>
      </c>
      <c r="I2348" s="2" t="s">
        <v>32</v>
      </c>
      <c r="J2348" s="2" t="s">
        <v>8973</v>
      </c>
      <c r="K2348" s="2" t="s">
        <v>24</v>
      </c>
      <c r="L2348" s="13" t="s">
        <v>51</v>
      </c>
      <c r="M2348" s="2" t="s">
        <v>26</v>
      </c>
      <c r="N2348" s="24" t="s">
        <v>9088</v>
      </c>
      <c r="O2348" s="12" t="s">
        <v>53</v>
      </c>
      <c r="P2348" s="5" t="str">
        <f>IFERROR(__xludf.DUMMYFUNCTION("TEXTJOIN("" | "",TRUE,IF(OR(D2348="""",E2348="""",I2348="""",J2348="""",H2348=""""),""ফাঁকা ঘর"",""""),IF(AND(C2348&lt;&gt;"""",D2348&lt;&gt;"""",C2348=D2348),""gloss=figurative"",""""),IF(LEN(D2348)&lt;15,""figurative ছোট"",""""),IF(AND(I2348=""Positive"",REGEXMATCH(H2"&amp;"348,""মূর্খ|ভণ্ড|প্রতার|অলস|লোভ|স্বার্থ|অক্ষম|অযোগ্য|বোকা|কৃপণ|হিংস"")),""valence-target অমিল"",""""),IF(COUNTIF($B:$B,B2348)&gt;1,""ডুপ্লিকেট"",""""))"),"")</f>
        <v/>
      </c>
      <c r="Q2348" s="5" t="str">
        <f t="shared" si="1"/>
        <v>২ পরে</v>
      </c>
    </row>
    <row r="2349">
      <c r="A2349" s="4">
        <v>84.0</v>
      </c>
      <c r="B2349" s="2" t="s">
        <v>9089</v>
      </c>
      <c r="C2349" s="2" t="s">
        <v>9090</v>
      </c>
      <c r="D2349" s="2" t="s">
        <v>9091</v>
      </c>
      <c r="E2349" s="2" t="s">
        <v>9092</v>
      </c>
      <c r="F2349" s="2" t="b">
        <v>1</v>
      </c>
      <c r="G2349" s="2" t="b">
        <v>0</v>
      </c>
      <c r="H2349" s="2" t="s">
        <v>37</v>
      </c>
      <c r="I2349" s="2" t="s">
        <v>49</v>
      </c>
      <c r="J2349" s="2" t="s">
        <v>9037</v>
      </c>
      <c r="K2349" s="2" t="s">
        <v>24</v>
      </c>
      <c r="L2349" s="13" t="s">
        <v>51</v>
      </c>
      <c r="M2349" s="2" t="s">
        <v>26</v>
      </c>
      <c r="N2349" s="24" t="s">
        <v>8793</v>
      </c>
      <c r="O2349" s="12" t="s">
        <v>53</v>
      </c>
      <c r="P2349" s="5" t="str">
        <f>IFERROR(__xludf.DUMMYFUNCTION("TEXTJOIN("" | "",TRUE,IF(OR(D2349="""",E2349="""",I2349="""",J2349="""",H2349=""""),""ফাঁকা ঘর"",""""),IF(AND(C2349&lt;&gt;"""",D2349&lt;&gt;"""",C2349=D2349),""gloss=figurative"",""""),IF(LEN(D2349)&lt;15,""figurative ছোট"",""""),IF(AND(I2349=""Positive"",REGEXMATCH(H2"&amp;"349,""মূর্খ|ভণ্ড|প্রতার|অলস|লোভ|স্বার্থ|অক্ষম|অযোগ্য|বোকা|কৃপণ|হিংস"")),""valence-target অমিল"",""""),IF(COUNTIF($B:$B,B2349)&gt;1,""ডুপ্লিকেট"",""""))"),"")</f>
        <v/>
      </c>
      <c r="Q2349" s="5" t="str">
        <f t="shared" si="1"/>
        <v>২ পরে</v>
      </c>
    </row>
    <row r="2350">
      <c r="A2350" s="4">
        <v>85.0</v>
      </c>
      <c r="B2350" s="2" t="s">
        <v>9093</v>
      </c>
      <c r="C2350" s="2" t="s">
        <v>9094</v>
      </c>
      <c r="D2350" s="2" t="s">
        <v>9095</v>
      </c>
      <c r="E2350" s="2" t="s">
        <v>400</v>
      </c>
      <c r="F2350" s="2" t="b">
        <v>1</v>
      </c>
      <c r="G2350" s="2" t="b">
        <v>0</v>
      </c>
      <c r="H2350" s="2" t="s">
        <v>8837</v>
      </c>
      <c r="I2350" s="2" t="s">
        <v>49</v>
      </c>
      <c r="J2350" s="2" t="s">
        <v>59</v>
      </c>
      <c r="K2350" s="2" t="s">
        <v>24</v>
      </c>
      <c r="L2350" s="13" t="s">
        <v>51</v>
      </c>
      <c r="M2350" s="2" t="s">
        <v>26</v>
      </c>
      <c r="N2350" s="24" t="s">
        <v>8793</v>
      </c>
      <c r="O2350" s="12" t="s">
        <v>53</v>
      </c>
      <c r="P2350" s="5" t="str">
        <f>IFERROR(__xludf.DUMMYFUNCTION("TEXTJOIN("" | "",TRUE,IF(OR(D2350="""",E2350="""",I2350="""",J2350="""",H2350=""""),""ফাঁকা ঘর"",""""),IF(AND(C2350&lt;&gt;"""",D2350&lt;&gt;"""",C2350=D2350),""gloss=figurative"",""""),IF(LEN(D2350)&lt;15,""figurative ছোট"",""""),IF(AND(I2350=""Positive"",REGEXMATCH(H2"&amp;"350,""মূর্খ|ভণ্ড|প্রতার|অলস|লোভ|স্বার্থ|অক্ষম|অযোগ্য|বোকা|কৃপণ|হিংস"")),""valence-target অমিল"",""""),IF(COUNTIF($B:$B,B2350)&gt;1,""ডুপ্লিকেট"",""""))"),"")</f>
        <v/>
      </c>
      <c r="Q2350" s="5" t="str">
        <f t="shared" si="1"/>
        <v>২ পরে</v>
      </c>
    </row>
    <row r="2351">
      <c r="A2351" s="4">
        <v>86.0</v>
      </c>
      <c r="B2351" s="2" t="s">
        <v>9096</v>
      </c>
      <c r="C2351" s="2" t="s">
        <v>9097</v>
      </c>
      <c r="D2351" s="2" t="s">
        <v>9098</v>
      </c>
      <c r="E2351" s="2" t="s">
        <v>9099</v>
      </c>
      <c r="F2351" s="2" t="b">
        <v>1</v>
      </c>
      <c r="G2351" s="2" t="b">
        <v>0</v>
      </c>
      <c r="H2351" s="2" t="s">
        <v>37</v>
      </c>
      <c r="I2351" s="2" t="s">
        <v>49</v>
      </c>
      <c r="J2351" s="2" t="s">
        <v>9037</v>
      </c>
      <c r="K2351" s="2" t="s">
        <v>24</v>
      </c>
      <c r="L2351" s="13" t="s">
        <v>51</v>
      </c>
      <c r="M2351" s="2" t="s">
        <v>26</v>
      </c>
      <c r="N2351" s="25" t="s">
        <v>9100</v>
      </c>
      <c r="O2351" s="12" t="s">
        <v>53</v>
      </c>
      <c r="P2351" s="5" t="str">
        <f>IFERROR(__xludf.DUMMYFUNCTION("TEXTJOIN("" | "",TRUE,IF(OR(D2351="""",E2351="""",I2351="""",J2351="""",H2351=""""),""ফাঁকা ঘর"",""""),IF(AND(C2351&lt;&gt;"""",D2351&lt;&gt;"""",C2351=D2351),""gloss=figurative"",""""),IF(LEN(D2351)&lt;15,""figurative ছোট"",""""),IF(AND(I2351=""Positive"",REGEXMATCH(H2"&amp;"351,""মূর্খ|ভণ্ড|প্রতার|অলস|লোভ|স্বার্থ|অক্ষম|অযোগ্য|বোকা|কৃপণ|হিংস"")),""valence-target অমিল"",""""),IF(COUNTIF($B:$B,B2351)&gt;1,""ডুপ্লিকেট"",""""))"),"")</f>
        <v/>
      </c>
      <c r="Q2351" s="5" t="str">
        <f t="shared" si="1"/>
        <v>২ পরে</v>
      </c>
    </row>
    <row r="2352">
      <c r="A2352" s="4">
        <v>87.0</v>
      </c>
      <c r="B2352" s="2" t="s">
        <v>9101</v>
      </c>
      <c r="C2352" s="2" t="s">
        <v>9102</v>
      </c>
      <c r="D2352" s="2" t="s">
        <v>9103</v>
      </c>
      <c r="E2352" s="2" t="s">
        <v>5263</v>
      </c>
      <c r="F2352" s="2" t="b">
        <v>1</v>
      </c>
      <c r="G2352" s="2" t="b">
        <v>0</v>
      </c>
      <c r="H2352" s="2" t="s">
        <v>37</v>
      </c>
      <c r="I2352" s="2" t="s">
        <v>49</v>
      </c>
      <c r="J2352" s="2" t="s">
        <v>9037</v>
      </c>
      <c r="K2352" s="2" t="s">
        <v>24</v>
      </c>
      <c r="L2352" s="13" t="s">
        <v>51</v>
      </c>
      <c r="M2352" s="2" t="s">
        <v>26</v>
      </c>
      <c r="N2352" s="25" t="s">
        <v>9104</v>
      </c>
      <c r="O2352" s="12" t="s">
        <v>53</v>
      </c>
      <c r="P2352" s="5" t="str">
        <f>IFERROR(__xludf.DUMMYFUNCTION("TEXTJOIN("" | "",TRUE,IF(OR(D2352="""",E2352="""",I2352="""",J2352="""",H2352=""""),""ফাঁকা ঘর"",""""),IF(AND(C2352&lt;&gt;"""",D2352&lt;&gt;"""",C2352=D2352),""gloss=figurative"",""""),IF(LEN(D2352)&lt;15,""figurative ছোট"",""""),IF(AND(I2352=""Positive"",REGEXMATCH(H2"&amp;"352,""মূর্খ|ভণ্ড|প্রতার|অলস|লোভ|স্বার্থ|অক্ষম|অযোগ্য|বোকা|কৃপণ|হিংস"")),""valence-target অমিল"",""""),IF(COUNTIF($B:$B,B2352)&gt;1,""ডুপ্লিকেট"",""""))"),"")</f>
        <v/>
      </c>
      <c r="Q2352" s="5" t="str">
        <f t="shared" si="1"/>
        <v>২ পরে</v>
      </c>
    </row>
    <row r="2353">
      <c r="A2353" s="4">
        <v>88.0</v>
      </c>
      <c r="B2353" s="2" t="s">
        <v>9105</v>
      </c>
      <c r="C2353" s="2" t="s">
        <v>9106</v>
      </c>
      <c r="D2353" s="2" t="s">
        <v>9107</v>
      </c>
      <c r="E2353" s="2" t="s">
        <v>9108</v>
      </c>
      <c r="F2353" s="2" t="b">
        <v>1</v>
      </c>
      <c r="G2353" s="2" t="b">
        <v>0</v>
      </c>
      <c r="H2353" s="2" t="s">
        <v>37</v>
      </c>
      <c r="I2353" s="2" t="s">
        <v>49</v>
      </c>
      <c r="J2353" s="2" t="s">
        <v>1008</v>
      </c>
      <c r="K2353" s="2" t="s">
        <v>24</v>
      </c>
      <c r="L2353" s="13" t="s">
        <v>51</v>
      </c>
      <c r="M2353" s="2" t="s">
        <v>26</v>
      </c>
      <c r="N2353" s="24" t="s">
        <v>8793</v>
      </c>
      <c r="O2353" s="12" t="s">
        <v>53</v>
      </c>
      <c r="P2353" s="5" t="str">
        <f>IFERROR(__xludf.DUMMYFUNCTION("TEXTJOIN("" | "",TRUE,IF(OR(D2353="""",E2353="""",I2353="""",J2353="""",H2353=""""),""ফাঁকা ঘর"",""""),IF(AND(C2353&lt;&gt;"""",D2353&lt;&gt;"""",C2353=D2353),""gloss=figurative"",""""),IF(LEN(D2353)&lt;15,""figurative ছোট"",""""),IF(AND(I2353=""Positive"",REGEXMATCH(H2"&amp;"353,""মূর্খ|ভণ্ড|প্রতার|অলস|লোভ|স্বার্থ|অক্ষম|অযোগ্য|বোকা|কৃপণ|হিংস"")),""valence-target অমিল"",""""),IF(COUNTIF($B:$B,B2353)&gt;1,""ডুপ্লিকেট"",""""))"),"")</f>
        <v/>
      </c>
      <c r="Q2353" s="5" t="str">
        <f t="shared" si="1"/>
        <v>২ পরে</v>
      </c>
    </row>
    <row r="2354">
      <c r="A2354" s="4">
        <v>90.0</v>
      </c>
      <c r="B2354" s="2" t="s">
        <v>9109</v>
      </c>
      <c r="C2354" s="2" t="s">
        <v>9110</v>
      </c>
      <c r="D2354" s="2" t="s">
        <v>9111</v>
      </c>
      <c r="E2354" s="2" t="s">
        <v>9112</v>
      </c>
      <c r="F2354" s="2" t="b">
        <v>1</v>
      </c>
      <c r="G2354" s="2" t="b">
        <v>0</v>
      </c>
      <c r="H2354" s="2" t="s">
        <v>8848</v>
      </c>
      <c r="I2354" s="2" t="s">
        <v>32</v>
      </c>
      <c r="J2354" s="2" t="s">
        <v>123</v>
      </c>
      <c r="K2354" s="2" t="s">
        <v>24</v>
      </c>
      <c r="L2354" s="13" t="s">
        <v>51</v>
      </c>
      <c r="M2354" s="2" t="s">
        <v>26</v>
      </c>
      <c r="N2354" s="24" t="s">
        <v>8793</v>
      </c>
      <c r="O2354" s="12" t="s">
        <v>53</v>
      </c>
      <c r="P2354" s="5" t="str">
        <f>IFERROR(__xludf.DUMMYFUNCTION("TEXTJOIN("" | "",TRUE,IF(OR(D2354="""",E2354="""",I2354="""",J2354="""",H2354=""""),""ফাঁকা ঘর"",""""),IF(AND(C2354&lt;&gt;"""",D2354&lt;&gt;"""",C2354=D2354),""gloss=figurative"",""""),IF(LEN(D2354)&lt;15,""figurative ছোট"",""""),IF(AND(I2354=""Positive"",REGEXMATCH(H2"&amp;"354,""মূর্খ|ভণ্ড|প্রতার|অলস|লোভ|স্বার্থ|অক্ষম|অযোগ্য|বোকা|কৃপণ|হিংস"")),""valence-target অমিল"",""""),IF(COUNTIF($B:$B,B2354)&gt;1,""ডুপ্লিকেট"",""""))"),"")</f>
        <v/>
      </c>
      <c r="Q2354" s="5" t="str">
        <f t="shared" si="1"/>
        <v>২ পরে</v>
      </c>
    </row>
    <row r="2355">
      <c r="A2355" s="4">
        <v>91.0</v>
      </c>
      <c r="B2355" s="2" t="s">
        <v>9113</v>
      </c>
      <c r="C2355" s="2" t="s">
        <v>9114</v>
      </c>
      <c r="D2355" s="2" t="s">
        <v>9115</v>
      </c>
      <c r="E2355" s="2" t="s">
        <v>9116</v>
      </c>
      <c r="F2355" s="2" t="b">
        <v>1</v>
      </c>
      <c r="G2355" s="2" t="b">
        <v>0</v>
      </c>
      <c r="H2355" s="2" t="s">
        <v>89</v>
      </c>
      <c r="I2355" s="2" t="s">
        <v>22</v>
      </c>
      <c r="J2355" s="2" t="s">
        <v>225</v>
      </c>
      <c r="K2355" s="2" t="s">
        <v>24</v>
      </c>
      <c r="L2355" s="13" t="s">
        <v>51</v>
      </c>
      <c r="M2355" s="2" t="s">
        <v>26</v>
      </c>
      <c r="N2355" s="24" t="s">
        <v>8793</v>
      </c>
      <c r="O2355" s="12" t="s">
        <v>53</v>
      </c>
      <c r="P2355" s="5" t="str">
        <f>IFERROR(__xludf.DUMMYFUNCTION("TEXTJOIN("" | "",TRUE,IF(OR(D2355="""",E2355="""",I2355="""",J2355="""",H2355=""""),""ফাঁকা ঘর"",""""),IF(AND(C2355&lt;&gt;"""",D2355&lt;&gt;"""",C2355=D2355),""gloss=figurative"",""""),IF(LEN(D2355)&lt;15,""figurative ছোট"",""""),IF(AND(I2355=""Positive"",REGEXMATCH(H2"&amp;"355,""মূর্খ|ভণ্ড|প্রতার|অলস|লোভ|স্বার্থ|অক্ষম|অযোগ্য|বোকা|কৃপণ|হিংস"")),""valence-target অমিল"",""""),IF(COUNTIF($B:$B,B2355)&gt;1,""ডুপ্লিকেট"",""""))"),"")</f>
        <v/>
      </c>
      <c r="Q2355" s="5" t="str">
        <f t="shared" si="1"/>
        <v>২ পরে</v>
      </c>
    </row>
    <row r="2356">
      <c r="A2356" s="4">
        <v>92.0</v>
      </c>
      <c r="B2356" s="2" t="s">
        <v>9117</v>
      </c>
      <c r="C2356" s="2" t="s">
        <v>9118</v>
      </c>
      <c r="D2356" s="2" t="s">
        <v>9119</v>
      </c>
      <c r="E2356" s="2" t="s">
        <v>9120</v>
      </c>
      <c r="F2356" s="2" t="b">
        <v>1</v>
      </c>
      <c r="G2356" s="2" t="b">
        <v>0</v>
      </c>
      <c r="H2356" s="2" t="s">
        <v>189</v>
      </c>
      <c r="I2356" s="2" t="s">
        <v>22</v>
      </c>
      <c r="J2356" s="2" t="s">
        <v>59</v>
      </c>
      <c r="K2356" s="2" t="s">
        <v>24</v>
      </c>
      <c r="L2356" s="13" t="s">
        <v>51</v>
      </c>
      <c r="M2356" s="2" t="s">
        <v>26</v>
      </c>
      <c r="N2356" s="24" t="s">
        <v>8793</v>
      </c>
      <c r="O2356" s="12" t="s">
        <v>53</v>
      </c>
      <c r="P2356" s="5" t="str">
        <f>IFERROR(__xludf.DUMMYFUNCTION("TEXTJOIN("" | "",TRUE,IF(OR(D2356="""",E2356="""",I2356="""",J2356="""",H2356=""""),""ফাঁকা ঘর"",""""),IF(AND(C2356&lt;&gt;"""",D2356&lt;&gt;"""",C2356=D2356),""gloss=figurative"",""""),IF(LEN(D2356)&lt;15,""figurative ছোট"",""""),IF(AND(I2356=""Positive"",REGEXMATCH(H2"&amp;"356,""মূর্খ|ভণ্ড|প্রতার|অলস|লোভ|স্বার্থ|অক্ষম|অযোগ্য|বোকা|কৃপণ|হিংস"")),""valence-target অমিল"",""""),IF(COUNTIF($B:$B,B2356)&gt;1,""ডুপ্লিকেট"",""""))"),"")</f>
        <v/>
      </c>
      <c r="Q2356" s="5" t="str">
        <f t="shared" si="1"/>
        <v>২ পরে</v>
      </c>
    </row>
    <row r="2357">
      <c r="A2357" s="4">
        <v>93.0</v>
      </c>
      <c r="B2357" s="2" t="s">
        <v>9121</v>
      </c>
      <c r="C2357" s="2" t="s">
        <v>9122</v>
      </c>
      <c r="D2357" s="2" t="s">
        <v>9123</v>
      </c>
      <c r="E2357" s="2" t="s">
        <v>9124</v>
      </c>
      <c r="F2357" s="2" t="b">
        <v>1</v>
      </c>
      <c r="G2357" s="2" t="b">
        <v>0</v>
      </c>
      <c r="H2357" s="2" t="s">
        <v>9125</v>
      </c>
      <c r="I2357" s="2" t="s">
        <v>22</v>
      </c>
      <c r="J2357" s="2" t="s">
        <v>176</v>
      </c>
      <c r="K2357" s="2" t="s">
        <v>24</v>
      </c>
      <c r="L2357" s="13" t="s">
        <v>51</v>
      </c>
      <c r="M2357" s="2" t="s">
        <v>26</v>
      </c>
      <c r="N2357" s="24" t="s">
        <v>9126</v>
      </c>
      <c r="O2357" s="12" t="s">
        <v>53</v>
      </c>
      <c r="P2357" s="5" t="str">
        <f>IFERROR(__xludf.DUMMYFUNCTION("TEXTJOIN("" | "",TRUE,IF(OR(D2357="""",E2357="""",I2357="""",J2357="""",H2357=""""),""ফাঁকা ঘর"",""""),IF(AND(C2357&lt;&gt;"""",D2357&lt;&gt;"""",C2357=D2357),""gloss=figurative"",""""),IF(LEN(D2357)&lt;15,""figurative ছোট"",""""),IF(AND(I2357=""Positive"",REGEXMATCH(H2"&amp;"357,""মূর্খ|ভণ্ড|প্রতার|অলস|লোভ|স্বার্থ|অক্ষম|অযোগ্য|বোকা|কৃপণ|হিংস"")),""valence-target অমিল"",""""),IF(COUNTIF($B:$B,B2357)&gt;1,""ডুপ্লিকেট"",""""))"),"")</f>
        <v/>
      </c>
      <c r="Q2357" s="5" t="str">
        <f t="shared" si="1"/>
        <v>২ পরে</v>
      </c>
    </row>
    <row r="2358">
      <c r="A2358" s="4">
        <v>94.0</v>
      </c>
      <c r="B2358" s="2" t="s">
        <v>9127</v>
      </c>
      <c r="C2358" s="2" t="s">
        <v>9128</v>
      </c>
      <c r="D2358" s="2" t="s">
        <v>9129</v>
      </c>
      <c r="E2358" s="2" t="s">
        <v>9130</v>
      </c>
      <c r="F2358" s="2" t="b">
        <v>1</v>
      </c>
      <c r="G2358" s="2" t="b">
        <v>0</v>
      </c>
      <c r="H2358" s="2" t="s">
        <v>8786</v>
      </c>
      <c r="I2358" s="2" t="s">
        <v>49</v>
      </c>
      <c r="J2358" s="2" t="s">
        <v>9022</v>
      </c>
      <c r="K2358" s="2" t="s">
        <v>24</v>
      </c>
      <c r="L2358" s="13" t="s">
        <v>51</v>
      </c>
      <c r="M2358" s="2" t="s">
        <v>26</v>
      </c>
      <c r="N2358" s="24" t="s">
        <v>8793</v>
      </c>
      <c r="O2358" s="12" t="s">
        <v>53</v>
      </c>
      <c r="P2358" s="5" t="str">
        <f>IFERROR(__xludf.DUMMYFUNCTION("TEXTJOIN("" | "",TRUE,IF(OR(D2358="""",E2358="""",I2358="""",J2358="""",H2358=""""),""ফাঁকা ঘর"",""""),IF(AND(C2358&lt;&gt;"""",D2358&lt;&gt;"""",C2358=D2358),""gloss=figurative"",""""),IF(LEN(D2358)&lt;15,""figurative ছোট"",""""),IF(AND(I2358=""Positive"",REGEXMATCH(H2"&amp;"358,""মূর্খ|ভণ্ড|প্রতার|অলস|লোভ|স্বার্থ|অক্ষম|অযোগ্য|বোকা|কৃপণ|হিংস"")),""valence-target অমিল"",""""),IF(COUNTIF($B:$B,B2358)&gt;1,""ডুপ্লিকেট"",""""))"),"")</f>
        <v/>
      </c>
      <c r="Q2358" s="5" t="str">
        <f t="shared" si="1"/>
        <v>২ পরে</v>
      </c>
    </row>
    <row r="2359">
      <c r="A2359" s="4">
        <v>95.0</v>
      </c>
      <c r="B2359" s="2" t="s">
        <v>9131</v>
      </c>
      <c r="C2359" s="2" t="s">
        <v>9132</v>
      </c>
      <c r="D2359" s="2" t="s">
        <v>9133</v>
      </c>
      <c r="E2359" s="2" t="s">
        <v>9134</v>
      </c>
      <c r="F2359" s="2" t="b">
        <v>1</v>
      </c>
      <c r="G2359" s="2" t="b">
        <v>0</v>
      </c>
      <c r="H2359" s="2" t="s">
        <v>9135</v>
      </c>
      <c r="I2359" s="2" t="s">
        <v>32</v>
      </c>
      <c r="J2359" s="2" t="s">
        <v>9136</v>
      </c>
      <c r="K2359" s="2" t="s">
        <v>24</v>
      </c>
      <c r="L2359" s="13" t="s">
        <v>51</v>
      </c>
      <c r="M2359" s="2" t="s">
        <v>26</v>
      </c>
      <c r="N2359" s="24" t="s">
        <v>8793</v>
      </c>
      <c r="O2359" s="12" t="s">
        <v>53</v>
      </c>
      <c r="P2359" s="5" t="str">
        <f>IFERROR(__xludf.DUMMYFUNCTION("TEXTJOIN("" | "",TRUE,IF(OR(D2359="""",E2359="""",I2359="""",J2359="""",H2359=""""),""ফাঁকা ঘর"",""""),IF(AND(C2359&lt;&gt;"""",D2359&lt;&gt;"""",C2359=D2359),""gloss=figurative"",""""),IF(LEN(D2359)&lt;15,""figurative ছোট"",""""),IF(AND(I2359=""Positive"",REGEXMATCH(H2"&amp;"359,""মূর্খ|ভণ্ড|প্রতার|অলস|লোভ|স্বার্থ|অক্ষম|অযোগ্য|বোকা|কৃপণ|হিংস"")),""valence-target অমিল"",""""),IF(COUNTIF($B:$B,B2359)&gt;1,""ডুপ্লিকেট"",""""))"),"")</f>
        <v/>
      </c>
      <c r="Q2359" s="5" t="str">
        <f t="shared" si="1"/>
        <v>২ পরে</v>
      </c>
    </row>
    <row r="2360">
      <c r="A2360" s="4">
        <v>96.0</v>
      </c>
      <c r="B2360" s="2" t="s">
        <v>9137</v>
      </c>
      <c r="C2360" s="2" t="s">
        <v>9138</v>
      </c>
      <c r="D2360" s="2" t="s">
        <v>9139</v>
      </c>
      <c r="E2360" s="2" t="s">
        <v>9140</v>
      </c>
      <c r="F2360" s="2" t="b">
        <v>1</v>
      </c>
      <c r="G2360" s="2" t="b">
        <v>0</v>
      </c>
      <c r="H2360" s="2" t="s">
        <v>9141</v>
      </c>
      <c r="I2360" s="2" t="s">
        <v>32</v>
      </c>
      <c r="J2360" s="2" t="s">
        <v>1679</v>
      </c>
      <c r="K2360" s="2" t="s">
        <v>24</v>
      </c>
      <c r="L2360" s="13" t="s">
        <v>51</v>
      </c>
      <c r="M2360" s="2" t="s">
        <v>26</v>
      </c>
      <c r="N2360" s="24" t="s">
        <v>8793</v>
      </c>
      <c r="O2360" s="12" t="s">
        <v>53</v>
      </c>
      <c r="P2360" s="5" t="str">
        <f>IFERROR(__xludf.DUMMYFUNCTION("TEXTJOIN("" | "",TRUE,IF(OR(D2360="""",E2360="""",I2360="""",J2360="""",H2360=""""),""ফাঁকা ঘর"",""""),IF(AND(C2360&lt;&gt;"""",D2360&lt;&gt;"""",C2360=D2360),""gloss=figurative"",""""),IF(LEN(D2360)&lt;15,""figurative ছোট"",""""),IF(AND(I2360=""Positive"",REGEXMATCH(H2"&amp;"360,""মূর্খ|ভণ্ড|প্রতার|অলস|লোভ|স্বার্থ|অক্ষম|অযোগ্য|বোকা|কৃপণ|হিংস"")),""valence-target অমিল"",""""),IF(COUNTIF($B:$B,B2360)&gt;1,""ডুপ্লিকেট"",""""))"),"")</f>
        <v/>
      </c>
      <c r="Q2360" s="5" t="str">
        <f t="shared" si="1"/>
        <v>২ পরে</v>
      </c>
    </row>
    <row r="2361">
      <c r="A2361" s="4">
        <v>97.0</v>
      </c>
      <c r="B2361" s="2" t="s">
        <v>9142</v>
      </c>
      <c r="C2361" s="2" t="s">
        <v>9143</v>
      </c>
      <c r="D2361" s="2" t="s">
        <v>9144</v>
      </c>
      <c r="E2361" s="2" t="s">
        <v>9145</v>
      </c>
      <c r="F2361" s="2" t="b">
        <v>1</v>
      </c>
      <c r="G2361" s="2" t="b">
        <v>0</v>
      </c>
      <c r="H2361" s="2" t="s">
        <v>9146</v>
      </c>
      <c r="I2361" s="2" t="s">
        <v>49</v>
      </c>
      <c r="J2361" s="2" t="s">
        <v>9147</v>
      </c>
      <c r="K2361" s="2" t="s">
        <v>24</v>
      </c>
      <c r="L2361" s="13" t="s">
        <v>51</v>
      </c>
      <c r="M2361" s="2" t="s">
        <v>26</v>
      </c>
      <c r="N2361" s="24" t="s">
        <v>8793</v>
      </c>
      <c r="O2361" s="12" t="s">
        <v>53</v>
      </c>
      <c r="P2361" s="5" t="str">
        <f>IFERROR(__xludf.DUMMYFUNCTION("TEXTJOIN("" | "",TRUE,IF(OR(D2361="""",E2361="""",I2361="""",J2361="""",H2361=""""),""ফাঁকা ঘর"",""""),IF(AND(C2361&lt;&gt;"""",D2361&lt;&gt;"""",C2361=D2361),""gloss=figurative"",""""),IF(LEN(D2361)&lt;15,""figurative ছোট"",""""),IF(AND(I2361=""Positive"",REGEXMATCH(H2"&amp;"361,""মূর্খ|ভণ্ড|প্রতার|অলস|লোভ|স্বার্থ|অক্ষম|অযোগ্য|বোকা|কৃপণ|হিংস"")),""valence-target অমিল"",""""),IF(COUNTIF($B:$B,B2361)&gt;1,""ডুপ্লিকেট"",""""))"),"")</f>
        <v/>
      </c>
      <c r="Q2361" s="5" t="str">
        <f t="shared" si="1"/>
        <v>২ পরে</v>
      </c>
    </row>
    <row r="2362">
      <c r="A2362" s="4">
        <v>98.0</v>
      </c>
      <c r="B2362" s="2" t="s">
        <v>9148</v>
      </c>
      <c r="C2362" s="2" t="s">
        <v>9149</v>
      </c>
      <c r="D2362" s="2" t="s">
        <v>9150</v>
      </c>
      <c r="E2362" s="2" t="s">
        <v>9151</v>
      </c>
      <c r="F2362" s="2" t="b">
        <v>1</v>
      </c>
      <c r="G2362" s="2" t="b">
        <v>0</v>
      </c>
      <c r="H2362" s="2" t="s">
        <v>9152</v>
      </c>
      <c r="I2362" s="2" t="s">
        <v>49</v>
      </c>
      <c r="J2362" s="2" t="s">
        <v>9147</v>
      </c>
      <c r="K2362" s="2" t="s">
        <v>24</v>
      </c>
      <c r="L2362" s="13" t="s">
        <v>51</v>
      </c>
      <c r="M2362" s="2" t="s">
        <v>26</v>
      </c>
      <c r="N2362" s="24" t="s">
        <v>8793</v>
      </c>
      <c r="O2362" s="12" t="s">
        <v>53</v>
      </c>
      <c r="P2362" s="5" t="str">
        <f>IFERROR(__xludf.DUMMYFUNCTION("TEXTJOIN("" | "",TRUE,IF(OR(D2362="""",E2362="""",I2362="""",J2362="""",H2362=""""),""ফাঁকা ঘর"",""""),IF(AND(C2362&lt;&gt;"""",D2362&lt;&gt;"""",C2362=D2362),""gloss=figurative"",""""),IF(LEN(D2362)&lt;15,""figurative ছোট"",""""),IF(AND(I2362=""Positive"",REGEXMATCH(H2"&amp;"362,""মূর্খ|ভণ্ড|প্রতার|অলস|লোভ|স্বার্থ|অক্ষম|অযোগ্য|বোকা|কৃপণ|হিংস"")),""valence-target অমিল"",""""),IF(COUNTIF($B:$B,B2362)&gt;1,""ডুপ্লিকেট"",""""))"),"")</f>
        <v/>
      </c>
      <c r="Q2362" s="5" t="str">
        <f t="shared" si="1"/>
        <v>২ পরে</v>
      </c>
    </row>
    <row r="2363">
      <c r="A2363" s="4">
        <v>99.0</v>
      </c>
      <c r="B2363" s="2" t="s">
        <v>9153</v>
      </c>
      <c r="C2363" s="2" t="s">
        <v>9154</v>
      </c>
      <c r="D2363" s="2" t="s">
        <v>9155</v>
      </c>
      <c r="E2363" s="2" t="s">
        <v>9156</v>
      </c>
      <c r="F2363" s="2" t="b">
        <v>1</v>
      </c>
      <c r="G2363" s="2" t="b">
        <v>0</v>
      </c>
      <c r="H2363" s="2" t="s">
        <v>58</v>
      </c>
      <c r="I2363" s="2" t="s">
        <v>49</v>
      </c>
      <c r="J2363" s="2" t="s">
        <v>9157</v>
      </c>
      <c r="K2363" s="2" t="s">
        <v>24</v>
      </c>
      <c r="L2363" s="13" t="s">
        <v>51</v>
      </c>
      <c r="M2363" s="2" t="s">
        <v>26</v>
      </c>
      <c r="N2363" s="24" t="s">
        <v>8793</v>
      </c>
      <c r="O2363" s="12" t="s">
        <v>53</v>
      </c>
      <c r="P2363" s="5" t="str">
        <f>IFERROR(__xludf.DUMMYFUNCTION("TEXTJOIN("" | "",TRUE,IF(OR(D2363="""",E2363="""",I2363="""",J2363="""",H2363=""""),""ফাঁকা ঘর"",""""),IF(AND(C2363&lt;&gt;"""",D2363&lt;&gt;"""",C2363=D2363),""gloss=figurative"",""""),IF(LEN(D2363)&lt;15,""figurative ছোট"",""""),IF(AND(I2363=""Positive"",REGEXMATCH(H2"&amp;"363,""মূর্খ|ভণ্ড|প্রতার|অলস|লোভ|স্বার্থ|অক্ষম|অযোগ্য|বোকা|কৃপণ|হিংস"")),""valence-target অমিল"",""""),IF(COUNTIF($B:$B,B2363)&gt;1,""ডুপ্লিকেট"",""""))"),"")</f>
        <v/>
      </c>
      <c r="Q2363" s="5" t="str">
        <f t="shared" si="1"/>
        <v>২ পরে</v>
      </c>
    </row>
    <row r="2364">
      <c r="A2364" s="4">
        <v>100.0</v>
      </c>
      <c r="B2364" s="2" t="s">
        <v>9158</v>
      </c>
      <c r="C2364" s="2" t="s">
        <v>9159</v>
      </c>
      <c r="D2364" s="2" t="s">
        <v>9160</v>
      </c>
      <c r="E2364" s="2" t="s">
        <v>9161</v>
      </c>
      <c r="F2364" s="2" t="b">
        <v>1</v>
      </c>
      <c r="G2364" s="2" t="b">
        <v>0</v>
      </c>
      <c r="H2364" s="2" t="s">
        <v>37</v>
      </c>
      <c r="I2364" s="2" t="s">
        <v>32</v>
      </c>
      <c r="J2364" s="2" t="s">
        <v>9037</v>
      </c>
      <c r="K2364" s="2" t="s">
        <v>24</v>
      </c>
      <c r="L2364" s="13" t="s">
        <v>51</v>
      </c>
      <c r="M2364" s="2" t="s">
        <v>26</v>
      </c>
      <c r="N2364" s="24" t="s">
        <v>8793</v>
      </c>
      <c r="O2364" s="12" t="s">
        <v>53</v>
      </c>
      <c r="P2364" s="5" t="str">
        <f>IFERROR(__xludf.DUMMYFUNCTION("TEXTJOIN("" | "",TRUE,IF(OR(D2364="""",E2364="""",I2364="""",J2364="""",H2364=""""),""ফাঁকা ঘর"",""""),IF(AND(C2364&lt;&gt;"""",D2364&lt;&gt;"""",C2364=D2364),""gloss=figurative"",""""),IF(LEN(D2364)&lt;15,""figurative ছোট"",""""),IF(AND(I2364=""Positive"",REGEXMATCH(H2"&amp;"364,""মূর্খ|ভণ্ড|প্রতার|অলস|লোভ|স্বার্থ|অক্ষম|অযোগ্য|বোকা|কৃপণ|হিংস"")),""valence-target অমিল"",""""),IF(COUNTIF($B:$B,B2364)&gt;1,""ডুপ্লিকেট"",""""))"),"")</f>
        <v/>
      </c>
      <c r="Q2364" s="5" t="str">
        <f t="shared" si="1"/>
        <v>২ পরে</v>
      </c>
    </row>
    <row r="2365">
      <c r="A2365" s="4">
        <v>101.0</v>
      </c>
      <c r="B2365" s="2" t="s">
        <v>9162</v>
      </c>
      <c r="C2365" s="2" t="s">
        <v>9163</v>
      </c>
      <c r="D2365" s="2" t="s">
        <v>9164</v>
      </c>
      <c r="E2365" s="2" t="s">
        <v>9165</v>
      </c>
      <c r="F2365" s="2" t="b">
        <v>1</v>
      </c>
      <c r="G2365" s="2" t="b">
        <v>0</v>
      </c>
      <c r="H2365" s="2" t="s">
        <v>37</v>
      </c>
      <c r="I2365" s="2" t="s">
        <v>22</v>
      </c>
      <c r="J2365" s="2" t="s">
        <v>8973</v>
      </c>
      <c r="K2365" s="2" t="s">
        <v>24</v>
      </c>
      <c r="L2365" s="13" t="s">
        <v>51</v>
      </c>
      <c r="M2365" s="2" t="s">
        <v>26</v>
      </c>
      <c r="N2365" s="24" t="s">
        <v>8793</v>
      </c>
      <c r="O2365" s="12" t="s">
        <v>53</v>
      </c>
      <c r="P2365" s="5" t="str">
        <f>IFERROR(__xludf.DUMMYFUNCTION("TEXTJOIN("" | "",TRUE,IF(OR(D2365="""",E2365="""",I2365="""",J2365="""",H2365=""""),""ফাঁকা ঘর"",""""),IF(AND(C2365&lt;&gt;"""",D2365&lt;&gt;"""",C2365=D2365),""gloss=figurative"",""""),IF(LEN(D2365)&lt;15,""figurative ছোট"",""""),IF(AND(I2365=""Positive"",REGEXMATCH(H2"&amp;"365,""মূর্খ|ভণ্ড|প্রতার|অলস|লোভ|স্বার্থ|অক্ষম|অযোগ্য|বোকা|কৃপণ|হিংস"")),""valence-target অমিল"",""""),IF(COUNTIF($B:$B,B2365)&gt;1,""ডুপ্লিকেট"",""""))"),"")</f>
        <v/>
      </c>
      <c r="Q2365" s="5" t="str">
        <f t="shared" si="1"/>
        <v>২ পরে</v>
      </c>
    </row>
    <row r="2366">
      <c r="A2366" s="4">
        <v>102.0</v>
      </c>
      <c r="B2366" s="2" t="s">
        <v>9166</v>
      </c>
      <c r="C2366" s="2" t="s">
        <v>9167</v>
      </c>
      <c r="D2366" s="2" t="s">
        <v>9168</v>
      </c>
      <c r="E2366" s="2" t="s">
        <v>9169</v>
      </c>
      <c r="F2366" s="2" t="b">
        <v>1</v>
      </c>
      <c r="G2366" s="2" t="b">
        <v>0</v>
      </c>
      <c r="H2366" s="2" t="s">
        <v>37</v>
      </c>
      <c r="I2366" s="2" t="s">
        <v>32</v>
      </c>
      <c r="J2366" s="2" t="s">
        <v>8859</v>
      </c>
      <c r="K2366" s="2" t="s">
        <v>24</v>
      </c>
      <c r="L2366" s="13" t="s">
        <v>51</v>
      </c>
      <c r="M2366" s="2" t="s">
        <v>26</v>
      </c>
      <c r="N2366" s="24" t="s">
        <v>8793</v>
      </c>
      <c r="O2366" s="12" t="s">
        <v>53</v>
      </c>
      <c r="P2366" s="5" t="str">
        <f>IFERROR(__xludf.DUMMYFUNCTION("TEXTJOIN("" | "",TRUE,IF(OR(D2366="""",E2366="""",I2366="""",J2366="""",H2366=""""),""ফাঁকা ঘর"",""""),IF(AND(C2366&lt;&gt;"""",D2366&lt;&gt;"""",C2366=D2366),""gloss=figurative"",""""),IF(LEN(D2366)&lt;15,""figurative ছোট"",""""),IF(AND(I2366=""Positive"",REGEXMATCH(H2"&amp;"366,""মূর্খ|ভণ্ড|প্রতার|অলস|লোভ|স্বার্থ|অক্ষম|অযোগ্য|বোকা|কৃপণ|হিংস"")),""valence-target অমিল"",""""),IF(COUNTIF($B:$B,B2366)&gt;1,""ডুপ্লিকেট"",""""))"),"")</f>
        <v/>
      </c>
      <c r="Q2366" s="5" t="str">
        <f t="shared" si="1"/>
        <v>২ পরে</v>
      </c>
    </row>
    <row r="2367">
      <c r="A2367" s="4">
        <v>103.0</v>
      </c>
      <c r="B2367" s="2" t="s">
        <v>9170</v>
      </c>
      <c r="C2367" s="2" t="s">
        <v>8999</v>
      </c>
      <c r="D2367" s="2" t="s">
        <v>9000</v>
      </c>
      <c r="E2367" s="2" t="s">
        <v>9171</v>
      </c>
      <c r="F2367" s="2" t="b">
        <v>1</v>
      </c>
      <c r="G2367" s="2" t="b">
        <v>1</v>
      </c>
      <c r="H2367" s="2" t="s">
        <v>1106</v>
      </c>
      <c r="I2367" s="2" t="s">
        <v>32</v>
      </c>
      <c r="J2367" s="2" t="s">
        <v>1315</v>
      </c>
      <c r="K2367" s="2" t="s">
        <v>24</v>
      </c>
      <c r="L2367" s="13" t="s">
        <v>51</v>
      </c>
      <c r="M2367" s="2" t="s">
        <v>26</v>
      </c>
      <c r="N2367" s="24" t="s">
        <v>9172</v>
      </c>
      <c r="O2367" s="12" t="s">
        <v>53</v>
      </c>
      <c r="P2367" s="5" t="str">
        <f>IFERROR(__xludf.DUMMYFUNCTION("TEXTJOIN("" | "",TRUE,IF(OR(D2367="""",E2367="""",I2367="""",J2367="""",H2367=""""),""ফাঁকা ঘর"",""""),IF(AND(C2367&lt;&gt;"""",D2367&lt;&gt;"""",C2367=D2367),""gloss=figurative"",""""),IF(LEN(D2367)&lt;15,""figurative ছোট"",""""),IF(AND(I2367=""Positive"",REGEXMATCH(H2"&amp;"367,""মূর্খ|ভণ্ড|প্রতার|অলস|লোভ|স্বার্থ|অক্ষম|অযোগ্য|বোকা|কৃপণ|হিংস"")),""valence-target অমিল"",""""),IF(COUNTIF($B:$B,B2367)&gt;1,""ডুপ্লিকেট"",""""))"),"")</f>
        <v/>
      </c>
      <c r="Q2367" s="5" t="str">
        <f t="shared" si="1"/>
        <v>২ পরে</v>
      </c>
    </row>
    <row r="2368">
      <c r="A2368" s="4">
        <v>104.0</v>
      </c>
      <c r="B2368" s="2" t="s">
        <v>9173</v>
      </c>
      <c r="C2368" s="2" t="s">
        <v>9174</v>
      </c>
      <c r="D2368" s="2" t="s">
        <v>9175</v>
      </c>
      <c r="E2368" s="2" t="s">
        <v>9176</v>
      </c>
      <c r="F2368" s="2" t="b">
        <v>1</v>
      </c>
      <c r="G2368" s="2" t="b">
        <v>0</v>
      </c>
      <c r="H2368" s="2" t="s">
        <v>37</v>
      </c>
      <c r="I2368" s="2" t="s">
        <v>32</v>
      </c>
      <c r="J2368" s="2" t="s">
        <v>9177</v>
      </c>
      <c r="K2368" s="2" t="s">
        <v>24</v>
      </c>
      <c r="L2368" s="13" t="s">
        <v>51</v>
      </c>
      <c r="M2368" s="2" t="s">
        <v>26</v>
      </c>
      <c r="N2368" s="24" t="s">
        <v>9178</v>
      </c>
      <c r="O2368" s="12" t="s">
        <v>53</v>
      </c>
      <c r="P2368" s="5" t="str">
        <f>IFERROR(__xludf.DUMMYFUNCTION("TEXTJOIN("" | "",TRUE,IF(OR(D2368="""",E2368="""",I2368="""",J2368="""",H2368=""""),""ফাঁকা ঘর"",""""),IF(AND(C2368&lt;&gt;"""",D2368&lt;&gt;"""",C2368=D2368),""gloss=figurative"",""""),IF(LEN(D2368)&lt;15,""figurative ছোট"",""""),IF(AND(I2368=""Positive"",REGEXMATCH(H2"&amp;"368,""মূর্খ|ভণ্ড|প্রতার|অলস|লোভ|স্বার্থ|অক্ষম|অযোগ্য|বোকা|কৃপণ|হিংস"")),""valence-target অমিল"",""""),IF(COUNTIF($B:$B,B2368)&gt;1,""ডুপ্লিকেট"",""""))"),"")</f>
        <v/>
      </c>
      <c r="Q2368" s="5" t="str">
        <f t="shared" si="1"/>
        <v>২ পরে</v>
      </c>
    </row>
    <row r="2369">
      <c r="A2369" s="4">
        <v>105.0</v>
      </c>
      <c r="B2369" s="2" t="s">
        <v>9179</v>
      </c>
      <c r="C2369" s="2" t="s">
        <v>9180</v>
      </c>
      <c r="D2369" s="2" t="s">
        <v>9181</v>
      </c>
      <c r="E2369" s="2" t="s">
        <v>9182</v>
      </c>
      <c r="F2369" s="2" t="b">
        <v>1</v>
      </c>
      <c r="G2369" s="2" t="b">
        <v>0</v>
      </c>
      <c r="H2369" s="2" t="s">
        <v>8972</v>
      </c>
      <c r="I2369" s="2" t="s">
        <v>32</v>
      </c>
      <c r="J2369" s="2" t="s">
        <v>9183</v>
      </c>
      <c r="K2369" s="2" t="s">
        <v>24</v>
      </c>
      <c r="L2369" s="13" t="s">
        <v>51</v>
      </c>
      <c r="M2369" s="2" t="s">
        <v>26</v>
      </c>
      <c r="N2369" s="25" t="s">
        <v>9184</v>
      </c>
      <c r="O2369" s="12" t="s">
        <v>53</v>
      </c>
      <c r="P2369" s="5" t="str">
        <f>IFERROR(__xludf.DUMMYFUNCTION("TEXTJOIN("" | "",TRUE,IF(OR(D2369="""",E2369="""",I2369="""",J2369="""",H2369=""""),""ফাঁকা ঘর"",""""),IF(AND(C2369&lt;&gt;"""",D2369&lt;&gt;"""",C2369=D2369),""gloss=figurative"",""""),IF(LEN(D2369)&lt;15,""figurative ছোট"",""""),IF(AND(I2369=""Positive"",REGEXMATCH(H2"&amp;"369,""মূর্খ|ভণ্ড|প্রতার|অলস|লোভ|স্বার্থ|অক্ষম|অযোগ্য|বোকা|কৃপণ|হিংস"")),""valence-target অমিল"",""""),IF(COUNTIF($B:$B,B2369)&gt;1,""ডুপ্লিকেট"",""""))"),"")</f>
        <v/>
      </c>
      <c r="Q2369" s="5" t="str">
        <f t="shared" si="1"/>
        <v>২ পরে</v>
      </c>
    </row>
    <row r="2370">
      <c r="A2370" s="4">
        <v>106.0</v>
      </c>
      <c r="B2370" s="2" t="s">
        <v>9185</v>
      </c>
      <c r="C2370" s="2" t="s">
        <v>9186</v>
      </c>
      <c r="D2370" s="2" t="s">
        <v>9187</v>
      </c>
      <c r="E2370" s="2" t="s">
        <v>9188</v>
      </c>
      <c r="F2370" s="2" t="b">
        <v>1</v>
      </c>
      <c r="G2370" s="2" t="b">
        <v>0</v>
      </c>
      <c r="H2370" s="2" t="s">
        <v>9189</v>
      </c>
      <c r="I2370" s="2" t="s">
        <v>32</v>
      </c>
      <c r="J2370" s="2" t="s">
        <v>739</v>
      </c>
      <c r="K2370" s="2" t="s">
        <v>24</v>
      </c>
      <c r="L2370" s="13" t="s">
        <v>51</v>
      </c>
      <c r="M2370" s="2" t="s">
        <v>26</v>
      </c>
      <c r="N2370" s="24" t="s">
        <v>8793</v>
      </c>
      <c r="O2370" s="12" t="s">
        <v>53</v>
      </c>
      <c r="P2370" s="5" t="str">
        <f>IFERROR(__xludf.DUMMYFUNCTION("TEXTJOIN("" | "",TRUE,IF(OR(D2370="""",E2370="""",I2370="""",J2370="""",H2370=""""),""ফাঁকা ঘর"",""""),IF(AND(C2370&lt;&gt;"""",D2370&lt;&gt;"""",C2370=D2370),""gloss=figurative"",""""),IF(LEN(D2370)&lt;15,""figurative ছোট"",""""),IF(AND(I2370=""Positive"",REGEXMATCH(H2"&amp;"370,""মূর্খ|ভণ্ড|প্রতার|অলস|লোভ|স্বার্থ|অক্ষম|অযোগ্য|বোকা|কৃপণ|হিংস"")),""valence-target অমিল"",""""),IF(COUNTIF($B:$B,B2370)&gt;1,""ডুপ্লিকেট"",""""))"),"")</f>
        <v/>
      </c>
      <c r="Q2370" s="5" t="str">
        <f t="shared" si="1"/>
        <v>২ পরে</v>
      </c>
    </row>
    <row r="2371">
      <c r="A2371" s="4">
        <v>107.0</v>
      </c>
      <c r="B2371" s="2" t="s">
        <v>9190</v>
      </c>
      <c r="C2371" s="2" t="s">
        <v>9191</v>
      </c>
      <c r="D2371" s="2" t="s">
        <v>9192</v>
      </c>
      <c r="E2371" s="2" t="s">
        <v>9193</v>
      </c>
      <c r="F2371" s="2" t="b">
        <v>1</v>
      </c>
      <c r="G2371" s="2" t="b">
        <v>0</v>
      </c>
      <c r="H2371" s="2" t="s">
        <v>9194</v>
      </c>
      <c r="I2371" s="2" t="s">
        <v>32</v>
      </c>
      <c r="J2371" s="2" t="s">
        <v>324</v>
      </c>
      <c r="K2371" s="2" t="s">
        <v>24</v>
      </c>
      <c r="L2371" s="13" t="s">
        <v>51</v>
      </c>
      <c r="M2371" s="2" t="s">
        <v>26</v>
      </c>
      <c r="N2371" s="24" t="s">
        <v>9195</v>
      </c>
      <c r="O2371" s="12" t="s">
        <v>53</v>
      </c>
      <c r="P2371" s="5" t="str">
        <f>IFERROR(__xludf.DUMMYFUNCTION("TEXTJOIN("" | "",TRUE,IF(OR(D2371="""",E2371="""",I2371="""",J2371="""",H2371=""""),""ফাঁকা ঘর"",""""),IF(AND(C2371&lt;&gt;"""",D2371&lt;&gt;"""",C2371=D2371),""gloss=figurative"",""""),IF(LEN(D2371)&lt;15,""figurative ছোট"",""""),IF(AND(I2371=""Positive"",REGEXMATCH(H2"&amp;"371,""মূর্খ|ভণ্ড|প্রতার|অলস|লোভ|স্বার্থ|অক্ষম|অযোগ্য|বোকা|কৃপণ|হিংস"")),""valence-target অমিল"",""""),IF(COUNTIF($B:$B,B2371)&gt;1,""ডুপ্লিকেট"",""""))"),"")</f>
        <v/>
      </c>
      <c r="Q2371" s="5" t="str">
        <f t="shared" si="1"/>
        <v>২ পরে</v>
      </c>
    </row>
    <row r="2372">
      <c r="A2372" s="4">
        <v>108.0</v>
      </c>
      <c r="B2372" s="2" t="s">
        <v>9196</v>
      </c>
      <c r="C2372" s="2" t="s">
        <v>9197</v>
      </c>
      <c r="D2372" s="2" t="s">
        <v>9198</v>
      </c>
      <c r="E2372" s="2" t="s">
        <v>9199</v>
      </c>
      <c r="F2372" s="2" t="b">
        <v>1</v>
      </c>
      <c r="G2372" s="2" t="b">
        <v>0</v>
      </c>
      <c r="H2372" s="2" t="s">
        <v>9200</v>
      </c>
      <c r="I2372" s="2" t="s">
        <v>22</v>
      </c>
      <c r="J2372" s="2" t="s">
        <v>142</v>
      </c>
      <c r="K2372" s="2" t="s">
        <v>24</v>
      </c>
      <c r="L2372" s="13" t="s">
        <v>51</v>
      </c>
      <c r="M2372" s="2" t="s">
        <v>26</v>
      </c>
      <c r="N2372" s="24" t="s">
        <v>9201</v>
      </c>
      <c r="O2372" s="12" t="s">
        <v>53</v>
      </c>
      <c r="P2372" s="5" t="str">
        <f>IFERROR(__xludf.DUMMYFUNCTION("TEXTJOIN("" | "",TRUE,IF(OR(D2372="""",E2372="""",I2372="""",J2372="""",H2372=""""),""ফাঁকা ঘর"",""""),IF(AND(C2372&lt;&gt;"""",D2372&lt;&gt;"""",C2372=D2372),""gloss=figurative"",""""),IF(LEN(D2372)&lt;15,""figurative ছোট"",""""),IF(AND(I2372=""Positive"",REGEXMATCH(H2"&amp;"372,""মূর্খ|ভণ্ড|প্রতার|অলস|লোভ|স্বার্থ|অক্ষম|অযোগ্য|বোকা|কৃপণ|হিংস"")),""valence-target অমিল"",""""),IF(COUNTIF($B:$B,B2372)&gt;1,""ডুপ্লিকেট"",""""))"),"")</f>
        <v/>
      </c>
      <c r="Q2372" s="5" t="str">
        <f t="shared" si="1"/>
        <v>২ পরে</v>
      </c>
    </row>
    <row r="2373">
      <c r="A2373" s="4">
        <v>109.0</v>
      </c>
      <c r="B2373" s="2" t="s">
        <v>9202</v>
      </c>
      <c r="C2373" s="2" t="s">
        <v>9203</v>
      </c>
      <c r="D2373" s="2" t="s">
        <v>9204</v>
      </c>
      <c r="E2373" s="2" t="s">
        <v>9205</v>
      </c>
      <c r="F2373" s="2" t="b">
        <v>1</v>
      </c>
      <c r="G2373" s="2" t="b">
        <v>0</v>
      </c>
      <c r="H2373" s="2" t="s">
        <v>8972</v>
      </c>
      <c r="I2373" s="2" t="s">
        <v>32</v>
      </c>
      <c r="J2373" s="2" t="s">
        <v>9183</v>
      </c>
      <c r="K2373" s="2" t="s">
        <v>24</v>
      </c>
      <c r="L2373" s="13" t="s">
        <v>51</v>
      </c>
      <c r="M2373" s="2" t="s">
        <v>26</v>
      </c>
      <c r="N2373" s="24" t="s">
        <v>9206</v>
      </c>
      <c r="O2373" s="12" t="s">
        <v>53</v>
      </c>
      <c r="P2373" s="5" t="str">
        <f>IFERROR(__xludf.DUMMYFUNCTION("TEXTJOIN("" | "",TRUE,IF(OR(D2373="""",E2373="""",I2373="""",J2373="""",H2373=""""),""ফাঁকা ঘর"",""""),IF(AND(C2373&lt;&gt;"""",D2373&lt;&gt;"""",C2373=D2373),""gloss=figurative"",""""),IF(LEN(D2373)&lt;15,""figurative ছোট"",""""),IF(AND(I2373=""Positive"",REGEXMATCH(H2"&amp;"373,""মূর্খ|ভণ্ড|প্রতার|অলস|লোভ|স্বার্থ|অক্ষম|অযোগ্য|বোকা|কৃপণ|হিংস"")),""valence-target অমিল"",""""),IF(COUNTIF($B:$B,B2373)&gt;1,""ডুপ্লিকেট"",""""))"),"")</f>
        <v/>
      </c>
      <c r="Q2373" s="5" t="str">
        <f t="shared" si="1"/>
        <v>২ পরে</v>
      </c>
    </row>
    <row r="2374">
      <c r="A2374" s="4">
        <v>110.0</v>
      </c>
      <c r="B2374" s="2" t="s">
        <v>9181</v>
      </c>
      <c r="C2374" s="2" t="s">
        <v>9203</v>
      </c>
      <c r="D2374" s="2" t="s">
        <v>9204</v>
      </c>
      <c r="E2374" s="2" t="s">
        <v>9207</v>
      </c>
      <c r="F2374" s="2" t="b">
        <v>1</v>
      </c>
      <c r="G2374" s="2" t="b">
        <v>0</v>
      </c>
      <c r="H2374" s="2" t="s">
        <v>8972</v>
      </c>
      <c r="I2374" s="2" t="s">
        <v>32</v>
      </c>
      <c r="J2374" s="2" t="s">
        <v>9183</v>
      </c>
      <c r="K2374" s="2" t="s">
        <v>24</v>
      </c>
      <c r="L2374" s="13" t="s">
        <v>51</v>
      </c>
      <c r="M2374" s="2" t="s">
        <v>26</v>
      </c>
      <c r="N2374" s="24" t="s">
        <v>5729</v>
      </c>
      <c r="O2374" s="12" t="s">
        <v>53</v>
      </c>
      <c r="P2374" s="5" t="str">
        <f>IFERROR(__xludf.DUMMYFUNCTION("TEXTJOIN("" | "",TRUE,IF(OR(D2374="""",E2374="""",I2374="""",J2374="""",H2374=""""),""ফাঁকা ঘর"",""""),IF(AND(C2374&lt;&gt;"""",D2374&lt;&gt;"""",C2374=D2374),""gloss=figurative"",""""),IF(LEN(D2374)&lt;15,""figurative ছোট"",""""),IF(AND(I2374=""Positive"",REGEXMATCH(H2"&amp;"374,""মূর্খ|ভণ্ড|প্রতার|অলস|লোভ|স্বার্থ|অক্ষম|অযোগ্য|বোকা|কৃপণ|হিংস"")),""valence-target অমিল"",""""),IF(COUNTIF($B:$B,B2374)&gt;1,""ডুপ্লিকেট"",""""))"),"")</f>
        <v/>
      </c>
      <c r="Q2374" s="5" t="str">
        <f t="shared" si="1"/>
        <v>২ পরে</v>
      </c>
    </row>
    <row r="2375">
      <c r="A2375" s="4">
        <v>111.0</v>
      </c>
      <c r="B2375" s="2" t="s">
        <v>9208</v>
      </c>
      <c r="C2375" s="2" t="s">
        <v>6489</v>
      </c>
      <c r="D2375" s="2" t="s">
        <v>8982</v>
      </c>
      <c r="E2375" s="2" t="s">
        <v>9209</v>
      </c>
      <c r="F2375" s="2" t="b">
        <v>1</v>
      </c>
      <c r="G2375" s="2" t="b">
        <v>0</v>
      </c>
      <c r="H2375" s="2" t="s">
        <v>65</v>
      </c>
      <c r="I2375" s="2" t="s">
        <v>22</v>
      </c>
      <c r="J2375" s="2" t="s">
        <v>225</v>
      </c>
      <c r="K2375" s="2" t="s">
        <v>24</v>
      </c>
      <c r="L2375" s="13" t="s">
        <v>51</v>
      </c>
      <c r="M2375" s="2" t="s">
        <v>26</v>
      </c>
      <c r="N2375" s="24" t="s">
        <v>6491</v>
      </c>
      <c r="O2375" s="12" t="s">
        <v>53</v>
      </c>
      <c r="P2375" s="5" t="str">
        <f>IFERROR(__xludf.DUMMYFUNCTION("TEXTJOIN("" | "",TRUE,IF(OR(D2375="""",E2375="""",I2375="""",J2375="""",H2375=""""),""ফাঁকা ঘর"",""""),IF(AND(C2375&lt;&gt;"""",D2375&lt;&gt;"""",C2375=D2375),""gloss=figurative"",""""),IF(LEN(D2375)&lt;15,""figurative ছোট"",""""),IF(AND(I2375=""Positive"",REGEXMATCH(H2"&amp;"375,""মূর্খ|ভণ্ড|প্রতার|অলস|লোভ|স্বার্থ|অক্ষম|অযোগ্য|বোকা|কৃপণ|হিংস"")),""valence-target অমিল"",""""),IF(COUNTIF($B:$B,B2375)&gt;1,""ডুপ্লিকেট"",""""))"),"")</f>
        <v/>
      </c>
      <c r="Q2375" s="5" t="str">
        <f t="shared" si="1"/>
        <v>২ পরে</v>
      </c>
    </row>
    <row r="2376">
      <c r="A2376" s="4">
        <v>112.0</v>
      </c>
      <c r="B2376" s="2" t="s">
        <v>9210</v>
      </c>
      <c r="C2376" s="2" t="s">
        <v>9211</v>
      </c>
      <c r="D2376" s="2" t="s">
        <v>9212</v>
      </c>
      <c r="E2376" s="2" t="s">
        <v>9213</v>
      </c>
      <c r="F2376" s="2" t="b">
        <v>1</v>
      </c>
      <c r="G2376" s="2" t="b">
        <v>0</v>
      </c>
      <c r="H2376" s="2" t="s">
        <v>31</v>
      </c>
      <c r="I2376" s="2" t="s">
        <v>32</v>
      </c>
      <c r="J2376" s="2" t="s">
        <v>33</v>
      </c>
      <c r="K2376" s="2" t="s">
        <v>24</v>
      </c>
      <c r="L2376" s="13" t="s">
        <v>51</v>
      </c>
      <c r="M2376" s="2" t="s">
        <v>26</v>
      </c>
      <c r="N2376" s="24" t="s">
        <v>4013</v>
      </c>
      <c r="O2376" s="12" t="s">
        <v>53</v>
      </c>
      <c r="P2376" s="5" t="str">
        <f>IFERROR(__xludf.DUMMYFUNCTION("TEXTJOIN("" | "",TRUE,IF(OR(D2376="""",E2376="""",I2376="""",J2376="""",H2376=""""),""ফাঁকা ঘর"",""""),IF(AND(C2376&lt;&gt;"""",D2376&lt;&gt;"""",C2376=D2376),""gloss=figurative"",""""),IF(LEN(D2376)&lt;15,""figurative ছোট"",""""),IF(AND(I2376=""Positive"",REGEXMATCH(H2"&amp;"376,""মূর্খ|ভণ্ড|প্রতার|অলস|লোভ|স্বার্থ|অক্ষম|অযোগ্য|বোকা|কৃপণ|হিংস"")),""valence-target অমিল"",""""),IF(COUNTIF($B:$B,B2376)&gt;1,""ডুপ্লিকেট"",""""))"),"")</f>
        <v/>
      </c>
      <c r="Q2376" s="5" t="str">
        <f t="shared" si="1"/>
        <v>২ পরে</v>
      </c>
    </row>
    <row r="2377">
      <c r="A2377" s="4">
        <v>114.0</v>
      </c>
      <c r="B2377" s="2" t="s">
        <v>9214</v>
      </c>
      <c r="C2377" s="2" t="s">
        <v>9215</v>
      </c>
      <c r="D2377" s="2" t="s">
        <v>9216</v>
      </c>
      <c r="E2377" s="2" t="s">
        <v>9217</v>
      </c>
      <c r="F2377" s="2" t="b">
        <v>1</v>
      </c>
      <c r="G2377" s="2" t="b">
        <v>0</v>
      </c>
      <c r="H2377" s="2" t="s">
        <v>9218</v>
      </c>
      <c r="I2377" s="2" t="s">
        <v>49</v>
      </c>
      <c r="J2377" s="2" t="s">
        <v>123</v>
      </c>
      <c r="K2377" s="2" t="s">
        <v>24</v>
      </c>
      <c r="L2377" s="13" t="s">
        <v>51</v>
      </c>
      <c r="M2377" s="2" t="s">
        <v>26</v>
      </c>
      <c r="N2377" s="24" t="s">
        <v>8793</v>
      </c>
      <c r="O2377" s="12" t="s">
        <v>53</v>
      </c>
      <c r="P2377" s="5" t="str">
        <f>IFERROR(__xludf.DUMMYFUNCTION("TEXTJOIN("" | "",TRUE,IF(OR(D2377="""",E2377="""",I2377="""",J2377="""",H2377=""""),""ফাঁকা ঘর"",""""),IF(AND(C2377&lt;&gt;"""",D2377&lt;&gt;"""",C2377=D2377),""gloss=figurative"",""""),IF(LEN(D2377)&lt;15,""figurative ছোট"",""""),IF(AND(I2377=""Positive"",REGEXMATCH(H2"&amp;"377,""মূর্খ|ভণ্ড|প্রতার|অলস|লোভ|স্বার্থ|অক্ষম|অযোগ্য|বোকা|কৃপণ|হিংস"")),""valence-target অমিল"",""""),IF(COUNTIF($B:$B,B2377)&gt;1,""ডুপ্লিকেট"",""""))"),"")</f>
        <v/>
      </c>
      <c r="Q2377" s="5" t="str">
        <f t="shared" si="1"/>
        <v>২ পরে</v>
      </c>
    </row>
    <row r="2378">
      <c r="A2378" s="4">
        <v>115.0</v>
      </c>
      <c r="B2378" s="2" t="s">
        <v>9219</v>
      </c>
      <c r="C2378" s="2" t="s">
        <v>9220</v>
      </c>
      <c r="D2378" s="2" t="s">
        <v>9221</v>
      </c>
      <c r="E2378" s="2" t="s">
        <v>9222</v>
      </c>
      <c r="F2378" s="2" t="b">
        <v>1</v>
      </c>
      <c r="G2378" s="2" t="b">
        <v>0</v>
      </c>
      <c r="H2378" s="2" t="s">
        <v>37</v>
      </c>
      <c r="I2378" s="2" t="s">
        <v>32</v>
      </c>
      <c r="J2378" s="2" t="s">
        <v>9037</v>
      </c>
      <c r="K2378" s="2" t="s">
        <v>24</v>
      </c>
      <c r="L2378" s="13" t="s">
        <v>51</v>
      </c>
      <c r="M2378" s="2" t="s">
        <v>26</v>
      </c>
      <c r="N2378" s="26" t="s">
        <v>9223</v>
      </c>
      <c r="O2378" s="12" t="s">
        <v>53</v>
      </c>
      <c r="P2378" s="5" t="str">
        <f>IFERROR(__xludf.DUMMYFUNCTION("TEXTJOIN("" | "",TRUE,IF(OR(D2378="""",E2378="""",I2378="""",J2378="""",H2378=""""),""ফাঁকা ঘর"",""""),IF(AND(C2378&lt;&gt;"""",D2378&lt;&gt;"""",C2378=D2378),""gloss=figurative"",""""),IF(LEN(D2378)&lt;15,""figurative ছোট"",""""),IF(AND(I2378=""Positive"",REGEXMATCH(H2"&amp;"378,""মূর্খ|ভণ্ড|প্রতার|অলস|লোভ|স্বার্থ|অক্ষম|অযোগ্য|বোকা|কৃপণ|হিংস"")),""valence-target অমিল"",""""),IF(COUNTIF($B:$B,B2378)&gt;1,""ডুপ্লিকেট"",""""))"),"")</f>
        <v/>
      </c>
      <c r="Q2378" s="5" t="str">
        <f t="shared" si="1"/>
        <v>২ পরে</v>
      </c>
    </row>
    <row r="2379">
      <c r="A2379" s="4">
        <v>116.0</v>
      </c>
      <c r="B2379" s="2" t="s">
        <v>9224</v>
      </c>
      <c r="C2379" s="2" t="s">
        <v>9225</v>
      </c>
      <c r="D2379" s="2" t="s">
        <v>9226</v>
      </c>
      <c r="E2379" s="2" t="s">
        <v>9227</v>
      </c>
      <c r="F2379" s="2" t="b">
        <v>1</v>
      </c>
      <c r="G2379" s="2" t="b">
        <v>0</v>
      </c>
      <c r="H2379" s="2" t="s">
        <v>308</v>
      </c>
      <c r="I2379" s="2" t="s">
        <v>32</v>
      </c>
      <c r="J2379" s="2" t="s">
        <v>324</v>
      </c>
      <c r="K2379" s="2" t="s">
        <v>24</v>
      </c>
      <c r="L2379" s="13" t="s">
        <v>51</v>
      </c>
      <c r="M2379" s="2" t="s">
        <v>26</v>
      </c>
      <c r="N2379" s="24" t="s">
        <v>8793</v>
      </c>
      <c r="O2379" s="12" t="s">
        <v>53</v>
      </c>
      <c r="P2379" s="5" t="str">
        <f>IFERROR(__xludf.DUMMYFUNCTION("TEXTJOIN("" | "",TRUE,IF(OR(D2379="""",E2379="""",I2379="""",J2379="""",H2379=""""),""ফাঁকা ঘর"",""""),IF(AND(C2379&lt;&gt;"""",D2379&lt;&gt;"""",C2379=D2379),""gloss=figurative"",""""),IF(LEN(D2379)&lt;15,""figurative ছোট"",""""),IF(AND(I2379=""Positive"",REGEXMATCH(H2"&amp;"379,""মূর্খ|ভণ্ড|প্রতার|অলস|লোভ|স্বার্থ|অক্ষম|অযোগ্য|বোকা|কৃপণ|হিংস"")),""valence-target অমিল"",""""),IF(COUNTIF($B:$B,B2379)&gt;1,""ডুপ্লিকেট"",""""))"),"")</f>
        <v/>
      </c>
      <c r="Q2379" s="5" t="str">
        <f t="shared" si="1"/>
        <v>২ পরে</v>
      </c>
    </row>
    <row r="2380">
      <c r="A2380" s="4">
        <v>117.0</v>
      </c>
      <c r="B2380" s="2" t="s">
        <v>9228</v>
      </c>
      <c r="C2380" s="2" t="s">
        <v>9229</v>
      </c>
      <c r="D2380" s="2" t="s">
        <v>9230</v>
      </c>
      <c r="E2380" s="2" t="s">
        <v>9231</v>
      </c>
      <c r="F2380" s="2" t="b">
        <v>1</v>
      </c>
      <c r="G2380" s="2" t="b">
        <v>0</v>
      </c>
      <c r="H2380" s="2" t="s">
        <v>9232</v>
      </c>
      <c r="I2380" s="2" t="s">
        <v>49</v>
      </c>
      <c r="J2380" s="2" t="s">
        <v>5143</v>
      </c>
      <c r="K2380" s="2" t="s">
        <v>24</v>
      </c>
      <c r="L2380" s="13" t="s">
        <v>51</v>
      </c>
      <c r="M2380" s="2" t="s">
        <v>26</v>
      </c>
      <c r="N2380" s="24" t="s">
        <v>8793</v>
      </c>
      <c r="O2380" s="12" t="s">
        <v>53</v>
      </c>
      <c r="P2380" s="5" t="str">
        <f>IFERROR(__xludf.DUMMYFUNCTION("TEXTJOIN("" | "",TRUE,IF(OR(D2380="""",E2380="""",I2380="""",J2380="""",H2380=""""),""ফাঁকা ঘর"",""""),IF(AND(C2380&lt;&gt;"""",D2380&lt;&gt;"""",C2380=D2380),""gloss=figurative"",""""),IF(LEN(D2380)&lt;15,""figurative ছোট"",""""),IF(AND(I2380=""Positive"",REGEXMATCH(H2"&amp;"380,""মূর্খ|ভণ্ড|প্রতার|অলস|লোভ|স্বার্থ|অক্ষম|অযোগ্য|বোকা|কৃপণ|হিংস"")),""valence-target অমিল"",""""),IF(COUNTIF($B:$B,B2380)&gt;1,""ডুপ্লিকেট"",""""))"),"")</f>
        <v/>
      </c>
      <c r="Q2380" s="5" t="str">
        <f t="shared" si="1"/>
        <v>২ পরে</v>
      </c>
    </row>
    <row r="2381">
      <c r="A2381" s="4">
        <v>118.0</v>
      </c>
      <c r="B2381" s="2" t="s">
        <v>9233</v>
      </c>
      <c r="C2381" s="2" t="s">
        <v>9234</v>
      </c>
      <c r="D2381" s="2" t="s">
        <v>9235</v>
      </c>
      <c r="E2381" s="2" t="s">
        <v>9236</v>
      </c>
      <c r="F2381" s="2" t="b">
        <v>1</v>
      </c>
      <c r="G2381" s="2" t="b">
        <v>0</v>
      </c>
      <c r="H2381" s="2" t="s">
        <v>37</v>
      </c>
      <c r="I2381" s="2" t="s">
        <v>32</v>
      </c>
      <c r="J2381" s="2" t="s">
        <v>3710</v>
      </c>
      <c r="K2381" s="2" t="s">
        <v>24</v>
      </c>
      <c r="L2381" s="13" t="s">
        <v>51</v>
      </c>
      <c r="M2381" s="2" t="s">
        <v>26</v>
      </c>
      <c r="N2381" s="24" t="s">
        <v>8793</v>
      </c>
      <c r="O2381" s="12" t="s">
        <v>53</v>
      </c>
      <c r="P2381" s="5" t="str">
        <f>IFERROR(__xludf.DUMMYFUNCTION("TEXTJOIN("" | "",TRUE,IF(OR(D2381="""",E2381="""",I2381="""",J2381="""",H2381=""""),""ফাঁকা ঘর"",""""),IF(AND(C2381&lt;&gt;"""",D2381&lt;&gt;"""",C2381=D2381),""gloss=figurative"",""""),IF(LEN(D2381)&lt;15,""figurative ছোট"",""""),IF(AND(I2381=""Positive"",REGEXMATCH(H2"&amp;"381,""মূর্খ|ভণ্ড|প্রতার|অলস|লোভ|স্বার্থ|অক্ষম|অযোগ্য|বোকা|কৃপণ|হিংস"")),""valence-target অমিল"",""""),IF(COUNTIF($B:$B,B2381)&gt;1,""ডুপ্লিকেট"",""""))"),"")</f>
        <v/>
      </c>
      <c r="Q2381" s="5" t="str">
        <f t="shared" si="1"/>
        <v>২ পরে</v>
      </c>
    </row>
    <row r="2382">
      <c r="A2382" s="4">
        <v>119.0</v>
      </c>
      <c r="B2382" s="2" t="s">
        <v>9237</v>
      </c>
      <c r="C2382" s="2" t="s">
        <v>9238</v>
      </c>
      <c r="D2382" s="2" t="s">
        <v>9239</v>
      </c>
      <c r="E2382" s="2" t="s">
        <v>9240</v>
      </c>
      <c r="F2382" s="2" t="b">
        <v>1</v>
      </c>
      <c r="G2382" s="2" t="b">
        <v>0</v>
      </c>
      <c r="H2382" s="2" t="s">
        <v>8848</v>
      </c>
      <c r="I2382" s="2" t="s">
        <v>32</v>
      </c>
      <c r="J2382" s="2" t="s">
        <v>123</v>
      </c>
      <c r="K2382" s="2" t="s">
        <v>24</v>
      </c>
      <c r="L2382" s="13" t="s">
        <v>51</v>
      </c>
      <c r="M2382" s="2" t="s">
        <v>26</v>
      </c>
      <c r="N2382" s="24" t="s">
        <v>8793</v>
      </c>
      <c r="O2382" s="12" t="s">
        <v>53</v>
      </c>
      <c r="P2382" s="5" t="str">
        <f>IFERROR(__xludf.DUMMYFUNCTION("TEXTJOIN("" | "",TRUE,IF(OR(D2382="""",E2382="""",I2382="""",J2382="""",H2382=""""),""ফাঁকা ঘর"",""""),IF(AND(C2382&lt;&gt;"""",D2382&lt;&gt;"""",C2382=D2382),""gloss=figurative"",""""),IF(LEN(D2382)&lt;15,""figurative ছোট"",""""),IF(AND(I2382=""Positive"",REGEXMATCH(H2"&amp;"382,""মূর্খ|ভণ্ড|প্রতার|অলস|লোভ|স্বার্থ|অক্ষম|অযোগ্য|বোকা|কৃপণ|হিংস"")),""valence-target অমিল"",""""),IF(COUNTIF($B:$B,B2382)&gt;1,""ডুপ্লিকেট"",""""))"),"")</f>
        <v/>
      </c>
      <c r="Q2382" s="5" t="str">
        <f t="shared" si="1"/>
        <v>২ পরে</v>
      </c>
    </row>
    <row r="2383">
      <c r="A2383" s="4">
        <v>120.0</v>
      </c>
      <c r="B2383" s="2" t="s">
        <v>9241</v>
      </c>
      <c r="C2383" s="2" t="s">
        <v>9242</v>
      </c>
      <c r="D2383" s="2" t="s">
        <v>9243</v>
      </c>
      <c r="E2383" s="2" t="s">
        <v>9244</v>
      </c>
      <c r="F2383" s="2" t="b">
        <v>1</v>
      </c>
      <c r="G2383" s="2" t="b">
        <v>0</v>
      </c>
      <c r="H2383" s="2" t="s">
        <v>8848</v>
      </c>
      <c r="I2383" s="2" t="s">
        <v>22</v>
      </c>
      <c r="J2383" s="2" t="s">
        <v>123</v>
      </c>
      <c r="K2383" s="2" t="s">
        <v>24</v>
      </c>
      <c r="L2383" s="13" t="s">
        <v>51</v>
      </c>
      <c r="M2383" s="2" t="s">
        <v>26</v>
      </c>
      <c r="N2383" s="24" t="s">
        <v>8793</v>
      </c>
      <c r="O2383" s="12" t="s">
        <v>53</v>
      </c>
      <c r="P2383" s="5" t="str">
        <f>IFERROR(__xludf.DUMMYFUNCTION("TEXTJOIN("" | "",TRUE,IF(OR(D2383="""",E2383="""",I2383="""",J2383="""",H2383=""""),""ফাঁকা ঘর"",""""),IF(AND(C2383&lt;&gt;"""",D2383&lt;&gt;"""",C2383=D2383),""gloss=figurative"",""""),IF(LEN(D2383)&lt;15,""figurative ছোট"",""""),IF(AND(I2383=""Positive"",REGEXMATCH(H2"&amp;"383,""মূর্খ|ভণ্ড|প্রতার|অলস|লোভ|স্বার্থ|অক্ষম|অযোগ্য|বোকা|কৃপণ|হিংস"")),""valence-target অমিল"",""""),IF(COUNTIF($B:$B,B2383)&gt;1,""ডুপ্লিকেট"",""""))"),"")</f>
        <v/>
      </c>
      <c r="Q2383" s="5" t="str">
        <f t="shared" si="1"/>
        <v>২ পরে</v>
      </c>
    </row>
    <row r="2384">
      <c r="A2384" s="4">
        <v>121.0</v>
      </c>
      <c r="B2384" s="2" t="s">
        <v>9245</v>
      </c>
      <c r="C2384" s="2" t="s">
        <v>9246</v>
      </c>
      <c r="D2384" s="2" t="s">
        <v>9247</v>
      </c>
      <c r="E2384" s="2" t="s">
        <v>2139</v>
      </c>
      <c r="F2384" s="2" t="b">
        <v>1</v>
      </c>
      <c r="G2384" s="2" t="b">
        <v>0</v>
      </c>
      <c r="H2384" s="2" t="s">
        <v>9248</v>
      </c>
      <c r="I2384" s="2" t="s">
        <v>49</v>
      </c>
      <c r="J2384" s="2" t="s">
        <v>142</v>
      </c>
      <c r="K2384" s="2" t="s">
        <v>24</v>
      </c>
      <c r="L2384" s="13" t="s">
        <v>51</v>
      </c>
      <c r="M2384" s="2" t="s">
        <v>26</v>
      </c>
      <c r="N2384" s="25" t="s">
        <v>9249</v>
      </c>
      <c r="O2384" s="12" t="s">
        <v>53</v>
      </c>
      <c r="P2384" s="5" t="str">
        <f>IFERROR(__xludf.DUMMYFUNCTION("TEXTJOIN("" | "",TRUE,IF(OR(D2384="""",E2384="""",I2384="""",J2384="""",H2384=""""),""ফাঁকা ঘর"",""""),IF(AND(C2384&lt;&gt;"""",D2384&lt;&gt;"""",C2384=D2384),""gloss=figurative"",""""),IF(LEN(D2384)&lt;15,""figurative ছোট"",""""),IF(AND(I2384=""Positive"",REGEXMATCH(H2"&amp;"384,""মূর্খ|ভণ্ড|প্রতার|অলস|লোভ|স্বার্থ|অক্ষম|অযোগ্য|বোকা|কৃপণ|হিংস"")),""valence-target অমিল"",""""),IF(COUNTIF($B:$B,B2384)&gt;1,""ডুপ্লিকেট"",""""))"),"")</f>
        <v/>
      </c>
      <c r="Q2384" s="5" t="str">
        <f t="shared" si="1"/>
        <v>২ পরে</v>
      </c>
    </row>
    <row r="2385">
      <c r="A2385" s="4">
        <v>122.0</v>
      </c>
      <c r="B2385" s="2" t="s">
        <v>9250</v>
      </c>
      <c r="C2385" s="2" t="s">
        <v>9251</v>
      </c>
      <c r="D2385" s="2" t="s">
        <v>9252</v>
      </c>
      <c r="E2385" s="2" t="s">
        <v>9253</v>
      </c>
      <c r="F2385" s="2" t="b">
        <v>1</v>
      </c>
      <c r="G2385" s="2" t="b">
        <v>0</v>
      </c>
      <c r="H2385" s="2" t="s">
        <v>5067</v>
      </c>
      <c r="I2385" s="2" t="s">
        <v>49</v>
      </c>
      <c r="J2385" s="2" t="s">
        <v>324</v>
      </c>
      <c r="K2385" s="2" t="s">
        <v>24</v>
      </c>
      <c r="L2385" s="13" t="s">
        <v>51</v>
      </c>
      <c r="M2385" s="2" t="s">
        <v>26</v>
      </c>
      <c r="N2385" s="24" t="s">
        <v>8793</v>
      </c>
      <c r="O2385" s="12" t="s">
        <v>53</v>
      </c>
      <c r="P2385" s="5" t="str">
        <f>IFERROR(__xludf.DUMMYFUNCTION("TEXTJOIN("" | "",TRUE,IF(OR(D2385="""",E2385="""",I2385="""",J2385="""",H2385=""""),""ফাঁকা ঘর"",""""),IF(AND(C2385&lt;&gt;"""",D2385&lt;&gt;"""",C2385=D2385),""gloss=figurative"",""""),IF(LEN(D2385)&lt;15,""figurative ছোট"",""""),IF(AND(I2385=""Positive"",REGEXMATCH(H2"&amp;"385,""মূর্খ|ভণ্ড|প্রতার|অলস|লোভ|স্বার্থ|অক্ষম|অযোগ্য|বোকা|কৃপণ|হিংস"")),""valence-target অমিল"",""""),IF(COUNTIF($B:$B,B2385)&gt;1,""ডুপ্লিকেট"",""""))"),"")</f>
        <v/>
      </c>
      <c r="Q2385" s="5" t="str">
        <f t="shared" si="1"/>
        <v>২ পরে</v>
      </c>
    </row>
    <row r="2386">
      <c r="A2386" s="4">
        <v>123.0</v>
      </c>
      <c r="B2386" s="2" t="s">
        <v>9254</v>
      </c>
      <c r="C2386" s="2" t="s">
        <v>9255</v>
      </c>
      <c r="D2386" s="2" t="s">
        <v>9256</v>
      </c>
      <c r="E2386" s="2" t="s">
        <v>9257</v>
      </c>
      <c r="F2386" s="2" t="b">
        <v>1</v>
      </c>
      <c r="G2386" s="2" t="b">
        <v>0</v>
      </c>
      <c r="H2386" s="2" t="s">
        <v>9258</v>
      </c>
      <c r="I2386" s="2" t="s">
        <v>49</v>
      </c>
      <c r="J2386" s="2" t="s">
        <v>1740</v>
      </c>
      <c r="K2386" s="2" t="s">
        <v>24</v>
      </c>
      <c r="L2386" s="13" t="s">
        <v>51</v>
      </c>
      <c r="M2386" s="2" t="s">
        <v>26</v>
      </c>
      <c r="N2386" s="24" t="s">
        <v>8793</v>
      </c>
      <c r="O2386" s="12" t="s">
        <v>53</v>
      </c>
      <c r="P2386" s="5" t="str">
        <f>IFERROR(__xludf.DUMMYFUNCTION("TEXTJOIN("" | "",TRUE,IF(OR(D2386="""",E2386="""",I2386="""",J2386="""",H2386=""""),""ফাঁকা ঘর"",""""),IF(AND(C2386&lt;&gt;"""",D2386&lt;&gt;"""",C2386=D2386),""gloss=figurative"",""""),IF(LEN(D2386)&lt;15,""figurative ছোট"",""""),IF(AND(I2386=""Positive"",REGEXMATCH(H2"&amp;"386,""মূর্খ|ভণ্ড|প্রতার|অলস|লোভ|স্বার্থ|অক্ষম|অযোগ্য|বোকা|কৃপণ|হিংস"")),""valence-target অমিল"",""""),IF(COUNTIF($B:$B,B2386)&gt;1,""ডুপ্লিকেট"",""""))"),"")</f>
        <v/>
      </c>
      <c r="Q2386" s="5" t="str">
        <f t="shared" si="1"/>
        <v>২ পরে</v>
      </c>
    </row>
    <row r="2387">
      <c r="A2387" s="4">
        <v>125.0</v>
      </c>
      <c r="B2387" s="2" t="s">
        <v>9259</v>
      </c>
      <c r="C2387" s="2" t="s">
        <v>9260</v>
      </c>
      <c r="D2387" s="2" t="s">
        <v>9261</v>
      </c>
      <c r="E2387" s="2" t="s">
        <v>9262</v>
      </c>
      <c r="F2387" s="2" t="b">
        <v>1</v>
      </c>
      <c r="G2387" s="2" t="b">
        <v>0</v>
      </c>
      <c r="H2387" s="2" t="s">
        <v>37</v>
      </c>
      <c r="I2387" s="2" t="s">
        <v>22</v>
      </c>
      <c r="J2387" s="2" t="s">
        <v>202</v>
      </c>
      <c r="K2387" s="2" t="s">
        <v>24</v>
      </c>
      <c r="L2387" s="13" t="s">
        <v>51</v>
      </c>
      <c r="M2387" s="2" t="s">
        <v>26</v>
      </c>
      <c r="N2387" s="25" t="s">
        <v>9263</v>
      </c>
      <c r="O2387" s="12" t="s">
        <v>53</v>
      </c>
      <c r="P2387" s="5" t="str">
        <f>IFERROR(__xludf.DUMMYFUNCTION("TEXTJOIN("" | "",TRUE,IF(OR(D2387="""",E2387="""",I2387="""",J2387="""",H2387=""""),""ফাঁকা ঘর"",""""),IF(AND(C2387&lt;&gt;"""",D2387&lt;&gt;"""",C2387=D2387),""gloss=figurative"",""""),IF(LEN(D2387)&lt;15,""figurative ছোট"",""""),IF(AND(I2387=""Positive"",REGEXMATCH(H2"&amp;"387,""মূর্খ|ভণ্ড|প্রতার|অলস|লোভ|স্বার্থ|অক্ষম|অযোগ্য|বোকা|কৃপণ|হিংস"")),""valence-target অমিল"",""""),IF(COUNTIF($B:$B,B2387)&gt;1,""ডুপ্লিকেট"",""""))"),"")</f>
        <v/>
      </c>
      <c r="Q2387" s="5" t="str">
        <f t="shared" si="1"/>
        <v>২ পরে</v>
      </c>
    </row>
    <row r="2388">
      <c r="A2388" s="4">
        <v>126.0</v>
      </c>
      <c r="B2388" s="2" t="s">
        <v>9264</v>
      </c>
      <c r="C2388" s="2" t="s">
        <v>9265</v>
      </c>
      <c r="D2388" s="2" t="s">
        <v>9261</v>
      </c>
      <c r="E2388" s="2" t="s">
        <v>9266</v>
      </c>
      <c r="F2388" s="2" t="b">
        <v>1</v>
      </c>
      <c r="G2388" s="2" t="b">
        <v>0</v>
      </c>
      <c r="H2388" s="2" t="s">
        <v>37</v>
      </c>
      <c r="I2388" s="2" t="s">
        <v>22</v>
      </c>
      <c r="J2388" s="2" t="s">
        <v>202</v>
      </c>
      <c r="K2388" s="2" t="s">
        <v>24</v>
      </c>
      <c r="L2388" s="13" t="s">
        <v>51</v>
      </c>
      <c r="M2388" s="2" t="s">
        <v>26</v>
      </c>
      <c r="N2388" s="25" t="s">
        <v>9267</v>
      </c>
      <c r="O2388" s="12" t="s">
        <v>53</v>
      </c>
      <c r="P2388" s="5" t="str">
        <f>IFERROR(__xludf.DUMMYFUNCTION("TEXTJOIN("" | "",TRUE,IF(OR(D2388="""",E2388="""",I2388="""",J2388="""",H2388=""""),""ফাঁকা ঘর"",""""),IF(AND(C2388&lt;&gt;"""",D2388&lt;&gt;"""",C2388=D2388),""gloss=figurative"",""""),IF(LEN(D2388)&lt;15,""figurative ছোট"",""""),IF(AND(I2388=""Positive"",REGEXMATCH(H2"&amp;"388,""মূর্খ|ভণ্ড|প্রতার|অলস|লোভ|স্বার্থ|অক্ষম|অযোগ্য|বোকা|কৃপণ|হিংস"")),""valence-target অমিল"",""""),IF(COUNTIF($B:$B,B2388)&gt;1,""ডুপ্লিকেট"",""""))"),"")</f>
        <v/>
      </c>
      <c r="Q2388" s="5" t="str">
        <f t="shared" si="1"/>
        <v>২ পরে</v>
      </c>
    </row>
    <row r="2389">
      <c r="A2389" s="4">
        <v>127.0</v>
      </c>
      <c r="B2389" s="2" t="s">
        <v>9268</v>
      </c>
      <c r="C2389" s="2" t="s">
        <v>9269</v>
      </c>
      <c r="D2389" s="2" t="s">
        <v>9270</v>
      </c>
      <c r="E2389" s="2" t="s">
        <v>9271</v>
      </c>
      <c r="F2389" s="2" t="b">
        <v>1</v>
      </c>
      <c r="G2389" s="2" t="b">
        <v>0</v>
      </c>
      <c r="H2389" s="2" t="s">
        <v>9272</v>
      </c>
      <c r="I2389" s="2" t="s">
        <v>22</v>
      </c>
      <c r="J2389" s="2" t="s">
        <v>565</v>
      </c>
      <c r="K2389" s="2" t="s">
        <v>24</v>
      </c>
      <c r="L2389" s="13" t="s">
        <v>51</v>
      </c>
      <c r="M2389" s="2" t="s">
        <v>26</v>
      </c>
      <c r="N2389" s="24" t="s">
        <v>8793</v>
      </c>
      <c r="O2389" s="12" t="s">
        <v>53</v>
      </c>
      <c r="P2389" s="5" t="str">
        <f>IFERROR(__xludf.DUMMYFUNCTION("TEXTJOIN("" | "",TRUE,IF(OR(D2389="""",E2389="""",I2389="""",J2389="""",H2389=""""),""ফাঁকা ঘর"",""""),IF(AND(C2389&lt;&gt;"""",D2389&lt;&gt;"""",C2389=D2389),""gloss=figurative"",""""),IF(LEN(D2389)&lt;15,""figurative ছোট"",""""),IF(AND(I2389=""Positive"",REGEXMATCH(H2"&amp;"389,""মূর্খ|ভণ্ড|প্রতার|অলস|লোভ|স্বার্থ|অক্ষম|অযোগ্য|বোকা|কৃপণ|হিংস"")),""valence-target অমিল"",""""),IF(COUNTIF($B:$B,B2389)&gt;1,""ডুপ্লিকেট"",""""))"),"")</f>
        <v/>
      </c>
      <c r="Q2389" s="5" t="str">
        <f t="shared" si="1"/>
        <v>২ পরে</v>
      </c>
    </row>
    <row r="2390">
      <c r="A2390" s="4">
        <v>128.0</v>
      </c>
      <c r="B2390" s="2" t="s">
        <v>9273</v>
      </c>
      <c r="C2390" s="2" t="s">
        <v>9274</v>
      </c>
      <c r="D2390" s="2" t="s">
        <v>9275</v>
      </c>
      <c r="E2390" s="2" t="s">
        <v>9276</v>
      </c>
      <c r="F2390" s="2" t="b">
        <v>1</v>
      </c>
      <c r="G2390" s="2" t="b">
        <v>0</v>
      </c>
      <c r="H2390" s="2" t="s">
        <v>230</v>
      </c>
      <c r="I2390" s="2" t="s">
        <v>32</v>
      </c>
      <c r="J2390" s="2" t="s">
        <v>142</v>
      </c>
      <c r="K2390" s="2" t="s">
        <v>24</v>
      </c>
      <c r="L2390" s="13" t="s">
        <v>51</v>
      </c>
      <c r="M2390" s="2" t="s">
        <v>26</v>
      </c>
      <c r="N2390" s="25" t="s">
        <v>9277</v>
      </c>
      <c r="O2390" s="12" t="s">
        <v>53</v>
      </c>
      <c r="P2390" s="5" t="str">
        <f>IFERROR(__xludf.DUMMYFUNCTION("TEXTJOIN("" | "",TRUE,IF(OR(D2390="""",E2390="""",I2390="""",J2390="""",H2390=""""),""ফাঁকা ঘর"",""""),IF(AND(C2390&lt;&gt;"""",D2390&lt;&gt;"""",C2390=D2390),""gloss=figurative"",""""),IF(LEN(D2390)&lt;15,""figurative ছোট"",""""),IF(AND(I2390=""Positive"",REGEXMATCH(H2"&amp;"390,""মূর্খ|ভণ্ড|প্রতার|অলস|লোভ|স্বার্থ|অক্ষম|অযোগ্য|বোকা|কৃপণ|হিংস"")),""valence-target অমিল"",""""),IF(COUNTIF($B:$B,B2390)&gt;1,""ডুপ্লিকেট"",""""))"),"")</f>
        <v/>
      </c>
      <c r="Q2390" s="5" t="str">
        <f t="shared" si="1"/>
        <v>২ পরে</v>
      </c>
    </row>
    <row r="2391">
      <c r="A2391" s="4">
        <v>129.0</v>
      </c>
      <c r="B2391" s="2" t="s">
        <v>9278</v>
      </c>
      <c r="C2391" s="2" t="s">
        <v>9279</v>
      </c>
      <c r="D2391" s="2" t="s">
        <v>9280</v>
      </c>
      <c r="E2391" s="2" t="s">
        <v>9281</v>
      </c>
      <c r="F2391" s="2" t="b">
        <v>1</v>
      </c>
      <c r="G2391" s="2" t="b">
        <v>0</v>
      </c>
      <c r="H2391" s="2" t="s">
        <v>230</v>
      </c>
      <c r="I2391" s="2" t="s">
        <v>32</v>
      </c>
      <c r="J2391" s="2" t="s">
        <v>142</v>
      </c>
      <c r="K2391" s="2" t="s">
        <v>24</v>
      </c>
      <c r="L2391" s="13" t="s">
        <v>51</v>
      </c>
      <c r="M2391" s="2" t="s">
        <v>26</v>
      </c>
      <c r="N2391" s="24" t="s">
        <v>8793</v>
      </c>
      <c r="O2391" s="12" t="s">
        <v>53</v>
      </c>
      <c r="P2391" s="5" t="str">
        <f>IFERROR(__xludf.DUMMYFUNCTION("TEXTJOIN("" | "",TRUE,IF(OR(D2391="""",E2391="""",I2391="""",J2391="""",H2391=""""),""ফাঁকা ঘর"",""""),IF(AND(C2391&lt;&gt;"""",D2391&lt;&gt;"""",C2391=D2391),""gloss=figurative"",""""),IF(LEN(D2391)&lt;15,""figurative ছোট"",""""),IF(AND(I2391=""Positive"",REGEXMATCH(H2"&amp;"391,""মূর্খ|ভণ্ড|প্রতার|অলস|লোভ|স্বার্থ|অক্ষম|অযোগ্য|বোকা|কৃপণ|হিংস"")),""valence-target অমিল"",""""),IF(COUNTIF($B:$B,B2391)&gt;1,""ডুপ্লিকেট"",""""))"),"")</f>
        <v/>
      </c>
      <c r="Q2391" s="5" t="str">
        <f t="shared" si="1"/>
        <v>২ পরে</v>
      </c>
    </row>
    <row r="2392">
      <c r="A2392" s="4">
        <v>130.0</v>
      </c>
      <c r="B2392" s="2" t="s">
        <v>9282</v>
      </c>
      <c r="C2392" s="2" t="s">
        <v>9283</v>
      </c>
      <c r="D2392" s="2" t="s">
        <v>9275</v>
      </c>
      <c r="E2392" s="2" t="s">
        <v>9284</v>
      </c>
      <c r="F2392" s="2" t="b">
        <v>1</v>
      </c>
      <c r="G2392" s="2" t="b">
        <v>0</v>
      </c>
      <c r="H2392" s="2" t="s">
        <v>230</v>
      </c>
      <c r="I2392" s="2" t="s">
        <v>32</v>
      </c>
      <c r="J2392" s="2" t="s">
        <v>142</v>
      </c>
      <c r="K2392" s="2" t="s">
        <v>24</v>
      </c>
      <c r="L2392" s="13" t="s">
        <v>51</v>
      </c>
      <c r="M2392" s="2" t="s">
        <v>26</v>
      </c>
      <c r="N2392" s="25" t="s">
        <v>9285</v>
      </c>
      <c r="O2392" s="12" t="s">
        <v>53</v>
      </c>
      <c r="P2392" s="5" t="str">
        <f>IFERROR(__xludf.DUMMYFUNCTION("TEXTJOIN("" | "",TRUE,IF(OR(D2392="""",E2392="""",I2392="""",J2392="""",H2392=""""),""ফাঁকা ঘর"",""""),IF(AND(C2392&lt;&gt;"""",D2392&lt;&gt;"""",C2392=D2392),""gloss=figurative"",""""),IF(LEN(D2392)&lt;15,""figurative ছোট"",""""),IF(AND(I2392=""Positive"",REGEXMATCH(H2"&amp;"392,""মূর্খ|ভণ্ড|প্রতার|অলস|লোভ|স্বার্থ|অক্ষম|অযোগ্য|বোকা|কৃপণ|হিংস"")),""valence-target অমিল"",""""),IF(COUNTIF($B:$B,B2392)&gt;1,""ডুপ্লিকেট"",""""))"),"")</f>
        <v/>
      </c>
      <c r="Q2392" s="5" t="str">
        <f t="shared" si="1"/>
        <v>২ পরে</v>
      </c>
    </row>
    <row r="2393">
      <c r="A2393" s="4">
        <v>131.0</v>
      </c>
      <c r="B2393" s="2" t="s">
        <v>9286</v>
      </c>
      <c r="C2393" s="2" t="s">
        <v>9287</v>
      </c>
      <c r="D2393" s="2" t="s">
        <v>9288</v>
      </c>
      <c r="E2393" s="2" t="s">
        <v>9289</v>
      </c>
      <c r="F2393" s="2" t="b">
        <v>1</v>
      </c>
      <c r="G2393" s="2" t="b">
        <v>0</v>
      </c>
      <c r="H2393" s="2" t="s">
        <v>9290</v>
      </c>
      <c r="I2393" s="2" t="s">
        <v>32</v>
      </c>
      <c r="J2393" s="2" t="s">
        <v>9291</v>
      </c>
      <c r="K2393" s="2" t="s">
        <v>24</v>
      </c>
      <c r="L2393" s="13" t="s">
        <v>51</v>
      </c>
      <c r="M2393" s="2" t="s">
        <v>26</v>
      </c>
      <c r="N2393" s="24" t="s">
        <v>8793</v>
      </c>
      <c r="O2393" s="12" t="s">
        <v>53</v>
      </c>
      <c r="P2393" s="5" t="str">
        <f>IFERROR(__xludf.DUMMYFUNCTION("TEXTJOIN("" | "",TRUE,IF(OR(D2393="""",E2393="""",I2393="""",J2393="""",H2393=""""),""ফাঁকা ঘর"",""""),IF(AND(C2393&lt;&gt;"""",D2393&lt;&gt;"""",C2393=D2393),""gloss=figurative"",""""),IF(LEN(D2393)&lt;15,""figurative ছোট"",""""),IF(AND(I2393=""Positive"",REGEXMATCH(H2"&amp;"393,""মূর্খ|ভণ্ড|প্রতার|অলস|লোভ|স্বার্থ|অক্ষম|অযোগ্য|বোকা|কৃপণ|হিংস"")),""valence-target অমিল"",""""),IF(COUNTIF($B:$B,B2393)&gt;1,""ডুপ্লিকেট"",""""))"),"")</f>
        <v/>
      </c>
      <c r="Q2393" s="5" t="str">
        <f t="shared" si="1"/>
        <v>২ পরে</v>
      </c>
    </row>
    <row r="2394">
      <c r="A2394" s="4">
        <v>132.0</v>
      </c>
      <c r="B2394" s="2" t="s">
        <v>9292</v>
      </c>
      <c r="C2394" s="2" t="s">
        <v>9293</v>
      </c>
      <c r="D2394" s="2" t="s">
        <v>9294</v>
      </c>
      <c r="E2394" s="2" t="s">
        <v>9295</v>
      </c>
      <c r="F2394" s="2" t="b">
        <v>1</v>
      </c>
      <c r="G2394" s="2" t="b">
        <v>0</v>
      </c>
      <c r="H2394" s="2" t="s">
        <v>9296</v>
      </c>
      <c r="I2394" s="2" t="s">
        <v>22</v>
      </c>
      <c r="J2394" s="2" t="s">
        <v>5143</v>
      </c>
      <c r="K2394" s="2" t="s">
        <v>24</v>
      </c>
      <c r="L2394" s="13" t="s">
        <v>51</v>
      </c>
      <c r="M2394" s="2" t="s">
        <v>26</v>
      </c>
      <c r="N2394" s="24" t="s">
        <v>8793</v>
      </c>
      <c r="O2394" s="12" t="s">
        <v>53</v>
      </c>
      <c r="P2394" s="5" t="str">
        <f>IFERROR(__xludf.DUMMYFUNCTION("TEXTJOIN("" | "",TRUE,IF(OR(D2394="""",E2394="""",I2394="""",J2394="""",H2394=""""),""ফাঁকা ঘর"",""""),IF(AND(C2394&lt;&gt;"""",D2394&lt;&gt;"""",C2394=D2394),""gloss=figurative"",""""),IF(LEN(D2394)&lt;15,""figurative ছোট"",""""),IF(AND(I2394=""Positive"",REGEXMATCH(H2"&amp;"394,""মূর্খ|ভণ্ড|প্রতার|অলস|লোভ|স্বার্থ|অক্ষম|অযোগ্য|বোকা|কৃপণ|হিংস"")),""valence-target অমিল"",""""),IF(COUNTIF($B:$B,B2394)&gt;1,""ডুপ্লিকেট"",""""))"),"")</f>
        <v/>
      </c>
      <c r="Q2394" s="5" t="str">
        <f t="shared" si="1"/>
        <v>২ পরে</v>
      </c>
    </row>
    <row r="2395">
      <c r="A2395" s="4">
        <v>133.0</v>
      </c>
      <c r="B2395" s="2" t="s">
        <v>9297</v>
      </c>
      <c r="C2395" s="2" t="s">
        <v>9298</v>
      </c>
      <c r="D2395" s="2" t="s">
        <v>9299</v>
      </c>
      <c r="E2395" s="2" t="s">
        <v>5924</v>
      </c>
      <c r="F2395" s="2" t="b">
        <v>1</v>
      </c>
      <c r="G2395" s="2" t="b">
        <v>0</v>
      </c>
      <c r="H2395" s="2" t="s">
        <v>9300</v>
      </c>
      <c r="I2395" s="2" t="s">
        <v>49</v>
      </c>
      <c r="J2395" s="2" t="s">
        <v>9301</v>
      </c>
      <c r="K2395" s="2" t="s">
        <v>24</v>
      </c>
      <c r="L2395" s="13" t="s">
        <v>51</v>
      </c>
      <c r="M2395" s="2" t="s">
        <v>26</v>
      </c>
      <c r="N2395" s="24" t="s">
        <v>9302</v>
      </c>
      <c r="O2395" s="12" t="s">
        <v>53</v>
      </c>
      <c r="P2395" s="5" t="str">
        <f>IFERROR(__xludf.DUMMYFUNCTION("TEXTJOIN("" | "",TRUE,IF(OR(D2395="""",E2395="""",I2395="""",J2395="""",H2395=""""),""ফাঁকা ঘর"",""""),IF(AND(C2395&lt;&gt;"""",D2395&lt;&gt;"""",C2395=D2395),""gloss=figurative"",""""),IF(LEN(D2395)&lt;15,""figurative ছোট"",""""),IF(AND(I2395=""Positive"",REGEXMATCH(H2"&amp;"395,""মূর্খ|ভণ্ড|প্রতার|অলস|লোভ|স্বার্থ|অক্ষম|অযোগ্য|বোকা|কৃপণ|হিংস"")),""valence-target অমিল"",""""),IF(COUNTIF($B:$B,B2395)&gt;1,""ডুপ্লিকেট"",""""))"),"")</f>
        <v/>
      </c>
      <c r="Q2395" s="5" t="str">
        <f t="shared" si="1"/>
        <v>২ পরে</v>
      </c>
    </row>
    <row r="2396">
      <c r="A2396" s="4">
        <v>134.0</v>
      </c>
      <c r="B2396" s="2" t="s">
        <v>9303</v>
      </c>
      <c r="C2396" s="2" t="s">
        <v>9304</v>
      </c>
      <c r="D2396" s="2" t="s">
        <v>9305</v>
      </c>
      <c r="E2396" s="2" t="s">
        <v>9306</v>
      </c>
      <c r="F2396" s="2" t="b">
        <v>1</v>
      </c>
      <c r="G2396" s="2" t="b">
        <v>0</v>
      </c>
      <c r="H2396" s="2" t="s">
        <v>37</v>
      </c>
      <c r="I2396" s="2" t="s">
        <v>49</v>
      </c>
      <c r="J2396" s="2" t="s">
        <v>8973</v>
      </c>
      <c r="K2396" s="2" t="s">
        <v>24</v>
      </c>
      <c r="L2396" s="13" t="s">
        <v>51</v>
      </c>
      <c r="M2396" s="2" t="s">
        <v>26</v>
      </c>
      <c r="N2396" s="24" t="s">
        <v>9307</v>
      </c>
      <c r="O2396" s="12" t="s">
        <v>53</v>
      </c>
      <c r="P2396" s="5" t="str">
        <f>IFERROR(__xludf.DUMMYFUNCTION("TEXTJOIN("" | "",TRUE,IF(OR(D2396="""",E2396="""",I2396="""",J2396="""",H2396=""""),""ফাঁকা ঘর"",""""),IF(AND(C2396&lt;&gt;"""",D2396&lt;&gt;"""",C2396=D2396),""gloss=figurative"",""""),IF(LEN(D2396)&lt;15,""figurative ছোট"",""""),IF(AND(I2396=""Positive"",REGEXMATCH(H2"&amp;"396,""মূর্খ|ভণ্ড|প্রতার|অলস|লোভ|স্বার্থ|অক্ষম|অযোগ্য|বোকা|কৃপণ|হিংস"")),""valence-target অমিল"",""""),IF(COUNTIF($B:$B,B2396)&gt;1,""ডুপ্লিকেট"",""""))"),"")</f>
        <v/>
      </c>
      <c r="Q2396" s="5" t="str">
        <f t="shared" si="1"/>
        <v>২ পরে</v>
      </c>
    </row>
    <row r="2397">
      <c r="A2397" s="4">
        <v>135.0</v>
      </c>
      <c r="B2397" s="2" t="s">
        <v>9308</v>
      </c>
      <c r="C2397" s="2" t="s">
        <v>9309</v>
      </c>
      <c r="D2397" s="2" t="s">
        <v>9310</v>
      </c>
      <c r="E2397" s="2" t="s">
        <v>9311</v>
      </c>
      <c r="F2397" s="2" t="b">
        <v>1</v>
      </c>
      <c r="G2397" s="2" t="b">
        <v>0</v>
      </c>
      <c r="H2397" s="2" t="s">
        <v>37</v>
      </c>
      <c r="I2397" s="2" t="s">
        <v>32</v>
      </c>
      <c r="J2397" s="2" t="s">
        <v>357</v>
      </c>
      <c r="K2397" s="2" t="s">
        <v>24</v>
      </c>
      <c r="L2397" s="13" t="s">
        <v>51</v>
      </c>
      <c r="M2397" s="2" t="s">
        <v>26</v>
      </c>
      <c r="N2397" s="24" t="s">
        <v>8793</v>
      </c>
      <c r="O2397" s="12" t="s">
        <v>53</v>
      </c>
      <c r="P2397" s="5" t="str">
        <f>IFERROR(__xludf.DUMMYFUNCTION("TEXTJOIN("" | "",TRUE,IF(OR(D2397="""",E2397="""",I2397="""",J2397="""",H2397=""""),""ফাঁকা ঘর"",""""),IF(AND(C2397&lt;&gt;"""",D2397&lt;&gt;"""",C2397=D2397),""gloss=figurative"",""""),IF(LEN(D2397)&lt;15,""figurative ছোট"",""""),IF(AND(I2397=""Positive"",REGEXMATCH(H2"&amp;"397,""মূর্খ|ভণ্ড|প্রতার|অলস|লোভ|স্বার্থ|অক্ষম|অযোগ্য|বোকা|কৃপণ|হিংস"")),""valence-target অমিল"",""""),IF(COUNTIF($B:$B,B2397)&gt;1,""ডুপ্লিকেট"",""""))"),"")</f>
        <v/>
      </c>
      <c r="Q2397" s="5" t="str">
        <f t="shared" si="1"/>
        <v>২ পরে</v>
      </c>
    </row>
    <row r="2398">
      <c r="A2398" s="4">
        <v>136.0</v>
      </c>
      <c r="B2398" s="2" t="s">
        <v>9312</v>
      </c>
      <c r="C2398" s="2" t="s">
        <v>9313</v>
      </c>
      <c r="D2398" s="2" t="s">
        <v>9314</v>
      </c>
      <c r="E2398" s="2" t="s">
        <v>9315</v>
      </c>
      <c r="F2398" s="2" t="b">
        <v>1</v>
      </c>
      <c r="G2398" s="2" t="b">
        <v>0</v>
      </c>
      <c r="H2398" s="2" t="s">
        <v>9272</v>
      </c>
      <c r="I2398" s="2" t="s">
        <v>22</v>
      </c>
      <c r="J2398" s="2" t="s">
        <v>59</v>
      </c>
      <c r="K2398" s="2" t="s">
        <v>24</v>
      </c>
      <c r="L2398" s="13" t="s">
        <v>51</v>
      </c>
      <c r="M2398" s="2" t="s">
        <v>26</v>
      </c>
      <c r="N2398" s="24" t="s">
        <v>8793</v>
      </c>
      <c r="O2398" s="12" t="s">
        <v>53</v>
      </c>
      <c r="P2398" s="5" t="str">
        <f>IFERROR(__xludf.DUMMYFUNCTION("TEXTJOIN("" | "",TRUE,IF(OR(D2398="""",E2398="""",I2398="""",J2398="""",H2398=""""),""ফাঁকা ঘর"",""""),IF(AND(C2398&lt;&gt;"""",D2398&lt;&gt;"""",C2398=D2398),""gloss=figurative"",""""),IF(LEN(D2398)&lt;15,""figurative ছোট"",""""),IF(AND(I2398=""Positive"",REGEXMATCH(H2"&amp;"398,""মূর্খ|ভণ্ড|প্রতার|অলস|লোভ|স্বার্থ|অক্ষম|অযোগ্য|বোকা|কৃপণ|হিংস"")),""valence-target অমিল"",""""),IF(COUNTIF($B:$B,B2398)&gt;1,""ডুপ্লিকেট"",""""))"),"")</f>
        <v/>
      </c>
      <c r="Q2398" s="5" t="str">
        <f t="shared" si="1"/>
        <v>২ পরে</v>
      </c>
    </row>
    <row r="2399">
      <c r="A2399" s="4">
        <v>137.0</v>
      </c>
      <c r="B2399" s="2" t="s">
        <v>9316</v>
      </c>
      <c r="C2399" s="2" t="s">
        <v>9317</v>
      </c>
      <c r="D2399" s="2" t="s">
        <v>9318</v>
      </c>
      <c r="E2399" s="2" t="s">
        <v>9319</v>
      </c>
      <c r="F2399" s="2" t="b">
        <v>1</v>
      </c>
      <c r="G2399" s="2" t="b">
        <v>0</v>
      </c>
      <c r="H2399" s="2" t="s">
        <v>9320</v>
      </c>
      <c r="I2399" s="2" t="s">
        <v>49</v>
      </c>
      <c r="J2399" s="2" t="s">
        <v>9321</v>
      </c>
      <c r="K2399" s="2" t="s">
        <v>24</v>
      </c>
      <c r="L2399" s="13" t="s">
        <v>51</v>
      </c>
      <c r="M2399" s="2" t="s">
        <v>26</v>
      </c>
      <c r="N2399" s="24" t="s">
        <v>8793</v>
      </c>
      <c r="O2399" s="12" t="s">
        <v>53</v>
      </c>
      <c r="P2399" s="5" t="str">
        <f>IFERROR(__xludf.DUMMYFUNCTION("TEXTJOIN("" | "",TRUE,IF(OR(D2399="""",E2399="""",I2399="""",J2399="""",H2399=""""),""ফাঁকা ঘর"",""""),IF(AND(C2399&lt;&gt;"""",D2399&lt;&gt;"""",C2399=D2399),""gloss=figurative"",""""),IF(LEN(D2399)&lt;15,""figurative ছোট"",""""),IF(AND(I2399=""Positive"",REGEXMATCH(H2"&amp;"399,""মূর্খ|ভণ্ড|প্রতার|অলস|লোভ|স্বার্থ|অক্ষম|অযোগ্য|বোকা|কৃপণ|হিংস"")),""valence-target অমিল"",""""),IF(COUNTIF($B:$B,B2399)&gt;1,""ডুপ্লিকেট"",""""))"),"")</f>
        <v/>
      </c>
      <c r="Q2399" s="5" t="str">
        <f t="shared" si="1"/>
        <v>২ পরে</v>
      </c>
    </row>
    <row r="2400">
      <c r="A2400" s="4">
        <v>138.0</v>
      </c>
      <c r="B2400" s="2" t="s">
        <v>9322</v>
      </c>
      <c r="C2400" s="2" t="s">
        <v>9323</v>
      </c>
      <c r="D2400" s="2" t="s">
        <v>9324</v>
      </c>
      <c r="E2400" s="2" t="s">
        <v>9325</v>
      </c>
      <c r="F2400" s="2" t="b">
        <v>1</v>
      </c>
      <c r="G2400" s="2" t="b">
        <v>0</v>
      </c>
      <c r="H2400" s="2" t="s">
        <v>37</v>
      </c>
      <c r="I2400" s="2" t="s">
        <v>49</v>
      </c>
      <c r="J2400" s="2" t="s">
        <v>9326</v>
      </c>
      <c r="K2400" s="2" t="s">
        <v>24</v>
      </c>
      <c r="L2400" s="13" t="s">
        <v>51</v>
      </c>
      <c r="M2400" s="2" t="s">
        <v>26</v>
      </c>
      <c r="N2400" s="24" t="s">
        <v>8793</v>
      </c>
      <c r="O2400" s="12" t="s">
        <v>53</v>
      </c>
      <c r="P2400" s="5" t="str">
        <f>IFERROR(__xludf.DUMMYFUNCTION("TEXTJOIN("" | "",TRUE,IF(OR(D2400="""",E2400="""",I2400="""",J2400="""",H2400=""""),""ফাঁকা ঘর"",""""),IF(AND(C2400&lt;&gt;"""",D2400&lt;&gt;"""",C2400=D2400),""gloss=figurative"",""""),IF(LEN(D2400)&lt;15,""figurative ছোট"",""""),IF(AND(I2400=""Positive"",REGEXMATCH(H2"&amp;"400,""মূর্খ|ভণ্ড|প্রতার|অলস|লোভ|স্বার্থ|অক্ষম|অযোগ্য|বোকা|কৃপণ|হিংস"")),""valence-target অমিল"",""""),IF(COUNTIF($B:$B,B2400)&gt;1,""ডুপ্লিকেট"",""""))"),"")</f>
        <v/>
      </c>
      <c r="Q2400" s="5" t="str">
        <f t="shared" si="1"/>
        <v>২ পরে</v>
      </c>
    </row>
    <row r="2401">
      <c r="A2401" s="4">
        <v>139.0</v>
      </c>
      <c r="B2401" s="2" t="s">
        <v>9327</v>
      </c>
      <c r="C2401" s="2" t="s">
        <v>9328</v>
      </c>
      <c r="D2401" s="2" t="s">
        <v>9329</v>
      </c>
      <c r="E2401" s="2" t="s">
        <v>9330</v>
      </c>
      <c r="F2401" s="2" t="b">
        <v>1</v>
      </c>
      <c r="G2401" s="2" t="b">
        <v>0</v>
      </c>
      <c r="H2401" s="2" t="s">
        <v>9331</v>
      </c>
      <c r="I2401" s="2" t="s">
        <v>32</v>
      </c>
      <c r="J2401" s="2" t="s">
        <v>9332</v>
      </c>
      <c r="K2401" s="2" t="s">
        <v>24</v>
      </c>
      <c r="L2401" s="13" t="s">
        <v>51</v>
      </c>
      <c r="M2401" s="2" t="s">
        <v>26</v>
      </c>
      <c r="N2401" s="24" t="s">
        <v>8793</v>
      </c>
      <c r="O2401" s="12" t="s">
        <v>53</v>
      </c>
      <c r="P2401" s="5" t="str">
        <f>IFERROR(__xludf.DUMMYFUNCTION("TEXTJOIN("" | "",TRUE,IF(OR(D2401="""",E2401="""",I2401="""",J2401="""",H2401=""""),""ফাঁকা ঘর"",""""),IF(AND(C2401&lt;&gt;"""",D2401&lt;&gt;"""",C2401=D2401),""gloss=figurative"",""""),IF(LEN(D2401)&lt;15,""figurative ছোট"",""""),IF(AND(I2401=""Positive"",REGEXMATCH(H2"&amp;"401,""মূর্খ|ভণ্ড|প্রতার|অলস|লোভ|স্বার্থ|অক্ষম|অযোগ্য|বোকা|কৃপণ|হিংস"")),""valence-target অমিল"",""""),IF(COUNTIF($B:$B,B2401)&gt;1,""ডুপ্লিকেট"",""""))"),"")</f>
        <v/>
      </c>
      <c r="Q2401" s="5" t="str">
        <f t="shared" si="1"/>
        <v>২ পরে</v>
      </c>
    </row>
    <row r="2402">
      <c r="A2402" s="4">
        <v>141.0</v>
      </c>
      <c r="B2402" s="2" t="s">
        <v>9333</v>
      </c>
      <c r="C2402" s="2" t="s">
        <v>9334</v>
      </c>
      <c r="D2402" s="2" t="s">
        <v>9335</v>
      </c>
      <c r="E2402" s="2" t="s">
        <v>9336</v>
      </c>
      <c r="F2402" s="2" t="b">
        <v>1</v>
      </c>
      <c r="G2402" s="2" t="b">
        <v>0</v>
      </c>
      <c r="H2402" s="2" t="s">
        <v>89</v>
      </c>
      <c r="I2402" s="2" t="s">
        <v>22</v>
      </c>
      <c r="J2402" s="2" t="s">
        <v>59</v>
      </c>
      <c r="K2402" s="2" t="s">
        <v>24</v>
      </c>
      <c r="L2402" s="13" t="s">
        <v>51</v>
      </c>
      <c r="M2402" s="2" t="s">
        <v>26</v>
      </c>
      <c r="N2402" s="24" t="s">
        <v>8793</v>
      </c>
      <c r="O2402" s="12" t="s">
        <v>53</v>
      </c>
      <c r="P2402" s="5" t="str">
        <f>IFERROR(__xludf.DUMMYFUNCTION("TEXTJOIN("" | "",TRUE,IF(OR(D2402="""",E2402="""",I2402="""",J2402="""",H2402=""""),""ফাঁকা ঘর"",""""),IF(AND(C2402&lt;&gt;"""",D2402&lt;&gt;"""",C2402=D2402),""gloss=figurative"",""""),IF(LEN(D2402)&lt;15,""figurative ছোট"",""""),IF(AND(I2402=""Positive"",REGEXMATCH(H2"&amp;"402,""মূর্খ|ভণ্ড|প্রতার|অলস|লোভ|স্বার্থ|অক্ষম|অযোগ্য|বোকা|কৃপণ|হিংস"")),""valence-target অমিল"",""""),IF(COUNTIF($B:$B,B2402)&gt;1,""ডুপ্লিকেট"",""""))"),"")</f>
        <v/>
      </c>
      <c r="Q2402" s="5" t="str">
        <f t="shared" si="1"/>
        <v>২ পরে</v>
      </c>
    </row>
    <row r="2403">
      <c r="A2403" s="4">
        <v>142.0</v>
      </c>
      <c r="B2403" s="2" t="s">
        <v>9337</v>
      </c>
      <c r="C2403" s="2" t="s">
        <v>9338</v>
      </c>
      <c r="D2403" s="2" t="s">
        <v>9339</v>
      </c>
      <c r="E2403" s="2" t="s">
        <v>9340</v>
      </c>
      <c r="F2403" s="2" t="b">
        <v>1</v>
      </c>
      <c r="G2403" s="2" t="b">
        <v>0</v>
      </c>
      <c r="H2403" s="2" t="s">
        <v>189</v>
      </c>
      <c r="I2403" s="2" t="s">
        <v>22</v>
      </c>
      <c r="J2403" s="2" t="s">
        <v>59</v>
      </c>
      <c r="K2403" s="2" t="s">
        <v>24</v>
      </c>
      <c r="L2403" s="13" t="s">
        <v>51</v>
      </c>
      <c r="M2403" s="2" t="s">
        <v>26</v>
      </c>
      <c r="N2403" s="24" t="s">
        <v>8793</v>
      </c>
      <c r="O2403" s="12" t="s">
        <v>53</v>
      </c>
      <c r="P2403" s="5" t="str">
        <f>IFERROR(__xludf.DUMMYFUNCTION("TEXTJOIN("" | "",TRUE,IF(OR(D2403="""",E2403="""",I2403="""",J2403="""",H2403=""""),""ফাঁকা ঘর"",""""),IF(AND(C2403&lt;&gt;"""",D2403&lt;&gt;"""",C2403=D2403),""gloss=figurative"",""""),IF(LEN(D2403)&lt;15,""figurative ছোট"",""""),IF(AND(I2403=""Positive"",REGEXMATCH(H2"&amp;"403,""মূর্খ|ভণ্ড|প্রতার|অলস|লোভ|স্বার্থ|অক্ষম|অযোগ্য|বোকা|কৃপণ|হিংস"")),""valence-target অমিল"",""""),IF(COUNTIF($B:$B,B2403)&gt;1,""ডুপ্লিকেট"",""""))"),"")</f>
        <v/>
      </c>
      <c r="Q2403" s="5" t="str">
        <f t="shared" si="1"/>
        <v>২ পরে</v>
      </c>
    </row>
    <row r="2404">
      <c r="A2404" s="4">
        <v>143.0</v>
      </c>
      <c r="B2404" s="2" t="s">
        <v>9341</v>
      </c>
      <c r="C2404" s="2" t="s">
        <v>9342</v>
      </c>
      <c r="D2404" s="2" t="s">
        <v>9343</v>
      </c>
      <c r="E2404" s="2" t="s">
        <v>9344</v>
      </c>
      <c r="F2404" s="2" t="b">
        <v>1</v>
      </c>
      <c r="G2404" s="2" t="b">
        <v>0</v>
      </c>
      <c r="H2404" s="2" t="s">
        <v>37</v>
      </c>
      <c r="I2404" s="2" t="s">
        <v>32</v>
      </c>
      <c r="J2404" s="2" t="s">
        <v>9037</v>
      </c>
      <c r="K2404" s="2" t="s">
        <v>24</v>
      </c>
      <c r="L2404" s="13" t="s">
        <v>51</v>
      </c>
      <c r="M2404" s="2" t="s">
        <v>26</v>
      </c>
      <c r="N2404" s="24" t="s">
        <v>8793</v>
      </c>
      <c r="O2404" s="12" t="s">
        <v>53</v>
      </c>
      <c r="P2404" s="5" t="str">
        <f>IFERROR(__xludf.DUMMYFUNCTION("TEXTJOIN("" | "",TRUE,IF(OR(D2404="""",E2404="""",I2404="""",J2404="""",H2404=""""),""ফাঁকা ঘর"",""""),IF(AND(C2404&lt;&gt;"""",D2404&lt;&gt;"""",C2404=D2404),""gloss=figurative"",""""),IF(LEN(D2404)&lt;15,""figurative ছোট"",""""),IF(AND(I2404=""Positive"",REGEXMATCH(H2"&amp;"404,""মূর্খ|ভণ্ড|প্রতার|অলস|লোভ|স্বার্থ|অক্ষম|অযোগ্য|বোকা|কৃপণ|হিংস"")),""valence-target অমিল"",""""),IF(COUNTIF($B:$B,B2404)&gt;1,""ডুপ্লিকেট"",""""))"),"")</f>
        <v/>
      </c>
      <c r="Q2404" s="5" t="str">
        <f t="shared" si="1"/>
        <v>২ পরে</v>
      </c>
    </row>
    <row r="2405">
      <c r="A2405" s="4">
        <v>144.0</v>
      </c>
      <c r="B2405" s="2" t="s">
        <v>9345</v>
      </c>
      <c r="C2405" s="2" t="s">
        <v>9346</v>
      </c>
      <c r="D2405" s="2" t="s">
        <v>9347</v>
      </c>
      <c r="E2405" s="2" t="s">
        <v>7607</v>
      </c>
      <c r="F2405" s="2" t="b">
        <v>1</v>
      </c>
      <c r="G2405" s="2" t="b">
        <v>0</v>
      </c>
      <c r="H2405" s="2" t="s">
        <v>9348</v>
      </c>
      <c r="I2405" s="2" t="s">
        <v>32</v>
      </c>
      <c r="J2405" s="2" t="s">
        <v>59</v>
      </c>
      <c r="K2405" s="2" t="s">
        <v>24</v>
      </c>
      <c r="L2405" s="13" t="s">
        <v>51</v>
      </c>
      <c r="M2405" s="2" t="s">
        <v>26</v>
      </c>
      <c r="N2405" s="24" t="s">
        <v>8793</v>
      </c>
      <c r="O2405" s="12" t="s">
        <v>53</v>
      </c>
      <c r="P2405" s="5" t="str">
        <f>IFERROR(__xludf.DUMMYFUNCTION("TEXTJOIN("" | "",TRUE,IF(OR(D2405="""",E2405="""",I2405="""",J2405="""",H2405=""""),""ফাঁকা ঘর"",""""),IF(AND(C2405&lt;&gt;"""",D2405&lt;&gt;"""",C2405=D2405),""gloss=figurative"",""""),IF(LEN(D2405)&lt;15,""figurative ছোট"",""""),IF(AND(I2405=""Positive"",REGEXMATCH(H2"&amp;"405,""মূর্খ|ভণ্ড|প্রতার|অলস|লোভ|স্বার্থ|অক্ষম|অযোগ্য|বোকা|কৃপণ|হিংস"")),""valence-target অমিল"",""""),IF(COUNTIF($B:$B,B2405)&gt;1,""ডুপ্লিকেট"",""""))"),"")</f>
        <v/>
      </c>
      <c r="Q2405" s="5" t="str">
        <f t="shared" si="1"/>
        <v>২ পরে</v>
      </c>
    </row>
    <row r="2406">
      <c r="A2406" s="4">
        <v>145.0</v>
      </c>
      <c r="B2406" s="2" t="s">
        <v>9349</v>
      </c>
      <c r="C2406" s="2" t="s">
        <v>9350</v>
      </c>
      <c r="D2406" s="2" t="s">
        <v>9351</v>
      </c>
      <c r="E2406" s="2" t="s">
        <v>9352</v>
      </c>
      <c r="F2406" s="2" t="b">
        <v>1</v>
      </c>
      <c r="G2406" s="2" t="b">
        <v>0</v>
      </c>
      <c r="H2406" s="2" t="s">
        <v>9353</v>
      </c>
      <c r="I2406" s="2" t="s">
        <v>22</v>
      </c>
      <c r="J2406" s="2" t="s">
        <v>59</v>
      </c>
      <c r="K2406" s="2" t="s">
        <v>24</v>
      </c>
      <c r="L2406" s="13" t="s">
        <v>51</v>
      </c>
      <c r="M2406" s="2" t="s">
        <v>26</v>
      </c>
      <c r="N2406" s="24" t="s">
        <v>9354</v>
      </c>
      <c r="O2406" s="12" t="s">
        <v>53</v>
      </c>
      <c r="P2406" s="5" t="str">
        <f>IFERROR(__xludf.DUMMYFUNCTION("TEXTJOIN("" | "",TRUE,IF(OR(D2406="""",E2406="""",I2406="""",J2406="""",H2406=""""),""ফাঁকা ঘর"",""""),IF(AND(C2406&lt;&gt;"""",D2406&lt;&gt;"""",C2406=D2406),""gloss=figurative"",""""),IF(LEN(D2406)&lt;15,""figurative ছোট"",""""),IF(AND(I2406=""Positive"",REGEXMATCH(H2"&amp;"406,""মূর্খ|ভণ্ড|প্রতার|অলস|লোভ|স্বার্থ|অক্ষম|অযোগ্য|বোকা|কৃপণ|হিংস"")),""valence-target অমিল"",""""),IF(COUNTIF($B:$B,B2406)&gt;1,""ডুপ্লিকেট"",""""))"),"")</f>
        <v/>
      </c>
      <c r="Q2406" s="5" t="str">
        <f t="shared" si="1"/>
        <v>২ পরে</v>
      </c>
    </row>
    <row r="2407">
      <c r="A2407" s="4">
        <v>146.0</v>
      </c>
      <c r="B2407" s="2" t="s">
        <v>9355</v>
      </c>
      <c r="C2407" s="2" t="s">
        <v>9356</v>
      </c>
      <c r="D2407" s="2" t="s">
        <v>9357</v>
      </c>
      <c r="E2407" s="2" t="s">
        <v>9358</v>
      </c>
      <c r="F2407" s="2" t="b">
        <v>1</v>
      </c>
      <c r="G2407" s="2" t="b">
        <v>0</v>
      </c>
      <c r="H2407" s="2" t="s">
        <v>9359</v>
      </c>
      <c r="I2407" s="2" t="s">
        <v>22</v>
      </c>
      <c r="J2407" s="2" t="s">
        <v>59</v>
      </c>
      <c r="K2407" s="2" t="s">
        <v>24</v>
      </c>
      <c r="L2407" s="13" t="s">
        <v>51</v>
      </c>
      <c r="M2407" s="2" t="s">
        <v>26</v>
      </c>
      <c r="N2407" s="24" t="s">
        <v>9360</v>
      </c>
      <c r="O2407" s="12" t="s">
        <v>53</v>
      </c>
      <c r="P2407" s="5" t="str">
        <f>IFERROR(__xludf.DUMMYFUNCTION("TEXTJOIN("" | "",TRUE,IF(OR(D2407="""",E2407="""",I2407="""",J2407="""",H2407=""""),""ফাঁকা ঘর"",""""),IF(AND(C2407&lt;&gt;"""",D2407&lt;&gt;"""",C2407=D2407),""gloss=figurative"",""""),IF(LEN(D2407)&lt;15,""figurative ছোট"",""""),IF(AND(I2407=""Positive"",REGEXMATCH(H2"&amp;"407,""মূর্খ|ভণ্ড|প্রতার|অলস|লোভ|স্বার্থ|অক্ষম|অযোগ্য|বোকা|কৃপণ|হিংস"")),""valence-target অমিল"",""""),IF(COUNTIF($B:$B,B2407)&gt;1,""ডুপ্লিকেট"",""""))"),"")</f>
        <v/>
      </c>
      <c r="Q2407" s="5" t="str">
        <f t="shared" si="1"/>
        <v>২ পরে</v>
      </c>
    </row>
    <row r="2408">
      <c r="A2408" s="4">
        <v>147.0</v>
      </c>
      <c r="B2408" s="2" t="s">
        <v>9361</v>
      </c>
      <c r="C2408" s="2" t="s">
        <v>9362</v>
      </c>
      <c r="D2408" s="2" t="s">
        <v>9363</v>
      </c>
      <c r="E2408" s="2" t="s">
        <v>9364</v>
      </c>
      <c r="F2408" s="2" t="b">
        <v>1</v>
      </c>
      <c r="G2408" s="2" t="b">
        <v>0</v>
      </c>
      <c r="H2408" s="2" t="s">
        <v>8772</v>
      </c>
      <c r="I2408" s="2" t="s">
        <v>22</v>
      </c>
      <c r="J2408" s="2" t="s">
        <v>324</v>
      </c>
      <c r="K2408" s="2" t="s">
        <v>24</v>
      </c>
      <c r="L2408" s="13" t="s">
        <v>51</v>
      </c>
      <c r="M2408" s="2" t="s">
        <v>26</v>
      </c>
      <c r="N2408" s="24" t="s">
        <v>8793</v>
      </c>
      <c r="O2408" s="12" t="s">
        <v>53</v>
      </c>
      <c r="P2408" s="5" t="str">
        <f>IFERROR(__xludf.DUMMYFUNCTION("TEXTJOIN("" | "",TRUE,IF(OR(D2408="""",E2408="""",I2408="""",J2408="""",H2408=""""),""ফাঁকা ঘর"",""""),IF(AND(C2408&lt;&gt;"""",D2408&lt;&gt;"""",C2408=D2408),""gloss=figurative"",""""),IF(LEN(D2408)&lt;15,""figurative ছোট"",""""),IF(AND(I2408=""Positive"",REGEXMATCH(H2"&amp;"408,""মূর্খ|ভণ্ড|প্রতার|অলস|লোভ|স্বার্থ|অক্ষম|অযোগ্য|বোকা|কৃপণ|হিংস"")),""valence-target অমিল"",""""),IF(COUNTIF($B:$B,B2408)&gt;1,""ডুপ্লিকেট"",""""))"),"")</f>
        <v/>
      </c>
      <c r="Q2408" s="5" t="str">
        <f t="shared" si="1"/>
        <v>২ পরে</v>
      </c>
    </row>
    <row r="2409">
      <c r="A2409" s="4">
        <v>148.0</v>
      </c>
      <c r="B2409" s="2" t="s">
        <v>9365</v>
      </c>
      <c r="C2409" s="2" t="s">
        <v>9366</v>
      </c>
      <c r="D2409" s="2" t="s">
        <v>9367</v>
      </c>
      <c r="E2409" s="2" t="s">
        <v>9368</v>
      </c>
      <c r="F2409" s="2" t="b">
        <v>1</v>
      </c>
      <c r="G2409" s="2" t="b">
        <v>0</v>
      </c>
      <c r="H2409" s="2" t="s">
        <v>9369</v>
      </c>
      <c r="I2409" s="2" t="s">
        <v>32</v>
      </c>
      <c r="J2409" s="2" t="s">
        <v>142</v>
      </c>
      <c r="K2409" s="2" t="s">
        <v>24</v>
      </c>
      <c r="L2409" s="13" t="s">
        <v>51</v>
      </c>
      <c r="M2409" s="2" t="s">
        <v>26</v>
      </c>
      <c r="N2409" s="25" t="s">
        <v>9370</v>
      </c>
      <c r="O2409" s="12" t="s">
        <v>53</v>
      </c>
      <c r="P2409" s="5" t="str">
        <f>IFERROR(__xludf.DUMMYFUNCTION("TEXTJOIN("" | "",TRUE,IF(OR(D2409="""",E2409="""",I2409="""",J2409="""",H2409=""""),""ফাঁকা ঘর"",""""),IF(AND(C2409&lt;&gt;"""",D2409&lt;&gt;"""",C2409=D2409),""gloss=figurative"",""""),IF(LEN(D2409)&lt;15,""figurative ছোট"",""""),IF(AND(I2409=""Positive"",REGEXMATCH(H2"&amp;"409,""মূর্খ|ভণ্ড|প্রতার|অলস|লোভ|স্বার্থ|অক্ষম|অযোগ্য|বোকা|কৃপণ|হিংস"")),""valence-target অমিল"",""""),IF(COUNTIF($B:$B,B2409)&gt;1,""ডুপ্লিকেট"",""""))"),"")</f>
        <v/>
      </c>
      <c r="Q2409" s="5" t="str">
        <f t="shared" si="1"/>
        <v>২ পরে</v>
      </c>
    </row>
    <row r="2410">
      <c r="A2410" s="4">
        <v>149.0</v>
      </c>
      <c r="B2410" s="2" t="s">
        <v>9371</v>
      </c>
      <c r="C2410" s="2" t="s">
        <v>9372</v>
      </c>
      <c r="D2410" s="2" t="s">
        <v>9373</v>
      </c>
      <c r="E2410" s="2" t="s">
        <v>9374</v>
      </c>
      <c r="F2410" s="2" t="b">
        <v>1</v>
      </c>
      <c r="G2410" s="2" t="b">
        <v>0</v>
      </c>
      <c r="H2410" s="2" t="s">
        <v>37</v>
      </c>
      <c r="I2410" s="2" t="s">
        <v>32</v>
      </c>
      <c r="J2410" s="2" t="s">
        <v>9375</v>
      </c>
      <c r="K2410" s="2" t="s">
        <v>24</v>
      </c>
      <c r="L2410" s="13" t="s">
        <v>51</v>
      </c>
      <c r="M2410" s="2" t="s">
        <v>26</v>
      </c>
      <c r="N2410" s="24" t="s">
        <v>8793</v>
      </c>
      <c r="O2410" s="12" t="s">
        <v>53</v>
      </c>
      <c r="P2410" s="5" t="str">
        <f>IFERROR(__xludf.DUMMYFUNCTION("TEXTJOIN("" | "",TRUE,IF(OR(D2410="""",E2410="""",I2410="""",J2410="""",H2410=""""),""ফাঁকা ঘর"",""""),IF(AND(C2410&lt;&gt;"""",D2410&lt;&gt;"""",C2410=D2410),""gloss=figurative"",""""),IF(LEN(D2410)&lt;15,""figurative ছোট"",""""),IF(AND(I2410=""Positive"",REGEXMATCH(H2"&amp;"410,""মূর্খ|ভণ্ড|প্রতার|অলস|লোভ|স্বার্থ|অক্ষম|অযোগ্য|বোকা|কৃপণ|হিংস"")),""valence-target অমিল"",""""),IF(COUNTIF($B:$B,B2410)&gt;1,""ডুপ্লিকেট"",""""))"),"")</f>
        <v/>
      </c>
      <c r="Q2410" s="5" t="str">
        <f t="shared" si="1"/>
        <v>২ পরে</v>
      </c>
    </row>
    <row r="2411">
      <c r="A2411" s="4">
        <v>152.0</v>
      </c>
      <c r="B2411" s="2" t="s">
        <v>9376</v>
      </c>
      <c r="C2411" s="2" t="s">
        <v>9377</v>
      </c>
      <c r="D2411" s="2" t="s">
        <v>9378</v>
      </c>
      <c r="E2411" s="2" t="s">
        <v>9379</v>
      </c>
      <c r="F2411" s="2" t="b">
        <v>1</v>
      </c>
      <c r="G2411" s="2" t="b">
        <v>0</v>
      </c>
      <c r="H2411" s="2" t="s">
        <v>9380</v>
      </c>
      <c r="I2411" s="2" t="s">
        <v>22</v>
      </c>
      <c r="J2411" s="2" t="s">
        <v>59</v>
      </c>
      <c r="K2411" s="2" t="s">
        <v>24</v>
      </c>
      <c r="L2411" s="13" t="s">
        <v>51</v>
      </c>
      <c r="M2411" s="2" t="s">
        <v>26</v>
      </c>
      <c r="N2411" s="24" t="s">
        <v>8793</v>
      </c>
      <c r="O2411" s="12" t="s">
        <v>53</v>
      </c>
      <c r="P2411" s="5" t="str">
        <f>IFERROR(__xludf.DUMMYFUNCTION("TEXTJOIN("" | "",TRUE,IF(OR(D2411="""",E2411="""",I2411="""",J2411="""",H2411=""""),""ফাঁকা ঘর"",""""),IF(AND(C2411&lt;&gt;"""",D2411&lt;&gt;"""",C2411=D2411),""gloss=figurative"",""""),IF(LEN(D2411)&lt;15,""figurative ছোট"",""""),IF(AND(I2411=""Positive"",REGEXMATCH(H2"&amp;"411,""মূর্খ|ভণ্ড|প্রতার|অলস|লোভ|স্বার্থ|অক্ষম|অযোগ্য|বোকা|কৃপণ|হিংস"")),""valence-target অমিল"",""""),IF(COUNTIF($B:$B,B2411)&gt;1,""ডুপ্লিকেট"",""""))"),"")</f>
        <v/>
      </c>
      <c r="Q2411" s="5" t="str">
        <f t="shared" si="1"/>
        <v>২ পরে</v>
      </c>
    </row>
    <row r="2412">
      <c r="A2412" s="4">
        <v>153.0</v>
      </c>
      <c r="B2412" s="2" t="s">
        <v>9381</v>
      </c>
      <c r="C2412" s="2" t="s">
        <v>9382</v>
      </c>
      <c r="D2412" s="2" t="s">
        <v>9383</v>
      </c>
      <c r="E2412" s="2" t="s">
        <v>9384</v>
      </c>
      <c r="F2412" s="2" t="b">
        <v>1</v>
      </c>
      <c r="G2412" s="2" t="b">
        <v>0</v>
      </c>
      <c r="H2412" s="2" t="s">
        <v>2482</v>
      </c>
      <c r="I2412" s="2" t="s">
        <v>32</v>
      </c>
      <c r="J2412" s="2" t="s">
        <v>9385</v>
      </c>
      <c r="K2412" s="2" t="s">
        <v>24</v>
      </c>
      <c r="L2412" s="13" t="s">
        <v>51</v>
      </c>
      <c r="M2412" s="2" t="s">
        <v>26</v>
      </c>
      <c r="N2412" s="24" t="s">
        <v>8793</v>
      </c>
      <c r="O2412" s="12" t="s">
        <v>53</v>
      </c>
      <c r="P2412" s="5" t="str">
        <f>IFERROR(__xludf.DUMMYFUNCTION("TEXTJOIN("" | "",TRUE,IF(OR(D2412="""",E2412="""",I2412="""",J2412="""",H2412=""""),""ফাঁকা ঘর"",""""),IF(AND(C2412&lt;&gt;"""",D2412&lt;&gt;"""",C2412=D2412),""gloss=figurative"",""""),IF(LEN(D2412)&lt;15,""figurative ছোট"",""""),IF(AND(I2412=""Positive"",REGEXMATCH(H2"&amp;"412,""মূর্খ|ভণ্ড|প্রতার|অলস|লোভ|স্বার্থ|অক্ষম|অযোগ্য|বোকা|কৃপণ|হিংস"")),""valence-target অমিল"",""""),IF(COUNTIF($B:$B,B2412)&gt;1,""ডুপ্লিকেট"",""""))"),"")</f>
        <v/>
      </c>
      <c r="Q2412" s="5" t="str">
        <f t="shared" si="1"/>
        <v>২ পরে</v>
      </c>
    </row>
    <row r="2413">
      <c r="A2413" s="4">
        <v>154.0</v>
      </c>
      <c r="B2413" s="2" t="s">
        <v>9386</v>
      </c>
      <c r="C2413" s="2" t="s">
        <v>2711</v>
      </c>
      <c r="D2413" s="2" t="s">
        <v>9387</v>
      </c>
      <c r="E2413" s="2" t="s">
        <v>9388</v>
      </c>
      <c r="F2413" s="2" t="b">
        <v>1</v>
      </c>
      <c r="G2413" s="2" t="b">
        <v>0</v>
      </c>
      <c r="H2413" s="2" t="s">
        <v>9135</v>
      </c>
      <c r="I2413" s="2" t="s">
        <v>32</v>
      </c>
      <c r="J2413" s="2" t="s">
        <v>9389</v>
      </c>
      <c r="K2413" s="2" t="s">
        <v>24</v>
      </c>
      <c r="L2413" s="13" t="s">
        <v>51</v>
      </c>
      <c r="M2413" s="2" t="s">
        <v>26</v>
      </c>
      <c r="N2413" s="24" t="s">
        <v>9390</v>
      </c>
      <c r="O2413" s="12" t="s">
        <v>53</v>
      </c>
      <c r="P2413" s="5" t="str">
        <f>IFERROR(__xludf.DUMMYFUNCTION("TEXTJOIN("" | "",TRUE,IF(OR(D2413="""",E2413="""",I2413="""",J2413="""",H2413=""""),""ফাঁকা ঘর"",""""),IF(AND(C2413&lt;&gt;"""",D2413&lt;&gt;"""",C2413=D2413),""gloss=figurative"",""""),IF(LEN(D2413)&lt;15,""figurative ছোট"",""""),IF(AND(I2413=""Positive"",REGEXMATCH(H2"&amp;"413,""মূর্খ|ভণ্ড|প্রতার|অলস|লোভ|স্বার্থ|অক্ষম|অযোগ্য|বোকা|কৃপণ|হিংস"")),""valence-target অমিল"",""""),IF(COUNTIF($B:$B,B2413)&gt;1,""ডুপ্লিকেট"",""""))"),"")</f>
        <v/>
      </c>
      <c r="Q2413" s="5" t="str">
        <f t="shared" si="1"/>
        <v>২ পরে</v>
      </c>
    </row>
    <row r="2414">
      <c r="A2414" s="4">
        <v>155.0</v>
      </c>
      <c r="B2414" s="2" t="s">
        <v>9391</v>
      </c>
      <c r="C2414" s="2" t="s">
        <v>9392</v>
      </c>
      <c r="D2414" s="2" t="s">
        <v>9393</v>
      </c>
      <c r="E2414" s="2" t="s">
        <v>9394</v>
      </c>
      <c r="F2414" s="2" t="b">
        <v>1</v>
      </c>
      <c r="G2414" s="2" t="b">
        <v>0</v>
      </c>
      <c r="H2414" s="2" t="s">
        <v>9395</v>
      </c>
      <c r="I2414" s="2" t="s">
        <v>32</v>
      </c>
      <c r="J2414" s="2" t="s">
        <v>3416</v>
      </c>
      <c r="K2414" s="2" t="s">
        <v>24</v>
      </c>
      <c r="L2414" s="13" t="s">
        <v>51</v>
      </c>
      <c r="M2414" s="2" t="s">
        <v>26</v>
      </c>
      <c r="N2414" s="25" t="s">
        <v>9396</v>
      </c>
      <c r="O2414" s="12" t="s">
        <v>53</v>
      </c>
      <c r="P2414" s="5" t="str">
        <f>IFERROR(__xludf.DUMMYFUNCTION("TEXTJOIN("" | "",TRUE,IF(OR(D2414="""",E2414="""",I2414="""",J2414="""",H2414=""""),""ফাঁকা ঘর"",""""),IF(AND(C2414&lt;&gt;"""",D2414&lt;&gt;"""",C2414=D2414),""gloss=figurative"",""""),IF(LEN(D2414)&lt;15,""figurative ছোট"",""""),IF(AND(I2414=""Positive"",REGEXMATCH(H2"&amp;"414,""মূর্খ|ভণ্ড|প্রতার|অলস|লোভ|স্বার্থ|অক্ষম|অযোগ্য|বোকা|কৃপণ|হিংস"")),""valence-target অমিল"",""""),IF(COUNTIF($B:$B,B2414)&gt;1,""ডুপ্লিকেট"",""""))"),"")</f>
        <v/>
      </c>
      <c r="Q2414" s="5" t="str">
        <f t="shared" si="1"/>
        <v>২ পরে</v>
      </c>
    </row>
    <row r="2415">
      <c r="A2415" s="4">
        <v>156.0</v>
      </c>
      <c r="B2415" s="2" t="s">
        <v>9397</v>
      </c>
      <c r="C2415" s="2" t="s">
        <v>3316</v>
      </c>
      <c r="D2415" s="2" t="s">
        <v>9398</v>
      </c>
      <c r="E2415" s="2" t="s">
        <v>9399</v>
      </c>
      <c r="F2415" s="2" t="b">
        <v>1</v>
      </c>
      <c r="G2415" s="2" t="b">
        <v>0</v>
      </c>
      <c r="H2415" s="2" t="s">
        <v>9400</v>
      </c>
      <c r="I2415" s="2" t="s">
        <v>49</v>
      </c>
      <c r="J2415" s="2" t="s">
        <v>9401</v>
      </c>
      <c r="K2415" s="2" t="s">
        <v>24</v>
      </c>
      <c r="L2415" s="13" t="s">
        <v>51</v>
      </c>
      <c r="M2415" s="2" t="s">
        <v>26</v>
      </c>
      <c r="N2415" s="24" t="s">
        <v>8793</v>
      </c>
      <c r="O2415" s="12" t="s">
        <v>53</v>
      </c>
      <c r="P2415" s="5" t="str">
        <f>IFERROR(__xludf.DUMMYFUNCTION("TEXTJOIN("" | "",TRUE,IF(OR(D2415="""",E2415="""",I2415="""",J2415="""",H2415=""""),""ফাঁকা ঘর"",""""),IF(AND(C2415&lt;&gt;"""",D2415&lt;&gt;"""",C2415=D2415),""gloss=figurative"",""""),IF(LEN(D2415)&lt;15,""figurative ছোট"",""""),IF(AND(I2415=""Positive"",REGEXMATCH(H2"&amp;"415,""মূর্খ|ভণ্ড|প্রতার|অলস|লোভ|স্বার্থ|অক্ষম|অযোগ্য|বোকা|কৃপণ|হিংস"")),""valence-target অমিল"",""""),IF(COUNTIF($B:$B,B2415)&gt;1,""ডুপ্লিকেট"",""""))"),"")</f>
        <v/>
      </c>
      <c r="Q2415" s="5" t="str">
        <f t="shared" si="1"/>
        <v>২ পরে</v>
      </c>
    </row>
    <row r="2416">
      <c r="A2416" s="4">
        <v>157.0</v>
      </c>
      <c r="B2416" s="2" t="s">
        <v>9402</v>
      </c>
      <c r="C2416" s="2" t="s">
        <v>9403</v>
      </c>
      <c r="D2416" s="2" t="s">
        <v>9404</v>
      </c>
      <c r="E2416" s="2" t="s">
        <v>9405</v>
      </c>
      <c r="F2416" s="2" t="b">
        <v>1</v>
      </c>
      <c r="G2416" s="2" t="b">
        <v>0</v>
      </c>
      <c r="H2416" s="2" t="s">
        <v>9406</v>
      </c>
      <c r="I2416" s="2" t="s">
        <v>49</v>
      </c>
      <c r="J2416" s="2" t="s">
        <v>9407</v>
      </c>
      <c r="K2416" s="2" t="s">
        <v>24</v>
      </c>
      <c r="L2416" s="13" t="s">
        <v>51</v>
      </c>
      <c r="M2416" s="2" t="s">
        <v>26</v>
      </c>
      <c r="N2416" s="24" t="s">
        <v>8793</v>
      </c>
      <c r="O2416" s="12" t="s">
        <v>53</v>
      </c>
      <c r="P2416" s="5" t="str">
        <f>IFERROR(__xludf.DUMMYFUNCTION("TEXTJOIN("" | "",TRUE,IF(OR(D2416="""",E2416="""",I2416="""",J2416="""",H2416=""""),""ফাঁকা ঘর"",""""),IF(AND(C2416&lt;&gt;"""",D2416&lt;&gt;"""",C2416=D2416),""gloss=figurative"",""""),IF(LEN(D2416)&lt;15,""figurative ছোট"",""""),IF(AND(I2416=""Positive"",REGEXMATCH(H2"&amp;"416,""মূর্খ|ভণ্ড|প্রতার|অলস|লোভ|স্বার্থ|অক্ষম|অযোগ্য|বোকা|কৃপণ|হিংস"")),""valence-target অমিল"",""""),IF(COUNTIF($B:$B,B2416)&gt;1,""ডুপ্লিকেট"",""""))"),"")</f>
        <v/>
      </c>
      <c r="Q2416" s="5" t="str">
        <f t="shared" si="1"/>
        <v>২ পরে</v>
      </c>
    </row>
    <row r="2417">
      <c r="A2417" s="4">
        <v>158.0</v>
      </c>
      <c r="B2417" s="2" t="s">
        <v>9408</v>
      </c>
      <c r="C2417" s="2" t="s">
        <v>9409</v>
      </c>
      <c r="D2417" s="2" t="s">
        <v>9410</v>
      </c>
      <c r="E2417" s="2" t="s">
        <v>9411</v>
      </c>
      <c r="F2417" s="2" t="b">
        <v>1</v>
      </c>
      <c r="G2417" s="2" t="b">
        <v>0</v>
      </c>
      <c r="H2417" s="2" t="s">
        <v>37</v>
      </c>
      <c r="I2417" s="2" t="s">
        <v>32</v>
      </c>
      <c r="J2417" s="2" t="s">
        <v>9412</v>
      </c>
      <c r="K2417" s="2" t="s">
        <v>24</v>
      </c>
      <c r="L2417" s="13" t="s">
        <v>51</v>
      </c>
      <c r="M2417" s="2" t="s">
        <v>26</v>
      </c>
      <c r="N2417" s="24" t="s">
        <v>8793</v>
      </c>
      <c r="O2417" s="12" t="s">
        <v>53</v>
      </c>
      <c r="P2417" s="5" t="str">
        <f>IFERROR(__xludf.DUMMYFUNCTION("TEXTJOIN("" | "",TRUE,IF(OR(D2417="""",E2417="""",I2417="""",J2417="""",H2417=""""),""ফাঁকা ঘর"",""""),IF(AND(C2417&lt;&gt;"""",D2417&lt;&gt;"""",C2417=D2417),""gloss=figurative"",""""),IF(LEN(D2417)&lt;15,""figurative ছোট"",""""),IF(AND(I2417=""Positive"",REGEXMATCH(H2"&amp;"417,""মূর্খ|ভণ্ড|প্রতার|অলস|লোভ|স্বার্থ|অক্ষম|অযোগ্য|বোকা|কৃপণ|হিংস"")),""valence-target অমিল"",""""),IF(COUNTIF($B:$B,B2417)&gt;1,""ডুপ্লিকেট"",""""))"),"")</f>
        <v/>
      </c>
      <c r="Q2417" s="5" t="str">
        <f t="shared" si="1"/>
        <v>২ পরে</v>
      </c>
    </row>
    <row r="2418">
      <c r="A2418" s="4">
        <v>159.0</v>
      </c>
      <c r="B2418" s="2" t="s">
        <v>9413</v>
      </c>
      <c r="C2418" s="2" t="s">
        <v>9414</v>
      </c>
      <c r="D2418" s="2" t="s">
        <v>9415</v>
      </c>
      <c r="E2418" s="2" t="s">
        <v>9416</v>
      </c>
      <c r="F2418" s="2" t="b">
        <v>1</v>
      </c>
      <c r="G2418" s="2" t="b">
        <v>0</v>
      </c>
      <c r="H2418" s="2" t="s">
        <v>9417</v>
      </c>
      <c r="I2418" s="2" t="s">
        <v>49</v>
      </c>
      <c r="J2418" s="2" t="s">
        <v>4670</v>
      </c>
      <c r="K2418" s="2" t="s">
        <v>24</v>
      </c>
      <c r="L2418" s="13" t="s">
        <v>51</v>
      </c>
      <c r="M2418" s="2" t="s">
        <v>26</v>
      </c>
      <c r="N2418" s="24" t="s">
        <v>8793</v>
      </c>
      <c r="O2418" s="12" t="s">
        <v>53</v>
      </c>
      <c r="P2418" s="5" t="str">
        <f>IFERROR(__xludf.DUMMYFUNCTION("TEXTJOIN("" | "",TRUE,IF(OR(D2418="""",E2418="""",I2418="""",J2418="""",H2418=""""),""ফাঁকা ঘর"",""""),IF(AND(C2418&lt;&gt;"""",D2418&lt;&gt;"""",C2418=D2418),""gloss=figurative"",""""),IF(LEN(D2418)&lt;15,""figurative ছোট"",""""),IF(AND(I2418=""Positive"",REGEXMATCH(H2"&amp;"418,""মূর্খ|ভণ্ড|প্রতার|অলস|লোভ|স্বার্থ|অক্ষম|অযোগ্য|বোকা|কৃপণ|হিংস"")),""valence-target অমিল"",""""),IF(COUNTIF($B:$B,B2418)&gt;1,""ডুপ্লিকেট"",""""))"),"")</f>
        <v/>
      </c>
      <c r="Q2418" s="5" t="str">
        <f t="shared" si="1"/>
        <v>২ পরে</v>
      </c>
    </row>
    <row r="2419">
      <c r="A2419" s="4">
        <v>160.0</v>
      </c>
      <c r="B2419" s="2" t="s">
        <v>9418</v>
      </c>
      <c r="C2419" s="2" t="s">
        <v>9419</v>
      </c>
      <c r="D2419" s="2" t="s">
        <v>9420</v>
      </c>
      <c r="E2419" s="2" t="s">
        <v>9421</v>
      </c>
      <c r="F2419" s="2" t="b">
        <v>1</v>
      </c>
      <c r="G2419" s="2" t="b">
        <v>0</v>
      </c>
      <c r="H2419" s="2" t="s">
        <v>8927</v>
      </c>
      <c r="I2419" s="2" t="s">
        <v>22</v>
      </c>
      <c r="J2419" s="2" t="s">
        <v>59</v>
      </c>
      <c r="K2419" s="2" t="s">
        <v>24</v>
      </c>
      <c r="L2419" s="13" t="s">
        <v>51</v>
      </c>
      <c r="M2419" s="2" t="s">
        <v>26</v>
      </c>
      <c r="N2419" s="24" t="s">
        <v>8793</v>
      </c>
      <c r="O2419" s="12" t="s">
        <v>53</v>
      </c>
      <c r="P2419" s="5" t="str">
        <f>IFERROR(__xludf.DUMMYFUNCTION("TEXTJOIN("" | "",TRUE,IF(OR(D2419="""",E2419="""",I2419="""",J2419="""",H2419=""""),""ফাঁকা ঘর"",""""),IF(AND(C2419&lt;&gt;"""",D2419&lt;&gt;"""",C2419=D2419),""gloss=figurative"",""""),IF(LEN(D2419)&lt;15,""figurative ছোট"",""""),IF(AND(I2419=""Positive"",REGEXMATCH(H2"&amp;"419,""মূর্খ|ভণ্ড|প্রতার|অলস|লোভ|স্বার্থ|অক্ষম|অযোগ্য|বোকা|কৃপণ|হিংস"")),""valence-target অমিল"",""""),IF(COUNTIF($B:$B,B2419)&gt;1,""ডুপ্লিকেট"",""""))"),"")</f>
        <v/>
      </c>
      <c r="Q2419" s="5" t="str">
        <f t="shared" si="1"/>
        <v>২ পরে</v>
      </c>
    </row>
    <row r="2420">
      <c r="A2420" s="4">
        <v>161.0</v>
      </c>
      <c r="B2420" s="2" t="s">
        <v>9422</v>
      </c>
      <c r="C2420" s="2" t="s">
        <v>9423</v>
      </c>
      <c r="D2420" s="2" t="s">
        <v>9424</v>
      </c>
      <c r="E2420" s="2" t="s">
        <v>9425</v>
      </c>
      <c r="F2420" s="2" t="b">
        <v>1</v>
      </c>
      <c r="G2420" s="2" t="b">
        <v>0</v>
      </c>
      <c r="H2420" s="2" t="s">
        <v>8837</v>
      </c>
      <c r="I2420" s="2" t="s">
        <v>22</v>
      </c>
      <c r="J2420" s="2" t="s">
        <v>59</v>
      </c>
      <c r="K2420" s="2" t="s">
        <v>24</v>
      </c>
      <c r="L2420" s="13" t="s">
        <v>51</v>
      </c>
      <c r="M2420" s="2" t="s">
        <v>26</v>
      </c>
      <c r="N2420" s="25" t="s">
        <v>9426</v>
      </c>
      <c r="O2420" s="12" t="s">
        <v>53</v>
      </c>
      <c r="P2420" s="5" t="str">
        <f>IFERROR(__xludf.DUMMYFUNCTION("TEXTJOIN("" | "",TRUE,IF(OR(D2420="""",E2420="""",I2420="""",J2420="""",H2420=""""),""ফাঁকা ঘর"",""""),IF(AND(C2420&lt;&gt;"""",D2420&lt;&gt;"""",C2420=D2420),""gloss=figurative"",""""),IF(LEN(D2420)&lt;15,""figurative ছোট"",""""),IF(AND(I2420=""Positive"",REGEXMATCH(H2"&amp;"420,""মূর্খ|ভণ্ড|প্রতার|অলস|লোভ|স্বার্থ|অক্ষম|অযোগ্য|বোকা|কৃপণ|হিংস"")),""valence-target অমিল"",""""),IF(COUNTIF($B:$B,B2420)&gt;1,""ডুপ্লিকেট"",""""))"),"")</f>
        <v/>
      </c>
      <c r="Q2420" s="5" t="str">
        <f t="shared" si="1"/>
        <v>২ পরে</v>
      </c>
    </row>
    <row r="2421">
      <c r="A2421" s="4">
        <v>162.0</v>
      </c>
      <c r="B2421" s="2" t="s">
        <v>9427</v>
      </c>
      <c r="C2421" s="2" t="s">
        <v>9428</v>
      </c>
      <c r="D2421" s="2" t="s">
        <v>9429</v>
      </c>
      <c r="E2421" s="2" t="s">
        <v>9430</v>
      </c>
      <c r="F2421" s="2" t="b">
        <v>1</v>
      </c>
      <c r="G2421" s="2" t="b">
        <v>0</v>
      </c>
      <c r="H2421" s="2" t="s">
        <v>8837</v>
      </c>
      <c r="I2421" s="2" t="s">
        <v>32</v>
      </c>
      <c r="J2421" s="2" t="s">
        <v>96</v>
      </c>
      <c r="K2421" s="2" t="s">
        <v>24</v>
      </c>
      <c r="L2421" s="13" t="s">
        <v>51</v>
      </c>
      <c r="M2421" s="2" t="s">
        <v>26</v>
      </c>
      <c r="N2421" s="25" t="s">
        <v>9431</v>
      </c>
      <c r="O2421" s="12" t="s">
        <v>53</v>
      </c>
      <c r="P2421" s="5" t="str">
        <f>IFERROR(__xludf.DUMMYFUNCTION("TEXTJOIN("" | "",TRUE,IF(OR(D2421="""",E2421="""",I2421="""",J2421="""",H2421=""""),""ফাঁকা ঘর"",""""),IF(AND(C2421&lt;&gt;"""",D2421&lt;&gt;"""",C2421=D2421),""gloss=figurative"",""""),IF(LEN(D2421)&lt;15,""figurative ছোট"",""""),IF(AND(I2421=""Positive"",REGEXMATCH(H2"&amp;"421,""মূর্খ|ভণ্ড|প্রতার|অলস|লোভ|স্বার্থ|অক্ষম|অযোগ্য|বোকা|কৃপণ|হিংস"")),""valence-target অমিল"",""""),IF(COUNTIF($B:$B,B2421)&gt;1,""ডুপ্লিকেট"",""""))"),"")</f>
        <v/>
      </c>
      <c r="Q2421" s="5" t="str">
        <f t="shared" si="1"/>
        <v>২ পরে</v>
      </c>
    </row>
    <row r="2422">
      <c r="A2422" s="4">
        <v>163.0</v>
      </c>
      <c r="B2422" s="2" t="s">
        <v>9432</v>
      </c>
      <c r="C2422" s="2" t="s">
        <v>9433</v>
      </c>
      <c r="D2422" s="2" t="s">
        <v>9434</v>
      </c>
      <c r="E2422" s="2" t="s">
        <v>9435</v>
      </c>
      <c r="F2422" s="2" t="b">
        <v>1</v>
      </c>
      <c r="G2422" s="2" t="b">
        <v>0</v>
      </c>
      <c r="H2422" s="2" t="s">
        <v>9436</v>
      </c>
      <c r="I2422" s="2" t="s">
        <v>22</v>
      </c>
      <c r="J2422" s="2" t="s">
        <v>59</v>
      </c>
      <c r="K2422" s="2" t="s">
        <v>24</v>
      </c>
      <c r="L2422" s="13" t="s">
        <v>51</v>
      </c>
      <c r="M2422" s="2" t="s">
        <v>26</v>
      </c>
      <c r="N2422" s="24" t="s">
        <v>8793</v>
      </c>
      <c r="O2422" s="12" t="s">
        <v>53</v>
      </c>
      <c r="P2422" s="5" t="str">
        <f>IFERROR(__xludf.DUMMYFUNCTION("TEXTJOIN("" | "",TRUE,IF(OR(D2422="""",E2422="""",I2422="""",J2422="""",H2422=""""),""ফাঁকা ঘর"",""""),IF(AND(C2422&lt;&gt;"""",D2422&lt;&gt;"""",C2422=D2422),""gloss=figurative"",""""),IF(LEN(D2422)&lt;15,""figurative ছোট"",""""),IF(AND(I2422=""Positive"",REGEXMATCH(H2"&amp;"422,""মূর্খ|ভণ্ড|প্রতার|অলস|লোভ|স্বার্থ|অক্ষম|অযোগ্য|বোকা|কৃপণ|হিংস"")),""valence-target অমিল"",""""),IF(COUNTIF($B:$B,B2422)&gt;1,""ডুপ্লিকেট"",""""))"),"")</f>
        <v/>
      </c>
      <c r="Q2422" s="5" t="str">
        <f t="shared" si="1"/>
        <v>২ পরে</v>
      </c>
    </row>
    <row r="2423">
      <c r="A2423" s="4">
        <v>164.0</v>
      </c>
      <c r="B2423" s="2" t="s">
        <v>9437</v>
      </c>
      <c r="C2423" s="2" t="s">
        <v>86</v>
      </c>
      <c r="D2423" s="2" t="s">
        <v>9438</v>
      </c>
      <c r="E2423" s="2" t="s">
        <v>9439</v>
      </c>
      <c r="F2423" s="2" t="b">
        <v>1</v>
      </c>
      <c r="G2423" s="2" t="b">
        <v>0</v>
      </c>
      <c r="H2423" s="2" t="s">
        <v>89</v>
      </c>
      <c r="I2423" s="2" t="s">
        <v>22</v>
      </c>
      <c r="J2423" s="2" t="s">
        <v>59</v>
      </c>
      <c r="K2423" s="2" t="s">
        <v>24</v>
      </c>
      <c r="L2423" s="13" t="s">
        <v>51</v>
      </c>
      <c r="M2423" s="2" t="s">
        <v>26</v>
      </c>
      <c r="N2423" s="24" t="s">
        <v>8793</v>
      </c>
      <c r="O2423" s="12" t="s">
        <v>53</v>
      </c>
      <c r="P2423" s="5" t="str">
        <f>IFERROR(__xludf.DUMMYFUNCTION("TEXTJOIN("" | "",TRUE,IF(OR(D2423="""",E2423="""",I2423="""",J2423="""",H2423=""""),""ফাঁকা ঘর"",""""),IF(AND(C2423&lt;&gt;"""",D2423&lt;&gt;"""",C2423=D2423),""gloss=figurative"",""""),IF(LEN(D2423)&lt;15,""figurative ছোট"",""""),IF(AND(I2423=""Positive"",REGEXMATCH(H2"&amp;"423,""মূর্খ|ভণ্ড|প্রতার|অলস|লোভ|স্বার্থ|অক্ষম|অযোগ্য|বোকা|কৃপণ|হিংস"")),""valence-target অমিল"",""""),IF(COUNTIF($B:$B,B2423)&gt;1,""ডুপ্লিকেট"",""""))"),"")</f>
        <v/>
      </c>
      <c r="Q2423" s="5" t="str">
        <f t="shared" si="1"/>
        <v>২ পরে</v>
      </c>
    </row>
    <row r="2424">
      <c r="A2424" s="4">
        <v>165.0</v>
      </c>
      <c r="B2424" s="2" t="s">
        <v>9440</v>
      </c>
      <c r="C2424" s="2" t="s">
        <v>9441</v>
      </c>
      <c r="D2424" s="2" t="s">
        <v>9442</v>
      </c>
      <c r="E2424" s="2" t="s">
        <v>9443</v>
      </c>
      <c r="F2424" s="2" t="b">
        <v>1</v>
      </c>
      <c r="G2424" s="2" t="b">
        <v>0</v>
      </c>
      <c r="H2424" s="2" t="s">
        <v>351</v>
      </c>
      <c r="I2424" s="2" t="s">
        <v>49</v>
      </c>
      <c r="J2424" s="2" t="s">
        <v>96</v>
      </c>
      <c r="K2424" s="2" t="s">
        <v>24</v>
      </c>
      <c r="L2424" s="13" t="s">
        <v>51</v>
      </c>
      <c r="M2424" s="2" t="s">
        <v>26</v>
      </c>
      <c r="N2424" s="24" t="s">
        <v>8793</v>
      </c>
      <c r="O2424" s="12" t="s">
        <v>53</v>
      </c>
      <c r="P2424" s="5" t="str">
        <f>IFERROR(__xludf.DUMMYFUNCTION("TEXTJOIN("" | "",TRUE,IF(OR(D2424="""",E2424="""",I2424="""",J2424="""",H2424=""""),""ফাঁকা ঘর"",""""),IF(AND(C2424&lt;&gt;"""",D2424&lt;&gt;"""",C2424=D2424),""gloss=figurative"",""""),IF(LEN(D2424)&lt;15,""figurative ছোট"",""""),IF(AND(I2424=""Positive"",REGEXMATCH(H2"&amp;"424,""মূর্খ|ভণ্ড|প্রতার|অলস|লোভ|স্বার্থ|অক্ষম|অযোগ্য|বোকা|কৃপণ|হিংস"")),""valence-target অমিল"",""""),IF(COUNTIF($B:$B,B2424)&gt;1,""ডুপ্লিকেট"",""""))"),"")</f>
        <v/>
      </c>
      <c r="Q2424" s="5" t="str">
        <f t="shared" si="1"/>
        <v>২ পরে</v>
      </c>
    </row>
    <row r="2425">
      <c r="A2425" s="4">
        <v>166.0</v>
      </c>
      <c r="B2425" s="2" t="s">
        <v>9444</v>
      </c>
      <c r="C2425" s="2" t="s">
        <v>9445</v>
      </c>
      <c r="D2425" s="2" t="s">
        <v>9446</v>
      </c>
      <c r="E2425" s="2" t="s">
        <v>9447</v>
      </c>
      <c r="F2425" s="2" t="b">
        <v>1</v>
      </c>
      <c r="G2425" s="2" t="b">
        <v>0</v>
      </c>
      <c r="H2425" s="2" t="s">
        <v>37</v>
      </c>
      <c r="I2425" s="2" t="s">
        <v>22</v>
      </c>
      <c r="J2425" s="2" t="s">
        <v>9037</v>
      </c>
      <c r="K2425" s="2" t="s">
        <v>24</v>
      </c>
      <c r="L2425" s="13" t="s">
        <v>51</v>
      </c>
      <c r="M2425" s="2" t="s">
        <v>26</v>
      </c>
      <c r="N2425" s="24" t="s">
        <v>8793</v>
      </c>
      <c r="O2425" s="12" t="s">
        <v>53</v>
      </c>
      <c r="P2425" s="5" t="str">
        <f>IFERROR(__xludf.DUMMYFUNCTION("TEXTJOIN("" | "",TRUE,IF(OR(D2425="""",E2425="""",I2425="""",J2425="""",H2425=""""),""ফাঁকা ঘর"",""""),IF(AND(C2425&lt;&gt;"""",D2425&lt;&gt;"""",C2425=D2425),""gloss=figurative"",""""),IF(LEN(D2425)&lt;15,""figurative ছোট"",""""),IF(AND(I2425=""Positive"",REGEXMATCH(H2"&amp;"425,""মূর্খ|ভণ্ড|প্রতার|অলস|লোভ|স্বার্থ|অক্ষম|অযোগ্য|বোকা|কৃপণ|হিংস"")),""valence-target অমিল"",""""),IF(COUNTIF($B:$B,B2425)&gt;1,""ডুপ্লিকেট"",""""))"),"")</f>
        <v/>
      </c>
      <c r="Q2425" s="5" t="str">
        <f t="shared" si="1"/>
        <v>২ পরে</v>
      </c>
    </row>
    <row r="2426">
      <c r="A2426" s="4">
        <v>167.0</v>
      </c>
      <c r="B2426" s="2" t="s">
        <v>9448</v>
      </c>
      <c r="C2426" s="2" t="s">
        <v>9449</v>
      </c>
      <c r="D2426" s="2" t="s">
        <v>9450</v>
      </c>
      <c r="E2426" s="2" t="s">
        <v>9451</v>
      </c>
      <c r="F2426" s="2" t="b">
        <v>1</v>
      </c>
      <c r="G2426" s="2" t="b">
        <v>0</v>
      </c>
      <c r="H2426" s="2" t="s">
        <v>9452</v>
      </c>
      <c r="I2426" s="2" t="s">
        <v>22</v>
      </c>
      <c r="J2426" s="2" t="s">
        <v>357</v>
      </c>
      <c r="K2426" s="2" t="s">
        <v>24</v>
      </c>
      <c r="L2426" s="13" t="s">
        <v>51</v>
      </c>
      <c r="M2426" s="2" t="s">
        <v>26</v>
      </c>
      <c r="N2426" s="24" t="s">
        <v>8793</v>
      </c>
      <c r="O2426" s="12" t="s">
        <v>53</v>
      </c>
      <c r="P2426" s="5" t="str">
        <f>IFERROR(__xludf.DUMMYFUNCTION("TEXTJOIN("" | "",TRUE,IF(OR(D2426="""",E2426="""",I2426="""",J2426="""",H2426=""""),""ফাঁকা ঘর"",""""),IF(AND(C2426&lt;&gt;"""",D2426&lt;&gt;"""",C2426=D2426),""gloss=figurative"",""""),IF(LEN(D2426)&lt;15,""figurative ছোট"",""""),IF(AND(I2426=""Positive"",REGEXMATCH(H2"&amp;"426,""মূর্খ|ভণ্ড|প্রতার|অলস|লোভ|স্বার্থ|অক্ষম|অযোগ্য|বোকা|কৃপণ|হিংস"")),""valence-target অমিল"",""""),IF(COUNTIF($B:$B,B2426)&gt;1,""ডুপ্লিকেট"",""""))"),"")</f>
        <v/>
      </c>
      <c r="Q2426" s="5" t="str">
        <f t="shared" si="1"/>
        <v>২ পরে</v>
      </c>
    </row>
    <row r="2427">
      <c r="A2427" s="4">
        <v>168.0</v>
      </c>
      <c r="B2427" s="2" t="s">
        <v>9453</v>
      </c>
      <c r="C2427" s="2" t="s">
        <v>9454</v>
      </c>
      <c r="D2427" s="2" t="s">
        <v>9455</v>
      </c>
      <c r="E2427" s="2" t="s">
        <v>9456</v>
      </c>
      <c r="F2427" s="2" t="b">
        <v>1</v>
      </c>
      <c r="G2427" s="2" t="b">
        <v>0</v>
      </c>
      <c r="H2427" s="2" t="s">
        <v>9457</v>
      </c>
      <c r="I2427" s="2" t="s">
        <v>32</v>
      </c>
      <c r="J2427" s="2" t="s">
        <v>3710</v>
      </c>
      <c r="K2427" s="2" t="s">
        <v>24</v>
      </c>
      <c r="L2427" s="13" t="s">
        <v>51</v>
      </c>
      <c r="M2427" s="2" t="s">
        <v>26</v>
      </c>
      <c r="N2427" s="24" t="s">
        <v>9458</v>
      </c>
      <c r="O2427" s="12" t="s">
        <v>53</v>
      </c>
      <c r="P2427" s="5" t="str">
        <f>IFERROR(__xludf.DUMMYFUNCTION("TEXTJOIN("" | "",TRUE,IF(OR(D2427="""",E2427="""",I2427="""",J2427="""",H2427=""""),""ফাঁকা ঘর"",""""),IF(AND(C2427&lt;&gt;"""",D2427&lt;&gt;"""",C2427=D2427),""gloss=figurative"",""""),IF(LEN(D2427)&lt;15,""figurative ছোট"",""""),IF(AND(I2427=""Positive"",REGEXMATCH(H2"&amp;"427,""মূর্খ|ভণ্ড|প্রতার|অলস|লোভ|স্বার্থ|অক্ষম|অযোগ্য|বোকা|কৃপণ|হিংস"")),""valence-target অমিল"",""""),IF(COUNTIF($B:$B,B2427)&gt;1,""ডুপ্লিকেট"",""""))"),"")</f>
        <v/>
      </c>
      <c r="Q2427" s="5" t="str">
        <f t="shared" si="1"/>
        <v>২ পরে</v>
      </c>
    </row>
    <row r="2428">
      <c r="A2428" s="4">
        <v>169.0</v>
      </c>
      <c r="B2428" s="2" t="s">
        <v>9459</v>
      </c>
      <c r="C2428" s="2" t="s">
        <v>9460</v>
      </c>
      <c r="D2428" s="2" t="s">
        <v>9461</v>
      </c>
      <c r="E2428" s="2" t="s">
        <v>9462</v>
      </c>
      <c r="F2428" s="2" t="b">
        <v>1</v>
      </c>
      <c r="G2428" s="2" t="b">
        <v>0</v>
      </c>
      <c r="H2428" s="2" t="s">
        <v>37</v>
      </c>
      <c r="I2428" s="2" t="s">
        <v>22</v>
      </c>
      <c r="J2428" s="2" t="s">
        <v>9037</v>
      </c>
      <c r="K2428" s="2" t="s">
        <v>24</v>
      </c>
      <c r="L2428" s="13" t="s">
        <v>51</v>
      </c>
      <c r="M2428" s="2" t="s">
        <v>26</v>
      </c>
      <c r="N2428" s="24" t="s">
        <v>9463</v>
      </c>
      <c r="O2428" s="12" t="s">
        <v>53</v>
      </c>
      <c r="P2428" s="5" t="str">
        <f>IFERROR(__xludf.DUMMYFUNCTION("TEXTJOIN("" | "",TRUE,IF(OR(D2428="""",E2428="""",I2428="""",J2428="""",H2428=""""),""ফাঁকা ঘর"",""""),IF(AND(C2428&lt;&gt;"""",D2428&lt;&gt;"""",C2428=D2428),""gloss=figurative"",""""),IF(LEN(D2428)&lt;15,""figurative ছোট"",""""),IF(AND(I2428=""Positive"",REGEXMATCH(H2"&amp;"428,""মূর্খ|ভণ্ড|প্রতার|অলস|লোভ|স্বার্থ|অক্ষম|অযোগ্য|বোকা|কৃপণ|হিংস"")),""valence-target অমিল"",""""),IF(COUNTIF($B:$B,B2428)&gt;1,""ডুপ্লিকেট"",""""))"),"")</f>
        <v/>
      </c>
      <c r="Q2428" s="5" t="str">
        <f t="shared" si="1"/>
        <v>২ পরে</v>
      </c>
    </row>
    <row r="2429">
      <c r="A2429" s="4">
        <v>170.0</v>
      </c>
      <c r="B2429" s="2" t="s">
        <v>9464</v>
      </c>
      <c r="C2429" s="2" t="s">
        <v>9465</v>
      </c>
      <c r="D2429" s="2" t="s">
        <v>9466</v>
      </c>
      <c r="E2429" s="2" t="s">
        <v>9467</v>
      </c>
      <c r="F2429" s="2" t="b">
        <v>1</v>
      </c>
      <c r="G2429" s="2" t="b">
        <v>0</v>
      </c>
      <c r="H2429" s="2" t="s">
        <v>37</v>
      </c>
      <c r="I2429" s="2" t="s">
        <v>22</v>
      </c>
      <c r="J2429" s="2" t="s">
        <v>9037</v>
      </c>
      <c r="K2429" s="2" t="s">
        <v>24</v>
      </c>
      <c r="L2429" s="13" t="s">
        <v>51</v>
      </c>
      <c r="M2429" s="2" t="s">
        <v>26</v>
      </c>
      <c r="N2429" s="24" t="s">
        <v>8793</v>
      </c>
      <c r="O2429" s="12" t="s">
        <v>53</v>
      </c>
      <c r="P2429" s="5" t="str">
        <f>IFERROR(__xludf.DUMMYFUNCTION("TEXTJOIN("" | "",TRUE,IF(OR(D2429="""",E2429="""",I2429="""",J2429="""",H2429=""""),""ফাঁকা ঘর"",""""),IF(AND(C2429&lt;&gt;"""",D2429&lt;&gt;"""",C2429=D2429),""gloss=figurative"",""""),IF(LEN(D2429)&lt;15,""figurative ছোট"",""""),IF(AND(I2429=""Positive"",REGEXMATCH(H2"&amp;"429,""মূর্খ|ভণ্ড|প্রতার|অলস|লোভ|স্বার্থ|অক্ষম|অযোগ্য|বোকা|কৃপণ|হিংস"")),""valence-target অমিল"",""""),IF(COUNTIF($B:$B,B2429)&gt;1,""ডুপ্লিকেট"",""""))"),"")</f>
        <v/>
      </c>
      <c r="Q2429" s="5" t="str">
        <f t="shared" si="1"/>
        <v>২ পরে</v>
      </c>
    </row>
    <row r="2430">
      <c r="A2430" s="4">
        <v>171.0</v>
      </c>
      <c r="B2430" s="2" t="s">
        <v>9468</v>
      </c>
      <c r="C2430" s="2" t="s">
        <v>9469</v>
      </c>
      <c r="D2430" s="2" t="s">
        <v>9470</v>
      </c>
      <c r="E2430" s="2" t="s">
        <v>9471</v>
      </c>
      <c r="F2430" s="2" t="b">
        <v>1</v>
      </c>
      <c r="G2430" s="2" t="b">
        <v>0</v>
      </c>
      <c r="H2430" s="2" t="s">
        <v>37</v>
      </c>
      <c r="I2430" s="2" t="s">
        <v>22</v>
      </c>
      <c r="J2430" s="2" t="s">
        <v>9037</v>
      </c>
      <c r="K2430" s="2" t="s">
        <v>24</v>
      </c>
      <c r="L2430" s="13" t="s">
        <v>51</v>
      </c>
      <c r="M2430" s="2" t="s">
        <v>26</v>
      </c>
      <c r="N2430" s="24" t="s">
        <v>8793</v>
      </c>
      <c r="O2430" s="12" t="s">
        <v>53</v>
      </c>
      <c r="P2430" s="5" t="str">
        <f>IFERROR(__xludf.DUMMYFUNCTION("TEXTJOIN("" | "",TRUE,IF(OR(D2430="""",E2430="""",I2430="""",J2430="""",H2430=""""),""ফাঁকা ঘর"",""""),IF(AND(C2430&lt;&gt;"""",D2430&lt;&gt;"""",C2430=D2430),""gloss=figurative"",""""),IF(LEN(D2430)&lt;15,""figurative ছোট"",""""),IF(AND(I2430=""Positive"",REGEXMATCH(H2"&amp;"430,""মূর্খ|ভণ্ড|প্রতার|অলস|লোভ|স্বার্থ|অক্ষম|অযোগ্য|বোকা|কৃপণ|হিংস"")),""valence-target অমিল"",""""),IF(COUNTIF($B:$B,B2430)&gt;1,""ডুপ্লিকেট"",""""))"),"")</f>
        <v/>
      </c>
      <c r="Q2430" s="5" t="str">
        <f t="shared" si="1"/>
        <v>২ পরে</v>
      </c>
    </row>
    <row r="2431">
      <c r="A2431" s="4">
        <v>172.0</v>
      </c>
      <c r="B2431" s="2" t="s">
        <v>9472</v>
      </c>
      <c r="C2431" s="2" t="s">
        <v>9473</v>
      </c>
      <c r="D2431" s="2" t="s">
        <v>9474</v>
      </c>
      <c r="E2431" s="2" t="s">
        <v>9475</v>
      </c>
      <c r="F2431" s="2" t="b">
        <v>1</v>
      </c>
      <c r="G2431" s="2" t="b">
        <v>0</v>
      </c>
      <c r="H2431" s="2" t="s">
        <v>37</v>
      </c>
      <c r="I2431" s="2" t="s">
        <v>32</v>
      </c>
      <c r="J2431" s="2" t="s">
        <v>9177</v>
      </c>
      <c r="K2431" s="2" t="s">
        <v>24</v>
      </c>
      <c r="L2431" s="13" t="s">
        <v>51</v>
      </c>
      <c r="M2431" s="2" t="s">
        <v>26</v>
      </c>
      <c r="N2431" s="24" t="s">
        <v>9476</v>
      </c>
      <c r="O2431" s="12" t="s">
        <v>53</v>
      </c>
      <c r="P2431" s="5" t="str">
        <f>IFERROR(__xludf.DUMMYFUNCTION("TEXTJOIN("" | "",TRUE,IF(OR(D2431="""",E2431="""",I2431="""",J2431="""",H2431=""""),""ফাঁকা ঘর"",""""),IF(AND(C2431&lt;&gt;"""",D2431&lt;&gt;"""",C2431=D2431),""gloss=figurative"",""""),IF(LEN(D2431)&lt;15,""figurative ছোট"",""""),IF(AND(I2431=""Positive"",REGEXMATCH(H2"&amp;"431,""মূর্খ|ভণ্ড|প্রতার|অলস|লোভ|স্বার্থ|অক্ষম|অযোগ্য|বোকা|কৃপণ|হিংস"")),""valence-target অমিল"",""""),IF(COUNTIF($B:$B,B2431)&gt;1,""ডুপ্লিকেট"",""""))"),"")</f>
        <v/>
      </c>
      <c r="Q2431" s="5" t="str">
        <f t="shared" si="1"/>
        <v>২ পরে</v>
      </c>
    </row>
    <row r="2432">
      <c r="A2432" s="4">
        <v>173.0</v>
      </c>
      <c r="B2432" s="2" t="s">
        <v>9477</v>
      </c>
      <c r="C2432" s="2" t="s">
        <v>9478</v>
      </c>
      <c r="D2432" s="2" t="s">
        <v>9479</v>
      </c>
      <c r="E2432" s="2" t="s">
        <v>9480</v>
      </c>
      <c r="F2432" s="2" t="b">
        <v>1</v>
      </c>
      <c r="G2432" s="2" t="b">
        <v>0</v>
      </c>
      <c r="H2432" s="2" t="s">
        <v>9320</v>
      </c>
      <c r="I2432" s="2" t="s">
        <v>49</v>
      </c>
      <c r="J2432" s="2" t="s">
        <v>8973</v>
      </c>
      <c r="K2432" s="2" t="s">
        <v>24</v>
      </c>
      <c r="L2432" s="13" t="s">
        <v>51</v>
      </c>
      <c r="M2432" s="2" t="s">
        <v>26</v>
      </c>
      <c r="N2432" s="24" t="s">
        <v>9481</v>
      </c>
      <c r="O2432" s="12" t="s">
        <v>53</v>
      </c>
      <c r="P2432" s="5" t="str">
        <f>IFERROR(__xludf.DUMMYFUNCTION("TEXTJOIN("" | "",TRUE,IF(OR(D2432="""",E2432="""",I2432="""",J2432="""",H2432=""""),""ফাঁকা ঘর"",""""),IF(AND(C2432&lt;&gt;"""",D2432&lt;&gt;"""",C2432=D2432),""gloss=figurative"",""""),IF(LEN(D2432)&lt;15,""figurative ছোট"",""""),IF(AND(I2432=""Positive"",REGEXMATCH(H2"&amp;"432,""মূর্খ|ভণ্ড|প্রতার|অলস|লোভ|স্বার্থ|অক্ষম|অযোগ্য|বোকা|কৃপণ|হিংস"")),""valence-target অমিল"",""""),IF(COUNTIF($B:$B,B2432)&gt;1,""ডুপ্লিকেট"",""""))"),"")</f>
        <v/>
      </c>
      <c r="Q2432" s="5" t="str">
        <f t="shared" si="1"/>
        <v>২ পরে</v>
      </c>
    </row>
    <row r="2433">
      <c r="A2433" s="4">
        <v>174.0</v>
      </c>
      <c r="B2433" s="2" t="s">
        <v>9482</v>
      </c>
      <c r="C2433" s="2" t="s">
        <v>9483</v>
      </c>
      <c r="D2433" s="2" t="s">
        <v>9484</v>
      </c>
      <c r="E2433" s="2" t="s">
        <v>9485</v>
      </c>
      <c r="F2433" s="2" t="b">
        <v>1</v>
      </c>
      <c r="G2433" s="2" t="b">
        <v>0</v>
      </c>
      <c r="H2433" s="2" t="s">
        <v>9486</v>
      </c>
      <c r="I2433" s="2" t="s">
        <v>49</v>
      </c>
      <c r="J2433" s="2" t="s">
        <v>190</v>
      </c>
      <c r="K2433" s="2" t="s">
        <v>24</v>
      </c>
      <c r="L2433" s="13" t="s">
        <v>51</v>
      </c>
      <c r="M2433" s="2" t="s">
        <v>26</v>
      </c>
      <c r="N2433" s="24" t="s">
        <v>8793</v>
      </c>
      <c r="O2433" s="12" t="s">
        <v>53</v>
      </c>
      <c r="P2433" s="5" t="str">
        <f>IFERROR(__xludf.DUMMYFUNCTION("TEXTJOIN("" | "",TRUE,IF(OR(D2433="""",E2433="""",I2433="""",J2433="""",H2433=""""),""ফাঁকা ঘর"",""""),IF(AND(C2433&lt;&gt;"""",D2433&lt;&gt;"""",C2433=D2433),""gloss=figurative"",""""),IF(LEN(D2433)&lt;15,""figurative ছোট"",""""),IF(AND(I2433=""Positive"",REGEXMATCH(H2"&amp;"433,""মূর্খ|ভণ্ড|প্রতার|অলস|লোভ|স্বার্থ|অক্ষম|অযোগ্য|বোকা|কৃপণ|হিংস"")),""valence-target অমিল"",""""),IF(COUNTIF($B:$B,B2433)&gt;1,""ডুপ্লিকেট"",""""))"),"")</f>
        <v/>
      </c>
      <c r="Q2433" s="5" t="str">
        <f t="shared" si="1"/>
        <v>২ পরে</v>
      </c>
    </row>
    <row r="2434">
      <c r="A2434" s="4">
        <v>175.0</v>
      </c>
      <c r="B2434" s="2" t="s">
        <v>9487</v>
      </c>
      <c r="C2434" s="2" t="s">
        <v>9488</v>
      </c>
      <c r="D2434" s="2" t="s">
        <v>9489</v>
      </c>
      <c r="E2434" s="2" t="s">
        <v>9490</v>
      </c>
      <c r="F2434" s="2" t="b">
        <v>1</v>
      </c>
      <c r="G2434" s="2" t="b">
        <v>0</v>
      </c>
      <c r="H2434" s="2" t="s">
        <v>37</v>
      </c>
      <c r="I2434" s="2" t="s">
        <v>32</v>
      </c>
      <c r="J2434" s="2" t="s">
        <v>357</v>
      </c>
      <c r="K2434" s="2" t="s">
        <v>24</v>
      </c>
      <c r="L2434" s="13" t="s">
        <v>51</v>
      </c>
      <c r="M2434" s="2" t="s">
        <v>26</v>
      </c>
      <c r="N2434" s="24" t="s">
        <v>8793</v>
      </c>
      <c r="O2434" s="12" t="s">
        <v>53</v>
      </c>
      <c r="P2434" s="5" t="str">
        <f>IFERROR(__xludf.DUMMYFUNCTION("TEXTJOIN("" | "",TRUE,IF(OR(D2434="""",E2434="""",I2434="""",J2434="""",H2434=""""),""ফাঁকা ঘর"",""""),IF(AND(C2434&lt;&gt;"""",D2434&lt;&gt;"""",C2434=D2434),""gloss=figurative"",""""),IF(LEN(D2434)&lt;15,""figurative ছোট"",""""),IF(AND(I2434=""Positive"",REGEXMATCH(H2"&amp;"434,""মূর্খ|ভণ্ড|প্রতার|অলস|লোভ|স্বার্থ|অক্ষম|অযোগ্য|বোকা|কৃপণ|হিংস"")),""valence-target অমিল"",""""),IF(COUNTIF($B:$B,B2434)&gt;1,""ডুপ্লিকেট"",""""))"),"")</f>
        <v/>
      </c>
      <c r="Q2434" s="5" t="str">
        <f t="shared" si="1"/>
        <v>২ পরে</v>
      </c>
    </row>
    <row r="2435">
      <c r="A2435" s="4">
        <v>176.0</v>
      </c>
      <c r="B2435" s="2" t="s">
        <v>9491</v>
      </c>
      <c r="C2435" s="2" t="s">
        <v>9492</v>
      </c>
      <c r="D2435" s="2" t="s">
        <v>9493</v>
      </c>
      <c r="E2435" s="2" t="s">
        <v>9494</v>
      </c>
      <c r="F2435" s="2" t="b">
        <v>1</v>
      </c>
      <c r="G2435" s="2" t="b">
        <v>0</v>
      </c>
      <c r="H2435" s="2" t="s">
        <v>8772</v>
      </c>
      <c r="I2435" s="2" t="s">
        <v>22</v>
      </c>
      <c r="J2435" s="2" t="s">
        <v>324</v>
      </c>
      <c r="K2435" s="2" t="s">
        <v>24</v>
      </c>
      <c r="L2435" s="13" t="s">
        <v>51</v>
      </c>
      <c r="M2435" s="2" t="s">
        <v>26</v>
      </c>
      <c r="N2435" s="24" t="s">
        <v>8793</v>
      </c>
      <c r="O2435" s="12" t="s">
        <v>53</v>
      </c>
      <c r="P2435" s="5" t="str">
        <f>IFERROR(__xludf.DUMMYFUNCTION("TEXTJOIN("" | "",TRUE,IF(OR(D2435="""",E2435="""",I2435="""",J2435="""",H2435=""""),""ফাঁকা ঘর"",""""),IF(AND(C2435&lt;&gt;"""",D2435&lt;&gt;"""",C2435=D2435),""gloss=figurative"",""""),IF(LEN(D2435)&lt;15,""figurative ছোট"",""""),IF(AND(I2435=""Positive"",REGEXMATCH(H2"&amp;"435,""মূর্খ|ভণ্ড|প্রতার|অলস|লোভ|স্বার্থ|অক্ষম|অযোগ্য|বোকা|কৃপণ|হিংস"")),""valence-target অমিল"",""""),IF(COUNTIF($B:$B,B2435)&gt;1,""ডুপ্লিকেট"",""""))"),"")</f>
        <v/>
      </c>
      <c r="Q2435" s="5" t="str">
        <f t="shared" si="1"/>
        <v>২ পরে</v>
      </c>
    </row>
    <row r="2436">
      <c r="A2436" s="4">
        <v>177.0</v>
      </c>
      <c r="B2436" s="2" t="s">
        <v>9495</v>
      </c>
      <c r="C2436" s="2" t="s">
        <v>9496</v>
      </c>
      <c r="D2436" s="2" t="s">
        <v>9497</v>
      </c>
      <c r="E2436" s="2" t="s">
        <v>9498</v>
      </c>
      <c r="F2436" s="2" t="b">
        <v>1</v>
      </c>
      <c r="G2436" s="2" t="b">
        <v>0</v>
      </c>
      <c r="H2436" s="2" t="s">
        <v>9499</v>
      </c>
      <c r="I2436" s="2" t="s">
        <v>22</v>
      </c>
      <c r="J2436" s="2" t="s">
        <v>59</v>
      </c>
      <c r="K2436" s="2" t="s">
        <v>24</v>
      </c>
      <c r="L2436" s="13" t="s">
        <v>51</v>
      </c>
      <c r="M2436" s="2" t="s">
        <v>26</v>
      </c>
      <c r="N2436" s="24" t="s">
        <v>8793</v>
      </c>
      <c r="O2436" s="12" t="s">
        <v>53</v>
      </c>
      <c r="P2436" s="5" t="str">
        <f>IFERROR(__xludf.DUMMYFUNCTION("TEXTJOIN("" | "",TRUE,IF(OR(D2436="""",E2436="""",I2436="""",J2436="""",H2436=""""),""ফাঁকা ঘর"",""""),IF(AND(C2436&lt;&gt;"""",D2436&lt;&gt;"""",C2436=D2436),""gloss=figurative"",""""),IF(LEN(D2436)&lt;15,""figurative ছোট"",""""),IF(AND(I2436=""Positive"",REGEXMATCH(H2"&amp;"436,""মূর্খ|ভণ্ড|প্রতার|অলস|লোভ|স্বার্থ|অক্ষম|অযোগ্য|বোকা|কৃপণ|হিংস"")),""valence-target অমিল"",""""),IF(COUNTIF($B:$B,B2436)&gt;1,""ডুপ্লিকেট"",""""))"),"")</f>
        <v/>
      </c>
      <c r="Q2436" s="5" t="str">
        <f t="shared" si="1"/>
        <v>২ পরে</v>
      </c>
    </row>
    <row r="2437">
      <c r="A2437" s="4">
        <v>178.0</v>
      </c>
      <c r="B2437" s="2" t="s">
        <v>9500</v>
      </c>
      <c r="C2437" s="2" t="s">
        <v>9501</v>
      </c>
      <c r="D2437" s="2" t="s">
        <v>9502</v>
      </c>
      <c r="E2437" s="2" t="s">
        <v>9503</v>
      </c>
      <c r="F2437" s="2" t="b">
        <v>1</v>
      </c>
      <c r="G2437" s="2" t="b">
        <v>0</v>
      </c>
      <c r="H2437" s="2" t="s">
        <v>9504</v>
      </c>
      <c r="I2437" s="2" t="s">
        <v>32</v>
      </c>
      <c r="J2437" s="2" t="s">
        <v>324</v>
      </c>
      <c r="K2437" s="2" t="s">
        <v>24</v>
      </c>
      <c r="L2437" s="13" t="s">
        <v>51</v>
      </c>
      <c r="M2437" s="2" t="s">
        <v>26</v>
      </c>
      <c r="N2437" s="24" t="s">
        <v>8793</v>
      </c>
      <c r="O2437" s="12" t="s">
        <v>53</v>
      </c>
      <c r="P2437" s="5" t="str">
        <f>IFERROR(__xludf.DUMMYFUNCTION("TEXTJOIN("" | "",TRUE,IF(OR(D2437="""",E2437="""",I2437="""",J2437="""",H2437=""""),""ফাঁকা ঘর"",""""),IF(AND(C2437&lt;&gt;"""",D2437&lt;&gt;"""",C2437=D2437),""gloss=figurative"",""""),IF(LEN(D2437)&lt;15,""figurative ছোট"",""""),IF(AND(I2437=""Positive"",REGEXMATCH(H2"&amp;"437,""মূর্খ|ভণ্ড|প্রতার|অলস|লোভ|স্বার্থ|অক্ষম|অযোগ্য|বোকা|কৃপণ|হিংস"")),""valence-target অমিল"",""""),IF(COUNTIF($B:$B,B2437)&gt;1,""ডুপ্লিকেট"",""""))"),"")</f>
        <v/>
      </c>
      <c r="Q2437" s="5" t="str">
        <f t="shared" si="1"/>
        <v>২ পরে</v>
      </c>
    </row>
    <row r="2438">
      <c r="A2438" s="4">
        <v>179.0</v>
      </c>
      <c r="B2438" s="2" t="s">
        <v>9505</v>
      </c>
      <c r="C2438" s="2" t="s">
        <v>9506</v>
      </c>
      <c r="D2438" s="2" t="s">
        <v>9507</v>
      </c>
      <c r="E2438" s="2" t="s">
        <v>9508</v>
      </c>
      <c r="F2438" s="2" t="b">
        <v>1</v>
      </c>
      <c r="G2438" s="2" t="b">
        <v>0</v>
      </c>
      <c r="H2438" s="2" t="s">
        <v>9509</v>
      </c>
      <c r="I2438" s="2" t="s">
        <v>32</v>
      </c>
      <c r="J2438" s="2" t="s">
        <v>142</v>
      </c>
      <c r="K2438" s="2" t="s">
        <v>24</v>
      </c>
      <c r="L2438" s="13" t="s">
        <v>51</v>
      </c>
      <c r="M2438" s="2" t="s">
        <v>26</v>
      </c>
      <c r="N2438" s="24" t="s">
        <v>8793</v>
      </c>
      <c r="O2438" s="12" t="s">
        <v>53</v>
      </c>
      <c r="P2438" s="5" t="str">
        <f>IFERROR(__xludf.DUMMYFUNCTION("TEXTJOIN("" | "",TRUE,IF(OR(D2438="""",E2438="""",I2438="""",J2438="""",H2438=""""),""ফাঁকা ঘর"",""""),IF(AND(C2438&lt;&gt;"""",D2438&lt;&gt;"""",C2438=D2438),""gloss=figurative"",""""),IF(LEN(D2438)&lt;15,""figurative ছোট"",""""),IF(AND(I2438=""Positive"",REGEXMATCH(H2"&amp;"438,""মূর্খ|ভণ্ড|প্রতার|অলস|লোভ|স্বার্থ|অক্ষম|অযোগ্য|বোকা|কৃপণ|হিংস"")),""valence-target অমিল"",""""),IF(COUNTIF($B:$B,B2438)&gt;1,""ডুপ্লিকেট"",""""))"),"")</f>
        <v/>
      </c>
      <c r="Q2438" s="5" t="str">
        <f t="shared" si="1"/>
        <v>২ পরে</v>
      </c>
    </row>
    <row r="2439">
      <c r="A2439" s="4">
        <v>180.0</v>
      </c>
      <c r="B2439" s="2" t="s">
        <v>9510</v>
      </c>
      <c r="C2439" s="2" t="s">
        <v>9511</v>
      </c>
      <c r="D2439" s="2" t="s">
        <v>9512</v>
      </c>
      <c r="E2439" s="2" t="s">
        <v>9513</v>
      </c>
      <c r="F2439" s="2" t="b">
        <v>1</v>
      </c>
      <c r="G2439" s="2" t="b">
        <v>0</v>
      </c>
      <c r="H2439" s="2" t="s">
        <v>8837</v>
      </c>
      <c r="I2439" s="2" t="s">
        <v>32</v>
      </c>
      <c r="J2439" s="2" t="s">
        <v>324</v>
      </c>
      <c r="K2439" s="2" t="s">
        <v>24</v>
      </c>
      <c r="L2439" s="13" t="s">
        <v>51</v>
      </c>
      <c r="M2439" s="2" t="s">
        <v>26</v>
      </c>
      <c r="N2439" s="24" t="s">
        <v>9514</v>
      </c>
      <c r="O2439" s="12" t="s">
        <v>53</v>
      </c>
      <c r="P2439" s="5" t="str">
        <f>IFERROR(__xludf.DUMMYFUNCTION("TEXTJOIN("" | "",TRUE,IF(OR(D2439="""",E2439="""",I2439="""",J2439="""",H2439=""""),""ফাঁকা ঘর"",""""),IF(AND(C2439&lt;&gt;"""",D2439&lt;&gt;"""",C2439=D2439),""gloss=figurative"",""""),IF(LEN(D2439)&lt;15,""figurative ছোট"",""""),IF(AND(I2439=""Positive"",REGEXMATCH(H2"&amp;"439,""মূর্খ|ভণ্ড|প্রতার|অলস|লোভ|স্বার্থ|অক্ষম|অযোগ্য|বোকা|কৃপণ|হিংস"")),""valence-target অমিল"",""""),IF(COUNTIF($B:$B,B2439)&gt;1,""ডুপ্লিকেট"",""""))"),"")</f>
        <v/>
      </c>
      <c r="Q2439" s="5" t="str">
        <f t="shared" si="1"/>
        <v>২ পরে</v>
      </c>
    </row>
    <row r="2440">
      <c r="A2440" s="4">
        <v>182.0</v>
      </c>
      <c r="B2440" s="2" t="s">
        <v>9515</v>
      </c>
      <c r="C2440" s="2" t="s">
        <v>9516</v>
      </c>
      <c r="D2440" s="2" t="s">
        <v>9517</v>
      </c>
      <c r="E2440" s="2" t="s">
        <v>9518</v>
      </c>
      <c r="F2440" s="2" t="b">
        <v>1</v>
      </c>
      <c r="G2440" s="2" t="b">
        <v>0</v>
      </c>
      <c r="H2440" s="2" t="s">
        <v>8837</v>
      </c>
      <c r="I2440" s="2" t="s">
        <v>22</v>
      </c>
      <c r="J2440" s="2" t="s">
        <v>59</v>
      </c>
      <c r="K2440" s="2" t="s">
        <v>24</v>
      </c>
      <c r="L2440" s="13" t="s">
        <v>51</v>
      </c>
      <c r="M2440" s="2" t="s">
        <v>26</v>
      </c>
      <c r="N2440" s="25" t="s">
        <v>9519</v>
      </c>
      <c r="O2440" s="12" t="s">
        <v>53</v>
      </c>
      <c r="P2440" s="5" t="str">
        <f>IFERROR(__xludf.DUMMYFUNCTION("TEXTJOIN("" | "",TRUE,IF(OR(D2440="""",E2440="""",I2440="""",J2440="""",H2440=""""),""ফাঁকা ঘর"",""""),IF(AND(C2440&lt;&gt;"""",D2440&lt;&gt;"""",C2440=D2440),""gloss=figurative"",""""),IF(LEN(D2440)&lt;15,""figurative ছোট"",""""),IF(AND(I2440=""Positive"",REGEXMATCH(H2"&amp;"440,""মূর্খ|ভণ্ড|প্রতার|অলস|লোভ|স্বার্থ|অক্ষম|অযোগ্য|বোকা|কৃপণ|হিংস"")),""valence-target অমিল"",""""),IF(COUNTIF($B:$B,B2440)&gt;1,""ডুপ্লিকেট"",""""))"),"")</f>
        <v/>
      </c>
      <c r="Q2440" s="5" t="str">
        <f t="shared" si="1"/>
        <v>২ পরে</v>
      </c>
    </row>
    <row r="2441">
      <c r="A2441" s="4">
        <v>183.0</v>
      </c>
      <c r="B2441" s="2" t="s">
        <v>9520</v>
      </c>
      <c r="C2441" s="2" t="s">
        <v>9086</v>
      </c>
      <c r="D2441" s="2" t="s">
        <v>9087</v>
      </c>
      <c r="E2441" s="2" t="s">
        <v>9521</v>
      </c>
      <c r="F2441" s="2" t="b">
        <v>1</v>
      </c>
      <c r="G2441" s="2" t="b">
        <v>0</v>
      </c>
      <c r="H2441" s="2" t="s">
        <v>37</v>
      </c>
      <c r="I2441" s="2" t="s">
        <v>32</v>
      </c>
      <c r="J2441" s="2" t="s">
        <v>8973</v>
      </c>
      <c r="K2441" s="2" t="s">
        <v>24</v>
      </c>
      <c r="L2441" s="13" t="s">
        <v>51</v>
      </c>
      <c r="M2441" s="2" t="s">
        <v>26</v>
      </c>
      <c r="N2441" s="24" t="s">
        <v>9522</v>
      </c>
      <c r="O2441" s="12" t="s">
        <v>53</v>
      </c>
      <c r="P2441" s="5" t="str">
        <f>IFERROR(__xludf.DUMMYFUNCTION("TEXTJOIN("" | "",TRUE,IF(OR(D2441="""",E2441="""",I2441="""",J2441="""",H2441=""""),""ফাঁকা ঘর"",""""),IF(AND(C2441&lt;&gt;"""",D2441&lt;&gt;"""",C2441=D2441),""gloss=figurative"",""""),IF(LEN(D2441)&lt;15,""figurative ছোট"",""""),IF(AND(I2441=""Positive"",REGEXMATCH(H2"&amp;"441,""মূর্খ|ভণ্ড|প্রতার|অলস|লোভ|স্বার্থ|অক্ষম|অযোগ্য|বোকা|কৃপণ|হিংস"")),""valence-target অমিল"",""""),IF(COUNTIF($B:$B,B2441)&gt;1,""ডুপ্লিকেট"",""""))"),"")</f>
        <v/>
      </c>
      <c r="Q2441" s="5" t="str">
        <f t="shared" si="1"/>
        <v>২ পরে</v>
      </c>
    </row>
    <row r="2442">
      <c r="A2442" s="4">
        <v>184.0</v>
      </c>
      <c r="B2442" s="2" t="s">
        <v>9523</v>
      </c>
      <c r="C2442" s="2" t="s">
        <v>9524</v>
      </c>
      <c r="D2442" s="2" t="s">
        <v>9525</v>
      </c>
      <c r="E2442" s="2" t="s">
        <v>9526</v>
      </c>
      <c r="F2442" s="2" t="b">
        <v>1</v>
      </c>
      <c r="G2442" s="2" t="b">
        <v>0</v>
      </c>
      <c r="H2442" s="2" t="s">
        <v>37</v>
      </c>
      <c r="I2442" s="2" t="s">
        <v>49</v>
      </c>
      <c r="J2442" s="2" t="s">
        <v>4670</v>
      </c>
      <c r="K2442" s="2" t="s">
        <v>24</v>
      </c>
      <c r="L2442" s="13" t="s">
        <v>51</v>
      </c>
      <c r="M2442" s="2" t="s">
        <v>26</v>
      </c>
      <c r="N2442" s="24" t="s">
        <v>8793</v>
      </c>
      <c r="O2442" s="12" t="s">
        <v>53</v>
      </c>
      <c r="P2442" s="5" t="str">
        <f>IFERROR(__xludf.DUMMYFUNCTION("TEXTJOIN("" | "",TRUE,IF(OR(D2442="""",E2442="""",I2442="""",J2442="""",H2442=""""),""ফাঁকা ঘর"",""""),IF(AND(C2442&lt;&gt;"""",D2442&lt;&gt;"""",C2442=D2442),""gloss=figurative"",""""),IF(LEN(D2442)&lt;15,""figurative ছোট"",""""),IF(AND(I2442=""Positive"",REGEXMATCH(H2"&amp;"442,""মূর্খ|ভণ্ড|প্রতার|অলস|লোভ|স্বার্থ|অক্ষম|অযোগ্য|বোকা|কৃপণ|হিংস"")),""valence-target অমিল"",""""),IF(COUNTIF($B:$B,B2442)&gt;1,""ডুপ্লিকেট"",""""))"),"")</f>
        <v/>
      </c>
      <c r="Q2442" s="5" t="str">
        <f t="shared" si="1"/>
        <v>২ পরে</v>
      </c>
    </row>
    <row r="2443">
      <c r="A2443" s="4">
        <v>185.0</v>
      </c>
      <c r="B2443" s="2" t="s">
        <v>9527</v>
      </c>
      <c r="C2443" s="2" t="s">
        <v>9528</v>
      </c>
      <c r="D2443" s="2" t="s">
        <v>9529</v>
      </c>
      <c r="E2443" s="2" t="s">
        <v>9530</v>
      </c>
      <c r="F2443" s="2" t="b">
        <v>1</v>
      </c>
      <c r="G2443" s="2" t="b">
        <v>0</v>
      </c>
      <c r="H2443" s="2" t="s">
        <v>9531</v>
      </c>
      <c r="I2443" s="2" t="s">
        <v>22</v>
      </c>
      <c r="J2443" s="2" t="s">
        <v>59</v>
      </c>
      <c r="K2443" s="2" t="s">
        <v>24</v>
      </c>
      <c r="L2443" s="13" t="s">
        <v>51</v>
      </c>
      <c r="M2443" s="2" t="s">
        <v>26</v>
      </c>
      <c r="N2443" s="24" t="s">
        <v>9532</v>
      </c>
      <c r="O2443" s="12" t="s">
        <v>53</v>
      </c>
      <c r="P2443" s="5" t="str">
        <f>IFERROR(__xludf.DUMMYFUNCTION("TEXTJOIN("" | "",TRUE,IF(OR(D2443="""",E2443="""",I2443="""",J2443="""",H2443=""""),""ফাঁকা ঘর"",""""),IF(AND(C2443&lt;&gt;"""",D2443&lt;&gt;"""",C2443=D2443),""gloss=figurative"",""""),IF(LEN(D2443)&lt;15,""figurative ছোট"",""""),IF(AND(I2443=""Positive"",REGEXMATCH(H2"&amp;"443,""মূর্খ|ভণ্ড|প্রতার|অলস|লোভ|স্বার্থ|অক্ষম|অযোগ্য|বোকা|কৃপণ|হিংস"")),""valence-target অমিল"",""""),IF(COUNTIF($B:$B,B2443)&gt;1,""ডুপ্লিকেট"",""""))"),"")</f>
        <v/>
      </c>
      <c r="Q2443" s="5" t="str">
        <f t="shared" si="1"/>
        <v>২ পরে</v>
      </c>
    </row>
    <row r="2444">
      <c r="A2444" s="4">
        <v>186.0</v>
      </c>
      <c r="B2444" s="2" t="s">
        <v>9533</v>
      </c>
      <c r="C2444" s="2" t="s">
        <v>9534</v>
      </c>
      <c r="D2444" s="2" t="s">
        <v>9535</v>
      </c>
      <c r="E2444" s="2" t="s">
        <v>9536</v>
      </c>
      <c r="F2444" s="2" t="b">
        <v>1</v>
      </c>
      <c r="G2444" s="2" t="b">
        <v>0</v>
      </c>
      <c r="H2444" s="2" t="s">
        <v>9537</v>
      </c>
      <c r="I2444" s="2" t="s">
        <v>22</v>
      </c>
      <c r="J2444" s="2" t="s">
        <v>59</v>
      </c>
      <c r="K2444" s="2" t="s">
        <v>24</v>
      </c>
      <c r="L2444" s="13" t="s">
        <v>51</v>
      </c>
      <c r="M2444" s="2" t="s">
        <v>26</v>
      </c>
      <c r="N2444" s="24" t="s">
        <v>8793</v>
      </c>
      <c r="O2444" s="12" t="s">
        <v>53</v>
      </c>
      <c r="P2444" s="5" t="str">
        <f>IFERROR(__xludf.DUMMYFUNCTION("TEXTJOIN("" | "",TRUE,IF(OR(D2444="""",E2444="""",I2444="""",J2444="""",H2444=""""),""ফাঁকা ঘর"",""""),IF(AND(C2444&lt;&gt;"""",D2444&lt;&gt;"""",C2444=D2444),""gloss=figurative"",""""),IF(LEN(D2444)&lt;15,""figurative ছোট"",""""),IF(AND(I2444=""Positive"",REGEXMATCH(H2"&amp;"444,""মূর্খ|ভণ্ড|প্রতার|অলস|লোভ|স্বার্থ|অক্ষম|অযোগ্য|বোকা|কৃপণ|হিংস"")),""valence-target অমিল"",""""),IF(COUNTIF($B:$B,B2444)&gt;1,""ডুপ্লিকেট"",""""))"),"")</f>
        <v/>
      </c>
      <c r="Q2444" s="5" t="str">
        <f t="shared" si="1"/>
        <v>২ পরে</v>
      </c>
    </row>
    <row r="2445">
      <c r="A2445" s="4">
        <v>187.0</v>
      </c>
      <c r="B2445" s="2" t="s">
        <v>9538</v>
      </c>
      <c r="C2445" s="2" t="s">
        <v>9539</v>
      </c>
      <c r="D2445" s="2" t="s">
        <v>9540</v>
      </c>
      <c r="E2445" s="2" t="s">
        <v>9541</v>
      </c>
      <c r="F2445" s="2" t="b">
        <v>1</v>
      </c>
      <c r="G2445" s="2" t="b">
        <v>0</v>
      </c>
      <c r="H2445" s="2" t="s">
        <v>110</v>
      </c>
      <c r="I2445" s="2" t="s">
        <v>32</v>
      </c>
      <c r="J2445" s="2" t="s">
        <v>59</v>
      </c>
      <c r="K2445" s="2" t="s">
        <v>24</v>
      </c>
      <c r="L2445" s="13" t="s">
        <v>51</v>
      </c>
      <c r="M2445" s="2" t="s">
        <v>26</v>
      </c>
      <c r="N2445" s="24" t="s">
        <v>8793</v>
      </c>
      <c r="O2445" s="12" t="s">
        <v>53</v>
      </c>
      <c r="P2445" s="5" t="str">
        <f>IFERROR(__xludf.DUMMYFUNCTION("TEXTJOIN("" | "",TRUE,IF(OR(D2445="""",E2445="""",I2445="""",J2445="""",H2445=""""),""ফাঁকা ঘর"",""""),IF(AND(C2445&lt;&gt;"""",D2445&lt;&gt;"""",C2445=D2445),""gloss=figurative"",""""),IF(LEN(D2445)&lt;15,""figurative ছোট"",""""),IF(AND(I2445=""Positive"",REGEXMATCH(H2"&amp;"445,""মূর্খ|ভণ্ড|প্রতার|অলস|লোভ|স্বার্থ|অক্ষম|অযোগ্য|বোকা|কৃপণ|হিংস"")),""valence-target অমিল"",""""),IF(COUNTIF($B:$B,B2445)&gt;1,""ডুপ্লিকেট"",""""))"),"")</f>
        <v/>
      </c>
      <c r="Q2445" s="5" t="str">
        <f t="shared" si="1"/>
        <v>২ পরে</v>
      </c>
    </row>
    <row r="2446">
      <c r="A2446" s="4">
        <v>188.0</v>
      </c>
      <c r="B2446" s="2" t="s">
        <v>9542</v>
      </c>
      <c r="C2446" s="2" t="s">
        <v>9543</v>
      </c>
      <c r="D2446" s="2" t="s">
        <v>9544</v>
      </c>
      <c r="E2446" s="2" t="s">
        <v>9545</v>
      </c>
      <c r="F2446" s="2" t="b">
        <v>1</v>
      </c>
      <c r="G2446" s="2" t="b">
        <v>0</v>
      </c>
      <c r="H2446" s="2" t="s">
        <v>37</v>
      </c>
      <c r="I2446" s="2" t="s">
        <v>32</v>
      </c>
      <c r="J2446" s="2" t="s">
        <v>565</v>
      </c>
      <c r="K2446" s="2" t="s">
        <v>24</v>
      </c>
      <c r="L2446" s="13" t="s">
        <v>51</v>
      </c>
      <c r="M2446" s="2" t="s">
        <v>26</v>
      </c>
      <c r="N2446" s="24" t="s">
        <v>9546</v>
      </c>
      <c r="O2446" s="12" t="s">
        <v>53</v>
      </c>
      <c r="P2446" s="5" t="str">
        <f>IFERROR(__xludf.DUMMYFUNCTION("TEXTJOIN("" | "",TRUE,IF(OR(D2446="""",E2446="""",I2446="""",J2446="""",H2446=""""),""ফাঁকা ঘর"",""""),IF(AND(C2446&lt;&gt;"""",D2446&lt;&gt;"""",C2446=D2446),""gloss=figurative"",""""),IF(LEN(D2446)&lt;15,""figurative ছোট"",""""),IF(AND(I2446=""Positive"",REGEXMATCH(H2"&amp;"446,""মূর্খ|ভণ্ড|প্রতার|অলস|লোভ|স্বার্থ|অক্ষম|অযোগ্য|বোকা|কৃপণ|হিংস"")),""valence-target অমিল"",""""),IF(COUNTIF($B:$B,B2446)&gt;1,""ডুপ্লিকেট"",""""))"),"")</f>
        <v/>
      </c>
      <c r="Q2446" s="5" t="str">
        <f t="shared" si="1"/>
        <v>২ পরে</v>
      </c>
    </row>
    <row r="2447">
      <c r="A2447" s="4">
        <v>189.0</v>
      </c>
      <c r="B2447" s="2" t="s">
        <v>9547</v>
      </c>
      <c r="C2447" s="2" t="s">
        <v>9548</v>
      </c>
      <c r="D2447" s="2" t="s">
        <v>9549</v>
      </c>
      <c r="E2447" s="2" t="s">
        <v>9550</v>
      </c>
      <c r="F2447" s="2" t="b">
        <v>1</v>
      </c>
      <c r="G2447" s="2" t="b">
        <v>0</v>
      </c>
      <c r="H2447" s="2" t="s">
        <v>37</v>
      </c>
      <c r="I2447" s="2" t="s">
        <v>49</v>
      </c>
      <c r="J2447" s="2" t="s">
        <v>9037</v>
      </c>
      <c r="K2447" s="2" t="s">
        <v>24</v>
      </c>
      <c r="L2447" s="13" t="s">
        <v>51</v>
      </c>
      <c r="M2447" s="2" t="s">
        <v>26</v>
      </c>
      <c r="N2447" s="24" t="s">
        <v>8793</v>
      </c>
      <c r="O2447" s="12" t="s">
        <v>53</v>
      </c>
      <c r="P2447" s="5" t="str">
        <f>IFERROR(__xludf.DUMMYFUNCTION("TEXTJOIN("" | "",TRUE,IF(OR(D2447="""",E2447="""",I2447="""",J2447="""",H2447=""""),""ফাঁকা ঘর"",""""),IF(AND(C2447&lt;&gt;"""",D2447&lt;&gt;"""",C2447=D2447),""gloss=figurative"",""""),IF(LEN(D2447)&lt;15,""figurative ছোট"",""""),IF(AND(I2447=""Positive"",REGEXMATCH(H2"&amp;"447,""মূর্খ|ভণ্ড|প্রতার|অলস|লোভ|স্বার্থ|অক্ষম|অযোগ্য|বোকা|কৃপণ|হিংস"")),""valence-target অমিল"",""""),IF(COUNTIF($B:$B,B2447)&gt;1,""ডুপ্লিকেট"",""""))"),"")</f>
        <v/>
      </c>
      <c r="Q2447" s="5" t="str">
        <f t="shared" si="1"/>
        <v>২ পরে</v>
      </c>
    </row>
    <row r="2448">
      <c r="A2448" s="4">
        <v>190.0</v>
      </c>
      <c r="B2448" s="2" t="s">
        <v>9551</v>
      </c>
      <c r="C2448" s="2" t="s">
        <v>9552</v>
      </c>
      <c r="D2448" s="2" t="s">
        <v>9553</v>
      </c>
      <c r="E2448" s="2" t="s">
        <v>9554</v>
      </c>
      <c r="F2448" s="2" t="b">
        <v>1</v>
      </c>
      <c r="G2448" s="2" t="b">
        <v>0</v>
      </c>
      <c r="H2448" s="2" t="s">
        <v>390</v>
      </c>
      <c r="I2448" s="2" t="s">
        <v>32</v>
      </c>
      <c r="J2448" s="2" t="s">
        <v>59</v>
      </c>
      <c r="K2448" s="2" t="s">
        <v>24</v>
      </c>
      <c r="L2448" s="13" t="s">
        <v>51</v>
      </c>
      <c r="M2448" s="2" t="s">
        <v>26</v>
      </c>
      <c r="N2448" s="24" t="s">
        <v>8793</v>
      </c>
      <c r="O2448" s="12" t="s">
        <v>53</v>
      </c>
      <c r="P2448" s="5" t="str">
        <f>IFERROR(__xludf.DUMMYFUNCTION("TEXTJOIN("" | "",TRUE,IF(OR(D2448="""",E2448="""",I2448="""",J2448="""",H2448=""""),""ফাঁকা ঘর"",""""),IF(AND(C2448&lt;&gt;"""",D2448&lt;&gt;"""",C2448=D2448),""gloss=figurative"",""""),IF(LEN(D2448)&lt;15,""figurative ছোট"",""""),IF(AND(I2448=""Positive"",REGEXMATCH(H2"&amp;"448,""মূর্খ|ভণ্ড|প্রতার|অলস|লোভ|স্বার্থ|অক্ষম|অযোগ্য|বোকা|কৃপণ|হিংস"")),""valence-target অমিল"",""""),IF(COUNTIF($B:$B,B2448)&gt;1,""ডুপ্লিকেট"",""""))"),"")</f>
        <v/>
      </c>
      <c r="Q2448" s="5" t="str">
        <f t="shared" si="1"/>
        <v>২ পরে</v>
      </c>
    </row>
    <row r="2449">
      <c r="A2449" s="4">
        <v>191.0</v>
      </c>
      <c r="B2449" s="2" t="s">
        <v>9555</v>
      </c>
      <c r="C2449" s="2" t="s">
        <v>9556</v>
      </c>
      <c r="D2449" s="2" t="s">
        <v>9557</v>
      </c>
      <c r="E2449" s="2" t="s">
        <v>9558</v>
      </c>
      <c r="F2449" s="2" t="b">
        <v>1</v>
      </c>
      <c r="G2449" s="2" t="b">
        <v>0</v>
      </c>
      <c r="H2449" s="2" t="s">
        <v>9559</v>
      </c>
      <c r="I2449" s="2" t="s">
        <v>32</v>
      </c>
      <c r="J2449" s="2" t="s">
        <v>123</v>
      </c>
      <c r="K2449" s="2" t="s">
        <v>24</v>
      </c>
      <c r="L2449" s="13" t="s">
        <v>51</v>
      </c>
      <c r="M2449" s="2" t="s">
        <v>26</v>
      </c>
      <c r="N2449" s="24" t="s">
        <v>8793</v>
      </c>
      <c r="O2449" s="12" t="s">
        <v>53</v>
      </c>
      <c r="P2449" s="5" t="str">
        <f>IFERROR(__xludf.DUMMYFUNCTION("TEXTJOIN("" | "",TRUE,IF(OR(D2449="""",E2449="""",I2449="""",J2449="""",H2449=""""),""ফাঁকা ঘর"",""""),IF(AND(C2449&lt;&gt;"""",D2449&lt;&gt;"""",C2449=D2449),""gloss=figurative"",""""),IF(LEN(D2449)&lt;15,""figurative ছোট"",""""),IF(AND(I2449=""Positive"",REGEXMATCH(H2"&amp;"449,""মূর্খ|ভণ্ড|প্রতার|অলস|লোভ|স্বার্থ|অক্ষম|অযোগ্য|বোকা|কৃপণ|হিংস"")),""valence-target অমিল"",""""),IF(COUNTIF($B:$B,B2449)&gt;1,""ডুপ্লিকেট"",""""))"),"")</f>
        <v/>
      </c>
      <c r="Q2449" s="5" t="str">
        <f t="shared" si="1"/>
        <v>২ পরে</v>
      </c>
    </row>
    <row r="2450">
      <c r="A2450" s="4">
        <v>193.0</v>
      </c>
      <c r="B2450" s="2" t="s">
        <v>9560</v>
      </c>
      <c r="C2450" s="2" t="s">
        <v>9069</v>
      </c>
      <c r="D2450" s="2" t="s">
        <v>9070</v>
      </c>
      <c r="E2450" s="2" t="s">
        <v>9561</v>
      </c>
      <c r="F2450" s="2" t="b">
        <v>1</v>
      </c>
      <c r="G2450" s="2" t="b">
        <v>0</v>
      </c>
      <c r="H2450" s="2" t="s">
        <v>110</v>
      </c>
      <c r="I2450" s="2" t="s">
        <v>22</v>
      </c>
      <c r="J2450" s="2" t="s">
        <v>59</v>
      </c>
      <c r="K2450" s="2" t="s">
        <v>24</v>
      </c>
      <c r="L2450" s="13" t="s">
        <v>51</v>
      </c>
      <c r="M2450" s="2" t="s">
        <v>26</v>
      </c>
      <c r="N2450" s="24" t="s">
        <v>8793</v>
      </c>
      <c r="O2450" s="12" t="s">
        <v>53</v>
      </c>
      <c r="P2450" s="5" t="str">
        <f>IFERROR(__xludf.DUMMYFUNCTION("TEXTJOIN("" | "",TRUE,IF(OR(D2450="""",E2450="""",I2450="""",J2450="""",H2450=""""),""ফাঁকা ঘর"",""""),IF(AND(C2450&lt;&gt;"""",D2450&lt;&gt;"""",C2450=D2450),""gloss=figurative"",""""),IF(LEN(D2450)&lt;15,""figurative ছোট"",""""),IF(AND(I2450=""Positive"",REGEXMATCH(H2"&amp;"450,""মূর্খ|ভণ্ড|প্রতার|অলস|লোভ|স্বার্থ|অক্ষম|অযোগ্য|বোকা|কৃপণ|হিংস"")),""valence-target অমিল"",""""),IF(COUNTIF($B:$B,B2450)&gt;1,""ডুপ্লিকেট"",""""))"),"")</f>
        <v/>
      </c>
      <c r="Q2450" s="5" t="str">
        <f t="shared" si="1"/>
        <v>২ পরে</v>
      </c>
    </row>
    <row r="2451">
      <c r="A2451" s="4">
        <v>194.0</v>
      </c>
      <c r="B2451" s="2" t="s">
        <v>9562</v>
      </c>
      <c r="C2451" s="2" t="s">
        <v>9563</v>
      </c>
      <c r="D2451" s="2" t="s">
        <v>9564</v>
      </c>
      <c r="E2451" s="2" t="s">
        <v>9565</v>
      </c>
      <c r="F2451" s="2" t="b">
        <v>1</v>
      </c>
      <c r="G2451" s="2" t="b">
        <v>0</v>
      </c>
      <c r="H2451" s="2" t="s">
        <v>9566</v>
      </c>
      <c r="I2451" s="2" t="s">
        <v>32</v>
      </c>
      <c r="J2451" s="2" t="s">
        <v>59</v>
      </c>
      <c r="K2451" s="2" t="s">
        <v>24</v>
      </c>
      <c r="L2451" s="13" t="s">
        <v>51</v>
      </c>
      <c r="M2451" s="2" t="s">
        <v>26</v>
      </c>
      <c r="N2451" s="24" t="s">
        <v>8793</v>
      </c>
      <c r="O2451" s="12" t="s">
        <v>53</v>
      </c>
      <c r="P2451" s="5" t="str">
        <f>IFERROR(__xludf.DUMMYFUNCTION("TEXTJOIN("" | "",TRUE,IF(OR(D2451="""",E2451="""",I2451="""",J2451="""",H2451=""""),""ফাঁকা ঘর"",""""),IF(AND(C2451&lt;&gt;"""",D2451&lt;&gt;"""",C2451=D2451),""gloss=figurative"",""""),IF(LEN(D2451)&lt;15,""figurative ছোট"",""""),IF(AND(I2451=""Positive"",REGEXMATCH(H2"&amp;"451,""মূর্খ|ভণ্ড|প্রতার|অলস|লোভ|স্বার্থ|অক্ষম|অযোগ্য|বোকা|কৃপণ|হিংস"")),""valence-target অমিল"",""""),IF(COUNTIF($B:$B,B2451)&gt;1,""ডুপ্লিকেট"",""""))"),"")</f>
        <v/>
      </c>
      <c r="Q2451" s="5" t="str">
        <f t="shared" si="1"/>
        <v>২ পরে</v>
      </c>
    </row>
    <row r="2452">
      <c r="A2452" s="4">
        <v>195.0</v>
      </c>
      <c r="B2452" s="2" t="s">
        <v>9567</v>
      </c>
      <c r="C2452" s="2" t="s">
        <v>9568</v>
      </c>
      <c r="D2452" s="2" t="s">
        <v>9569</v>
      </c>
      <c r="E2452" s="2" t="s">
        <v>9570</v>
      </c>
      <c r="F2452" s="2" t="b">
        <v>1</v>
      </c>
      <c r="G2452" s="2" t="b">
        <v>0</v>
      </c>
      <c r="H2452" s="2" t="s">
        <v>224</v>
      </c>
      <c r="I2452" s="2" t="s">
        <v>22</v>
      </c>
      <c r="J2452" s="2" t="s">
        <v>225</v>
      </c>
      <c r="K2452" s="2" t="s">
        <v>24</v>
      </c>
      <c r="L2452" s="13" t="s">
        <v>51</v>
      </c>
      <c r="M2452" s="2" t="s">
        <v>26</v>
      </c>
      <c r="N2452" s="24" t="s">
        <v>8793</v>
      </c>
      <c r="O2452" s="12" t="s">
        <v>53</v>
      </c>
      <c r="P2452" s="5" t="str">
        <f>IFERROR(__xludf.DUMMYFUNCTION("TEXTJOIN("" | "",TRUE,IF(OR(D2452="""",E2452="""",I2452="""",J2452="""",H2452=""""),""ফাঁকা ঘর"",""""),IF(AND(C2452&lt;&gt;"""",D2452&lt;&gt;"""",C2452=D2452),""gloss=figurative"",""""),IF(LEN(D2452)&lt;15,""figurative ছোট"",""""),IF(AND(I2452=""Positive"",REGEXMATCH(H2"&amp;"452,""মূর্খ|ভণ্ড|প্রতার|অলস|লোভ|স্বার্থ|অক্ষম|অযোগ্য|বোকা|কৃপণ|হিংস"")),""valence-target অমিল"",""""),IF(COUNTIF($B:$B,B2452)&gt;1,""ডুপ্লিকেট"",""""))"),"")</f>
        <v/>
      </c>
      <c r="Q2452" s="5" t="str">
        <f t="shared" si="1"/>
        <v>২ পরে</v>
      </c>
    </row>
    <row r="2453">
      <c r="A2453" s="4">
        <v>196.0</v>
      </c>
      <c r="B2453" s="2" t="s">
        <v>9571</v>
      </c>
      <c r="C2453" s="2" t="s">
        <v>9572</v>
      </c>
      <c r="D2453" s="2" t="s">
        <v>9573</v>
      </c>
      <c r="E2453" s="2" t="s">
        <v>9574</v>
      </c>
      <c r="F2453" s="2" t="b">
        <v>1</v>
      </c>
      <c r="G2453" s="2" t="b">
        <v>0</v>
      </c>
      <c r="H2453" s="2" t="s">
        <v>9575</v>
      </c>
      <c r="I2453" s="2" t="s">
        <v>49</v>
      </c>
      <c r="J2453" s="2" t="s">
        <v>1621</v>
      </c>
      <c r="K2453" s="2" t="s">
        <v>24</v>
      </c>
      <c r="L2453" s="13" t="s">
        <v>51</v>
      </c>
      <c r="M2453" s="2" t="s">
        <v>26</v>
      </c>
      <c r="N2453" s="24" t="s">
        <v>8793</v>
      </c>
      <c r="O2453" s="12" t="s">
        <v>53</v>
      </c>
      <c r="P2453" s="5" t="str">
        <f>IFERROR(__xludf.DUMMYFUNCTION("TEXTJOIN("" | "",TRUE,IF(OR(D2453="""",E2453="""",I2453="""",J2453="""",H2453=""""),""ফাঁকা ঘর"",""""),IF(AND(C2453&lt;&gt;"""",D2453&lt;&gt;"""",C2453=D2453),""gloss=figurative"",""""),IF(LEN(D2453)&lt;15,""figurative ছোট"",""""),IF(AND(I2453=""Positive"",REGEXMATCH(H2"&amp;"453,""মূর্খ|ভণ্ড|প্রতার|অলস|লোভ|স্বার্থ|অক্ষম|অযোগ্য|বোকা|কৃপণ|হিংস"")),""valence-target অমিল"",""""),IF(COUNTIF($B:$B,B2453)&gt;1,""ডুপ্লিকেট"",""""))"),"")</f>
        <v/>
      </c>
      <c r="Q2453" s="5" t="str">
        <f t="shared" si="1"/>
        <v>২ পরে</v>
      </c>
    </row>
    <row r="2454">
      <c r="A2454" s="4">
        <v>197.0</v>
      </c>
      <c r="B2454" s="2" t="s">
        <v>9576</v>
      </c>
      <c r="C2454" s="2" t="s">
        <v>9577</v>
      </c>
      <c r="D2454" s="2" t="s">
        <v>9578</v>
      </c>
      <c r="E2454" s="2" t="s">
        <v>9579</v>
      </c>
      <c r="F2454" s="2" t="b">
        <v>1</v>
      </c>
      <c r="G2454" s="2" t="b">
        <v>0</v>
      </c>
      <c r="H2454" s="2" t="s">
        <v>9580</v>
      </c>
      <c r="I2454" s="2" t="s">
        <v>49</v>
      </c>
      <c r="J2454" s="2" t="s">
        <v>1621</v>
      </c>
      <c r="K2454" s="2" t="s">
        <v>24</v>
      </c>
      <c r="L2454" s="13" t="s">
        <v>51</v>
      </c>
      <c r="M2454" s="2" t="s">
        <v>26</v>
      </c>
      <c r="N2454" s="24" t="s">
        <v>8793</v>
      </c>
      <c r="O2454" s="12" t="s">
        <v>53</v>
      </c>
      <c r="P2454" s="5" t="str">
        <f>IFERROR(__xludf.DUMMYFUNCTION("TEXTJOIN("" | "",TRUE,IF(OR(D2454="""",E2454="""",I2454="""",J2454="""",H2454=""""),""ফাঁকা ঘর"",""""),IF(AND(C2454&lt;&gt;"""",D2454&lt;&gt;"""",C2454=D2454),""gloss=figurative"",""""),IF(LEN(D2454)&lt;15,""figurative ছোট"",""""),IF(AND(I2454=""Positive"",REGEXMATCH(H2"&amp;"454,""মূর্খ|ভণ্ড|প্রতার|অলস|লোভ|স্বার্থ|অক্ষম|অযোগ্য|বোকা|কৃপণ|হিংস"")),""valence-target অমিল"",""""),IF(COUNTIF($B:$B,B2454)&gt;1,""ডুপ্লিকেট"",""""))"),"")</f>
        <v/>
      </c>
      <c r="Q2454" s="5" t="str">
        <f t="shared" si="1"/>
        <v>২ পরে</v>
      </c>
    </row>
    <row r="2455">
      <c r="A2455" s="4">
        <v>198.0</v>
      </c>
      <c r="B2455" s="2" t="s">
        <v>9581</v>
      </c>
      <c r="C2455" s="2" t="s">
        <v>9582</v>
      </c>
      <c r="D2455" s="2" t="s">
        <v>9583</v>
      </c>
      <c r="E2455" s="2" t="s">
        <v>9584</v>
      </c>
      <c r="F2455" s="2" t="b">
        <v>1</v>
      </c>
      <c r="G2455" s="2" t="b">
        <v>0</v>
      </c>
      <c r="H2455" s="2" t="s">
        <v>9580</v>
      </c>
      <c r="I2455" s="2" t="s">
        <v>49</v>
      </c>
      <c r="J2455" s="2" t="s">
        <v>1621</v>
      </c>
      <c r="K2455" s="2" t="s">
        <v>24</v>
      </c>
      <c r="L2455" s="13" t="s">
        <v>51</v>
      </c>
      <c r="M2455" s="2" t="s">
        <v>26</v>
      </c>
      <c r="N2455" s="24" t="s">
        <v>8793</v>
      </c>
      <c r="O2455" s="12" t="s">
        <v>53</v>
      </c>
      <c r="P2455" s="5" t="str">
        <f>IFERROR(__xludf.DUMMYFUNCTION("TEXTJOIN("" | "",TRUE,IF(OR(D2455="""",E2455="""",I2455="""",J2455="""",H2455=""""),""ফাঁকা ঘর"",""""),IF(AND(C2455&lt;&gt;"""",D2455&lt;&gt;"""",C2455=D2455),""gloss=figurative"",""""),IF(LEN(D2455)&lt;15,""figurative ছোট"",""""),IF(AND(I2455=""Positive"",REGEXMATCH(H2"&amp;"455,""মূর্খ|ভণ্ড|প্রতার|অলস|লোভ|স্বার্থ|অক্ষম|অযোগ্য|বোকা|কৃপণ|হিংস"")),""valence-target অমিল"",""""),IF(COUNTIF($B:$B,B2455)&gt;1,""ডুপ্লিকেট"",""""))"),"")</f>
        <v/>
      </c>
      <c r="Q2455" s="5" t="str">
        <f t="shared" si="1"/>
        <v>২ পরে</v>
      </c>
    </row>
    <row r="2456">
      <c r="A2456" s="4">
        <v>199.0</v>
      </c>
      <c r="B2456" s="2" t="s">
        <v>9585</v>
      </c>
      <c r="C2456" s="2" t="s">
        <v>9586</v>
      </c>
      <c r="D2456" s="2" t="s">
        <v>9587</v>
      </c>
      <c r="E2456" s="2" t="s">
        <v>9588</v>
      </c>
      <c r="F2456" s="2" t="b">
        <v>1</v>
      </c>
      <c r="G2456" s="2" t="b">
        <v>0</v>
      </c>
      <c r="H2456" s="2" t="s">
        <v>9331</v>
      </c>
      <c r="I2456" s="2" t="s">
        <v>22</v>
      </c>
      <c r="J2456" s="2" t="s">
        <v>357</v>
      </c>
      <c r="K2456" s="2" t="s">
        <v>24</v>
      </c>
      <c r="L2456" s="13" t="s">
        <v>51</v>
      </c>
      <c r="M2456" s="2" t="s">
        <v>26</v>
      </c>
      <c r="N2456" s="24" t="s">
        <v>8793</v>
      </c>
      <c r="O2456" s="12" t="s">
        <v>53</v>
      </c>
      <c r="P2456" s="5" t="str">
        <f>IFERROR(__xludf.DUMMYFUNCTION("TEXTJOIN("" | "",TRUE,IF(OR(D2456="""",E2456="""",I2456="""",J2456="""",H2456=""""),""ফাঁকা ঘর"",""""),IF(AND(C2456&lt;&gt;"""",D2456&lt;&gt;"""",C2456=D2456),""gloss=figurative"",""""),IF(LEN(D2456)&lt;15,""figurative ছোট"",""""),IF(AND(I2456=""Positive"",REGEXMATCH(H2"&amp;"456,""মূর্খ|ভণ্ড|প্রতার|অলস|লোভ|স্বার্থ|অক্ষম|অযোগ্য|বোকা|কৃপণ|হিংস"")),""valence-target অমিল"",""""),IF(COUNTIF($B:$B,B2456)&gt;1,""ডুপ্লিকেট"",""""))"),"")</f>
        <v/>
      </c>
      <c r="Q2456" s="5" t="str">
        <f t="shared" si="1"/>
        <v>২ পরে</v>
      </c>
    </row>
    <row r="2457">
      <c r="A2457" s="4">
        <v>200.0</v>
      </c>
      <c r="B2457" s="2" t="s">
        <v>9589</v>
      </c>
      <c r="C2457" s="2" t="s">
        <v>9590</v>
      </c>
      <c r="D2457" s="2" t="s">
        <v>9591</v>
      </c>
      <c r="E2457" s="2" t="s">
        <v>9592</v>
      </c>
      <c r="F2457" s="2" t="b">
        <v>1</v>
      </c>
      <c r="G2457" s="2" t="b">
        <v>0</v>
      </c>
      <c r="H2457" s="2" t="s">
        <v>9593</v>
      </c>
      <c r="I2457" s="2" t="s">
        <v>49</v>
      </c>
      <c r="J2457" s="2" t="s">
        <v>9037</v>
      </c>
      <c r="K2457" s="2" t="s">
        <v>24</v>
      </c>
      <c r="L2457" s="13" t="s">
        <v>51</v>
      </c>
      <c r="M2457" s="2" t="s">
        <v>26</v>
      </c>
      <c r="N2457" s="24" t="s">
        <v>8793</v>
      </c>
      <c r="O2457" s="12" t="s">
        <v>53</v>
      </c>
      <c r="P2457" s="5" t="str">
        <f>IFERROR(__xludf.DUMMYFUNCTION("TEXTJOIN("" | "",TRUE,IF(OR(D2457="""",E2457="""",I2457="""",J2457="""",H2457=""""),""ফাঁকা ঘর"",""""),IF(AND(C2457&lt;&gt;"""",D2457&lt;&gt;"""",C2457=D2457),""gloss=figurative"",""""),IF(LEN(D2457)&lt;15,""figurative ছোট"",""""),IF(AND(I2457=""Positive"",REGEXMATCH(H2"&amp;"457,""মূর্খ|ভণ্ড|প্রতার|অলস|লোভ|স্বার্থ|অক্ষম|অযোগ্য|বোকা|কৃপণ|হিংস"")),""valence-target অমিল"",""""),IF(COUNTIF($B:$B,B2457)&gt;1,""ডুপ্লিকেট"",""""))"),"")</f>
        <v/>
      </c>
      <c r="Q2457" s="5" t="str">
        <f t="shared" si="1"/>
        <v>২ পরে</v>
      </c>
    </row>
    <row r="2458">
      <c r="A2458" s="4">
        <v>201.0</v>
      </c>
      <c r="B2458" s="2" t="s">
        <v>9594</v>
      </c>
      <c r="C2458" s="2" t="s">
        <v>9595</v>
      </c>
      <c r="D2458" s="2" t="s">
        <v>9596</v>
      </c>
      <c r="E2458" s="2" t="s">
        <v>9597</v>
      </c>
      <c r="F2458" s="2" t="b">
        <v>1</v>
      </c>
      <c r="G2458" s="2" t="b">
        <v>0</v>
      </c>
      <c r="H2458" s="2" t="s">
        <v>9598</v>
      </c>
      <c r="I2458" s="2" t="s">
        <v>22</v>
      </c>
      <c r="J2458" s="2" t="s">
        <v>59</v>
      </c>
      <c r="K2458" s="2" t="s">
        <v>24</v>
      </c>
      <c r="L2458" s="13" t="s">
        <v>51</v>
      </c>
      <c r="M2458" s="2" t="s">
        <v>26</v>
      </c>
      <c r="N2458" s="24" t="s">
        <v>8793</v>
      </c>
      <c r="O2458" s="12" t="s">
        <v>53</v>
      </c>
      <c r="P2458" s="5" t="str">
        <f>IFERROR(__xludf.DUMMYFUNCTION("TEXTJOIN("" | "",TRUE,IF(OR(D2458="""",E2458="""",I2458="""",J2458="""",H2458=""""),""ফাঁকা ঘর"",""""),IF(AND(C2458&lt;&gt;"""",D2458&lt;&gt;"""",C2458=D2458),""gloss=figurative"",""""),IF(LEN(D2458)&lt;15,""figurative ছোট"",""""),IF(AND(I2458=""Positive"",REGEXMATCH(H2"&amp;"458,""মূর্খ|ভণ্ড|প্রতার|অলস|লোভ|স্বার্থ|অক্ষম|অযোগ্য|বোকা|কৃপণ|হিংস"")),""valence-target অমিল"",""""),IF(COUNTIF($B:$B,B2458)&gt;1,""ডুপ্লিকেট"",""""))"),"")</f>
        <v/>
      </c>
      <c r="Q2458" s="5" t="str">
        <f t="shared" si="1"/>
        <v>২ পরে</v>
      </c>
    </row>
    <row r="2459">
      <c r="A2459" s="4">
        <v>202.0</v>
      </c>
      <c r="B2459" s="2" t="s">
        <v>9599</v>
      </c>
      <c r="C2459" s="2" t="s">
        <v>9600</v>
      </c>
      <c r="D2459" s="2" t="s">
        <v>9601</v>
      </c>
      <c r="E2459" s="2" t="s">
        <v>9602</v>
      </c>
      <c r="F2459" s="2" t="b">
        <v>1</v>
      </c>
      <c r="G2459" s="2" t="b">
        <v>0</v>
      </c>
      <c r="H2459" s="2" t="s">
        <v>9603</v>
      </c>
      <c r="I2459" s="2" t="s">
        <v>49</v>
      </c>
      <c r="J2459" s="2" t="s">
        <v>357</v>
      </c>
      <c r="K2459" s="2" t="s">
        <v>24</v>
      </c>
      <c r="L2459" s="13" t="s">
        <v>51</v>
      </c>
      <c r="M2459" s="2" t="s">
        <v>26</v>
      </c>
      <c r="N2459" s="24" t="s">
        <v>8793</v>
      </c>
      <c r="O2459" s="12" t="s">
        <v>53</v>
      </c>
      <c r="P2459" s="5" t="str">
        <f>IFERROR(__xludf.DUMMYFUNCTION("TEXTJOIN("" | "",TRUE,IF(OR(D2459="""",E2459="""",I2459="""",J2459="""",H2459=""""),""ফাঁকা ঘর"",""""),IF(AND(C2459&lt;&gt;"""",D2459&lt;&gt;"""",C2459=D2459),""gloss=figurative"",""""),IF(LEN(D2459)&lt;15,""figurative ছোট"",""""),IF(AND(I2459=""Positive"",REGEXMATCH(H2"&amp;"459,""মূর্খ|ভণ্ড|প্রতার|অলস|লোভ|স্বার্থ|অক্ষম|অযোগ্য|বোকা|কৃপণ|হিংস"")),""valence-target অমিল"",""""),IF(COUNTIF($B:$B,B2459)&gt;1,""ডুপ্লিকেট"",""""))"),"")</f>
        <v/>
      </c>
      <c r="Q2459" s="5" t="str">
        <f t="shared" si="1"/>
        <v>২ পরে</v>
      </c>
    </row>
    <row r="2460">
      <c r="A2460" s="4">
        <v>203.0</v>
      </c>
      <c r="B2460" s="2" t="s">
        <v>9604</v>
      </c>
      <c r="C2460" s="2" t="s">
        <v>9605</v>
      </c>
      <c r="D2460" s="2" t="s">
        <v>9606</v>
      </c>
      <c r="E2460" s="2" t="s">
        <v>9607</v>
      </c>
      <c r="F2460" s="2" t="b">
        <v>1</v>
      </c>
      <c r="G2460" s="2" t="b">
        <v>0</v>
      </c>
      <c r="H2460" s="2" t="s">
        <v>9608</v>
      </c>
      <c r="I2460" s="2" t="s">
        <v>32</v>
      </c>
      <c r="J2460" s="2" t="s">
        <v>142</v>
      </c>
      <c r="K2460" s="2" t="s">
        <v>24</v>
      </c>
      <c r="L2460" s="13" t="s">
        <v>51</v>
      </c>
      <c r="M2460" s="2" t="s">
        <v>26</v>
      </c>
      <c r="N2460" s="24" t="s">
        <v>8793</v>
      </c>
      <c r="O2460" s="12" t="s">
        <v>53</v>
      </c>
      <c r="P2460" s="5" t="str">
        <f>IFERROR(__xludf.DUMMYFUNCTION("TEXTJOIN("" | "",TRUE,IF(OR(D2460="""",E2460="""",I2460="""",J2460="""",H2460=""""),""ফাঁকা ঘর"",""""),IF(AND(C2460&lt;&gt;"""",D2460&lt;&gt;"""",C2460=D2460),""gloss=figurative"",""""),IF(LEN(D2460)&lt;15,""figurative ছোট"",""""),IF(AND(I2460=""Positive"",REGEXMATCH(H2"&amp;"460,""মূর্খ|ভণ্ড|প্রতার|অলস|লোভ|স্বার্থ|অক্ষম|অযোগ্য|বোকা|কৃপণ|হিংস"")),""valence-target অমিল"",""""),IF(COUNTIF($B:$B,B2460)&gt;1,""ডুপ্লিকেট"",""""))"),"")</f>
        <v/>
      </c>
      <c r="Q2460" s="5" t="str">
        <f t="shared" si="1"/>
        <v>২ পরে</v>
      </c>
    </row>
    <row r="2461">
      <c r="A2461" s="4">
        <v>204.0</v>
      </c>
      <c r="B2461" s="2" t="s">
        <v>9609</v>
      </c>
      <c r="C2461" s="2" t="s">
        <v>9610</v>
      </c>
      <c r="D2461" s="2" t="s">
        <v>9611</v>
      </c>
      <c r="E2461" s="2" t="s">
        <v>9612</v>
      </c>
      <c r="F2461" s="2" t="b">
        <v>1</v>
      </c>
      <c r="G2461" s="2" t="b">
        <v>0</v>
      </c>
      <c r="H2461" s="2" t="s">
        <v>37</v>
      </c>
      <c r="I2461" s="2" t="s">
        <v>32</v>
      </c>
      <c r="J2461" s="2" t="s">
        <v>739</v>
      </c>
      <c r="K2461" s="2" t="s">
        <v>24</v>
      </c>
      <c r="L2461" s="13" t="s">
        <v>51</v>
      </c>
      <c r="M2461" s="2" t="s">
        <v>26</v>
      </c>
      <c r="N2461" s="24" t="s">
        <v>8793</v>
      </c>
      <c r="O2461" s="12" t="s">
        <v>53</v>
      </c>
      <c r="P2461" s="5" t="str">
        <f>IFERROR(__xludf.DUMMYFUNCTION("TEXTJOIN("" | "",TRUE,IF(OR(D2461="""",E2461="""",I2461="""",J2461="""",H2461=""""),""ফাঁকা ঘর"",""""),IF(AND(C2461&lt;&gt;"""",D2461&lt;&gt;"""",C2461=D2461),""gloss=figurative"",""""),IF(LEN(D2461)&lt;15,""figurative ছোট"",""""),IF(AND(I2461=""Positive"",REGEXMATCH(H2"&amp;"461,""মূর্খ|ভণ্ড|প্রতার|অলস|লোভ|স্বার্থ|অক্ষম|অযোগ্য|বোকা|কৃপণ|হিংস"")),""valence-target অমিল"",""""),IF(COUNTIF($B:$B,B2461)&gt;1,""ডুপ্লিকেট"",""""))"),"")</f>
        <v/>
      </c>
      <c r="Q2461" s="5" t="str">
        <f t="shared" si="1"/>
        <v>২ পরে</v>
      </c>
    </row>
    <row r="2462">
      <c r="A2462" s="4">
        <v>205.0</v>
      </c>
      <c r="B2462" s="2" t="s">
        <v>9613</v>
      </c>
      <c r="C2462" s="2" t="s">
        <v>9614</v>
      </c>
      <c r="D2462" s="2" t="s">
        <v>9615</v>
      </c>
      <c r="E2462" s="2" t="s">
        <v>9616</v>
      </c>
      <c r="F2462" s="2" t="b">
        <v>1</v>
      </c>
      <c r="G2462" s="2" t="b">
        <v>0</v>
      </c>
      <c r="H2462" s="2" t="s">
        <v>37</v>
      </c>
      <c r="I2462" s="2" t="s">
        <v>32</v>
      </c>
      <c r="J2462" s="2" t="s">
        <v>739</v>
      </c>
      <c r="K2462" s="2" t="s">
        <v>24</v>
      </c>
      <c r="L2462" s="13" t="s">
        <v>51</v>
      </c>
      <c r="M2462" s="2" t="s">
        <v>26</v>
      </c>
      <c r="N2462" s="24" t="s">
        <v>8793</v>
      </c>
      <c r="O2462" s="12" t="s">
        <v>53</v>
      </c>
      <c r="P2462" s="5" t="str">
        <f>IFERROR(__xludf.DUMMYFUNCTION("TEXTJOIN("" | "",TRUE,IF(OR(D2462="""",E2462="""",I2462="""",J2462="""",H2462=""""),""ফাঁকা ঘর"",""""),IF(AND(C2462&lt;&gt;"""",D2462&lt;&gt;"""",C2462=D2462),""gloss=figurative"",""""),IF(LEN(D2462)&lt;15,""figurative ছোট"",""""),IF(AND(I2462=""Positive"",REGEXMATCH(H2"&amp;"462,""মূর্খ|ভণ্ড|প্রতার|অলস|লোভ|স্বার্থ|অক্ষম|অযোগ্য|বোকা|কৃপণ|হিংস"")),""valence-target অমিল"",""""),IF(COUNTIF($B:$B,B2462)&gt;1,""ডুপ্লিকেট"",""""))"),"")</f>
        <v/>
      </c>
      <c r="Q2462" s="5" t="str">
        <f t="shared" si="1"/>
        <v>২ পরে</v>
      </c>
    </row>
    <row r="2463">
      <c r="A2463" s="4">
        <v>206.0</v>
      </c>
      <c r="B2463" s="2" t="s">
        <v>9617</v>
      </c>
      <c r="C2463" s="2" t="s">
        <v>9618</v>
      </c>
      <c r="D2463" s="2" t="s">
        <v>9619</v>
      </c>
      <c r="E2463" s="2" t="s">
        <v>9620</v>
      </c>
      <c r="F2463" s="2" t="b">
        <v>1</v>
      </c>
      <c r="G2463" s="2" t="b">
        <v>0</v>
      </c>
      <c r="H2463" s="2" t="s">
        <v>9621</v>
      </c>
      <c r="I2463" s="2" t="s">
        <v>22</v>
      </c>
      <c r="J2463" s="2" t="s">
        <v>357</v>
      </c>
      <c r="K2463" s="2" t="s">
        <v>24</v>
      </c>
      <c r="L2463" s="13" t="s">
        <v>51</v>
      </c>
      <c r="M2463" s="2" t="s">
        <v>26</v>
      </c>
      <c r="N2463" s="24" t="s">
        <v>9622</v>
      </c>
      <c r="O2463" s="12" t="s">
        <v>53</v>
      </c>
      <c r="P2463" s="5" t="str">
        <f>IFERROR(__xludf.DUMMYFUNCTION("TEXTJOIN("" | "",TRUE,IF(OR(D2463="""",E2463="""",I2463="""",J2463="""",H2463=""""),""ফাঁকা ঘর"",""""),IF(AND(C2463&lt;&gt;"""",D2463&lt;&gt;"""",C2463=D2463),""gloss=figurative"",""""),IF(LEN(D2463)&lt;15,""figurative ছোট"",""""),IF(AND(I2463=""Positive"",REGEXMATCH(H2"&amp;"463,""মূর্খ|ভণ্ড|প্রতার|অলস|লোভ|স্বার্থ|অক্ষম|অযোগ্য|বোকা|কৃপণ|হিংস"")),""valence-target অমিল"",""""),IF(COUNTIF($B:$B,B2463)&gt;1,""ডুপ্লিকেট"",""""))"),"")</f>
        <v/>
      </c>
      <c r="Q2463" s="5" t="str">
        <f t="shared" si="1"/>
        <v>২ পরে</v>
      </c>
    </row>
    <row r="2464">
      <c r="A2464" s="4">
        <v>207.0</v>
      </c>
      <c r="B2464" s="2" t="s">
        <v>9623</v>
      </c>
      <c r="C2464" s="2" t="s">
        <v>9618</v>
      </c>
      <c r="D2464" s="2" t="s">
        <v>9619</v>
      </c>
      <c r="E2464" s="2" t="s">
        <v>9624</v>
      </c>
      <c r="F2464" s="2" t="b">
        <v>1</v>
      </c>
      <c r="G2464" s="2" t="b">
        <v>0</v>
      </c>
      <c r="H2464" s="2" t="s">
        <v>9621</v>
      </c>
      <c r="I2464" s="2" t="s">
        <v>22</v>
      </c>
      <c r="J2464" s="2" t="s">
        <v>357</v>
      </c>
      <c r="K2464" s="2" t="s">
        <v>24</v>
      </c>
      <c r="L2464" s="13" t="s">
        <v>51</v>
      </c>
      <c r="M2464" s="2" t="s">
        <v>26</v>
      </c>
      <c r="N2464" s="24" t="s">
        <v>5313</v>
      </c>
      <c r="O2464" s="12" t="s">
        <v>53</v>
      </c>
      <c r="P2464" s="5" t="str">
        <f>IFERROR(__xludf.DUMMYFUNCTION("TEXTJOIN("" | "",TRUE,IF(OR(D2464="""",E2464="""",I2464="""",J2464="""",H2464=""""),""ফাঁকা ঘর"",""""),IF(AND(C2464&lt;&gt;"""",D2464&lt;&gt;"""",C2464=D2464),""gloss=figurative"",""""),IF(LEN(D2464)&lt;15,""figurative ছোট"",""""),IF(AND(I2464=""Positive"",REGEXMATCH(H2"&amp;"464,""মূর্খ|ভণ্ড|প্রতার|অলস|লোভ|স্বার্থ|অক্ষম|অযোগ্য|বোকা|কৃপণ|হিংস"")),""valence-target অমিল"",""""),IF(COUNTIF($B:$B,B2464)&gt;1,""ডুপ্লিকেট"",""""))"),"")</f>
        <v/>
      </c>
      <c r="Q2464" s="5" t="str">
        <f t="shared" si="1"/>
        <v>২ পরে</v>
      </c>
    </row>
    <row r="2465">
      <c r="A2465" s="4">
        <v>208.0</v>
      </c>
      <c r="B2465" s="2" t="s">
        <v>9625</v>
      </c>
      <c r="C2465" s="2" t="s">
        <v>9626</v>
      </c>
      <c r="D2465" s="2" t="s">
        <v>9627</v>
      </c>
      <c r="E2465" s="2" t="s">
        <v>9628</v>
      </c>
      <c r="F2465" s="2" t="b">
        <v>1</v>
      </c>
      <c r="G2465" s="2" t="b">
        <v>0</v>
      </c>
      <c r="H2465" s="2" t="s">
        <v>9452</v>
      </c>
      <c r="I2465" s="2" t="s">
        <v>22</v>
      </c>
      <c r="J2465" s="2" t="s">
        <v>357</v>
      </c>
      <c r="K2465" s="2" t="s">
        <v>24</v>
      </c>
      <c r="L2465" s="13" t="s">
        <v>51</v>
      </c>
      <c r="M2465" s="2" t="s">
        <v>26</v>
      </c>
      <c r="N2465" s="24" t="s">
        <v>8793</v>
      </c>
      <c r="O2465" s="12" t="s">
        <v>53</v>
      </c>
      <c r="P2465" s="5" t="str">
        <f>IFERROR(__xludf.DUMMYFUNCTION("TEXTJOIN("" | "",TRUE,IF(OR(D2465="""",E2465="""",I2465="""",J2465="""",H2465=""""),""ফাঁকা ঘর"",""""),IF(AND(C2465&lt;&gt;"""",D2465&lt;&gt;"""",C2465=D2465),""gloss=figurative"",""""),IF(LEN(D2465)&lt;15,""figurative ছোট"",""""),IF(AND(I2465=""Positive"",REGEXMATCH(H2"&amp;"465,""মূর্খ|ভণ্ড|প্রতার|অলস|লোভ|স্বার্থ|অক্ষম|অযোগ্য|বোকা|কৃপণ|হিংস"")),""valence-target অমিল"",""""),IF(COUNTIF($B:$B,B2465)&gt;1,""ডুপ্লিকেট"",""""))"),"")</f>
        <v/>
      </c>
      <c r="Q2465" s="5" t="str">
        <f t="shared" si="1"/>
        <v>২ পরে</v>
      </c>
    </row>
    <row r="2466">
      <c r="A2466" s="4">
        <v>209.0</v>
      </c>
      <c r="B2466" s="2" t="s">
        <v>9629</v>
      </c>
      <c r="C2466" s="2" t="s">
        <v>9630</v>
      </c>
      <c r="D2466" s="2" t="s">
        <v>9631</v>
      </c>
      <c r="E2466" s="2" t="s">
        <v>9632</v>
      </c>
      <c r="F2466" s="2" t="b">
        <v>1</v>
      </c>
      <c r="G2466" s="2" t="b">
        <v>0</v>
      </c>
      <c r="H2466" s="2" t="s">
        <v>2600</v>
      </c>
      <c r="I2466" s="2" t="s">
        <v>22</v>
      </c>
      <c r="J2466" s="2" t="s">
        <v>142</v>
      </c>
      <c r="K2466" s="2" t="s">
        <v>24</v>
      </c>
      <c r="L2466" s="13" t="s">
        <v>51</v>
      </c>
      <c r="M2466" s="2" t="s">
        <v>26</v>
      </c>
      <c r="N2466" s="25" t="s">
        <v>9633</v>
      </c>
      <c r="O2466" s="12" t="s">
        <v>53</v>
      </c>
      <c r="P2466" s="5" t="str">
        <f>IFERROR(__xludf.DUMMYFUNCTION("TEXTJOIN("" | "",TRUE,IF(OR(D2466="""",E2466="""",I2466="""",J2466="""",H2466=""""),""ফাঁকা ঘর"",""""),IF(AND(C2466&lt;&gt;"""",D2466&lt;&gt;"""",C2466=D2466),""gloss=figurative"",""""),IF(LEN(D2466)&lt;15,""figurative ছোট"",""""),IF(AND(I2466=""Positive"",REGEXMATCH(H2"&amp;"466,""মূর্খ|ভণ্ড|প্রতার|অলস|লোভ|স্বার্থ|অক্ষম|অযোগ্য|বোকা|কৃপণ|হিংস"")),""valence-target অমিল"",""""),IF(COUNTIF($B:$B,B2466)&gt;1,""ডুপ্লিকেট"",""""))"),"")</f>
        <v/>
      </c>
      <c r="Q2466" s="5" t="str">
        <f t="shared" si="1"/>
        <v>২ পরে</v>
      </c>
    </row>
    <row r="2467">
      <c r="A2467" s="4">
        <v>210.0</v>
      </c>
      <c r="B2467" s="2" t="s">
        <v>9634</v>
      </c>
      <c r="C2467" s="2" t="s">
        <v>9635</v>
      </c>
      <c r="D2467" s="2" t="s">
        <v>9636</v>
      </c>
      <c r="E2467" s="2" t="s">
        <v>9637</v>
      </c>
      <c r="F2467" s="2" t="b">
        <v>1</v>
      </c>
      <c r="G2467" s="2" t="b">
        <v>0</v>
      </c>
      <c r="H2467" s="2" t="s">
        <v>9598</v>
      </c>
      <c r="I2467" s="2" t="s">
        <v>22</v>
      </c>
      <c r="J2467" s="2" t="s">
        <v>59</v>
      </c>
      <c r="K2467" s="2" t="s">
        <v>24</v>
      </c>
      <c r="L2467" s="13" t="s">
        <v>51</v>
      </c>
      <c r="M2467" s="2" t="s">
        <v>26</v>
      </c>
      <c r="N2467" s="25" t="s">
        <v>9638</v>
      </c>
      <c r="O2467" s="12" t="s">
        <v>53</v>
      </c>
      <c r="P2467" s="5" t="str">
        <f>IFERROR(__xludf.DUMMYFUNCTION("TEXTJOIN("" | "",TRUE,IF(OR(D2467="""",E2467="""",I2467="""",J2467="""",H2467=""""),""ফাঁকা ঘর"",""""),IF(AND(C2467&lt;&gt;"""",D2467&lt;&gt;"""",C2467=D2467),""gloss=figurative"",""""),IF(LEN(D2467)&lt;15,""figurative ছোট"",""""),IF(AND(I2467=""Positive"",REGEXMATCH(H2"&amp;"467,""মূর্খ|ভণ্ড|প্রতার|অলস|লোভ|স্বার্থ|অক্ষম|অযোগ্য|বোকা|কৃপণ|হিংস"")),""valence-target অমিল"",""""),IF(COUNTIF($B:$B,B2467)&gt;1,""ডুপ্লিকেট"",""""))"),"")</f>
        <v/>
      </c>
      <c r="Q2467" s="5" t="str">
        <f t="shared" si="1"/>
        <v>২ পরে</v>
      </c>
    </row>
    <row r="2468">
      <c r="A2468" s="4">
        <v>211.0</v>
      </c>
      <c r="B2468" s="2" t="s">
        <v>9639</v>
      </c>
      <c r="C2468" s="2" t="s">
        <v>9640</v>
      </c>
      <c r="D2468" s="2" t="s">
        <v>9636</v>
      </c>
      <c r="E2468" s="2" t="s">
        <v>9641</v>
      </c>
      <c r="F2468" s="2" t="b">
        <v>1</v>
      </c>
      <c r="G2468" s="2" t="b">
        <v>0</v>
      </c>
      <c r="H2468" s="2" t="s">
        <v>9598</v>
      </c>
      <c r="I2468" s="2" t="s">
        <v>22</v>
      </c>
      <c r="J2468" s="2" t="s">
        <v>59</v>
      </c>
      <c r="K2468" s="2" t="s">
        <v>24</v>
      </c>
      <c r="L2468" s="13" t="s">
        <v>51</v>
      </c>
      <c r="M2468" s="2" t="s">
        <v>26</v>
      </c>
      <c r="N2468" s="25" t="s">
        <v>9642</v>
      </c>
      <c r="O2468" s="12" t="s">
        <v>53</v>
      </c>
      <c r="P2468" s="5" t="str">
        <f>IFERROR(__xludf.DUMMYFUNCTION("TEXTJOIN("" | "",TRUE,IF(OR(D2468="""",E2468="""",I2468="""",J2468="""",H2468=""""),""ফাঁকা ঘর"",""""),IF(AND(C2468&lt;&gt;"""",D2468&lt;&gt;"""",C2468=D2468),""gloss=figurative"",""""),IF(LEN(D2468)&lt;15,""figurative ছোট"",""""),IF(AND(I2468=""Positive"",REGEXMATCH(H2"&amp;"468,""মূর্খ|ভণ্ড|প্রতার|অলস|লোভ|স্বার্থ|অক্ষম|অযোগ্য|বোকা|কৃপণ|হিংস"")),""valence-target অমিল"",""""),IF(COUNTIF($B:$B,B2468)&gt;1,""ডুপ্লিকেট"",""""))"),"")</f>
        <v/>
      </c>
      <c r="Q2468" s="5" t="str">
        <f t="shared" si="1"/>
        <v>২ পরে</v>
      </c>
    </row>
    <row r="2469">
      <c r="A2469" s="4">
        <v>212.0</v>
      </c>
      <c r="B2469" s="2" t="s">
        <v>9643</v>
      </c>
      <c r="C2469" s="2" t="s">
        <v>9644</v>
      </c>
      <c r="D2469" s="2" t="s">
        <v>9645</v>
      </c>
      <c r="E2469" s="2" t="s">
        <v>9646</v>
      </c>
      <c r="F2469" s="2" t="b">
        <v>1</v>
      </c>
      <c r="G2469" s="2" t="b">
        <v>0</v>
      </c>
      <c r="H2469" s="2" t="s">
        <v>8772</v>
      </c>
      <c r="I2469" s="2" t="s">
        <v>32</v>
      </c>
      <c r="J2469" s="2" t="s">
        <v>964</v>
      </c>
      <c r="K2469" s="2" t="s">
        <v>24</v>
      </c>
      <c r="L2469" s="13" t="s">
        <v>51</v>
      </c>
      <c r="M2469" s="2" t="s">
        <v>26</v>
      </c>
      <c r="N2469" s="24" t="s">
        <v>8793</v>
      </c>
      <c r="O2469" s="12" t="s">
        <v>53</v>
      </c>
      <c r="P2469" s="5" t="str">
        <f>IFERROR(__xludf.DUMMYFUNCTION("TEXTJOIN("" | "",TRUE,IF(OR(D2469="""",E2469="""",I2469="""",J2469="""",H2469=""""),""ফাঁকা ঘর"",""""),IF(AND(C2469&lt;&gt;"""",D2469&lt;&gt;"""",C2469=D2469),""gloss=figurative"",""""),IF(LEN(D2469)&lt;15,""figurative ছোট"",""""),IF(AND(I2469=""Positive"",REGEXMATCH(H2"&amp;"469,""মূর্খ|ভণ্ড|প্রতার|অলস|লোভ|স্বার্থ|অক্ষম|অযোগ্য|বোকা|কৃপণ|হিংস"")),""valence-target অমিল"",""""),IF(COUNTIF($B:$B,B2469)&gt;1,""ডুপ্লিকেট"",""""))"),"")</f>
        <v/>
      </c>
      <c r="Q2469" s="5" t="str">
        <f t="shared" si="1"/>
        <v>২ পরে</v>
      </c>
    </row>
    <row r="2470">
      <c r="A2470" s="4">
        <v>214.0</v>
      </c>
      <c r="B2470" s="2" t="s">
        <v>9647</v>
      </c>
      <c r="C2470" s="2" t="s">
        <v>9648</v>
      </c>
      <c r="D2470" s="2" t="s">
        <v>9649</v>
      </c>
      <c r="E2470" s="2" t="s">
        <v>9650</v>
      </c>
      <c r="F2470" s="2" t="b">
        <v>1</v>
      </c>
      <c r="G2470" s="2" t="b">
        <v>0</v>
      </c>
      <c r="H2470" s="2" t="s">
        <v>390</v>
      </c>
      <c r="I2470" s="2" t="s">
        <v>22</v>
      </c>
      <c r="J2470" s="2" t="s">
        <v>59</v>
      </c>
      <c r="K2470" s="2" t="s">
        <v>24</v>
      </c>
      <c r="L2470" s="13" t="s">
        <v>51</v>
      </c>
      <c r="M2470" s="2" t="s">
        <v>26</v>
      </c>
      <c r="N2470" s="24" t="s">
        <v>9651</v>
      </c>
      <c r="O2470" s="12" t="s">
        <v>53</v>
      </c>
      <c r="P2470" s="5" t="str">
        <f>IFERROR(__xludf.DUMMYFUNCTION("TEXTJOIN("" | "",TRUE,IF(OR(D2470="""",E2470="""",I2470="""",J2470="""",H2470=""""),""ফাঁকা ঘর"",""""),IF(AND(C2470&lt;&gt;"""",D2470&lt;&gt;"""",C2470=D2470),""gloss=figurative"",""""),IF(LEN(D2470)&lt;15,""figurative ছোট"",""""),IF(AND(I2470=""Positive"",REGEXMATCH(H2"&amp;"470,""মূর্খ|ভণ্ড|প্রতার|অলস|লোভ|স্বার্থ|অক্ষম|অযোগ্য|বোকা|কৃপণ|হিংস"")),""valence-target অমিল"",""""),IF(COUNTIF($B:$B,B2470)&gt;1,""ডুপ্লিকেট"",""""))"),"")</f>
        <v/>
      </c>
      <c r="Q2470" s="5" t="str">
        <f t="shared" si="1"/>
        <v>২ পরে</v>
      </c>
    </row>
    <row r="2471">
      <c r="A2471" s="4">
        <v>215.0</v>
      </c>
      <c r="B2471" s="2" t="s">
        <v>9652</v>
      </c>
      <c r="C2471" s="2" t="s">
        <v>9653</v>
      </c>
      <c r="D2471" s="2" t="s">
        <v>9654</v>
      </c>
      <c r="E2471" s="2" t="s">
        <v>9655</v>
      </c>
      <c r="F2471" s="2" t="b">
        <v>1</v>
      </c>
      <c r="G2471" s="2" t="b">
        <v>0</v>
      </c>
      <c r="H2471" s="2" t="s">
        <v>9656</v>
      </c>
      <c r="I2471" s="2" t="s">
        <v>22</v>
      </c>
      <c r="J2471" s="2" t="s">
        <v>9022</v>
      </c>
      <c r="K2471" s="2" t="s">
        <v>24</v>
      </c>
      <c r="L2471" s="13" t="s">
        <v>51</v>
      </c>
      <c r="M2471" s="2" t="s">
        <v>26</v>
      </c>
      <c r="N2471" s="24" t="s">
        <v>8793</v>
      </c>
      <c r="O2471" s="12" t="s">
        <v>53</v>
      </c>
      <c r="P2471" s="5" t="str">
        <f>IFERROR(__xludf.DUMMYFUNCTION("TEXTJOIN("" | "",TRUE,IF(OR(D2471="""",E2471="""",I2471="""",J2471="""",H2471=""""),""ফাঁকা ঘর"",""""),IF(AND(C2471&lt;&gt;"""",D2471&lt;&gt;"""",C2471=D2471),""gloss=figurative"",""""),IF(LEN(D2471)&lt;15,""figurative ছোট"",""""),IF(AND(I2471=""Positive"",REGEXMATCH(H2"&amp;"471,""মূর্খ|ভণ্ড|প্রতার|অলস|লোভ|স্বার্থ|অক্ষম|অযোগ্য|বোকা|কৃপণ|হিংস"")),""valence-target অমিল"",""""),IF(COUNTIF($B:$B,B2471)&gt;1,""ডুপ্লিকেট"",""""))"),"")</f>
        <v/>
      </c>
      <c r="Q2471" s="5" t="str">
        <f t="shared" si="1"/>
        <v>২ পরে</v>
      </c>
    </row>
    <row r="2472">
      <c r="A2472" s="4">
        <v>216.0</v>
      </c>
      <c r="B2472" s="2" t="s">
        <v>9657</v>
      </c>
      <c r="C2472" s="2" t="s">
        <v>9658</v>
      </c>
      <c r="D2472" s="2" t="s">
        <v>9659</v>
      </c>
      <c r="E2472" s="2" t="s">
        <v>9660</v>
      </c>
      <c r="F2472" s="2" t="b">
        <v>1</v>
      </c>
      <c r="G2472" s="2" t="b">
        <v>0</v>
      </c>
      <c r="H2472" s="2" t="s">
        <v>9661</v>
      </c>
      <c r="I2472" s="2" t="s">
        <v>22</v>
      </c>
      <c r="J2472" s="2" t="s">
        <v>9022</v>
      </c>
      <c r="K2472" s="2" t="s">
        <v>24</v>
      </c>
      <c r="L2472" s="13" t="s">
        <v>51</v>
      </c>
      <c r="M2472" s="2" t="s">
        <v>26</v>
      </c>
      <c r="N2472" s="24" t="s">
        <v>8793</v>
      </c>
      <c r="O2472" s="12" t="s">
        <v>53</v>
      </c>
      <c r="P2472" s="5" t="str">
        <f>IFERROR(__xludf.DUMMYFUNCTION("TEXTJOIN("" | "",TRUE,IF(OR(D2472="""",E2472="""",I2472="""",J2472="""",H2472=""""),""ফাঁকা ঘর"",""""),IF(AND(C2472&lt;&gt;"""",D2472&lt;&gt;"""",C2472=D2472),""gloss=figurative"",""""),IF(LEN(D2472)&lt;15,""figurative ছোট"",""""),IF(AND(I2472=""Positive"",REGEXMATCH(H2"&amp;"472,""মূর্খ|ভণ্ড|প্রতার|অলস|লোভ|স্বার্থ|অক্ষম|অযোগ্য|বোকা|কৃপণ|হিংস"")),""valence-target অমিল"",""""),IF(COUNTIF($B:$B,B2472)&gt;1,""ডুপ্লিকেট"",""""))"),"")</f>
        <v/>
      </c>
      <c r="Q2472" s="5" t="str">
        <f t="shared" si="1"/>
        <v>২ পরে</v>
      </c>
    </row>
    <row r="2473">
      <c r="A2473" s="4">
        <v>217.0</v>
      </c>
      <c r="B2473" s="2" t="s">
        <v>9662</v>
      </c>
      <c r="C2473" s="2" t="s">
        <v>9663</v>
      </c>
      <c r="D2473" s="2" t="s">
        <v>9664</v>
      </c>
      <c r="E2473" s="2" t="s">
        <v>9665</v>
      </c>
      <c r="F2473" s="2" t="b">
        <v>1</v>
      </c>
      <c r="G2473" s="2" t="b">
        <v>0</v>
      </c>
      <c r="H2473" s="2" t="s">
        <v>356</v>
      </c>
      <c r="I2473" s="2" t="s">
        <v>22</v>
      </c>
      <c r="J2473" s="2" t="s">
        <v>59</v>
      </c>
      <c r="K2473" s="2" t="s">
        <v>24</v>
      </c>
      <c r="L2473" s="13" t="s">
        <v>51</v>
      </c>
      <c r="M2473" s="2" t="s">
        <v>26</v>
      </c>
      <c r="N2473" s="25" t="s">
        <v>9666</v>
      </c>
      <c r="O2473" s="12" t="s">
        <v>53</v>
      </c>
      <c r="P2473" s="5" t="str">
        <f>IFERROR(__xludf.DUMMYFUNCTION("TEXTJOIN("" | "",TRUE,IF(OR(D2473="""",E2473="""",I2473="""",J2473="""",H2473=""""),""ফাঁকা ঘর"",""""),IF(AND(C2473&lt;&gt;"""",D2473&lt;&gt;"""",C2473=D2473),""gloss=figurative"",""""),IF(LEN(D2473)&lt;15,""figurative ছোট"",""""),IF(AND(I2473=""Positive"",REGEXMATCH(H2"&amp;"473,""মূর্খ|ভণ্ড|প্রতার|অলস|লোভ|স্বার্থ|অক্ষম|অযোগ্য|বোকা|কৃপণ|হিংস"")),""valence-target অমিল"",""""),IF(COUNTIF($B:$B,B2473)&gt;1,""ডুপ্লিকেট"",""""))"),"")</f>
        <v/>
      </c>
      <c r="Q2473" s="5" t="str">
        <f t="shared" si="1"/>
        <v>২ পরে</v>
      </c>
    </row>
    <row r="2474">
      <c r="A2474" s="4">
        <v>218.0</v>
      </c>
      <c r="B2474" s="2" t="s">
        <v>9667</v>
      </c>
      <c r="C2474" s="2" t="s">
        <v>9668</v>
      </c>
      <c r="D2474" s="2" t="s">
        <v>9669</v>
      </c>
      <c r="E2474" s="2" t="s">
        <v>9670</v>
      </c>
      <c r="F2474" s="2" t="b">
        <v>1</v>
      </c>
      <c r="G2474" s="2" t="b">
        <v>0</v>
      </c>
      <c r="H2474" s="2" t="s">
        <v>9671</v>
      </c>
      <c r="I2474" s="2" t="s">
        <v>49</v>
      </c>
      <c r="J2474" s="2" t="s">
        <v>59</v>
      </c>
      <c r="K2474" s="2" t="s">
        <v>24</v>
      </c>
      <c r="L2474" s="13" t="s">
        <v>51</v>
      </c>
      <c r="M2474" s="2" t="s">
        <v>26</v>
      </c>
      <c r="N2474" s="24" t="s">
        <v>8793</v>
      </c>
      <c r="O2474" s="12" t="s">
        <v>53</v>
      </c>
      <c r="P2474" s="5" t="str">
        <f>IFERROR(__xludf.DUMMYFUNCTION("TEXTJOIN("" | "",TRUE,IF(OR(D2474="""",E2474="""",I2474="""",J2474="""",H2474=""""),""ফাঁকা ঘর"",""""),IF(AND(C2474&lt;&gt;"""",D2474&lt;&gt;"""",C2474=D2474),""gloss=figurative"",""""),IF(LEN(D2474)&lt;15,""figurative ছোট"",""""),IF(AND(I2474=""Positive"",REGEXMATCH(H2"&amp;"474,""মূর্খ|ভণ্ড|প্রতার|অলস|লোভ|স্বার্থ|অক্ষম|অযোগ্য|বোকা|কৃপণ|হিংস"")),""valence-target অমিল"",""""),IF(COUNTIF($B:$B,B2474)&gt;1,""ডুপ্লিকেট"",""""))"),"")</f>
        <v/>
      </c>
      <c r="Q2474" s="5" t="str">
        <f t="shared" si="1"/>
        <v>২ পরে</v>
      </c>
    </row>
    <row r="2475">
      <c r="A2475" s="4">
        <v>219.0</v>
      </c>
      <c r="B2475" s="2" t="s">
        <v>9672</v>
      </c>
      <c r="C2475" s="2" t="s">
        <v>9673</v>
      </c>
      <c r="D2475" s="2" t="s">
        <v>9674</v>
      </c>
      <c r="E2475" s="2" t="s">
        <v>9675</v>
      </c>
      <c r="F2475" s="2" t="b">
        <v>1</v>
      </c>
      <c r="G2475" s="2" t="b">
        <v>0</v>
      </c>
      <c r="H2475" s="2" t="s">
        <v>9189</v>
      </c>
      <c r="I2475" s="2" t="s">
        <v>49</v>
      </c>
      <c r="J2475" s="2" t="s">
        <v>739</v>
      </c>
      <c r="K2475" s="2" t="s">
        <v>24</v>
      </c>
      <c r="L2475" s="13" t="s">
        <v>51</v>
      </c>
      <c r="M2475" s="2" t="s">
        <v>26</v>
      </c>
      <c r="N2475" s="24" t="s">
        <v>8793</v>
      </c>
      <c r="O2475" s="12" t="s">
        <v>53</v>
      </c>
      <c r="P2475" s="5" t="str">
        <f>IFERROR(__xludf.DUMMYFUNCTION("TEXTJOIN("" | "",TRUE,IF(OR(D2475="""",E2475="""",I2475="""",J2475="""",H2475=""""),""ফাঁকা ঘর"",""""),IF(AND(C2475&lt;&gt;"""",D2475&lt;&gt;"""",C2475=D2475),""gloss=figurative"",""""),IF(LEN(D2475)&lt;15,""figurative ছোট"",""""),IF(AND(I2475=""Positive"",REGEXMATCH(H2"&amp;"475,""মূর্খ|ভণ্ড|প্রতার|অলস|লোভ|স্বার্থ|অক্ষম|অযোগ্য|বোকা|কৃপণ|হিংস"")),""valence-target অমিল"",""""),IF(COUNTIF($B:$B,B2475)&gt;1,""ডুপ্লিকেট"",""""))"),"")</f>
        <v/>
      </c>
      <c r="Q2475" s="5" t="str">
        <f t="shared" si="1"/>
        <v>২ পরে</v>
      </c>
    </row>
    <row r="2476">
      <c r="A2476" s="4">
        <v>220.0</v>
      </c>
      <c r="B2476" s="2" t="s">
        <v>9676</v>
      </c>
      <c r="C2476" s="2" t="s">
        <v>9677</v>
      </c>
      <c r="D2476" s="2" t="s">
        <v>9678</v>
      </c>
      <c r="E2476" s="2" t="s">
        <v>9679</v>
      </c>
      <c r="F2476" s="2" t="b">
        <v>1</v>
      </c>
      <c r="G2476" s="2" t="b">
        <v>0</v>
      </c>
      <c r="H2476" s="2" t="s">
        <v>9486</v>
      </c>
      <c r="I2476" s="2" t="s">
        <v>49</v>
      </c>
      <c r="J2476" s="2" t="s">
        <v>190</v>
      </c>
      <c r="K2476" s="2" t="s">
        <v>24</v>
      </c>
      <c r="L2476" s="13" t="s">
        <v>51</v>
      </c>
      <c r="M2476" s="2" t="s">
        <v>26</v>
      </c>
      <c r="N2476" s="24" t="s">
        <v>8793</v>
      </c>
      <c r="O2476" s="12" t="s">
        <v>53</v>
      </c>
      <c r="P2476" s="5" t="str">
        <f>IFERROR(__xludf.DUMMYFUNCTION("TEXTJOIN("" | "",TRUE,IF(OR(D2476="""",E2476="""",I2476="""",J2476="""",H2476=""""),""ফাঁকা ঘর"",""""),IF(AND(C2476&lt;&gt;"""",D2476&lt;&gt;"""",C2476=D2476),""gloss=figurative"",""""),IF(LEN(D2476)&lt;15,""figurative ছোট"",""""),IF(AND(I2476=""Positive"",REGEXMATCH(H2"&amp;"476,""মূর্খ|ভণ্ড|প্রতার|অলস|লোভ|স্বার্থ|অক্ষম|অযোগ্য|বোকা|কৃপণ|হিংস"")),""valence-target অমিল"",""""),IF(COUNTIF($B:$B,B2476)&gt;1,""ডুপ্লিকেট"",""""))"),"")</f>
        <v/>
      </c>
      <c r="Q2476" s="5" t="str">
        <f t="shared" si="1"/>
        <v>২ পরে</v>
      </c>
    </row>
    <row r="2477">
      <c r="A2477" s="4">
        <v>222.0</v>
      </c>
      <c r="B2477" s="2" t="s">
        <v>9680</v>
      </c>
      <c r="C2477" s="2" t="s">
        <v>9681</v>
      </c>
      <c r="D2477" s="2" t="s">
        <v>9682</v>
      </c>
      <c r="E2477" s="2" t="s">
        <v>9683</v>
      </c>
      <c r="F2477" s="2" t="b">
        <v>1</v>
      </c>
      <c r="G2477" s="2" t="b">
        <v>0</v>
      </c>
      <c r="H2477" s="2" t="s">
        <v>37</v>
      </c>
      <c r="I2477" s="2" t="s">
        <v>22</v>
      </c>
      <c r="J2477" s="2" t="s">
        <v>202</v>
      </c>
      <c r="K2477" s="2" t="s">
        <v>24</v>
      </c>
      <c r="L2477" s="13" t="s">
        <v>51</v>
      </c>
      <c r="M2477" s="2" t="s">
        <v>26</v>
      </c>
      <c r="N2477" s="24" t="s">
        <v>8793</v>
      </c>
      <c r="O2477" s="12" t="s">
        <v>53</v>
      </c>
      <c r="P2477" s="5" t="str">
        <f>IFERROR(__xludf.DUMMYFUNCTION("TEXTJOIN("" | "",TRUE,IF(OR(D2477="""",E2477="""",I2477="""",J2477="""",H2477=""""),""ফাঁকা ঘর"",""""),IF(AND(C2477&lt;&gt;"""",D2477&lt;&gt;"""",C2477=D2477),""gloss=figurative"",""""),IF(LEN(D2477)&lt;15,""figurative ছোট"",""""),IF(AND(I2477=""Positive"",REGEXMATCH(H2"&amp;"477,""মূর্খ|ভণ্ড|প্রতার|অলস|লোভ|স্বার্থ|অক্ষম|অযোগ্য|বোকা|কৃপণ|হিংস"")),""valence-target অমিল"",""""),IF(COUNTIF($B:$B,B2477)&gt;1,""ডুপ্লিকেট"",""""))"),"")</f>
        <v/>
      </c>
      <c r="Q2477" s="5" t="str">
        <f t="shared" si="1"/>
        <v>২ পরে</v>
      </c>
    </row>
    <row r="2478">
      <c r="A2478" s="4">
        <v>224.0</v>
      </c>
      <c r="B2478" s="2" t="s">
        <v>9684</v>
      </c>
      <c r="C2478" s="2" t="s">
        <v>9685</v>
      </c>
      <c r="D2478" s="2" t="s">
        <v>9686</v>
      </c>
      <c r="E2478" s="2" t="s">
        <v>9687</v>
      </c>
      <c r="F2478" s="2" t="b">
        <v>1</v>
      </c>
      <c r="G2478" s="2" t="b">
        <v>0</v>
      </c>
      <c r="H2478" s="2" t="s">
        <v>8772</v>
      </c>
      <c r="I2478" s="2" t="s">
        <v>22</v>
      </c>
      <c r="J2478" s="2" t="s">
        <v>59</v>
      </c>
      <c r="K2478" s="2" t="s">
        <v>24</v>
      </c>
      <c r="L2478" s="13" t="s">
        <v>51</v>
      </c>
      <c r="M2478" s="2" t="s">
        <v>26</v>
      </c>
      <c r="N2478" s="24" t="s">
        <v>8793</v>
      </c>
      <c r="O2478" s="12" t="s">
        <v>53</v>
      </c>
      <c r="P2478" s="5" t="str">
        <f>IFERROR(__xludf.DUMMYFUNCTION("TEXTJOIN("" | "",TRUE,IF(OR(D2478="""",E2478="""",I2478="""",J2478="""",H2478=""""),""ফাঁকা ঘর"",""""),IF(AND(C2478&lt;&gt;"""",D2478&lt;&gt;"""",C2478=D2478),""gloss=figurative"",""""),IF(LEN(D2478)&lt;15,""figurative ছোট"",""""),IF(AND(I2478=""Positive"",REGEXMATCH(H2"&amp;"478,""মূর্খ|ভণ্ড|প্রতার|অলস|লোভ|স্বার্থ|অক্ষম|অযোগ্য|বোকা|কৃপণ|হিংস"")),""valence-target অমিল"",""""),IF(COUNTIF($B:$B,B2478)&gt;1,""ডুপ্লিকেট"",""""))"),"")</f>
        <v/>
      </c>
      <c r="Q2478" s="5" t="str">
        <f t="shared" si="1"/>
        <v>২ পরে</v>
      </c>
    </row>
    <row r="2479">
      <c r="A2479" s="4">
        <v>225.0</v>
      </c>
      <c r="B2479" s="2" t="s">
        <v>9688</v>
      </c>
      <c r="C2479" s="2" t="s">
        <v>9689</v>
      </c>
      <c r="D2479" s="2" t="s">
        <v>9690</v>
      </c>
      <c r="E2479" s="2" t="s">
        <v>9691</v>
      </c>
      <c r="F2479" s="2" t="b">
        <v>1</v>
      </c>
      <c r="G2479" s="2" t="b">
        <v>0</v>
      </c>
      <c r="H2479" s="2" t="s">
        <v>9692</v>
      </c>
      <c r="I2479" s="2" t="s">
        <v>32</v>
      </c>
      <c r="J2479" s="2" t="s">
        <v>176</v>
      </c>
      <c r="K2479" s="2" t="s">
        <v>24</v>
      </c>
      <c r="L2479" s="13" t="s">
        <v>51</v>
      </c>
      <c r="M2479" s="2" t="s">
        <v>26</v>
      </c>
      <c r="N2479" s="24" t="s">
        <v>8793</v>
      </c>
      <c r="O2479" s="12" t="s">
        <v>53</v>
      </c>
      <c r="P2479" s="5" t="str">
        <f>IFERROR(__xludf.DUMMYFUNCTION("TEXTJOIN("" | "",TRUE,IF(OR(D2479="""",E2479="""",I2479="""",J2479="""",H2479=""""),""ফাঁকা ঘর"",""""),IF(AND(C2479&lt;&gt;"""",D2479&lt;&gt;"""",C2479=D2479),""gloss=figurative"",""""),IF(LEN(D2479)&lt;15,""figurative ছোট"",""""),IF(AND(I2479=""Positive"",REGEXMATCH(H2"&amp;"479,""মূর্খ|ভণ্ড|প্রতার|অলস|লোভ|স্বার্থ|অক্ষম|অযোগ্য|বোকা|কৃপণ|হিংস"")),""valence-target অমিল"",""""),IF(COUNTIF($B:$B,B2479)&gt;1,""ডুপ্লিকেট"",""""))"),"")</f>
        <v/>
      </c>
      <c r="Q2479" s="5" t="str">
        <f t="shared" si="1"/>
        <v>২ পরে</v>
      </c>
    </row>
    <row r="2480">
      <c r="A2480" s="4">
        <v>226.0</v>
      </c>
      <c r="B2480" s="2" t="s">
        <v>9693</v>
      </c>
      <c r="C2480" s="2" t="s">
        <v>9694</v>
      </c>
      <c r="D2480" s="2" t="s">
        <v>9695</v>
      </c>
      <c r="E2480" s="2" t="s">
        <v>9696</v>
      </c>
      <c r="F2480" s="2" t="b">
        <v>1</v>
      </c>
      <c r="G2480" s="2" t="b">
        <v>0</v>
      </c>
      <c r="H2480" s="2" t="s">
        <v>37</v>
      </c>
      <c r="I2480" s="2" t="s">
        <v>32</v>
      </c>
      <c r="J2480" s="2" t="s">
        <v>9183</v>
      </c>
      <c r="K2480" s="2" t="s">
        <v>24</v>
      </c>
      <c r="L2480" s="13" t="s">
        <v>51</v>
      </c>
      <c r="M2480" s="2" t="s">
        <v>26</v>
      </c>
      <c r="N2480" s="24" t="s">
        <v>9697</v>
      </c>
      <c r="O2480" s="12" t="s">
        <v>53</v>
      </c>
      <c r="P2480" s="5" t="str">
        <f>IFERROR(__xludf.DUMMYFUNCTION("TEXTJOIN("" | "",TRUE,IF(OR(D2480="""",E2480="""",I2480="""",J2480="""",H2480=""""),""ফাঁকা ঘর"",""""),IF(AND(C2480&lt;&gt;"""",D2480&lt;&gt;"""",C2480=D2480),""gloss=figurative"",""""),IF(LEN(D2480)&lt;15,""figurative ছোট"",""""),IF(AND(I2480=""Positive"",REGEXMATCH(H2"&amp;"480,""মূর্খ|ভণ্ড|প্রতার|অলস|লোভ|স্বার্থ|অক্ষম|অযোগ্য|বোকা|কৃপণ|হিংস"")),""valence-target অমিল"",""""),IF(COUNTIF($B:$B,B2480)&gt;1,""ডুপ্লিকেট"",""""))"),"")</f>
        <v/>
      </c>
      <c r="Q2480" s="5" t="str">
        <f t="shared" si="1"/>
        <v>২ পরে</v>
      </c>
    </row>
    <row r="2481">
      <c r="A2481" s="4">
        <v>227.0</v>
      </c>
      <c r="B2481" s="2" t="s">
        <v>9698</v>
      </c>
      <c r="C2481" s="2" t="s">
        <v>9699</v>
      </c>
      <c r="D2481" s="2" t="s">
        <v>9700</v>
      </c>
      <c r="E2481" s="2" t="s">
        <v>9701</v>
      </c>
      <c r="F2481" s="2" t="b">
        <v>1</v>
      </c>
      <c r="G2481" s="2" t="b">
        <v>0</v>
      </c>
      <c r="H2481" s="2" t="s">
        <v>9486</v>
      </c>
      <c r="I2481" s="2" t="s">
        <v>49</v>
      </c>
      <c r="J2481" s="2" t="s">
        <v>190</v>
      </c>
      <c r="K2481" s="2" t="s">
        <v>24</v>
      </c>
      <c r="L2481" s="13" t="s">
        <v>51</v>
      </c>
      <c r="M2481" s="2" t="s">
        <v>26</v>
      </c>
      <c r="N2481" s="24" t="s">
        <v>8793</v>
      </c>
      <c r="O2481" s="12" t="s">
        <v>53</v>
      </c>
      <c r="P2481" s="5" t="str">
        <f>IFERROR(__xludf.DUMMYFUNCTION("TEXTJOIN("" | "",TRUE,IF(OR(D2481="""",E2481="""",I2481="""",J2481="""",H2481=""""),""ফাঁকা ঘর"",""""),IF(AND(C2481&lt;&gt;"""",D2481&lt;&gt;"""",C2481=D2481),""gloss=figurative"",""""),IF(LEN(D2481)&lt;15,""figurative ছোট"",""""),IF(AND(I2481=""Positive"",REGEXMATCH(H2"&amp;"481,""মূর্খ|ভণ্ড|প্রতার|অলস|লোভ|স্বার্থ|অক্ষম|অযোগ্য|বোকা|কৃপণ|হিংস"")),""valence-target অমিল"",""""),IF(COUNTIF($B:$B,B2481)&gt;1,""ডুপ্লিকেট"",""""))"),"")</f>
        <v/>
      </c>
      <c r="Q2481" s="5" t="str">
        <f t="shared" si="1"/>
        <v>২ পরে</v>
      </c>
    </row>
    <row r="2482">
      <c r="A2482" s="4">
        <v>228.0</v>
      </c>
      <c r="B2482" s="2" t="s">
        <v>9702</v>
      </c>
      <c r="C2482" s="2" t="s">
        <v>9703</v>
      </c>
      <c r="D2482" s="2" t="s">
        <v>9704</v>
      </c>
      <c r="E2482" s="2" t="s">
        <v>9705</v>
      </c>
      <c r="F2482" s="2" t="b">
        <v>1</v>
      </c>
      <c r="G2482" s="2" t="b">
        <v>0</v>
      </c>
      <c r="H2482" s="2" t="s">
        <v>37</v>
      </c>
      <c r="I2482" s="2" t="s">
        <v>49</v>
      </c>
      <c r="J2482" s="2" t="s">
        <v>9706</v>
      </c>
      <c r="K2482" s="2" t="s">
        <v>24</v>
      </c>
      <c r="L2482" s="13" t="s">
        <v>51</v>
      </c>
      <c r="M2482" s="2" t="s">
        <v>26</v>
      </c>
      <c r="N2482" s="24" t="s">
        <v>8793</v>
      </c>
      <c r="O2482" s="12" t="s">
        <v>53</v>
      </c>
      <c r="P2482" s="5" t="str">
        <f>IFERROR(__xludf.DUMMYFUNCTION("TEXTJOIN("" | "",TRUE,IF(OR(D2482="""",E2482="""",I2482="""",J2482="""",H2482=""""),""ফাঁকা ঘর"",""""),IF(AND(C2482&lt;&gt;"""",D2482&lt;&gt;"""",C2482=D2482),""gloss=figurative"",""""),IF(LEN(D2482)&lt;15,""figurative ছোট"",""""),IF(AND(I2482=""Positive"",REGEXMATCH(H2"&amp;"482,""মূর্খ|ভণ্ড|প্রতার|অলস|লোভ|স্বার্থ|অক্ষম|অযোগ্য|বোকা|কৃপণ|হিংস"")),""valence-target অমিল"",""""),IF(COUNTIF($B:$B,B2482)&gt;1,""ডুপ্লিকেট"",""""))"),"")</f>
        <v/>
      </c>
      <c r="Q2482" s="5" t="str">
        <f t="shared" si="1"/>
        <v>২ পরে</v>
      </c>
    </row>
    <row r="2483">
      <c r="A2483" s="4">
        <v>229.0</v>
      </c>
      <c r="B2483" s="2" t="s">
        <v>9707</v>
      </c>
      <c r="C2483" s="2" t="s">
        <v>9708</v>
      </c>
      <c r="D2483" s="2" t="s">
        <v>9709</v>
      </c>
      <c r="E2483" s="2" t="s">
        <v>9710</v>
      </c>
      <c r="F2483" s="2" t="b">
        <v>1</v>
      </c>
      <c r="G2483" s="2" t="b">
        <v>0</v>
      </c>
      <c r="H2483" s="2" t="s">
        <v>37</v>
      </c>
      <c r="I2483" s="2" t="s">
        <v>49</v>
      </c>
      <c r="J2483" s="2" t="s">
        <v>3694</v>
      </c>
      <c r="K2483" s="2" t="s">
        <v>24</v>
      </c>
      <c r="L2483" s="13" t="s">
        <v>51</v>
      </c>
      <c r="M2483" s="2" t="s">
        <v>26</v>
      </c>
      <c r="N2483" s="24" t="s">
        <v>8793</v>
      </c>
      <c r="O2483" s="12" t="s">
        <v>53</v>
      </c>
      <c r="P2483" s="5" t="str">
        <f>IFERROR(__xludf.DUMMYFUNCTION("TEXTJOIN("" | "",TRUE,IF(OR(D2483="""",E2483="""",I2483="""",J2483="""",H2483=""""),""ফাঁকা ঘর"",""""),IF(AND(C2483&lt;&gt;"""",D2483&lt;&gt;"""",C2483=D2483),""gloss=figurative"",""""),IF(LEN(D2483)&lt;15,""figurative ছোট"",""""),IF(AND(I2483=""Positive"",REGEXMATCH(H2"&amp;"483,""মূর্খ|ভণ্ড|প্রতার|অলস|লোভ|স্বার্থ|অক্ষম|অযোগ্য|বোকা|কৃপণ|হিংস"")),""valence-target অমিল"",""""),IF(COUNTIF($B:$B,B2483)&gt;1,""ডুপ্লিকেট"",""""))"),"")</f>
        <v/>
      </c>
      <c r="Q2483" s="5" t="str">
        <f t="shared" si="1"/>
        <v>২ পরে</v>
      </c>
    </row>
    <row r="2484">
      <c r="A2484" s="4">
        <v>230.0</v>
      </c>
      <c r="B2484" s="2" t="s">
        <v>9711</v>
      </c>
      <c r="C2484" s="2" t="s">
        <v>9712</v>
      </c>
      <c r="D2484" s="2" t="s">
        <v>9713</v>
      </c>
      <c r="E2484" s="2" t="s">
        <v>9714</v>
      </c>
      <c r="F2484" s="2" t="b">
        <v>1</v>
      </c>
      <c r="G2484" s="2" t="b">
        <v>0</v>
      </c>
      <c r="H2484" s="2" t="s">
        <v>9715</v>
      </c>
      <c r="I2484" s="2" t="s">
        <v>49</v>
      </c>
      <c r="J2484" s="2" t="s">
        <v>436</v>
      </c>
      <c r="K2484" s="2" t="s">
        <v>24</v>
      </c>
      <c r="L2484" s="13" t="s">
        <v>51</v>
      </c>
      <c r="M2484" s="2" t="s">
        <v>26</v>
      </c>
      <c r="N2484" s="24" t="s">
        <v>8793</v>
      </c>
      <c r="O2484" s="12" t="s">
        <v>53</v>
      </c>
      <c r="P2484" s="5" t="str">
        <f>IFERROR(__xludf.DUMMYFUNCTION("TEXTJOIN("" | "",TRUE,IF(OR(D2484="""",E2484="""",I2484="""",J2484="""",H2484=""""),""ফাঁকা ঘর"",""""),IF(AND(C2484&lt;&gt;"""",D2484&lt;&gt;"""",C2484=D2484),""gloss=figurative"",""""),IF(LEN(D2484)&lt;15,""figurative ছোট"",""""),IF(AND(I2484=""Positive"",REGEXMATCH(H2"&amp;"484,""মূর্খ|ভণ্ড|প্রতার|অলস|লোভ|স্বার্থ|অক্ষম|অযোগ্য|বোকা|কৃপণ|হিংস"")),""valence-target অমিল"",""""),IF(COUNTIF($B:$B,B2484)&gt;1,""ডুপ্লিকেট"",""""))"),"")</f>
        <v/>
      </c>
      <c r="Q2484" s="5" t="str">
        <f t="shared" si="1"/>
        <v>২ পরে</v>
      </c>
    </row>
    <row r="2485">
      <c r="A2485" s="4">
        <v>232.0</v>
      </c>
      <c r="B2485" s="2" t="s">
        <v>9716</v>
      </c>
      <c r="C2485" s="2" t="s">
        <v>9717</v>
      </c>
      <c r="D2485" s="2" t="s">
        <v>9310</v>
      </c>
      <c r="E2485" s="2" t="s">
        <v>9718</v>
      </c>
      <c r="F2485" s="2" t="b">
        <v>1</v>
      </c>
      <c r="G2485" s="2" t="b">
        <v>0</v>
      </c>
      <c r="H2485" s="2" t="s">
        <v>37</v>
      </c>
      <c r="I2485" s="2" t="s">
        <v>32</v>
      </c>
      <c r="J2485" s="2" t="s">
        <v>357</v>
      </c>
      <c r="K2485" s="2" t="s">
        <v>24</v>
      </c>
      <c r="L2485" s="13" t="s">
        <v>51</v>
      </c>
      <c r="M2485" s="2" t="s">
        <v>26</v>
      </c>
      <c r="N2485" s="24" t="s">
        <v>8793</v>
      </c>
      <c r="O2485" s="12" t="s">
        <v>53</v>
      </c>
      <c r="P2485" s="5" t="str">
        <f>IFERROR(__xludf.DUMMYFUNCTION("TEXTJOIN("" | "",TRUE,IF(OR(D2485="""",E2485="""",I2485="""",J2485="""",H2485=""""),""ফাঁকা ঘর"",""""),IF(AND(C2485&lt;&gt;"""",D2485&lt;&gt;"""",C2485=D2485),""gloss=figurative"",""""),IF(LEN(D2485)&lt;15,""figurative ছোট"",""""),IF(AND(I2485=""Positive"",REGEXMATCH(H2"&amp;"485,""মূর্খ|ভণ্ড|প্রতার|অলস|লোভ|স্বার্থ|অক্ষম|অযোগ্য|বোকা|কৃপণ|হিংস"")),""valence-target অমিল"",""""),IF(COUNTIF($B:$B,B2485)&gt;1,""ডুপ্লিকেট"",""""))"),"")</f>
        <v/>
      </c>
      <c r="Q2485" s="5" t="str">
        <f t="shared" si="1"/>
        <v>২ পরে</v>
      </c>
    </row>
    <row r="2486">
      <c r="A2486" s="4">
        <v>233.0</v>
      </c>
      <c r="B2486" s="2" t="s">
        <v>9719</v>
      </c>
      <c r="C2486" s="2" t="s">
        <v>9720</v>
      </c>
      <c r="D2486" s="2" t="s">
        <v>9721</v>
      </c>
      <c r="E2486" s="2" t="s">
        <v>9722</v>
      </c>
      <c r="F2486" s="2" t="b">
        <v>1</v>
      </c>
      <c r="G2486" s="2" t="b">
        <v>0</v>
      </c>
      <c r="H2486" s="2" t="s">
        <v>110</v>
      </c>
      <c r="I2486" s="2" t="s">
        <v>32</v>
      </c>
      <c r="J2486" s="2" t="s">
        <v>59</v>
      </c>
      <c r="K2486" s="2" t="s">
        <v>24</v>
      </c>
      <c r="L2486" s="13" t="s">
        <v>51</v>
      </c>
      <c r="M2486" s="2" t="s">
        <v>26</v>
      </c>
      <c r="N2486" s="24" t="s">
        <v>8793</v>
      </c>
      <c r="O2486" s="12" t="s">
        <v>53</v>
      </c>
      <c r="P2486" s="5" t="str">
        <f>IFERROR(__xludf.DUMMYFUNCTION("TEXTJOIN("" | "",TRUE,IF(OR(D2486="""",E2486="""",I2486="""",J2486="""",H2486=""""),""ফাঁকা ঘর"",""""),IF(AND(C2486&lt;&gt;"""",D2486&lt;&gt;"""",C2486=D2486),""gloss=figurative"",""""),IF(LEN(D2486)&lt;15,""figurative ছোট"",""""),IF(AND(I2486=""Positive"",REGEXMATCH(H2"&amp;"486,""মূর্খ|ভণ্ড|প্রতার|অলস|লোভ|স্বার্থ|অক্ষম|অযোগ্য|বোকা|কৃপণ|হিংস"")),""valence-target অমিল"",""""),IF(COUNTIF($B:$B,B2486)&gt;1,""ডুপ্লিকেট"",""""))"),"")</f>
        <v/>
      </c>
      <c r="Q2486" s="5" t="str">
        <f t="shared" si="1"/>
        <v>২ পরে</v>
      </c>
    </row>
    <row r="2487">
      <c r="A2487" s="4">
        <v>234.0</v>
      </c>
      <c r="B2487" s="2" t="s">
        <v>9723</v>
      </c>
      <c r="C2487" s="2" t="s">
        <v>9724</v>
      </c>
      <c r="D2487" s="2" t="s">
        <v>9725</v>
      </c>
      <c r="E2487" s="2" t="s">
        <v>9726</v>
      </c>
      <c r="F2487" s="2" t="b">
        <v>1</v>
      </c>
      <c r="G2487" s="2" t="b">
        <v>0</v>
      </c>
      <c r="H2487" s="2" t="s">
        <v>9727</v>
      </c>
      <c r="I2487" s="2" t="s">
        <v>49</v>
      </c>
      <c r="J2487" s="2" t="s">
        <v>9728</v>
      </c>
      <c r="K2487" s="2" t="s">
        <v>24</v>
      </c>
      <c r="L2487" s="13" t="s">
        <v>51</v>
      </c>
      <c r="M2487" s="2" t="s">
        <v>26</v>
      </c>
      <c r="N2487" s="24" t="s">
        <v>8793</v>
      </c>
      <c r="O2487" s="12" t="s">
        <v>53</v>
      </c>
      <c r="P2487" s="5" t="str">
        <f>IFERROR(__xludf.DUMMYFUNCTION("TEXTJOIN("" | "",TRUE,IF(OR(D2487="""",E2487="""",I2487="""",J2487="""",H2487=""""),""ফাঁকা ঘর"",""""),IF(AND(C2487&lt;&gt;"""",D2487&lt;&gt;"""",C2487=D2487),""gloss=figurative"",""""),IF(LEN(D2487)&lt;15,""figurative ছোট"",""""),IF(AND(I2487=""Positive"",REGEXMATCH(H2"&amp;"487,""মূর্খ|ভণ্ড|প্রতার|অলস|লোভ|স্বার্থ|অক্ষম|অযোগ্য|বোকা|কৃপণ|হিংস"")),""valence-target অমিল"",""""),IF(COUNTIF($B:$B,B2487)&gt;1,""ডুপ্লিকেট"",""""))"),"")</f>
        <v/>
      </c>
      <c r="Q2487" s="5" t="str">
        <f t="shared" si="1"/>
        <v>২ পরে</v>
      </c>
    </row>
    <row r="2488">
      <c r="A2488" s="4">
        <v>235.0</v>
      </c>
      <c r="B2488" s="2" t="s">
        <v>9729</v>
      </c>
      <c r="C2488" s="2" t="s">
        <v>9730</v>
      </c>
      <c r="D2488" s="2" t="s">
        <v>9731</v>
      </c>
      <c r="E2488" s="2" t="s">
        <v>9732</v>
      </c>
      <c r="F2488" s="2" t="b">
        <v>1</v>
      </c>
      <c r="G2488" s="2" t="b">
        <v>0</v>
      </c>
      <c r="H2488" s="2" t="s">
        <v>9598</v>
      </c>
      <c r="I2488" s="2" t="s">
        <v>22</v>
      </c>
      <c r="J2488" s="2" t="s">
        <v>59</v>
      </c>
      <c r="K2488" s="2" t="s">
        <v>24</v>
      </c>
      <c r="L2488" s="13" t="s">
        <v>51</v>
      </c>
      <c r="M2488" s="2" t="s">
        <v>26</v>
      </c>
      <c r="N2488" s="24" t="s">
        <v>8793</v>
      </c>
      <c r="O2488" s="12" t="s">
        <v>53</v>
      </c>
      <c r="P2488" s="5" t="str">
        <f>IFERROR(__xludf.DUMMYFUNCTION("TEXTJOIN("" | "",TRUE,IF(OR(D2488="""",E2488="""",I2488="""",J2488="""",H2488=""""),""ফাঁকা ঘর"",""""),IF(AND(C2488&lt;&gt;"""",D2488&lt;&gt;"""",C2488=D2488),""gloss=figurative"",""""),IF(LEN(D2488)&lt;15,""figurative ছোট"",""""),IF(AND(I2488=""Positive"",REGEXMATCH(H2"&amp;"488,""মূর্খ|ভণ্ড|প্রতার|অলস|লোভ|স্বার্থ|অক্ষম|অযোগ্য|বোকা|কৃপণ|হিংস"")),""valence-target অমিল"",""""),IF(COUNTIF($B:$B,B2488)&gt;1,""ডুপ্লিকেট"",""""))"),"")</f>
        <v/>
      </c>
      <c r="Q2488" s="5" t="str">
        <f t="shared" si="1"/>
        <v>২ পরে</v>
      </c>
    </row>
    <row r="2489">
      <c r="A2489" s="4">
        <v>236.0</v>
      </c>
      <c r="B2489" s="2" t="s">
        <v>9733</v>
      </c>
      <c r="C2489" s="2" t="s">
        <v>9734</v>
      </c>
      <c r="D2489" s="2" t="s">
        <v>9735</v>
      </c>
      <c r="E2489" s="2" t="s">
        <v>9736</v>
      </c>
      <c r="F2489" s="2" t="b">
        <v>1</v>
      </c>
      <c r="G2489" s="2" t="b">
        <v>0</v>
      </c>
      <c r="H2489" s="2" t="s">
        <v>9737</v>
      </c>
      <c r="I2489" s="2" t="s">
        <v>32</v>
      </c>
      <c r="J2489" s="2" t="s">
        <v>424</v>
      </c>
      <c r="K2489" s="2" t="s">
        <v>24</v>
      </c>
      <c r="L2489" s="13" t="s">
        <v>51</v>
      </c>
      <c r="M2489" s="2" t="s">
        <v>26</v>
      </c>
      <c r="N2489" s="24" t="s">
        <v>8793</v>
      </c>
      <c r="O2489" s="12" t="s">
        <v>53</v>
      </c>
      <c r="P2489" s="5" t="str">
        <f>IFERROR(__xludf.DUMMYFUNCTION("TEXTJOIN("" | "",TRUE,IF(OR(D2489="""",E2489="""",I2489="""",J2489="""",H2489=""""),""ফাঁকা ঘর"",""""),IF(AND(C2489&lt;&gt;"""",D2489&lt;&gt;"""",C2489=D2489),""gloss=figurative"",""""),IF(LEN(D2489)&lt;15,""figurative ছোট"",""""),IF(AND(I2489=""Positive"",REGEXMATCH(H2"&amp;"489,""মূর্খ|ভণ্ড|প্রতার|অলস|লোভ|স্বার্থ|অক্ষম|অযোগ্য|বোকা|কৃপণ|হিংস"")),""valence-target অমিল"",""""),IF(COUNTIF($B:$B,B2489)&gt;1,""ডুপ্লিকেট"",""""))"),"")</f>
        <v/>
      </c>
      <c r="Q2489" s="5" t="str">
        <f t="shared" si="1"/>
        <v>২ পরে</v>
      </c>
    </row>
    <row r="2490">
      <c r="A2490" s="4">
        <v>237.0</v>
      </c>
      <c r="B2490" s="2" t="s">
        <v>9738</v>
      </c>
      <c r="C2490" s="2" t="s">
        <v>9739</v>
      </c>
      <c r="D2490" s="2" t="s">
        <v>9740</v>
      </c>
      <c r="E2490" s="2" t="s">
        <v>9741</v>
      </c>
      <c r="F2490" s="2" t="b">
        <v>1</v>
      </c>
      <c r="G2490" s="2" t="b">
        <v>0</v>
      </c>
      <c r="H2490" s="2" t="s">
        <v>9742</v>
      </c>
      <c r="I2490" s="2" t="s">
        <v>49</v>
      </c>
      <c r="J2490" s="2" t="s">
        <v>9743</v>
      </c>
      <c r="K2490" s="2" t="s">
        <v>24</v>
      </c>
      <c r="L2490" s="13" t="s">
        <v>51</v>
      </c>
      <c r="M2490" s="2" t="s">
        <v>26</v>
      </c>
      <c r="N2490" s="24" t="s">
        <v>8793</v>
      </c>
      <c r="O2490" s="12" t="s">
        <v>53</v>
      </c>
      <c r="P2490" s="5" t="str">
        <f>IFERROR(__xludf.DUMMYFUNCTION("TEXTJOIN("" | "",TRUE,IF(OR(D2490="""",E2490="""",I2490="""",J2490="""",H2490=""""),""ফাঁকা ঘর"",""""),IF(AND(C2490&lt;&gt;"""",D2490&lt;&gt;"""",C2490=D2490),""gloss=figurative"",""""),IF(LEN(D2490)&lt;15,""figurative ছোট"",""""),IF(AND(I2490=""Positive"",REGEXMATCH(H2"&amp;"490,""মূর্খ|ভণ্ড|প্রতার|অলস|লোভ|স্বার্থ|অক্ষম|অযোগ্য|বোকা|কৃপণ|হিংস"")),""valence-target অমিল"",""""),IF(COUNTIF($B:$B,B2490)&gt;1,""ডুপ্লিকেট"",""""))"),"")</f>
        <v/>
      </c>
      <c r="Q2490" s="5" t="str">
        <f t="shared" si="1"/>
        <v>২ পরে</v>
      </c>
    </row>
    <row r="2491">
      <c r="A2491" s="4">
        <v>238.0</v>
      </c>
      <c r="B2491" s="2" t="s">
        <v>9744</v>
      </c>
      <c r="C2491" s="2" t="s">
        <v>9745</v>
      </c>
      <c r="D2491" s="2" t="s">
        <v>9746</v>
      </c>
      <c r="E2491" s="2" t="s">
        <v>9747</v>
      </c>
      <c r="F2491" s="2" t="b">
        <v>1</v>
      </c>
      <c r="G2491" s="2" t="b">
        <v>0</v>
      </c>
      <c r="H2491" s="2" t="s">
        <v>9748</v>
      </c>
      <c r="I2491" s="2" t="s">
        <v>49</v>
      </c>
      <c r="J2491" s="2" t="s">
        <v>9749</v>
      </c>
      <c r="K2491" s="2" t="s">
        <v>24</v>
      </c>
      <c r="L2491" s="13" t="s">
        <v>51</v>
      </c>
      <c r="M2491" s="2" t="s">
        <v>26</v>
      </c>
      <c r="N2491" s="25" t="s">
        <v>9750</v>
      </c>
      <c r="O2491" s="12" t="s">
        <v>53</v>
      </c>
      <c r="P2491" s="5" t="str">
        <f>IFERROR(__xludf.DUMMYFUNCTION("TEXTJOIN("" | "",TRUE,IF(OR(D2491="""",E2491="""",I2491="""",J2491="""",H2491=""""),""ফাঁকা ঘর"",""""),IF(AND(C2491&lt;&gt;"""",D2491&lt;&gt;"""",C2491=D2491),""gloss=figurative"",""""),IF(LEN(D2491)&lt;15,""figurative ছোট"",""""),IF(AND(I2491=""Positive"",REGEXMATCH(H2"&amp;"491,""মূর্খ|ভণ্ড|প্রতার|অলস|লোভ|স্বার্থ|অক্ষম|অযোগ্য|বোকা|কৃপণ|হিংস"")),""valence-target অমিল"",""""),IF(COUNTIF($B:$B,B2491)&gt;1,""ডুপ্লিকেট"",""""))"),"")</f>
        <v/>
      </c>
      <c r="Q2491" s="5" t="str">
        <f t="shared" si="1"/>
        <v>২ পরে</v>
      </c>
    </row>
    <row r="2492">
      <c r="A2492" s="4">
        <v>239.0</v>
      </c>
      <c r="B2492" s="2" t="s">
        <v>9751</v>
      </c>
      <c r="C2492" s="2" t="s">
        <v>9752</v>
      </c>
      <c r="D2492" s="2" t="s">
        <v>9753</v>
      </c>
      <c r="E2492" s="2" t="s">
        <v>9754</v>
      </c>
      <c r="F2492" s="2" t="b">
        <v>1</v>
      </c>
      <c r="G2492" s="2" t="b">
        <v>0</v>
      </c>
      <c r="H2492" s="2" t="s">
        <v>9320</v>
      </c>
      <c r="I2492" s="2" t="s">
        <v>49</v>
      </c>
      <c r="J2492" s="2" t="s">
        <v>9755</v>
      </c>
      <c r="K2492" s="2" t="s">
        <v>24</v>
      </c>
      <c r="L2492" s="13" t="s">
        <v>51</v>
      </c>
      <c r="M2492" s="2" t="s">
        <v>26</v>
      </c>
      <c r="N2492" s="24" t="s">
        <v>8793</v>
      </c>
      <c r="O2492" s="12" t="s">
        <v>53</v>
      </c>
      <c r="P2492" s="5" t="str">
        <f>IFERROR(__xludf.DUMMYFUNCTION("TEXTJOIN("" | "",TRUE,IF(OR(D2492="""",E2492="""",I2492="""",J2492="""",H2492=""""),""ফাঁকা ঘর"",""""),IF(AND(C2492&lt;&gt;"""",D2492&lt;&gt;"""",C2492=D2492),""gloss=figurative"",""""),IF(LEN(D2492)&lt;15,""figurative ছোট"",""""),IF(AND(I2492=""Positive"",REGEXMATCH(H2"&amp;"492,""মূর্খ|ভণ্ড|প্রতার|অলস|লোভ|স্বার্থ|অক্ষম|অযোগ্য|বোকা|কৃপণ|হিংস"")),""valence-target অমিল"",""""),IF(COUNTIF($B:$B,B2492)&gt;1,""ডুপ্লিকেট"",""""))"),"")</f>
        <v/>
      </c>
      <c r="Q2492" s="5" t="str">
        <f t="shared" si="1"/>
        <v>২ পরে</v>
      </c>
    </row>
    <row r="2493">
      <c r="A2493" s="4">
        <v>240.0</v>
      </c>
      <c r="B2493" s="2" t="s">
        <v>9756</v>
      </c>
      <c r="C2493" s="2" t="s">
        <v>9757</v>
      </c>
      <c r="D2493" s="2" t="s">
        <v>9758</v>
      </c>
      <c r="E2493" s="2" t="s">
        <v>9759</v>
      </c>
      <c r="F2493" s="2" t="b">
        <v>1</v>
      </c>
      <c r="G2493" s="2" t="b">
        <v>0</v>
      </c>
      <c r="H2493" s="2" t="s">
        <v>37</v>
      </c>
      <c r="I2493" s="2" t="s">
        <v>32</v>
      </c>
      <c r="J2493" s="2" t="s">
        <v>8973</v>
      </c>
      <c r="K2493" s="2" t="s">
        <v>24</v>
      </c>
      <c r="L2493" s="13" t="s">
        <v>51</v>
      </c>
      <c r="M2493" s="2" t="s">
        <v>26</v>
      </c>
      <c r="N2493" s="24" t="s">
        <v>8793</v>
      </c>
      <c r="O2493" s="12" t="s">
        <v>53</v>
      </c>
      <c r="P2493" s="5" t="str">
        <f>IFERROR(__xludf.DUMMYFUNCTION("TEXTJOIN("" | "",TRUE,IF(OR(D2493="""",E2493="""",I2493="""",J2493="""",H2493=""""),""ফাঁকা ঘর"",""""),IF(AND(C2493&lt;&gt;"""",D2493&lt;&gt;"""",C2493=D2493),""gloss=figurative"",""""),IF(LEN(D2493)&lt;15,""figurative ছোট"",""""),IF(AND(I2493=""Positive"",REGEXMATCH(H2"&amp;"493,""মূর্খ|ভণ্ড|প্রতার|অলস|লোভ|স্বার্থ|অক্ষম|অযোগ্য|বোকা|কৃপণ|হিংস"")),""valence-target অমিল"",""""),IF(COUNTIF($B:$B,B2493)&gt;1,""ডুপ্লিকেট"",""""))"),"")</f>
        <v/>
      </c>
      <c r="Q2493" s="5" t="str">
        <f t="shared" si="1"/>
        <v>২ পরে</v>
      </c>
    </row>
    <row r="2494">
      <c r="A2494" s="4">
        <v>241.0</v>
      </c>
      <c r="B2494" s="2" t="s">
        <v>9760</v>
      </c>
      <c r="C2494" s="2" t="s">
        <v>9761</v>
      </c>
      <c r="D2494" s="2" t="s">
        <v>9762</v>
      </c>
      <c r="E2494" s="2" t="s">
        <v>9763</v>
      </c>
      <c r="F2494" s="2" t="b">
        <v>1</v>
      </c>
      <c r="G2494" s="2" t="b">
        <v>0</v>
      </c>
      <c r="H2494" s="2" t="s">
        <v>89</v>
      </c>
      <c r="I2494" s="2" t="s">
        <v>22</v>
      </c>
      <c r="J2494" s="2" t="s">
        <v>59</v>
      </c>
      <c r="K2494" s="2" t="s">
        <v>24</v>
      </c>
      <c r="L2494" s="13" t="s">
        <v>51</v>
      </c>
      <c r="M2494" s="2" t="s">
        <v>26</v>
      </c>
      <c r="N2494" s="24" t="s">
        <v>8793</v>
      </c>
      <c r="O2494" s="12" t="s">
        <v>53</v>
      </c>
      <c r="P2494" s="5" t="str">
        <f>IFERROR(__xludf.DUMMYFUNCTION("TEXTJOIN("" | "",TRUE,IF(OR(D2494="""",E2494="""",I2494="""",J2494="""",H2494=""""),""ফাঁকা ঘর"",""""),IF(AND(C2494&lt;&gt;"""",D2494&lt;&gt;"""",C2494=D2494),""gloss=figurative"",""""),IF(LEN(D2494)&lt;15,""figurative ছোট"",""""),IF(AND(I2494=""Positive"",REGEXMATCH(H2"&amp;"494,""মূর্খ|ভণ্ড|প্রতার|অলস|লোভ|স্বার্থ|অক্ষম|অযোগ্য|বোকা|কৃপণ|হিংস"")),""valence-target অমিল"",""""),IF(COUNTIF($B:$B,B2494)&gt;1,""ডুপ্লিকেট"",""""))"),"")</f>
        <v/>
      </c>
      <c r="Q2494" s="5" t="str">
        <f t="shared" si="1"/>
        <v>২ পরে</v>
      </c>
    </row>
    <row r="2495">
      <c r="A2495" s="4">
        <v>242.0</v>
      </c>
      <c r="B2495" s="2" t="s">
        <v>9764</v>
      </c>
      <c r="C2495" s="2" t="s">
        <v>9765</v>
      </c>
      <c r="D2495" s="2" t="s">
        <v>9766</v>
      </c>
      <c r="E2495" s="2" t="s">
        <v>9767</v>
      </c>
      <c r="F2495" s="2" t="b">
        <v>1</v>
      </c>
      <c r="G2495" s="2" t="b">
        <v>0</v>
      </c>
      <c r="H2495" s="2" t="s">
        <v>8837</v>
      </c>
      <c r="I2495" s="2" t="s">
        <v>22</v>
      </c>
      <c r="J2495" s="2" t="s">
        <v>59</v>
      </c>
      <c r="K2495" s="2" t="s">
        <v>24</v>
      </c>
      <c r="L2495" s="13" t="s">
        <v>51</v>
      </c>
      <c r="M2495" s="2" t="s">
        <v>26</v>
      </c>
      <c r="N2495" s="24" t="s">
        <v>8793</v>
      </c>
      <c r="O2495" s="12" t="s">
        <v>53</v>
      </c>
      <c r="P2495" s="5" t="str">
        <f>IFERROR(__xludf.DUMMYFUNCTION("TEXTJOIN("" | "",TRUE,IF(OR(D2495="""",E2495="""",I2495="""",J2495="""",H2495=""""),""ফাঁকা ঘর"",""""),IF(AND(C2495&lt;&gt;"""",D2495&lt;&gt;"""",C2495=D2495),""gloss=figurative"",""""),IF(LEN(D2495)&lt;15,""figurative ছোট"",""""),IF(AND(I2495=""Positive"",REGEXMATCH(H2"&amp;"495,""মূর্খ|ভণ্ড|প্রতার|অলস|লোভ|স্বার্থ|অক্ষম|অযোগ্য|বোকা|কৃপণ|হিংস"")),""valence-target অমিল"",""""),IF(COUNTIF($B:$B,B2495)&gt;1,""ডুপ্লিকেট"",""""))"),"")</f>
        <v/>
      </c>
      <c r="Q2495" s="5" t="str">
        <f t="shared" si="1"/>
        <v>২ পরে</v>
      </c>
    </row>
    <row r="2496">
      <c r="A2496" s="4">
        <v>243.0</v>
      </c>
      <c r="B2496" s="2" t="s">
        <v>9768</v>
      </c>
      <c r="C2496" s="2" t="s">
        <v>9769</v>
      </c>
      <c r="D2496" s="2" t="s">
        <v>9770</v>
      </c>
      <c r="E2496" s="2" t="s">
        <v>9771</v>
      </c>
      <c r="F2496" s="2" t="b">
        <v>1</v>
      </c>
      <c r="G2496" s="2" t="b">
        <v>0</v>
      </c>
      <c r="H2496" s="2" t="s">
        <v>8848</v>
      </c>
      <c r="I2496" s="2" t="s">
        <v>22</v>
      </c>
      <c r="J2496" s="2" t="s">
        <v>123</v>
      </c>
      <c r="K2496" s="2" t="s">
        <v>24</v>
      </c>
      <c r="L2496" s="13" t="s">
        <v>51</v>
      </c>
      <c r="M2496" s="2" t="s">
        <v>26</v>
      </c>
      <c r="N2496" s="24" t="s">
        <v>8793</v>
      </c>
      <c r="O2496" s="12" t="s">
        <v>53</v>
      </c>
      <c r="P2496" s="5" t="str">
        <f>IFERROR(__xludf.DUMMYFUNCTION("TEXTJOIN("" | "",TRUE,IF(OR(D2496="""",E2496="""",I2496="""",J2496="""",H2496=""""),""ফাঁকা ঘর"",""""),IF(AND(C2496&lt;&gt;"""",D2496&lt;&gt;"""",C2496=D2496),""gloss=figurative"",""""),IF(LEN(D2496)&lt;15,""figurative ছোট"",""""),IF(AND(I2496=""Positive"",REGEXMATCH(H2"&amp;"496,""মূর্খ|ভণ্ড|প্রতার|অলস|লোভ|স্বার্থ|অক্ষম|অযোগ্য|বোকা|কৃপণ|হিংস"")),""valence-target অমিল"",""""),IF(COUNTIF($B:$B,B2496)&gt;1,""ডুপ্লিকেট"",""""))"),"")</f>
        <v/>
      </c>
      <c r="Q2496" s="5" t="str">
        <f t="shared" si="1"/>
        <v>২ পরে</v>
      </c>
    </row>
    <row r="2497">
      <c r="A2497" s="4">
        <v>244.0</v>
      </c>
      <c r="B2497" s="2" t="s">
        <v>9772</v>
      </c>
      <c r="C2497" s="2" t="s">
        <v>9773</v>
      </c>
      <c r="D2497" s="2" t="s">
        <v>9774</v>
      </c>
      <c r="E2497" s="2" t="s">
        <v>9775</v>
      </c>
      <c r="F2497" s="2" t="b">
        <v>1</v>
      </c>
      <c r="G2497" s="2" t="b">
        <v>0</v>
      </c>
      <c r="H2497" s="2" t="s">
        <v>9776</v>
      </c>
      <c r="I2497" s="2" t="s">
        <v>32</v>
      </c>
      <c r="J2497" s="2" t="s">
        <v>197</v>
      </c>
      <c r="K2497" s="2" t="s">
        <v>24</v>
      </c>
      <c r="L2497" s="13" t="s">
        <v>51</v>
      </c>
      <c r="M2497" s="2" t="s">
        <v>26</v>
      </c>
      <c r="N2497" s="24" t="s">
        <v>8793</v>
      </c>
      <c r="O2497" s="12" t="s">
        <v>53</v>
      </c>
      <c r="P2497" s="5" t="str">
        <f>IFERROR(__xludf.DUMMYFUNCTION("TEXTJOIN("" | "",TRUE,IF(OR(D2497="""",E2497="""",I2497="""",J2497="""",H2497=""""),""ফাঁকা ঘর"",""""),IF(AND(C2497&lt;&gt;"""",D2497&lt;&gt;"""",C2497=D2497),""gloss=figurative"",""""),IF(LEN(D2497)&lt;15,""figurative ছোট"",""""),IF(AND(I2497=""Positive"",REGEXMATCH(H2"&amp;"497,""মূর্খ|ভণ্ড|প্রতার|অলস|লোভ|স্বার্থ|অক্ষম|অযোগ্য|বোকা|কৃপণ|হিংস"")),""valence-target অমিল"",""""),IF(COUNTIF($B:$B,B2497)&gt;1,""ডুপ্লিকেট"",""""))"),"")</f>
        <v/>
      </c>
      <c r="Q2497" s="5" t="str">
        <f t="shared" si="1"/>
        <v>২ পরে</v>
      </c>
    </row>
    <row r="2498">
      <c r="A2498" s="4">
        <v>245.0</v>
      </c>
      <c r="B2498" s="2" t="s">
        <v>9777</v>
      </c>
      <c r="C2498" s="2" t="s">
        <v>9778</v>
      </c>
      <c r="D2498" s="2" t="s">
        <v>9779</v>
      </c>
      <c r="E2498" s="2" t="s">
        <v>9780</v>
      </c>
      <c r="F2498" s="2" t="b">
        <v>1</v>
      </c>
      <c r="G2498" s="2" t="b">
        <v>0</v>
      </c>
      <c r="H2498" s="2" t="s">
        <v>37</v>
      </c>
      <c r="I2498" s="2" t="s">
        <v>32</v>
      </c>
      <c r="J2498" s="2" t="s">
        <v>2386</v>
      </c>
      <c r="K2498" s="2" t="s">
        <v>24</v>
      </c>
      <c r="L2498" s="13" t="s">
        <v>51</v>
      </c>
      <c r="M2498" s="2" t="s">
        <v>26</v>
      </c>
      <c r="N2498" s="24" t="s">
        <v>8793</v>
      </c>
      <c r="O2498" s="12" t="s">
        <v>53</v>
      </c>
      <c r="P2498" s="5" t="str">
        <f>IFERROR(__xludf.DUMMYFUNCTION("TEXTJOIN("" | "",TRUE,IF(OR(D2498="""",E2498="""",I2498="""",J2498="""",H2498=""""),""ফাঁকা ঘর"",""""),IF(AND(C2498&lt;&gt;"""",D2498&lt;&gt;"""",C2498=D2498),""gloss=figurative"",""""),IF(LEN(D2498)&lt;15,""figurative ছোট"",""""),IF(AND(I2498=""Positive"",REGEXMATCH(H2"&amp;"498,""মূর্খ|ভণ্ড|প্রতার|অলস|লোভ|স্বার্থ|অক্ষম|অযোগ্য|বোকা|কৃপণ|হিংস"")),""valence-target অমিল"",""""),IF(COUNTIF($B:$B,B2498)&gt;1,""ডুপ্লিকেট"",""""))"),"")</f>
        <v/>
      </c>
      <c r="Q2498" s="5" t="str">
        <f t="shared" si="1"/>
        <v>২ পরে</v>
      </c>
    </row>
    <row r="2499">
      <c r="A2499" s="4">
        <v>246.0</v>
      </c>
      <c r="B2499" s="2" t="s">
        <v>9781</v>
      </c>
      <c r="C2499" s="2" t="s">
        <v>9102</v>
      </c>
      <c r="D2499" s="2" t="s">
        <v>9103</v>
      </c>
      <c r="E2499" s="2" t="s">
        <v>9782</v>
      </c>
      <c r="F2499" s="2" t="b">
        <v>1</v>
      </c>
      <c r="G2499" s="2" t="b">
        <v>0</v>
      </c>
      <c r="H2499" s="2" t="s">
        <v>37</v>
      </c>
      <c r="I2499" s="2" t="s">
        <v>49</v>
      </c>
      <c r="J2499" s="2" t="s">
        <v>9037</v>
      </c>
      <c r="K2499" s="2" t="s">
        <v>24</v>
      </c>
      <c r="L2499" s="13" t="s">
        <v>51</v>
      </c>
      <c r="M2499" s="2" t="s">
        <v>26</v>
      </c>
      <c r="N2499" s="25" t="s">
        <v>9783</v>
      </c>
      <c r="O2499" s="12" t="s">
        <v>53</v>
      </c>
      <c r="P2499" s="5" t="str">
        <f>IFERROR(__xludf.DUMMYFUNCTION("TEXTJOIN("" | "",TRUE,IF(OR(D2499="""",E2499="""",I2499="""",J2499="""",H2499=""""),""ফাঁকা ঘর"",""""),IF(AND(C2499&lt;&gt;"""",D2499&lt;&gt;"""",C2499=D2499),""gloss=figurative"",""""),IF(LEN(D2499)&lt;15,""figurative ছোট"",""""),IF(AND(I2499=""Positive"",REGEXMATCH(H2"&amp;"499,""মূর্খ|ভণ্ড|প্রতার|অলস|লোভ|স্বার্থ|অক্ষম|অযোগ্য|বোকা|কৃপণ|হিংস"")),""valence-target অমিল"",""""),IF(COUNTIF($B:$B,B2499)&gt;1,""ডুপ্লিকেট"",""""))"),"")</f>
        <v/>
      </c>
      <c r="Q2499" s="5" t="str">
        <f t="shared" si="1"/>
        <v>২ পরে</v>
      </c>
    </row>
    <row r="2500">
      <c r="A2500" s="4">
        <v>247.0</v>
      </c>
      <c r="B2500" s="2" t="s">
        <v>9784</v>
      </c>
      <c r="C2500" s="2" t="s">
        <v>9785</v>
      </c>
      <c r="D2500" s="2" t="s">
        <v>9786</v>
      </c>
      <c r="E2500" s="2" t="s">
        <v>9787</v>
      </c>
      <c r="F2500" s="2" t="b">
        <v>1</v>
      </c>
      <c r="G2500" s="2" t="b">
        <v>0</v>
      </c>
      <c r="H2500" s="2" t="s">
        <v>21</v>
      </c>
      <c r="I2500" s="2" t="s">
        <v>22</v>
      </c>
      <c r="J2500" s="2" t="s">
        <v>5524</v>
      </c>
      <c r="K2500" s="2" t="s">
        <v>24</v>
      </c>
      <c r="L2500" s="13" t="s">
        <v>51</v>
      </c>
      <c r="M2500" s="2" t="s">
        <v>26</v>
      </c>
      <c r="N2500" s="24" t="s">
        <v>8793</v>
      </c>
      <c r="O2500" s="12" t="s">
        <v>53</v>
      </c>
      <c r="P2500" s="5" t="str">
        <f>IFERROR(__xludf.DUMMYFUNCTION("TEXTJOIN("" | "",TRUE,IF(OR(D2500="""",E2500="""",I2500="""",J2500="""",H2500=""""),""ফাঁকা ঘর"",""""),IF(AND(C2500&lt;&gt;"""",D2500&lt;&gt;"""",C2500=D2500),""gloss=figurative"",""""),IF(LEN(D2500)&lt;15,""figurative ছোট"",""""),IF(AND(I2500=""Positive"",REGEXMATCH(H2"&amp;"500,""মূর্খ|ভণ্ড|প্রতার|অলস|লোভ|স্বার্থ|অক্ষম|অযোগ্য|বোকা|কৃপণ|হিংস"")),""valence-target অমিল"",""""),IF(COUNTIF($B:$B,B2500)&gt;1,""ডুপ্লিকেট"",""""))"),"")</f>
        <v/>
      </c>
      <c r="Q2500" s="5" t="str">
        <f t="shared" si="1"/>
        <v>২ পরে</v>
      </c>
    </row>
    <row r="2501">
      <c r="A2501" s="4">
        <v>248.0</v>
      </c>
      <c r="B2501" s="2" t="s">
        <v>9788</v>
      </c>
      <c r="C2501" s="2" t="s">
        <v>9789</v>
      </c>
      <c r="D2501" s="2" t="s">
        <v>9790</v>
      </c>
      <c r="E2501" s="2" t="s">
        <v>9791</v>
      </c>
      <c r="F2501" s="2" t="b">
        <v>1</v>
      </c>
      <c r="G2501" s="2" t="b">
        <v>0</v>
      </c>
      <c r="H2501" s="2" t="s">
        <v>9792</v>
      </c>
      <c r="I2501" s="2" t="s">
        <v>49</v>
      </c>
      <c r="J2501" s="2" t="s">
        <v>169</v>
      </c>
      <c r="K2501" s="2" t="s">
        <v>24</v>
      </c>
      <c r="L2501" s="13" t="s">
        <v>51</v>
      </c>
      <c r="M2501" s="2" t="s">
        <v>26</v>
      </c>
      <c r="N2501" s="24" t="s">
        <v>8793</v>
      </c>
      <c r="O2501" s="12" t="s">
        <v>53</v>
      </c>
      <c r="P2501" s="5" t="str">
        <f>IFERROR(__xludf.DUMMYFUNCTION("TEXTJOIN("" | "",TRUE,IF(OR(D2501="""",E2501="""",I2501="""",J2501="""",H2501=""""),""ফাঁকা ঘর"",""""),IF(AND(C2501&lt;&gt;"""",D2501&lt;&gt;"""",C2501=D2501),""gloss=figurative"",""""),IF(LEN(D2501)&lt;15,""figurative ছোট"",""""),IF(AND(I2501=""Positive"",REGEXMATCH(H2"&amp;"501,""মূর্খ|ভণ্ড|প্রতার|অলস|লোভ|স্বার্থ|অক্ষম|অযোগ্য|বোকা|কৃপণ|হিংস"")),""valence-target অমিল"",""""),IF(COUNTIF($B:$B,B2501)&gt;1,""ডুপ্লিকেট"",""""))"),"")</f>
        <v/>
      </c>
      <c r="Q2501" s="5" t="str">
        <f t="shared" si="1"/>
        <v>২ পরে</v>
      </c>
    </row>
    <row r="2502">
      <c r="A2502" s="4">
        <v>249.0</v>
      </c>
      <c r="B2502" s="2" t="s">
        <v>9793</v>
      </c>
      <c r="C2502" s="2" t="s">
        <v>9794</v>
      </c>
      <c r="D2502" s="2" t="s">
        <v>9795</v>
      </c>
      <c r="E2502" s="2" t="s">
        <v>9796</v>
      </c>
      <c r="F2502" s="2" t="b">
        <v>1</v>
      </c>
      <c r="G2502" s="2" t="b">
        <v>0</v>
      </c>
      <c r="H2502" s="2" t="s">
        <v>9797</v>
      </c>
      <c r="I2502" s="2" t="s">
        <v>22</v>
      </c>
      <c r="J2502" s="2" t="s">
        <v>59</v>
      </c>
      <c r="K2502" s="2" t="s">
        <v>24</v>
      </c>
      <c r="L2502" s="13" t="s">
        <v>51</v>
      </c>
      <c r="M2502" s="2" t="s">
        <v>26</v>
      </c>
      <c r="N2502" s="24" t="s">
        <v>8793</v>
      </c>
      <c r="O2502" s="12" t="s">
        <v>53</v>
      </c>
      <c r="P2502" s="5" t="str">
        <f>IFERROR(__xludf.DUMMYFUNCTION("TEXTJOIN("" | "",TRUE,IF(OR(D2502="""",E2502="""",I2502="""",J2502="""",H2502=""""),""ফাঁকা ঘর"",""""),IF(AND(C2502&lt;&gt;"""",D2502&lt;&gt;"""",C2502=D2502),""gloss=figurative"",""""),IF(LEN(D2502)&lt;15,""figurative ছোট"",""""),IF(AND(I2502=""Positive"",REGEXMATCH(H2"&amp;"502,""মূর্খ|ভণ্ড|প্রতার|অলস|লোভ|স্বার্থ|অক্ষম|অযোগ্য|বোকা|কৃপণ|হিংস"")),""valence-target অমিল"",""""),IF(COUNTIF($B:$B,B2502)&gt;1,""ডুপ্লিকেট"",""""))"),"")</f>
        <v/>
      </c>
      <c r="Q2502" s="5" t="str">
        <f t="shared" si="1"/>
        <v>২ পরে</v>
      </c>
    </row>
    <row r="2503">
      <c r="A2503" s="4">
        <v>250.0</v>
      </c>
      <c r="B2503" s="2" t="s">
        <v>9798</v>
      </c>
      <c r="C2503" s="2" t="s">
        <v>9799</v>
      </c>
      <c r="D2503" s="2" t="s">
        <v>9800</v>
      </c>
      <c r="E2503" s="2" t="s">
        <v>9801</v>
      </c>
      <c r="F2503" s="2" t="b">
        <v>1</v>
      </c>
      <c r="G2503" s="2" t="b">
        <v>0</v>
      </c>
      <c r="H2503" s="2" t="s">
        <v>8798</v>
      </c>
      <c r="I2503" s="2" t="s">
        <v>22</v>
      </c>
      <c r="J2503" s="2" t="s">
        <v>59</v>
      </c>
      <c r="K2503" s="2" t="s">
        <v>24</v>
      </c>
      <c r="L2503" s="13" t="s">
        <v>51</v>
      </c>
      <c r="M2503" s="2" t="s">
        <v>26</v>
      </c>
      <c r="N2503" s="24" t="s">
        <v>8793</v>
      </c>
      <c r="O2503" s="12" t="s">
        <v>53</v>
      </c>
      <c r="P2503" s="5" t="str">
        <f>IFERROR(__xludf.DUMMYFUNCTION("TEXTJOIN("" | "",TRUE,IF(OR(D2503="""",E2503="""",I2503="""",J2503="""",H2503=""""),""ফাঁকা ঘর"",""""),IF(AND(C2503&lt;&gt;"""",D2503&lt;&gt;"""",C2503=D2503),""gloss=figurative"",""""),IF(LEN(D2503)&lt;15,""figurative ছোট"",""""),IF(AND(I2503=""Positive"",REGEXMATCH(H2"&amp;"503,""মূর্খ|ভণ্ড|প্রতার|অলস|লোভ|স্বার্থ|অক্ষম|অযোগ্য|বোকা|কৃপণ|হিংস"")),""valence-target অমিল"",""""),IF(COUNTIF($B:$B,B2503)&gt;1,""ডুপ্লিকেট"",""""))"),"")</f>
        <v/>
      </c>
      <c r="Q2503" s="5" t="str">
        <f t="shared" si="1"/>
        <v>২ পরে</v>
      </c>
    </row>
    <row r="2504">
      <c r="A2504" s="4">
        <v>251.0</v>
      </c>
      <c r="B2504" s="2" t="s">
        <v>9802</v>
      </c>
      <c r="C2504" s="2" t="s">
        <v>9803</v>
      </c>
      <c r="D2504" s="2" t="s">
        <v>9804</v>
      </c>
      <c r="E2504" s="2" t="s">
        <v>9805</v>
      </c>
      <c r="F2504" s="2" t="b">
        <v>1</v>
      </c>
      <c r="G2504" s="2" t="b">
        <v>0</v>
      </c>
      <c r="H2504" s="2" t="s">
        <v>37</v>
      </c>
      <c r="I2504" s="2" t="s">
        <v>32</v>
      </c>
      <c r="J2504" s="2" t="s">
        <v>9301</v>
      </c>
      <c r="K2504" s="2" t="s">
        <v>24</v>
      </c>
      <c r="L2504" s="13" t="s">
        <v>51</v>
      </c>
      <c r="M2504" s="2" t="s">
        <v>26</v>
      </c>
      <c r="N2504" s="25" t="s">
        <v>9806</v>
      </c>
      <c r="O2504" s="12" t="s">
        <v>53</v>
      </c>
      <c r="P2504" s="5" t="str">
        <f>IFERROR(__xludf.DUMMYFUNCTION("TEXTJOIN("" | "",TRUE,IF(OR(D2504="""",E2504="""",I2504="""",J2504="""",H2504=""""),""ফাঁকা ঘর"",""""),IF(AND(C2504&lt;&gt;"""",D2504&lt;&gt;"""",C2504=D2504),""gloss=figurative"",""""),IF(LEN(D2504)&lt;15,""figurative ছোট"",""""),IF(AND(I2504=""Positive"",REGEXMATCH(H2"&amp;"504,""মূর্খ|ভণ্ড|প্রতার|অলস|লোভ|স্বার্থ|অক্ষম|অযোগ্য|বোকা|কৃপণ|হিংস"")),""valence-target অমিল"",""""),IF(COUNTIF($B:$B,B2504)&gt;1,""ডুপ্লিকেট"",""""))"),"")</f>
        <v/>
      </c>
      <c r="Q2504" s="5" t="str">
        <f t="shared" si="1"/>
        <v>২ পরে</v>
      </c>
    </row>
    <row r="2505">
      <c r="A2505" s="4">
        <v>252.0</v>
      </c>
      <c r="B2505" s="2" t="s">
        <v>9807</v>
      </c>
      <c r="C2505" s="2" t="s">
        <v>9808</v>
      </c>
      <c r="D2505" s="2" t="s">
        <v>9809</v>
      </c>
      <c r="E2505" s="2" t="s">
        <v>9810</v>
      </c>
      <c r="F2505" s="2" t="b">
        <v>1</v>
      </c>
      <c r="G2505" s="2" t="b">
        <v>0</v>
      </c>
      <c r="H2505" s="2" t="s">
        <v>8837</v>
      </c>
      <c r="I2505" s="2" t="s">
        <v>22</v>
      </c>
      <c r="J2505" s="2" t="s">
        <v>59</v>
      </c>
      <c r="K2505" s="2" t="s">
        <v>24</v>
      </c>
      <c r="L2505" s="13" t="s">
        <v>51</v>
      </c>
      <c r="M2505" s="2" t="s">
        <v>26</v>
      </c>
      <c r="N2505" s="24" t="s">
        <v>8793</v>
      </c>
      <c r="O2505" s="12" t="s">
        <v>53</v>
      </c>
      <c r="P2505" s="5" t="str">
        <f>IFERROR(__xludf.DUMMYFUNCTION("TEXTJOIN("" | "",TRUE,IF(OR(D2505="""",E2505="""",I2505="""",J2505="""",H2505=""""),""ফাঁকা ঘর"",""""),IF(AND(C2505&lt;&gt;"""",D2505&lt;&gt;"""",C2505=D2505),""gloss=figurative"",""""),IF(LEN(D2505)&lt;15,""figurative ছোট"",""""),IF(AND(I2505=""Positive"",REGEXMATCH(H2"&amp;"505,""মূর্খ|ভণ্ড|প্রতার|অলস|লোভ|স্বার্থ|অক্ষম|অযোগ্য|বোকা|কৃপণ|হিংস"")),""valence-target অমিল"",""""),IF(COUNTIF($B:$B,B2505)&gt;1,""ডুপ্লিকেট"",""""))"),"")</f>
        <v/>
      </c>
      <c r="Q2505" s="5" t="str">
        <f t="shared" si="1"/>
        <v>২ পরে</v>
      </c>
    </row>
    <row r="2506">
      <c r="A2506" s="4">
        <v>253.0</v>
      </c>
      <c r="B2506" s="2" t="s">
        <v>9811</v>
      </c>
      <c r="C2506" s="2" t="s">
        <v>9812</v>
      </c>
      <c r="D2506" s="2" t="s">
        <v>9813</v>
      </c>
      <c r="E2506" s="2" t="s">
        <v>9814</v>
      </c>
      <c r="F2506" s="2" t="b">
        <v>1</v>
      </c>
      <c r="G2506" s="2" t="b">
        <v>0</v>
      </c>
      <c r="H2506" s="2" t="s">
        <v>8837</v>
      </c>
      <c r="I2506" s="2" t="s">
        <v>22</v>
      </c>
      <c r="J2506" s="2" t="s">
        <v>59</v>
      </c>
      <c r="K2506" s="2" t="s">
        <v>24</v>
      </c>
      <c r="L2506" s="13" t="s">
        <v>51</v>
      </c>
      <c r="M2506" s="2" t="s">
        <v>26</v>
      </c>
      <c r="N2506" s="24" t="s">
        <v>8793</v>
      </c>
      <c r="O2506" s="12" t="s">
        <v>53</v>
      </c>
      <c r="P2506" s="5" t="str">
        <f>IFERROR(__xludf.DUMMYFUNCTION("TEXTJOIN("" | "",TRUE,IF(OR(D2506="""",E2506="""",I2506="""",J2506="""",H2506=""""),""ফাঁকা ঘর"",""""),IF(AND(C2506&lt;&gt;"""",D2506&lt;&gt;"""",C2506=D2506),""gloss=figurative"",""""),IF(LEN(D2506)&lt;15,""figurative ছোট"",""""),IF(AND(I2506=""Positive"",REGEXMATCH(H2"&amp;"506,""মূর্খ|ভণ্ড|প্রতার|অলস|লোভ|স্বার্থ|অক্ষম|অযোগ্য|বোকা|কৃপণ|হিংস"")),""valence-target অমিল"",""""),IF(COUNTIF($B:$B,B2506)&gt;1,""ডুপ্লিকেট"",""""))"),"")</f>
        <v/>
      </c>
      <c r="Q2506" s="5" t="str">
        <f t="shared" si="1"/>
        <v>২ পরে</v>
      </c>
    </row>
    <row r="2507">
      <c r="A2507" s="4">
        <v>254.0</v>
      </c>
      <c r="B2507" s="2" t="s">
        <v>9815</v>
      </c>
      <c r="C2507" s="2" t="s">
        <v>9816</v>
      </c>
      <c r="D2507" s="2" t="s">
        <v>9817</v>
      </c>
      <c r="E2507" s="2" t="s">
        <v>9818</v>
      </c>
      <c r="F2507" s="2" t="b">
        <v>1</v>
      </c>
      <c r="G2507" s="2" t="b">
        <v>0</v>
      </c>
      <c r="H2507" s="2" t="s">
        <v>9819</v>
      </c>
      <c r="I2507" s="2" t="s">
        <v>22</v>
      </c>
      <c r="J2507" s="2" t="s">
        <v>123</v>
      </c>
      <c r="K2507" s="2" t="s">
        <v>24</v>
      </c>
      <c r="L2507" s="13" t="s">
        <v>51</v>
      </c>
      <c r="M2507" s="2" t="s">
        <v>26</v>
      </c>
      <c r="N2507" s="24" t="s">
        <v>8793</v>
      </c>
      <c r="O2507" s="12" t="s">
        <v>53</v>
      </c>
      <c r="P2507" s="5" t="str">
        <f>IFERROR(__xludf.DUMMYFUNCTION("TEXTJOIN("" | "",TRUE,IF(OR(D2507="""",E2507="""",I2507="""",J2507="""",H2507=""""),""ফাঁকা ঘর"",""""),IF(AND(C2507&lt;&gt;"""",D2507&lt;&gt;"""",C2507=D2507),""gloss=figurative"",""""),IF(LEN(D2507)&lt;15,""figurative ছোট"",""""),IF(AND(I2507=""Positive"",REGEXMATCH(H2"&amp;"507,""মূর্খ|ভণ্ড|প্রতার|অলস|লোভ|স্বার্থ|অক্ষম|অযোগ্য|বোকা|কৃপণ|হিংস"")),""valence-target অমিল"",""""),IF(COUNTIF($B:$B,B2507)&gt;1,""ডুপ্লিকেট"",""""))"),"")</f>
        <v/>
      </c>
      <c r="Q2507" s="5" t="str">
        <f t="shared" si="1"/>
        <v>২ পরে</v>
      </c>
    </row>
    <row r="2508">
      <c r="A2508" s="4">
        <v>255.0</v>
      </c>
      <c r="B2508" s="2" t="s">
        <v>9820</v>
      </c>
      <c r="C2508" s="2" t="s">
        <v>9821</v>
      </c>
      <c r="D2508" s="2" t="s">
        <v>9822</v>
      </c>
      <c r="E2508" s="2" t="s">
        <v>9823</v>
      </c>
      <c r="F2508" s="2" t="b">
        <v>1</v>
      </c>
      <c r="G2508" s="2" t="b">
        <v>0</v>
      </c>
      <c r="H2508" s="2" t="s">
        <v>9824</v>
      </c>
      <c r="I2508" s="2" t="s">
        <v>22</v>
      </c>
      <c r="J2508" s="2" t="s">
        <v>739</v>
      </c>
      <c r="K2508" s="2" t="s">
        <v>24</v>
      </c>
      <c r="L2508" s="13" t="s">
        <v>51</v>
      </c>
      <c r="M2508" s="2" t="s">
        <v>26</v>
      </c>
      <c r="N2508" s="24" t="s">
        <v>8793</v>
      </c>
      <c r="O2508" s="12" t="s">
        <v>53</v>
      </c>
      <c r="P2508" s="5" t="str">
        <f>IFERROR(__xludf.DUMMYFUNCTION("TEXTJOIN("" | "",TRUE,IF(OR(D2508="""",E2508="""",I2508="""",J2508="""",H2508=""""),""ফাঁকা ঘর"",""""),IF(AND(C2508&lt;&gt;"""",D2508&lt;&gt;"""",C2508=D2508),""gloss=figurative"",""""),IF(LEN(D2508)&lt;15,""figurative ছোট"",""""),IF(AND(I2508=""Positive"",REGEXMATCH(H2"&amp;"508,""মূর্খ|ভণ্ড|প্রতার|অলস|লোভ|স্বার্থ|অক্ষম|অযোগ্য|বোকা|কৃপণ|হিংস"")),""valence-target অমিল"",""""),IF(COUNTIF($B:$B,B2508)&gt;1,""ডুপ্লিকেট"",""""))"),"")</f>
        <v/>
      </c>
      <c r="Q2508" s="5" t="str">
        <f t="shared" si="1"/>
        <v>২ পরে</v>
      </c>
    </row>
    <row r="2509">
      <c r="A2509" s="4">
        <v>256.0</v>
      </c>
      <c r="B2509" s="2" t="s">
        <v>9825</v>
      </c>
      <c r="C2509" s="2" t="s">
        <v>9826</v>
      </c>
      <c r="D2509" s="2" t="s">
        <v>9103</v>
      </c>
      <c r="E2509" s="2" t="s">
        <v>9827</v>
      </c>
      <c r="F2509" s="2" t="b">
        <v>1</v>
      </c>
      <c r="G2509" s="2" t="b">
        <v>0</v>
      </c>
      <c r="H2509" s="2" t="s">
        <v>37</v>
      </c>
      <c r="I2509" s="2" t="s">
        <v>49</v>
      </c>
      <c r="J2509" s="2" t="s">
        <v>9037</v>
      </c>
      <c r="K2509" s="2" t="s">
        <v>24</v>
      </c>
      <c r="L2509" s="13" t="s">
        <v>51</v>
      </c>
      <c r="M2509" s="2" t="s">
        <v>26</v>
      </c>
      <c r="N2509" s="25" t="s">
        <v>9828</v>
      </c>
      <c r="O2509" s="12" t="s">
        <v>53</v>
      </c>
      <c r="P2509" s="5" t="str">
        <f>IFERROR(__xludf.DUMMYFUNCTION("TEXTJOIN("" | "",TRUE,IF(OR(D2509="""",E2509="""",I2509="""",J2509="""",H2509=""""),""ফাঁকা ঘর"",""""),IF(AND(C2509&lt;&gt;"""",D2509&lt;&gt;"""",C2509=D2509),""gloss=figurative"",""""),IF(LEN(D2509)&lt;15,""figurative ছোট"",""""),IF(AND(I2509=""Positive"",REGEXMATCH(H2"&amp;"509,""মূর্খ|ভণ্ড|প্রতার|অলস|লোভ|স্বার্থ|অক্ষম|অযোগ্য|বোকা|কৃপণ|হিংস"")),""valence-target অমিল"",""""),IF(COUNTIF($B:$B,B2509)&gt;1,""ডুপ্লিকেট"",""""))"),"")</f>
        <v/>
      </c>
      <c r="Q2509" s="5" t="str">
        <f t="shared" si="1"/>
        <v>২ পরে</v>
      </c>
    </row>
    <row r="2510">
      <c r="A2510" s="4">
        <v>257.0</v>
      </c>
      <c r="B2510" s="2" t="s">
        <v>9829</v>
      </c>
      <c r="C2510" s="2" t="s">
        <v>9830</v>
      </c>
      <c r="D2510" s="2" t="s">
        <v>9831</v>
      </c>
      <c r="E2510" s="2" t="s">
        <v>9832</v>
      </c>
      <c r="F2510" s="2" t="b">
        <v>1</v>
      </c>
      <c r="G2510" s="2" t="b">
        <v>0</v>
      </c>
      <c r="H2510" s="2" t="s">
        <v>9833</v>
      </c>
      <c r="I2510" s="2" t="s">
        <v>32</v>
      </c>
      <c r="J2510" s="2" t="s">
        <v>123</v>
      </c>
      <c r="K2510" s="2" t="s">
        <v>24</v>
      </c>
      <c r="L2510" s="13" t="s">
        <v>51</v>
      </c>
      <c r="M2510" s="2" t="s">
        <v>26</v>
      </c>
      <c r="N2510" s="24" t="s">
        <v>8793</v>
      </c>
      <c r="O2510" s="12" t="s">
        <v>53</v>
      </c>
      <c r="P2510" s="5" t="str">
        <f>IFERROR(__xludf.DUMMYFUNCTION("TEXTJOIN("" | "",TRUE,IF(OR(D2510="""",E2510="""",I2510="""",J2510="""",H2510=""""),""ফাঁকা ঘর"",""""),IF(AND(C2510&lt;&gt;"""",D2510&lt;&gt;"""",C2510=D2510),""gloss=figurative"",""""),IF(LEN(D2510)&lt;15,""figurative ছোট"",""""),IF(AND(I2510=""Positive"",REGEXMATCH(H2"&amp;"510,""মূর্খ|ভণ্ড|প্রতার|অলস|লোভ|স্বার্থ|অক্ষম|অযোগ্য|বোকা|কৃপণ|হিংস"")),""valence-target অমিল"",""""),IF(COUNTIF($B:$B,B2510)&gt;1,""ডুপ্লিকেট"",""""))"),"")</f>
        <v/>
      </c>
      <c r="Q2510" s="5" t="str">
        <f t="shared" si="1"/>
        <v>২ পরে</v>
      </c>
    </row>
    <row r="2511">
      <c r="A2511" s="4">
        <v>258.0</v>
      </c>
      <c r="B2511" s="2" t="s">
        <v>9834</v>
      </c>
      <c r="C2511" s="2" t="s">
        <v>9835</v>
      </c>
      <c r="D2511" s="2" t="s">
        <v>9762</v>
      </c>
      <c r="E2511" s="2" t="s">
        <v>9836</v>
      </c>
      <c r="F2511" s="2" t="b">
        <v>1</v>
      </c>
      <c r="G2511" s="2" t="b">
        <v>0</v>
      </c>
      <c r="H2511" s="2" t="s">
        <v>308</v>
      </c>
      <c r="I2511" s="2" t="s">
        <v>22</v>
      </c>
      <c r="J2511" s="2" t="s">
        <v>59</v>
      </c>
      <c r="K2511" s="2" t="s">
        <v>24</v>
      </c>
      <c r="L2511" s="13" t="s">
        <v>51</v>
      </c>
      <c r="M2511" s="2" t="s">
        <v>26</v>
      </c>
      <c r="N2511" s="24" t="s">
        <v>8793</v>
      </c>
      <c r="O2511" s="12" t="s">
        <v>53</v>
      </c>
      <c r="P2511" s="5" t="str">
        <f>IFERROR(__xludf.DUMMYFUNCTION("TEXTJOIN("" | "",TRUE,IF(OR(D2511="""",E2511="""",I2511="""",J2511="""",H2511=""""),""ফাঁকা ঘর"",""""),IF(AND(C2511&lt;&gt;"""",D2511&lt;&gt;"""",C2511=D2511),""gloss=figurative"",""""),IF(LEN(D2511)&lt;15,""figurative ছোট"",""""),IF(AND(I2511=""Positive"",REGEXMATCH(H2"&amp;"511,""মূর্খ|ভণ্ড|প্রতার|অলস|লোভ|স্বার্থ|অক্ষম|অযোগ্য|বোকা|কৃপণ|হিংস"")),""valence-target অমিল"",""""),IF(COUNTIF($B:$B,B2511)&gt;1,""ডুপ্লিকেট"",""""))"),"")</f>
        <v/>
      </c>
      <c r="Q2511" s="5" t="str">
        <f t="shared" si="1"/>
        <v>২ পরে</v>
      </c>
    </row>
    <row r="2512">
      <c r="A2512" s="4">
        <v>259.0</v>
      </c>
      <c r="B2512" s="2" t="s">
        <v>9837</v>
      </c>
      <c r="C2512" s="2" t="s">
        <v>9663</v>
      </c>
      <c r="D2512" s="2" t="s">
        <v>9664</v>
      </c>
      <c r="E2512" s="2" t="s">
        <v>9838</v>
      </c>
      <c r="F2512" s="2" t="b">
        <v>1</v>
      </c>
      <c r="G2512" s="2" t="b">
        <v>0</v>
      </c>
      <c r="H2512" s="2" t="s">
        <v>356</v>
      </c>
      <c r="I2512" s="2" t="s">
        <v>22</v>
      </c>
      <c r="J2512" s="2" t="s">
        <v>59</v>
      </c>
      <c r="K2512" s="2" t="s">
        <v>24</v>
      </c>
      <c r="L2512" s="13" t="s">
        <v>51</v>
      </c>
      <c r="M2512" s="2" t="s">
        <v>26</v>
      </c>
      <c r="N2512" s="25" t="s">
        <v>9839</v>
      </c>
      <c r="O2512" s="12" t="s">
        <v>53</v>
      </c>
      <c r="P2512" s="5" t="str">
        <f>IFERROR(__xludf.DUMMYFUNCTION("TEXTJOIN("" | "",TRUE,IF(OR(D2512="""",E2512="""",I2512="""",J2512="""",H2512=""""),""ফাঁকা ঘর"",""""),IF(AND(C2512&lt;&gt;"""",D2512&lt;&gt;"""",C2512=D2512),""gloss=figurative"",""""),IF(LEN(D2512)&lt;15,""figurative ছোট"",""""),IF(AND(I2512=""Positive"",REGEXMATCH(H2"&amp;"512,""মূর্খ|ভণ্ড|প্রতার|অলস|লোভ|স্বার্থ|অক্ষম|অযোগ্য|বোকা|কৃপণ|হিংস"")),""valence-target অমিল"",""""),IF(COUNTIF($B:$B,B2512)&gt;1,""ডুপ্লিকেট"",""""))"),"")</f>
        <v/>
      </c>
      <c r="Q2512" s="5" t="str">
        <f t="shared" si="1"/>
        <v>২ পরে</v>
      </c>
    </row>
    <row r="2513">
      <c r="A2513" s="4">
        <v>260.0</v>
      </c>
      <c r="B2513" s="2" t="s">
        <v>9840</v>
      </c>
      <c r="C2513" s="2" t="s">
        <v>2128</v>
      </c>
      <c r="D2513" s="2" t="s">
        <v>9841</v>
      </c>
      <c r="E2513" s="2" t="s">
        <v>9842</v>
      </c>
      <c r="F2513" s="2" t="b">
        <v>1</v>
      </c>
      <c r="G2513" s="2" t="b">
        <v>0</v>
      </c>
      <c r="H2513" s="2" t="s">
        <v>9843</v>
      </c>
      <c r="I2513" s="2" t="s">
        <v>49</v>
      </c>
      <c r="J2513" s="2" t="s">
        <v>117</v>
      </c>
      <c r="K2513" s="2" t="s">
        <v>24</v>
      </c>
      <c r="L2513" s="13" t="s">
        <v>51</v>
      </c>
      <c r="M2513" s="2" t="s">
        <v>26</v>
      </c>
      <c r="N2513" s="24" t="s">
        <v>9844</v>
      </c>
      <c r="O2513" s="12" t="s">
        <v>53</v>
      </c>
      <c r="P2513" s="5" t="str">
        <f>IFERROR(__xludf.DUMMYFUNCTION("TEXTJOIN("" | "",TRUE,IF(OR(D2513="""",E2513="""",I2513="""",J2513="""",H2513=""""),""ফাঁকা ঘর"",""""),IF(AND(C2513&lt;&gt;"""",D2513&lt;&gt;"""",C2513=D2513),""gloss=figurative"",""""),IF(LEN(D2513)&lt;15,""figurative ছোট"",""""),IF(AND(I2513=""Positive"",REGEXMATCH(H2"&amp;"513,""মূর্খ|ভণ্ড|প্রতার|অলস|লোভ|স্বার্থ|অক্ষম|অযোগ্য|বোকা|কৃপণ|হিংস"")),""valence-target অমিল"",""""),IF(COUNTIF($B:$B,B2513)&gt;1,""ডুপ্লিকেট"",""""))"),"")</f>
        <v/>
      </c>
      <c r="Q2513" s="5" t="str">
        <f t="shared" si="1"/>
        <v>২ পরে</v>
      </c>
    </row>
    <row r="2514">
      <c r="A2514" s="4">
        <v>261.0</v>
      </c>
      <c r="B2514" s="2" t="s">
        <v>9845</v>
      </c>
      <c r="C2514" s="2" t="s">
        <v>9846</v>
      </c>
      <c r="D2514" s="2" t="s">
        <v>9847</v>
      </c>
      <c r="E2514" s="2" t="s">
        <v>9848</v>
      </c>
      <c r="F2514" s="2" t="b">
        <v>1</v>
      </c>
      <c r="G2514" s="2" t="b">
        <v>1</v>
      </c>
      <c r="H2514" s="2" t="s">
        <v>9748</v>
      </c>
      <c r="I2514" s="2" t="s">
        <v>49</v>
      </c>
      <c r="J2514" s="2" t="s">
        <v>9749</v>
      </c>
      <c r="K2514" s="2" t="s">
        <v>24</v>
      </c>
      <c r="L2514" s="13" t="s">
        <v>51</v>
      </c>
      <c r="M2514" s="2" t="s">
        <v>26</v>
      </c>
      <c r="N2514" s="25" t="s">
        <v>9849</v>
      </c>
      <c r="O2514" s="12" t="s">
        <v>53</v>
      </c>
      <c r="P2514" s="5" t="str">
        <f>IFERROR(__xludf.DUMMYFUNCTION("TEXTJOIN("" | "",TRUE,IF(OR(D2514="""",E2514="""",I2514="""",J2514="""",H2514=""""),""ফাঁকা ঘর"",""""),IF(AND(C2514&lt;&gt;"""",D2514&lt;&gt;"""",C2514=D2514),""gloss=figurative"",""""),IF(LEN(D2514)&lt;15,""figurative ছোট"",""""),IF(AND(I2514=""Positive"",REGEXMATCH(H2"&amp;"514,""মূর্খ|ভণ্ড|প্রতার|অলস|লোভ|স্বার্থ|অক্ষম|অযোগ্য|বোকা|কৃপণ|হিংস"")),""valence-target অমিল"",""""),IF(COUNTIF($B:$B,B2514)&gt;1,""ডুপ্লিকেট"",""""))"),"")</f>
        <v/>
      </c>
      <c r="Q2514" s="5" t="str">
        <f t="shared" si="1"/>
        <v>২ পরে</v>
      </c>
    </row>
    <row r="2515">
      <c r="A2515" s="4">
        <v>263.0</v>
      </c>
      <c r="B2515" s="2" t="s">
        <v>9850</v>
      </c>
      <c r="C2515" s="2" t="s">
        <v>9851</v>
      </c>
      <c r="D2515" s="2" t="s">
        <v>9852</v>
      </c>
      <c r="E2515" s="2" t="s">
        <v>9853</v>
      </c>
      <c r="F2515" s="2" t="b">
        <v>1</v>
      </c>
      <c r="G2515" s="2" t="b">
        <v>0</v>
      </c>
      <c r="H2515" s="2" t="s">
        <v>9854</v>
      </c>
      <c r="I2515" s="2" t="s">
        <v>22</v>
      </c>
      <c r="J2515" s="2" t="s">
        <v>9855</v>
      </c>
      <c r="K2515" s="2" t="s">
        <v>24</v>
      </c>
      <c r="L2515" s="13" t="s">
        <v>51</v>
      </c>
      <c r="M2515" s="2" t="s">
        <v>26</v>
      </c>
      <c r="N2515" s="24" t="s">
        <v>8793</v>
      </c>
      <c r="O2515" s="12" t="s">
        <v>53</v>
      </c>
      <c r="P2515" s="5" t="str">
        <f>IFERROR(__xludf.DUMMYFUNCTION("TEXTJOIN("" | "",TRUE,IF(OR(D2515="""",E2515="""",I2515="""",J2515="""",H2515=""""),""ফাঁকা ঘর"",""""),IF(AND(C2515&lt;&gt;"""",D2515&lt;&gt;"""",C2515=D2515),""gloss=figurative"",""""),IF(LEN(D2515)&lt;15,""figurative ছোট"",""""),IF(AND(I2515=""Positive"",REGEXMATCH(H2"&amp;"515,""মূর্খ|ভণ্ড|প্রতার|অলস|লোভ|স্বার্থ|অক্ষম|অযোগ্য|বোকা|কৃপণ|হিংস"")),""valence-target অমিল"",""""),IF(COUNTIF($B:$B,B2515)&gt;1,""ডুপ্লিকেট"",""""))"),"")</f>
        <v/>
      </c>
      <c r="Q2515" s="5" t="str">
        <f t="shared" si="1"/>
        <v>২ পরে</v>
      </c>
    </row>
    <row r="2516">
      <c r="A2516" s="4">
        <v>264.0</v>
      </c>
      <c r="B2516" s="2" t="s">
        <v>9856</v>
      </c>
      <c r="C2516" s="2" t="s">
        <v>9857</v>
      </c>
      <c r="D2516" s="2" t="s">
        <v>9858</v>
      </c>
      <c r="E2516" s="2" t="s">
        <v>9859</v>
      </c>
      <c r="F2516" s="2" t="b">
        <v>1</v>
      </c>
      <c r="G2516" s="2" t="b">
        <v>0</v>
      </c>
      <c r="H2516" s="2" t="s">
        <v>9189</v>
      </c>
      <c r="I2516" s="2" t="s">
        <v>49</v>
      </c>
      <c r="J2516" s="2" t="s">
        <v>739</v>
      </c>
      <c r="K2516" s="2" t="s">
        <v>24</v>
      </c>
      <c r="L2516" s="13" t="s">
        <v>51</v>
      </c>
      <c r="M2516" s="2" t="s">
        <v>26</v>
      </c>
      <c r="N2516" s="24" t="s">
        <v>8793</v>
      </c>
      <c r="O2516" s="12" t="s">
        <v>53</v>
      </c>
      <c r="P2516" s="5" t="str">
        <f>IFERROR(__xludf.DUMMYFUNCTION("TEXTJOIN("" | "",TRUE,IF(OR(D2516="""",E2516="""",I2516="""",J2516="""",H2516=""""),""ফাঁকা ঘর"",""""),IF(AND(C2516&lt;&gt;"""",D2516&lt;&gt;"""",C2516=D2516),""gloss=figurative"",""""),IF(LEN(D2516)&lt;15,""figurative ছোট"",""""),IF(AND(I2516=""Positive"",REGEXMATCH(H2"&amp;"516,""মূর্খ|ভণ্ড|প্রতার|অলস|লোভ|স্বার্থ|অক্ষম|অযোগ্য|বোকা|কৃপণ|হিংস"")),""valence-target অমিল"",""""),IF(COUNTIF($B:$B,B2516)&gt;1,""ডুপ্লিকেট"",""""))"),"")</f>
        <v/>
      </c>
      <c r="Q2516" s="5" t="str">
        <f t="shared" si="1"/>
        <v>২ পরে</v>
      </c>
    </row>
    <row r="2517">
      <c r="A2517" s="4">
        <v>265.0</v>
      </c>
      <c r="B2517" s="2" t="s">
        <v>9860</v>
      </c>
      <c r="C2517" s="2" t="s">
        <v>9861</v>
      </c>
      <c r="D2517" s="2" t="s">
        <v>9862</v>
      </c>
      <c r="E2517" s="2" t="s">
        <v>9863</v>
      </c>
      <c r="F2517" s="2" t="b">
        <v>1</v>
      </c>
      <c r="G2517" s="2" t="b">
        <v>0</v>
      </c>
      <c r="H2517" s="2" t="s">
        <v>8772</v>
      </c>
      <c r="I2517" s="2" t="s">
        <v>49</v>
      </c>
      <c r="J2517" s="2" t="s">
        <v>324</v>
      </c>
      <c r="K2517" s="2" t="s">
        <v>24</v>
      </c>
      <c r="L2517" s="13" t="s">
        <v>51</v>
      </c>
      <c r="M2517" s="2" t="s">
        <v>26</v>
      </c>
      <c r="N2517" s="24" t="s">
        <v>8793</v>
      </c>
      <c r="O2517" s="12" t="s">
        <v>53</v>
      </c>
      <c r="P2517" s="5" t="str">
        <f>IFERROR(__xludf.DUMMYFUNCTION("TEXTJOIN("" | "",TRUE,IF(OR(D2517="""",E2517="""",I2517="""",J2517="""",H2517=""""),""ফাঁকা ঘর"",""""),IF(AND(C2517&lt;&gt;"""",D2517&lt;&gt;"""",C2517=D2517),""gloss=figurative"",""""),IF(LEN(D2517)&lt;15,""figurative ছোট"",""""),IF(AND(I2517=""Positive"",REGEXMATCH(H2"&amp;"517,""মূর্খ|ভণ্ড|প্রতার|অলস|লোভ|স্বার্থ|অক্ষম|অযোগ্য|বোকা|কৃপণ|হিংস"")),""valence-target অমিল"",""""),IF(COUNTIF($B:$B,B2517)&gt;1,""ডুপ্লিকেট"",""""))"),"")</f>
        <v/>
      </c>
      <c r="Q2517" s="5" t="str">
        <f t="shared" si="1"/>
        <v>২ পরে</v>
      </c>
    </row>
    <row r="2518">
      <c r="A2518" s="4">
        <v>266.0</v>
      </c>
      <c r="B2518" s="2" t="s">
        <v>9864</v>
      </c>
      <c r="C2518" s="2" t="s">
        <v>9865</v>
      </c>
      <c r="D2518" s="2" t="s">
        <v>9866</v>
      </c>
      <c r="E2518" s="2" t="s">
        <v>9867</v>
      </c>
      <c r="F2518" s="2" t="b">
        <v>1</v>
      </c>
      <c r="G2518" s="2" t="b">
        <v>0</v>
      </c>
      <c r="H2518" s="2" t="s">
        <v>37</v>
      </c>
      <c r="I2518" s="2" t="s">
        <v>49</v>
      </c>
      <c r="J2518" s="2" t="s">
        <v>9301</v>
      </c>
      <c r="K2518" s="2" t="s">
        <v>24</v>
      </c>
      <c r="L2518" s="13" t="s">
        <v>51</v>
      </c>
      <c r="M2518" s="2" t="s">
        <v>26</v>
      </c>
      <c r="N2518" s="24" t="s">
        <v>8793</v>
      </c>
      <c r="O2518" s="12" t="s">
        <v>53</v>
      </c>
      <c r="P2518" s="5" t="str">
        <f>IFERROR(__xludf.DUMMYFUNCTION("TEXTJOIN("" | "",TRUE,IF(OR(D2518="""",E2518="""",I2518="""",J2518="""",H2518=""""),""ফাঁকা ঘর"",""""),IF(AND(C2518&lt;&gt;"""",D2518&lt;&gt;"""",C2518=D2518),""gloss=figurative"",""""),IF(LEN(D2518)&lt;15,""figurative ছোট"",""""),IF(AND(I2518=""Positive"",REGEXMATCH(H2"&amp;"518,""মূর্খ|ভণ্ড|প্রতার|অলস|লোভ|স্বার্থ|অক্ষম|অযোগ্য|বোকা|কৃপণ|হিংস"")),""valence-target অমিল"",""""),IF(COUNTIF($B:$B,B2518)&gt;1,""ডুপ্লিকেট"",""""))"),"")</f>
        <v/>
      </c>
      <c r="Q2518" s="5" t="str">
        <f t="shared" si="1"/>
        <v>২ পরে</v>
      </c>
    </row>
    <row r="2519">
      <c r="A2519" s="4">
        <v>267.0</v>
      </c>
      <c r="B2519" s="2" t="s">
        <v>9868</v>
      </c>
      <c r="C2519" s="2" t="s">
        <v>9869</v>
      </c>
      <c r="D2519" s="2" t="s">
        <v>9870</v>
      </c>
      <c r="E2519" s="2" t="s">
        <v>9871</v>
      </c>
      <c r="F2519" s="2" t="b">
        <v>1</v>
      </c>
      <c r="G2519" s="2" t="b">
        <v>0</v>
      </c>
      <c r="H2519" s="2" t="s">
        <v>9872</v>
      </c>
      <c r="I2519" s="2" t="s">
        <v>49</v>
      </c>
      <c r="J2519" s="2" t="s">
        <v>225</v>
      </c>
      <c r="K2519" s="2" t="s">
        <v>24</v>
      </c>
      <c r="L2519" s="13" t="s">
        <v>51</v>
      </c>
      <c r="M2519" s="2" t="s">
        <v>26</v>
      </c>
      <c r="N2519" s="24" t="s">
        <v>8793</v>
      </c>
      <c r="O2519" s="12" t="s">
        <v>53</v>
      </c>
      <c r="P2519" s="5" t="str">
        <f>IFERROR(__xludf.DUMMYFUNCTION("TEXTJOIN("" | "",TRUE,IF(OR(D2519="""",E2519="""",I2519="""",J2519="""",H2519=""""),""ফাঁকা ঘর"",""""),IF(AND(C2519&lt;&gt;"""",D2519&lt;&gt;"""",C2519=D2519),""gloss=figurative"",""""),IF(LEN(D2519)&lt;15,""figurative ছোট"",""""),IF(AND(I2519=""Positive"",REGEXMATCH(H2"&amp;"519,""মূর্খ|ভণ্ড|প্রতার|অলস|লোভ|স্বার্থ|অক্ষম|অযোগ্য|বোকা|কৃপণ|হিংস"")),""valence-target অমিল"",""""),IF(COUNTIF($B:$B,B2519)&gt;1,""ডুপ্লিকেট"",""""))"),"")</f>
        <v/>
      </c>
      <c r="Q2519" s="5" t="str">
        <f t="shared" si="1"/>
        <v>২ পরে</v>
      </c>
    </row>
    <row r="2520">
      <c r="A2520" s="4">
        <v>268.0</v>
      </c>
      <c r="B2520" s="2" t="s">
        <v>9873</v>
      </c>
      <c r="C2520" s="2" t="s">
        <v>9874</v>
      </c>
      <c r="D2520" s="2" t="s">
        <v>9875</v>
      </c>
      <c r="E2520" s="2" t="s">
        <v>9876</v>
      </c>
      <c r="F2520" s="2" t="b">
        <v>1</v>
      </c>
      <c r="G2520" s="2" t="b">
        <v>0</v>
      </c>
      <c r="H2520" s="2" t="s">
        <v>37</v>
      </c>
      <c r="I2520" s="2" t="s">
        <v>22</v>
      </c>
      <c r="J2520" s="2" t="s">
        <v>202</v>
      </c>
      <c r="K2520" s="2" t="s">
        <v>24</v>
      </c>
      <c r="L2520" s="13" t="s">
        <v>51</v>
      </c>
      <c r="M2520" s="2" t="s">
        <v>26</v>
      </c>
      <c r="N2520" s="24" t="s">
        <v>8793</v>
      </c>
      <c r="O2520" s="12" t="s">
        <v>53</v>
      </c>
      <c r="P2520" s="5" t="str">
        <f>IFERROR(__xludf.DUMMYFUNCTION("TEXTJOIN("" | "",TRUE,IF(OR(D2520="""",E2520="""",I2520="""",J2520="""",H2520=""""),""ফাঁকা ঘর"",""""),IF(AND(C2520&lt;&gt;"""",D2520&lt;&gt;"""",C2520=D2520),""gloss=figurative"",""""),IF(LEN(D2520)&lt;15,""figurative ছোট"",""""),IF(AND(I2520=""Positive"",REGEXMATCH(H2"&amp;"520,""মূর্খ|ভণ্ড|প্রতার|অলস|লোভ|স্বার্থ|অক্ষম|অযোগ্য|বোকা|কৃপণ|হিংস"")),""valence-target অমিল"",""""),IF(COUNTIF($B:$B,B2520)&gt;1,""ডুপ্লিকেট"",""""))"),"")</f>
        <v/>
      </c>
      <c r="Q2520" s="5" t="str">
        <f t="shared" si="1"/>
        <v>২ পরে</v>
      </c>
    </row>
    <row r="2521">
      <c r="A2521" s="4">
        <v>269.0</v>
      </c>
      <c r="B2521" s="2" t="s">
        <v>9877</v>
      </c>
      <c r="C2521" s="2" t="s">
        <v>9878</v>
      </c>
      <c r="D2521" s="2" t="s">
        <v>9879</v>
      </c>
      <c r="E2521" s="2" t="s">
        <v>9880</v>
      </c>
      <c r="F2521" s="2" t="b">
        <v>1</v>
      </c>
      <c r="G2521" s="2" t="b">
        <v>0</v>
      </c>
      <c r="H2521" s="2" t="s">
        <v>37</v>
      </c>
      <c r="I2521" s="2" t="s">
        <v>32</v>
      </c>
      <c r="J2521" s="2" t="s">
        <v>59</v>
      </c>
      <c r="K2521" s="2" t="s">
        <v>24</v>
      </c>
      <c r="L2521" s="13" t="s">
        <v>51</v>
      </c>
      <c r="M2521" s="2" t="s">
        <v>26</v>
      </c>
      <c r="N2521" s="24" t="s">
        <v>8793</v>
      </c>
      <c r="O2521" s="12" t="s">
        <v>53</v>
      </c>
      <c r="P2521" s="5" t="str">
        <f>IFERROR(__xludf.DUMMYFUNCTION("TEXTJOIN("" | "",TRUE,IF(OR(D2521="""",E2521="""",I2521="""",J2521="""",H2521=""""),""ফাঁকা ঘর"",""""),IF(AND(C2521&lt;&gt;"""",D2521&lt;&gt;"""",C2521=D2521),""gloss=figurative"",""""),IF(LEN(D2521)&lt;15,""figurative ছোট"",""""),IF(AND(I2521=""Positive"",REGEXMATCH(H2"&amp;"521,""মূর্খ|ভণ্ড|প্রতার|অলস|লোভ|স্বার্থ|অক্ষম|অযোগ্য|বোকা|কৃপণ|হিংস"")),""valence-target অমিল"",""""),IF(COUNTIF($B:$B,B2521)&gt;1,""ডুপ্লিকেট"",""""))"),"")</f>
        <v/>
      </c>
      <c r="Q2521" s="5" t="str">
        <f t="shared" si="1"/>
        <v>২ পরে</v>
      </c>
    </row>
    <row r="2522">
      <c r="A2522" s="4">
        <v>270.0</v>
      </c>
      <c r="B2522" s="2" t="s">
        <v>9881</v>
      </c>
      <c r="C2522" s="2" t="s">
        <v>9882</v>
      </c>
      <c r="D2522" s="2" t="s">
        <v>9883</v>
      </c>
      <c r="E2522" s="2" t="s">
        <v>9884</v>
      </c>
      <c r="F2522" s="2" t="b">
        <v>1</v>
      </c>
      <c r="G2522" s="2" t="b">
        <v>0</v>
      </c>
      <c r="H2522" s="2" t="s">
        <v>156</v>
      </c>
      <c r="I2522" s="2" t="s">
        <v>49</v>
      </c>
      <c r="J2522" s="2" t="s">
        <v>9885</v>
      </c>
      <c r="K2522" s="2" t="s">
        <v>24</v>
      </c>
      <c r="L2522" s="13" t="s">
        <v>51</v>
      </c>
      <c r="M2522" s="2" t="s">
        <v>26</v>
      </c>
      <c r="N2522" s="24" t="s">
        <v>8793</v>
      </c>
      <c r="O2522" s="12" t="s">
        <v>53</v>
      </c>
      <c r="P2522" s="5" t="str">
        <f>IFERROR(__xludf.DUMMYFUNCTION("TEXTJOIN("" | "",TRUE,IF(OR(D2522="""",E2522="""",I2522="""",J2522="""",H2522=""""),""ফাঁকা ঘর"",""""),IF(AND(C2522&lt;&gt;"""",D2522&lt;&gt;"""",C2522=D2522),""gloss=figurative"",""""),IF(LEN(D2522)&lt;15,""figurative ছোট"",""""),IF(AND(I2522=""Positive"",REGEXMATCH(H2"&amp;"522,""মূর্খ|ভণ্ড|প্রতার|অলস|লোভ|স্বার্থ|অক্ষম|অযোগ্য|বোকা|কৃপণ|হিংস"")),""valence-target অমিল"",""""),IF(COUNTIF($B:$B,B2522)&gt;1,""ডুপ্লিকেট"",""""))"),"")</f>
        <v/>
      </c>
      <c r="Q2522" s="5" t="str">
        <f t="shared" si="1"/>
        <v>২ পরে</v>
      </c>
    </row>
    <row r="2523">
      <c r="A2523" s="4">
        <v>271.0</v>
      </c>
      <c r="B2523" s="2" t="s">
        <v>9886</v>
      </c>
      <c r="C2523" s="2" t="s">
        <v>9887</v>
      </c>
      <c r="D2523" s="2" t="s">
        <v>9888</v>
      </c>
      <c r="E2523" s="2" t="s">
        <v>9889</v>
      </c>
      <c r="F2523" s="2" t="b">
        <v>1</v>
      </c>
      <c r="G2523" s="2" t="b">
        <v>0</v>
      </c>
      <c r="H2523" s="2" t="s">
        <v>9890</v>
      </c>
      <c r="I2523" s="2" t="s">
        <v>32</v>
      </c>
      <c r="J2523" s="2" t="s">
        <v>59</v>
      </c>
      <c r="K2523" s="2" t="s">
        <v>24</v>
      </c>
      <c r="L2523" s="13" t="s">
        <v>51</v>
      </c>
      <c r="M2523" s="2" t="s">
        <v>26</v>
      </c>
      <c r="P2523" s="5" t="str">
        <f>IFERROR(__xludf.DUMMYFUNCTION("TEXTJOIN("" | "",TRUE,IF(OR(D2523="""",E2523="""",I2523="""",J2523="""",H2523=""""),""ফাঁকা ঘর"",""""),IF(AND(C2523&lt;&gt;"""",D2523&lt;&gt;"""",C2523=D2523),""gloss=figurative"",""""),IF(LEN(D2523)&lt;15,""figurative ছোট"",""""),IF(AND(I2523=""Positive"",REGEXMATCH(H2"&amp;"523,""মূর্খ|ভণ্ড|প্রতার|অলস|লোভ|স্বার্থ|অক্ষম|অযোগ্য|বোকা|কৃপণ|হিংস"")),""valence-target অমিল"",""""),IF(COUNTIF($B:$B,B2523)&gt;1,""ডুপ্লিকেট"",""""))"),"")</f>
        <v/>
      </c>
      <c r="Q2523" s="5" t="str">
        <f t="shared" si="1"/>
        <v>২ পরে</v>
      </c>
    </row>
    <row r="2524">
      <c r="A2524" s="4">
        <v>272.0</v>
      </c>
      <c r="B2524" s="2" t="s">
        <v>9891</v>
      </c>
      <c r="C2524" s="2" t="s">
        <v>9892</v>
      </c>
      <c r="D2524" s="2" t="s">
        <v>9893</v>
      </c>
      <c r="E2524" s="2" t="s">
        <v>9894</v>
      </c>
      <c r="F2524" s="2" t="b">
        <v>1</v>
      </c>
      <c r="G2524" s="2" t="b">
        <v>0</v>
      </c>
      <c r="H2524" s="2" t="s">
        <v>37</v>
      </c>
      <c r="I2524" s="2" t="s">
        <v>49</v>
      </c>
      <c r="J2524" s="2" t="s">
        <v>9037</v>
      </c>
      <c r="K2524" s="2" t="s">
        <v>24</v>
      </c>
      <c r="L2524" s="13" t="s">
        <v>51</v>
      </c>
      <c r="M2524" s="2" t="s">
        <v>26</v>
      </c>
      <c r="P2524" s="5" t="str">
        <f>IFERROR(__xludf.DUMMYFUNCTION("TEXTJOIN("" | "",TRUE,IF(OR(D2524="""",E2524="""",I2524="""",J2524="""",H2524=""""),""ফাঁকা ঘর"",""""),IF(AND(C2524&lt;&gt;"""",D2524&lt;&gt;"""",C2524=D2524),""gloss=figurative"",""""),IF(LEN(D2524)&lt;15,""figurative ছোট"",""""),IF(AND(I2524=""Positive"",REGEXMATCH(H2"&amp;"524,""মূর্খ|ভণ্ড|প্রতার|অলস|লোভ|স্বার্থ|অক্ষম|অযোগ্য|বোকা|কৃপণ|হিংস"")),""valence-target অমিল"",""""),IF(COUNTIF($B:$B,B2524)&gt;1,""ডুপ্লিকেট"",""""))"),"")</f>
        <v/>
      </c>
      <c r="Q2524" s="5" t="str">
        <f t="shared" si="1"/>
        <v>২ পরে</v>
      </c>
    </row>
    <row r="2525">
      <c r="A2525" s="4">
        <v>273.0</v>
      </c>
      <c r="B2525" s="2" t="s">
        <v>9895</v>
      </c>
      <c r="C2525" s="2" t="s">
        <v>4768</v>
      </c>
      <c r="D2525" s="2" t="s">
        <v>9050</v>
      </c>
      <c r="E2525" s="2" t="s">
        <v>9896</v>
      </c>
      <c r="F2525" s="2" t="b">
        <v>1</v>
      </c>
      <c r="G2525" s="2" t="b">
        <v>0</v>
      </c>
      <c r="H2525" s="2" t="s">
        <v>37</v>
      </c>
      <c r="I2525" s="2" t="s">
        <v>32</v>
      </c>
      <c r="J2525" s="2" t="s">
        <v>9037</v>
      </c>
      <c r="K2525" s="2" t="s">
        <v>24</v>
      </c>
      <c r="L2525" s="13" t="s">
        <v>51</v>
      </c>
      <c r="M2525" s="2" t="s">
        <v>26</v>
      </c>
      <c r="P2525" s="5" t="str">
        <f>IFERROR(__xludf.DUMMYFUNCTION("TEXTJOIN("" | "",TRUE,IF(OR(D2525="""",E2525="""",I2525="""",J2525="""",H2525=""""),""ফাঁকা ঘর"",""""),IF(AND(C2525&lt;&gt;"""",D2525&lt;&gt;"""",C2525=D2525),""gloss=figurative"",""""),IF(LEN(D2525)&lt;15,""figurative ছোট"",""""),IF(AND(I2525=""Positive"",REGEXMATCH(H2"&amp;"525,""মূর্খ|ভণ্ড|প্রতার|অলস|লোভ|স্বার্থ|অক্ষম|অযোগ্য|বোকা|কৃপণ|হিংস"")),""valence-target অমিল"",""""),IF(COUNTIF($B:$B,B2525)&gt;1,""ডুপ্লিকেট"",""""))"),"")</f>
        <v/>
      </c>
      <c r="Q2525" s="5" t="str">
        <f t="shared" si="1"/>
        <v>২ পরে</v>
      </c>
    </row>
    <row r="2526">
      <c r="A2526" s="4">
        <v>274.0</v>
      </c>
      <c r="B2526" s="2" t="s">
        <v>9897</v>
      </c>
      <c r="C2526" s="2" t="s">
        <v>9898</v>
      </c>
      <c r="D2526" s="2" t="s">
        <v>9899</v>
      </c>
      <c r="E2526" s="2" t="s">
        <v>9900</v>
      </c>
      <c r="F2526" s="2" t="b">
        <v>1</v>
      </c>
      <c r="G2526" s="2" t="b">
        <v>0</v>
      </c>
      <c r="H2526" s="2" t="s">
        <v>8760</v>
      </c>
      <c r="I2526" s="2" t="s">
        <v>22</v>
      </c>
      <c r="J2526" s="2" t="s">
        <v>123</v>
      </c>
      <c r="K2526" s="2" t="s">
        <v>24</v>
      </c>
      <c r="L2526" s="13" t="s">
        <v>51</v>
      </c>
      <c r="M2526" s="2" t="s">
        <v>26</v>
      </c>
      <c r="P2526" s="5" t="str">
        <f>IFERROR(__xludf.DUMMYFUNCTION("TEXTJOIN("" | "",TRUE,IF(OR(D2526="""",E2526="""",I2526="""",J2526="""",H2526=""""),""ফাঁকা ঘর"",""""),IF(AND(C2526&lt;&gt;"""",D2526&lt;&gt;"""",C2526=D2526),""gloss=figurative"",""""),IF(LEN(D2526)&lt;15,""figurative ছোট"",""""),IF(AND(I2526=""Positive"",REGEXMATCH(H2"&amp;"526,""মূর্খ|ভণ্ড|প্রতার|অলস|লোভ|স্বার্থ|অক্ষম|অযোগ্য|বোকা|কৃপণ|হিংস"")),""valence-target অমিল"",""""),IF(COUNTIF($B:$B,B2526)&gt;1,""ডুপ্লিকেট"",""""))"),"")</f>
        <v/>
      </c>
      <c r="Q2526" s="5" t="str">
        <f t="shared" si="1"/>
        <v>২ পরে</v>
      </c>
    </row>
    <row r="2527">
      <c r="A2527" s="4">
        <v>275.0</v>
      </c>
      <c r="B2527" s="2" t="s">
        <v>9901</v>
      </c>
      <c r="C2527" s="2" t="s">
        <v>9902</v>
      </c>
      <c r="D2527" s="2" t="s">
        <v>9903</v>
      </c>
      <c r="E2527" s="2" t="s">
        <v>9904</v>
      </c>
      <c r="F2527" s="2" t="b">
        <v>1</v>
      </c>
      <c r="G2527" s="2" t="b">
        <v>0</v>
      </c>
      <c r="H2527" s="2" t="s">
        <v>37</v>
      </c>
      <c r="I2527" s="2" t="s">
        <v>22</v>
      </c>
      <c r="J2527" s="2" t="s">
        <v>3694</v>
      </c>
      <c r="K2527" s="2" t="s">
        <v>24</v>
      </c>
      <c r="L2527" s="13" t="s">
        <v>51</v>
      </c>
      <c r="M2527" s="2" t="s">
        <v>26</v>
      </c>
      <c r="P2527" s="5" t="str">
        <f>IFERROR(__xludf.DUMMYFUNCTION("TEXTJOIN("" | "",TRUE,IF(OR(D2527="""",E2527="""",I2527="""",J2527="""",H2527=""""),""ফাঁকা ঘর"",""""),IF(AND(C2527&lt;&gt;"""",D2527&lt;&gt;"""",C2527=D2527),""gloss=figurative"",""""),IF(LEN(D2527)&lt;15,""figurative ছোট"",""""),IF(AND(I2527=""Positive"",REGEXMATCH(H2"&amp;"527,""মূর্খ|ভণ্ড|প্রতার|অলস|লোভ|স্বার্থ|অক্ষম|অযোগ্য|বোকা|কৃপণ|হিংস"")),""valence-target অমিল"",""""),IF(COUNTIF($B:$B,B2527)&gt;1,""ডুপ্লিকেট"",""""))"),"")</f>
        <v/>
      </c>
      <c r="Q2527" s="5" t="str">
        <f t="shared" si="1"/>
        <v>২ পরে</v>
      </c>
    </row>
    <row r="2528">
      <c r="A2528" s="4">
        <v>276.0</v>
      </c>
      <c r="B2528" s="2" t="s">
        <v>9905</v>
      </c>
      <c r="C2528" s="2" t="s">
        <v>9906</v>
      </c>
      <c r="D2528" s="2" t="s">
        <v>9903</v>
      </c>
      <c r="E2528" s="2" t="s">
        <v>9907</v>
      </c>
      <c r="F2528" s="2" t="b">
        <v>1</v>
      </c>
      <c r="G2528" s="2" t="b">
        <v>0</v>
      </c>
      <c r="H2528" s="2" t="s">
        <v>37</v>
      </c>
      <c r="I2528" s="2" t="s">
        <v>22</v>
      </c>
      <c r="J2528" s="2" t="s">
        <v>3694</v>
      </c>
      <c r="K2528" s="2" t="s">
        <v>24</v>
      </c>
      <c r="L2528" s="13" t="s">
        <v>51</v>
      </c>
      <c r="M2528" s="2" t="s">
        <v>26</v>
      </c>
      <c r="P2528" s="5" t="str">
        <f>IFERROR(__xludf.DUMMYFUNCTION("TEXTJOIN("" | "",TRUE,IF(OR(D2528="""",E2528="""",I2528="""",J2528="""",H2528=""""),""ফাঁকা ঘর"",""""),IF(AND(C2528&lt;&gt;"""",D2528&lt;&gt;"""",C2528=D2528),""gloss=figurative"",""""),IF(LEN(D2528)&lt;15,""figurative ছোট"",""""),IF(AND(I2528=""Positive"",REGEXMATCH(H2"&amp;"528,""মূর্খ|ভণ্ড|প্রতার|অলস|লোভ|স্বার্থ|অক্ষম|অযোগ্য|বোকা|কৃপণ|হিংস"")),""valence-target অমিল"",""""),IF(COUNTIF($B:$B,B2528)&gt;1,""ডুপ্লিকেট"",""""))"),"")</f>
        <v/>
      </c>
      <c r="Q2528" s="5" t="str">
        <f t="shared" si="1"/>
        <v>২ পরে</v>
      </c>
    </row>
    <row r="2529">
      <c r="A2529" s="4">
        <v>277.0</v>
      </c>
      <c r="B2529" s="2" t="s">
        <v>9908</v>
      </c>
      <c r="C2529" s="2" t="s">
        <v>9909</v>
      </c>
      <c r="D2529" s="2" t="s">
        <v>9910</v>
      </c>
      <c r="E2529" s="2" t="s">
        <v>9911</v>
      </c>
      <c r="F2529" s="2" t="b">
        <v>1</v>
      </c>
      <c r="G2529" s="2" t="b">
        <v>0</v>
      </c>
      <c r="H2529" s="2" t="s">
        <v>5067</v>
      </c>
      <c r="I2529" s="2" t="s">
        <v>22</v>
      </c>
      <c r="J2529" s="2" t="s">
        <v>59</v>
      </c>
      <c r="K2529" s="2" t="s">
        <v>24</v>
      </c>
      <c r="L2529" s="13" t="s">
        <v>51</v>
      </c>
      <c r="M2529" s="2" t="s">
        <v>26</v>
      </c>
      <c r="P2529" s="5" t="str">
        <f>IFERROR(__xludf.DUMMYFUNCTION("TEXTJOIN("" | "",TRUE,IF(OR(D2529="""",E2529="""",I2529="""",J2529="""",H2529=""""),""ফাঁকা ঘর"",""""),IF(AND(C2529&lt;&gt;"""",D2529&lt;&gt;"""",C2529=D2529),""gloss=figurative"",""""),IF(LEN(D2529)&lt;15,""figurative ছোট"",""""),IF(AND(I2529=""Positive"",REGEXMATCH(H2"&amp;"529,""মূর্খ|ভণ্ড|প্রতার|অলস|লোভ|স্বার্থ|অক্ষম|অযোগ্য|বোকা|কৃপণ|হিংস"")),""valence-target অমিল"",""""),IF(COUNTIF($B:$B,B2529)&gt;1,""ডুপ্লিকেট"",""""))"),"")</f>
        <v/>
      </c>
      <c r="Q2529" s="5" t="str">
        <f t="shared" si="1"/>
        <v>২ পরে</v>
      </c>
    </row>
    <row r="2530">
      <c r="A2530" s="4">
        <v>278.0</v>
      </c>
      <c r="B2530" s="2" t="s">
        <v>9912</v>
      </c>
      <c r="C2530" s="2" t="s">
        <v>9913</v>
      </c>
      <c r="D2530" s="2" t="s">
        <v>9910</v>
      </c>
      <c r="E2530" s="2" t="s">
        <v>9914</v>
      </c>
      <c r="F2530" s="2" t="b">
        <v>1</v>
      </c>
      <c r="G2530" s="2" t="b">
        <v>0</v>
      </c>
      <c r="H2530" s="2" t="s">
        <v>5067</v>
      </c>
      <c r="I2530" s="2" t="s">
        <v>22</v>
      </c>
      <c r="J2530" s="2" t="s">
        <v>59</v>
      </c>
      <c r="K2530" s="2" t="s">
        <v>24</v>
      </c>
      <c r="L2530" s="13" t="s">
        <v>51</v>
      </c>
      <c r="M2530" s="2" t="s">
        <v>26</v>
      </c>
      <c r="P2530" s="5" t="str">
        <f>IFERROR(__xludf.DUMMYFUNCTION("TEXTJOIN("" | "",TRUE,IF(OR(D2530="""",E2530="""",I2530="""",J2530="""",H2530=""""),""ফাঁকা ঘর"",""""),IF(AND(C2530&lt;&gt;"""",D2530&lt;&gt;"""",C2530=D2530),""gloss=figurative"",""""),IF(LEN(D2530)&lt;15,""figurative ছোট"",""""),IF(AND(I2530=""Positive"",REGEXMATCH(H2"&amp;"530,""মূর্খ|ভণ্ড|প্রতার|অলস|লোভ|স্বার্থ|অক্ষম|অযোগ্য|বোকা|কৃপণ|হিংস"")),""valence-target অমিল"",""""),IF(COUNTIF($B:$B,B2530)&gt;1,""ডুপ্লিকেট"",""""))"),"")</f>
        <v/>
      </c>
      <c r="Q2530" s="5" t="str">
        <f t="shared" si="1"/>
        <v>২ পরে</v>
      </c>
    </row>
    <row r="2531">
      <c r="A2531" s="4">
        <v>279.0</v>
      </c>
      <c r="B2531" s="2" t="s">
        <v>9915</v>
      </c>
      <c r="C2531" s="2" t="s">
        <v>9916</v>
      </c>
      <c r="D2531" s="2" t="s">
        <v>9917</v>
      </c>
      <c r="E2531" s="2" t="s">
        <v>9918</v>
      </c>
      <c r="F2531" s="2" t="b">
        <v>1</v>
      </c>
      <c r="G2531" s="2" t="b">
        <v>0</v>
      </c>
      <c r="H2531" s="2" t="s">
        <v>37</v>
      </c>
      <c r="I2531" s="2" t="s">
        <v>32</v>
      </c>
      <c r="J2531" s="2" t="s">
        <v>265</v>
      </c>
      <c r="K2531" s="2" t="s">
        <v>24</v>
      </c>
      <c r="L2531" s="13" t="s">
        <v>51</v>
      </c>
      <c r="M2531" s="2" t="s">
        <v>26</v>
      </c>
      <c r="P2531" s="5" t="str">
        <f>IFERROR(__xludf.DUMMYFUNCTION("TEXTJOIN("" | "",TRUE,IF(OR(D2531="""",E2531="""",I2531="""",J2531="""",H2531=""""),""ফাঁকা ঘর"",""""),IF(AND(C2531&lt;&gt;"""",D2531&lt;&gt;"""",C2531=D2531),""gloss=figurative"",""""),IF(LEN(D2531)&lt;15,""figurative ছোট"",""""),IF(AND(I2531=""Positive"",REGEXMATCH(H2"&amp;"531,""মূর্খ|ভণ্ড|প্রতার|অলস|লোভ|স্বার্থ|অক্ষম|অযোগ্য|বোকা|কৃপণ|হিংস"")),""valence-target অমিল"",""""),IF(COUNTIF($B:$B,B2531)&gt;1,""ডুপ্লিকেট"",""""))"),"")</f>
        <v/>
      </c>
      <c r="Q2531" s="5" t="str">
        <f t="shared" si="1"/>
        <v>২ পরে</v>
      </c>
    </row>
    <row r="2532">
      <c r="A2532" s="4">
        <v>280.0</v>
      </c>
      <c r="B2532" s="2" t="s">
        <v>9919</v>
      </c>
      <c r="C2532" s="2" t="s">
        <v>9920</v>
      </c>
      <c r="D2532" s="2" t="s">
        <v>9921</v>
      </c>
      <c r="E2532" s="2" t="s">
        <v>9922</v>
      </c>
      <c r="F2532" s="2" t="b">
        <v>1</v>
      </c>
      <c r="G2532" s="2" t="b">
        <v>0</v>
      </c>
      <c r="H2532" s="2" t="s">
        <v>9923</v>
      </c>
      <c r="I2532" s="2" t="s">
        <v>22</v>
      </c>
      <c r="J2532" s="2" t="s">
        <v>59</v>
      </c>
      <c r="K2532" s="2" t="s">
        <v>24</v>
      </c>
      <c r="L2532" s="13" t="s">
        <v>51</v>
      </c>
      <c r="M2532" s="2" t="s">
        <v>26</v>
      </c>
      <c r="P2532" s="5" t="str">
        <f>IFERROR(__xludf.DUMMYFUNCTION("TEXTJOIN("" | "",TRUE,IF(OR(D2532="""",E2532="""",I2532="""",J2532="""",H2532=""""),""ফাঁকা ঘর"",""""),IF(AND(C2532&lt;&gt;"""",D2532&lt;&gt;"""",C2532=D2532),""gloss=figurative"",""""),IF(LEN(D2532)&lt;15,""figurative ছোট"",""""),IF(AND(I2532=""Positive"",REGEXMATCH(H2"&amp;"532,""মূর্খ|ভণ্ড|প্রতার|অলস|লোভ|স্বার্থ|অক্ষম|অযোগ্য|বোকা|কৃপণ|হিংস"")),""valence-target অমিল"",""""),IF(COUNTIF($B:$B,B2532)&gt;1,""ডুপ্লিকেট"",""""))"),"")</f>
        <v/>
      </c>
      <c r="Q2532" s="5" t="str">
        <f t="shared" si="1"/>
        <v>২ পরে</v>
      </c>
    </row>
    <row r="2533">
      <c r="A2533" s="4">
        <v>281.0</v>
      </c>
      <c r="B2533" s="2" t="s">
        <v>9924</v>
      </c>
      <c r="C2533" s="2" t="s">
        <v>9925</v>
      </c>
      <c r="D2533" s="2" t="s">
        <v>9926</v>
      </c>
      <c r="E2533" s="2" t="s">
        <v>9927</v>
      </c>
      <c r="F2533" s="2" t="b">
        <v>1</v>
      </c>
      <c r="G2533" s="2" t="b">
        <v>0</v>
      </c>
      <c r="H2533" s="2" t="s">
        <v>189</v>
      </c>
      <c r="I2533" s="2" t="s">
        <v>22</v>
      </c>
      <c r="J2533" s="2" t="s">
        <v>59</v>
      </c>
      <c r="K2533" s="2" t="s">
        <v>24</v>
      </c>
      <c r="L2533" s="13" t="s">
        <v>51</v>
      </c>
      <c r="M2533" s="2" t="s">
        <v>26</v>
      </c>
      <c r="P2533" s="5" t="str">
        <f>IFERROR(__xludf.DUMMYFUNCTION("TEXTJOIN("" | "",TRUE,IF(OR(D2533="""",E2533="""",I2533="""",J2533="""",H2533=""""),""ফাঁকা ঘর"",""""),IF(AND(C2533&lt;&gt;"""",D2533&lt;&gt;"""",C2533=D2533),""gloss=figurative"",""""),IF(LEN(D2533)&lt;15,""figurative ছোট"",""""),IF(AND(I2533=""Positive"",REGEXMATCH(H2"&amp;"533,""মূর্খ|ভণ্ড|প্রতার|অলস|লোভ|স্বার্থ|অক্ষম|অযোগ্য|বোকা|কৃপণ|হিংস"")),""valence-target অমিল"",""""),IF(COUNTIF($B:$B,B2533)&gt;1,""ডুপ্লিকেট"",""""))"),"")</f>
        <v/>
      </c>
      <c r="Q2533" s="5" t="str">
        <f t="shared" si="1"/>
        <v>২ পরে</v>
      </c>
    </row>
    <row r="2534">
      <c r="A2534" s="4">
        <v>282.0</v>
      </c>
      <c r="B2534" s="2" t="s">
        <v>9928</v>
      </c>
      <c r="C2534" s="2" t="s">
        <v>1550</v>
      </c>
      <c r="D2534" s="2" t="s">
        <v>9929</v>
      </c>
      <c r="E2534" s="2" t="s">
        <v>9930</v>
      </c>
      <c r="F2534" s="2" t="b">
        <v>1</v>
      </c>
      <c r="G2534" s="2" t="b">
        <v>0</v>
      </c>
      <c r="H2534" s="2" t="s">
        <v>9486</v>
      </c>
      <c r="I2534" s="2" t="s">
        <v>49</v>
      </c>
      <c r="J2534" s="2" t="s">
        <v>190</v>
      </c>
      <c r="K2534" s="2" t="s">
        <v>24</v>
      </c>
      <c r="L2534" s="13" t="s">
        <v>51</v>
      </c>
      <c r="M2534" s="2" t="s">
        <v>26</v>
      </c>
      <c r="P2534" s="5" t="str">
        <f>IFERROR(__xludf.DUMMYFUNCTION("TEXTJOIN("" | "",TRUE,IF(OR(D2534="""",E2534="""",I2534="""",J2534="""",H2534=""""),""ফাঁকা ঘর"",""""),IF(AND(C2534&lt;&gt;"""",D2534&lt;&gt;"""",C2534=D2534),""gloss=figurative"",""""),IF(LEN(D2534)&lt;15,""figurative ছোট"",""""),IF(AND(I2534=""Positive"",REGEXMATCH(H2"&amp;"534,""মূর্খ|ভণ্ড|প্রতার|অলস|লোভ|স্বার্থ|অক্ষম|অযোগ্য|বোকা|কৃপণ|হিংস"")),""valence-target অমিল"",""""),IF(COUNTIF($B:$B,B2534)&gt;1,""ডুপ্লিকেট"",""""))"),"")</f>
        <v/>
      </c>
      <c r="Q2534" s="5" t="str">
        <f t="shared" si="1"/>
        <v>২ পরে</v>
      </c>
    </row>
    <row r="2535">
      <c r="A2535" s="4">
        <v>283.0</v>
      </c>
      <c r="B2535" s="2" t="s">
        <v>9931</v>
      </c>
      <c r="C2535" s="2" t="s">
        <v>9932</v>
      </c>
      <c r="D2535" s="2" t="s">
        <v>9611</v>
      </c>
      <c r="E2535" s="2" t="s">
        <v>9933</v>
      </c>
      <c r="F2535" s="2" t="b">
        <v>1</v>
      </c>
      <c r="G2535" s="2" t="b">
        <v>0</v>
      </c>
      <c r="H2535" s="2" t="s">
        <v>37</v>
      </c>
      <c r="I2535" s="2" t="s">
        <v>32</v>
      </c>
      <c r="J2535" s="2" t="s">
        <v>739</v>
      </c>
      <c r="K2535" s="2" t="s">
        <v>24</v>
      </c>
      <c r="L2535" s="13" t="s">
        <v>51</v>
      </c>
      <c r="M2535" s="2" t="s">
        <v>26</v>
      </c>
      <c r="P2535" s="5" t="str">
        <f>IFERROR(__xludf.DUMMYFUNCTION("TEXTJOIN("" | "",TRUE,IF(OR(D2535="""",E2535="""",I2535="""",J2535="""",H2535=""""),""ফাঁকা ঘর"",""""),IF(AND(C2535&lt;&gt;"""",D2535&lt;&gt;"""",C2535=D2535),""gloss=figurative"",""""),IF(LEN(D2535)&lt;15,""figurative ছোট"",""""),IF(AND(I2535=""Positive"",REGEXMATCH(H2"&amp;"535,""মূর্খ|ভণ্ড|প্রতার|অলস|লোভ|স্বার্থ|অক্ষম|অযোগ্য|বোকা|কৃপণ|হিংস"")),""valence-target অমিল"",""""),IF(COUNTIF($B:$B,B2535)&gt;1,""ডুপ্লিকেট"",""""))"),"")</f>
        <v/>
      </c>
      <c r="Q2535" s="5" t="str">
        <f t="shared" si="1"/>
        <v>২ পরে</v>
      </c>
    </row>
    <row r="2536">
      <c r="A2536" s="4">
        <v>284.0</v>
      </c>
      <c r="B2536" s="2" t="s">
        <v>9934</v>
      </c>
      <c r="C2536" s="2" t="s">
        <v>9935</v>
      </c>
      <c r="D2536" s="2" t="s">
        <v>9936</v>
      </c>
      <c r="E2536" s="2" t="s">
        <v>9937</v>
      </c>
      <c r="F2536" s="2" t="b">
        <v>1</v>
      </c>
      <c r="G2536" s="2" t="b">
        <v>0</v>
      </c>
      <c r="H2536" s="2" t="s">
        <v>65</v>
      </c>
      <c r="I2536" s="2" t="s">
        <v>22</v>
      </c>
      <c r="J2536" s="2" t="s">
        <v>123</v>
      </c>
      <c r="K2536" s="2" t="s">
        <v>24</v>
      </c>
      <c r="L2536" s="13" t="s">
        <v>51</v>
      </c>
      <c r="M2536" s="2" t="s">
        <v>26</v>
      </c>
      <c r="P2536" s="5" t="str">
        <f>IFERROR(__xludf.DUMMYFUNCTION("TEXTJOIN("" | "",TRUE,IF(OR(D2536="""",E2536="""",I2536="""",J2536="""",H2536=""""),""ফাঁকা ঘর"",""""),IF(AND(C2536&lt;&gt;"""",D2536&lt;&gt;"""",C2536=D2536),""gloss=figurative"",""""),IF(LEN(D2536)&lt;15,""figurative ছোট"",""""),IF(AND(I2536=""Positive"",REGEXMATCH(H2"&amp;"536,""মূর্খ|ভণ্ড|প্রতার|অলস|লোভ|স্বার্থ|অক্ষম|অযোগ্য|বোকা|কৃপণ|হিংস"")),""valence-target অমিল"",""""),IF(COUNTIF($B:$B,B2536)&gt;1,""ডুপ্লিকেট"",""""))"),"")</f>
        <v/>
      </c>
      <c r="Q2536" s="5" t="str">
        <f t="shared" si="1"/>
        <v>২ পরে</v>
      </c>
    </row>
    <row r="2537">
      <c r="A2537" s="4">
        <v>285.0</v>
      </c>
      <c r="B2537" s="2" t="s">
        <v>9938</v>
      </c>
      <c r="C2537" s="2" t="s">
        <v>9939</v>
      </c>
      <c r="D2537" s="2" t="s">
        <v>9940</v>
      </c>
      <c r="E2537" s="2" t="s">
        <v>9941</v>
      </c>
      <c r="F2537" s="2" t="b">
        <v>1</v>
      </c>
      <c r="G2537" s="2" t="b">
        <v>0</v>
      </c>
      <c r="H2537" s="2" t="s">
        <v>9942</v>
      </c>
      <c r="I2537" s="2" t="s">
        <v>32</v>
      </c>
      <c r="J2537" s="2" t="s">
        <v>9943</v>
      </c>
      <c r="K2537" s="2" t="s">
        <v>24</v>
      </c>
      <c r="L2537" s="13" t="s">
        <v>51</v>
      </c>
      <c r="M2537" s="2" t="s">
        <v>26</v>
      </c>
      <c r="P2537" s="5" t="str">
        <f>IFERROR(__xludf.DUMMYFUNCTION("TEXTJOIN("" | "",TRUE,IF(OR(D2537="""",E2537="""",I2537="""",J2537="""",H2537=""""),""ফাঁকা ঘর"",""""),IF(AND(C2537&lt;&gt;"""",D2537&lt;&gt;"""",C2537=D2537),""gloss=figurative"",""""),IF(LEN(D2537)&lt;15,""figurative ছোট"",""""),IF(AND(I2537=""Positive"",REGEXMATCH(H2"&amp;"537,""মূর্খ|ভণ্ড|প্রতার|অলস|লোভ|স্বার্থ|অক্ষম|অযোগ্য|বোকা|কৃপণ|হিংস"")),""valence-target অমিল"",""""),IF(COUNTIF($B:$B,B2537)&gt;1,""ডুপ্লিকেট"",""""))"),"")</f>
        <v/>
      </c>
      <c r="Q2537" s="5" t="str">
        <f t="shared" si="1"/>
        <v>২ পরে</v>
      </c>
    </row>
    <row r="2538">
      <c r="A2538" s="4">
        <v>286.0</v>
      </c>
      <c r="B2538" s="2" t="s">
        <v>9944</v>
      </c>
      <c r="C2538" s="2" t="s">
        <v>9945</v>
      </c>
      <c r="D2538" s="2" t="s">
        <v>9946</v>
      </c>
      <c r="E2538" s="2" t="s">
        <v>9947</v>
      </c>
      <c r="F2538" s="2" t="b">
        <v>1</v>
      </c>
      <c r="G2538" s="2" t="b">
        <v>0</v>
      </c>
      <c r="H2538" s="2" t="s">
        <v>21</v>
      </c>
      <c r="I2538" s="2" t="s">
        <v>22</v>
      </c>
      <c r="J2538" s="2" t="s">
        <v>9321</v>
      </c>
      <c r="K2538" s="2" t="s">
        <v>24</v>
      </c>
      <c r="L2538" s="13" t="s">
        <v>51</v>
      </c>
      <c r="M2538" s="2" t="s">
        <v>26</v>
      </c>
      <c r="P2538" s="5" t="str">
        <f>IFERROR(__xludf.DUMMYFUNCTION("TEXTJOIN("" | "",TRUE,IF(OR(D2538="""",E2538="""",I2538="""",J2538="""",H2538=""""),""ফাঁকা ঘর"",""""),IF(AND(C2538&lt;&gt;"""",D2538&lt;&gt;"""",C2538=D2538),""gloss=figurative"",""""),IF(LEN(D2538)&lt;15,""figurative ছোট"",""""),IF(AND(I2538=""Positive"",REGEXMATCH(H2"&amp;"538,""মূর্খ|ভণ্ড|প্রতার|অলস|লোভ|স্বার্থ|অক্ষম|অযোগ্য|বোকা|কৃপণ|হিংস"")),""valence-target অমিল"",""""),IF(COUNTIF($B:$B,B2538)&gt;1,""ডুপ্লিকেট"",""""))"),"")</f>
        <v/>
      </c>
      <c r="Q2538" s="5" t="str">
        <f t="shared" si="1"/>
        <v>২ পরে</v>
      </c>
    </row>
    <row r="2539">
      <c r="A2539" s="4">
        <v>287.0</v>
      </c>
      <c r="B2539" s="2" t="s">
        <v>9948</v>
      </c>
      <c r="C2539" s="2" t="s">
        <v>9949</v>
      </c>
      <c r="D2539" s="2" t="s">
        <v>9950</v>
      </c>
      <c r="E2539" s="2" t="s">
        <v>9951</v>
      </c>
      <c r="F2539" s="2" t="b">
        <v>1</v>
      </c>
      <c r="G2539" s="2" t="b">
        <v>0</v>
      </c>
      <c r="H2539" s="2" t="s">
        <v>37</v>
      </c>
      <c r="I2539" s="2" t="s">
        <v>22</v>
      </c>
      <c r="J2539" s="2" t="s">
        <v>286</v>
      </c>
      <c r="K2539" s="2" t="s">
        <v>24</v>
      </c>
      <c r="L2539" s="13" t="s">
        <v>51</v>
      </c>
      <c r="M2539" s="2" t="s">
        <v>26</v>
      </c>
      <c r="P2539" s="5" t="str">
        <f>IFERROR(__xludf.DUMMYFUNCTION("TEXTJOIN("" | "",TRUE,IF(OR(D2539="""",E2539="""",I2539="""",J2539="""",H2539=""""),""ফাঁকা ঘর"",""""),IF(AND(C2539&lt;&gt;"""",D2539&lt;&gt;"""",C2539=D2539),""gloss=figurative"",""""),IF(LEN(D2539)&lt;15,""figurative ছোট"",""""),IF(AND(I2539=""Positive"",REGEXMATCH(H2"&amp;"539,""মূর্খ|ভণ্ড|প্রতার|অলস|লোভ|স্বার্থ|অক্ষম|অযোগ্য|বোকা|কৃপণ|হিংস"")),""valence-target অমিল"",""""),IF(COUNTIF($B:$B,B2539)&gt;1,""ডুপ্লিকেট"",""""))"),"")</f>
        <v/>
      </c>
      <c r="Q2539" s="5" t="str">
        <f t="shared" si="1"/>
        <v>২ পরে</v>
      </c>
    </row>
    <row r="2540">
      <c r="A2540" s="4">
        <v>288.0</v>
      </c>
      <c r="B2540" s="2" t="s">
        <v>9952</v>
      </c>
      <c r="C2540" s="2" t="s">
        <v>9528</v>
      </c>
      <c r="D2540" s="2" t="s">
        <v>9529</v>
      </c>
      <c r="E2540" s="2" t="s">
        <v>9953</v>
      </c>
      <c r="F2540" s="2" t="b">
        <v>1</v>
      </c>
      <c r="G2540" s="2" t="b">
        <v>0</v>
      </c>
      <c r="H2540" s="2" t="s">
        <v>189</v>
      </c>
      <c r="I2540" s="2" t="s">
        <v>22</v>
      </c>
      <c r="J2540" s="2" t="s">
        <v>59</v>
      </c>
      <c r="K2540" s="2" t="s">
        <v>24</v>
      </c>
      <c r="L2540" s="13" t="s">
        <v>51</v>
      </c>
      <c r="M2540" s="2" t="s">
        <v>26</v>
      </c>
      <c r="P2540" s="5" t="str">
        <f>IFERROR(__xludf.DUMMYFUNCTION("TEXTJOIN("" | "",TRUE,IF(OR(D2540="""",E2540="""",I2540="""",J2540="""",H2540=""""),""ফাঁকা ঘর"",""""),IF(AND(C2540&lt;&gt;"""",D2540&lt;&gt;"""",C2540=D2540),""gloss=figurative"",""""),IF(LEN(D2540)&lt;15,""figurative ছোট"",""""),IF(AND(I2540=""Positive"",REGEXMATCH(H2"&amp;"540,""মূর্খ|ভণ্ড|প্রতার|অলস|লোভ|স্বার্থ|অক্ষম|অযোগ্য|বোকা|কৃপণ|হিংস"")),""valence-target অমিল"",""""),IF(COUNTIF($B:$B,B2540)&gt;1,""ডুপ্লিকেট"",""""))"),"")</f>
        <v/>
      </c>
      <c r="Q2540" s="5" t="str">
        <f t="shared" si="1"/>
        <v>২ পরে</v>
      </c>
    </row>
    <row r="2541">
      <c r="A2541" s="4">
        <v>289.0</v>
      </c>
      <c r="B2541" s="2" t="s">
        <v>9954</v>
      </c>
      <c r="C2541" s="2" t="s">
        <v>9955</v>
      </c>
      <c r="D2541" s="2" t="s">
        <v>9956</v>
      </c>
      <c r="E2541" s="2" t="s">
        <v>9957</v>
      </c>
      <c r="F2541" s="2" t="b">
        <v>1</v>
      </c>
      <c r="G2541" s="2" t="b">
        <v>0</v>
      </c>
      <c r="H2541" s="2" t="s">
        <v>308</v>
      </c>
      <c r="I2541" s="2" t="s">
        <v>22</v>
      </c>
      <c r="J2541" s="2" t="s">
        <v>59</v>
      </c>
      <c r="K2541" s="2" t="s">
        <v>24</v>
      </c>
      <c r="L2541" s="13" t="s">
        <v>51</v>
      </c>
      <c r="M2541" s="2" t="s">
        <v>26</v>
      </c>
      <c r="P2541" s="5" t="str">
        <f>IFERROR(__xludf.DUMMYFUNCTION("TEXTJOIN("" | "",TRUE,IF(OR(D2541="""",E2541="""",I2541="""",J2541="""",H2541=""""),""ফাঁকা ঘর"",""""),IF(AND(C2541&lt;&gt;"""",D2541&lt;&gt;"""",C2541=D2541),""gloss=figurative"",""""),IF(LEN(D2541)&lt;15,""figurative ছোট"",""""),IF(AND(I2541=""Positive"",REGEXMATCH(H2"&amp;"541,""মূর্খ|ভণ্ড|প্রতার|অলস|লোভ|স্বার্থ|অক্ষম|অযোগ্য|বোকা|কৃপণ|হিংস"")),""valence-target অমিল"",""""),IF(COUNTIF($B:$B,B2541)&gt;1,""ডুপ্লিকেট"",""""))"),"")</f>
        <v/>
      </c>
      <c r="Q2541" s="5" t="str">
        <f t="shared" si="1"/>
        <v>২ পরে</v>
      </c>
    </row>
    <row r="2542">
      <c r="A2542" s="4">
        <v>290.0</v>
      </c>
      <c r="B2542" s="2" t="s">
        <v>9958</v>
      </c>
      <c r="C2542" s="2" t="s">
        <v>9959</v>
      </c>
      <c r="D2542" s="2" t="s">
        <v>9956</v>
      </c>
      <c r="E2542" s="2" t="s">
        <v>9960</v>
      </c>
      <c r="F2542" s="2" t="b">
        <v>1</v>
      </c>
      <c r="G2542" s="2" t="b">
        <v>0</v>
      </c>
      <c r="H2542" s="2" t="s">
        <v>308</v>
      </c>
      <c r="I2542" s="2" t="s">
        <v>22</v>
      </c>
      <c r="J2542" s="2" t="s">
        <v>59</v>
      </c>
      <c r="K2542" s="2" t="s">
        <v>24</v>
      </c>
      <c r="L2542" s="13" t="s">
        <v>51</v>
      </c>
      <c r="M2542" s="2" t="s">
        <v>26</v>
      </c>
      <c r="P2542" s="5" t="str">
        <f>IFERROR(__xludf.DUMMYFUNCTION("TEXTJOIN("" | "",TRUE,IF(OR(D2542="""",E2542="""",I2542="""",J2542="""",H2542=""""),""ফাঁকা ঘর"",""""),IF(AND(C2542&lt;&gt;"""",D2542&lt;&gt;"""",C2542=D2542),""gloss=figurative"",""""),IF(LEN(D2542)&lt;15,""figurative ছোট"",""""),IF(AND(I2542=""Positive"",REGEXMATCH(H2"&amp;"542,""মূর্খ|ভণ্ড|প্রতার|অলস|লোভ|স্বার্থ|অক্ষম|অযোগ্য|বোকা|কৃপণ|হিংস"")),""valence-target অমিল"",""""),IF(COUNTIF($B:$B,B2542)&gt;1,""ডুপ্লিকেট"",""""))"),"")</f>
        <v/>
      </c>
      <c r="Q2542" s="5" t="str">
        <f t="shared" si="1"/>
        <v>২ পরে</v>
      </c>
    </row>
    <row r="2543">
      <c r="A2543" s="4">
        <v>291.0</v>
      </c>
      <c r="B2543" s="2" t="s">
        <v>9961</v>
      </c>
      <c r="C2543" s="2" t="s">
        <v>9962</v>
      </c>
      <c r="D2543" s="2" t="s">
        <v>9963</v>
      </c>
      <c r="E2543" s="2" t="s">
        <v>9964</v>
      </c>
      <c r="F2543" s="2" t="b">
        <v>1</v>
      </c>
      <c r="G2543" s="2" t="b">
        <v>0</v>
      </c>
      <c r="H2543" s="2" t="s">
        <v>37</v>
      </c>
      <c r="I2543" s="2" t="s">
        <v>22</v>
      </c>
      <c r="J2543" s="2" t="s">
        <v>202</v>
      </c>
      <c r="K2543" s="2" t="s">
        <v>24</v>
      </c>
      <c r="L2543" s="13" t="s">
        <v>51</v>
      </c>
      <c r="M2543" s="2" t="s">
        <v>26</v>
      </c>
      <c r="P2543" s="5" t="str">
        <f>IFERROR(__xludf.DUMMYFUNCTION("TEXTJOIN("" | "",TRUE,IF(OR(D2543="""",E2543="""",I2543="""",J2543="""",H2543=""""),""ফাঁকা ঘর"",""""),IF(AND(C2543&lt;&gt;"""",D2543&lt;&gt;"""",C2543=D2543),""gloss=figurative"",""""),IF(LEN(D2543)&lt;15,""figurative ছোট"",""""),IF(AND(I2543=""Positive"",REGEXMATCH(H2"&amp;"543,""মূর্খ|ভণ্ড|প্রতার|অলস|লোভ|স্বার্থ|অক্ষম|অযোগ্য|বোকা|কৃপণ|হিংস"")),""valence-target অমিল"",""""),IF(COUNTIF($B:$B,B2543)&gt;1,""ডুপ্লিকেট"",""""))"),"")</f>
        <v/>
      </c>
      <c r="Q2543" s="5" t="str">
        <f t="shared" si="1"/>
        <v>২ পরে</v>
      </c>
    </row>
    <row r="2544">
      <c r="A2544" s="4">
        <v>292.0</v>
      </c>
      <c r="B2544" s="2" t="s">
        <v>9965</v>
      </c>
      <c r="C2544" s="2" t="s">
        <v>9966</v>
      </c>
      <c r="D2544" s="2" t="s">
        <v>9967</v>
      </c>
      <c r="E2544" s="2" t="s">
        <v>9968</v>
      </c>
      <c r="F2544" s="2" t="b">
        <v>1</v>
      </c>
      <c r="G2544" s="2" t="b">
        <v>0</v>
      </c>
      <c r="H2544" s="2" t="s">
        <v>9969</v>
      </c>
      <c r="I2544" s="2" t="s">
        <v>49</v>
      </c>
      <c r="J2544" s="2" t="s">
        <v>117</v>
      </c>
      <c r="K2544" s="2" t="s">
        <v>24</v>
      </c>
      <c r="L2544" s="13" t="s">
        <v>51</v>
      </c>
      <c r="M2544" s="2" t="s">
        <v>26</v>
      </c>
      <c r="P2544" s="5" t="str">
        <f>IFERROR(__xludf.DUMMYFUNCTION("TEXTJOIN("" | "",TRUE,IF(OR(D2544="""",E2544="""",I2544="""",J2544="""",H2544=""""),""ফাঁকা ঘর"",""""),IF(AND(C2544&lt;&gt;"""",D2544&lt;&gt;"""",C2544=D2544),""gloss=figurative"",""""),IF(LEN(D2544)&lt;15,""figurative ছোট"",""""),IF(AND(I2544=""Positive"",REGEXMATCH(H2"&amp;"544,""মূর্খ|ভণ্ড|প্রতার|অলস|লোভ|স্বার্থ|অক্ষম|অযোগ্য|বোকা|কৃপণ|হিংস"")),""valence-target অমিল"",""""),IF(COUNTIF($B:$B,B2544)&gt;1,""ডুপ্লিকেট"",""""))"),"")</f>
        <v/>
      </c>
      <c r="Q2544" s="5" t="str">
        <f t="shared" si="1"/>
        <v>২ পরে</v>
      </c>
    </row>
    <row r="2545">
      <c r="A2545" s="4">
        <v>293.0</v>
      </c>
      <c r="B2545" s="2" t="s">
        <v>9970</v>
      </c>
      <c r="C2545" s="2" t="s">
        <v>9971</v>
      </c>
      <c r="D2545" s="2" t="s">
        <v>9972</v>
      </c>
      <c r="E2545" s="2" t="s">
        <v>9973</v>
      </c>
      <c r="F2545" s="2" t="b">
        <v>1</v>
      </c>
      <c r="G2545" s="2" t="b">
        <v>0</v>
      </c>
      <c r="H2545" s="2" t="s">
        <v>9974</v>
      </c>
      <c r="I2545" s="2" t="s">
        <v>22</v>
      </c>
      <c r="J2545" s="2" t="s">
        <v>357</v>
      </c>
      <c r="K2545" s="2" t="s">
        <v>24</v>
      </c>
      <c r="L2545" s="13" t="s">
        <v>51</v>
      </c>
      <c r="M2545" s="2" t="s">
        <v>26</v>
      </c>
      <c r="P2545" s="5" t="str">
        <f>IFERROR(__xludf.DUMMYFUNCTION("TEXTJOIN("" | "",TRUE,IF(OR(D2545="""",E2545="""",I2545="""",J2545="""",H2545=""""),""ফাঁকা ঘর"",""""),IF(AND(C2545&lt;&gt;"""",D2545&lt;&gt;"""",C2545=D2545),""gloss=figurative"",""""),IF(LEN(D2545)&lt;15,""figurative ছোট"",""""),IF(AND(I2545=""Positive"",REGEXMATCH(H2"&amp;"545,""মূর্খ|ভণ্ড|প্রতার|অলস|লোভ|স্বার্থ|অক্ষম|অযোগ্য|বোকা|কৃপণ|হিংস"")),""valence-target অমিল"",""""),IF(COUNTIF($B:$B,B2545)&gt;1,""ডুপ্লিকেট"",""""))"),"")</f>
        <v/>
      </c>
      <c r="Q2545" s="5" t="str">
        <f t="shared" si="1"/>
        <v>২ পরে</v>
      </c>
    </row>
    <row r="2546">
      <c r="A2546" s="4">
        <v>294.0</v>
      </c>
      <c r="B2546" s="2" t="s">
        <v>9975</v>
      </c>
      <c r="C2546" s="2" t="s">
        <v>9976</v>
      </c>
      <c r="D2546" s="2" t="s">
        <v>9977</v>
      </c>
      <c r="E2546" s="2" t="s">
        <v>9978</v>
      </c>
      <c r="F2546" s="2" t="b">
        <v>1</v>
      </c>
      <c r="G2546" s="2" t="b">
        <v>0</v>
      </c>
      <c r="H2546" s="2" t="s">
        <v>9057</v>
      </c>
      <c r="I2546" s="2" t="s">
        <v>22</v>
      </c>
      <c r="J2546" s="2" t="s">
        <v>59</v>
      </c>
      <c r="K2546" s="2" t="s">
        <v>24</v>
      </c>
      <c r="L2546" s="13" t="s">
        <v>51</v>
      </c>
      <c r="M2546" s="2" t="s">
        <v>26</v>
      </c>
      <c r="P2546" s="5" t="str">
        <f>IFERROR(__xludf.DUMMYFUNCTION("TEXTJOIN("" | "",TRUE,IF(OR(D2546="""",E2546="""",I2546="""",J2546="""",H2546=""""),""ফাঁকা ঘর"",""""),IF(AND(C2546&lt;&gt;"""",D2546&lt;&gt;"""",C2546=D2546),""gloss=figurative"",""""),IF(LEN(D2546)&lt;15,""figurative ছোট"",""""),IF(AND(I2546=""Positive"",REGEXMATCH(H2"&amp;"546,""মূর্খ|ভণ্ড|প্রতার|অলস|লোভ|স্বার্থ|অক্ষম|অযোগ্য|বোকা|কৃপণ|হিংস"")),""valence-target অমিল"",""""),IF(COUNTIF($B:$B,B2546)&gt;1,""ডুপ্লিকেট"",""""))"),"")</f>
        <v/>
      </c>
      <c r="Q2546" s="5" t="str">
        <f t="shared" si="1"/>
        <v>২ পরে</v>
      </c>
    </row>
    <row r="2547">
      <c r="A2547" s="4">
        <v>295.0</v>
      </c>
      <c r="B2547" s="2" t="s">
        <v>9979</v>
      </c>
      <c r="C2547" s="2" t="s">
        <v>9980</v>
      </c>
      <c r="D2547" s="2" t="s">
        <v>9981</v>
      </c>
      <c r="E2547" s="2" t="s">
        <v>9982</v>
      </c>
      <c r="F2547" s="2" t="b">
        <v>1</v>
      </c>
      <c r="G2547" s="2" t="b">
        <v>0</v>
      </c>
      <c r="H2547" s="2" t="s">
        <v>37</v>
      </c>
      <c r="I2547" s="2" t="s">
        <v>22</v>
      </c>
      <c r="J2547" s="2" t="s">
        <v>9037</v>
      </c>
      <c r="K2547" s="2" t="s">
        <v>24</v>
      </c>
      <c r="L2547" s="13" t="s">
        <v>51</v>
      </c>
      <c r="M2547" s="2" t="s">
        <v>26</v>
      </c>
      <c r="P2547" s="5" t="str">
        <f>IFERROR(__xludf.DUMMYFUNCTION("TEXTJOIN("" | "",TRUE,IF(OR(D2547="""",E2547="""",I2547="""",J2547="""",H2547=""""),""ফাঁকা ঘর"",""""),IF(AND(C2547&lt;&gt;"""",D2547&lt;&gt;"""",C2547=D2547),""gloss=figurative"",""""),IF(LEN(D2547)&lt;15,""figurative ছোট"",""""),IF(AND(I2547=""Positive"",REGEXMATCH(H2"&amp;"547,""মূর্খ|ভণ্ড|প্রতার|অলস|লোভ|স্বার্থ|অক্ষম|অযোগ্য|বোকা|কৃপণ|হিংস"")),""valence-target অমিল"",""""),IF(COUNTIF($B:$B,B2547)&gt;1,""ডুপ্লিকেট"",""""))"),"")</f>
        <v/>
      </c>
      <c r="Q2547" s="5" t="str">
        <f t="shared" si="1"/>
        <v>২ পরে</v>
      </c>
    </row>
    <row r="2548">
      <c r="A2548" s="4">
        <v>298.0</v>
      </c>
      <c r="B2548" s="2" t="s">
        <v>9983</v>
      </c>
      <c r="C2548" s="2" t="s">
        <v>9984</v>
      </c>
      <c r="D2548" s="2" t="s">
        <v>9985</v>
      </c>
      <c r="E2548" s="2" t="s">
        <v>9986</v>
      </c>
      <c r="F2548" s="2" t="b">
        <v>1</v>
      </c>
      <c r="G2548" s="2" t="b">
        <v>0</v>
      </c>
      <c r="H2548" s="2" t="s">
        <v>9987</v>
      </c>
      <c r="I2548" s="2" t="s">
        <v>32</v>
      </c>
      <c r="J2548" s="2" t="s">
        <v>9988</v>
      </c>
      <c r="K2548" s="2" t="s">
        <v>24</v>
      </c>
      <c r="L2548" s="13" t="s">
        <v>51</v>
      </c>
      <c r="M2548" s="2" t="s">
        <v>26</v>
      </c>
      <c r="P2548" s="5" t="str">
        <f>IFERROR(__xludf.DUMMYFUNCTION("TEXTJOIN("" | "",TRUE,IF(OR(D2548="""",E2548="""",I2548="""",J2548="""",H2548=""""),""ফাঁকা ঘর"",""""),IF(AND(C2548&lt;&gt;"""",D2548&lt;&gt;"""",C2548=D2548),""gloss=figurative"",""""),IF(LEN(D2548)&lt;15,""figurative ছোট"",""""),IF(AND(I2548=""Positive"",REGEXMATCH(H2"&amp;"548,""মূর্খ|ভণ্ড|প্রতার|অলস|লোভ|স্বার্থ|অক্ষম|অযোগ্য|বোকা|কৃপণ|হিংস"")),""valence-target অমিল"",""""),IF(COUNTIF($B:$B,B2548)&gt;1,""ডুপ্লিকেট"",""""))"),"")</f>
        <v/>
      </c>
      <c r="Q2548" s="5" t="str">
        <f t="shared" si="1"/>
        <v>২ পরে</v>
      </c>
    </row>
    <row r="2549">
      <c r="A2549" s="4">
        <v>299.0</v>
      </c>
      <c r="B2549" s="2" t="s">
        <v>9989</v>
      </c>
      <c r="C2549" s="2" t="s">
        <v>9990</v>
      </c>
      <c r="D2549" s="2" t="s">
        <v>9991</v>
      </c>
      <c r="E2549" s="2" t="s">
        <v>9992</v>
      </c>
      <c r="F2549" s="2" t="b">
        <v>1</v>
      </c>
      <c r="G2549" s="2" t="b">
        <v>0</v>
      </c>
      <c r="H2549" s="2" t="s">
        <v>175</v>
      </c>
      <c r="I2549" s="2" t="s">
        <v>22</v>
      </c>
      <c r="J2549" s="2" t="s">
        <v>176</v>
      </c>
      <c r="K2549" s="2" t="s">
        <v>24</v>
      </c>
      <c r="L2549" s="13" t="s">
        <v>51</v>
      </c>
      <c r="M2549" s="2" t="s">
        <v>26</v>
      </c>
      <c r="P2549" s="5" t="str">
        <f>IFERROR(__xludf.DUMMYFUNCTION("TEXTJOIN("" | "",TRUE,IF(OR(D2549="""",E2549="""",I2549="""",J2549="""",H2549=""""),""ফাঁকা ঘর"",""""),IF(AND(C2549&lt;&gt;"""",D2549&lt;&gt;"""",C2549=D2549),""gloss=figurative"",""""),IF(LEN(D2549)&lt;15,""figurative ছোট"",""""),IF(AND(I2549=""Positive"",REGEXMATCH(H2"&amp;"549,""মূর্খ|ভণ্ড|প্রতার|অলস|লোভ|স্বার্থ|অক্ষম|অযোগ্য|বোকা|কৃপণ|হিংস"")),""valence-target অমিল"",""""),IF(COUNTIF($B:$B,B2549)&gt;1,""ডুপ্লিকেট"",""""))"),"")</f>
        <v/>
      </c>
      <c r="Q2549" s="5" t="str">
        <f t="shared" si="1"/>
        <v>২ পরে</v>
      </c>
    </row>
    <row r="2550">
      <c r="A2550" s="4">
        <v>302.0</v>
      </c>
      <c r="B2550" s="2" t="s">
        <v>9993</v>
      </c>
      <c r="C2550" s="2" t="s">
        <v>9994</v>
      </c>
      <c r="D2550" s="2" t="s">
        <v>9995</v>
      </c>
      <c r="E2550" s="2" t="s">
        <v>9996</v>
      </c>
      <c r="F2550" s="2" t="b">
        <v>1</v>
      </c>
      <c r="G2550" s="2" t="b">
        <v>0</v>
      </c>
      <c r="H2550" s="2" t="s">
        <v>9997</v>
      </c>
      <c r="I2550" s="2" t="s">
        <v>22</v>
      </c>
      <c r="J2550" s="2" t="s">
        <v>225</v>
      </c>
      <c r="K2550" s="2" t="s">
        <v>24</v>
      </c>
      <c r="L2550" s="13" t="s">
        <v>51</v>
      </c>
      <c r="M2550" s="2" t="s">
        <v>26</v>
      </c>
      <c r="P2550" s="5" t="str">
        <f>IFERROR(__xludf.DUMMYFUNCTION("TEXTJOIN("" | "",TRUE,IF(OR(D2550="""",E2550="""",I2550="""",J2550="""",H2550=""""),""ফাঁকা ঘর"",""""),IF(AND(C2550&lt;&gt;"""",D2550&lt;&gt;"""",C2550=D2550),""gloss=figurative"",""""),IF(LEN(D2550)&lt;15,""figurative ছোট"",""""),IF(AND(I2550=""Positive"",REGEXMATCH(H2"&amp;"550,""মূর্খ|ভণ্ড|প্রতার|অলস|লোভ|স্বার্থ|অক্ষম|অযোগ্য|বোকা|কৃপণ|হিংস"")),""valence-target অমিল"",""""),IF(COUNTIF($B:$B,B2550)&gt;1,""ডুপ্লিকেট"",""""))"),"")</f>
        <v/>
      </c>
      <c r="Q2550" s="5" t="str">
        <f t="shared" si="1"/>
        <v>২ পরে</v>
      </c>
    </row>
    <row r="2551">
      <c r="A2551" s="4">
        <v>303.0</v>
      </c>
      <c r="B2551" s="2" t="s">
        <v>9998</v>
      </c>
      <c r="C2551" s="2" t="s">
        <v>9999</v>
      </c>
      <c r="D2551" s="2" t="s">
        <v>10000</v>
      </c>
      <c r="E2551" s="2" t="s">
        <v>10001</v>
      </c>
      <c r="F2551" s="2" t="b">
        <v>1</v>
      </c>
      <c r="G2551" s="2" t="b">
        <v>0</v>
      </c>
      <c r="H2551" s="2" t="s">
        <v>10002</v>
      </c>
      <c r="I2551" s="2" t="s">
        <v>32</v>
      </c>
      <c r="J2551" s="2" t="s">
        <v>59</v>
      </c>
      <c r="K2551" s="2" t="s">
        <v>24</v>
      </c>
      <c r="L2551" s="13" t="s">
        <v>51</v>
      </c>
      <c r="M2551" s="2" t="s">
        <v>26</v>
      </c>
      <c r="P2551" s="5" t="str">
        <f>IFERROR(__xludf.DUMMYFUNCTION("TEXTJOIN("" | "",TRUE,IF(OR(D2551="""",E2551="""",I2551="""",J2551="""",H2551=""""),""ফাঁকা ঘর"",""""),IF(AND(C2551&lt;&gt;"""",D2551&lt;&gt;"""",C2551=D2551),""gloss=figurative"",""""),IF(LEN(D2551)&lt;15,""figurative ছোট"",""""),IF(AND(I2551=""Positive"",REGEXMATCH(H2"&amp;"551,""মূর্খ|ভণ্ড|প্রতার|অলস|লোভ|স্বার্থ|অক্ষম|অযোগ্য|বোকা|কৃপণ|হিংস"")),""valence-target অমিল"",""""),IF(COUNTIF($B:$B,B2551)&gt;1,""ডুপ্লিকেট"",""""))"),"")</f>
        <v/>
      </c>
      <c r="Q2551" s="5" t="str">
        <f t="shared" si="1"/>
        <v>২ পরে</v>
      </c>
    </row>
    <row r="2552">
      <c r="A2552" s="4">
        <v>304.0</v>
      </c>
      <c r="B2552" s="2" t="s">
        <v>10003</v>
      </c>
      <c r="C2552" s="2" t="s">
        <v>8898</v>
      </c>
      <c r="D2552" s="2" t="s">
        <v>8899</v>
      </c>
      <c r="E2552" s="2" t="s">
        <v>10004</v>
      </c>
      <c r="F2552" s="2" t="b">
        <v>1</v>
      </c>
      <c r="G2552" s="2" t="b">
        <v>0</v>
      </c>
      <c r="H2552" s="2" t="s">
        <v>8901</v>
      </c>
      <c r="I2552" s="2" t="s">
        <v>22</v>
      </c>
      <c r="J2552" s="2" t="s">
        <v>8902</v>
      </c>
      <c r="K2552" s="2" t="s">
        <v>24</v>
      </c>
      <c r="L2552" s="13" t="s">
        <v>51</v>
      </c>
      <c r="M2552" s="2" t="s">
        <v>26</v>
      </c>
      <c r="P2552" s="5" t="str">
        <f>IFERROR(__xludf.DUMMYFUNCTION("TEXTJOIN("" | "",TRUE,IF(OR(D2552="""",E2552="""",I2552="""",J2552="""",H2552=""""),""ফাঁকা ঘর"",""""),IF(AND(C2552&lt;&gt;"""",D2552&lt;&gt;"""",C2552=D2552),""gloss=figurative"",""""),IF(LEN(D2552)&lt;15,""figurative ছোট"",""""),IF(AND(I2552=""Positive"",REGEXMATCH(H2"&amp;"552,""মূর্খ|ভণ্ড|প্রতার|অলস|লোভ|স্বার্থ|অক্ষম|অযোগ্য|বোকা|কৃপণ|হিংস"")),""valence-target অমিল"",""""),IF(COUNTIF($B:$B,B2552)&gt;1,""ডুপ্লিকেট"",""""))"),"")</f>
        <v/>
      </c>
      <c r="Q2552" s="5" t="str">
        <f t="shared" si="1"/>
        <v>২ পরে</v>
      </c>
    </row>
    <row r="2553">
      <c r="A2553" s="4">
        <v>305.0</v>
      </c>
      <c r="B2553" s="2" t="s">
        <v>10005</v>
      </c>
      <c r="C2553" s="2" t="s">
        <v>10006</v>
      </c>
      <c r="D2553" s="2" t="s">
        <v>10007</v>
      </c>
      <c r="E2553" s="2" t="s">
        <v>10008</v>
      </c>
      <c r="F2553" s="2" t="b">
        <v>1</v>
      </c>
      <c r="G2553" s="2" t="b">
        <v>0</v>
      </c>
      <c r="H2553" s="2" t="s">
        <v>10009</v>
      </c>
      <c r="I2553" s="2" t="s">
        <v>22</v>
      </c>
      <c r="J2553" s="2" t="s">
        <v>59</v>
      </c>
      <c r="K2553" s="2" t="s">
        <v>24</v>
      </c>
      <c r="L2553" s="13" t="s">
        <v>51</v>
      </c>
      <c r="M2553" s="2" t="s">
        <v>26</v>
      </c>
      <c r="P2553" s="5" t="str">
        <f>IFERROR(__xludf.DUMMYFUNCTION("TEXTJOIN("" | "",TRUE,IF(OR(D2553="""",E2553="""",I2553="""",J2553="""",H2553=""""),""ফাঁকা ঘর"",""""),IF(AND(C2553&lt;&gt;"""",D2553&lt;&gt;"""",C2553=D2553),""gloss=figurative"",""""),IF(LEN(D2553)&lt;15,""figurative ছোট"",""""),IF(AND(I2553=""Positive"",REGEXMATCH(H2"&amp;"553,""মূর্খ|ভণ্ড|প্রতার|অলস|লোভ|স্বার্থ|অক্ষম|অযোগ্য|বোকা|কৃপণ|হিংস"")),""valence-target অমিল"",""""),IF(COUNTIF($B:$B,B2553)&gt;1,""ডুপ্লিকেট"",""""))"),"")</f>
        <v/>
      </c>
      <c r="Q2553" s="5" t="str">
        <f t="shared" si="1"/>
        <v>২ পরে</v>
      </c>
    </row>
    <row r="2554">
      <c r="A2554" s="4">
        <v>306.0</v>
      </c>
      <c r="B2554" s="2" t="s">
        <v>10010</v>
      </c>
      <c r="C2554" s="2" t="s">
        <v>10011</v>
      </c>
      <c r="D2554" s="2" t="s">
        <v>10012</v>
      </c>
      <c r="E2554" s="2" t="s">
        <v>10013</v>
      </c>
      <c r="F2554" s="2" t="b">
        <v>1</v>
      </c>
      <c r="G2554" s="2" t="b">
        <v>0</v>
      </c>
      <c r="H2554" s="2" t="s">
        <v>156</v>
      </c>
      <c r="I2554" s="2" t="s">
        <v>49</v>
      </c>
      <c r="J2554" s="2" t="s">
        <v>8859</v>
      </c>
      <c r="K2554" s="2" t="s">
        <v>24</v>
      </c>
      <c r="L2554" s="13" t="s">
        <v>51</v>
      </c>
      <c r="M2554" s="2" t="s">
        <v>26</v>
      </c>
      <c r="P2554" s="5" t="str">
        <f>IFERROR(__xludf.DUMMYFUNCTION("TEXTJOIN("" | "",TRUE,IF(OR(D2554="""",E2554="""",I2554="""",J2554="""",H2554=""""),""ফাঁকা ঘর"",""""),IF(AND(C2554&lt;&gt;"""",D2554&lt;&gt;"""",C2554=D2554),""gloss=figurative"",""""),IF(LEN(D2554)&lt;15,""figurative ছোট"",""""),IF(AND(I2554=""Positive"",REGEXMATCH(H2"&amp;"554,""মূর্খ|ভণ্ড|প্রতার|অলস|লোভ|স্বার্থ|অক্ষম|অযোগ্য|বোকা|কৃপণ|হিংস"")),""valence-target অমিল"",""""),IF(COUNTIF($B:$B,B2554)&gt;1,""ডুপ্লিকেট"",""""))"),"")</f>
        <v/>
      </c>
      <c r="Q2554" s="5" t="str">
        <f t="shared" si="1"/>
        <v>২ পরে</v>
      </c>
    </row>
    <row r="2555">
      <c r="A2555" s="4">
        <v>307.0</v>
      </c>
      <c r="B2555" s="2" t="s">
        <v>10014</v>
      </c>
      <c r="C2555" s="2" t="s">
        <v>10015</v>
      </c>
      <c r="D2555" s="2" t="s">
        <v>10016</v>
      </c>
      <c r="E2555" s="2" t="s">
        <v>10017</v>
      </c>
      <c r="F2555" s="2" t="b">
        <v>1</v>
      </c>
      <c r="G2555" s="2" t="b">
        <v>0</v>
      </c>
      <c r="H2555" s="2" t="s">
        <v>10018</v>
      </c>
      <c r="I2555" s="2" t="s">
        <v>22</v>
      </c>
      <c r="J2555" s="2" t="s">
        <v>123</v>
      </c>
      <c r="K2555" s="2" t="s">
        <v>24</v>
      </c>
      <c r="L2555" s="13" t="s">
        <v>51</v>
      </c>
      <c r="M2555" s="2" t="s">
        <v>26</v>
      </c>
      <c r="P2555" s="5" t="str">
        <f>IFERROR(__xludf.DUMMYFUNCTION("TEXTJOIN("" | "",TRUE,IF(OR(D2555="""",E2555="""",I2555="""",J2555="""",H2555=""""),""ফাঁকা ঘর"",""""),IF(AND(C2555&lt;&gt;"""",D2555&lt;&gt;"""",C2555=D2555),""gloss=figurative"",""""),IF(LEN(D2555)&lt;15,""figurative ছোট"",""""),IF(AND(I2555=""Positive"",REGEXMATCH(H2"&amp;"555,""মূর্খ|ভণ্ড|প্রতার|অলস|লোভ|স্বার্থ|অক্ষম|অযোগ্য|বোকা|কৃপণ|হিংস"")),""valence-target অমিল"",""""),IF(COUNTIF($B:$B,B2555)&gt;1,""ডুপ্লিকেট"",""""))"),"")</f>
        <v/>
      </c>
      <c r="Q2555" s="5" t="str">
        <f t="shared" si="1"/>
        <v>২ পরে</v>
      </c>
    </row>
    <row r="2556">
      <c r="A2556" s="4">
        <v>308.0</v>
      </c>
      <c r="B2556" s="2" t="s">
        <v>10019</v>
      </c>
      <c r="C2556" s="2" t="s">
        <v>10020</v>
      </c>
      <c r="D2556" s="2" t="s">
        <v>10021</v>
      </c>
      <c r="E2556" s="2" t="s">
        <v>10022</v>
      </c>
      <c r="F2556" s="2" t="b">
        <v>1</v>
      </c>
      <c r="G2556" s="2" t="b">
        <v>0</v>
      </c>
      <c r="H2556" s="2" t="s">
        <v>527</v>
      </c>
      <c r="I2556" s="2" t="s">
        <v>22</v>
      </c>
      <c r="J2556" s="2" t="s">
        <v>59</v>
      </c>
      <c r="K2556" s="2" t="s">
        <v>24</v>
      </c>
      <c r="L2556" s="13" t="s">
        <v>51</v>
      </c>
      <c r="M2556" s="2" t="s">
        <v>26</v>
      </c>
      <c r="P2556" s="5" t="str">
        <f>IFERROR(__xludf.DUMMYFUNCTION("TEXTJOIN("" | "",TRUE,IF(OR(D2556="""",E2556="""",I2556="""",J2556="""",H2556=""""),""ফাঁকা ঘর"",""""),IF(AND(C2556&lt;&gt;"""",D2556&lt;&gt;"""",C2556=D2556),""gloss=figurative"",""""),IF(LEN(D2556)&lt;15,""figurative ছোট"",""""),IF(AND(I2556=""Positive"",REGEXMATCH(H2"&amp;"556,""মূর্খ|ভণ্ড|প্রতার|অলস|লোভ|স্বার্থ|অক্ষম|অযোগ্য|বোকা|কৃপণ|হিংস"")),""valence-target অমিল"",""""),IF(COUNTIF($B:$B,B2556)&gt;1,""ডুপ্লিকেট"",""""))"),"")</f>
        <v/>
      </c>
      <c r="Q2556" s="5" t="str">
        <f t="shared" si="1"/>
        <v>২ পরে</v>
      </c>
    </row>
    <row r="2557">
      <c r="A2557" s="4">
        <v>309.0</v>
      </c>
      <c r="B2557" s="2" t="s">
        <v>10023</v>
      </c>
      <c r="C2557" s="2" t="s">
        <v>10024</v>
      </c>
      <c r="D2557" s="2" t="s">
        <v>10025</v>
      </c>
      <c r="E2557" s="2" t="s">
        <v>10026</v>
      </c>
      <c r="F2557" s="2" t="b">
        <v>1</v>
      </c>
      <c r="G2557" s="2" t="b">
        <v>0</v>
      </c>
      <c r="H2557" s="2" t="s">
        <v>271</v>
      </c>
      <c r="I2557" s="2" t="s">
        <v>22</v>
      </c>
      <c r="J2557" s="2" t="s">
        <v>59</v>
      </c>
      <c r="K2557" s="2" t="s">
        <v>24</v>
      </c>
      <c r="L2557" s="13" t="s">
        <v>51</v>
      </c>
      <c r="M2557" s="2" t="s">
        <v>26</v>
      </c>
      <c r="P2557" s="5" t="str">
        <f>IFERROR(__xludf.DUMMYFUNCTION("TEXTJOIN("" | "",TRUE,IF(OR(D2557="""",E2557="""",I2557="""",J2557="""",H2557=""""),""ফাঁকা ঘর"",""""),IF(AND(C2557&lt;&gt;"""",D2557&lt;&gt;"""",C2557=D2557),""gloss=figurative"",""""),IF(LEN(D2557)&lt;15,""figurative ছোট"",""""),IF(AND(I2557=""Positive"",REGEXMATCH(H2"&amp;"557,""মূর্খ|ভণ্ড|প্রতার|অলস|লোভ|স্বার্থ|অক্ষম|অযোগ্য|বোকা|কৃপণ|হিংস"")),""valence-target অমিল"",""""),IF(COUNTIF($B:$B,B2557)&gt;1,""ডুপ্লিকেট"",""""))"),"")</f>
        <v/>
      </c>
      <c r="Q2557" s="5" t="str">
        <f t="shared" si="1"/>
        <v>২ পরে</v>
      </c>
    </row>
    <row r="2558">
      <c r="A2558" s="4">
        <v>310.0</v>
      </c>
      <c r="B2558" s="2" t="s">
        <v>10027</v>
      </c>
      <c r="C2558" s="2" t="s">
        <v>10028</v>
      </c>
      <c r="D2558" s="2" t="s">
        <v>10029</v>
      </c>
      <c r="E2558" s="2" t="s">
        <v>10030</v>
      </c>
      <c r="F2558" s="2" t="b">
        <v>1</v>
      </c>
      <c r="G2558" s="2" t="b">
        <v>0</v>
      </c>
      <c r="H2558" s="2" t="s">
        <v>207</v>
      </c>
      <c r="I2558" s="2" t="s">
        <v>32</v>
      </c>
      <c r="J2558" s="2" t="s">
        <v>59</v>
      </c>
      <c r="K2558" s="2" t="s">
        <v>24</v>
      </c>
      <c r="L2558" s="13" t="s">
        <v>51</v>
      </c>
      <c r="M2558" s="2" t="s">
        <v>26</v>
      </c>
      <c r="P2558" s="5" t="str">
        <f>IFERROR(__xludf.DUMMYFUNCTION("TEXTJOIN("" | "",TRUE,IF(OR(D2558="""",E2558="""",I2558="""",J2558="""",H2558=""""),""ফাঁকা ঘর"",""""),IF(AND(C2558&lt;&gt;"""",D2558&lt;&gt;"""",C2558=D2558),""gloss=figurative"",""""),IF(LEN(D2558)&lt;15,""figurative ছোট"",""""),IF(AND(I2558=""Positive"",REGEXMATCH(H2"&amp;"558,""মূর্খ|ভণ্ড|প্রতার|অলস|লোভ|স্বার্থ|অক্ষম|অযোগ্য|বোকা|কৃপণ|হিংস"")),""valence-target অমিল"",""""),IF(COUNTIF($B:$B,B2558)&gt;1,""ডুপ্লিকেট"",""""))"),"")</f>
        <v/>
      </c>
      <c r="Q2558" s="5" t="str">
        <f t="shared" si="1"/>
        <v>২ পরে</v>
      </c>
    </row>
    <row r="2559">
      <c r="A2559" s="4">
        <v>311.0</v>
      </c>
      <c r="B2559" s="2" t="s">
        <v>10031</v>
      </c>
      <c r="C2559" s="2" t="s">
        <v>10032</v>
      </c>
      <c r="D2559" s="2" t="s">
        <v>10033</v>
      </c>
      <c r="E2559" s="2" t="s">
        <v>10034</v>
      </c>
      <c r="F2559" s="2" t="b">
        <v>1</v>
      </c>
      <c r="G2559" s="2" t="b">
        <v>0</v>
      </c>
      <c r="H2559" s="2" t="s">
        <v>260</v>
      </c>
      <c r="I2559" s="2" t="s">
        <v>49</v>
      </c>
      <c r="J2559" s="2" t="s">
        <v>162</v>
      </c>
      <c r="K2559" s="2" t="s">
        <v>24</v>
      </c>
      <c r="L2559" s="13" t="s">
        <v>51</v>
      </c>
      <c r="M2559" s="2" t="s">
        <v>26</v>
      </c>
      <c r="P2559" s="5" t="str">
        <f>IFERROR(__xludf.DUMMYFUNCTION("TEXTJOIN("" | "",TRUE,IF(OR(D2559="""",E2559="""",I2559="""",J2559="""",H2559=""""),""ফাঁকা ঘর"",""""),IF(AND(C2559&lt;&gt;"""",D2559&lt;&gt;"""",C2559=D2559),""gloss=figurative"",""""),IF(LEN(D2559)&lt;15,""figurative ছোট"",""""),IF(AND(I2559=""Positive"",REGEXMATCH(H2"&amp;"559,""মূর্খ|ভণ্ড|প্রতার|অলস|লোভ|স্বার্থ|অক্ষম|অযোগ্য|বোকা|কৃপণ|হিংস"")),""valence-target অমিল"",""""),IF(COUNTIF($B:$B,B2559)&gt;1,""ডুপ্লিকেট"",""""))"),"")</f>
        <v/>
      </c>
      <c r="Q2559" s="5" t="str">
        <f t="shared" si="1"/>
        <v>২ পরে</v>
      </c>
    </row>
    <row r="2560">
      <c r="A2560" s="4">
        <v>313.0</v>
      </c>
      <c r="B2560" s="2" t="s">
        <v>10035</v>
      </c>
      <c r="C2560" s="2" t="s">
        <v>10036</v>
      </c>
      <c r="D2560" s="2" t="s">
        <v>10037</v>
      </c>
      <c r="E2560" s="2" t="s">
        <v>10038</v>
      </c>
      <c r="F2560" s="2" t="b">
        <v>1</v>
      </c>
      <c r="G2560" s="2" t="b">
        <v>0</v>
      </c>
      <c r="H2560" s="2" t="s">
        <v>37</v>
      </c>
      <c r="I2560" s="2" t="s">
        <v>32</v>
      </c>
      <c r="J2560" s="2" t="s">
        <v>9177</v>
      </c>
      <c r="K2560" s="2" t="s">
        <v>24</v>
      </c>
      <c r="L2560" s="13" t="s">
        <v>51</v>
      </c>
      <c r="M2560" s="2" t="s">
        <v>26</v>
      </c>
      <c r="P2560" s="5" t="str">
        <f>IFERROR(__xludf.DUMMYFUNCTION("TEXTJOIN("" | "",TRUE,IF(OR(D2560="""",E2560="""",I2560="""",J2560="""",H2560=""""),""ফাঁকা ঘর"",""""),IF(AND(C2560&lt;&gt;"""",D2560&lt;&gt;"""",C2560=D2560),""gloss=figurative"",""""),IF(LEN(D2560)&lt;15,""figurative ছোট"",""""),IF(AND(I2560=""Positive"",REGEXMATCH(H2"&amp;"560,""মূর্খ|ভণ্ড|প্রতার|অলস|লোভ|স্বার্থ|অক্ষম|অযোগ্য|বোকা|কৃপণ|হিংস"")),""valence-target অমিল"",""""),IF(COUNTIF($B:$B,B2560)&gt;1,""ডুপ্লিকেট"",""""))"),"")</f>
        <v/>
      </c>
      <c r="Q2560" s="5" t="str">
        <f t="shared" si="1"/>
        <v>২ পরে</v>
      </c>
    </row>
    <row r="2561">
      <c r="A2561" s="4">
        <v>314.0</v>
      </c>
      <c r="B2561" s="2" t="s">
        <v>10039</v>
      </c>
      <c r="C2561" s="2" t="s">
        <v>10040</v>
      </c>
      <c r="D2561" s="2" t="s">
        <v>10041</v>
      </c>
      <c r="E2561" s="2" t="s">
        <v>10042</v>
      </c>
      <c r="F2561" s="2" t="b">
        <v>1</v>
      </c>
      <c r="G2561" s="2" t="b">
        <v>0</v>
      </c>
      <c r="H2561" s="2" t="s">
        <v>8972</v>
      </c>
      <c r="I2561" s="2" t="s">
        <v>32</v>
      </c>
      <c r="J2561" s="2" t="s">
        <v>9183</v>
      </c>
      <c r="K2561" s="2" t="s">
        <v>24</v>
      </c>
      <c r="L2561" s="13" t="s">
        <v>51</v>
      </c>
      <c r="M2561" s="2" t="s">
        <v>26</v>
      </c>
      <c r="P2561" s="5" t="str">
        <f>IFERROR(__xludf.DUMMYFUNCTION("TEXTJOIN("" | "",TRUE,IF(OR(D2561="""",E2561="""",I2561="""",J2561="""",H2561=""""),""ফাঁকা ঘর"",""""),IF(AND(C2561&lt;&gt;"""",D2561&lt;&gt;"""",C2561=D2561),""gloss=figurative"",""""),IF(LEN(D2561)&lt;15,""figurative ছোট"",""""),IF(AND(I2561=""Positive"",REGEXMATCH(H2"&amp;"561,""মূর্খ|ভণ্ড|প্রতার|অলস|লোভ|স্বার্থ|অক্ষম|অযোগ্য|বোকা|কৃপণ|হিংস"")),""valence-target অমিল"",""""),IF(COUNTIF($B:$B,B2561)&gt;1,""ডুপ্লিকেট"",""""))"),"")</f>
        <v/>
      </c>
      <c r="Q2561" s="5" t="str">
        <f t="shared" si="1"/>
        <v>২ পরে</v>
      </c>
    </row>
    <row r="2562">
      <c r="A2562" s="4">
        <v>315.0</v>
      </c>
      <c r="B2562" s="2" t="s">
        <v>10043</v>
      </c>
      <c r="C2562" s="2" t="s">
        <v>10044</v>
      </c>
      <c r="D2562" s="2" t="s">
        <v>10045</v>
      </c>
      <c r="E2562" s="2" t="s">
        <v>5759</v>
      </c>
      <c r="F2562" s="2" t="b">
        <v>1</v>
      </c>
      <c r="G2562" s="2" t="b">
        <v>1</v>
      </c>
      <c r="H2562" s="2" t="s">
        <v>10046</v>
      </c>
      <c r="I2562" s="2" t="s">
        <v>32</v>
      </c>
      <c r="J2562" s="2" t="s">
        <v>10047</v>
      </c>
      <c r="K2562" s="2" t="s">
        <v>24</v>
      </c>
      <c r="L2562" s="13" t="s">
        <v>51</v>
      </c>
      <c r="M2562" s="2" t="s">
        <v>26</v>
      </c>
      <c r="P2562" s="5" t="str">
        <f>IFERROR(__xludf.DUMMYFUNCTION("TEXTJOIN("" | "",TRUE,IF(OR(D2562="""",E2562="""",I2562="""",J2562="""",H2562=""""),""ফাঁকা ঘর"",""""),IF(AND(C2562&lt;&gt;"""",D2562&lt;&gt;"""",C2562=D2562),""gloss=figurative"",""""),IF(LEN(D2562)&lt;15,""figurative ছোট"",""""),IF(AND(I2562=""Positive"",REGEXMATCH(H2"&amp;"562,""মূর্খ|ভণ্ড|প্রতার|অলস|লোভ|স্বার্থ|অক্ষম|অযোগ্য|বোকা|কৃপণ|হিংস"")),""valence-target অমিল"",""""),IF(COUNTIF($B:$B,B2562)&gt;1,""ডুপ্লিকেট"",""""))"),"")</f>
        <v/>
      </c>
      <c r="Q2562" s="5" t="str">
        <f t="shared" si="1"/>
        <v>২ পরে</v>
      </c>
    </row>
    <row r="2563">
      <c r="A2563" s="4">
        <v>316.0</v>
      </c>
      <c r="B2563" s="2" t="s">
        <v>10048</v>
      </c>
      <c r="C2563" s="2" t="s">
        <v>10049</v>
      </c>
      <c r="D2563" s="2" t="s">
        <v>10050</v>
      </c>
      <c r="E2563" s="2" t="s">
        <v>10051</v>
      </c>
      <c r="F2563" s="2" t="b">
        <v>1</v>
      </c>
      <c r="G2563" s="2" t="b">
        <v>1</v>
      </c>
      <c r="H2563" s="2" t="s">
        <v>3887</v>
      </c>
      <c r="I2563" s="2" t="s">
        <v>32</v>
      </c>
      <c r="J2563" s="2" t="s">
        <v>10047</v>
      </c>
      <c r="K2563" s="2" t="s">
        <v>24</v>
      </c>
      <c r="L2563" s="13" t="s">
        <v>51</v>
      </c>
      <c r="M2563" s="2" t="s">
        <v>26</v>
      </c>
      <c r="P2563" s="5" t="str">
        <f>IFERROR(__xludf.DUMMYFUNCTION("TEXTJOIN("" | "",TRUE,IF(OR(D2563="""",E2563="""",I2563="""",J2563="""",H2563=""""),""ফাঁকা ঘর"",""""),IF(AND(C2563&lt;&gt;"""",D2563&lt;&gt;"""",C2563=D2563),""gloss=figurative"",""""),IF(LEN(D2563)&lt;15,""figurative ছোট"",""""),IF(AND(I2563=""Positive"",REGEXMATCH(H2"&amp;"563,""মূর্খ|ভণ্ড|প্রতার|অলস|লোভ|স্বার্থ|অক্ষম|অযোগ্য|বোকা|কৃপণ|হিংস"")),""valence-target অমিল"",""""),IF(COUNTIF($B:$B,B2563)&gt;1,""ডুপ্লিকেট"",""""))"),"")</f>
        <v/>
      </c>
      <c r="Q2563" s="5" t="str">
        <f t="shared" si="1"/>
        <v>২ পরে</v>
      </c>
    </row>
    <row r="2564">
      <c r="A2564" s="4">
        <v>317.0</v>
      </c>
      <c r="B2564" s="2" t="s">
        <v>10052</v>
      </c>
      <c r="C2564" s="2" t="s">
        <v>10053</v>
      </c>
      <c r="D2564" s="2" t="s">
        <v>10054</v>
      </c>
      <c r="E2564" s="2" t="s">
        <v>10055</v>
      </c>
      <c r="F2564" s="2" t="b">
        <v>1</v>
      </c>
      <c r="G2564" s="2" t="b">
        <v>0</v>
      </c>
      <c r="H2564" s="2" t="s">
        <v>10056</v>
      </c>
      <c r="I2564" s="2" t="s">
        <v>32</v>
      </c>
      <c r="J2564" s="2" t="s">
        <v>169</v>
      </c>
      <c r="K2564" s="2" t="s">
        <v>24</v>
      </c>
      <c r="L2564" s="13" t="s">
        <v>51</v>
      </c>
      <c r="M2564" s="2" t="s">
        <v>26</v>
      </c>
      <c r="P2564" s="5" t="str">
        <f>IFERROR(__xludf.DUMMYFUNCTION("TEXTJOIN("" | "",TRUE,IF(OR(D2564="""",E2564="""",I2564="""",J2564="""",H2564=""""),""ফাঁকা ঘর"",""""),IF(AND(C2564&lt;&gt;"""",D2564&lt;&gt;"""",C2564=D2564),""gloss=figurative"",""""),IF(LEN(D2564)&lt;15,""figurative ছোট"",""""),IF(AND(I2564=""Positive"",REGEXMATCH(H2"&amp;"564,""মূর্খ|ভণ্ড|প্রতার|অলস|লোভ|স্বার্থ|অক্ষম|অযোগ্য|বোকা|কৃপণ|হিংস"")),""valence-target অমিল"",""""),IF(COUNTIF($B:$B,B2564)&gt;1,""ডুপ্লিকেট"",""""))"),"")</f>
        <v/>
      </c>
      <c r="Q2564" s="5" t="str">
        <f t="shared" si="1"/>
        <v>২ পরে</v>
      </c>
    </row>
    <row r="2565">
      <c r="A2565" s="4">
        <v>318.0</v>
      </c>
      <c r="B2565" s="2" t="s">
        <v>10057</v>
      </c>
      <c r="C2565" s="2" t="s">
        <v>10058</v>
      </c>
      <c r="D2565" s="2" t="s">
        <v>10059</v>
      </c>
      <c r="E2565" s="2" t="s">
        <v>10060</v>
      </c>
      <c r="F2565" s="2" t="b">
        <v>1</v>
      </c>
      <c r="G2565" s="2" t="b">
        <v>0</v>
      </c>
      <c r="H2565" s="2" t="s">
        <v>10061</v>
      </c>
      <c r="I2565" s="2" t="s">
        <v>22</v>
      </c>
      <c r="J2565" s="2" t="s">
        <v>59</v>
      </c>
      <c r="K2565" s="2" t="s">
        <v>24</v>
      </c>
      <c r="L2565" s="13" t="s">
        <v>51</v>
      </c>
      <c r="M2565" s="2" t="s">
        <v>26</v>
      </c>
      <c r="P2565" s="5" t="str">
        <f>IFERROR(__xludf.DUMMYFUNCTION("TEXTJOIN("" | "",TRUE,IF(OR(D2565="""",E2565="""",I2565="""",J2565="""",H2565=""""),""ফাঁকা ঘর"",""""),IF(AND(C2565&lt;&gt;"""",D2565&lt;&gt;"""",C2565=D2565),""gloss=figurative"",""""),IF(LEN(D2565)&lt;15,""figurative ছোট"",""""),IF(AND(I2565=""Positive"",REGEXMATCH(H2"&amp;"565,""মূর্খ|ভণ্ড|প্রতার|অলস|লোভ|স্বার্থ|অক্ষম|অযোগ্য|বোকা|কৃপণ|হিংস"")),""valence-target অমিল"",""""),IF(COUNTIF($B:$B,B2565)&gt;1,""ডুপ্লিকেট"",""""))"),"")</f>
        <v/>
      </c>
      <c r="Q2565" s="5" t="str">
        <f t="shared" si="1"/>
        <v>২ পরে</v>
      </c>
    </row>
    <row r="2566">
      <c r="A2566" s="4">
        <v>319.0</v>
      </c>
      <c r="B2566" s="2" t="s">
        <v>10062</v>
      </c>
      <c r="C2566" s="2" t="s">
        <v>10063</v>
      </c>
      <c r="D2566" s="2" t="s">
        <v>10064</v>
      </c>
      <c r="E2566" s="2" t="s">
        <v>10065</v>
      </c>
      <c r="F2566" s="2" t="b">
        <v>1</v>
      </c>
      <c r="G2566" s="2" t="b">
        <v>0</v>
      </c>
      <c r="H2566" s="2" t="s">
        <v>8848</v>
      </c>
      <c r="I2566" s="2" t="s">
        <v>22</v>
      </c>
      <c r="J2566" s="2" t="s">
        <v>123</v>
      </c>
      <c r="K2566" s="2" t="s">
        <v>24</v>
      </c>
      <c r="L2566" s="13" t="s">
        <v>51</v>
      </c>
      <c r="M2566" s="2" t="s">
        <v>26</v>
      </c>
      <c r="P2566" s="5" t="str">
        <f>IFERROR(__xludf.DUMMYFUNCTION("TEXTJOIN("" | "",TRUE,IF(OR(D2566="""",E2566="""",I2566="""",J2566="""",H2566=""""),""ফাঁকা ঘর"",""""),IF(AND(C2566&lt;&gt;"""",D2566&lt;&gt;"""",C2566=D2566),""gloss=figurative"",""""),IF(LEN(D2566)&lt;15,""figurative ছোট"",""""),IF(AND(I2566=""Positive"",REGEXMATCH(H2"&amp;"566,""মূর্খ|ভণ্ড|প্রতার|অলস|লোভ|স্বার্থ|অক্ষম|অযোগ্য|বোকা|কৃপণ|হিংস"")),""valence-target অমিল"",""""),IF(COUNTIF($B:$B,B2566)&gt;1,""ডুপ্লিকেট"",""""))"),"")</f>
        <v/>
      </c>
      <c r="Q2566" s="5" t="str">
        <f t="shared" si="1"/>
        <v>২ পরে</v>
      </c>
    </row>
    <row r="2567">
      <c r="A2567" s="4">
        <v>320.0</v>
      </c>
      <c r="B2567" s="2" t="s">
        <v>10066</v>
      </c>
      <c r="C2567" s="2" t="s">
        <v>10067</v>
      </c>
      <c r="D2567" s="2" t="s">
        <v>10068</v>
      </c>
      <c r="E2567" s="2" t="s">
        <v>10069</v>
      </c>
      <c r="F2567" s="2" t="b">
        <v>1</v>
      </c>
      <c r="G2567" s="2" t="b">
        <v>0</v>
      </c>
      <c r="H2567" s="2" t="s">
        <v>390</v>
      </c>
      <c r="I2567" s="2" t="s">
        <v>22</v>
      </c>
      <c r="J2567" s="2" t="s">
        <v>59</v>
      </c>
      <c r="K2567" s="2" t="s">
        <v>24</v>
      </c>
      <c r="L2567" s="13" t="s">
        <v>51</v>
      </c>
      <c r="M2567" s="2" t="s">
        <v>26</v>
      </c>
      <c r="P2567" s="5" t="str">
        <f>IFERROR(__xludf.DUMMYFUNCTION("TEXTJOIN("" | "",TRUE,IF(OR(D2567="""",E2567="""",I2567="""",J2567="""",H2567=""""),""ফাঁকা ঘর"",""""),IF(AND(C2567&lt;&gt;"""",D2567&lt;&gt;"""",C2567=D2567),""gloss=figurative"",""""),IF(LEN(D2567)&lt;15,""figurative ছোট"",""""),IF(AND(I2567=""Positive"",REGEXMATCH(H2"&amp;"567,""মূর্খ|ভণ্ড|প্রতার|অলস|লোভ|স্বার্থ|অক্ষম|অযোগ্য|বোকা|কৃপণ|হিংস"")),""valence-target অমিল"",""""),IF(COUNTIF($B:$B,B2567)&gt;1,""ডুপ্লিকেট"",""""))"),"")</f>
        <v/>
      </c>
      <c r="Q2567" s="5" t="str">
        <f t="shared" si="1"/>
        <v>২ পরে</v>
      </c>
    </row>
    <row r="2568">
      <c r="A2568" s="4">
        <v>321.0</v>
      </c>
      <c r="B2568" s="2" t="s">
        <v>10070</v>
      </c>
      <c r="C2568" s="2" t="s">
        <v>10071</v>
      </c>
      <c r="D2568" s="2" t="s">
        <v>10072</v>
      </c>
      <c r="E2568" s="2" t="s">
        <v>6361</v>
      </c>
      <c r="F2568" s="2" t="b">
        <v>1</v>
      </c>
      <c r="G2568" s="2" t="b">
        <v>0</v>
      </c>
      <c r="H2568" s="2" t="s">
        <v>308</v>
      </c>
      <c r="I2568" s="2" t="s">
        <v>49</v>
      </c>
      <c r="J2568" s="2" t="s">
        <v>324</v>
      </c>
      <c r="K2568" s="2" t="s">
        <v>24</v>
      </c>
      <c r="L2568" s="13" t="s">
        <v>51</v>
      </c>
      <c r="M2568" s="2" t="s">
        <v>26</v>
      </c>
      <c r="P2568" s="5" t="str">
        <f>IFERROR(__xludf.DUMMYFUNCTION("TEXTJOIN("" | "",TRUE,IF(OR(D2568="""",E2568="""",I2568="""",J2568="""",H2568=""""),""ফাঁকা ঘর"",""""),IF(AND(C2568&lt;&gt;"""",D2568&lt;&gt;"""",C2568=D2568),""gloss=figurative"",""""),IF(LEN(D2568)&lt;15,""figurative ছোট"",""""),IF(AND(I2568=""Positive"",REGEXMATCH(H2"&amp;"568,""মূর্খ|ভণ্ড|প্রতার|অলস|লোভ|স্বার্থ|অক্ষম|অযোগ্য|বোকা|কৃপণ|হিংস"")),""valence-target অমিল"",""""),IF(COUNTIF($B:$B,B2568)&gt;1,""ডুপ্লিকেট"",""""))"),"")</f>
        <v/>
      </c>
      <c r="Q2568" s="5" t="str">
        <f t="shared" si="1"/>
        <v>২ পরে</v>
      </c>
    </row>
    <row r="2569">
      <c r="A2569" s="4">
        <v>322.0</v>
      </c>
      <c r="B2569" s="2" t="s">
        <v>10073</v>
      </c>
      <c r="C2569" s="2" t="s">
        <v>10074</v>
      </c>
      <c r="D2569" s="2" t="s">
        <v>10075</v>
      </c>
      <c r="E2569" s="2" t="s">
        <v>10076</v>
      </c>
      <c r="F2569" s="2" t="b">
        <v>1</v>
      </c>
      <c r="G2569" s="2" t="b">
        <v>0</v>
      </c>
      <c r="H2569" s="2" t="s">
        <v>10077</v>
      </c>
      <c r="I2569" s="2" t="s">
        <v>22</v>
      </c>
      <c r="J2569" s="2" t="s">
        <v>10078</v>
      </c>
      <c r="K2569" s="2" t="s">
        <v>24</v>
      </c>
      <c r="L2569" s="13" t="s">
        <v>51</v>
      </c>
      <c r="M2569" s="2" t="s">
        <v>26</v>
      </c>
      <c r="P2569" s="5" t="str">
        <f>IFERROR(__xludf.DUMMYFUNCTION("TEXTJOIN("" | "",TRUE,IF(OR(D2569="""",E2569="""",I2569="""",J2569="""",H2569=""""),""ফাঁকা ঘর"",""""),IF(AND(C2569&lt;&gt;"""",D2569&lt;&gt;"""",C2569=D2569),""gloss=figurative"",""""),IF(LEN(D2569)&lt;15,""figurative ছোট"",""""),IF(AND(I2569=""Positive"",REGEXMATCH(H2"&amp;"569,""মূর্খ|ভণ্ড|প্রতার|অলস|লোভ|স্বার্থ|অক্ষম|অযোগ্য|বোকা|কৃপণ|হিংস"")),""valence-target অমিল"",""""),IF(COUNTIF($B:$B,B2569)&gt;1,""ডুপ্লিকেট"",""""))"),"")</f>
        <v/>
      </c>
      <c r="Q2569" s="5" t="str">
        <f t="shared" si="1"/>
        <v>২ পরে</v>
      </c>
    </row>
    <row r="2570">
      <c r="A2570" s="4">
        <v>323.0</v>
      </c>
      <c r="B2570" s="2" t="s">
        <v>10079</v>
      </c>
      <c r="C2570" s="2" t="s">
        <v>10080</v>
      </c>
      <c r="D2570" s="2" t="s">
        <v>10081</v>
      </c>
      <c r="E2570" s="2" t="s">
        <v>10082</v>
      </c>
      <c r="F2570" s="2" t="b">
        <v>1</v>
      </c>
      <c r="G2570" s="2" t="b">
        <v>0</v>
      </c>
      <c r="H2570" s="2" t="s">
        <v>10083</v>
      </c>
      <c r="I2570" s="2" t="s">
        <v>49</v>
      </c>
      <c r="J2570" s="2" t="s">
        <v>10084</v>
      </c>
      <c r="K2570" s="2" t="s">
        <v>24</v>
      </c>
      <c r="L2570" s="13" t="s">
        <v>51</v>
      </c>
      <c r="M2570" s="2" t="s">
        <v>26</v>
      </c>
      <c r="P2570" s="5" t="str">
        <f>IFERROR(__xludf.DUMMYFUNCTION("TEXTJOIN("" | "",TRUE,IF(OR(D2570="""",E2570="""",I2570="""",J2570="""",H2570=""""),""ফাঁকা ঘর"",""""),IF(AND(C2570&lt;&gt;"""",D2570&lt;&gt;"""",C2570=D2570),""gloss=figurative"",""""),IF(LEN(D2570)&lt;15,""figurative ছোট"",""""),IF(AND(I2570=""Positive"",REGEXMATCH(H2"&amp;"570,""মূর্খ|ভণ্ড|প্রতার|অলস|লোভ|স্বার্থ|অক্ষম|অযোগ্য|বোকা|কৃপণ|হিংস"")),""valence-target অমিল"",""""),IF(COUNTIF($B:$B,B2570)&gt;1,""ডুপ্লিকেট"",""""))"),"")</f>
        <v/>
      </c>
      <c r="Q2570" s="5" t="str">
        <f t="shared" si="1"/>
        <v>২ পরে</v>
      </c>
    </row>
    <row r="2571">
      <c r="A2571" s="4">
        <v>324.0</v>
      </c>
      <c r="B2571" s="2" t="s">
        <v>10085</v>
      </c>
      <c r="C2571" s="2" t="s">
        <v>10086</v>
      </c>
      <c r="D2571" s="2" t="s">
        <v>10087</v>
      </c>
      <c r="E2571" s="2" t="s">
        <v>10088</v>
      </c>
      <c r="F2571" s="2" t="b">
        <v>1</v>
      </c>
      <c r="G2571" s="2" t="b">
        <v>0</v>
      </c>
      <c r="H2571" s="2" t="s">
        <v>10083</v>
      </c>
      <c r="I2571" s="2" t="s">
        <v>32</v>
      </c>
      <c r="J2571" s="2" t="s">
        <v>10084</v>
      </c>
      <c r="K2571" s="2" t="s">
        <v>24</v>
      </c>
      <c r="L2571" s="13" t="s">
        <v>51</v>
      </c>
      <c r="M2571" s="2" t="s">
        <v>26</v>
      </c>
      <c r="P2571" s="5" t="str">
        <f>IFERROR(__xludf.DUMMYFUNCTION("TEXTJOIN("" | "",TRUE,IF(OR(D2571="""",E2571="""",I2571="""",J2571="""",H2571=""""),""ফাঁকা ঘর"",""""),IF(AND(C2571&lt;&gt;"""",D2571&lt;&gt;"""",C2571=D2571),""gloss=figurative"",""""),IF(LEN(D2571)&lt;15,""figurative ছোট"",""""),IF(AND(I2571=""Positive"",REGEXMATCH(H2"&amp;"571,""মূর্খ|ভণ্ড|প্রতার|অলস|লোভ|স্বার্থ|অক্ষম|অযোগ্য|বোকা|কৃপণ|হিংস"")),""valence-target অমিল"",""""),IF(COUNTIF($B:$B,B2571)&gt;1,""ডুপ্লিকেট"",""""))"),"")</f>
        <v/>
      </c>
      <c r="Q2571" s="5" t="str">
        <f t="shared" si="1"/>
        <v>২ পরে</v>
      </c>
    </row>
    <row r="2572">
      <c r="A2572" s="4">
        <v>327.0</v>
      </c>
      <c r="B2572" s="2" t="s">
        <v>10089</v>
      </c>
      <c r="C2572" s="2" t="s">
        <v>10090</v>
      </c>
      <c r="D2572" s="2" t="s">
        <v>10091</v>
      </c>
      <c r="E2572" s="2" t="s">
        <v>10092</v>
      </c>
      <c r="F2572" s="2" t="b">
        <v>1</v>
      </c>
      <c r="G2572" s="2" t="b">
        <v>0</v>
      </c>
      <c r="H2572" s="2" t="s">
        <v>8772</v>
      </c>
      <c r="I2572" s="2" t="s">
        <v>49</v>
      </c>
      <c r="J2572" s="2" t="s">
        <v>324</v>
      </c>
      <c r="K2572" s="2" t="s">
        <v>24</v>
      </c>
      <c r="L2572" s="13" t="s">
        <v>51</v>
      </c>
      <c r="M2572" s="2" t="s">
        <v>26</v>
      </c>
      <c r="P2572" s="5" t="str">
        <f>IFERROR(__xludf.DUMMYFUNCTION("TEXTJOIN("" | "",TRUE,IF(OR(D2572="""",E2572="""",I2572="""",J2572="""",H2572=""""),""ফাঁকা ঘর"",""""),IF(AND(C2572&lt;&gt;"""",D2572&lt;&gt;"""",C2572=D2572),""gloss=figurative"",""""),IF(LEN(D2572)&lt;15,""figurative ছোট"",""""),IF(AND(I2572=""Positive"",REGEXMATCH(H2"&amp;"572,""মূর্খ|ভণ্ড|প্রতার|অলস|লোভ|স্বার্থ|অক্ষম|অযোগ্য|বোকা|কৃপণ|হিংস"")),""valence-target অমিল"",""""),IF(COUNTIF($B:$B,B2572)&gt;1,""ডুপ্লিকেট"",""""))"),"")</f>
        <v/>
      </c>
      <c r="Q2572" s="5" t="str">
        <f t="shared" si="1"/>
        <v>২ পরে</v>
      </c>
    </row>
    <row r="2573">
      <c r="A2573" s="4">
        <v>328.0</v>
      </c>
      <c r="B2573" s="2" t="s">
        <v>10093</v>
      </c>
      <c r="C2573" s="2" t="s">
        <v>10094</v>
      </c>
      <c r="D2573" s="2" t="s">
        <v>10095</v>
      </c>
      <c r="E2573" s="2" t="s">
        <v>10096</v>
      </c>
      <c r="F2573" s="2" t="b">
        <v>1</v>
      </c>
      <c r="G2573" s="2" t="b">
        <v>0</v>
      </c>
      <c r="H2573" s="2" t="s">
        <v>5587</v>
      </c>
      <c r="I2573" s="2" t="s">
        <v>49</v>
      </c>
      <c r="J2573" s="2" t="s">
        <v>142</v>
      </c>
      <c r="K2573" s="2" t="s">
        <v>24</v>
      </c>
      <c r="L2573" s="13" t="s">
        <v>51</v>
      </c>
      <c r="M2573" s="2" t="s">
        <v>26</v>
      </c>
      <c r="P2573" s="5" t="str">
        <f>IFERROR(__xludf.DUMMYFUNCTION("TEXTJOIN("" | "",TRUE,IF(OR(D2573="""",E2573="""",I2573="""",J2573="""",H2573=""""),""ফাঁকা ঘর"",""""),IF(AND(C2573&lt;&gt;"""",D2573&lt;&gt;"""",C2573=D2573),""gloss=figurative"",""""),IF(LEN(D2573)&lt;15,""figurative ছোট"",""""),IF(AND(I2573=""Positive"",REGEXMATCH(H2"&amp;"573,""মূর্খ|ভণ্ড|প্রতার|অলস|লোভ|স্বার্থ|অক্ষম|অযোগ্য|বোকা|কৃপণ|হিংস"")),""valence-target অমিল"",""""),IF(COUNTIF($B:$B,B2573)&gt;1,""ডুপ্লিকেট"",""""))"),"")</f>
        <v/>
      </c>
      <c r="Q2573" s="5" t="str">
        <f t="shared" si="1"/>
        <v>২ পরে</v>
      </c>
    </row>
    <row r="2574">
      <c r="A2574" s="4">
        <v>329.0</v>
      </c>
      <c r="B2574" s="2" t="s">
        <v>10097</v>
      </c>
      <c r="C2574" s="2" t="s">
        <v>10098</v>
      </c>
      <c r="D2574" s="2" t="s">
        <v>10099</v>
      </c>
      <c r="E2574" s="2" t="s">
        <v>10100</v>
      </c>
      <c r="F2574" s="2" t="b">
        <v>1</v>
      </c>
      <c r="G2574" s="2" t="b">
        <v>0</v>
      </c>
      <c r="H2574" s="2" t="s">
        <v>37</v>
      </c>
      <c r="I2574" s="2" t="s">
        <v>32</v>
      </c>
      <c r="J2574" s="2" t="s">
        <v>71</v>
      </c>
      <c r="K2574" s="2" t="s">
        <v>24</v>
      </c>
      <c r="L2574" s="13" t="s">
        <v>51</v>
      </c>
      <c r="M2574" s="2" t="s">
        <v>26</v>
      </c>
      <c r="P2574" s="5" t="str">
        <f>IFERROR(__xludf.DUMMYFUNCTION("TEXTJOIN("" | "",TRUE,IF(OR(D2574="""",E2574="""",I2574="""",J2574="""",H2574=""""),""ফাঁকা ঘর"",""""),IF(AND(C2574&lt;&gt;"""",D2574&lt;&gt;"""",C2574=D2574),""gloss=figurative"",""""),IF(LEN(D2574)&lt;15,""figurative ছোট"",""""),IF(AND(I2574=""Positive"",REGEXMATCH(H2"&amp;"574,""মূর্খ|ভণ্ড|প্রতার|অলস|লোভ|স্বার্থ|অক্ষম|অযোগ্য|বোকা|কৃপণ|হিংস"")),""valence-target অমিল"",""""),IF(COUNTIF($B:$B,B2574)&gt;1,""ডুপ্লিকেট"",""""))"),"")</f>
        <v/>
      </c>
      <c r="Q2574" s="5" t="str">
        <f t="shared" si="1"/>
        <v>২ পরে</v>
      </c>
    </row>
    <row r="2575">
      <c r="A2575" s="4">
        <v>330.0</v>
      </c>
      <c r="B2575" s="2" t="s">
        <v>10101</v>
      </c>
      <c r="C2575" s="2" t="s">
        <v>10102</v>
      </c>
      <c r="D2575" s="2" t="s">
        <v>10103</v>
      </c>
      <c r="E2575" s="2" t="s">
        <v>10104</v>
      </c>
      <c r="F2575" s="2" t="b">
        <v>1</v>
      </c>
      <c r="G2575" s="2" t="b">
        <v>0</v>
      </c>
      <c r="H2575" s="2" t="s">
        <v>10105</v>
      </c>
      <c r="I2575" s="2" t="s">
        <v>49</v>
      </c>
      <c r="J2575" s="2" t="s">
        <v>117</v>
      </c>
      <c r="K2575" s="2" t="s">
        <v>24</v>
      </c>
      <c r="L2575" s="13" t="s">
        <v>51</v>
      </c>
      <c r="M2575" s="2" t="s">
        <v>26</v>
      </c>
      <c r="P2575" s="5" t="str">
        <f>IFERROR(__xludf.DUMMYFUNCTION("TEXTJOIN("" | "",TRUE,IF(OR(D2575="""",E2575="""",I2575="""",J2575="""",H2575=""""),""ফাঁকা ঘর"",""""),IF(AND(C2575&lt;&gt;"""",D2575&lt;&gt;"""",C2575=D2575),""gloss=figurative"",""""),IF(LEN(D2575)&lt;15,""figurative ছোট"",""""),IF(AND(I2575=""Positive"",REGEXMATCH(H2"&amp;"575,""মূর্খ|ভণ্ড|প্রতার|অলস|লোভ|স্বার্থ|অক্ষম|অযোগ্য|বোকা|কৃপণ|হিংস"")),""valence-target অমিল"",""""),IF(COUNTIF($B:$B,B2575)&gt;1,""ডুপ্লিকেট"",""""))"),"")</f>
        <v/>
      </c>
      <c r="Q2575" s="5" t="str">
        <f t="shared" si="1"/>
        <v>২ পরে</v>
      </c>
    </row>
    <row r="2576">
      <c r="A2576" s="4">
        <v>331.0</v>
      </c>
      <c r="B2576" s="2" t="s">
        <v>10106</v>
      </c>
      <c r="C2576" s="2" t="s">
        <v>4091</v>
      </c>
      <c r="D2576" s="2" t="s">
        <v>10107</v>
      </c>
      <c r="E2576" s="2" t="s">
        <v>10108</v>
      </c>
      <c r="F2576" s="2" t="b">
        <v>1</v>
      </c>
      <c r="G2576" s="2" t="b">
        <v>0</v>
      </c>
      <c r="H2576" s="2" t="s">
        <v>260</v>
      </c>
      <c r="I2576" s="2" t="s">
        <v>49</v>
      </c>
      <c r="J2576" s="2" t="s">
        <v>162</v>
      </c>
      <c r="K2576" s="2" t="s">
        <v>24</v>
      </c>
      <c r="L2576" s="13" t="s">
        <v>51</v>
      </c>
      <c r="M2576" s="2" t="s">
        <v>26</v>
      </c>
      <c r="P2576" s="5" t="str">
        <f>IFERROR(__xludf.DUMMYFUNCTION("TEXTJOIN("" | "",TRUE,IF(OR(D2576="""",E2576="""",I2576="""",J2576="""",H2576=""""),""ফাঁকা ঘর"",""""),IF(AND(C2576&lt;&gt;"""",D2576&lt;&gt;"""",C2576=D2576),""gloss=figurative"",""""),IF(LEN(D2576)&lt;15,""figurative ছোট"",""""),IF(AND(I2576=""Positive"",REGEXMATCH(H2"&amp;"576,""মূর্খ|ভণ্ড|প্রতার|অলস|লোভ|স্বার্থ|অক্ষম|অযোগ্য|বোকা|কৃপণ|হিংস"")),""valence-target অমিল"",""""),IF(COUNTIF($B:$B,B2576)&gt;1,""ডুপ্লিকেট"",""""))"),"")</f>
        <v/>
      </c>
      <c r="Q2576" s="5" t="str">
        <f t="shared" si="1"/>
        <v>২ পরে</v>
      </c>
    </row>
    <row r="2577">
      <c r="A2577" s="4">
        <v>332.0</v>
      </c>
      <c r="B2577" s="2" t="s">
        <v>10109</v>
      </c>
      <c r="C2577" s="2" t="s">
        <v>4098</v>
      </c>
      <c r="D2577" s="2" t="s">
        <v>10110</v>
      </c>
      <c r="E2577" s="2" t="s">
        <v>10111</v>
      </c>
      <c r="F2577" s="2" t="b">
        <v>1</v>
      </c>
      <c r="G2577" s="2" t="b">
        <v>0</v>
      </c>
      <c r="H2577" s="2" t="s">
        <v>37</v>
      </c>
      <c r="I2577" s="2" t="s">
        <v>32</v>
      </c>
      <c r="J2577" s="2" t="s">
        <v>739</v>
      </c>
      <c r="K2577" s="2" t="s">
        <v>24</v>
      </c>
      <c r="L2577" s="13" t="s">
        <v>51</v>
      </c>
      <c r="M2577" s="2" t="s">
        <v>26</v>
      </c>
      <c r="P2577" s="5" t="str">
        <f>IFERROR(__xludf.DUMMYFUNCTION("TEXTJOIN("" | "",TRUE,IF(OR(D2577="""",E2577="""",I2577="""",J2577="""",H2577=""""),""ফাঁকা ঘর"",""""),IF(AND(C2577&lt;&gt;"""",D2577&lt;&gt;"""",C2577=D2577),""gloss=figurative"",""""),IF(LEN(D2577)&lt;15,""figurative ছোট"",""""),IF(AND(I2577=""Positive"",REGEXMATCH(H2"&amp;"577,""মূর্খ|ভণ্ড|প্রতার|অলস|লোভ|স্বার্থ|অক্ষম|অযোগ্য|বোকা|কৃপণ|হিংস"")),""valence-target অমিল"",""""),IF(COUNTIF($B:$B,B2577)&gt;1,""ডুপ্লিকেট"",""""))"),"")</f>
        <v/>
      </c>
      <c r="Q2577" s="5" t="str">
        <f t="shared" si="1"/>
        <v>২ পরে</v>
      </c>
    </row>
    <row r="2578">
      <c r="A2578" s="4">
        <v>333.0</v>
      </c>
      <c r="B2578" s="2" t="s">
        <v>10112</v>
      </c>
      <c r="C2578" s="2" t="s">
        <v>10113</v>
      </c>
      <c r="D2578" s="2" t="s">
        <v>10114</v>
      </c>
      <c r="E2578" s="2" t="s">
        <v>10115</v>
      </c>
      <c r="F2578" s="2" t="b">
        <v>1</v>
      </c>
      <c r="G2578" s="2" t="b">
        <v>0</v>
      </c>
      <c r="H2578" s="2" t="s">
        <v>37</v>
      </c>
      <c r="I2578" s="2" t="s">
        <v>49</v>
      </c>
      <c r="J2578" s="2" t="s">
        <v>4670</v>
      </c>
      <c r="K2578" s="2" t="s">
        <v>24</v>
      </c>
      <c r="L2578" s="13" t="s">
        <v>51</v>
      </c>
      <c r="M2578" s="2" t="s">
        <v>26</v>
      </c>
      <c r="P2578" s="5" t="str">
        <f>IFERROR(__xludf.DUMMYFUNCTION("TEXTJOIN("" | "",TRUE,IF(OR(D2578="""",E2578="""",I2578="""",J2578="""",H2578=""""),""ফাঁকা ঘর"",""""),IF(AND(C2578&lt;&gt;"""",D2578&lt;&gt;"""",C2578=D2578),""gloss=figurative"",""""),IF(LEN(D2578)&lt;15,""figurative ছোট"",""""),IF(AND(I2578=""Positive"",REGEXMATCH(H2"&amp;"578,""মূর্খ|ভণ্ড|প্রতার|অলস|লোভ|স্বার্থ|অক্ষম|অযোগ্য|বোকা|কৃপণ|হিংস"")),""valence-target অমিল"",""""),IF(COUNTIF($B:$B,B2578)&gt;1,""ডুপ্লিকেট"",""""))"),"")</f>
        <v/>
      </c>
      <c r="Q2578" s="5" t="str">
        <f t="shared" si="1"/>
        <v>২ পরে</v>
      </c>
    </row>
    <row r="2579">
      <c r="A2579" s="4">
        <v>334.0</v>
      </c>
      <c r="B2579" s="2" t="s">
        <v>10116</v>
      </c>
      <c r="C2579" s="2" t="s">
        <v>10117</v>
      </c>
      <c r="D2579" s="2" t="s">
        <v>10118</v>
      </c>
      <c r="E2579" s="2" t="s">
        <v>10119</v>
      </c>
      <c r="F2579" s="2" t="b">
        <v>1</v>
      </c>
      <c r="G2579" s="2" t="b">
        <v>0</v>
      </c>
      <c r="H2579" s="2" t="s">
        <v>10120</v>
      </c>
      <c r="I2579" s="2" t="s">
        <v>49</v>
      </c>
      <c r="J2579" s="2" t="s">
        <v>142</v>
      </c>
      <c r="K2579" s="2" t="s">
        <v>24</v>
      </c>
      <c r="L2579" s="13" t="s">
        <v>51</v>
      </c>
      <c r="M2579" s="2" t="s">
        <v>26</v>
      </c>
      <c r="P2579" s="5" t="str">
        <f>IFERROR(__xludf.DUMMYFUNCTION("TEXTJOIN("" | "",TRUE,IF(OR(D2579="""",E2579="""",I2579="""",J2579="""",H2579=""""),""ফাঁকা ঘর"",""""),IF(AND(C2579&lt;&gt;"""",D2579&lt;&gt;"""",C2579=D2579),""gloss=figurative"",""""),IF(LEN(D2579)&lt;15,""figurative ছোট"",""""),IF(AND(I2579=""Positive"",REGEXMATCH(H2"&amp;"579,""মূর্খ|ভণ্ড|প্রতার|অলস|লোভ|স্বার্থ|অক্ষম|অযোগ্য|বোকা|কৃপণ|হিংস"")),""valence-target অমিল"",""""),IF(COUNTIF($B:$B,B2579)&gt;1,""ডুপ্লিকেট"",""""))"),"")</f>
        <v/>
      </c>
      <c r="Q2579" s="5" t="str">
        <f t="shared" si="1"/>
        <v>২ পরে</v>
      </c>
    </row>
    <row r="2580">
      <c r="A2580" s="4">
        <v>335.0</v>
      </c>
      <c r="B2580" s="2" t="s">
        <v>10121</v>
      </c>
      <c r="C2580" s="2" t="s">
        <v>10122</v>
      </c>
      <c r="D2580" s="2" t="s">
        <v>9064</v>
      </c>
      <c r="E2580" s="2" t="s">
        <v>10123</v>
      </c>
      <c r="F2580" s="2" t="b">
        <v>1</v>
      </c>
      <c r="G2580" s="2" t="b">
        <v>0</v>
      </c>
      <c r="H2580" s="2" t="s">
        <v>37</v>
      </c>
      <c r="I2580" s="2" t="s">
        <v>32</v>
      </c>
      <c r="J2580" s="2" t="s">
        <v>9066</v>
      </c>
      <c r="K2580" s="2" t="s">
        <v>24</v>
      </c>
      <c r="L2580" s="13" t="s">
        <v>51</v>
      </c>
      <c r="M2580" s="2" t="s">
        <v>26</v>
      </c>
      <c r="P2580" s="5" t="str">
        <f>IFERROR(__xludf.DUMMYFUNCTION("TEXTJOIN("" | "",TRUE,IF(OR(D2580="""",E2580="""",I2580="""",J2580="""",H2580=""""),""ফাঁকা ঘর"",""""),IF(AND(C2580&lt;&gt;"""",D2580&lt;&gt;"""",C2580=D2580),""gloss=figurative"",""""),IF(LEN(D2580)&lt;15,""figurative ছোট"",""""),IF(AND(I2580=""Positive"",REGEXMATCH(H2"&amp;"580,""মূর্খ|ভণ্ড|প্রতার|অলস|লোভ|স্বার্থ|অক্ষম|অযোগ্য|বোকা|কৃপণ|হিংস"")),""valence-target অমিল"",""""),IF(COUNTIF($B:$B,B2580)&gt;1,""ডুপ্লিকেট"",""""))"),"")</f>
        <v/>
      </c>
      <c r="Q2580" s="5" t="str">
        <f t="shared" si="1"/>
        <v>২ পরে</v>
      </c>
    </row>
    <row r="2581">
      <c r="A2581" s="4">
        <v>336.0</v>
      </c>
      <c r="B2581" s="2" t="s">
        <v>10124</v>
      </c>
      <c r="C2581" s="2" t="s">
        <v>1322</v>
      </c>
      <c r="D2581" s="2" t="s">
        <v>9064</v>
      </c>
      <c r="E2581" s="2" t="s">
        <v>10125</v>
      </c>
      <c r="F2581" s="2" t="b">
        <v>1</v>
      </c>
      <c r="G2581" s="2" t="b">
        <v>0</v>
      </c>
      <c r="H2581" s="2" t="s">
        <v>37</v>
      </c>
      <c r="I2581" s="2" t="s">
        <v>32</v>
      </c>
      <c r="J2581" s="2" t="s">
        <v>9066</v>
      </c>
      <c r="K2581" s="2" t="s">
        <v>24</v>
      </c>
      <c r="L2581" s="13" t="s">
        <v>51</v>
      </c>
      <c r="M2581" s="2" t="s">
        <v>26</v>
      </c>
      <c r="P2581" s="5" t="str">
        <f>IFERROR(__xludf.DUMMYFUNCTION("TEXTJOIN("" | "",TRUE,IF(OR(D2581="""",E2581="""",I2581="""",J2581="""",H2581=""""),""ফাঁকা ঘর"",""""),IF(AND(C2581&lt;&gt;"""",D2581&lt;&gt;"""",C2581=D2581),""gloss=figurative"",""""),IF(LEN(D2581)&lt;15,""figurative ছোট"",""""),IF(AND(I2581=""Positive"",REGEXMATCH(H2"&amp;"581,""মূর্খ|ভণ্ড|প্রতার|অলস|লোভ|স্বার্থ|অক্ষম|অযোগ্য|বোকা|কৃপণ|হিংস"")),""valence-target অমিল"",""""),IF(COUNTIF($B:$B,B2581)&gt;1,""ডুপ্লিকেট"",""""))"),"")</f>
        <v/>
      </c>
      <c r="Q2581" s="5" t="str">
        <f t="shared" si="1"/>
        <v>২ পরে</v>
      </c>
    </row>
    <row r="2582">
      <c r="A2582" s="4">
        <v>337.0</v>
      </c>
      <c r="B2582" s="2" t="s">
        <v>10126</v>
      </c>
      <c r="C2582" s="2" t="s">
        <v>10127</v>
      </c>
      <c r="D2582" s="2" t="s">
        <v>10128</v>
      </c>
      <c r="E2582" s="2" t="s">
        <v>10129</v>
      </c>
      <c r="F2582" s="2" t="b">
        <v>1</v>
      </c>
      <c r="G2582" s="2" t="b">
        <v>0</v>
      </c>
      <c r="H2582" s="2" t="s">
        <v>308</v>
      </c>
      <c r="I2582" s="2" t="s">
        <v>22</v>
      </c>
      <c r="J2582" s="2" t="s">
        <v>324</v>
      </c>
      <c r="K2582" s="2" t="s">
        <v>24</v>
      </c>
      <c r="L2582" s="13" t="s">
        <v>51</v>
      </c>
      <c r="M2582" s="2" t="s">
        <v>26</v>
      </c>
      <c r="P2582" s="5" t="str">
        <f>IFERROR(__xludf.DUMMYFUNCTION("TEXTJOIN("" | "",TRUE,IF(OR(D2582="""",E2582="""",I2582="""",J2582="""",H2582=""""),""ফাঁকা ঘর"",""""),IF(AND(C2582&lt;&gt;"""",D2582&lt;&gt;"""",C2582=D2582),""gloss=figurative"",""""),IF(LEN(D2582)&lt;15,""figurative ছোট"",""""),IF(AND(I2582=""Positive"",REGEXMATCH(H2"&amp;"582,""মূর্খ|ভণ্ড|প্রতার|অলস|লোভ|স্বার্থ|অক্ষম|অযোগ্য|বোকা|কৃপণ|হিংস"")),""valence-target অমিল"",""""),IF(COUNTIF($B:$B,B2582)&gt;1,""ডুপ্লিকেট"",""""))"),"")</f>
        <v/>
      </c>
      <c r="Q2582" s="5" t="str">
        <f t="shared" si="1"/>
        <v>২ পরে</v>
      </c>
    </row>
    <row r="2583">
      <c r="A2583" s="4">
        <v>338.0</v>
      </c>
      <c r="B2583" s="2" t="s">
        <v>10130</v>
      </c>
      <c r="C2583" s="2" t="s">
        <v>4091</v>
      </c>
      <c r="D2583" s="2" t="s">
        <v>10107</v>
      </c>
      <c r="E2583" s="2" t="s">
        <v>10131</v>
      </c>
      <c r="F2583" s="2" t="b">
        <v>1</v>
      </c>
      <c r="G2583" s="2" t="b">
        <v>0</v>
      </c>
      <c r="H2583" s="2" t="s">
        <v>260</v>
      </c>
      <c r="I2583" s="2" t="s">
        <v>49</v>
      </c>
      <c r="J2583" s="2" t="s">
        <v>162</v>
      </c>
      <c r="K2583" s="2" t="s">
        <v>24</v>
      </c>
      <c r="L2583" s="13" t="s">
        <v>51</v>
      </c>
      <c r="M2583" s="2" t="s">
        <v>26</v>
      </c>
      <c r="P2583" s="5" t="str">
        <f>IFERROR(__xludf.DUMMYFUNCTION("TEXTJOIN("" | "",TRUE,IF(OR(D2583="""",E2583="""",I2583="""",J2583="""",H2583=""""),""ফাঁকা ঘর"",""""),IF(AND(C2583&lt;&gt;"""",D2583&lt;&gt;"""",C2583=D2583),""gloss=figurative"",""""),IF(LEN(D2583)&lt;15,""figurative ছোট"",""""),IF(AND(I2583=""Positive"",REGEXMATCH(H2"&amp;"583,""মূর্খ|ভণ্ড|প্রতার|অলস|লোভ|স্বার্থ|অক্ষম|অযোগ্য|বোকা|কৃপণ|হিংস"")),""valence-target অমিল"",""""),IF(COUNTIF($B:$B,B2583)&gt;1,""ডুপ্লিকেট"",""""))"),"")</f>
        <v/>
      </c>
      <c r="Q2583" s="5" t="str">
        <f t="shared" si="1"/>
        <v>২ পরে</v>
      </c>
    </row>
    <row r="2584">
      <c r="A2584" s="4">
        <v>340.0</v>
      </c>
      <c r="B2584" s="2" t="s">
        <v>10132</v>
      </c>
      <c r="C2584" s="2" t="s">
        <v>10133</v>
      </c>
      <c r="D2584" s="2" t="s">
        <v>9446</v>
      </c>
      <c r="E2584" s="2" t="s">
        <v>10134</v>
      </c>
      <c r="F2584" s="2" t="b">
        <v>1</v>
      </c>
      <c r="G2584" s="2" t="b">
        <v>0</v>
      </c>
      <c r="H2584" s="2" t="s">
        <v>37</v>
      </c>
      <c r="I2584" s="2" t="s">
        <v>22</v>
      </c>
      <c r="J2584" s="2" t="s">
        <v>9037</v>
      </c>
      <c r="K2584" s="2" t="s">
        <v>24</v>
      </c>
      <c r="L2584" s="13" t="s">
        <v>51</v>
      </c>
      <c r="M2584" s="2" t="s">
        <v>26</v>
      </c>
      <c r="P2584" s="5" t="str">
        <f>IFERROR(__xludf.DUMMYFUNCTION("TEXTJOIN("" | "",TRUE,IF(OR(D2584="""",E2584="""",I2584="""",J2584="""",H2584=""""),""ফাঁকা ঘর"",""""),IF(AND(C2584&lt;&gt;"""",D2584&lt;&gt;"""",C2584=D2584),""gloss=figurative"",""""),IF(LEN(D2584)&lt;15,""figurative ছোট"",""""),IF(AND(I2584=""Positive"",REGEXMATCH(H2"&amp;"584,""মূর্খ|ভণ্ড|প্রতার|অলস|লোভ|স্বার্থ|অক্ষম|অযোগ্য|বোকা|কৃপণ|হিংস"")),""valence-target অমিল"",""""),IF(COUNTIF($B:$B,B2584)&gt;1,""ডুপ্লিকেট"",""""))"),"")</f>
        <v/>
      </c>
      <c r="Q2584" s="5" t="str">
        <f t="shared" si="1"/>
        <v>২ পরে</v>
      </c>
    </row>
    <row r="2585">
      <c r="A2585" s="4">
        <v>341.0</v>
      </c>
      <c r="B2585" s="2" t="s">
        <v>10135</v>
      </c>
      <c r="C2585" s="2" t="s">
        <v>10136</v>
      </c>
      <c r="D2585" s="2" t="s">
        <v>10137</v>
      </c>
      <c r="E2585" s="2" t="s">
        <v>10138</v>
      </c>
      <c r="F2585" s="2" t="b">
        <v>1</v>
      </c>
      <c r="G2585" s="2" t="b">
        <v>0</v>
      </c>
      <c r="H2585" s="2" t="s">
        <v>8809</v>
      </c>
      <c r="I2585" s="2" t="s">
        <v>49</v>
      </c>
      <c r="J2585" s="2" t="s">
        <v>123</v>
      </c>
      <c r="K2585" s="2" t="s">
        <v>24</v>
      </c>
      <c r="L2585" s="13" t="s">
        <v>51</v>
      </c>
      <c r="M2585" s="2" t="s">
        <v>26</v>
      </c>
      <c r="P2585" s="5" t="str">
        <f>IFERROR(__xludf.DUMMYFUNCTION("TEXTJOIN("" | "",TRUE,IF(OR(D2585="""",E2585="""",I2585="""",J2585="""",H2585=""""),""ফাঁকা ঘর"",""""),IF(AND(C2585&lt;&gt;"""",D2585&lt;&gt;"""",C2585=D2585),""gloss=figurative"",""""),IF(LEN(D2585)&lt;15,""figurative ছোট"",""""),IF(AND(I2585=""Positive"",REGEXMATCH(H2"&amp;"585,""মূর্খ|ভণ্ড|প্রতার|অলস|লোভ|স্বার্থ|অক্ষম|অযোগ্য|বোকা|কৃপণ|হিংস"")),""valence-target অমিল"",""""),IF(COUNTIF($B:$B,B2585)&gt;1,""ডুপ্লিকেট"",""""))"),"")</f>
        <v/>
      </c>
      <c r="Q2585" s="5" t="str">
        <f t="shared" si="1"/>
        <v>২ পরে</v>
      </c>
    </row>
    <row r="2586">
      <c r="A2586" s="4">
        <v>342.0</v>
      </c>
      <c r="B2586" s="2" t="s">
        <v>10139</v>
      </c>
      <c r="C2586" s="2" t="s">
        <v>10140</v>
      </c>
      <c r="D2586" s="2" t="s">
        <v>10141</v>
      </c>
      <c r="E2586" s="2" t="s">
        <v>10142</v>
      </c>
      <c r="F2586" s="2" t="b">
        <v>1</v>
      </c>
      <c r="G2586" s="2" t="b">
        <v>0</v>
      </c>
      <c r="H2586" s="2" t="s">
        <v>65</v>
      </c>
      <c r="I2586" s="2" t="s">
        <v>22</v>
      </c>
      <c r="J2586" s="2" t="s">
        <v>123</v>
      </c>
      <c r="K2586" s="2" t="s">
        <v>24</v>
      </c>
      <c r="L2586" s="13" t="s">
        <v>51</v>
      </c>
      <c r="M2586" s="2" t="s">
        <v>26</v>
      </c>
      <c r="P2586" s="5" t="str">
        <f>IFERROR(__xludf.DUMMYFUNCTION("TEXTJOIN("" | "",TRUE,IF(OR(D2586="""",E2586="""",I2586="""",J2586="""",H2586=""""),""ফাঁকা ঘর"",""""),IF(AND(C2586&lt;&gt;"""",D2586&lt;&gt;"""",C2586=D2586),""gloss=figurative"",""""),IF(LEN(D2586)&lt;15,""figurative ছোট"",""""),IF(AND(I2586=""Positive"",REGEXMATCH(H2"&amp;"586,""মূর্খ|ভণ্ড|প্রতার|অলস|লোভ|স্বার্থ|অক্ষম|অযোগ্য|বোকা|কৃপণ|হিংস"")),""valence-target অমিল"",""""),IF(COUNTIF($B:$B,B2586)&gt;1,""ডুপ্লিকেট"",""""))"),"")</f>
        <v/>
      </c>
      <c r="Q2586" s="5" t="str">
        <f t="shared" si="1"/>
        <v>২ পরে</v>
      </c>
    </row>
    <row r="2587">
      <c r="A2587" s="4">
        <v>343.0</v>
      </c>
      <c r="B2587" s="2" t="s">
        <v>10143</v>
      </c>
      <c r="C2587" s="2" t="s">
        <v>10144</v>
      </c>
      <c r="D2587" s="2" t="s">
        <v>10145</v>
      </c>
      <c r="E2587" s="2" t="s">
        <v>10146</v>
      </c>
      <c r="F2587" s="2" t="b">
        <v>1</v>
      </c>
      <c r="G2587" s="2" t="b">
        <v>0</v>
      </c>
      <c r="H2587" s="2" t="s">
        <v>8809</v>
      </c>
      <c r="I2587" s="2" t="s">
        <v>32</v>
      </c>
      <c r="J2587" s="2" t="s">
        <v>123</v>
      </c>
      <c r="K2587" s="2" t="s">
        <v>24</v>
      </c>
      <c r="L2587" s="13" t="s">
        <v>51</v>
      </c>
      <c r="M2587" s="2" t="s">
        <v>26</v>
      </c>
      <c r="P2587" s="5" t="str">
        <f>IFERROR(__xludf.DUMMYFUNCTION("TEXTJOIN("" | "",TRUE,IF(OR(D2587="""",E2587="""",I2587="""",J2587="""",H2587=""""),""ফাঁকা ঘর"",""""),IF(AND(C2587&lt;&gt;"""",D2587&lt;&gt;"""",C2587=D2587),""gloss=figurative"",""""),IF(LEN(D2587)&lt;15,""figurative ছোট"",""""),IF(AND(I2587=""Positive"",REGEXMATCH(H2"&amp;"587,""মূর্খ|ভণ্ড|প্রতার|অলস|লোভ|স্বার্থ|অক্ষম|অযোগ্য|বোকা|কৃপণ|হিংস"")),""valence-target অমিল"",""""),IF(COUNTIF($B:$B,B2587)&gt;1,""ডুপ্লিকেট"",""""))"),"")</f>
        <v/>
      </c>
      <c r="Q2587" s="5" t="str">
        <f t="shared" si="1"/>
        <v>২ পরে</v>
      </c>
    </row>
    <row r="2588">
      <c r="A2588" s="4">
        <v>344.0</v>
      </c>
      <c r="B2588" s="2" t="s">
        <v>10147</v>
      </c>
      <c r="C2588" s="2" t="s">
        <v>10148</v>
      </c>
      <c r="D2588" s="2" t="s">
        <v>10149</v>
      </c>
      <c r="E2588" s="2" t="s">
        <v>10150</v>
      </c>
      <c r="F2588" s="2" t="b">
        <v>1</v>
      </c>
      <c r="G2588" s="2" t="b">
        <v>0</v>
      </c>
      <c r="H2588" s="2" t="s">
        <v>8809</v>
      </c>
      <c r="I2588" s="2" t="s">
        <v>32</v>
      </c>
      <c r="J2588" s="2" t="s">
        <v>123</v>
      </c>
      <c r="K2588" s="2" t="s">
        <v>24</v>
      </c>
      <c r="L2588" s="13" t="s">
        <v>51</v>
      </c>
      <c r="M2588" s="2" t="s">
        <v>26</v>
      </c>
      <c r="P2588" s="5" t="str">
        <f>IFERROR(__xludf.DUMMYFUNCTION("TEXTJOIN("" | "",TRUE,IF(OR(D2588="""",E2588="""",I2588="""",J2588="""",H2588=""""),""ফাঁকা ঘর"",""""),IF(AND(C2588&lt;&gt;"""",D2588&lt;&gt;"""",C2588=D2588),""gloss=figurative"",""""),IF(LEN(D2588)&lt;15,""figurative ছোট"",""""),IF(AND(I2588=""Positive"",REGEXMATCH(H2"&amp;"588,""মূর্খ|ভণ্ড|প্রতার|অলস|লোভ|স্বার্থ|অক্ষম|অযোগ্য|বোকা|কৃপণ|হিংস"")),""valence-target অমিল"",""""),IF(COUNTIF($B:$B,B2588)&gt;1,""ডুপ্লিকেট"",""""))"),"")</f>
        <v/>
      </c>
      <c r="Q2588" s="5" t="str">
        <f t="shared" si="1"/>
        <v>২ পরে</v>
      </c>
    </row>
    <row r="2589">
      <c r="A2589" s="4">
        <v>345.0</v>
      </c>
      <c r="B2589" s="2" t="s">
        <v>10151</v>
      </c>
      <c r="C2589" s="2" t="s">
        <v>10152</v>
      </c>
      <c r="D2589" s="2" t="s">
        <v>10153</v>
      </c>
      <c r="E2589" s="2" t="s">
        <v>10154</v>
      </c>
      <c r="F2589" s="2" t="b">
        <v>1</v>
      </c>
      <c r="G2589" s="2" t="b">
        <v>0</v>
      </c>
      <c r="H2589" s="2" t="s">
        <v>8809</v>
      </c>
      <c r="I2589" s="2" t="s">
        <v>32</v>
      </c>
      <c r="J2589" s="2" t="s">
        <v>123</v>
      </c>
      <c r="K2589" s="2" t="s">
        <v>24</v>
      </c>
      <c r="L2589" s="13" t="s">
        <v>51</v>
      </c>
      <c r="M2589" s="2" t="s">
        <v>26</v>
      </c>
      <c r="P2589" s="5" t="str">
        <f>IFERROR(__xludf.DUMMYFUNCTION("TEXTJOIN("" | "",TRUE,IF(OR(D2589="""",E2589="""",I2589="""",J2589="""",H2589=""""),""ফাঁকা ঘর"",""""),IF(AND(C2589&lt;&gt;"""",D2589&lt;&gt;"""",C2589=D2589),""gloss=figurative"",""""),IF(LEN(D2589)&lt;15,""figurative ছোট"",""""),IF(AND(I2589=""Positive"",REGEXMATCH(H2"&amp;"589,""মূর্খ|ভণ্ড|প্রতার|অলস|লোভ|স্বার্থ|অক্ষম|অযোগ্য|বোকা|কৃপণ|হিংস"")),""valence-target অমিল"",""""),IF(COUNTIF($B:$B,B2589)&gt;1,""ডুপ্লিকেট"",""""))"),"")</f>
        <v/>
      </c>
      <c r="Q2589" s="5" t="str">
        <f t="shared" si="1"/>
        <v>২ পরে</v>
      </c>
    </row>
    <row r="2590">
      <c r="A2590" s="4">
        <v>346.0</v>
      </c>
      <c r="B2590" s="2" t="s">
        <v>10155</v>
      </c>
      <c r="C2590" s="2" t="s">
        <v>10156</v>
      </c>
      <c r="D2590" s="2" t="s">
        <v>10157</v>
      </c>
      <c r="E2590" s="2" t="s">
        <v>10158</v>
      </c>
      <c r="F2590" s="2" t="b">
        <v>1</v>
      </c>
      <c r="G2590" s="2" t="b">
        <v>0</v>
      </c>
      <c r="H2590" s="2" t="s">
        <v>8809</v>
      </c>
      <c r="I2590" s="2" t="s">
        <v>32</v>
      </c>
      <c r="J2590" s="2" t="s">
        <v>123</v>
      </c>
      <c r="K2590" s="2" t="s">
        <v>24</v>
      </c>
      <c r="L2590" s="13" t="s">
        <v>51</v>
      </c>
      <c r="M2590" s="2" t="s">
        <v>26</v>
      </c>
      <c r="P2590" s="5" t="str">
        <f>IFERROR(__xludf.DUMMYFUNCTION("TEXTJOIN("" | "",TRUE,IF(OR(D2590="""",E2590="""",I2590="""",J2590="""",H2590=""""),""ফাঁকা ঘর"",""""),IF(AND(C2590&lt;&gt;"""",D2590&lt;&gt;"""",C2590=D2590),""gloss=figurative"",""""),IF(LEN(D2590)&lt;15,""figurative ছোট"",""""),IF(AND(I2590=""Positive"",REGEXMATCH(H2"&amp;"590,""মূর্খ|ভণ্ড|প্রতার|অলস|লোভ|স্বার্থ|অক্ষম|অযোগ্য|বোকা|কৃপণ|হিংস"")),""valence-target অমিল"",""""),IF(COUNTIF($B:$B,B2590)&gt;1,""ডুপ্লিকেট"",""""))"),"")</f>
        <v/>
      </c>
      <c r="Q2590" s="5" t="str">
        <f t="shared" si="1"/>
        <v>২ পরে</v>
      </c>
    </row>
    <row r="2591">
      <c r="A2591" s="4">
        <v>347.0</v>
      </c>
      <c r="B2591" s="2" t="s">
        <v>10159</v>
      </c>
      <c r="C2591" s="2" t="s">
        <v>10160</v>
      </c>
      <c r="D2591" s="2" t="s">
        <v>10161</v>
      </c>
      <c r="E2591" s="2" t="s">
        <v>7135</v>
      </c>
      <c r="F2591" s="2" t="b">
        <v>1</v>
      </c>
      <c r="G2591" s="2" t="b">
        <v>0</v>
      </c>
      <c r="H2591" s="2" t="s">
        <v>37</v>
      </c>
      <c r="I2591" s="2" t="s">
        <v>32</v>
      </c>
      <c r="J2591" s="2" t="s">
        <v>59</v>
      </c>
      <c r="K2591" s="2" t="s">
        <v>24</v>
      </c>
      <c r="L2591" s="13" t="s">
        <v>51</v>
      </c>
      <c r="M2591" s="2" t="s">
        <v>26</v>
      </c>
      <c r="P2591" s="5" t="str">
        <f>IFERROR(__xludf.DUMMYFUNCTION("TEXTJOIN("" | "",TRUE,IF(OR(D2591="""",E2591="""",I2591="""",J2591="""",H2591=""""),""ফাঁকা ঘর"",""""),IF(AND(C2591&lt;&gt;"""",D2591&lt;&gt;"""",C2591=D2591),""gloss=figurative"",""""),IF(LEN(D2591)&lt;15,""figurative ছোট"",""""),IF(AND(I2591=""Positive"",REGEXMATCH(H2"&amp;"591,""মূর্খ|ভণ্ড|প্রতার|অলস|লোভ|স্বার্থ|অক্ষম|অযোগ্য|বোকা|কৃপণ|হিংস"")),""valence-target অমিল"",""""),IF(COUNTIF($B:$B,B2591)&gt;1,""ডুপ্লিকেট"",""""))"),"")</f>
        <v/>
      </c>
      <c r="Q2591" s="5" t="str">
        <f t="shared" si="1"/>
        <v>২ পরে</v>
      </c>
    </row>
    <row r="2592">
      <c r="A2592" s="4">
        <v>348.0</v>
      </c>
      <c r="B2592" s="2" t="s">
        <v>10162</v>
      </c>
      <c r="C2592" s="2" t="s">
        <v>10163</v>
      </c>
      <c r="D2592" s="2" t="s">
        <v>10164</v>
      </c>
      <c r="E2592" s="2" t="s">
        <v>10165</v>
      </c>
      <c r="F2592" s="2" t="b">
        <v>1</v>
      </c>
      <c r="G2592" s="2" t="b">
        <v>0</v>
      </c>
      <c r="H2592" s="2" t="s">
        <v>8963</v>
      </c>
      <c r="I2592" s="2" t="s">
        <v>22</v>
      </c>
      <c r="J2592" s="2" t="s">
        <v>59</v>
      </c>
      <c r="K2592" s="2" t="s">
        <v>24</v>
      </c>
      <c r="L2592" s="13" t="s">
        <v>51</v>
      </c>
      <c r="M2592" s="2" t="s">
        <v>26</v>
      </c>
      <c r="P2592" s="5" t="str">
        <f>IFERROR(__xludf.DUMMYFUNCTION("TEXTJOIN("" | "",TRUE,IF(OR(D2592="""",E2592="""",I2592="""",J2592="""",H2592=""""),""ফাঁকা ঘর"",""""),IF(AND(C2592&lt;&gt;"""",D2592&lt;&gt;"""",C2592=D2592),""gloss=figurative"",""""),IF(LEN(D2592)&lt;15,""figurative ছোট"",""""),IF(AND(I2592=""Positive"",REGEXMATCH(H2"&amp;"592,""মূর্খ|ভণ্ড|প্রতার|অলস|লোভ|স্বার্থ|অক্ষম|অযোগ্য|বোকা|কৃপণ|হিংস"")),""valence-target অমিল"",""""),IF(COUNTIF($B:$B,B2592)&gt;1,""ডুপ্লিকেট"",""""))"),"")</f>
        <v/>
      </c>
      <c r="Q2592" s="5" t="str">
        <f t="shared" si="1"/>
        <v>২ পরে</v>
      </c>
    </row>
    <row r="2593">
      <c r="A2593" s="4">
        <v>350.0</v>
      </c>
      <c r="B2593" s="2" t="s">
        <v>10166</v>
      </c>
      <c r="C2593" s="2" t="s">
        <v>10167</v>
      </c>
      <c r="D2593" s="2" t="s">
        <v>10168</v>
      </c>
      <c r="E2593" s="2" t="s">
        <v>10169</v>
      </c>
      <c r="F2593" s="2" t="b">
        <v>1</v>
      </c>
      <c r="G2593" s="2" t="b">
        <v>0</v>
      </c>
      <c r="H2593" s="2" t="s">
        <v>10170</v>
      </c>
      <c r="I2593" s="2" t="s">
        <v>49</v>
      </c>
      <c r="J2593" s="2" t="s">
        <v>10171</v>
      </c>
      <c r="K2593" s="2" t="s">
        <v>24</v>
      </c>
      <c r="L2593" s="13" t="s">
        <v>51</v>
      </c>
      <c r="M2593" s="2" t="s">
        <v>26</v>
      </c>
      <c r="P2593" s="5" t="str">
        <f>IFERROR(__xludf.DUMMYFUNCTION("TEXTJOIN("" | "",TRUE,IF(OR(D2593="""",E2593="""",I2593="""",J2593="""",H2593=""""),""ফাঁকা ঘর"",""""),IF(AND(C2593&lt;&gt;"""",D2593&lt;&gt;"""",C2593=D2593),""gloss=figurative"",""""),IF(LEN(D2593)&lt;15,""figurative ছোট"",""""),IF(AND(I2593=""Positive"",REGEXMATCH(H2"&amp;"593,""মূর্খ|ভণ্ড|প্রতার|অলস|লোভ|স্বার্থ|অক্ষম|অযোগ্য|বোকা|কৃপণ|হিংস"")),""valence-target অমিল"",""""),IF(COUNTIF($B:$B,B2593)&gt;1,""ডুপ্লিকেট"",""""))"),"")</f>
        <v/>
      </c>
      <c r="Q2593" s="5" t="str">
        <f t="shared" si="1"/>
        <v>২ পরে</v>
      </c>
    </row>
    <row r="2594">
      <c r="A2594" s="4">
        <v>351.0</v>
      </c>
      <c r="B2594" s="2" t="s">
        <v>10172</v>
      </c>
      <c r="C2594" s="2" t="s">
        <v>10173</v>
      </c>
      <c r="D2594" s="2" t="s">
        <v>10174</v>
      </c>
      <c r="E2594" s="2" t="s">
        <v>10175</v>
      </c>
      <c r="F2594" s="2" t="b">
        <v>1</v>
      </c>
      <c r="G2594" s="2" t="b">
        <v>0</v>
      </c>
      <c r="H2594" s="2" t="s">
        <v>10176</v>
      </c>
      <c r="I2594" s="2" t="s">
        <v>22</v>
      </c>
      <c r="J2594" s="2" t="s">
        <v>59</v>
      </c>
      <c r="K2594" s="2" t="s">
        <v>24</v>
      </c>
      <c r="L2594" s="13" t="s">
        <v>51</v>
      </c>
      <c r="M2594" s="2" t="s">
        <v>26</v>
      </c>
      <c r="P2594" s="5" t="str">
        <f>IFERROR(__xludf.DUMMYFUNCTION("TEXTJOIN("" | "",TRUE,IF(OR(D2594="""",E2594="""",I2594="""",J2594="""",H2594=""""),""ফাঁকা ঘর"",""""),IF(AND(C2594&lt;&gt;"""",D2594&lt;&gt;"""",C2594=D2594),""gloss=figurative"",""""),IF(LEN(D2594)&lt;15,""figurative ছোট"",""""),IF(AND(I2594=""Positive"",REGEXMATCH(H2"&amp;"594,""মূর্খ|ভণ্ড|প্রতার|অলস|লোভ|স্বার্থ|অক্ষম|অযোগ্য|বোকা|কৃপণ|হিংস"")),""valence-target অমিল"",""""),IF(COUNTIF($B:$B,B2594)&gt;1,""ডুপ্লিকেট"",""""))"),"")</f>
        <v/>
      </c>
      <c r="Q2594" s="5" t="str">
        <f t="shared" si="1"/>
        <v>২ পরে</v>
      </c>
    </row>
    <row r="2595">
      <c r="A2595" s="4">
        <v>352.0</v>
      </c>
      <c r="B2595" s="2" t="s">
        <v>10177</v>
      </c>
      <c r="C2595" s="2" t="s">
        <v>10178</v>
      </c>
      <c r="D2595" s="2" t="s">
        <v>10179</v>
      </c>
      <c r="E2595" s="2" t="s">
        <v>10180</v>
      </c>
      <c r="F2595" s="2" t="b">
        <v>1</v>
      </c>
      <c r="G2595" s="2" t="b">
        <v>0</v>
      </c>
      <c r="H2595" s="2" t="s">
        <v>9380</v>
      </c>
      <c r="I2595" s="2" t="s">
        <v>22</v>
      </c>
      <c r="J2595" s="2" t="s">
        <v>123</v>
      </c>
      <c r="K2595" s="2" t="s">
        <v>24</v>
      </c>
      <c r="L2595" s="13" t="s">
        <v>51</v>
      </c>
      <c r="M2595" s="2" t="s">
        <v>26</v>
      </c>
      <c r="P2595" s="5" t="str">
        <f>IFERROR(__xludf.DUMMYFUNCTION("TEXTJOIN("" | "",TRUE,IF(OR(D2595="""",E2595="""",I2595="""",J2595="""",H2595=""""),""ফাঁকা ঘর"",""""),IF(AND(C2595&lt;&gt;"""",D2595&lt;&gt;"""",C2595=D2595),""gloss=figurative"",""""),IF(LEN(D2595)&lt;15,""figurative ছোট"",""""),IF(AND(I2595=""Positive"",REGEXMATCH(H2"&amp;"595,""মূর্খ|ভণ্ড|প্রতার|অলস|লোভ|স্বার্থ|অক্ষম|অযোগ্য|বোকা|কৃপণ|হিংস"")),""valence-target অমিল"",""""),IF(COUNTIF($B:$B,B2595)&gt;1,""ডুপ্লিকেট"",""""))"),"")</f>
        <v/>
      </c>
      <c r="Q2595" s="5" t="str">
        <f t="shared" si="1"/>
        <v>২ পরে</v>
      </c>
    </row>
    <row r="2596">
      <c r="A2596" s="4">
        <v>353.0</v>
      </c>
      <c r="B2596" s="2" t="s">
        <v>10181</v>
      </c>
      <c r="C2596" s="2" t="s">
        <v>10182</v>
      </c>
      <c r="D2596" s="2" t="s">
        <v>10183</v>
      </c>
      <c r="E2596" s="2" t="s">
        <v>10184</v>
      </c>
      <c r="F2596" s="2" t="b">
        <v>1</v>
      </c>
      <c r="G2596" s="2" t="b">
        <v>0</v>
      </c>
      <c r="H2596" s="2" t="s">
        <v>37</v>
      </c>
      <c r="I2596" s="2" t="s">
        <v>22</v>
      </c>
      <c r="J2596" s="2" t="s">
        <v>9943</v>
      </c>
      <c r="K2596" s="2" t="s">
        <v>24</v>
      </c>
      <c r="L2596" s="13" t="s">
        <v>51</v>
      </c>
      <c r="M2596" s="2" t="s">
        <v>26</v>
      </c>
      <c r="P2596" s="5" t="str">
        <f>IFERROR(__xludf.DUMMYFUNCTION("TEXTJOIN("" | "",TRUE,IF(OR(D2596="""",E2596="""",I2596="""",J2596="""",H2596=""""),""ফাঁকা ঘর"",""""),IF(AND(C2596&lt;&gt;"""",D2596&lt;&gt;"""",C2596=D2596),""gloss=figurative"",""""),IF(LEN(D2596)&lt;15,""figurative ছোট"",""""),IF(AND(I2596=""Positive"",REGEXMATCH(H2"&amp;"596,""মূর্খ|ভণ্ড|প্রতার|অলস|লোভ|স্বার্থ|অক্ষম|অযোগ্য|বোকা|কৃপণ|হিংস"")),""valence-target অমিল"",""""),IF(COUNTIF($B:$B,B2596)&gt;1,""ডুপ্লিকেট"",""""))"),"")</f>
        <v/>
      </c>
      <c r="Q2596" s="5" t="str">
        <f t="shared" si="1"/>
        <v>২ পরে</v>
      </c>
    </row>
    <row r="2597">
      <c r="A2597" s="4">
        <v>354.0</v>
      </c>
      <c r="B2597" s="2" t="s">
        <v>10185</v>
      </c>
      <c r="C2597" s="2" t="s">
        <v>9229</v>
      </c>
      <c r="D2597" s="2" t="s">
        <v>9230</v>
      </c>
      <c r="E2597" s="2" t="s">
        <v>10186</v>
      </c>
      <c r="F2597" s="2" t="b">
        <v>1</v>
      </c>
      <c r="G2597" s="2" t="b">
        <v>0</v>
      </c>
      <c r="H2597" s="2" t="s">
        <v>9232</v>
      </c>
      <c r="I2597" s="2" t="s">
        <v>49</v>
      </c>
      <c r="J2597" s="2" t="s">
        <v>5143</v>
      </c>
      <c r="K2597" s="2" t="s">
        <v>24</v>
      </c>
      <c r="L2597" s="13" t="s">
        <v>51</v>
      </c>
      <c r="M2597" s="2" t="s">
        <v>26</v>
      </c>
      <c r="P2597" s="5" t="str">
        <f>IFERROR(__xludf.DUMMYFUNCTION("TEXTJOIN("" | "",TRUE,IF(OR(D2597="""",E2597="""",I2597="""",J2597="""",H2597=""""),""ফাঁকা ঘর"",""""),IF(AND(C2597&lt;&gt;"""",D2597&lt;&gt;"""",C2597=D2597),""gloss=figurative"",""""),IF(LEN(D2597)&lt;15,""figurative ছোট"",""""),IF(AND(I2597=""Positive"",REGEXMATCH(H2"&amp;"597,""মূর্খ|ভণ্ড|প্রতার|অলস|লোভ|স্বার্থ|অক্ষম|অযোগ্য|বোকা|কৃপণ|হিংস"")),""valence-target অমিল"",""""),IF(COUNTIF($B:$B,B2597)&gt;1,""ডুপ্লিকেট"",""""))"),"")</f>
        <v/>
      </c>
      <c r="Q2597" s="5" t="str">
        <f t="shared" si="1"/>
        <v>২ পরে</v>
      </c>
    </row>
    <row r="2598">
      <c r="A2598" s="4">
        <v>355.0</v>
      </c>
      <c r="B2598" s="2" t="s">
        <v>10187</v>
      </c>
      <c r="C2598" s="2" t="s">
        <v>10188</v>
      </c>
      <c r="D2598" s="2" t="s">
        <v>10189</v>
      </c>
      <c r="E2598" s="2" t="s">
        <v>10190</v>
      </c>
      <c r="F2598" s="2" t="b">
        <v>1</v>
      </c>
      <c r="G2598" s="2" t="b">
        <v>0</v>
      </c>
      <c r="H2598" s="2" t="s">
        <v>10191</v>
      </c>
      <c r="I2598" s="2" t="s">
        <v>32</v>
      </c>
      <c r="J2598" s="2" t="s">
        <v>142</v>
      </c>
      <c r="K2598" s="2" t="s">
        <v>24</v>
      </c>
      <c r="L2598" s="13" t="s">
        <v>51</v>
      </c>
      <c r="M2598" s="2" t="s">
        <v>26</v>
      </c>
      <c r="P2598" s="5" t="str">
        <f>IFERROR(__xludf.DUMMYFUNCTION("TEXTJOIN("" | "",TRUE,IF(OR(D2598="""",E2598="""",I2598="""",J2598="""",H2598=""""),""ফাঁকা ঘর"",""""),IF(AND(C2598&lt;&gt;"""",D2598&lt;&gt;"""",C2598=D2598),""gloss=figurative"",""""),IF(LEN(D2598)&lt;15,""figurative ছোট"",""""),IF(AND(I2598=""Positive"",REGEXMATCH(H2"&amp;"598,""মূর্খ|ভণ্ড|প্রতার|অলস|লোভ|স্বার্থ|অক্ষম|অযোগ্য|বোকা|কৃপণ|হিংস"")),""valence-target অমিল"",""""),IF(COUNTIF($B:$B,B2598)&gt;1,""ডুপ্লিকেট"",""""))"),"")</f>
        <v/>
      </c>
      <c r="Q2598" s="5" t="str">
        <f t="shared" si="1"/>
        <v>২ পরে</v>
      </c>
    </row>
    <row r="2599">
      <c r="A2599" s="4">
        <v>356.0</v>
      </c>
      <c r="B2599" s="2" t="s">
        <v>10192</v>
      </c>
      <c r="C2599" s="2" t="s">
        <v>10193</v>
      </c>
      <c r="D2599" s="2" t="s">
        <v>10194</v>
      </c>
      <c r="E2599" s="2" t="s">
        <v>10195</v>
      </c>
      <c r="F2599" s="2" t="b">
        <v>1</v>
      </c>
      <c r="G2599" s="2" t="b">
        <v>0</v>
      </c>
      <c r="H2599" s="2" t="s">
        <v>10196</v>
      </c>
      <c r="I2599" s="2" t="s">
        <v>32</v>
      </c>
      <c r="J2599" s="2" t="s">
        <v>10197</v>
      </c>
      <c r="K2599" s="2" t="s">
        <v>24</v>
      </c>
      <c r="L2599" s="13" t="s">
        <v>51</v>
      </c>
      <c r="M2599" s="2" t="s">
        <v>26</v>
      </c>
      <c r="P2599" s="5" t="str">
        <f>IFERROR(__xludf.DUMMYFUNCTION("TEXTJOIN("" | "",TRUE,IF(OR(D2599="""",E2599="""",I2599="""",J2599="""",H2599=""""),""ফাঁকা ঘর"",""""),IF(AND(C2599&lt;&gt;"""",D2599&lt;&gt;"""",C2599=D2599),""gloss=figurative"",""""),IF(LEN(D2599)&lt;15,""figurative ছোট"",""""),IF(AND(I2599=""Positive"",REGEXMATCH(H2"&amp;"599,""মূর্খ|ভণ্ড|প্রতার|অলস|লোভ|স্বার্থ|অক্ষম|অযোগ্য|বোকা|কৃপণ|হিংস"")),""valence-target অমিল"",""""),IF(COUNTIF($B:$B,B2599)&gt;1,""ডুপ্লিকেট"",""""))"),"")</f>
        <v/>
      </c>
      <c r="Q2599" s="5" t="str">
        <f t="shared" si="1"/>
        <v>২ পরে</v>
      </c>
    </row>
    <row r="2600">
      <c r="A2600" s="4">
        <v>358.0</v>
      </c>
      <c r="B2600" s="2" t="s">
        <v>10198</v>
      </c>
      <c r="C2600" s="2" t="s">
        <v>10199</v>
      </c>
      <c r="D2600" s="2" t="s">
        <v>10200</v>
      </c>
      <c r="E2600" s="2" t="s">
        <v>10201</v>
      </c>
      <c r="F2600" s="2" t="b">
        <v>1</v>
      </c>
      <c r="G2600" s="2" t="b">
        <v>0</v>
      </c>
      <c r="H2600" s="2" t="s">
        <v>37</v>
      </c>
      <c r="I2600" s="2" t="s">
        <v>32</v>
      </c>
      <c r="J2600" s="2" t="s">
        <v>9037</v>
      </c>
      <c r="K2600" s="2" t="s">
        <v>24</v>
      </c>
      <c r="L2600" s="13" t="s">
        <v>51</v>
      </c>
      <c r="M2600" s="2" t="s">
        <v>26</v>
      </c>
      <c r="P2600" s="5" t="str">
        <f>IFERROR(__xludf.DUMMYFUNCTION("TEXTJOIN("" | "",TRUE,IF(OR(D2600="""",E2600="""",I2600="""",J2600="""",H2600=""""),""ফাঁকা ঘর"",""""),IF(AND(C2600&lt;&gt;"""",D2600&lt;&gt;"""",C2600=D2600),""gloss=figurative"",""""),IF(LEN(D2600)&lt;15,""figurative ছোট"",""""),IF(AND(I2600=""Positive"",REGEXMATCH(H2"&amp;"600,""মূর্খ|ভণ্ড|প্রতার|অলস|লোভ|স্বার্থ|অক্ষম|অযোগ্য|বোকা|কৃপণ|হিংস"")),""valence-target অমিল"",""""),IF(COUNTIF($B:$B,B2600)&gt;1,""ডুপ্লিকেট"",""""))"),"")</f>
        <v/>
      </c>
      <c r="Q2600" s="5" t="str">
        <f t="shared" si="1"/>
        <v>২ পরে</v>
      </c>
    </row>
    <row r="2601">
      <c r="A2601" s="4">
        <v>359.0</v>
      </c>
      <c r="B2601" s="2" t="s">
        <v>10202</v>
      </c>
      <c r="C2601" s="2" t="s">
        <v>10203</v>
      </c>
      <c r="D2601" s="2" t="s">
        <v>10204</v>
      </c>
      <c r="E2601" s="2" t="s">
        <v>10205</v>
      </c>
      <c r="F2601" s="2" t="b">
        <v>1</v>
      </c>
      <c r="G2601" s="2" t="b">
        <v>0</v>
      </c>
      <c r="H2601" s="2" t="s">
        <v>37</v>
      </c>
      <c r="I2601" s="2" t="s">
        <v>32</v>
      </c>
      <c r="J2601" s="2" t="s">
        <v>9183</v>
      </c>
      <c r="K2601" s="2" t="s">
        <v>24</v>
      </c>
      <c r="L2601" s="13" t="s">
        <v>51</v>
      </c>
      <c r="M2601" s="2" t="s">
        <v>26</v>
      </c>
      <c r="P2601" s="5" t="str">
        <f>IFERROR(__xludf.DUMMYFUNCTION("TEXTJOIN("" | "",TRUE,IF(OR(D2601="""",E2601="""",I2601="""",J2601="""",H2601=""""),""ফাঁকা ঘর"",""""),IF(AND(C2601&lt;&gt;"""",D2601&lt;&gt;"""",C2601=D2601),""gloss=figurative"",""""),IF(LEN(D2601)&lt;15,""figurative ছোট"",""""),IF(AND(I2601=""Positive"",REGEXMATCH(H2"&amp;"601,""মূর্খ|ভণ্ড|প্রতার|অলস|লোভ|স্বার্থ|অক্ষম|অযোগ্য|বোকা|কৃপণ|হিংস"")),""valence-target অমিল"",""""),IF(COUNTIF($B:$B,B2601)&gt;1,""ডুপ্লিকেট"",""""))"),"")</f>
        <v/>
      </c>
      <c r="Q2601" s="5" t="str">
        <f t="shared" si="1"/>
        <v>২ পরে</v>
      </c>
    </row>
    <row r="2602">
      <c r="A2602" s="4">
        <v>360.0</v>
      </c>
      <c r="B2602" s="2" t="s">
        <v>10206</v>
      </c>
      <c r="C2602" s="2" t="s">
        <v>10207</v>
      </c>
      <c r="D2602" s="2" t="s">
        <v>10208</v>
      </c>
      <c r="E2602" s="2" t="s">
        <v>10209</v>
      </c>
      <c r="F2602" s="2" t="b">
        <v>1</v>
      </c>
      <c r="G2602" s="2" t="b">
        <v>0</v>
      </c>
      <c r="H2602" s="2" t="s">
        <v>396</v>
      </c>
      <c r="I2602" s="2" t="s">
        <v>22</v>
      </c>
      <c r="J2602" s="2" t="s">
        <v>9943</v>
      </c>
      <c r="K2602" s="2" t="s">
        <v>24</v>
      </c>
      <c r="L2602" s="13" t="s">
        <v>51</v>
      </c>
      <c r="M2602" s="2" t="s">
        <v>26</v>
      </c>
      <c r="P2602" s="5" t="str">
        <f>IFERROR(__xludf.DUMMYFUNCTION("TEXTJOIN("" | "",TRUE,IF(OR(D2602="""",E2602="""",I2602="""",J2602="""",H2602=""""),""ফাঁকা ঘর"",""""),IF(AND(C2602&lt;&gt;"""",D2602&lt;&gt;"""",C2602=D2602),""gloss=figurative"",""""),IF(LEN(D2602)&lt;15,""figurative ছোট"",""""),IF(AND(I2602=""Positive"",REGEXMATCH(H2"&amp;"602,""মূর্খ|ভণ্ড|প্রতার|অলস|লোভ|স্বার্থ|অক্ষম|অযোগ্য|বোকা|কৃপণ|হিংস"")),""valence-target অমিল"",""""),IF(COUNTIF($B:$B,B2602)&gt;1,""ডুপ্লিকেট"",""""))"),"")</f>
        <v/>
      </c>
      <c r="Q2602" s="5" t="str">
        <f t="shared" si="1"/>
        <v>২ পরে</v>
      </c>
    </row>
    <row r="2603">
      <c r="A2603" s="4">
        <v>361.0</v>
      </c>
      <c r="B2603" s="2" t="s">
        <v>10210</v>
      </c>
      <c r="C2603" s="2" t="s">
        <v>4127</v>
      </c>
      <c r="D2603" s="2" t="s">
        <v>10211</v>
      </c>
      <c r="E2603" s="2" t="s">
        <v>10212</v>
      </c>
      <c r="F2603" s="2" t="b">
        <v>1</v>
      </c>
      <c r="G2603" s="2" t="b">
        <v>0</v>
      </c>
      <c r="H2603" s="2" t="s">
        <v>3306</v>
      </c>
      <c r="I2603" s="2" t="s">
        <v>32</v>
      </c>
      <c r="J2603" s="2" t="s">
        <v>1454</v>
      </c>
      <c r="K2603" s="2" t="s">
        <v>24</v>
      </c>
      <c r="L2603" s="13" t="s">
        <v>51</v>
      </c>
      <c r="M2603" s="2" t="s">
        <v>26</v>
      </c>
      <c r="P2603" s="5" t="str">
        <f>IFERROR(__xludf.DUMMYFUNCTION("TEXTJOIN("" | "",TRUE,IF(OR(D2603="""",E2603="""",I2603="""",J2603="""",H2603=""""),""ফাঁকা ঘর"",""""),IF(AND(C2603&lt;&gt;"""",D2603&lt;&gt;"""",C2603=D2603),""gloss=figurative"",""""),IF(LEN(D2603)&lt;15,""figurative ছোট"",""""),IF(AND(I2603=""Positive"",REGEXMATCH(H2"&amp;"603,""মূর্খ|ভণ্ড|প্রতার|অলস|লোভ|স্বার্থ|অক্ষম|অযোগ্য|বোকা|কৃপণ|হিংস"")),""valence-target অমিল"",""""),IF(COUNTIF($B:$B,B2603)&gt;1,""ডুপ্লিকেট"",""""))"),"")</f>
        <v/>
      </c>
      <c r="Q2603" s="5" t="str">
        <f t="shared" si="1"/>
        <v>২ পরে</v>
      </c>
    </row>
    <row r="2604">
      <c r="A2604" s="4">
        <v>362.0</v>
      </c>
      <c r="B2604" s="2" t="s">
        <v>10213</v>
      </c>
      <c r="C2604" s="2" t="s">
        <v>10214</v>
      </c>
      <c r="D2604" s="2" t="s">
        <v>10215</v>
      </c>
      <c r="E2604" s="2" t="s">
        <v>10216</v>
      </c>
      <c r="F2604" s="2" t="b">
        <v>1</v>
      </c>
      <c r="G2604" s="2" t="b">
        <v>0</v>
      </c>
      <c r="H2604" s="2" t="s">
        <v>10217</v>
      </c>
      <c r="I2604" s="2" t="s">
        <v>49</v>
      </c>
      <c r="J2604" s="2" t="s">
        <v>1259</v>
      </c>
      <c r="K2604" s="2" t="s">
        <v>24</v>
      </c>
      <c r="L2604" s="13" t="s">
        <v>51</v>
      </c>
      <c r="M2604" s="2" t="s">
        <v>26</v>
      </c>
      <c r="P2604" s="5" t="str">
        <f>IFERROR(__xludf.DUMMYFUNCTION("TEXTJOIN("" | "",TRUE,IF(OR(D2604="""",E2604="""",I2604="""",J2604="""",H2604=""""),""ফাঁকা ঘর"",""""),IF(AND(C2604&lt;&gt;"""",D2604&lt;&gt;"""",C2604=D2604),""gloss=figurative"",""""),IF(LEN(D2604)&lt;15,""figurative ছোট"",""""),IF(AND(I2604=""Positive"",REGEXMATCH(H2"&amp;"604,""মূর্খ|ভণ্ড|প্রতার|অলস|লোভ|স্বার্থ|অক্ষম|অযোগ্য|বোকা|কৃপণ|হিংস"")),""valence-target অমিল"",""""),IF(COUNTIF($B:$B,B2604)&gt;1,""ডুপ্লিকেট"",""""))"),"")</f>
        <v/>
      </c>
      <c r="Q2604" s="5" t="str">
        <f t="shared" si="1"/>
        <v>২ পরে</v>
      </c>
    </row>
    <row r="2605">
      <c r="A2605" s="4">
        <v>363.0</v>
      </c>
      <c r="B2605" s="2" t="s">
        <v>10218</v>
      </c>
      <c r="C2605" s="2" t="s">
        <v>10219</v>
      </c>
      <c r="D2605" s="2" t="s">
        <v>10220</v>
      </c>
      <c r="E2605" s="2" t="s">
        <v>10221</v>
      </c>
      <c r="F2605" s="2" t="b">
        <v>1</v>
      </c>
      <c r="G2605" s="2" t="b">
        <v>0</v>
      </c>
      <c r="H2605" s="2" t="s">
        <v>10222</v>
      </c>
      <c r="I2605" s="2" t="s">
        <v>22</v>
      </c>
      <c r="J2605" s="2" t="s">
        <v>59</v>
      </c>
      <c r="K2605" s="2" t="s">
        <v>24</v>
      </c>
      <c r="L2605" s="13" t="s">
        <v>51</v>
      </c>
      <c r="M2605" s="2" t="s">
        <v>26</v>
      </c>
      <c r="P2605" s="5" t="str">
        <f>IFERROR(__xludf.DUMMYFUNCTION("TEXTJOIN("" | "",TRUE,IF(OR(D2605="""",E2605="""",I2605="""",J2605="""",H2605=""""),""ফাঁকা ঘর"",""""),IF(AND(C2605&lt;&gt;"""",D2605&lt;&gt;"""",C2605=D2605),""gloss=figurative"",""""),IF(LEN(D2605)&lt;15,""figurative ছোট"",""""),IF(AND(I2605=""Positive"",REGEXMATCH(H2"&amp;"605,""মূর্খ|ভণ্ড|প্রতার|অলস|লোভ|স্বার্থ|অক্ষম|অযোগ্য|বোকা|কৃপণ|হিংস"")),""valence-target অমিল"",""""),IF(COUNTIF($B:$B,B2605)&gt;1,""ডুপ্লিকেট"",""""))"),"")</f>
        <v/>
      </c>
      <c r="Q2605" s="5" t="str">
        <f t="shared" si="1"/>
        <v>২ পরে</v>
      </c>
    </row>
    <row r="2606">
      <c r="A2606" s="4">
        <v>365.0</v>
      </c>
      <c r="B2606" s="2" t="s">
        <v>10223</v>
      </c>
      <c r="C2606" s="2" t="s">
        <v>10203</v>
      </c>
      <c r="D2606" s="2" t="s">
        <v>10204</v>
      </c>
      <c r="E2606" s="2" t="s">
        <v>10224</v>
      </c>
      <c r="F2606" s="2" t="b">
        <v>1</v>
      </c>
      <c r="G2606" s="2" t="b">
        <v>0</v>
      </c>
      <c r="H2606" s="2" t="s">
        <v>37</v>
      </c>
      <c r="I2606" s="2" t="s">
        <v>32</v>
      </c>
      <c r="J2606" s="2" t="s">
        <v>9183</v>
      </c>
      <c r="K2606" s="2" t="s">
        <v>24</v>
      </c>
      <c r="L2606" s="13" t="s">
        <v>51</v>
      </c>
      <c r="M2606" s="2" t="s">
        <v>26</v>
      </c>
      <c r="P2606" s="5" t="str">
        <f>IFERROR(__xludf.DUMMYFUNCTION("TEXTJOIN("" | "",TRUE,IF(OR(D2606="""",E2606="""",I2606="""",J2606="""",H2606=""""),""ফাঁকা ঘর"",""""),IF(AND(C2606&lt;&gt;"""",D2606&lt;&gt;"""",C2606=D2606),""gloss=figurative"",""""),IF(LEN(D2606)&lt;15,""figurative ছোট"",""""),IF(AND(I2606=""Positive"",REGEXMATCH(H2"&amp;"606,""মূর্খ|ভণ্ড|প্রতার|অলস|লোভ|স্বার্থ|অক্ষম|অযোগ্য|বোকা|কৃপণ|হিংস"")),""valence-target অমিল"",""""),IF(COUNTIF($B:$B,B2606)&gt;1,""ডুপ্লিকেট"",""""))"),"")</f>
        <v/>
      </c>
      <c r="Q2606" s="5" t="str">
        <f t="shared" si="1"/>
        <v>২ পরে</v>
      </c>
    </row>
    <row r="2607">
      <c r="A2607" s="4">
        <v>366.0</v>
      </c>
      <c r="B2607" s="2" t="s">
        <v>10225</v>
      </c>
      <c r="C2607" s="2" t="s">
        <v>10226</v>
      </c>
      <c r="D2607" s="2" t="s">
        <v>10227</v>
      </c>
      <c r="E2607" s="2" t="s">
        <v>10228</v>
      </c>
      <c r="F2607" s="2" t="b">
        <v>1</v>
      </c>
      <c r="G2607" s="2" t="b">
        <v>0</v>
      </c>
      <c r="H2607" s="2" t="s">
        <v>181</v>
      </c>
      <c r="I2607" s="2" t="s">
        <v>32</v>
      </c>
      <c r="J2607" s="2" t="s">
        <v>59</v>
      </c>
      <c r="K2607" s="2" t="s">
        <v>24</v>
      </c>
      <c r="L2607" s="13" t="s">
        <v>51</v>
      </c>
      <c r="M2607" s="2" t="s">
        <v>26</v>
      </c>
      <c r="P2607" s="5" t="str">
        <f>IFERROR(__xludf.DUMMYFUNCTION("TEXTJOIN("" | "",TRUE,IF(OR(D2607="""",E2607="""",I2607="""",J2607="""",H2607=""""),""ফাঁকা ঘর"",""""),IF(AND(C2607&lt;&gt;"""",D2607&lt;&gt;"""",C2607=D2607),""gloss=figurative"",""""),IF(LEN(D2607)&lt;15,""figurative ছোট"",""""),IF(AND(I2607=""Positive"",REGEXMATCH(H2"&amp;"607,""মূর্খ|ভণ্ড|প্রতার|অলস|লোভ|স্বার্থ|অক্ষম|অযোগ্য|বোকা|কৃপণ|হিংস"")),""valence-target অমিল"",""""),IF(COUNTIF($B:$B,B2607)&gt;1,""ডুপ্লিকেট"",""""))"),"")</f>
        <v/>
      </c>
      <c r="Q2607" s="5" t="str">
        <f t="shared" si="1"/>
        <v>২ পরে</v>
      </c>
    </row>
    <row r="2608">
      <c r="A2608" s="4">
        <v>367.0</v>
      </c>
      <c r="B2608" s="2" t="s">
        <v>10229</v>
      </c>
      <c r="C2608" s="2" t="s">
        <v>10230</v>
      </c>
      <c r="D2608" s="2" t="s">
        <v>10231</v>
      </c>
      <c r="E2608" s="2" t="s">
        <v>10232</v>
      </c>
      <c r="F2608" s="2" t="b">
        <v>1</v>
      </c>
      <c r="G2608" s="2" t="b">
        <v>0</v>
      </c>
      <c r="H2608" s="2" t="s">
        <v>819</v>
      </c>
      <c r="I2608" s="2" t="s">
        <v>22</v>
      </c>
      <c r="J2608" s="2" t="s">
        <v>59</v>
      </c>
      <c r="K2608" s="2" t="s">
        <v>24</v>
      </c>
      <c r="L2608" s="13" t="s">
        <v>51</v>
      </c>
      <c r="M2608" s="2" t="s">
        <v>26</v>
      </c>
      <c r="P2608" s="5" t="str">
        <f>IFERROR(__xludf.DUMMYFUNCTION("TEXTJOIN("" | "",TRUE,IF(OR(D2608="""",E2608="""",I2608="""",J2608="""",H2608=""""),""ফাঁকা ঘর"",""""),IF(AND(C2608&lt;&gt;"""",D2608&lt;&gt;"""",C2608=D2608),""gloss=figurative"",""""),IF(LEN(D2608)&lt;15,""figurative ছোট"",""""),IF(AND(I2608=""Positive"",REGEXMATCH(H2"&amp;"608,""মূর্খ|ভণ্ড|প্রতার|অলস|লোভ|স্বার্থ|অক্ষম|অযোগ্য|বোকা|কৃপণ|হিংস"")),""valence-target অমিল"",""""),IF(COUNTIF($B:$B,B2608)&gt;1,""ডুপ্লিকেট"",""""))"),"")</f>
        <v/>
      </c>
      <c r="Q2608" s="5" t="str">
        <f t="shared" si="1"/>
        <v>২ পরে</v>
      </c>
    </row>
    <row r="2609">
      <c r="A2609" s="4">
        <v>368.0</v>
      </c>
      <c r="B2609" s="2" t="s">
        <v>10233</v>
      </c>
      <c r="C2609" s="2" t="s">
        <v>10234</v>
      </c>
      <c r="D2609" s="2" t="s">
        <v>10235</v>
      </c>
      <c r="E2609" s="2" t="s">
        <v>10236</v>
      </c>
      <c r="F2609" s="2" t="b">
        <v>1</v>
      </c>
      <c r="G2609" s="2" t="b">
        <v>0</v>
      </c>
      <c r="H2609" s="2" t="s">
        <v>10237</v>
      </c>
      <c r="I2609" s="2" t="s">
        <v>49</v>
      </c>
      <c r="J2609" s="2" t="s">
        <v>690</v>
      </c>
      <c r="K2609" s="2" t="s">
        <v>24</v>
      </c>
      <c r="L2609" s="13" t="s">
        <v>51</v>
      </c>
      <c r="M2609" s="2" t="s">
        <v>26</v>
      </c>
      <c r="P2609" s="5" t="str">
        <f>IFERROR(__xludf.DUMMYFUNCTION("TEXTJOIN("" | "",TRUE,IF(OR(D2609="""",E2609="""",I2609="""",J2609="""",H2609=""""),""ফাঁকা ঘর"",""""),IF(AND(C2609&lt;&gt;"""",D2609&lt;&gt;"""",C2609=D2609),""gloss=figurative"",""""),IF(LEN(D2609)&lt;15,""figurative ছোট"",""""),IF(AND(I2609=""Positive"",REGEXMATCH(H2"&amp;"609,""মূর্খ|ভণ্ড|প্রতার|অলস|লোভ|স্বার্থ|অক্ষম|অযোগ্য|বোকা|কৃপণ|হিংস"")),""valence-target অমিল"",""""),IF(COUNTIF($B:$B,B2609)&gt;1,""ডুপ্লিকেট"",""""))"),"")</f>
        <v/>
      </c>
      <c r="Q2609" s="5" t="str">
        <f t="shared" si="1"/>
        <v>২ পরে</v>
      </c>
    </row>
    <row r="2610">
      <c r="A2610" s="4">
        <v>369.0</v>
      </c>
      <c r="B2610" s="2" t="s">
        <v>10238</v>
      </c>
      <c r="C2610" s="2" t="s">
        <v>6328</v>
      </c>
      <c r="D2610" s="2" t="s">
        <v>10239</v>
      </c>
      <c r="E2610" s="2" t="s">
        <v>10240</v>
      </c>
      <c r="F2610" s="2" t="b">
        <v>1</v>
      </c>
      <c r="G2610" s="2" t="b">
        <v>0</v>
      </c>
      <c r="H2610" s="2" t="s">
        <v>37</v>
      </c>
      <c r="I2610" s="2" t="s">
        <v>32</v>
      </c>
      <c r="J2610" s="2" t="s">
        <v>123</v>
      </c>
      <c r="K2610" s="2" t="s">
        <v>24</v>
      </c>
      <c r="L2610" s="13" t="s">
        <v>51</v>
      </c>
      <c r="M2610" s="2" t="s">
        <v>26</v>
      </c>
      <c r="P2610" s="5" t="str">
        <f>IFERROR(__xludf.DUMMYFUNCTION("TEXTJOIN("" | "",TRUE,IF(OR(D2610="""",E2610="""",I2610="""",J2610="""",H2610=""""),""ফাঁকা ঘর"",""""),IF(AND(C2610&lt;&gt;"""",D2610&lt;&gt;"""",C2610=D2610),""gloss=figurative"",""""),IF(LEN(D2610)&lt;15,""figurative ছোট"",""""),IF(AND(I2610=""Positive"",REGEXMATCH(H2"&amp;"610,""মূর্খ|ভণ্ড|প্রতার|অলস|লোভ|স্বার্থ|অক্ষম|অযোগ্য|বোকা|কৃপণ|হিংস"")),""valence-target অমিল"",""""),IF(COUNTIF($B:$B,B2610)&gt;1,""ডুপ্লিকেট"",""""))"),"")</f>
        <v/>
      </c>
      <c r="Q2610" s="5" t="str">
        <f t="shared" si="1"/>
        <v>২ পরে</v>
      </c>
    </row>
    <row r="2611">
      <c r="A2611" s="4">
        <v>371.0</v>
      </c>
      <c r="B2611" s="2" t="s">
        <v>10241</v>
      </c>
      <c r="C2611" s="2" t="s">
        <v>9720</v>
      </c>
      <c r="D2611" s="2" t="s">
        <v>9721</v>
      </c>
      <c r="E2611" s="2" t="s">
        <v>10242</v>
      </c>
      <c r="F2611" s="2" t="b">
        <v>1</v>
      </c>
      <c r="G2611" s="2" t="b">
        <v>0</v>
      </c>
      <c r="H2611" s="2" t="s">
        <v>110</v>
      </c>
      <c r="I2611" s="2" t="s">
        <v>32</v>
      </c>
      <c r="J2611" s="2" t="s">
        <v>59</v>
      </c>
      <c r="K2611" s="2" t="s">
        <v>24</v>
      </c>
      <c r="L2611" s="13" t="s">
        <v>51</v>
      </c>
      <c r="M2611" s="2" t="s">
        <v>26</v>
      </c>
      <c r="P2611" s="5" t="str">
        <f>IFERROR(__xludf.DUMMYFUNCTION("TEXTJOIN("" | "",TRUE,IF(OR(D2611="""",E2611="""",I2611="""",J2611="""",H2611=""""),""ফাঁকা ঘর"",""""),IF(AND(C2611&lt;&gt;"""",D2611&lt;&gt;"""",C2611=D2611),""gloss=figurative"",""""),IF(LEN(D2611)&lt;15,""figurative ছোট"",""""),IF(AND(I2611=""Positive"",REGEXMATCH(H2"&amp;"611,""মূর্খ|ভণ্ড|প্রতার|অলস|লোভ|স্বার্থ|অক্ষম|অযোগ্য|বোকা|কৃপণ|হিংস"")),""valence-target অমিল"",""""),IF(COUNTIF($B:$B,B2611)&gt;1,""ডুপ্লিকেট"",""""))"),"")</f>
        <v/>
      </c>
      <c r="Q2611" s="5" t="str">
        <f t="shared" si="1"/>
        <v>২ পরে</v>
      </c>
    </row>
    <row r="2612">
      <c r="A2612" s="4">
        <v>372.0</v>
      </c>
      <c r="B2612" s="2" t="s">
        <v>10243</v>
      </c>
      <c r="C2612" s="2" t="s">
        <v>10244</v>
      </c>
      <c r="D2612" s="2" t="s">
        <v>10245</v>
      </c>
      <c r="E2612" s="2" t="s">
        <v>10246</v>
      </c>
      <c r="F2612" s="2" t="b">
        <v>1</v>
      </c>
      <c r="G2612" s="2" t="b">
        <v>0</v>
      </c>
      <c r="H2612" s="2" t="s">
        <v>9737</v>
      </c>
      <c r="I2612" s="2" t="s">
        <v>32</v>
      </c>
      <c r="J2612" s="2" t="s">
        <v>424</v>
      </c>
      <c r="K2612" s="2" t="s">
        <v>24</v>
      </c>
      <c r="L2612" s="13" t="s">
        <v>51</v>
      </c>
      <c r="M2612" s="2" t="s">
        <v>26</v>
      </c>
      <c r="P2612" s="5" t="str">
        <f>IFERROR(__xludf.DUMMYFUNCTION("TEXTJOIN("" | "",TRUE,IF(OR(D2612="""",E2612="""",I2612="""",J2612="""",H2612=""""),""ফাঁকা ঘর"",""""),IF(AND(C2612&lt;&gt;"""",D2612&lt;&gt;"""",C2612=D2612),""gloss=figurative"",""""),IF(LEN(D2612)&lt;15,""figurative ছোট"",""""),IF(AND(I2612=""Positive"",REGEXMATCH(H2"&amp;"612,""মূর্খ|ভণ্ড|প্রতার|অলস|লোভ|স্বার্থ|অক্ষম|অযোগ্য|বোকা|কৃপণ|হিংস"")),""valence-target অমিল"",""""),IF(COUNTIF($B:$B,B2612)&gt;1,""ডুপ্লিকেট"",""""))"),"")</f>
        <v/>
      </c>
      <c r="Q2612" s="5" t="str">
        <f t="shared" si="1"/>
        <v>২ পরে</v>
      </c>
    </row>
    <row r="2613">
      <c r="A2613" s="4">
        <v>373.0</v>
      </c>
      <c r="B2613" s="2" t="s">
        <v>10247</v>
      </c>
      <c r="C2613" s="2" t="s">
        <v>10248</v>
      </c>
      <c r="D2613" s="2" t="s">
        <v>10249</v>
      </c>
      <c r="E2613" s="2" t="s">
        <v>10250</v>
      </c>
      <c r="F2613" s="2" t="b">
        <v>1</v>
      </c>
      <c r="G2613" s="2" t="b">
        <v>0</v>
      </c>
      <c r="H2613" s="2" t="s">
        <v>9824</v>
      </c>
      <c r="I2613" s="2" t="s">
        <v>22</v>
      </c>
      <c r="J2613" s="2" t="s">
        <v>739</v>
      </c>
      <c r="K2613" s="2" t="s">
        <v>24</v>
      </c>
      <c r="L2613" s="13" t="s">
        <v>51</v>
      </c>
      <c r="M2613" s="2" t="s">
        <v>26</v>
      </c>
      <c r="P2613" s="5" t="str">
        <f>IFERROR(__xludf.DUMMYFUNCTION("TEXTJOIN("" | "",TRUE,IF(OR(D2613="""",E2613="""",I2613="""",J2613="""",H2613=""""),""ফাঁকা ঘর"",""""),IF(AND(C2613&lt;&gt;"""",D2613&lt;&gt;"""",C2613=D2613),""gloss=figurative"",""""),IF(LEN(D2613)&lt;15,""figurative ছোট"",""""),IF(AND(I2613=""Positive"",REGEXMATCH(H2"&amp;"613,""মূর্খ|ভণ্ড|প্রতার|অলস|লোভ|স্বার্থ|অক্ষম|অযোগ্য|বোকা|কৃপণ|হিংস"")),""valence-target অমিল"",""""),IF(COUNTIF($B:$B,B2613)&gt;1,""ডুপ্লিকেট"",""""))"),"")</f>
        <v/>
      </c>
      <c r="Q2613" s="5" t="str">
        <f t="shared" si="1"/>
        <v>২ পরে</v>
      </c>
    </row>
    <row r="2614">
      <c r="A2614" s="4">
        <v>374.0</v>
      </c>
      <c r="B2614" s="2" t="s">
        <v>10251</v>
      </c>
      <c r="C2614" s="2" t="s">
        <v>10252</v>
      </c>
      <c r="D2614" s="2" t="s">
        <v>10253</v>
      </c>
      <c r="E2614" s="2" t="s">
        <v>10254</v>
      </c>
      <c r="F2614" s="2" t="b">
        <v>1</v>
      </c>
      <c r="G2614" s="2" t="b">
        <v>0</v>
      </c>
      <c r="H2614" s="2" t="s">
        <v>10255</v>
      </c>
      <c r="I2614" s="2" t="s">
        <v>22</v>
      </c>
      <c r="J2614" s="2" t="s">
        <v>59</v>
      </c>
      <c r="K2614" s="2" t="s">
        <v>24</v>
      </c>
      <c r="L2614" s="13" t="s">
        <v>51</v>
      </c>
      <c r="M2614" s="2" t="s">
        <v>26</v>
      </c>
      <c r="P2614" s="5" t="str">
        <f>IFERROR(__xludf.DUMMYFUNCTION("TEXTJOIN("" | "",TRUE,IF(OR(D2614="""",E2614="""",I2614="""",J2614="""",H2614=""""),""ফাঁকা ঘর"",""""),IF(AND(C2614&lt;&gt;"""",D2614&lt;&gt;"""",C2614=D2614),""gloss=figurative"",""""),IF(LEN(D2614)&lt;15,""figurative ছোট"",""""),IF(AND(I2614=""Positive"",REGEXMATCH(H2"&amp;"614,""মূর্খ|ভণ্ড|প্রতার|অলস|লোভ|স্বার্থ|অক্ষম|অযোগ্য|বোকা|কৃপণ|হিংস"")),""valence-target অমিল"",""""),IF(COUNTIF($B:$B,B2614)&gt;1,""ডুপ্লিকেট"",""""))"),"")</f>
        <v/>
      </c>
      <c r="Q2614" s="5" t="str">
        <f t="shared" si="1"/>
        <v>২ পরে</v>
      </c>
    </row>
    <row r="2615">
      <c r="A2615" s="4">
        <v>375.0</v>
      </c>
      <c r="B2615" s="2" t="s">
        <v>10256</v>
      </c>
      <c r="C2615" s="2" t="s">
        <v>9251</v>
      </c>
      <c r="D2615" s="2" t="s">
        <v>9252</v>
      </c>
      <c r="E2615" s="2" t="s">
        <v>10257</v>
      </c>
      <c r="F2615" s="2" t="b">
        <v>1</v>
      </c>
      <c r="G2615" s="2" t="b">
        <v>0</v>
      </c>
      <c r="H2615" s="2" t="s">
        <v>5067</v>
      </c>
      <c r="I2615" s="2" t="s">
        <v>22</v>
      </c>
      <c r="J2615" s="2" t="s">
        <v>142</v>
      </c>
      <c r="K2615" s="2" t="s">
        <v>24</v>
      </c>
      <c r="L2615" s="13" t="s">
        <v>51</v>
      </c>
      <c r="M2615" s="2" t="s">
        <v>26</v>
      </c>
      <c r="P2615" s="5" t="str">
        <f>IFERROR(__xludf.DUMMYFUNCTION("TEXTJOIN("" | "",TRUE,IF(OR(D2615="""",E2615="""",I2615="""",J2615="""",H2615=""""),""ফাঁকা ঘর"",""""),IF(AND(C2615&lt;&gt;"""",D2615&lt;&gt;"""",C2615=D2615),""gloss=figurative"",""""),IF(LEN(D2615)&lt;15,""figurative ছোট"",""""),IF(AND(I2615=""Positive"",REGEXMATCH(H2"&amp;"615,""মূর্খ|ভণ্ড|প্রতার|অলস|লোভ|স্বার্থ|অক্ষম|অযোগ্য|বোকা|কৃপণ|হিংস"")),""valence-target অমিল"",""""),IF(COUNTIF($B:$B,B2615)&gt;1,""ডুপ্লিকেট"",""""))"),"")</f>
        <v/>
      </c>
      <c r="Q2615" s="5" t="str">
        <f t="shared" si="1"/>
        <v>২ পরে</v>
      </c>
    </row>
    <row r="2616">
      <c r="A2616" s="4">
        <v>376.0</v>
      </c>
      <c r="B2616" s="2" t="s">
        <v>10258</v>
      </c>
      <c r="C2616" s="2" t="s">
        <v>10259</v>
      </c>
      <c r="D2616" s="2" t="s">
        <v>10260</v>
      </c>
      <c r="E2616" s="2" t="s">
        <v>10261</v>
      </c>
      <c r="F2616" s="2" t="b">
        <v>1</v>
      </c>
      <c r="G2616" s="2" t="b">
        <v>0</v>
      </c>
      <c r="H2616" s="2" t="s">
        <v>10262</v>
      </c>
      <c r="I2616" s="2" t="s">
        <v>22</v>
      </c>
      <c r="J2616" s="2" t="s">
        <v>59</v>
      </c>
      <c r="K2616" s="2" t="s">
        <v>24</v>
      </c>
      <c r="L2616" s="13" t="s">
        <v>51</v>
      </c>
      <c r="M2616" s="2" t="s">
        <v>26</v>
      </c>
      <c r="P2616" s="5" t="str">
        <f>IFERROR(__xludf.DUMMYFUNCTION("TEXTJOIN("" | "",TRUE,IF(OR(D2616="""",E2616="""",I2616="""",J2616="""",H2616=""""),""ফাঁকা ঘর"",""""),IF(AND(C2616&lt;&gt;"""",D2616&lt;&gt;"""",C2616=D2616),""gloss=figurative"",""""),IF(LEN(D2616)&lt;15,""figurative ছোট"",""""),IF(AND(I2616=""Positive"",REGEXMATCH(H2"&amp;"616,""মূর্খ|ভণ্ড|প্রতার|অলস|লোভ|স্বার্থ|অক্ষম|অযোগ্য|বোকা|কৃপণ|হিংস"")),""valence-target অমিল"",""""),IF(COUNTIF($B:$B,B2616)&gt;1,""ডুপ্লিকেট"",""""))"),"")</f>
        <v/>
      </c>
      <c r="Q2616" s="5" t="str">
        <f t="shared" si="1"/>
        <v>২ পরে</v>
      </c>
    </row>
    <row r="2617">
      <c r="A2617" s="4">
        <v>377.0</v>
      </c>
      <c r="B2617" s="2" t="s">
        <v>10263</v>
      </c>
      <c r="C2617" s="2" t="s">
        <v>10264</v>
      </c>
      <c r="D2617" s="2" t="s">
        <v>10265</v>
      </c>
      <c r="E2617" s="2" t="s">
        <v>10266</v>
      </c>
      <c r="F2617" s="2" t="b">
        <v>1</v>
      </c>
      <c r="G2617" s="2" t="b">
        <v>0</v>
      </c>
      <c r="H2617" s="2" t="s">
        <v>37</v>
      </c>
      <c r="I2617" s="2" t="s">
        <v>32</v>
      </c>
      <c r="J2617" s="2" t="s">
        <v>9037</v>
      </c>
      <c r="K2617" s="2" t="s">
        <v>24</v>
      </c>
      <c r="L2617" s="13" t="s">
        <v>51</v>
      </c>
      <c r="M2617" s="2" t="s">
        <v>26</v>
      </c>
      <c r="P2617" s="5" t="str">
        <f>IFERROR(__xludf.DUMMYFUNCTION("TEXTJOIN("" | "",TRUE,IF(OR(D2617="""",E2617="""",I2617="""",J2617="""",H2617=""""),""ফাঁকা ঘর"",""""),IF(AND(C2617&lt;&gt;"""",D2617&lt;&gt;"""",C2617=D2617),""gloss=figurative"",""""),IF(LEN(D2617)&lt;15,""figurative ছোট"",""""),IF(AND(I2617=""Positive"",REGEXMATCH(H2"&amp;"617,""মূর্খ|ভণ্ড|প্রতার|অলস|লোভ|স্বার্থ|অক্ষম|অযোগ্য|বোকা|কৃপণ|হিংস"")),""valence-target অমিল"",""""),IF(COUNTIF($B:$B,B2617)&gt;1,""ডুপ্লিকেট"",""""))"),"")</f>
        <v/>
      </c>
      <c r="Q2617" s="5" t="str">
        <f t="shared" si="1"/>
        <v>২ পরে</v>
      </c>
    </row>
    <row r="2618">
      <c r="A2618" s="4">
        <v>378.0</v>
      </c>
      <c r="B2618" s="2" t="s">
        <v>10267</v>
      </c>
      <c r="C2618" s="2" t="s">
        <v>10268</v>
      </c>
      <c r="D2618" s="2" t="s">
        <v>10269</v>
      </c>
      <c r="E2618" s="2" t="s">
        <v>10270</v>
      </c>
      <c r="F2618" s="2" t="b">
        <v>1</v>
      </c>
      <c r="G2618" s="2" t="b">
        <v>0</v>
      </c>
      <c r="H2618" s="2" t="s">
        <v>10271</v>
      </c>
      <c r="I2618" s="2" t="s">
        <v>22</v>
      </c>
      <c r="J2618" s="2" t="s">
        <v>59</v>
      </c>
      <c r="K2618" s="2" t="s">
        <v>24</v>
      </c>
      <c r="L2618" s="13" t="s">
        <v>51</v>
      </c>
      <c r="M2618" s="2" t="s">
        <v>26</v>
      </c>
      <c r="P2618" s="5" t="str">
        <f>IFERROR(__xludf.DUMMYFUNCTION("TEXTJOIN("" | "",TRUE,IF(OR(D2618="""",E2618="""",I2618="""",J2618="""",H2618=""""),""ফাঁকা ঘর"",""""),IF(AND(C2618&lt;&gt;"""",D2618&lt;&gt;"""",C2618=D2618),""gloss=figurative"",""""),IF(LEN(D2618)&lt;15,""figurative ছোট"",""""),IF(AND(I2618=""Positive"",REGEXMATCH(H2"&amp;"618,""মূর্খ|ভণ্ড|প্রতার|অলস|লোভ|স্বার্থ|অক্ষম|অযোগ্য|বোকা|কৃপণ|হিংস"")),""valence-target অমিল"",""""),IF(COUNTIF($B:$B,B2618)&gt;1,""ডুপ্লিকেট"",""""))"),"")</f>
        <v/>
      </c>
      <c r="Q2618" s="5" t="str">
        <f t="shared" si="1"/>
        <v>২ পরে</v>
      </c>
    </row>
    <row r="2619">
      <c r="A2619" s="4">
        <v>379.0</v>
      </c>
      <c r="B2619" s="2" t="s">
        <v>10272</v>
      </c>
      <c r="C2619" s="2" t="s">
        <v>10273</v>
      </c>
      <c r="D2619" s="2" t="s">
        <v>10274</v>
      </c>
      <c r="E2619" s="2" t="s">
        <v>10275</v>
      </c>
      <c r="F2619" s="2" t="b">
        <v>1</v>
      </c>
      <c r="G2619" s="2" t="b">
        <v>0</v>
      </c>
      <c r="H2619" s="2" t="s">
        <v>37</v>
      </c>
      <c r="I2619" s="2" t="s">
        <v>22</v>
      </c>
      <c r="J2619" s="2" t="s">
        <v>9037</v>
      </c>
      <c r="K2619" s="2" t="s">
        <v>24</v>
      </c>
      <c r="L2619" s="13" t="s">
        <v>51</v>
      </c>
      <c r="M2619" s="2" t="s">
        <v>26</v>
      </c>
      <c r="P2619" s="5" t="str">
        <f>IFERROR(__xludf.DUMMYFUNCTION("TEXTJOIN("" | "",TRUE,IF(OR(D2619="""",E2619="""",I2619="""",J2619="""",H2619=""""),""ফাঁকা ঘর"",""""),IF(AND(C2619&lt;&gt;"""",D2619&lt;&gt;"""",C2619=D2619),""gloss=figurative"",""""),IF(LEN(D2619)&lt;15,""figurative ছোট"",""""),IF(AND(I2619=""Positive"",REGEXMATCH(H2"&amp;"619,""মূর্খ|ভণ্ড|প্রতার|অলস|লোভ|স্বার্থ|অক্ষম|অযোগ্য|বোকা|কৃপণ|হিংস"")),""valence-target অমিল"",""""),IF(COUNTIF($B:$B,B2619)&gt;1,""ডুপ্লিকেট"",""""))"),"")</f>
        <v/>
      </c>
      <c r="Q2619" s="5" t="str">
        <f t="shared" si="1"/>
        <v>২ পরে</v>
      </c>
    </row>
    <row r="2620">
      <c r="A2620" s="4">
        <v>380.0</v>
      </c>
      <c r="B2620" s="2" t="s">
        <v>10276</v>
      </c>
      <c r="C2620" s="2" t="s">
        <v>10277</v>
      </c>
      <c r="D2620" s="2" t="s">
        <v>10278</v>
      </c>
      <c r="E2620" s="2" t="s">
        <v>10279</v>
      </c>
      <c r="F2620" s="2" t="b">
        <v>1</v>
      </c>
      <c r="G2620" s="2" t="b">
        <v>0</v>
      </c>
      <c r="H2620" s="2" t="s">
        <v>10280</v>
      </c>
      <c r="I2620" s="2" t="s">
        <v>22</v>
      </c>
      <c r="J2620" s="2" t="s">
        <v>59</v>
      </c>
      <c r="K2620" s="2" t="s">
        <v>24</v>
      </c>
      <c r="L2620" s="13" t="s">
        <v>51</v>
      </c>
      <c r="M2620" s="2" t="s">
        <v>26</v>
      </c>
      <c r="P2620" s="5" t="str">
        <f>IFERROR(__xludf.DUMMYFUNCTION("TEXTJOIN("" | "",TRUE,IF(OR(D2620="""",E2620="""",I2620="""",J2620="""",H2620=""""),""ফাঁকা ঘর"",""""),IF(AND(C2620&lt;&gt;"""",D2620&lt;&gt;"""",C2620=D2620),""gloss=figurative"",""""),IF(LEN(D2620)&lt;15,""figurative ছোট"",""""),IF(AND(I2620=""Positive"",REGEXMATCH(H2"&amp;"620,""মূর্খ|ভণ্ড|প্রতার|অলস|লোভ|স্বার্থ|অক্ষম|অযোগ্য|বোকা|কৃপণ|হিংস"")),""valence-target অমিল"",""""),IF(COUNTIF($B:$B,B2620)&gt;1,""ডুপ্লিকেট"",""""))"),"")</f>
        <v/>
      </c>
      <c r="Q2620" s="5" t="str">
        <f t="shared" si="1"/>
        <v>২ পরে</v>
      </c>
    </row>
    <row r="2621">
      <c r="A2621" s="4">
        <v>381.0</v>
      </c>
      <c r="B2621" s="2" t="s">
        <v>10281</v>
      </c>
      <c r="C2621" s="2" t="s">
        <v>10182</v>
      </c>
      <c r="D2621" s="2" t="s">
        <v>10183</v>
      </c>
      <c r="E2621" s="2" t="s">
        <v>10282</v>
      </c>
      <c r="F2621" s="2" t="b">
        <v>1</v>
      </c>
      <c r="G2621" s="2" t="b">
        <v>0</v>
      </c>
      <c r="H2621" s="2" t="s">
        <v>37</v>
      </c>
      <c r="I2621" s="2" t="s">
        <v>22</v>
      </c>
      <c r="J2621" s="2" t="s">
        <v>9943</v>
      </c>
      <c r="K2621" s="2" t="s">
        <v>24</v>
      </c>
      <c r="L2621" s="13" t="s">
        <v>51</v>
      </c>
      <c r="M2621" s="2" t="s">
        <v>26</v>
      </c>
      <c r="P2621" s="5" t="str">
        <f>IFERROR(__xludf.DUMMYFUNCTION("TEXTJOIN("" | "",TRUE,IF(OR(D2621="""",E2621="""",I2621="""",J2621="""",H2621=""""),""ফাঁকা ঘর"",""""),IF(AND(C2621&lt;&gt;"""",D2621&lt;&gt;"""",C2621=D2621),""gloss=figurative"",""""),IF(LEN(D2621)&lt;15,""figurative ছোট"",""""),IF(AND(I2621=""Positive"",REGEXMATCH(H2"&amp;"621,""মূর্খ|ভণ্ড|প্রতার|অলস|লোভ|স্বার্থ|অক্ষম|অযোগ্য|বোকা|কৃপণ|হিংস"")),""valence-target অমিল"",""""),IF(COUNTIF($B:$B,B2621)&gt;1,""ডুপ্লিকেট"",""""))"),"")</f>
        <v/>
      </c>
      <c r="Q2621" s="5" t="str">
        <f t="shared" si="1"/>
        <v>২ পরে</v>
      </c>
    </row>
    <row r="2622">
      <c r="A2622" s="4">
        <v>382.0</v>
      </c>
      <c r="B2622" s="2" t="s">
        <v>10283</v>
      </c>
      <c r="C2622" s="2" t="s">
        <v>10284</v>
      </c>
      <c r="D2622" s="2" t="s">
        <v>10037</v>
      </c>
      <c r="E2622" s="2" t="s">
        <v>10285</v>
      </c>
      <c r="F2622" s="2" t="b">
        <v>1</v>
      </c>
      <c r="G2622" s="2" t="b">
        <v>0</v>
      </c>
      <c r="H2622" s="2" t="s">
        <v>37</v>
      </c>
      <c r="I2622" s="2" t="s">
        <v>32</v>
      </c>
      <c r="J2622" s="2" t="s">
        <v>9177</v>
      </c>
      <c r="K2622" s="2" t="s">
        <v>24</v>
      </c>
      <c r="L2622" s="13" t="s">
        <v>51</v>
      </c>
      <c r="M2622" s="2" t="s">
        <v>26</v>
      </c>
      <c r="P2622" s="5" t="str">
        <f>IFERROR(__xludf.DUMMYFUNCTION("TEXTJOIN("" | "",TRUE,IF(OR(D2622="""",E2622="""",I2622="""",J2622="""",H2622=""""),""ফাঁকা ঘর"",""""),IF(AND(C2622&lt;&gt;"""",D2622&lt;&gt;"""",C2622=D2622),""gloss=figurative"",""""),IF(LEN(D2622)&lt;15,""figurative ছোট"",""""),IF(AND(I2622=""Positive"",REGEXMATCH(H2"&amp;"622,""মূর্খ|ভণ্ড|প্রতার|অলস|লোভ|স্বার্থ|অক্ষম|অযোগ্য|বোকা|কৃপণ|হিংস"")),""valence-target অমিল"",""""),IF(COUNTIF($B:$B,B2622)&gt;1,""ডুপ্লিকেট"",""""))"),"")</f>
        <v/>
      </c>
      <c r="Q2622" s="5" t="str">
        <f t="shared" si="1"/>
        <v>২ পরে</v>
      </c>
    </row>
    <row r="2623">
      <c r="A2623" s="4">
        <v>383.0</v>
      </c>
      <c r="B2623" s="2" t="s">
        <v>10286</v>
      </c>
      <c r="C2623" s="2" t="s">
        <v>10287</v>
      </c>
      <c r="D2623" s="2" t="s">
        <v>10288</v>
      </c>
      <c r="E2623" s="2" t="s">
        <v>10289</v>
      </c>
      <c r="F2623" s="2" t="b">
        <v>1</v>
      </c>
      <c r="G2623" s="2" t="b">
        <v>0</v>
      </c>
      <c r="H2623" s="2" t="s">
        <v>10290</v>
      </c>
      <c r="I2623" s="2" t="s">
        <v>32</v>
      </c>
      <c r="J2623" s="2" t="s">
        <v>142</v>
      </c>
      <c r="K2623" s="2" t="s">
        <v>24</v>
      </c>
      <c r="L2623" s="13" t="s">
        <v>51</v>
      </c>
      <c r="M2623" s="2" t="s">
        <v>26</v>
      </c>
      <c r="P2623" s="5" t="str">
        <f>IFERROR(__xludf.DUMMYFUNCTION("TEXTJOIN("" | "",TRUE,IF(OR(D2623="""",E2623="""",I2623="""",J2623="""",H2623=""""),""ফাঁকা ঘর"",""""),IF(AND(C2623&lt;&gt;"""",D2623&lt;&gt;"""",C2623=D2623),""gloss=figurative"",""""),IF(LEN(D2623)&lt;15,""figurative ছোট"",""""),IF(AND(I2623=""Positive"",REGEXMATCH(H2"&amp;"623,""মূর্খ|ভণ্ড|প্রতার|অলস|লোভ|স্বার্থ|অক্ষম|অযোগ্য|বোকা|কৃপণ|হিংস"")),""valence-target অমিল"",""""),IF(COUNTIF($B:$B,B2623)&gt;1,""ডুপ্লিকেট"",""""))"),"")</f>
        <v/>
      </c>
      <c r="Q2623" s="5" t="str">
        <f t="shared" si="1"/>
        <v>২ পরে</v>
      </c>
    </row>
    <row r="2624">
      <c r="A2624" s="4">
        <v>384.0</v>
      </c>
      <c r="B2624" s="2" t="s">
        <v>10291</v>
      </c>
      <c r="C2624" s="2" t="s">
        <v>10292</v>
      </c>
      <c r="D2624" s="2" t="s">
        <v>10293</v>
      </c>
      <c r="E2624" s="2" t="s">
        <v>10294</v>
      </c>
      <c r="F2624" s="2" t="b">
        <v>1</v>
      </c>
      <c r="G2624" s="2" t="b">
        <v>0</v>
      </c>
      <c r="H2624" s="2" t="s">
        <v>10295</v>
      </c>
      <c r="I2624" s="2" t="s">
        <v>32</v>
      </c>
      <c r="J2624" s="2" t="s">
        <v>123</v>
      </c>
      <c r="K2624" s="2" t="s">
        <v>24</v>
      </c>
      <c r="L2624" s="13" t="s">
        <v>51</v>
      </c>
      <c r="M2624" s="2" t="s">
        <v>26</v>
      </c>
      <c r="P2624" s="5" t="str">
        <f>IFERROR(__xludf.DUMMYFUNCTION("TEXTJOIN("" | "",TRUE,IF(OR(D2624="""",E2624="""",I2624="""",J2624="""",H2624=""""),""ফাঁকা ঘর"",""""),IF(AND(C2624&lt;&gt;"""",D2624&lt;&gt;"""",C2624=D2624),""gloss=figurative"",""""),IF(LEN(D2624)&lt;15,""figurative ছোট"",""""),IF(AND(I2624=""Positive"",REGEXMATCH(H2"&amp;"624,""মূর্খ|ভণ্ড|প্রতার|অলস|লোভ|স্বার্থ|অক্ষম|অযোগ্য|বোকা|কৃপণ|হিংস"")),""valence-target অমিল"",""""),IF(COUNTIF($B:$B,B2624)&gt;1,""ডুপ্লিকেট"",""""))"),"")</f>
        <v/>
      </c>
      <c r="Q2624" s="5" t="str">
        <f t="shared" si="1"/>
        <v>২ পরে</v>
      </c>
    </row>
    <row r="2625">
      <c r="A2625" s="4">
        <v>385.0</v>
      </c>
      <c r="B2625" s="2" t="s">
        <v>10296</v>
      </c>
      <c r="C2625" s="2" t="s">
        <v>10297</v>
      </c>
      <c r="D2625" s="2" t="s">
        <v>10298</v>
      </c>
      <c r="E2625" s="2" t="s">
        <v>10299</v>
      </c>
      <c r="F2625" s="2" t="b">
        <v>1</v>
      </c>
      <c r="G2625" s="2" t="b">
        <v>0</v>
      </c>
      <c r="H2625" s="2" t="s">
        <v>10300</v>
      </c>
      <c r="I2625" s="2" t="s">
        <v>22</v>
      </c>
      <c r="J2625" s="2" t="s">
        <v>1666</v>
      </c>
      <c r="K2625" s="2" t="s">
        <v>24</v>
      </c>
      <c r="L2625" s="13" t="s">
        <v>51</v>
      </c>
      <c r="M2625" s="2" t="s">
        <v>26</v>
      </c>
      <c r="P2625" s="5" t="str">
        <f>IFERROR(__xludf.DUMMYFUNCTION("TEXTJOIN("" | "",TRUE,IF(OR(D2625="""",E2625="""",I2625="""",J2625="""",H2625=""""),""ফাঁকা ঘর"",""""),IF(AND(C2625&lt;&gt;"""",D2625&lt;&gt;"""",C2625=D2625),""gloss=figurative"",""""),IF(LEN(D2625)&lt;15,""figurative ছোট"",""""),IF(AND(I2625=""Positive"",REGEXMATCH(H2"&amp;"625,""মূর্খ|ভণ্ড|প্রতার|অলস|লোভ|স্বার্থ|অক্ষম|অযোগ্য|বোকা|কৃপণ|হিংস"")),""valence-target অমিল"",""""),IF(COUNTIF($B:$B,B2625)&gt;1,""ডুপ্লিকেট"",""""))"),"")</f>
        <v/>
      </c>
      <c r="Q2625" s="5" t="str">
        <f t="shared" si="1"/>
        <v>২ পরে</v>
      </c>
    </row>
    <row r="2626">
      <c r="A2626" s="4">
        <v>386.0</v>
      </c>
      <c r="B2626" s="2" t="s">
        <v>10301</v>
      </c>
      <c r="C2626" s="2" t="s">
        <v>10302</v>
      </c>
      <c r="D2626" s="2" t="s">
        <v>10303</v>
      </c>
      <c r="E2626" s="2" t="s">
        <v>10304</v>
      </c>
      <c r="F2626" s="2" t="b">
        <v>1</v>
      </c>
      <c r="G2626" s="2" t="b">
        <v>0</v>
      </c>
      <c r="H2626" s="2" t="s">
        <v>8837</v>
      </c>
      <c r="I2626" s="2" t="s">
        <v>22</v>
      </c>
      <c r="J2626" s="2" t="s">
        <v>208</v>
      </c>
      <c r="K2626" s="2" t="s">
        <v>24</v>
      </c>
      <c r="L2626" s="13" t="s">
        <v>51</v>
      </c>
      <c r="M2626" s="2" t="s">
        <v>26</v>
      </c>
      <c r="P2626" s="5" t="str">
        <f>IFERROR(__xludf.DUMMYFUNCTION("TEXTJOIN("" | "",TRUE,IF(OR(D2626="""",E2626="""",I2626="""",J2626="""",H2626=""""),""ফাঁকা ঘর"",""""),IF(AND(C2626&lt;&gt;"""",D2626&lt;&gt;"""",C2626=D2626),""gloss=figurative"",""""),IF(LEN(D2626)&lt;15,""figurative ছোট"",""""),IF(AND(I2626=""Positive"",REGEXMATCH(H2"&amp;"626,""মূর্খ|ভণ্ড|প্রতার|অলস|লোভ|স্বার্থ|অক্ষম|অযোগ্য|বোকা|কৃপণ|হিংস"")),""valence-target অমিল"",""""),IF(COUNTIF($B:$B,B2626)&gt;1,""ডুপ্লিকেট"",""""))"),"")</f>
        <v/>
      </c>
      <c r="Q2626" s="5" t="str">
        <f t="shared" si="1"/>
        <v>২ পরে</v>
      </c>
    </row>
    <row r="2627">
      <c r="A2627" s="4">
        <v>387.0</v>
      </c>
      <c r="B2627" s="2" t="s">
        <v>10305</v>
      </c>
      <c r="C2627" s="2" t="s">
        <v>9069</v>
      </c>
      <c r="D2627" s="2" t="s">
        <v>9070</v>
      </c>
      <c r="E2627" s="2" t="s">
        <v>10306</v>
      </c>
      <c r="F2627" s="2" t="b">
        <v>1</v>
      </c>
      <c r="G2627" s="2" t="b">
        <v>0</v>
      </c>
      <c r="H2627" s="2" t="s">
        <v>110</v>
      </c>
      <c r="I2627" s="2" t="s">
        <v>22</v>
      </c>
      <c r="J2627" s="2" t="s">
        <v>59</v>
      </c>
      <c r="K2627" s="2" t="s">
        <v>24</v>
      </c>
      <c r="L2627" s="13" t="s">
        <v>51</v>
      </c>
      <c r="M2627" s="2" t="s">
        <v>26</v>
      </c>
      <c r="P2627" s="5" t="str">
        <f>IFERROR(__xludf.DUMMYFUNCTION("TEXTJOIN("" | "",TRUE,IF(OR(D2627="""",E2627="""",I2627="""",J2627="""",H2627=""""),""ফাঁকা ঘর"",""""),IF(AND(C2627&lt;&gt;"""",D2627&lt;&gt;"""",C2627=D2627),""gloss=figurative"",""""),IF(LEN(D2627)&lt;15,""figurative ছোট"",""""),IF(AND(I2627=""Positive"",REGEXMATCH(H2"&amp;"627,""মূর্খ|ভণ্ড|প্রতার|অলস|লোভ|স্বার্থ|অক্ষম|অযোগ্য|বোকা|কৃপণ|হিংস"")),""valence-target অমিল"",""""),IF(COUNTIF($B:$B,B2627)&gt;1,""ডুপ্লিকেট"",""""))"),"")</f>
        <v/>
      </c>
      <c r="Q2627" s="5" t="str">
        <f t="shared" si="1"/>
        <v>২ পরে</v>
      </c>
    </row>
    <row r="2628">
      <c r="A2628" s="4">
        <v>388.0</v>
      </c>
      <c r="B2628" s="2" t="s">
        <v>10307</v>
      </c>
      <c r="C2628" s="2" t="s">
        <v>10308</v>
      </c>
      <c r="D2628" s="2" t="s">
        <v>10309</v>
      </c>
      <c r="E2628" s="2" t="s">
        <v>10310</v>
      </c>
      <c r="F2628" s="2" t="b">
        <v>1</v>
      </c>
      <c r="G2628" s="2" t="b">
        <v>0</v>
      </c>
      <c r="H2628" s="2" t="s">
        <v>8772</v>
      </c>
      <c r="I2628" s="2" t="s">
        <v>32</v>
      </c>
      <c r="J2628" s="2" t="s">
        <v>964</v>
      </c>
      <c r="K2628" s="2" t="s">
        <v>24</v>
      </c>
      <c r="L2628" s="13" t="s">
        <v>51</v>
      </c>
      <c r="M2628" s="2" t="s">
        <v>26</v>
      </c>
      <c r="P2628" s="5" t="str">
        <f>IFERROR(__xludf.DUMMYFUNCTION("TEXTJOIN("" | "",TRUE,IF(OR(D2628="""",E2628="""",I2628="""",J2628="""",H2628=""""),""ফাঁকা ঘর"",""""),IF(AND(C2628&lt;&gt;"""",D2628&lt;&gt;"""",C2628=D2628),""gloss=figurative"",""""),IF(LEN(D2628)&lt;15,""figurative ছোট"",""""),IF(AND(I2628=""Positive"",REGEXMATCH(H2"&amp;"628,""মূর্খ|ভণ্ড|প্রতার|অলস|লোভ|স্বার্থ|অক্ষম|অযোগ্য|বোকা|কৃপণ|হিংস"")),""valence-target অমিল"",""""),IF(COUNTIF($B:$B,B2628)&gt;1,""ডুপ্লিকেট"",""""))"),"")</f>
        <v/>
      </c>
      <c r="Q2628" s="5" t="str">
        <f t="shared" si="1"/>
        <v>২ পরে</v>
      </c>
    </row>
    <row r="2629">
      <c r="A2629" s="4">
        <v>389.0</v>
      </c>
      <c r="B2629" s="2" t="s">
        <v>10311</v>
      </c>
      <c r="C2629" s="2" t="s">
        <v>10312</v>
      </c>
      <c r="D2629" s="2" t="s">
        <v>10313</v>
      </c>
      <c r="E2629" s="2" t="s">
        <v>10314</v>
      </c>
      <c r="F2629" s="2" t="b">
        <v>1</v>
      </c>
      <c r="G2629" s="2" t="b">
        <v>0</v>
      </c>
      <c r="H2629" s="2" t="s">
        <v>8760</v>
      </c>
      <c r="I2629" s="2" t="s">
        <v>22</v>
      </c>
      <c r="J2629" s="2" t="s">
        <v>59</v>
      </c>
      <c r="K2629" s="2" t="s">
        <v>24</v>
      </c>
      <c r="L2629" s="13" t="s">
        <v>51</v>
      </c>
      <c r="M2629" s="2" t="s">
        <v>26</v>
      </c>
      <c r="P2629" s="5" t="str">
        <f>IFERROR(__xludf.DUMMYFUNCTION("TEXTJOIN("" | "",TRUE,IF(OR(D2629="""",E2629="""",I2629="""",J2629="""",H2629=""""),""ফাঁকা ঘর"",""""),IF(AND(C2629&lt;&gt;"""",D2629&lt;&gt;"""",C2629=D2629),""gloss=figurative"",""""),IF(LEN(D2629)&lt;15,""figurative ছোট"",""""),IF(AND(I2629=""Positive"",REGEXMATCH(H2"&amp;"629,""মূর্খ|ভণ্ড|প্রতার|অলস|লোভ|স্বার্থ|অক্ষম|অযোগ্য|বোকা|কৃপণ|হিংস"")),""valence-target অমিল"",""""),IF(COUNTIF($B:$B,B2629)&gt;1,""ডুপ্লিকেট"",""""))"),"")</f>
        <v/>
      </c>
      <c r="Q2629" s="5" t="str">
        <f t="shared" si="1"/>
        <v>২ পরে</v>
      </c>
    </row>
    <row r="2630">
      <c r="A2630" s="4">
        <v>390.0</v>
      </c>
      <c r="B2630" s="2" t="s">
        <v>10315</v>
      </c>
      <c r="C2630" s="2" t="s">
        <v>10316</v>
      </c>
      <c r="D2630" s="2" t="s">
        <v>10317</v>
      </c>
      <c r="E2630" s="2" t="s">
        <v>10318</v>
      </c>
      <c r="F2630" s="2" t="b">
        <v>1</v>
      </c>
      <c r="G2630" s="2" t="b">
        <v>0</v>
      </c>
      <c r="H2630" s="2" t="s">
        <v>37</v>
      </c>
      <c r="I2630" s="2" t="s">
        <v>32</v>
      </c>
      <c r="J2630" s="2" t="s">
        <v>357</v>
      </c>
      <c r="K2630" s="2" t="s">
        <v>24</v>
      </c>
      <c r="L2630" s="13" t="s">
        <v>51</v>
      </c>
      <c r="M2630" s="2" t="s">
        <v>26</v>
      </c>
      <c r="P2630" s="5" t="str">
        <f>IFERROR(__xludf.DUMMYFUNCTION("TEXTJOIN("" | "",TRUE,IF(OR(D2630="""",E2630="""",I2630="""",J2630="""",H2630=""""),""ফাঁকা ঘর"",""""),IF(AND(C2630&lt;&gt;"""",D2630&lt;&gt;"""",C2630=D2630),""gloss=figurative"",""""),IF(LEN(D2630)&lt;15,""figurative ছোট"",""""),IF(AND(I2630=""Positive"",REGEXMATCH(H2"&amp;"630,""মূর্খ|ভণ্ড|প্রতার|অলস|লোভ|স্বার্থ|অক্ষম|অযোগ্য|বোকা|কৃপণ|হিংস"")),""valence-target অমিল"",""""),IF(COUNTIF($B:$B,B2630)&gt;1,""ডুপ্লিকেট"",""""))"),"")</f>
        <v/>
      </c>
      <c r="Q2630" s="5" t="str">
        <f t="shared" si="1"/>
        <v>২ পরে</v>
      </c>
    </row>
    <row r="2631">
      <c r="A2631" s="4">
        <v>391.0</v>
      </c>
      <c r="B2631" s="2" t="s">
        <v>10319</v>
      </c>
      <c r="C2631" s="2" t="s">
        <v>10320</v>
      </c>
      <c r="D2631" s="2" t="s">
        <v>10321</v>
      </c>
      <c r="E2631" s="2" t="s">
        <v>10322</v>
      </c>
      <c r="F2631" s="2" t="b">
        <v>1</v>
      </c>
      <c r="G2631" s="2" t="b">
        <v>0</v>
      </c>
      <c r="H2631" s="2" t="s">
        <v>37</v>
      </c>
      <c r="I2631" s="2" t="s">
        <v>32</v>
      </c>
      <c r="J2631" s="2" t="s">
        <v>814</v>
      </c>
      <c r="K2631" s="2" t="s">
        <v>24</v>
      </c>
      <c r="L2631" s="13" t="s">
        <v>51</v>
      </c>
      <c r="M2631" s="2" t="s">
        <v>26</v>
      </c>
      <c r="P2631" s="5" t="str">
        <f>IFERROR(__xludf.DUMMYFUNCTION("TEXTJOIN("" | "",TRUE,IF(OR(D2631="""",E2631="""",I2631="""",J2631="""",H2631=""""),""ফাঁকা ঘর"",""""),IF(AND(C2631&lt;&gt;"""",D2631&lt;&gt;"""",C2631=D2631),""gloss=figurative"",""""),IF(LEN(D2631)&lt;15,""figurative ছোট"",""""),IF(AND(I2631=""Positive"",REGEXMATCH(H2"&amp;"631,""মূর্খ|ভণ্ড|প্রতার|অলস|লোভ|স্বার্থ|অক্ষম|অযোগ্য|বোকা|কৃপণ|হিংস"")),""valence-target অমিল"",""""),IF(COUNTIF($B:$B,B2631)&gt;1,""ডুপ্লিকেট"",""""))"),"")</f>
        <v/>
      </c>
      <c r="Q2631" s="5" t="str">
        <f t="shared" si="1"/>
        <v>২ পরে</v>
      </c>
    </row>
    <row r="2632">
      <c r="A2632" s="4">
        <v>392.0</v>
      </c>
      <c r="B2632" s="2" t="s">
        <v>10323</v>
      </c>
      <c r="C2632" s="2" t="s">
        <v>10324</v>
      </c>
      <c r="D2632" s="2" t="s">
        <v>10325</v>
      </c>
      <c r="E2632" s="2" t="s">
        <v>10326</v>
      </c>
      <c r="F2632" s="2" t="b">
        <v>1</v>
      </c>
      <c r="G2632" s="2" t="b">
        <v>0</v>
      </c>
      <c r="H2632" s="2" t="s">
        <v>10327</v>
      </c>
      <c r="I2632" s="2" t="s">
        <v>49</v>
      </c>
      <c r="J2632" s="2" t="s">
        <v>123</v>
      </c>
      <c r="K2632" s="2" t="s">
        <v>24</v>
      </c>
      <c r="L2632" s="13" t="s">
        <v>51</v>
      </c>
      <c r="M2632" s="2" t="s">
        <v>26</v>
      </c>
      <c r="P2632" s="5" t="str">
        <f>IFERROR(__xludf.DUMMYFUNCTION("TEXTJOIN("" | "",TRUE,IF(OR(D2632="""",E2632="""",I2632="""",J2632="""",H2632=""""),""ফাঁকা ঘর"",""""),IF(AND(C2632&lt;&gt;"""",D2632&lt;&gt;"""",C2632=D2632),""gloss=figurative"",""""),IF(LEN(D2632)&lt;15,""figurative ছোট"",""""),IF(AND(I2632=""Positive"",REGEXMATCH(H2"&amp;"632,""মূর্খ|ভণ্ড|প্রতার|অলস|লোভ|স্বার্থ|অক্ষম|অযোগ্য|বোকা|কৃপণ|হিংস"")),""valence-target অমিল"",""""),IF(COUNTIF($B:$B,B2632)&gt;1,""ডুপ্লিকেট"",""""))"),"")</f>
        <v/>
      </c>
      <c r="Q2632" s="5" t="str">
        <f t="shared" si="1"/>
        <v>২ পরে</v>
      </c>
    </row>
    <row r="2633">
      <c r="A2633" s="4">
        <v>393.0</v>
      </c>
      <c r="B2633" s="2" t="s">
        <v>10328</v>
      </c>
      <c r="C2633" s="2" t="s">
        <v>10329</v>
      </c>
      <c r="D2633" s="2" t="s">
        <v>10330</v>
      </c>
      <c r="E2633" s="2" t="s">
        <v>10331</v>
      </c>
      <c r="F2633" s="2" t="b">
        <v>1</v>
      </c>
      <c r="G2633" s="2" t="b">
        <v>0</v>
      </c>
      <c r="H2633" s="2" t="s">
        <v>37</v>
      </c>
      <c r="I2633" s="2" t="s">
        <v>32</v>
      </c>
      <c r="J2633" s="2" t="s">
        <v>357</v>
      </c>
      <c r="K2633" s="2" t="s">
        <v>24</v>
      </c>
      <c r="L2633" s="13" t="s">
        <v>51</v>
      </c>
      <c r="M2633" s="2" t="s">
        <v>26</v>
      </c>
      <c r="P2633" s="5" t="str">
        <f>IFERROR(__xludf.DUMMYFUNCTION("TEXTJOIN("" | "",TRUE,IF(OR(D2633="""",E2633="""",I2633="""",J2633="""",H2633=""""),""ফাঁকা ঘর"",""""),IF(AND(C2633&lt;&gt;"""",D2633&lt;&gt;"""",C2633=D2633),""gloss=figurative"",""""),IF(LEN(D2633)&lt;15,""figurative ছোট"",""""),IF(AND(I2633=""Positive"",REGEXMATCH(H2"&amp;"633,""মূর্খ|ভণ্ড|প্রতার|অলস|লোভ|স্বার্থ|অক্ষম|অযোগ্য|বোকা|কৃপণ|হিংস"")),""valence-target অমিল"",""""),IF(COUNTIF($B:$B,B2633)&gt;1,""ডুপ্লিকেট"",""""))"),"")</f>
        <v/>
      </c>
      <c r="Q2633" s="5" t="str">
        <f t="shared" si="1"/>
        <v>২ পরে</v>
      </c>
    </row>
    <row r="2634">
      <c r="A2634" s="4">
        <v>394.0</v>
      </c>
      <c r="B2634" s="2" t="s">
        <v>10332</v>
      </c>
      <c r="C2634" s="2" t="s">
        <v>10333</v>
      </c>
      <c r="D2634" s="2" t="s">
        <v>10334</v>
      </c>
      <c r="E2634" s="2" t="s">
        <v>10335</v>
      </c>
      <c r="F2634" s="2" t="b">
        <v>1</v>
      </c>
      <c r="G2634" s="2" t="b">
        <v>0</v>
      </c>
      <c r="H2634" s="2" t="s">
        <v>37</v>
      </c>
      <c r="I2634" s="2" t="s">
        <v>49</v>
      </c>
      <c r="J2634" s="2" t="s">
        <v>286</v>
      </c>
      <c r="K2634" s="2" t="s">
        <v>24</v>
      </c>
      <c r="L2634" s="13" t="s">
        <v>51</v>
      </c>
      <c r="M2634" s="2" t="s">
        <v>26</v>
      </c>
      <c r="P2634" s="5" t="str">
        <f>IFERROR(__xludf.DUMMYFUNCTION("TEXTJOIN("" | "",TRUE,IF(OR(D2634="""",E2634="""",I2634="""",J2634="""",H2634=""""),""ফাঁকা ঘর"",""""),IF(AND(C2634&lt;&gt;"""",D2634&lt;&gt;"""",C2634=D2634),""gloss=figurative"",""""),IF(LEN(D2634)&lt;15,""figurative ছোট"",""""),IF(AND(I2634=""Positive"",REGEXMATCH(H2"&amp;"634,""মূর্খ|ভণ্ড|প্রতার|অলস|লোভ|স্বার্থ|অক্ষম|অযোগ্য|বোকা|কৃপণ|হিংস"")),""valence-target অমিল"",""""),IF(COUNTIF($B:$B,B2634)&gt;1,""ডুপ্লিকেট"",""""))"),"")</f>
        <v/>
      </c>
      <c r="Q2634" s="5" t="str">
        <f t="shared" si="1"/>
        <v>২ পরে</v>
      </c>
    </row>
    <row r="2635">
      <c r="A2635" s="4">
        <v>396.0</v>
      </c>
      <c r="B2635" s="2" t="s">
        <v>10336</v>
      </c>
      <c r="C2635" s="2" t="s">
        <v>204</v>
      </c>
      <c r="D2635" s="2" t="s">
        <v>10337</v>
      </c>
      <c r="E2635" s="2" t="s">
        <v>10338</v>
      </c>
      <c r="F2635" s="2" t="b">
        <v>1</v>
      </c>
      <c r="G2635" s="2" t="b">
        <v>0</v>
      </c>
      <c r="H2635" s="2" t="s">
        <v>207</v>
      </c>
      <c r="I2635" s="2" t="s">
        <v>49</v>
      </c>
      <c r="J2635" s="2" t="s">
        <v>208</v>
      </c>
      <c r="K2635" s="2" t="s">
        <v>24</v>
      </c>
      <c r="L2635" s="13" t="s">
        <v>51</v>
      </c>
      <c r="M2635" s="2" t="s">
        <v>26</v>
      </c>
      <c r="P2635" s="5" t="str">
        <f>IFERROR(__xludf.DUMMYFUNCTION("TEXTJOIN("" | "",TRUE,IF(OR(D2635="""",E2635="""",I2635="""",J2635="""",H2635=""""),""ফাঁকা ঘর"",""""),IF(AND(C2635&lt;&gt;"""",D2635&lt;&gt;"""",C2635=D2635),""gloss=figurative"",""""),IF(LEN(D2635)&lt;15,""figurative ছোট"",""""),IF(AND(I2635=""Positive"",REGEXMATCH(H2"&amp;"635,""মূর্খ|ভণ্ড|প্রতার|অলস|লোভ|স্বার্থ|অক্ষম|অযোগ্য|বোকা|কৃপণ|হিংস"")),""valence-target অমিল"",""""),IF(COUNTIF($B:$B,B2635)&gt;1,""ডুপ্লিকেট"",""""))"),"")</f>
        <v/>
      </c>
      <c r="Q2635" s="5" t="str">
        <f t="shared" si="1"/>
        <v>২ পরে</v>
      </c>
    </row>
    <row r="2636">
      <c r="A2636" s="4">
        <v>397.0</v>
      </c>
      <c r="B2636" s="2" t="s">
        <v>10339</v>
      </c>
      <c r="C2636" s="2" t="s">
        <v>7840</v>
      </c>
      <c r="D2636" s="2" t="s">
        <v>10340</v>
      </c>
      <c r="E2636" s="2" t="s">
        <v>10341</v>
      </c>
      <c r="F2636" s="2" t="b">
        <v>1</v>
      </c>
      <c r="G2636" s="2" t="b">
        <v>0</v>
      </c>
      <c r="H2636" s="2" t="s">
        <v>10342</v>
      </c>
      <c r="I2636" s="2" t="s">
        <v>49</v>
      </c>
      <c r="J2636" s="2" t="s">
        <v>814</v>
      </c>
      <c r="K2636" s="2" t="s">
        <v>24</v>
      </c>
      <c r="L2636" s="13" t="s">
        <v>51</v>
      </c>
      <c r="M2636" s="2" t="s">
        <v>26</v>
      </c>
      <c r="P2636" s="5" t="str">
        <f>IFERROR(__xludf.DUMMYFUNCTION("TEXTJOIN("" | "",TRUE,IF(OR(D2636="""",E2636="""",I2636="""",J2636="""",H2636=""""),""ফাঁকা ঘর"",""""),IF(AND(C2636&lt;&gt;"""",D2636&lt;&gt;"""",C2636=D2636),""gloss=figurative"",""""),IF(LEN(D2636)&lt;15,""figurative ছোট"",""""),IF(AND(I2636=""Positive"",REGEXMATCH(H2"&amp;"636,""মূর্খ|ভণ্ড|প্রতার|অলস|লোভ|স্বার্থ|অক্ষম|অযোগ্য|বোকা|কৃপণ|হিংস"")),""valence-target অমিল"",""""),IF(COUNTIF($B:$B,B2636)&gt;1,""ডুপ্লিকেট"",""""))"),"")</f>
        <v/>
      </c>
      <c r="Q2636" s="5" t="str">
        <f t="shared" si="1"/>
        <v>২ পরে</v>
      </c>
    </row>
    <row r="2637">
      <c r="A2637" s="4">
        <v>398.0</v>
      </c>
      <c r="B2637" s="2" t="s">
        <v>10343</v>
      </c>
      <c r="C2637" s="2" t="s">
        <v>10344</v>
      </c>
      <c r="D2637" s="2" t="s">
        <v>10345</v>
      </c>
      <c r="E2637" s="2" t="s">
        <v>10346</v>
      </c>
      <c r="F2637" s="2" t="b">
        <v>1</v>
      </c>
      <c r="G2637" s="2" t="b">
        <v>0</v>
      </c>
      <c r="H2637" s="2" t="s">
        <v>9359</v>
      </c>
      <c r="I2637" s="2" t="s">
        <v>22</v>
      </c>
      <c r="J2637" s="2" t="s">
        <v>123</v>
      </c>
      <c r="K2637" s="2" t="s">
        <v>24</v>
      </c>
      <c r="L2637" s="13" t="s">
        <v>51</v>
      </c>
      <c r="M2637" s="2" t="s">
        <v>26</v>
      </c>
      <c r="P2637" s="5" t="str">
        <f>IFERROR(__xludf.DUMMYFUNCTION("TEXTJOIN("" | "",TRUE,IF(OR(D2637="""",E2637="""",I2637="""",J2637="""",H2637=""""),""ফাঁকা ঘর"",""""),IF(AND(C2637&lt;&gt;"""",D2637&lt;&gt;"""",C2637=D2637),""gloss=figurative"",""""),IF(LEN(D2637)&lt;15,""figurative ছোট"",""""),IF(AND(I2637=""Positive"",REGEXMATCH(H2"&amp;"637,""মূর্খ|ভণ্ড|প্রতার|অলস|লোভ|স্বার্থ|অক্ষম|অযোগ্য|বোকা|কৃপণ|হিংস"")),""valence-target অমিল"",""""),IF(COUNTIF($B:$B,B2637)&gt;1,""ডুপ্লিকেট"",""""))"),"")</f>
        <v/>
      </c>
      <c r="Q2637" s="5" t="str">
        <f t="shared" si="1"/>
        <v>২ পরে</v>
      </c>
    </row>
    <row r="2638">
      <c r="A2638" s="4">
        <v>399.0</v>
      </c>
      <c r="B2638" s="2" t="s">
        <v>10347</v>
      </c>
      <c r="C2638" s="2" t="s">
        <v>10348</v>
      </c>
      <c r="D2638" s="2" t="s">
        <v>10349</v>
      </c>
      <c r="E2638" s="2" t="s">
        <v>10350</v>
      </c>
      <c r="F2638" s="2" t="b">
        <v>1</v>
      </c>
      <c r="G2638" s="2" t="b">
        <v>0</v>
      </c>
      <c r="H2638" s="2" t="s">
        <v>10105</v>
      </c>
      <c r="I2638" s="2" t="s">
        <v>49</v>
      </c>
      <c r="J2638" s="2" t="s">
        <v>117</v>
      </c>
      <c r="K2638" s="2" t="s">
        <v>24</v>
      </c>
      <c r="L2638" s="13" t="s">
        <v>51</v>
      </c>
      <c r="M2638" s="2" t="s">
        <v>26</v>
      </c>
      <c r="P2638" s="5" t="str">
        <f>IFERROR(__xludf.DUMMYFUNCTION("TEXTJOIN("" | "",TRUE,IF(OR(D2638="""",E2638="""",I2638="""",J2638="""",H2638=""""),""ফাঁকা ঘর"",""""),IF(AND(C2638&lt;&gt;"""",D2638&lt;&gt;"""",C2638=D2638),""gloss=figurative"",""""),IF(LEN(D2638)&lt;15,""figurative ছোট"",""""),IF(AND(I2638=""Positive"",REGEXMATCH(H2"&amp;"638,""মূর্খ|ভণ্ড|প্রতার|অলস|লোভ|স্বার্থ|অক্ষম|অযোগ্য|বোকা|কৃপণ|হিংস"")),""valence-target অমিল"",""""),IF(COUNTIF($B:$B,B2638)&gt;1,""ডুপ্লিকেট"",""""))"),"")</f>
        <v/>
      </c>
      <c r="Q2638" s="5" t="str">
        <f t="shared" si="1"/>
        <v>২ পরে</v>
      </c>
    </row>
    <row r="2639">
      <c r="A2639" s="4">
        <v>400.0</v>
      </c>
      <c r="B2639" s="2" t="s">
        <v>10351</v>
      </c>
      <c r="C2639" s="2" t="s">
        <v>10352</v>
      </c>
      <c r="D2639" s="2" t="s">
        <v>10353</v>
      </c>
      <c r="E2639" s="2" t="s">
        <v>10354</v>
      </c>
      <c r="F2639" s="2" t="b">
        <v>1</v>
      </c>
      <c r="G2639" s="2" t="b">
        <v>0</v>
      </c>
      <c r="H2639" s="2" t="s">
        <v>10355</v>
      </c>
      <c r="I2639" s="2" t="s">
        <v>22</v>
      </c>
      <c r="J2639" s="2" t="s">
        <v>10356</v>
      </c>
      <c r="K2639" s="2" t="s">
        <v>24</v>
      </c>
      <c r="L2639" s="13" t="s">
        <v>51</v>
      </c>
      <c r="M2639" s="2" t="s">
        <v>26</v>
      </c>
      <c r="P2639" s="5" t="str">
        <f>IFERROR(__xludf.DUMMYFUNCTION("TEXTJOIN("" | "",TRUE,IF(OR(D2639="""",E2639="""",I2639="""",J2639="""",H2639=""""),""ফাঁকা ঘর"",""""),IF(AND(C2639&lt;&gt;"""",D2639&lt;&gt;"""",C2639=D2639),""gloss=figurative"",""""),IF(LEN(D2639)&lt;15,""figurative ছোট"",""""),IF(AND(I2639=""Positive"",REGEXMATCH(H2"&amp;"639,""মূর্খ|ভণ্ড|প্রতার|অলস|লোভ|স্বার্থ|অক্ষম|অযোগ্য|বোকা|কৃপণ|হিংস"")),""valence-target অমিল"",""""),IF(COUNTIF($B:$B,B2639)&gt;1,""ডুপ্লিকেট"",""""))"),"")</f>
        <v/>
      </c>
      <c r="Q2639" s="5" t="str">
        <f t="shared" si="1"/>
        <v>২ পরে</v>
      </c>
    </row>
    <row r="2640">
      <c r="A2640" s="4">
        <v>401.0</v>
      </c>
      <c r="B2640" s="2" t="s">
        <v>10357</v>
      </c>
      <c r="C2640" s="2" t="s">
        <v>10358</v>
      </c>
      <c r="D2640" s="2" t="s">
        <v>10359</v>
      </c>
      <c r="E2640" s="2" t="s">
        <v>10360</v>
      </c>
      <c r="F2640" s="2" t="b">
        <v>1</v>
      </c>
      <c r="G2640" s="2" t="b">
        <v>0</v>
      </c>
      <c r="H2640" s="2" t="s">
        <v>10361</v>
      </c>
      <c r="I2640" s="2" t="s">
        <v>49</v>
      </c>
      <c r="J2640" s="2" t="s">
        <v>690</v>
      </c>
      <c r="K2640" s="2" t="s">
        <v>24</v>
      </c>
      <c r="L2640" s="13" t="s">
        <v>51</v>
      </c>
      <c r="M2640" s="2" t="s">
        <v>26</v>
      </c>
      <c r="P2640" s="5" t="str">
        <f>IFERROR(__xludf.DUMMYFUNCTION("TEXTJOIN("" | "",TRUE,IF(OR(D2640="""",E2640="""",I2640="""",J2640="""",H2640=""""),""ফাঁকা ঘর"",""""),IF(AND(C2640&lt;&gt;"""",D2640&lt;&gt;"""",C2640=D2640),""gloss=figurative"",""""),IF(LEN(D2640)&lt;15,""figurative ছোট"",""""),IF(AND(I2640=""Positive"",REGEXMATCH(H2"&amp;"640,""মূর্খ|ভণ্ড|প্রতার|অলস|লোভ|স্বার্থ|অক্ষম|অযোগ্য|বোকা|কৃপণ|হিংস"")),""valence-target অমিল"",""""),IF(COUNTIF($B:$B,B2640)&gt;1,""ডুপ্লিকেট"",""""))"),"")</f>
        <v/>
      </c>
      <c r="Q2640" s="5" t="str">
        <f t="shared" si="1"/>
        <v>২ পরে</v>
      </c>
    </row>
    <row r="2641">
      <c r="A2641" s="4">
        <v>402.0</v>
      </c>
      <c r="B2641" s="2" t="s">
        <v>10362</v>
      </c>
      <c r="C2641" s="2" t="s">
        <v>10363</v>
      </c>
      <c r="D2641" s="2" t="s">
        <v>10364</v>
      </c>
      <c r="E2641" s="2" t="s">
        <v>10365</v>
      </c>
      <c r="F2641" s="2" t="b">
        <v>1</v>
      </c>
      <c r="G2641" s="2" t="b">
        <v>0</v>
      </c>
      <c r="H2641" s="2" t="s">
        <v>10366</v>
      </c>
      <c r="I2641" s="2" t="s">
        <v>32</v>
      </c>
      <c r="J2641" s="2" t="s">
        <v>2550</v>
      </c>
      <c r="K2641" s="2" t="s">
        <v>24</v>
      </c>
      <c r="L2641" s="13" t="s">
        <v>51</v>
      </c>
      <c r="M2641" s="2" t="s">
        <v>26</v>
      </c>
      <c r="P2641" s="5" t="str">
        <f>IFERROR(__xludf.DUMMYFUNCTION("TEXTJOIN("" | "",TRUE,IF(OR(D2641="""",E2641="""",I2641="""",J2641="""",H2641=""""),""ফাঁকা ঘর"",""""),IF(AND(C2641&lt;&gt;"""",D2641&lt;&gt;"""",C2641=D2641),""gloss=figurative"",""""),IF(LEN(D2641)&lt;15,""figurative ছোট"",""""),IF(AND(I2641=""Positive"",REGEXMATCH(H2"&amp;"641,""মূর্খ|ভণ্ড|প্রতার|অলস|লোভ|স্বার্থ|অক্ষম|অযোগ্য|বোকা|কৃপণ|হিংস"")),""valence-target অমিল"",""""),IF(COUNTIF($B:$B,B2641)&gt;1,""ডুপ্লিকেট"",""""))"),"")</f>
        <v/>
      </c>
      <c r="Q2641" s="5" t="str">
        <f t="shared" si="1"/>
        <v>২ পরে</v>
      </c>
    </row>
    <row r="2642">
      <c r="A2642" s="4">
        <v>403.0</v>
      </c>
      <c r="B2642" s="2" t="s">
        <v>10367</v>
      </c>
      <c r="C2642" s="2" t="s">
        <v>10368</v>
      </c>
      <c r="D2642" s="2" t="s">
        <v>10369</v>
      </c>
      <c r="E2642" s="2" t="s">
        <v>10370</v>
      </c>
      <c r="F2642" s="2" t="b">
        <v>1</v>
      </c>
      <c r="G2642" s="2" t="b">
        <v>0</v>
      </c>
      <c r="H2642" s="2" t="s">
        <v>10371</v>
      </c>
      <c r="I2642" s="2" t="s">
        <v>49</v>
      </c>
      <c r="J2642" s="2" t="s">
        <v>424</v>
      </c>
      <c r="K2642" s="2" t="s">
        <v>24</v>
      </c>
      <c r="L2642" s="13" t="s">
        <v>51</v>
      </c>
      <c r="M2642" s="2" t="s">
        <v>26</v>
      </c>
      <c r="P2642" s="5" t="str">
        <f>IFERROR(__xludf.DUMMYFUNCTION("TEXTJOIN("" | "",TRUE,IF(OR(D2642="""",E2642="""",I2642="""",J2642="""",H2642=""""),""ফাঁকা ঘর"",""""),IF(AND(C2642&lt;&gt;"""",D2642&lt;&gt;"""",C2642=D2642),""gloss=figurative"",""""),IF(LEN(D2642)&lt;15,""figurative ছোট"",""""),IF(AND(I2642=""Positive"",REGEXMATCH(H2"&amp;"642,""মূর্খ|ভণ্ড|প্রতার|অলস|লোভ|স্বার্থ|অক্ষম|অযোগ্য|বোকা|কৃপণ|হিংস"")),""valence-target অমিল"",""""),IF(COUNTIF($B:$B,B2642)&gt;1,""ডুপ্লিকেট"",""""))"),"")</f>
        <v/>
      </c>
      <c r="Q2642" s="5" t="str">
        <f t="shared" si="1"/>
        <v>২ পরে</v>
      </c>
    </row>
    <row r="2643">
      <c r="A2643" s="4">
        <v>404.0</v>
      </c>
      <c r="B2643" s="2" t="s">
        <v>10372</v>
      </c>
      <c r="C2643" s="2" t="s">
        <v>10373</v>
      </c>
      <c r="D2643" s="2" t="s">
        <v>10374</v>
      </c>
      <c r="E2643" s="2" t="s">
        <v>10375</v>
      </c>
      <c r="F2643" s="2" t="b">
        <v>1</v>
      </c>
      <c r="G2643" s="2" t="b">
        <v>0</v>
      </c>
      <c r="H2643" s="2" t="s">
        <v>9872</v>
      </c>
      <c r="I2643" s="2" t="s">
        <v>49</v>
      </c>
      <c r="J2643" s="2" t="s">
        <v>59</v>
      </c>
      <c r="K2643" s="2" t="s">
        <v>24</v>
      </c>
      <c r="L2643" s="13" t="s">
        <v>51</v>
      </c>
      <c r="M2643" s="2" t="s">
        <v>26</v>
      </c>
      <c r="P2643" s="5" t="str">
        <f>IFERROR(__xludf.DUMMYFUNCTION("TEXTJOIN("" | "",TRUE,IF(OR(D2643="""",E2643="""",I2643="""",J2643="""",H2643=""""),""ফাঁকা ঘর"",""""),IF(AND(C2643&lt;&gt;"""",D2643&lt;&gt;"""",C2643=D2643),""gloss=figurative"",""""),IF(LEN(D2643)&lt;15,""figurative ছোট"",""""),IF(AND(I2643=""Positive"",REGEXMATCH(H2"&amp;"643,""মূর্খ|ভণ্ড|প্রতার|অলস|লোভ|স্বার্থ|অক্ষম|অযোগ্য|বোকা|কৃপণ|হিংস"")),""valence-target অমিল"",""""),IF(COUNTIF($B:$B,B2643)&gt;1,""ডুপ্লিকেট"",""""))"),"")</f>
        <v/>
      </c>
      <c r="Q2643" s="5" t="str">
        <f t="shared" si="1"/>
        <v>২ পরে</v>
      </c>
    </row>
    <row r="2644">
      <c r="A2644" s="4">
        <v>405.0</v>
      </c>
      <c r="B2644" s="2" t="s">
        <v>10376</v>
      </c>
      <c r="C2644" s="2" t="s">
        <v>10377</v>
      </c>
      <c r="D2644" s="2" t="s">
        <v>10378</v>
      </c>
      <c r="E2644" s="2" t="s">
        <v>10379</v>
      </c>
      <c r="F2644" s="2" t="b">
        <v>1</v>
      </c>
      <c r="G2644" s="2" t="b">
        <v>0</v>
      </c>
      <c r="H2644" s="2" t="s">
        <v>10380</v>
      </c>
      <c r="I2644" s="2" t="s">
        <v>32</v>
      </c>
      <c r="J2644" s="2" t="s">
        <v>2629</v>
      </c>
      <c r="K2644" s="2" t="s">
        <v>24</v>
      </c>
      <c r="L2644" s="13" t="s">
        <v>51</v>
      </c>
      <c r="M2644" s="2" t="s">
        <v>26</v>
      </c>
      <c r="P2644" s="5" t="str">
        <f>IFERROR(__xludf.DUMMYFUNCTION("TEXTJOIN("" | "",TRUE,IF(OR(D2644="""",E2644="""",I2644="""",J2644="""",H2644=""""),""ফাঁকা ঘর"",""""),IF(AND(C2644&lt;&gt;"""",D2644&lt;&gt;"""",C2644=D2644),""gloss=figurative"",""""),IF(LEN(D2644)&lt;15,""figurative ছোট"",""""),IF(AND(I2644=""Positive"",REGEXMATCH(H2"&amp;"644,""মূর্খ|ভণ্ড|প্রতার|অলস|লোভ|স্বার্থ|অক্ষম|অযোগ্য|বোকা|কৃপণ|হিংস"")),""valence-target অমিল"",""""),IF(COUNTIF($B:$B,B2644)&gt;1,""ডুপ্লিকেট"",""""))"),"")</f>
        <v/>
      </c>
      <c r="Q2644" s="5" t="str">
        <f t="shared" si="1"/>
        <v>২ পরে</v>
      </c>
    </row>
    <row r="2645">
      <c r="A2645" s="4">
        <v>406.0</v>
      </c>
      <c r="B2645" s="2" t="s">
        <v>10381</v>
      </c>
      <c r="C2645" s="2" t="s">
        <v>10382</v>
      </c>
      <c r="D2645" s="2" t="s">
        <v>10383</v>
      </c>
      <c r="E2645" s="2" t="s">
        <v>10384</v>
      </c>
      <c r="F2645" s="2" t="b">
        <v>1</v>
      </c>
      <c r="G2645" s="2" t="b">
        <v>1</v>
      </c>
      <c r="H2645" s="2" t="s">
        <v>2482</v>
      </c>
      <c r="I2645" s="2" t="s">
        <v>32</v>
      </c>
      <c r="J2645" s="2" t="s">
        <v>10385</v>
      </c>
      <c r="K2645" s="2" t="s">
        <v>24</v>
      </c>
      <c r="L2645" s="13" t="s">
        <v>51</v>
      </c>
      <c r="M2645" s="2" t="s">
        <v>26</v>
      </c>
      <c r="P2645" s="5" t="str">
        <f>IFERROR(__xludf.DUMMYFUNCTION("TEXTJOIN("" | "",TRUE,IF(OR(D2645="""",E2645="""",I2645="""",J2645="""",H2645=""""),""ফাঁকা ঘর"",""""),IF(AND(C2645&lt;&gt;"""",D2645&lt;&gt;"""",C2645=D2645),""gloss=figurative"",""""),IF(LEN(D2645)&lt;15,""figurative ছোট"",""""),IF(AND(I2645=""Positive"",REGEXMATCH(H2"&amp;"645,""মূর্খ|ভণ্ড|প্রতার|অলস|লোভ|স্বার্থ|অক্ষম|অযোগ্য|বোকা|কৃপণ|হিংস"")),""valence-target অমিল"",""""),IF(COUNTIF($B:$B,B2645)&gt;1,""ডুপ্লিকেট"",""""))"),"")</f>
        <v/>
      </c>
      <c r="Q2645" s="5" t="str">
        <f t="shared" si="1"/>
        <v>২ পরে</v>
      </c>
    </row>
    <row r="2646">
      <c r="A2646" s="4">
        <v>407.0</v>
      </c>
      <c r="B2646" s="2" t="s">
        <v>10386</v>
      </c>
      <c r="C2646" s="2" t="s">
        <v>9154</v>
      </c>
      <c r="D2646" s="2" t="s">
        <v>10387</v>
      </c>
      <c r="E2646" s="2" t="s">
        <v>10388</v>
      </c>
      <c r="F2646" s="2" t="b">
        <v>1</v>
      </c>
      <c r="G2646" s="2" t="b">
        <v>0</v>
      </c>
      <c r="H2646" s="2" t="s">
        <v>10389</v>
      </c>
      <c r="I2646" s="2" t="s">
        <v>49</v>
      </c>
      <c r="J2646" s="2" t="s">
        <v>1008</v>
      </c>
      <c r="K2646" s="2" t="s">
        <v>24</v>
      </c>
      <c r="L2646" s="13" t="s">
        <v>51</v>
      </c>
      <c r="M2646" s="2" t="s">
        <v>26</v>
      </c>
      <c r="P2646" s="5" t="str">
        <f>IFERROR(__xludf.DUMMYFUNCTION("TEXTJOIN("" | "",TRUE,IF(OR(D2646="""",E2646="""",I2646="""",J2646="""",H2646=""""),""ফাঁকা ঘর"",""""),IF(AND(C2646&lt;&gt;"""",D2646&lt;&gt;"""",C2646=D2646),""gloss=figurative"",""""),IF(LEN(D2646)&lt;15,""figurative ছোট"",""""),IF(AND(I2646=""Positive"",REGEXMATCH(H2"&amp;"646,""মূর্খ|ভণ্ড|প্রতার|অলস|লোভ|স্বার্থ|অক্ষম|অযোগ্য|বোকা|কৃপণ|হিংস"")),""valence-target অমিল"",""""),IF(COUNTIF($B:$B,B2646)&gt;1,""ডুপ্লিকেট"",""""))"),"")</f>
        <v/>
      </c>
      <c r="Q2646" s="5" t="str">
        <f t="shared" si="1"/>
        <v>২ পরে</v>
      </c>
    </row>
    <row r="2647">
      <c r="A2647" s="4">
        <v>408.0</v>
      </c>
      <c r="B2647" s="2" t="s">
        <v>10390</v>
      </c>
      <c r="C2647" s="2" t="s">
        <v>10391</v>
      </c>
      <c r="D2647" s="2" t="s">
        <v>10392</v>
      </c>
      <c r="E2647" s="2" t="s">
        <v>10393</v>
      </c>
      <c r="F2647" s="2" t="b">
        <v>1</v>
      </c>
      <c r="G2647" s="2" t="b">
        <v>0</v>
      </c>
      <c r="H2647" s="2" t="s">
        <v>390</v>
      </c>
      <c r="I2647" s="2" t="s">
        <v>22</v>
      </c>
      <c r="J2647" s="2" t="s">
        <v>59</v>
      </c>
      <c r="K2647" s="2" t="s">
        <v>24</v>
      </c>
      <c r="L2647" s="13" t="s">
        <v>51</v>
      </c>
      <c r="M2647" s="2" t="s">
        <v>26</v>
      </c>
      <c r="P2647" s="5" t="str">
        <f>IFERROR(__xludf.DUMMYFUNCTION("TEXTJOIN("" | "",TRUE,IF(OR(D2647="""",E2647="""",I2647="""",J2647="""",H2647=""""),""ফাঁকা ঘর"",""""),IF(AND(C2647&lt;&gt;"""",D2647&lt;&gt;"""",C2647=D2647),""gloss=figurative"",""""),IF(LEN(D2647)&lt;15,""figurative ছোট"",""""),IF(AND(I2647=""Positive"",REGEXMATCH(H2"&amp;"647,""মূর্খ|ভণ্ড|প্রতার|অলস|লোভ|স্বার্থ|অক্ষম|অযোগ্য|বোকা|কৃপণ|হিংস"")),""valence-target অমিল"",""""),IF(COUNTIF($B:$B,B2647)&gt;1,""ডুপ্লিকেট"",""""))"),"")</f>
        <v/>
      </c>
      <c r="Q2647" s="5" t="str">
        <f t="shared" si="1"/>
        <v>২ পরে</v>
      </c>
    </row>
    <row r="2648">
      <c r="A2648" s="4">
        <v>409.0</v>
      </c>
      <c r="B2648" s="2" t="s">
        <v>10394</v>
      </c>
      <c r="C2648" s="2" t="s">
        <v>10395</v>
      </c>
      <c r="D2648" s="2" t="s">
        <v>10396</v>
      </c>
      <c r="E2648" s="2" t="s">
        <v>10397</v>
      </c>
      <c r="F2648" s="2" t="b">
        <v>1</v>
      </c>
      <c r="G2648" s="2" t="b">
        <v>0</v>
      </c>
      <c r="H2648" s="2" t="s">
        <v>10398</v>
      </c>
      <c r="I2648" s="2" t="s">
        <v>22</v>
      </c>
      <c r="J2648" s="2" t="s">
        <v>142</v>
      </c>
      <c r="K2648" s="2" t="s">
        <v>24</v>
      </c>
      <c r="L2648" s="13" t="s">
        <v>51</v>
      </c>
      <c r="M2648" s="2" t="s">
        <v>26</v>
      </c>
      <c r="P2648" s="5" t="str">
        <f>IFERROR(__xludf.DUMMYFUNCTION("TEXTJOIN("" | "",TRUE,IF(OR(D2648="""",E2648="""",I2648="""",J2648="""",H2648=""""),""ফাঁকা ঘর"",""""),IF(AND(C2648&lt;&gt;"""",D2648&lt;&gt;"""",C2648=D2648),""gloss=figurative"",""""),IF(LEN(D2648)&lt;15,""figurative ছোট"",""""),IF(AND(I2648=""Positive"",REGEXMATCH(H2"&amp;"648,""মূর্খ|ভণ্ড|প্রতার|অলস|লোভ|স্বার্থ|অক্ষম|অযোগ্য|বোকা|কৃপণ|হিংস"")),""valence-target অমিল"",""""),IF(COUNTIF($B:$B,B2648)&gt;1,""ডুপ্লিকেট"",""""))"),"")</f>
        <v/>
      </c>
      <c r="Q2648" s="5" t="str">
        <f t="shared" si="1"/>
        <v>২ পরে</v>
      </c>
    </row>
    <row r="2649">
      <c r="A2649" s="4">
        <v>410.0</v>
      </c>
      <c r="B2649" s="2" t="s">
        <v>10399</v>
      </c>
      <c r="C2649" s="2" t="s">
        <v>9492</v>
      </c>
      <c r="D2649" s="2" t="s">
        <v>9493</v>
      </c>
      <c r="E2649" s="2" t="s">
        <v>10400</v>
      </c>
      <c r="F2649" s="2" t="b">
        <v>1</v>
      </c>
      <c r="G2649" s="2" t="b">
        <v>0</v>
      </c>
      <c r="H2649" s="2" t="s">
        <v>8772</v>
      </c>
      <c r="I2649" s="2" t="s">
        <v>22</v>
      </c>
      <c r="J2649" s="2" t="s">
        <v>324</v>
      </c>
      <c r="K2649" s="2" t="s">
        <v>24</v>
      </c>
      <c r="L2649" s="13" t="s">
        <v>51</v>
      </c>
      <c r="M2649" s="2" t="s">
        <v>26</v>
      </c>
      <c r="P2649" s="5" t="str">
        <f>IFERROR(__xludf.DUMMYFUNCTION("TEXTJOIN("" | "",TRUE,IF(OR(D2649="""",E2649="""",I2649="""",J2649="""",H2649=""""),""ফাঁকা ঘর"",""""),IF(AND(C2649&lt;&gt;"""",D2649&lt;&gt;"""",C2649=D2649),""gloss=figurative"",""""),IF(LEN(D2649)&lt;15,""figurative ছোট"",""""),IF(AND(I2649=""Positive"",REGEXMATCH(H2"&amp;"649,""মূর্খ|ভণ্ড|প্রতার|অলস|লোভ|স্বার্থ|অক্ষম|অযোগ্য|বোকা|কৃপণ|হিংস"")),""valence-target অমিল"",""""),IF(COUNTIF($B:$B,B2649)&gt;1,""ডুপ্লিকেট"",""""))"),"")</f>
        <v/>
      </c>
      <c r="Q2649" s="5" t="str">
        <f t="shared" si="1"/>
        <v>২ পরে</v>
      </c>
    </row>
    <row r="2650">
      <c r="A2650" s="4">
        <v>411.0</v>
      </c>
      <c r="B2650" s="2" t="s">
        <v>10401</v>
      </c>
      <c r="C2650" s="2" t="s">
        <v>10402</v>
      </c>
      <c r="D2650" s="2" t="s">
        <v>10403</v>
      </c>
      <c r="E2650" s="2" t="s">
        <v>10404</v>
      </c>
      <c r="F2650" s="2" t="b">
        <v>1</v>
      </c>
      <c r="G2650" s="2" t="b">
        <v>0</v>
      </c>
      <c r="H2650" s="2" t="s">
        <v>10405</v>
      </c>
      <c r="I2650" s="2" t="s">
        <v>49</v>
      </c>
      <c r="J2650" s="2" t="s">
        <v>1621</v>
      </c>
      <c r="K2650" s="2" t="s">
        <v>24</v>
      </c>
      <c r="L2650" s="13" t="s">
        <v>51</v>
      </c>
      <c r="M2650" s="2" t="s">
        <v>26</v>
      </c>
      <c r="P2650" s="5" t="str">
        <f>IFERROR(__xludf.DUMMYFUNCTION("TEXTJOIN("" | "",TRUE,IF(OR(D2650="""",E2650="""",I2650="""",J2650="""",H2650=""""),""ফাঁকা ঘর"",""""),IF(AND(C2650&lt;&gt;"""",D2650&lt;&gt;"""",C2650=D2650),""gloss=figurative"",""""),IF(LEN(D2650)&lt;15,""figurative ছোট"",""""),IF(AND(I2650=""Positive"",REGEXMATCH(H2"&amp;"650,""মূর্খ|ভণ্ড|প্রতার|অলস|লোভ|স্বার্থ|অক্ষম|অযোগ্য|বোকা|কৃপণ|হিংস"")),""valence-target অমিল"",""""),IF(COUNTIF($B:$B,B2650)&gt;1,""ডুপ্লিকেট"",""""))"),"")</f>
        <v/>
      </c>
      <c r="Q2650" s="5" t="str">
        <f t="shared" si="1"/>
        <v>২ পরে</v>
      </c>
    </row>
    <row r="2651">
      <c r="A2651" s="4">
        <v>412.0</v>
      </c>
      <c r="B2651" s="2" t="s">
        <v>10406</v>
      </c>
      <c r="C2651" s="2" t="s">
        <v>10407</v>
      </c>
      <c r="D2651" s="2" t="s">
        <v>10408</v>
      </c>
      <c r="E2651" s="2" t="s">
        <v>10409</v>
      </c>
      <c r="F2651" s="2" t="b">
        <v>1</v>
      </c>
      <c r="G2651" s="2" t="b">
        <v>0</v>
      </c>
      <c r="H2651" s="2" t="s">
        <v>10410</v>
      </c>
      <c r="I2651" s="2" t="s">
        <v>22</v>
      </c>
      <c r="J2651" s="2" t="s">
        <v>9389</v>
      </c>
      <c r="K2651" s="2" t="s">
        <v>24</v>
      </c>
      <c r="L2651" s="13" t="s">
        <v>51</v>
      </c>
      <c r="M2651" s="2" t="s">
        <v>26</v>
      </c>
      <c r="P2651" s="5" t="str">
        <f>IFERROR(__xludf.DUMMYFUNCTION("TEXTJOIN("" | "",TRUE,IF(OR(D2651="""",E2651="""",I2651="""",J2651="""",H2651=""""),""ফাঁকা ঘর"",""""),IF(AND(C2651&lt;&gt;"""",D2651&lt;&gt;"""",C2651=D2651),""gloss=figurative"",""""),IF(LEN(D2651)&lt;15,""figurative ছোট"",""""),IF(AND(I2651=""Positive"",REGEXMATCH(H2"&amp;"651,""মূর্খ|ভণ্ড|প্রতার|অলস|লোভ|স্বার্থ|অক্ষম|অযোগ্য|বোকা|কৃপণ|হিংস"")),""valence-target অমিল"",""""),IF(COUNTIF($B:$B,B2651)&gt;1,""ডুপ্লিকেট"",""""))"),"")</f>
        <v/>
      </c>
      <c r="Q2651" s="5" t="str">
        <f t="shared" si="1"/>
        <v>২ পরে</v>
      </c>
    </row>
    <row r="2652">
      <c r="A2652" s="4">
        <v>413.0</v>
      </c>
      <c r="B2652" s="2" t="s">
        <v>10411</v>
      </c>
      <c r="C2652" s="2" t="s">
        <v>10412</v>
      </c>
      <c r="D2652" s="2" t="s">
        <v>10413</v>
      </c>
      <c r="E2652" s="2" t="s">
        <v>10414</v>
      </c>
      <c r="F2652" s="2" t="b">
        <v>1</v>
      </c>
      <c r="G2652" s="2" t="b">
        <v>0</v>
      </c>
      <c r="H2652" s="2" t="s">
        <v>10415</v>
      </c>
      <c r="I2652" s="2" t="s">
        <v>49</v>
      </c>
      <c r="J2652" s="2" t="s">
        <v>117</v>
      </c>
      <c r="K2652" s="2" t="s">
        <v>24</v>
      </c>
      <c r="L2652" s="13" t="s">
        <v>51</v>
      </c>
      <c r="M2652" s="2" t="s">
        <v>26</v>
      </c>
      <c r="P2652" s="5" t="str">
        <f>IFERROR(__xludf.DUMMYFUNCTION("TEXTJOIN("" | "",TRUE,IF(OR(D2652="""",E2652="""",I2652="""",J2652="""",H2652=""""),""ফাঁকা ঘর"",""""),IF(AND(C2652&lt;&gt;"""",D2652&lt;&gt;"""",C2652=D2652),""gloss=figurative"",""""),IF(LEN(D2652)&lt;15,""figurative ছোট"",""""),IF(AND(I2652=""Positive"",REGEXMATCH(H2"&amp;"652,""মূর্খ|ভণ্ড|প্রতার|অলস|লোভ|স্বার্থ|অক্ষম|অযোগ্য|বোকা|কৃপণ|হিংস"")),""valence-target অমিল"",""""),IF(COUNTIF($B:$B,B2652)&gt;1,""ডুপ্লিকেট"",""""))"),"")</f>
        <v/>
      </c>
      <c r="Q2652" s="5" t="str">
        <f t="shared" si="1"/>
        <v>২ পরে</v>
      </c>
    </row>
    <row r="2653">
      <c r="A2653" s="4">
        <v>415.0</v>
      </c>
      <c r="B2653" s="2" t="s">
        <v>10416</v>
      </c>
      <c r="C2653" s="2" t="s">
        <v>10417</v>
      </c>
      <c r="D2653" s="2" t="s">
        <v>10418</v>
      </c>
      <c r="E2653" s="2" t="s">
        <v>10419</v>
      </c>
      <c r="F2653" s="2" t="b">
        <v>1</v>
      </c>
      <c r="G2653" s="2" t="b">
        <v>0</v>
      </c>
      <c r="H2653" s="2" t="s">
        <v>819</v>
      </c>
      <c r="I2653" s="2" t="s">
        <v>22</v>
      </c>
      <c r="J2653" s="2" t="s">
        <v>59</v>
      </c>
      <c r="K2653" s="2" t="s">
        <v>24</v>
      </c>
      <c r="L2653" s="13" t="s">
        <v>51</v>
      </c>
      <c r="M2653" s="2" t="s">
        <v>26</v>
      </c>
      <c r="P2653" s="5" t="str">
        <f>IFERROR(__xludf.DUMMYFUNCTION("TEXTJOIN("" | "",TRUE,IF(OR(D2653="""",E2653="""",I2653="""",J2653="""",H2653=""""),""ফাঁকা ঘর"",""""),IF(AND(C2653&lt;&gt;"""",D2653&lt;&gt;"""",C2653=D2653),""gloss=figurative"",""""),IF(LEN(D2653)&lt;15,""figurative ছোট"",""""),IF(AND(I2653=""Positive"",REGEXMATCH(H2"&amp;"653,""মূর্খ|ভণ্ড|প্রতার|অলস|লোভ|স্বার্থ|অক্ষম|অযোগ্য|বোকা|কৃপণ|হিংস"")),""valence-target অমিল"",""""),IF(COUNTIF($B:$B,B2653)&gt;1,""ডুপ্লিকেট"",""""))"),"")</f>
        <v/>
      </c>
      <c r="Q2653" s="5" t="str">
        <f t="shared" si="1"/>
        <v>২ পরে</v>
      </c>
    </row>
    <row r="2654">
      <c r="A2654" s="4">
        <v>416.0</v>
      </c>
      <c r="B2654" s="2" t="s">
        <v>10420</v>
      </c>
      <c r="C2654" s="2" t="s">
        <v>10421</v>
      </c>
      <c r="D2654" s="2" t="s">
        <v>10422</v>
      </c>
      <c r="E2654" s="2" t="s">
        <v>10423</v>
      </c>
      <c r="F2654" s="2" t="b">
        <v>1</v>
      </c>
      <c r="G2654" s="2" t="b">
        <v>0</v>
      </c>
      <c r="H2654" s="2" t="s">
        <v>207</v>
      </c>
      <c r="I2654" s="2" t="s">
        <v>49</v>
      </c>
      <c r="J2654" s="2" t="s">
        <v>208</v>
      </c>
      <c r="K2654" s="2" t="s">
        <v>24</v>
      </c>
      <c r="L2654" s="13" t="s">
        <v>51</v>
      </c>
      <c r="M2654" s="2" t="s">
        <v>26</v>
      </c>
      <c r="P2654" s="5" t="str">
        <f>IFERROR(__xludf.DUMMYFUNCTION("TEXTJOIN("" | "",TRUE,IF(OR(D2654="""",E2654="""",I2654="""",J2654="""",H2654=""""),""ফাঁকা ঘর"",""""),IF(AND(C2654&lt;&gt;"""",D2654&lt;&gt;"""",C2654=D2654),""gloss=figurative"",""""),IF(LEN(D2654)&lt;15,""figurative ছোট"",""""),IF(AND(I2654=""Positive"",REGEXMATCH(H2"&amp;"654,""মূর্খ|ভণ্ড|প্রতার|অলস|লোভ|স্বার্থ|অক্ষম|অযোগ্য|বোকা|কৃপণ|হিংস"")),""valence-target অমিল"",""""),IF(COUNTIF($B:$B,B2654)&gt;1,""ডুপ্লিকেট"",""""))"),"")</f>
        <v/>
      </c>
      <c r="Q2654" s="5" t="str">
        <f t="shared" si="1"/>
        <v>২ পরে</v>
      </c>
    </row>
    <row r="2655">
      <c r="A2655" s="4">
        <v>417.0</v>
      </c>
      <c r="B2655" s="2" t="s">
        <v>10424</v>
      </c>
      <c r="C2655" s="2" t="s">
        <v>10425</v>
      </c>
      <c r="D2655" s="2" t="s">
        <v>10426</v>
      </c>
      <c r="E2655" s="2" t="s">
        <v>10427</v>
      </c>
      <c r="F2655" s="2" t="b">
        <v>1</v>
      </c>
      <c r="G2655" s="2" t="b">
        <v>0</v>
      </c>
      <c r="H2655" s="2" t="s">
        <v>37</v>
      </c>
      <c r="I2655" s="2" t="s">
        <v>32</v>
      </c>
      <c r="J2655" s="2" t="s">
        <v>3694</v>
      </c>
      <c r="K2655" s="2" t="s">
        <v>24</v>
      </c>
      <c r="L2655" s="13" t="s">
        <v>51</v>
      </c>
      <c r="M2655" s="2" t="s">
        <v>26</v>
      </c>
      <c r="P2655" s="5" t="str">
        <f>IFERROR(__xludf.DUMMYFUNCTION("TEXTJOIN("" | "",TRUE,IF(OR(D2655="""",E2655="""",I2655="""",J2655="""",H2655=""""),""ফাঁকা ঘর"",""""),IF(AND(C2655&lt;&gt;"""",D2655&lt;&gt;"""",C2655=D2655),""gloss=figurative"",""""),IF(LEN(D2655)&lt;15,""figurative ছোট"",""""),IF(AND(I2655=""Positive"",REGEXMATCH(H2"&amp;"655,""মূর্খ|ভণ্ড|প্রতার|অলস|লোভ|স্বার্থ|অক্ষম|অযোগ্য|বোকা|কৃপণ|হিংস"")),""valence-target অমিল"",""""),IF(COUNTIF($B:$B,B2655)&gt;1,""ডুপ্লিকেট"",""""))"),"")</f>
        <v/>
      </c>
      <c r="Q2655" s="5" t="str">
        <f t="shared" si="1"/>
        <v>২ পরে</v>
      </c>
    </row>
    <row r="2656">
      <c r="A2656" s="4">
        <v>418.0</v>
      </c>
      <c r="B2656" s="2" t="s">
        <v>10428</v>
      </c>
      <c r="C2656" s="2" t="s">
        <v>10429</v>
      </c>
      <c r="D2656" s="2" t="s">
        <v>10430</v>
      </c>
      <c r="E2656" s="2" t="s">
        <v>10431</v>
      </c>
      <c r="F2656" s="2" t="b">
        <v>1</v>
      </c>
      <c r="G2656" s="2" t="b">
        <v>0</v>
      </c>
      <c r="H2656" s="2" t="s">
        <v>21</v>
      </c>
      <c r="I2656" s="2" t="s">
        <v>22</v>
      </c>
      <c r="J2656" s="2" t="s">
        <v>5524</v>
      </c>
      <c r="K2656" s="2" t="s">
        <v>24</v>
      </c>
      <c r="L2656" s="13" t="s">
        <v>51</v>
      </c>
      <c r="M2656" s="2" t="s">
        <v>26</v>
      </c>
      <c r="P2656" s="5" t="str">
        <f>IFERROR(__xludf.DUMMYFUNCTION("TEXTJOIN("" | "",TRUE,IF(OR(D2656="""",E2656="""",I2656="""",J2656="""",H2656=""""),""ফাঁকা ঘর"",""""),IF(AND(C2656&lt;&gt;"""",D2656&lt;&gt;"""",C2656=D2656),""gloss=figurative"",""""),IF(LEN(D2656)&lt;15,""figurative ছোট"",""""),IF(AND(I2656=""Positive"",REGEXMATCH(H2"&amp;"656,""মূর্খ|ভণ্ড|প্রতার|অলস|লোভ|স্বার্থ|অক্ষম|অযোগ্য|বোকা|কৃপণ|হিংস"")),""valence-target অমিল"",""""),IF(COUNTIF($B:$B,B2656)&gt;1,""ডুপ্লিকেট"",""""))"),"")</f>
        <v/>
      </c>
      <c r="Q2656" s="5" t="str">
        <f t="shared" si="1"/>
        <v>২ পরে</v>
      </c>
    </row>
    <row r="2657">
      <c r="A2657" s="4">
        <v>419.0</v>
      </c>
      <c r="B2657" s="2" t="s">
        <v>10432</v>
      </c>
      <c r="C2657" s="2" t="s">
        <v>7749</v>
      </c>
      <c r="D2657" s="2" t="s">
        <v>10433</v>
      </c>
      <c r="E2657" s="2" t="s">
        <v>10434</v>
      </c>
      <c r="F2657" s="2" t="b">
        <v>1</v>
      </c>
      <c r="G2657" s="2" t="b">
        <v>0</v>
      </c>
      <c r="H2657" s="2" t="s">
        <v>10435</v>
      </c>
      <c r="I2657" s="2" t="s">
        <v>49</v>
      </c>
      <c r="J2657" s="2" t="s">
        <v>565</v>
      </c>
      <c r="K2657" s="2" t="s">
        <v>24</v>
      </c>
      <c r="L2657" s="13" t="s">
        <v>51</v>
      </c>
      <c r="M2657" s="2" t="s">
        <v>26</v>
      </c>
      <c r="P2657" s="5" t="str">
        <f>IFERROR(__xludf.DUMMYFUNCTION("TEXTJOIN("" | "",TRUE,IF(OR(D2657="""",E2657="""",I2657="""",J2657="""",H2657=""""),""ফাঁকা ঘর"",""""),IF(AND(C2657&lt;&gt;"""",D2657&lt;&gt;"""",C2657=D2657),""gloss=figurative"",""""),IF(LEN(D2657)&lt;15,""figurative ছোট"",""""),IF(AND(I2657=""Positive"",REGEXMATCH(H2"&amp;"657,""মূর্খ|ভণ্ড|প্রতার|অলস|লোভ|স্বার্থ|অক্ষম|অযোগ্য|বোকা|কৃপণ|হিংস"")),""valence-target অমিল"",""""),IF(COUNTIF($B:$B,B2657)&gt;1,""ডুপ্লিকেট"",""""))"),"")</f>
        <v/>
      </c>
      <c r="Q2657" s="5" t="str">
        <f t="shared" si="1"/>
        <v>২ পরে</v>
      </c>
    </row>
    <row r="2658">
      <c r="A2658" s="4">
        <v>420.0</v>
      </c>
      <c r="B2658" s="2" t="s">
        <v>10436</v>
      </c>
      <c r="C2658" s="2" t="s">
        <v>10437</v>
      </c>
      <c r="D2658" s="2" t="s">
        <v>10438</v>
      </c>
      <c r="E2658" s="2" t="s">
        <v>10439</v>
      </c>
      <c r="F2658" s="2" t="b">
        <v>1</v>
      </c>
      <c r="G2658" s="2" t="b">
        <v>0</v>
      </c>
      <c r="H2658" s="2" t="s">
        <v>351</v>
      </c>
      <c r="I2658" s="2" t="s">
        <v>49</v>
      </c>
      <c r="J2658" s="2" t="s">
        <v>123</v>
      </c>
      <c r="K2658" s="2" t="s">
        <v>24</v>
      </c>
      <c r="L2658" s="13" t="s">
        <v>51</v>
      </c>
      <c r="M2658" s="2" t="s">
        <v>26</v>
      </c>
      <c r="P2658" s="5" t="str">
        <f>IFERROR(__xludf.DUMMYFUNCTION("TEXTJOIN("" | "",TRUE,IF(OR(D2658="""",E2658="""",I2658="""",J2658="""",H2658=""""),""ফাঁকা ঘর"",""""),IF(AND(C2658&lt;&gt;"""",D2658&lt;&gt;"""",C2658=D2658),""gloss=figurative"",""""),IF(LEN(D2658)&lt;15,""figurative ছোট"",""""),IF(AND(I2658=""Positive"",REGEXMATCH(H2"&amp;"658,""মূর্খ|ভণ্ড|প্রতার|অলস|লোভ|স্বার্থ|অক্ষম|অযোগ্য|বোকা|কৃপণ|হিংস"")),""valence-target অমিল"",""""),IF(COUNTIF($B:$B,B2658)&gt;1,""ডুপ্লিকেট"",""""))"),"")</f>
        <v/>
      </c>
      <c r="Q2658" s="5" t="str">
        <f t="shared" si="1"/>
        <v>২ পরে</v>
      </c>
    </row>
    <row r="2659">
      <c r="A2659" s="4">
        <v>421.0</v>
      </c>
      <c r="B2659" s="2" t="s">
        <v>10440</v>
      </c>
      <c r="C2659" s="2" t="s">
        <v>10441</v>
      </c>
      <c r="D2659" s="2" t="s">
        <v>10442</v>
      </c>
      <c r="E2659" s="2" t="s">
        <v>10443</v>
      </c>
      <c r="F2659" s="2" t="b">
        <v>1</v>
      </c>
      <c r="G2659" s="2" t="b">
        <v>0</v>
      </c>
      <c r="H2659" s="2" t="s">
        <v>10380</v>
      </c>
      <c r="I2659" s="2" t="s">
        <v>32</v>
      </c>
      <c r="J2659" s="2" t="s">
        <v>2629</v>
      </c>
      <c r="K2659" s="2" t="s">
        <v>24</v>
      </c>
      <c r="L2659" s="13" t="s">
        <v>51</v>
      </c>
      <c r="M2659" s="2" t="s">
        <v>26</v>
      </c>
      <c r="P2659" s="5" t="str">
        <f>IFERROR(__xludf.DUMMYFUNCTION("TEXTJOIN("" | "",TRUE,IF(OR(D2659="""",E2659="""",I2659="""",J2659="""",H2659=""""),""ফাঁকা ঘর"",""""),IF(AND(C2659&lt;&gt;"""",D2659&lt;&gt;"""",C2659=D2659),""gloss=figurative"",""""),IF(LEN(D2659)&lt;15,""figurative ছোট"",""""),IF(AND(I2659=""Positive"",REGEXMATCH(H2"&amp;"659,""মূর্খ|ভণ্ড|প্রতার|অলস|লোভ|স্বার্থ|অক্ষম|অযোগ্য|বোকা|কৃপণ|হিংস"")),""valence-target অমিল"",""""),IF(COUNTIF($B:$B,B2659)&gt;1,""ডুপ্লিকেট"",""""))"),"")</f>
        <v/>
      </c>
      <c r="Q2659" s="5" t="str">
        <f t="shared" si="1"/>
        <v>২ পরে</v>
      </c>
    </row>
    <row r="2660">
      <c r="A2660" s="4">
        <v>422.0</v>
      </c>
      <c r="B2660" s="2" t="s">
        <v>10444</v>
      </c>
      <c r="C2660" s="2" t="s">
        <v>10445</v>
      </c>
      <c r="D2660" s="2" t="s">
        <v>10446</v>
      </c>
      <c r="E2660" s="2" t="s">
        <v>10447</v>
      </c>
      <c r="F2660" s="2" t="b">
        <v>1</v>
      </c>
      <c r="G2660" s="2" t="b">
        <v>0</v>
      </c>
      <c r="H2660" s="2" t="s">
        <v>10105</v>
      </c>
      <c r="I2660" s="2" t="s">
        <v>49</v>
      </c>
      <c r="J2660" s="2" t="s">
        <v>117</v>
      </c>
      <c r="K2660" s="2" t="s">
        <v>24</v>
      </c>
      <c r="L2660" s="13" t="s">
        <v>51</v>
      </c>
      <c r="M2660" s="2" t="s">
        <v>26</v>
      </c>
      <c r="P2660" s="5" t="str">
        <f>IFERROR(__xludf.DUMMYFUNCTION("TEXTJOIN("" | "",TRUE,IF(OR(D2660="""",E2660="""",I2660="""",J2660="""",H2660=""""),""ফাঁকা ঘর"",""""),IF(AND(C2660&lt;&gt;"""",D2660&lt;&gt;"""",C2660=D2660),""gloss=figurative"",""""),IF(LEN(D2660)&lt;15,""figurative ছোট"",""""),IF(AND(I2660=""Positive"",REGEXMATCH(H2"&amp;"660,""মূর্খ|ভণ্ড|প্রতার|অলস|লোভ|স্বার্থ|অক্ষম|অযোগ্য|বোকা|কৃপণ|হিংস"")),""valence-target অমিল"",""""),IF(COUNTIF($B:$B,B2660)&gt;1,""ডুপ্লিকেট"",""""))"),"")</f>
        <v/>
      </c>
      <c r="Q2660" s="5" t="str">
        <f t="shared" si="1"/>
        <v>২ পরে</v>
      </c>
    </row>
    <row r="2661">
      <c r="A2661" s="4">
        <v>424.0</v>
      </c>
      <c r="B2661" s="2" t="s">
        <v>10448</v>
      </c>
      <c r="C2661" s="2" t="s">
        <v>10449</v>
      </c>
      <c r="D2661" s="2" t="s">
        <v>10450</v>
      </c>
      <c r="E2661" s="2" t="s">
        <v>10451</v>
      </c>
      <c r="F2661" s="2" t="b">
        <v>1</v>
      </c>
      <c r="G2661" s="2" t="b">
        <v>0</v>
      </c>
      <c r="H2661" s="2" t="s">
        <v>110</v>
      </c>
      <c r="I2661" s="2" t="s">
        <v>32</v>
      </c>
      <c r="J2661" s="2" t="s">
        <v>59</v>
      </c>
      <c r="K2661" s="2" t="s">
        <v>24</v>
      </c>
      <c r="L2661" s="13" t="s">
        <v>51</v>
      </c>
      <c r="M2661" s="2" t="s">
        <v>26</v>
      </c>
      <c r="P2661" s="5" t="str">
        <f>IFERROR(__xludf.DUMMYFUNCTION("TEXTJOIN("" | "",TRUE,IF(OR(D2661="""",E2661="""",I2661="""",J2661="""",H2661=""""),""ফাঁকা ঘর"",""""),IF(AND(C2661&lt;&gt;"""",D2661&lt;&gt;"""",C2661=D2661),""gloss=figurative"",""""),IF(LEN(D2661)&lt;15,""figurative ছোট"",""""),IF(AND(I2661=""Positive"",REGEXMATCH(H2"&amp;"661,""মূর্খ|ভণ্ড|প্রতার|অলস|লোভ|স্বার্থ|অক্ষম|অযোগ্য|বোকা|কৃপণ|হিংস"")),""valence-target অমিল"",""""),IF(COUNTIF($B:$B,B2661)&gt;1,""ডুপ্লিকেট"",""""))"),"")</f>
        <v/>
      </c>
      <c r="Q2661" s="5" t="str">
        <f t="shared" si="1"/>
        <v>২ পরে</v>
      </c>
    </row>
    <row r="2662">
      <c r="A2662" s="4">
        <v>426.0</v>
      </c>
      <c r="B2662" s="2" t="s">
        <v>10452</v>
      </c>
      <c r="C2662" s="2" t="s">
        <v>10453</v>
      </c>
      <c r="D2662" s="2" t="s">
        <v>10454</v>
      </c>
      <c r="E2662" s="2" t="s">
        <v>10455</v>
      </c>
      <c r="F2662" s="2" t="b">
        <v>1</v>
      </c>
      <c r="G2662" s="2" t="b">
        <v>0</v>
      </c>
      <c r="H2662" s="2" t="s">
        <v>10456</v>
      </c>
      <c r="I2662" s="2" t="s">
        <v>32</v>
      </c>
      <c r="J2662" s="2" t="s">
        <v>59</v>
      </c>
      <c r="K2662" s="2" t="s">
        <v>24</v>
      </c>
      <c r="L2662" s="13" t="s">
        <v>51</v>
      </c>
      <c r="M2662" s="2" t="s">
        <v>26</v>
      </c>
      <c r="P2662" s="5" t="str">
        <f>IFERROR(__xludf.DUMMYFUNCTION("TEXTJOIN("" | "",TRUE,IF(OR(D2662="""",E2662="""",I2662="""",J2662="""",H2662=""""),""ফাঁকা ঘর"",""""),IF(AND(C2662&lt;&gt;"""",D2662&lt;&gt;"""",C2662=D2662),""gloss=figurative"",""""),IF(LEN(D2662)&lt;15,""figurative ছোট"",""""),IF(AND(I2662=""Positive"",REGEXMATCH(H2"&amp;"662,""মূর্খ|ভণ্ড|প্রতার|অলস|লোভ|স্বার্থ|অক্ষম|অযোগ্য|বোকা|কৃপণ|হিংস"")),""valence-target অমিল"",""""),IF(COUNTIF($B:$B,B2662)&gt;1,""ডুপ্লিকেট"",""""))"),"")</f>
        <v/>
      </c>
      <c r="Q2662" s="5" t="str">
        <f t="shared" si="1"/>
        <v>২ পরে</v>
      </c>
    </row>
    <row r="2663">
      <c r="A2663" s="4">
        <v>427.0</v>
      </c>
      <c r="B2663" s="2" t="s">
        <v>10457</v>
      </c>
      <c r="C2663" s="2" t="s">
        <v>10458</v>
      </c>
      <c r="D2663" s="2" t="s">
        <v>10459</v>
      </c>
      <c r="E2663" s="2" t="s">
        <v>10460</v>
      </c>
      <c r="F2663" s="2" t="b">
        <v>1</v>
      </c>
      <c r="G2663" s="2" t="b">
        <v>0</v>
      </c>
      <c r="H2663" s="2" t="s">
        <v>37</v>
      </c>
      <c r="I2663" s="2" t="s">
        <v>32</v>
      </c>
      <c r="J2663" s="2" t="s">
        <v>1775</v>
      </c>
      <c r="K2663" s="2" t="s">
        <v>24</v>
      </c>
      <c r="L2663" s="13" t="s">
        <v>51</v>
      </c>
      <c r="M2663" s="2" t="s">
        <v>26</v>
      </c>
      <c r="P2663" s="5" t="str">
        <f>IFERROR(__xludf.DUMMYFUNCTION("TEXTJOIN("" | "",TRUE,IF(OR(D2663="""",E2663="""",I2663="""",J2663="""",H2663=""""),""ফাঁকা ঘর"",""""),IF(AND(C2663&lt;&gt;"""",D2663&lt;&gt;"""",C2663=D2663),""gloss=figurative"",""""),IF(LEN(D2663)&lt;15,""figurative ছোট"",""""),IF(AND(I2663=""Positive"",REGEXMATCH(H2"&amp;"663,""মূর্খ|ভণ্ড|প্রতার|অলস|লোভ|স্বার্থ|অক্ষম|অযোগ্য|বোকা|কৃপণ|হিংস"")),""valence-target অমিল"",""""),IF(COUNTIF($B:$B,B2663)&gt;1,""ডুপ্লিকেট"",""""))"),"")</f>
        <v/>
      </c>
      <c r="Q2663" s="5" t="str">
        <f t="shared" si="1"/>
        <v>২ পরে</v>
      </c>
    </row>
    <row r="2664">
      <c r="A2664" s="4">
        <v>428.0</v>
      </c>
      <c r="B2664" s="2" t="s">
        <v>10461</v>
      </c>
      <c r="C2664" s="2" t="s">
        <v>10462</v>
      </c>
      <c r="D2664" s="2" t="s">
        <v>10463</v>
      </c>
      <c r="E2664" s="2" t="s">
        <v>10464</v>
      </c>
      <c r="F2664" s="2" t="b">
        <v>1</v>
      </c>
      <c r="G2664" s="2" t="b">
        <v>0</v>
      </c>
      <c r="H2664" s="2" t="s">
        <v>9417</v>
      </c>
      <c r="I2664" s="2" t="s">
        <v>49</v>
      </c>
      <c r="J2664" s="2" t="s">
        <v>4670</v>
      </c>
      <c r="K2664" s="2" t="s">
        <v>24</v>
      </c>
      <c r="L2664" s="13" t="s">
        <v>51</v>
      </c>
      <c r="M2664" s="2" t="s">
        <v>26</v>
      </c>
      <c r="P2664" s="5" t="str">
        <f>IFERROR(__xludf.DUMMYFUNCTION("TEXTJOIN("" | "",TRUE,IF(OR(D2664="""",E2664="""",I2664="""",J2664="""",H2664=""""),""ফাঁকা ঘর"",""""),IF(AND(C2664&lt;&gt;"""",D2664&lt;&gt;"""",C2664=D2664),""gloss=figurative"",""""),IF(LEN(D2664)&lt;15,""figurative ছোট"",""""),IF(AND(I2664=""Positive"",REGEXMATCH(H2"&amp;"664,""মূর্খ|ভণ্ড|প্রতার|অলস|লোভ|স্বার্থ|অক্ষম|অযোগ্য|বোকা|কৃপণ|হিংস"")),""valence-target অমিল"",""""),IF(COUNTIF($B:$B,B2664)&gt;1,""ডুপ্লিকেট"",""""))"),"")</f>
        <v/>
      </c>
      <c r="Q2664" s="5" t="str">
        <f t="shared" si="1"/>
        <v>২ পরে</v>
      </c>
    </row>
    <row r="2665">
      <c r="A2665" s="4">
        <v>429.0</v>
      </c>
      <c r="B2665" s="2" t="s">
        <v>10465</v>
      </c>
      <c r="C2665" s="2" t="s">
        <v>10466</v>
      </c>
      <c r="D2665" s="2" t="s">
        <v>10467</v>
      </c>
      <c r="E2665" s="2" t="s">
        <v>10468</v>
      </c>
      <c r="F2665" s="2" t="b">
        <v>1</v>
      </c>
      <c r="G2665" s="2" t="b">
        <v>0</v>
      </c>
      <c r="H2665" s="2" t="s">
        <v>10469</v>
      </c>
      <c r="I2665" s="2" t="s">
        <v>22</v>
      </c>
      <c r="J2665" s="2" t="s">
        <v>59</v>
      </c>
      <c r="K2665" s="2" t="s">
        <v>24</v>
      </c>
      <c r="L2665" s="13" t="s">
        <v>51</v>
      </c>
      <c r="M2665" s="2" t="s">
        <v>26</v>
      </c>
      <c r="P2665" s="5" t="str">
        <f>IFERROR(__xludf.DUMMYFUNCTION("TEXTJOIN("" | "",TRUE,IF(OR(D2665="""",E2665="""",I2665="""",J2665="""",H2665=""""),""ফাঁকা ঘর"",""""),IF(AND(C2665&lt;&gt;"""",D2665&lt;&gt;"""",C2665=D2665),""gloss=figurative"",""""),IF(LEN(D2665)&lt;15,""figurative ছোট"",""""),IF(AND(I2665=""Positive"",REGEXMATCH(H2"&amp;"665,""মূর্খ|ভণ্ড|প্রতার|অলস|লোভ|স্বার্থ|অক্ষম|অযোগ্য|বোকা|কৃপণ|হিংস"")),""valence-target অমিল"",""""),IF(COUNTIF($B:$B,B2665)&gt;1,""ডুপ্লিকেট"",""""))"),"")</f>
        <v/>
      </c>
      <c r="Q2665" s="5" t="str">
        <f t="shared" si="1"/>
        <v>২ পরে</v>
      </c>
    </row>
    <row r="2666">
      <c r="A2666" s="4">
        <v>430.0</v>
      </c>
      <c r="B2666" s="2" t="s">
        <v>10470</v>
      </c>
      <c r="C2666" s="2" t="s">
        <v>10471</v>
      </c>
      <c r="D2666" s="2" t="s">
        <v>10472</v>
      </c>
      <c r="E2666" s="2" t="s">
        <v>10473</v>
      </c>
      <c r="F2666" s="2" t="b">
        <v>1</v>
      </c>
      <c r="G2666" s="2" t="b">
        <v>0</v>
      </c>
      <c r="H2666" s="2" t="s">
        <v>351</v>
      </c>
      <c r="I2666" s="2" t="s">
        <v>49</v>
      </c>
      <c r="J2666" s="2" t="s">
        <v>123</v>
      </c>
      <c r="K2666" s="2" t="s">
        <v>24</v>
      </c>
      <c r="L2666" s="13" t="s">
        <v>51</v>
      </c>
      <c r="M2666" s="2" t="s">
        <v>26</v>
      </c>
      <c r="P2666" s="5" t="str">
        <f>IFERROR(__xludf.DUMMYFUNCTION("TEXTJOIN("" | "",TRUE,IF(OR(D2666="""",E2666="""",I2666="""",J2666="""",H2666=""""),""ফাঁকা ঘর"",""""),IF(AND(C2666&lt;&gt;"""",D2666&lt;&gt;"""",C2666=D2666),""gloss=figurative"",""""),IF(LEN(D2666)&lt;15,""figurative ছোট"",""""),IF(AND(I2666=""Positive"",REGEXMATCH(H2"&amp;"666,""মূর্খ|ভণ্ড|প্রতার|অলস|লোভ|স্বার্থ|অক্ষম|অযোগ্য|বোকা|কৃপণ|হিংস"")),""valence-target অমিল"",""""),IF(COUNTIF($B:$B,B2666)&gt;1,""ডুপ্লিকেট"",""""))"),"")</f>
        <v/>
      </c>
      <c r="Q2666" s="5" t="str">
        <f t="shared" si="1"/>
        <v>২ পরে</v>
      </c>
    </row>
    <row r="2667">
      <c r="A2667" s="4">
        <v>431.0</v>
      </c>
      <c r="B2667" s="2" t="s">
        <v>10474</v>
      </c>
      <c r="C2667" s="2" t="s">
        <v>10475</v>
      </c>
      <c r="D2667" s="2" t="s">
        <v>10476</v>
      </c>
      <c r="E2667" s="2" t="s">
        <v>10477</v>
      </c>
      <c r="F2667" s="2" t="b">
        <v>1</v>
      </c>
      <c r="G2667" s="2" t="b">
        <v>0</v>
      </c>
      <c r="H2667" s="2" t="s">
        <v>9742</v>
      </c>
      <c r="I2667" s="2" t="s">
        <v>49</v>
      </c>
      <c r="J2667" s="2" t="s">
        <v>9743</v>
      </c>
      <c r="K2667" s="2" t="s">
        <v>24</v>
      </c>
      <c r="L2667" s="13" t="s">
        <v>51</v>
      </c>
      <c r="M2667" s="2" t="s">
        <v>26</v>
      </c>
      <c r="P2667" s="5" t="str">
        <f>IFERROR(__xludf.DUMMYFUNCTION("TEXTJOIN("" | "",TRUE,IF(OR(D2667="""",E2667="""",I2667="""",J2667="""",H2667=""""),""ফাঁকা ঘর"",""""),IF(AND(C2667&lt;&gt;"""",D2667&lt;&gt;"""",C2667=D2667),""gloss=figurative"",""""),IF(LEN(D2667)&lt;15,""figurative ছোট"",""""),IF(AND(I2667=""Positive"",REGEXMATCH(H2"&amp;"667,""মূর্খ|ভণ্ড|প্রতার|অলস|লোভ|স্বার্থ|অক্ষম|অযোগ্য|বোকা|কৃপণ|হিংস"")),""valence-target অমিল"",""""),IF(COUNTIF($B:$B,B2667)&gt;1,""ডুপ্লিকেট"",""""))"),"")</f>
        <v/>
      </c>
      <c r="Q2667" s="5" t="str">
        <f t="shared" si="1"/>
        <v>২ পরে</v>
      </c>
    </row>
    <row r="2668">
      <c r="A2668" s="4">
        <v>432.0</v>
      </c>
      <c r="B2668" s="2" t="s">
        <v>10478</v>
      </c>
      <c r="C2668" s="2" t="s">
        <v>10479</v>
      </c>
      <c r="D2668" s="2" t="s">
        <v>10480</v>
      </c>
      <c r="E2668" s="2" t="s">
        <v>10481</v>
      </c>
      <c r="F2668" s="2" t="b">
        <v>1</v>
      </c>
      <c r="G2668" s="2" t="b">
        <v>0</v>
      </c>
      <c r="H2668" s="2" t="s">
        <v>8837</v>
      </c>
      <c r="I2668" s="2" t="s">
        <v>22</v>
      </c>
      <c r="J2668" s="2" t="s">
        <v>59</v>
      </c>
      <c r="K2668" s="2" t="s">
        <v>24</v>
      </c>
      <c r="L2668" s="13" t="s">
        <v>51</v>
      </c>
      <c r="M2668" s="2" t="s">
        <v>26</v>
      </c>
      <c r="P2668" s="5" t="str">
        <f>IFERROR(__xludf.DUMMYFUNCTION("TEXTJOIN("" | "",TRUE,IF(OR(D2668="""",E2668="""",I2668="""",J2668="""",H2668=""""),""ফাঁকা ঘর"",""""),IF(AND(C2668&lt;&gt;"""",D2668&lt;&gt;"""",C2668=D2668),""gloss=figurative"",""""),IF(LEN(D2668)&lt;15,""figurative ছোট"",""""),IF(AND(I2668=""Positive"",REGEXMATCH(H2"&amp;"668,""মূর্খ|ভণ্ড|প্রতার|অলস|লোভ|স্বার্থ|অক্ষম|অযোগ্য|বোকা|কৃপণ|হিংস"")),""valence-target অমিল"",""""),IF(COUNTIF($B:$B,B2668)&gt;1,""ডুপ্লিকেট"",""""))"),"")</f>
        <v/>
      </c>
      <c r="Q2668" s="5" t="str">
        <f t="shared" si="1"/>
        <v>২ পরে</v>
      </c>
    </row>
    <row r="2669">
      <c r="A2669" s="4">
        <v>433.0</v>
      </c>
      <c r="B2669" s="2" t="s">
        <v>10482</v>
      </c>
      <c r="C2669" s="2" t="s">
        <v>10483</v>
      </c>
      <c r="D2669" s="2" t="s">
        <v>10484</v>
      </c>
      <c r="E2669" s="2" t="s">
        <v>10485</v>
      </c>
      <c r="F2669" s="2" t="b">
        <v>1</v>
      </c>
      <c r="G2669" s="2" t="b">
        <v>1</v>
      </c>
      <c r="H2669" s="2" t="s">
        <v>2482</v>
      </c>
      <c r="I2669" s="2" t="s">
        <v>32</v>
      </c>
      <c r="J2669" s="2" t="s">
        <v>8895</v>
      </c>
      <c r="K2669" s="2" t="s">
        <v>24</v>
      </c>
      <c r="L2669" s="13" t="s">
        <v>51</v>
      </c>
      <c r="M2669" s="2" t="s">
        <v>26</v>
      </c>
      <c r="P2669" s="5" t="str">
        <f>IFERROR(__xludf.DUMMYFUNCTION("TEXTJOIN("" | "",TRUE,IF(OR(D2669="""",E2669="""",I2669="""",J2669="""",H2669=""""),""ফাঁকা ঘর"",""""),IF(AND(C2669&lt;&gt;"""",D2669&lt;&gt;"""",C2669=D2669),""gloss=figurative"",""""),IF(LEN(D2669)&lt;15,""figurative ছোট"",""""),IF(AND(I2669=""Positive"",REGEXMATCH(H2"&amp;"669,""মূর্খ|ভণ্ড|প্রতার|অলস|লোভ|স্বার্থ|অক্ষম|অযোগ্য|বোকা|কৃপণ|হিংস"")),""valence-target অমিল"",""""),IF(COUNTIF($B:$B,B2669)&gt;1,""ডুপ্লিকেট"",""""))"),"")</f>
        <v/>
      </c>
      <c r="Q2669" s="5" t="str">
        <f t="shared" si="1"/>
        <v>২ পরে</v>
      </c>
    </row>
    <row r="2670">
      <c r="A2670" s="4">
        <v>434.0</v>
      </c>
      <c r="B2670" s="2" t="s">
        <v>10486</v>
      </c>
      <c r="C2670" s="2" t="s">
        <v>9191</v>
      </c>
      <c r="D2670" s="2" t="s">
        <v>10487</v>
      </c>
      <c r="E2670" s="2" t="s">
        <v>10488</v>
      </c>
      <c r="F2670" s="2" t="b">
        <v>1</v>
      </c>
      <c r="G2670" s="2" t="b">
        <v>0</v>
      </c>
      <c r="H2670" s="2" t="s">
        <v>8772</v>
      </c>
      <c r="I2670" s="2" t="s">
        <v>49</v>
      </c>
      <c r="J2670" s="2" t="s">
        <v>324</v>
      </c>
      <c r="K2670" s="2" t="s">
        <v>24</v>
      </c>
      <c r="L2670" s="13" t="s">
        <v>51</v>
      </c>
      <c r="M2670" s="2" t="s">
        <v>26</v>
      </c>
      <c r="P2670" s="5" t="str">
        <f>IFERROR(__xludf.DUMMYFUNCTION("TEXTJOIN("" | "",TRUE,IF(OR(D2670="""",E2670="""",I2670="""",J2670="""",H2670=""""),""ফাঁকা ঘর"",""""),IF(AND(C2670&lt;&gt;"""",D2670&lt;&gt;"""",C2670=D2670),""gloss=figurative"",""""),IF(LEN(D2670)&lt;15,""figurative ছোট"",""""),IF(AND(I2670=""Positive"",REGEXMATCH(H2"&amp;"670,""মূর্খ|ভণ্ড|প্রতার|অলস|লোভ|স্বার্থ|অক্ষম|অযোগ্য|বোকা|কৃপণ|হিংস"")),""valence-target অমিল"",""""),IF(COUNTIF($B:$B,B2670)&gt;1,""ডুপ্লিকেট"",""""))"),"")</f>
        <v/>
      </c>
      <c r="Q2670" s="5" t="str">
        <f t="shared" si="1"/>
        <v>২ পরে</v>
      </c>
    </row>
    <row r="2671">
      <c r="A2671" s="4">
        <v>435.0</v>
      </c>
      <c r="B2671" s="2" t="s">
        <v>10489</v>
      </c>
      <c r="C2671" s="2" t="s">
        <v>10490</v>
      </c>
      <c r="D2671" s="2" t="s">
        <v>10491</v>
      </c>
      <c r="E2671" s="2" t="s">
        <v>10492</v>
      </c>
      <c r="F2671" s="2" t="b">
        <v>1</v>
      </c>
      <c r="G2671" s="2" t="b">
        <v>0</v>
      </c>
      <c r="H2671" s="2" t="s">
        <v>37</v>
      </c>
      <c r="I2671" s="2" t="s">
        <v>49</v>
      </c>
      <c r="J2671" s="2" t="s">
        <v>9037</v>
      </c>
      <c r="K2671" s="2" t="s">
        <v>24</v>
      </c>
      <c r="L2671" s="13" t="s">
        <v>51</v>
      </c>
      <c r="M2671" s="2" t="s">
        <v>26</v>
      </c>
      <c r="P2671" s="5" t="str">
        <f>IFERROR(__xludf.DUMMYFUNCTION("TEXTJOIN("" | "",TRUE,IF(OR(D2671="""",E2671="""",I2671="""",J2671="""",H2671=""""),""ফাঁকা ঘর"",""""),IF(AND(C2671&lt;&gt;"""",D2671&lt;&gt;"""",C2671=D2671),""gloss=figurative"",""""),IF(LEN(D2671)&lt;15,""figurative ছোট"",""""),IF(AND(I2671=""Positive"",REGEXMATCH(H2"&amp;"671,""মূর্খ|ভণ্ড|প্রতার|অলস|লোভ|স্বার্থ|অক্ষম|অযোগ্য|বোকা|কৃপণ|হিংস"")),""valence-target অমিল"",""""),IF(COUNTIF($B:$B,B2671)&gt;1,""ডুপ্লিকেট"",""""))"),"")</f>
        <v/>
      </c>
      <c r="Q2671" s="5" t="str">
        <f t="shared" si="1"/>
        <v>২ পরে</v>
      </c>
    </row>
    <row r="2672">
      <c r="A2672" s="4">
        <v>436.0</v>
      </c>
      <c r="B2672" s="2" t="s">
        <v>10493</v>
      </c>
      <c r="C2672" s="2" t="s">
        <v>10494</v>
      </c>
      <c r="D2672" s="2" t="s">
        <v>10495</v>
      </c>
      <c r="E2672" s="2" t="s">
        <v>10496</v>
      </c>
      <c r="F2672" s="2" t="b">
        <v>1</v>
      </c>
      <c r="G2672" s="2" t="b">
        <v>0</v>
      </c>
      <c r="H2672" s="2" t="s">
        <v>110</v>
      </c>
      <c r="I2672" s="2" t="s">
        <v>22</v>
      </c>
      <c r="J2672" s="2" t="s">
        <v>59</v>
      </c>
      <c r="K2672" s="2" t="s">
        <v>24</v>
      </c>
      <c r="L2672" s="13" t="s">
        <v>51</v>
      </c>
      <c r="M2672" s="2" t="s">
        <v>26</v>
      </c>
      <c r="P2672" s="5" t="str">
        <f>IFERROR(__xludf.DUMMYFUNCTION("TEXTJOIN("" | "",TRUE,IF(OR(D2672="""",E2672="""",I2672="""",J2672="""",H2672=""""),""ফাঁকা ঘর"",""""),IF(AND(C2672&lt;&gt;"""",D2672&lt;&gt;"""",C2672=D2672),""gloss=figurative"",""""),IF(LEN(D2672)&lt;15,""figurative ছোট"",""""),IF(AND(I2672=""Positive"",REGEXMATCH(H2"&amp;"672,""মূর্খ|ভণ্ড|প্রতার|অলস|লোভ|স্বার্থ|অক্ষম|অযোগ্য|বোকা|কৃপণ|হিংস"")),""valence-target অমিল"",""""),IF(COUNTIF($B:$B,B2672)&gt;1,""ডুপ্লিকেট"",""""))"),"")</f>
        <v/>
      </c>
      <c r="Q2672" s="5" t="str">
        <f t="shared" si="1"/>
        <v>২ পরে</v>
      </c>
    </row>
    <row r="2673">
      <c r="A2673" s="4">
        <v>437.0</v>
      </c>
      <c r="B2673" s="2" t="s">
        <v>10497</v>
      </c>
      <c r="C2673" s="2" t="s">
        <v>8891</v>
      </c>
      <c r="D2673" s="2" t="s">
        <v>8892</v>
      </c>
      <c r="E2673" s="2" t="s">
        <v>10498</v>
      </c>
      <c r="F2673" s="2" t="b">
        <v>1</v>
      </c>
      <c r="G2673" s="2" t="b">
        <v>1</v>
      </c>
      <c r="H2673" s="2" t="s">
        <v>2482</v>
      </c>
      <c r="I2673" s="2" t="s">
        <v>32</v>
      </c>
      <c r="J2673" s="2" t="s">
        <v>8895</v>
      </c>
      <c r="K2673" s="2" t="s">
        <v>24</v>
      </c>
      <c r="L2673" s="13" t="s">
        <v>51</v>
      </c>
      <c r="M2673" s="2" t="s">
        <v>26</v>
      </c>
      <c r="P2673" s="5" t="str">
        <f>IFERROR(__xludf.DUMMYFUNCTION("TEXTJOIN("" | "",TRUE,IF(OR(D2673="""",E2673="""",I2673="""",J2673="""",H2673=""""),""ফাঁকা ঘর"",""""),IF(AND(C2673&lt;&gt;"""",D2673&lt;&gt;"""",C2673=D2673),""gloss=figurative"",""""),IF(LEN(D2673)&lt;15,""figurative ছোট"",""""),IF(AND(I2673=""Positive"",REGEXMATCH(H2"&amp;"673,""মূর্খ|ভণ্ড|প্রতার|অলস|লোভ|স্বার্থ|অক্ষম|অযোগ্য|বোকা|কৃপণ|হিংস"")),""valence-target অমিল"",""""),IF(COUNTIF($B:$B,B2673)&gt;1,""ডুপ্লিকেট"",""""))"),"")</f>
        <v/>
      </c>
      <c r="Q2673" s="5" t="str">
        <f t="shared" si="1"/>
        <v>২ পরে</v>
      </c>
    </row>
    <row r="2674">
      <c r="A2674" s="4">
        <v>438.0</v>
      </c>
      <c r="B2674" s="2" t="s">
        <v>10499</v>
      </c>
      <c r="C2674" s="2" t="s">
        <v>10500</v>
      </c>
      <c r="D2674" s="2" t="s">
        <v>10501</v>
      </c>
      <c r="E2674" s="2" t="s">
        <v>10502</v>
      </c>
      <c r="F2674" s="2" t="b">
        <v>1</v>
      </c>
      <c r="G2674" s="2" t="b">
        <v>0</v>
      </c>
      <c r="H2674" s="2" t="s">
        <v>10503</v>
      </c>
      <c r="I2674" s="2" t="s">
        <v>49</v>
      </c>
      <c r="J2674" s="2" t="s">
        <v>10504</v>
      </c>
      <c r="K2674" s="2" t="s">
        <v>24</v>
      </c>
      <c r="L2674" s="13" t="s">
        <v>51</v>
      </c>
      <c r="M2674" s="2" t="s">
        <v>26</v>
      </c>
      <c r="P2674" s="5" t="str">
        <f>IFERROR(__xludf.DUMMYFUNCTION("TEXTJOIN("" | "",TRUE,IF(OR(D2674="""",E2674="""",I2674="""",J2674="""",H2674=""""),""ফাঁকা ঘর"",""""),IF(AND(C2674&lt;&gt;"""",D2674&lt;&gt;"""",C2674=D2674),""gloss=figurative"",""""),IF(LEN(D2674)&lt;15,""figurative ছোট"",""""),IF(AND(I2674=""Positive"",REGEXMATCH(H2"&amp;"674,""মূর্খ|ভণ্ড|প্রতার|অলস|লোভ|স্বার্থ|অক্ষম|অযোগ্য|বোকা|কৃপণ|হিংস"")),""valence-target অমিল"",""""),IF(COUNTIF($B:$B,B2674)&gt;1,""ডুপ্লিকেট"",""""))"),"")</f>
        <v/>
      </c>
      <c r="Q2674" s="5" t="str">
        <f t="shared" si="1"/>
        <v>২ পরে</v>
      </c>
    </row>
    <row r="2675">
      <c r="A2675" s="4">
        <v>439.0</v>
      </c>
      <c r="B2675" s="2" t="s">
        <v>10505</v>
      </c>
      <c r="C2675" s="2" t="s">
        <v>10506</v>
      </c>
      <c r="D2675" s="2" t="s">
        <v>10507</v>
      </c>
      <c r="E2675" s="2" t="s">
        <v>10508</v>
      </c>
      <c r="F2675" s="2" t="b">
        <v>1</v>
      </c>
      <c r="G2675" s="2" t="b">
        <v>0</v>
      </c>
      <c r="H2675" s="2" t="s">
        <v>37</v>
      </c>
      <c r="I2675" s="2" t="s">
        <v>32</v>
      </c>
      <c r="J2675" s="2" t="s">
        <v>10509</v>
      </c>
      <c r="K2675" s="2" t="s">
        <v>24</v>
      </c>
      <c r="L2675" s="13" t="s">
        <v>51</v>
      </c>
      <c r="M2675" s="2" t="s">
        <v>26</v>
      </c>
      <c r="P2675" s="5" t="str">
        <f>IFERROR(__xludf.DUMMYFUNCTION("TEXTJOIN("" | "",TRUE,IF(OR(D2675="""",E2675="""",I2675="""",J2675="""",H2675=""""),""ফাঁকা ঘর"",""""),IF(AND(C2675&lt;&gt;"""",D2675&lt;&gt;"""",C2675=D2675),""gloss=figurative"",""""),IF(LEN(D2675)&lt;15,""figurative ছোট"",""""),IF(AND(I2675=""Positive"",REGEXMATCH(H2"&amp;"675,""মূর্খ|ভণ্ড|প্রতার|অলস|লোভ|স্বার্থ|অক্ষম|অযোগ্য|বোকা|কৃপণ|হিংস"")),""valence-target অমিল"",""""),IF(COUNTIF($B:$B,B2675)&gt;1,""ডুপ্লিকেট"",""""))"),"")</f>
        <v/>
      </c>
      <c r="Q2675" s="5" t="str">
        <f t="shared" si="1"/>
        <v>২ পরে</v>
      </c>
    </row>
    <row r="2676">
      <c r="A2676" s="4">
        <v>440.0</v>
      </c>
      <c r="B2676" s="2" t="s">
        <v>10510</v>
      </c>
      <c r="C2676" s="2" t="s">
        <v>10160</v>
      </c>
      <c r="D2676" s="2" t="s">
        <v>10161</v>
      </c>
      <c r="E2676" s="2" t="s">
        <v>10511</v>
      </c>
      <c r="F2676" s="2" t="b">
        <v>1</v>
      </c>
      <c r="G2676" s="2" t="b">
        <v>0</v>
      </c>
      <c r="H2676" s="2" t="s">
        <v>37</v>
      </c>
      <c r="I2676" s="2" t="s">
        <v>32</v>
      </c>
      <c r="J2676" s="2" t="s">
        <v>59</v>
      </c>
      <c r="K2676" s="2" t="s">
        <v>24</v>
      </c>
      <c r="L2676" s="13" t="s">
        <v>51</v>
      </c>
      <c r="M2676" s="2" t="s">
        <v>26</v>
      </c>
      <c r="P2676" s="5" t="str">
        <f>IFERROR(__xludf.DUMMYFUNCTION("TEXTJOIN("" | "",TRUE,IF(OR(D2676="""",E2676="""",I2676="""",J2676="""",H2676=""""),""ফাঁকা ঘর"",""""),IF(AND(C2676&lt;&gt;"""",D2676&lt;&gt;"""",C2676=D2676),""gloss=figurative"",""""),IF(LEN(D2676)&lt;15,""figurative ছোট"",""""),IF(AND(I2676=""Positive"",REGEXMATCH(H2"&amp;"676,""মূর্খ|ভণ্ড|প্রতার|অলস|লোভ|স্বার্থ|অক্ষম|অযোগ্য|বোকা|কৃপণ|হিংস"")),""valence-target অমিল"",""""),IF(COUNTIF($B:$B,B2676)&gt;1,""ডুপ্লিকেট"",""""))"),"")</f>
        <v/>
      </c>
      <c r="Q2676" s="5" t="str">
        <f t="shared" si="1"/>
        <v>২ পরে</v>
      </c>
    </row>
    <row r="2677">
      <c r="A2677" s="4">
        <v>441.0</v>
      </c>
      <c r="B2677" s="2" t="s">
        <v>10512</v>
      </c>
      <c r="C2677" s="2" t="s">
        <v>10513</v>
      </c>
      <c r="D2677" s="2" t="s">
        <v>10514</v>
      </c>
      <c r="E2677" s="2" t="s">
        <v>10515</v>
      </c>
      <c r="F2677" s="2" t="b">
        <v>1</v>
      </c>
      <c r="G2677" s="2" t="b">
        <v>0</v>
      </c>
      <c r="H2677" s="2" t="s">
        <v>10516</v>
      </c>
      <c r="I2677" s="2" t="s">
        <v>49</v>
      </c>
      <c r="J2677" s="2" t="s">
        <v>10517</v>
      </c>
      <c r="K2677" s="2" t="s">
        <v>24</v>
      </c>
      <c r="L2677" s="13" t="s">
        <v>51</v>
      </c>
      <c r="M2677" s="2" t="s">
        <v>26</v>
      </c>
      <c r="P2677" s="5" t="str">
        <f>IFERROR(__xludf.DUMMYFUNCTION("TEXTJOIN("" | "",TRUE,IF(OR(D2677="""",E2677="""",I2677="""",J2677="""",H2677=""""),""ফাঁকা ঘর"",""""),IF(AND(C2677&lt;&gt;"""",D2677&lt;&gt;"""",C2677=D2677),""gloss=figurative"",""""),IF(LEN(D2677)&lt;15,""figurative ছোট"",""""),IF(AND(I2677=""Positive"",REGEXMATCH(H2"&amp;"677,""মূর্খ|ভণ্ড|প্রতার|অলস|লোভ|স্বার্থ|অক্ষম|অযোগ্য|বোকা|কৃপণ|হিংস"")),""valence-target অমিল"",""""),IF(COUNTIF($B:$B,B2677)&gt;1,""ডুপ্লিকেট"",""""))"),"")</f>
        <v/>
      </c>
      <c r="Q2677" s="5" t="str">
        <f t="shared" si="1"/>
        <v>২ পরে</v>
      </c>
    </row>
    <row r="2678">
      <c r="A2678" s="4">
        <v>442.0</v>
      </c>
      <c r="B2678" s="2" t="s">
        <v>10518</v>
      </c>
      <c r="C2678" s="2" t="s">
        <v>10519</v>
      </c>
      <c r="D2678" s="2" t="s">
        <v>10520</v>
      </c>
      <c r="E2678" s="2" t="s">
        <v>10521</v>
      </c>
      <c r="F2678" s="2" t="b">
        <v>1</v>
      </c>
      <c r="G2678" s="2" t="b">
        <v>0</v>
      </c>
      <c r="H2678" s="2" t="s">
        <v>10522</v>
      </c>
      <c r="I2678" s="2" t="s">
        <v>32</v>
      </c>
      <c r="J2678" s="2" t="s">
        <v>59</v>
      </c>
      <c r="K2678" s="2" t="s">
        <v>24</v>
      </c>
      <c r="L2678" s="13" t="s">
        <v>51</v>
      </c>
      <c r="M2678" s="2" t="s">
        <v>26</v>
      </c>
      <c r="P2678" s="5" t="str">
        <f>IFERROR(__xludf.DUMMYFUNCTION("TEXTJOIN("" | "",TRUE,IF(OR(D2678="""",E2678="""",I2678="""",J2678="""",H2678=""""),""ফাঁকা ঘর"",""""),IF(AND(C2678&lt;&gt;"""",D2678&lt;&gt;"""",C2678=D2678),""gloss=figurative"",""""),IF(LEN(D2678)&lt;15,""figurative ছোট"",""""),IF(AND(I2678=""Positive"",REGEXMATCH(H2"&amp;"678,""মূর্খ|ভণ্ড|প্রতার|অলস|লোভ|স্বার্থ|অক্ষম|অযোগ্য|বোকা|কৃপণ|হিংস"")),""valence-target অমিল"",""""),IF(COUNTIF($B:$B,B2678)&gt;1,""ডুপ্লিকেট"",""""))"),"")</f>
        <v/>
      </c>
      <c r="Q2678" s="5" t="str">
        <f t="shared" si="1"/>
        <v>২ পরে</v>
      </c>
    </row>
    <row r="2679">
      <c r="A2679" s="4">
        <v>443.0</v>
      </c>
      <c r="B2679" s="2" t="s">
        <v>10523</v>
      </c>
      <c r="C2679" s="2" t="s">
        <v>10524</v>
      </c>
      <c r="D2679" s="2" t="s">
        <v>10525</v>
      </c>
      <c r="E2679" s="2" t="s">
        <v>10526</v>
      </c>
      <c r="F2679" s="2" t="b">
        <v>1</v>
      </c>
      <c r="G2679" s="2" t="b">
        <v>0</v>
      </c>
      <c r="H2679" s="2" t="s">
        <v>10527</v>
      </c>
      <c r="I2679" s="2" t="s">
        <v>49</v>
      </c>
      <c r="J2679" s="2" t="s">
        <v>447</v>
      </c>
      <c r="K2679" s="2" t="s">
        <v>24</v>
      </c>
      <c r="L2679" s="13" t="s">
        <v>51</v>
      </c>
      <c r="M2679" s="2" t="s">
        <v>26</v>
      </c>
      <c r="P2679" s="5" t="str">
        <f>IFERROR(__xludf.DUMMYFUNCTION("TEXTJOIN("" | "",TRUE,IF(OR(D2679="""",E2679="""",I2679="""",J2679="""",H2679=""""),""ফাঁকা ঘর"",""""),IF(AND(C2679&lt;&gt;"""",D2679&lt;&gt;"""",C2679=D2679),""gloss=figurative"",""""),IF(LEN(D2679)&lt;15,""figurative ছোট"",""""),IF(AND(I2679=""Positive"",REGEXMATCH(H2"&amp;"679,""মূর্খ|ভণ্ড|প্রতার|অলস|লোভ|স্বার্থ|অক্ষম|অযোগ্য|বোকা|কৃপণ|হিংস"")),""valence-target অমিল"",""""),IF(COUNTIF($B:$B,B2679)&gt;1,""ডুপ্লিকেট"",""""))"),"")</f>
        <v/>
      </c>
      <c r="Q2679" s="5" t="str">
        <f t="shared" si="1"/>
        <v>২ পরে</v>
      </c>
    </row>
    <row r="2680">
      <c r="A2680" s="4">
        <v>444.0</v>
      </c>
      <c r="B2680" s="2" t="s">
        <v>10528</v>
      </c>
      <c r="C2680" s="2" t="s">
        <v>10529</v>
      </c>
      <c r="D2680" s="2" t="s">
        <v>10530</v>
      </c>
      <c r="E2680" s="2" t="s">
        <v>10531</v>
      </c>
      <c r="F2680" s="2" t="b">
        <v>1</v>
      </c>
      <c r="G2680" s="2" t="b">
        <v>0</v>
      </c>
      <c r="H2680" s="2" t="s">
        <v>10532</v>
      </c>
      <c r="I2680" s="2" t="s">
        <v>22</v>
      </c>
      <c r="J2680" s="2" t="s">
        <v>169</v>
      </c>
      <c r="K2680" s="2" t="s">
        <v>24</v>
      </c>
      <c r="L2680" s="13" t="s">
        <v>51</v>
      </c>
      <c r="M2680" s="2" t="s">
        <v>26</v>
      </c>
      <c r="P2680" s="5" t="str">
        <f>IFERROR(__xludf.DUMMYFUNCTION("TEXTJOIN("" | "",TRUE,IF(OR(D2680="""",E2680="""",I2680="""",J2680="""",H2680=""""),""ফাঁকা ঘর"",""""),IF(AND(C2680&lt;&gt;"""",D2680&lt;&gt;"""",C2680=D2680),""gloss=figurative"",""""),IF(LEN(D2680)&lt;15,""figurative ছোট"",""""),IF(AND(I2680=""Positive"",REGEXMATCH(H2"&amp;"680,""মূর্খ|ভণ্ড|প্রতার|অলস|লোভ|স্বার্থ|অক্ষম|অযোগ্য|বোকা|কৃপণ|হিংস"")),""valence-target অমিল"",""""),IF(COUNTIF($B:$B,B2680)&gt;1,""ডুপ্লিকেট"",""""))"),"")</f>
        <v/>
      </c>
      <c r="Q2680" s="5" t="str">
        <f t="shared" si="1"/>
        <v>২ পরে</v>
      </c>
    </row>
    <row r="2681">
      <c r="A2681" s="4">
        <v>445.0</v>
      </c>
      <c r="B2681" s="2" t="s">
        <v>10533</v>
      </c>
      <c r="C2681" s="2" t="s">
        <v>8910</v>
      </c>
      <c r="D2681" s="2" t="s">
        <v>10534</v>
      </c>
      <c r="E2681" s="2" t="s">
        <v>10535</v>
      </c>
      <c r="F2681" s="2" t="b">
        <v>1</v>
      </c>
      <c r="G2681" s="2" t="b">
        <v>0</v>
      </c>
      <c r="H2681" s="2" t="s">
        <v>10536</v>
      </c>
      <c r="I2681" s="2" t="s">
        <v>22</v>
      </c>
      <c r="J2681" s="2" t="s">
        <v>225</v>
      </c>
      <c r="K2681" s="2" t="s">
        <v>24</v>
      </c>
      <c r="L2681" s="13" t="s">
        <v>51</v>
      </c>
      <c r="M2681" s="2" t="s">
        <v>26</v>
      </c>
      <c r="P2681" s="5" t="str">
        <f>IFERROR(__xludf.DUMMYFUNCTION("TEXTJOIN("" | "",TRUE,IF(OR(D2681="""",E2681="""",I2681="""",J2681="""",H2681=""""),""ফাঁকা ঘর"",""""),IF(AND(C2681&lt;&gt;"""",D2681&lt;&gt;"""",C2681=D2681),""gloss=figurative"",""""),IF(LEN(D2681)&lt;15,""figurative ছোট"",""""),IF(AND(I2681=""Positive"",REGEXMATCH(H2"&amp;"681,""মূর্খ|ভণ্ড|প্রতার|অলস|লোভ|স্বার্থ|অক্ষম|অযোগ্য|বোকা|কৃপণ|হিংস"")),""valence-target অমিল"",""""),IF(COUNTIF($B:$B,B2681)&gt;1,""ডুপ্লিকেট"",""""))"),"")</f>
        <v/>
      </c>
      <c r="Q2681" s="5" t="str">
        <f t="shared" si="1"/>
        <v>২ পরে</v>
      </c>
    </row>
    <row r="2682">
      <c r="A2682" s="4">
        <v>446.0</v>
      </c>
      <c r="B2682" s="2" t="s">
        <v>10537</v>
      </c>
      <c r="C2682" s="2" t="s">
        <v>10538</v>
      </c>
      <c r="D2682" s="2" t="s">
        <v>10539</v>
      </c>
      <c r="E2682" s="2" t="s">
        <v>10540</v>
      </c>
      <c r="F2682" s="2" t="b">
        <v>1</v>
      </c>
      <c r="G2682" s="2" t="b">
        <v>0</v>
      </c>
      <c r="H2682" s="2" t="s">
        <v>10541</v>
      </c>
      <c r="I2682" s="2" t="s">
        <v>32</v>
      </c>
      <c r="J2682" s="2" t="s">
        <v>225</v>
      </c>
      <c r="K2682" s="2" t="s">
        <v>24</v>
      </c>
      <c r="L2682" s="13" t="s">
        <v>51</v>
      </c>
      <c r="M2682" s="2" t="s">
        <v>26</v>
      </c>
      <c r="P2682" s="5" t="str">
        <f>IFERROR(__xludf.DUMMYFUNCTION("TEXTJOIN("" | "",TRUE,IF(OR(D2682="""",E2682="""",I2682="""",J2682="""",H2682=""""),""ফাঁকা ঘর"",""""),IF(AND(C2682&lt;&gt;"""",D2682&lt;&gt;"""",C2682=D2682),""gloss=figurative"",""""),IF(LEN(D2682)&lt;15,""figurative ছোট"",""""),IF(AND(I2682=""Positive"",REGEXMATCH(H2"&amp;"682,""মূর্খ|ভণ্ড|প্রতার|অলস|লোভ|স্বার্থ|অক্ষম|অযোগ্য|বোকা|কৃপণ|হিংস"")),""valence-target অমিল"",""""),IF(COUNTIF($B:$B,B2682)&gt;1,""ডুপ্লিকেট"",""""))"),"")</f>
        <v/>
      </c>
      <c r="Q2682" s="5" t="str">
        <f t="shared" si="1"/>
        <v>২ পরে</v>
      </c>
    </row>
    <row r="2683">
      <c r="A2683" s="4">
        <v>447.0</v>
      </c>
      <c r="B2683" s="2" t="s">
        <v>10542</v>
      </c>
      <c r="C2683" s="2" t="s">
        <v>10543</v>
      </c>
      <c r="D2683" s="2" t="s">
        <v>10544</v>
      </c>
      <c r="E2683" s="2" t="s">
        <v>10545</v>
      </c>
      <c r="F2683" s="2" t="b">
        <v>1</v>
      </c>
      <c r="G2683" s="2" t="b">
        <v>0</v>
      </c>
      <c r="H2683" s="2" t="s">
        <v>37</v>
      </c>
      <c r="I2683" s="2" t="s">
        <v>32</v>
      </c>
      <c r="J2683" s="2" t="s">
        <v>10546</v>
      </c>
      <c r="K2683" s="2" t="s">
        <v>24</v>
      </c>
      <c r="L2683" s="13" t="s">
        <v>51</v>
      </c>
      <c r="M2683" s="2" t="s">
        <v>26</v>
      </c>
      <c r="P2683" s="5" t="str">
        <f>IFERROR(__xludf.DUMMYFUNCTION("TEXTJOIN("" | "",TRUE,IF(OR(D2683="""",E2683="""",I2683="""",J2683="""",H2683=""""),""ফাঁকা ঘর"",""""),IF(AND(C2683&lt;&gt;"""",D2683&lt;&gt;"""",C2683=D2683),""gloss=figurative"",""""),IF(LEN(D2683)&lt;15,""figurative ছোট"",""""),IF(AND(I2683=""Positive"",REGEXMATCH(H2"&amp;"683,""মূর্খ|ভণ্ড|প্রতার|অলস|লোভ|স্বার্থ|অক্ষম|অযোগ্য|বোকা|কৃপণ|হিংস"")),""valence-target অমিল"",""""),IF(COUNTIF($B:$B,B2683)&gt;1,""ডুপ্লিকেট"",""""))"),"")</f>
        <v/>
      </c>
      <c r="Q2683" s="5" t="str">
        <f t="shared" si="1"/>
        <v>২ পরে</v>
      </c>
    </row>
    <row r="2684">
      <c r="A2684" s="4">
        <v>448.0</v>
      </c>
      <c r="B2684" s="2" t="s">
        <v>10547</v>
      </c>
      <c r="C2684" s="2" t="s">
        <v>10548</v>
      </c>
      <c r="D2684" s="2" t="s">
        <v>10549</v>
      </c>
      <c r="E2684" s="2" t="s">
        <v>10550</v>
      </c>
      <c r="F2684" s="2" t="b">
        <v>1</v>
      </c>
      <c r="G2684" s="2" t="b">
        <v>0</v>
      </c>
      <c r="H2684" s="2" t="s">
        <v>251</v>
      </c>
      <c r="I2684" s="2" t="s">
        <v>22</v>
      </c>
      <c r="J2684" s="2" t="s">
        <v>357</v>
      </c>
      <c r="K2684" s="2" t="s">
        <v>24</v>
      </c>
      <c r="L2684" s="13" t="s">
        <v>51</v>
      </c>
      <c r="M2684" s="2" t="s">
        <v>26</v>
      </c>
      <c r="P2684" s="5" t="str">
        <f>IFERROR(__xludf.DUMMYFUNCTION("TEXTJOIN("" | "",TRUE,IF(OR(D2684="""",E2684="""",I2684="""",J2684="""",H2684=""""),""ফাঁকা ঘর"",""""),IF(AND(C2684&lt;&gt;"""",D2684&lt;&gt;"""",C2684=D2684),""gloss=figurative"",""""),IF(LEN(D2684)&lt;15,""figurative ছোট"",""""),IF(AND(I2684=""Positive"",REGEXMATCH(H2"&amp;"684,""মূর্খ|ভণ্ড|প্রতার|অলস|লোভ|স্বার্থ|অক্ষম|অযোগ্য|বোকা|কৃপণ|হিংস"")),""valence-target অমিল"",""""),IF(COUNTIF($B:$B,B2684)&gt;1,""ডুপ্লিকেট"",""""))"),"")</f>
        <v/>
      </c>
      <c r="Q2684" s="5" t="str">
        <f t="shared" si="1"/>
        <v>২ পরে</v>
      </c>
    </row>
    <row r="2685">
      <c r="A2685" s="4">
        <v>449.0</v>
      </c>
      <c r="B2685" s="2" t="s">
        <v>10551</v>
      </c>
      <c r="C2685" s="2" t="s">
        <v>10552</v>
      </c>
      <c r="D2685" s="2" t="s">
        <v>10553</v>
      </c>
      <c r="E2685" s="2" t="s">
        <v>10554</v>
      </c>
      <c r="F2685" s="2" t="b">
        <v>1</v>
      </c>
      <c r="G2685" s="2" t="b">
        <v>0</v>
      </c>
      <c r="H2685" s="2" t="s">
        <v>9737</v>
      </c>
      <c r="I2685" s="2" t="s">
        <v>32</v>
      </c>
      <c r="J2685" s="2" t="s">
        <v>424</v>
      </c>
      <c r="K2685" s="2" t="s">
        <v>24</v>
      </c>
      <c r="L2685" s="13" t="s">
        <v>51</v>
      </c>
      <c r="M2685" s="2" t="s">
        <v>26</v>
      </c>
      <c r="P2685" s="5" t="str">
        <f>IFERROR(__xludf.DUMMYFUNCTION("TEXTJOIN("" | "",TRUE,IF(OR(D2685="""",E2685="""",I2685="""",J2685="""",H2685=""""),""ফাঁকা ঘর"",""""),IF(AND(C2685&lt;&gt;"""",D2685&lt;&gt;"""",C2685=D2685),""gloss=figurative"",""""),IF(LEN(D2685)&lt;15,""figurative ছোট"",""""),IF(AND(I2685=""Positive"",REGEXMATCH(H2"&amp;"685,""মূর্খ|ভণ্ড|প্রতার|অলস|লোভ|স্বার্থ|অক্ষম|অযোগ্য|বোকা|কৃপণ|হিংস"")),""valence-target অমিল"",""""),IF(COUNTIF($B:$B,B2685)&gt;1,""ডুপ্লিকেট"",""""))"),"")</f>
        <v/>
      </c>
      <c r="Q2685" s="5" t="str">
        <f t="shared" si="1"/>
        <v>২ পরে</v>
      </c>
    </row>
    <row r="2686">
      <c r="A2686" s="4">
        <v>450.0</v>
      </c>
      <c r="B2686" s="2" t="s">
        <v>10555</v>
      </c>
      <c r="C2686" s="2" t="s">
        <v>10556</v>
      </c>
      <c r="D2686" s="2" t="s">
        <v>10557</v>
      </c>
      <c r="E2686" s="2" t="s">
        <v>10558</v>
      </c>
      <c r="F2686" s="2" t="b">
        <v>1</v>
      </c>
      <c r="G2686" s="2" t="b">
        <v>0</v>
      </c>
      <c r="H2686" s="2" t="s">
        <v>10559</v>
      </c>
      <c r="I2686" s="2" t="s">
        <v>32</v>
      </c>
      <c r="J2686" s="2" t="s">
        <v>10560</v>
      </c>
      <c r="K2686" s="2" t="s">
        <v>24</v>
      </c>
      <c r="L2686" s="13" t="s">
        <v>51</v>
      </c>
      <c r="M2686" s="2" t="s">
        <v>26</v>
      </c>
      <c r="P2686" s="5" t="str">
        <f>IFERROR(__xludf.DUMMYFUNCTION("TEXTJOIN("" | "",TRUE,IF(OR(D2686="""",E2686="""",I2686="""",J2686="""",H2686=""""),""ফাঁকা ঘর"",""""),IF(AND(C2686&lt;&gt;"""",D2686&lt;&gt;"""",C2686=D2686),""gloss=figurative"",""""),IF(LEN(D2686)&lt;15,""figurative ছোট"",""""),IF(AND(I2686=""Positive"",REGEXMATCH(H2"&amp;"686,""মূর্খ|ভণ্ড|প্রতার|অলস|লোভ|স্বার্থ|অক্ষম|অযোগ্য|বোকা|কৃপণ|হিংস"")),""valence-target অমিল"",""""),IF(COUNTIF($B:$B,B2686)&gt;1,""ডুপ্লিকেট"",""""))"),"")</f>
        <v/>
      </c>
      <c r="Q2686" s="5" t="str">
        <f t="shared" si="1"/>
        <v>২ পরে</v>
      </c>
    </row>
    <row r="2687">
      <c r="A2687" s="4">
        <v>451.0</v>
      </c>
      <c r="B2687" s="2" t="s">
        <v>10561</v>
      </c>
      <c r="C2687" s="2" t="s">
        <v>10562</v>
      </c>
      <c r="D2687" s="2" t="s">
        <v>10345</v>
      </c>
      <c r="E2687" s="2" t="s">
        <v>10563</v>
      </c>
      <c r="F2687" s="2" t="b">
        <v>1</v>
      </c>
      <c r="G2687" s="2" t="b">
        <v>0</v>
      </c>
      <c r="H2687" s="2" t="s">
        <v>10564</v>
      </c>
      <c r="I2687" s="2" t="s">
        <v>22</v>
      </c>
      <c r="J2687" s="2" t="s">
        <v>2550</v>
      </c>
      <c r="K2687" s="2" t="s">
        <v>24</v>
      </c>
      <c r="L2687" s="13" t="s">
        <v>51</v>
      </c>
      <c r="M2687" s="2" t="s">
        <v>26</v>
      </c>
      <c r="P2687" s="5" t="str">
        <f>IFERROR(__xludf.DUMMYFUNCTION("TEXTJOIN("" | "",TRUE,IF(OR(D2687="""",E2687="""",I2687="""",J2687="""",H2687=""""),""ফাঁকা ঘর"",""""),IF(AND(C2687&lt;&gt;"""",D2687&lt;&gt;"""",C2687=D2687),""gloss=figurative"",""""),IF(LEN(D2687)&lt;15,""figurative ছোট"",""""),IF(AND(I2687=""Positive"",REGEXMATCH(H2"&amp;"687,""মূর্খ|ভণ্ড|প্রতার|অলস|লোভ|স্বার্থ|অক্ষম|অযোগ্য|বোকা|কৃপণ|হিংস"")),""valence-target অমিল"",""""),IF(COUNTIF($B:$B,B2687)&gt;1,""ডুপ্লিকেট"",""""))"),"")</f>
        <v/>
      </c>
      <c r="Q2687" s="5" t="str">
        <f t="shared" si="1"/>
        <v>২ পরে</v>
      </c>
    </row>
    <row r="2688">
      <c r="A2688" s="4">
        <v>452.0</v>
      </c>
      <c r="B2688" s="2" t="s">
        <v>10565</v>
      </c>
      <c r="C2688" s="2" t="s">
        <v>10566</v>
      </c>
      <c r="D2688" s="2" t="s">
        <v>10567</v>
      </c>
      <c r="E2688" s="2" t="s">
        <v>10568</v>
      </c>
      <c r="F2688" s="2" t="b">
        <v>1</v>
      </c>
      <c r="G2688" s="2" t="b">
        <v>0</v>
      </c>
      <c r="H2688" s="2" t="s">
        <v>65</v>
      </c>
      <c r="I2688" s="2" t="s">
        <v>22</v>
      </c>
      <c r="J2688" s="2" t="s">
        <v>59</v>
      </c>
      <c r="K2688" s="2" t="s">
        <v>24</v>
      </c>
      <c r="L2688" s="13" t="s">
        <v>51</v>
      </c>
      <c r="M2688" s="2" t="s">
        <v>26</v>
      </c>
      <c r="P2688" s="5" t="str">
        <f>IFERROR(__xludf.DUMMYFUNCTION("TEXTJOIN("" | "",TRUE,IF(OR(D2688="""",E2688="""",I2688="""",J2688="""",H2688=""""),""ফাঁকা ঘর"",""""),IF(AND(C2688&lt;&gt;"""",D2688&lt;&gt;"""",C2688=D2688),""gloss=figurative"",""""),IF(LEN(D2688)&lt;15,""figurative ছোট"",""""),IF(AND(I2688=""Positive"",REGEXMATCH(H2"&amp;"688,""মূর্খ|ভণ্ড|প্রতার|অলস|লোভ|স্বার্থ|অক্ষম|অযোগ্য|বোকা|কৃপণ|হিংস"")),""valence-target অমিল"",""""),IF(COUNTIF($B:$B,B2688)&gt;1,""ডুপ্লিকেট"",""""))"),"")</f>
        <v/>
      </c>
      <c r="Q2688" s="5" t="str">
        <f t="shared" si="1"/>
        <v>২ পরে</v>
      </c>
    </row>
    <row r="2689">
      <c r="A2689" s="4">
        <v>453.0</v>
      </c>
      <c r="B2689" s="2" t="s">
        <v>10569</v>
      </c>
      <c r="C2689" s="2" t="s">
        <v>10570</v>
      </c>
      <c r="D2689" s="2" t="s">
        <v>10571</v>
      </c>
      <c r="E2689" s="2" t="s">
        <v>10572</v>
      </c>
      <c r="F2689" s="2" t="b">
        <v>1</v>
      </c>
      <c r="G2689" s="2" t="b">
        <v>0</v>
      </c>
      <c r="H2689" s="2" t="s">
        <v>10405</v>
      </c>
      <c r="I2689" s="2" t="s">
        <v>49</v>
      </c>
      <c r="J2689" s="2" t="s">
        <v>1621</v>
      </c>
      <c r="K2689" s="2" t="s">
        <v>24</v>
      </c>
      <c r="L2689" s="13" t="s">
        <v>51</v>
      </c>
      <c r="M2689" s="2" t="s">
        <v>26</v>
      </c>
      <c r="P2689" s="5" t="str">
        <f>IFERROR(__xludf.DUMMYFUNCTION("TEXTJOIN("" | "",TRUE,IF(OR(D2689="""",E2689="""",I2689="""",J2689="""",H2689=""""),""ফাঁকা ঘর"",""""),IF(AND(C2689&lt;&gt;"""",D2689&lt;&gt;"""",C2689=D2689),""gloss=figurative"",""""),IF(LEN(D2689)&lt;15,""figurative ছোট"",""""),IF(AND(I2689=""Positive"",REGEXMATCH(H2"&amp;"689,""মূর্খ|ভণ্ড|প্রতার|অলস|লোভ|স্বার্থ|অক্ষম|অযোগ্য|বোকা|কৃপণ|হিংস"")),""valence-target অমিল"",""""),IF(COUNTIF($B:$B,B2689)&gt;1,""ডুপ্লিকেট"",""""))"),"")</f>
        <v/>
      </c>
      <c r="Q2689" s="5" t="str">
        <f t="shared" si="1"/>
        <v>২ পরে</v>
      </c>
    </row>
    <row r="2690">
      <c r="A2690" s="4">
        <v>454.0</v>
      </c>
      <c r="B2690" s="2" t="s">
        <v>10573</v>
      </c>
      <c r="C2690" s="2" t="s">
        <v>10574</v>
      </c>
      <c r="D2690" s="2" t="s">
        <v>10575</v>
      </c>
      <c r="E2690" s="2" t="s">
        <v>10576</v>
      </c>
      <c r="F2690" s="2" t="b">
        <v>1</v>
      </c>
      <c r="G2690" s="2" t="b">
        <v>0</v>
      </c>
      <c r="H2690" s="2" t="s">
        <v>37</v>
      </c>
      <c r="I2690" s="2" t="s">
        <v>49</v>
      </c>
      <c r="J2690" s="2" t="s">
        <v>142</v>
      </c>
      <c r="K2690" s="2" t="s">
        <v>24</v>
      </c>
      <c r="L2690" s="13" t="s">
        <v>51</v>
      </c>
      <c r="M2690" s="2" t="s">
        <v>26</v>
      </c>
      <c r="P2690" s="5" t="str">
        <f>IFERROR(__xludf.DUMMYFUNCTION("TEXTJOIN("" | "",TRUE,IF(OR(D2690="""",E2690="""",I2690="""",J2690="""",H2690=""""),""ফাঁকা ঘর"",""""),IF(AND(C2690&lt;&gt;"""",D2690&lt;&gt;"""",C2690=D2690),""gloss=figurative"",""""),IF(LEN(D2690)&lt;15,""figurative ছোট"",""""),IF(AND(I2690=""Positive"",REGEXMATCH(H2"&amp;"690,""মূর্খ|ভণ্ড|প্রতার|অলস|লোভ|স্বার্থ|অক্ষম|অযোগ্য|বোকা|কৃপণ|হিংস"")),""valence-target অমিল"",""""),IF(COUNTIF($B:$B,B2690)&gt;1,""ডুপ্লিকেট"",""""))"),"")</f>
        <v/>
      </c>
      <c r="Q2690" s="5" t="str">
        <f t="shared" si="1"/>
        <v>২ পরে</v>
      </c>
    </row>
    <row r="2691">
      <c r="A2691" s="4">
        <v>455.0</v>
      </c>
      <c r="B2691" s="2" t="s">
        <v>10577</v>
      </c>
      <c r="C2691" s="2" t="s">
        <v>10578</v>
      </c>
      <c r="D2691" s="2" t="s">
        <v>10579</v>
      </c>
      <c r="E2691" s="2" t="s">
        <v>10580</v>
      </c>
      <c r="F2691" s="2" t="b">
        <v>1</v>
      </c>
      <c r="G2691" s="2" t="b">
        <v>0</v>
      </c>
      <c r="H2691" s="2" t="s">
        <v>37</v>
      </c>
      <c r="I2691" s="2" t="s">
        <v>32</v>
      </c>
      <c r="J2691" s="2" t="s">
        <v>169</v>
      </c>
      <c r="K2691" s="2" t="s">
        <v>24</v>
      </c>
      <c r="L2691" s="13" t="s">
        <v>51</v>
      </c>
      <c r="M2691" s="2" t="s">
        <v>26</v>
      </c>
      <c r="P2691" s="5" t="str">
        <f>IFERROR(__xludf.DUMMYFUNCTION("TEXTJOIN("" | "",TRUE,IF(OR(D2691="""",E2691="""",I2691="""",J2691="""",H2691=""""),""ফাঁকা ঘর"",""""),IF(AND(C2691&lt;&gt;"""",D2691&lt;&gt;"""",C2691=D2691),""gloss=figurative"",""""),IF(LEN(D2691)&lt;15,""figurative ছোট"",""""),IF(AND(I2691=""Positive"",REGEXMATCH(H2"&amp;"691,""মূর্খ|ভণ্ড|প্রতার|অলস|লোভ|স্বার্থ|অক্ষম|অযোগ্য|বোকা|কৃপণ|হিংস"")),""valence-target অমিল"",""""),IF(COUNTIF($B:$B,B2691)&gt;1,""ডুপ্লিকেট"",""""))"),"")</f>
        <v/>
      </c>
      <c r="Q2691" s="5" t="str">
        <f t="shared" si="1"/>
        <v>২ পরে</v>
      </c>
    </row>
    <row r="2692">
      <c r="A2692" s="4">
        <v>456.0</v>
      </c>
      <c r="B2692" s="2" t="s">
        <v>10581</v>
      </c>
      <c r="C2692" s="2" t="s">
        <v>10582</v>
      </c>
      <c r="D2692" s="2" t="s">
        <v>10583</v>
      </c>
      <c r="E2692" s="2" t="s">
        <v>10584</v>
      </c>
      <c r="F2692" s="2" t="b">
        <v>1</v>
      </c>
      <c r="G2692" s="2" t="b">
        <v>0</v>
      </c>
      <c r="H2692" s="2" t="s">
        <v>110</v>
      </c>
      <c r="I2692" s="2" t="s">
        <v>22</v>
      </c>
      <c r="J2692" s="2" t="s">
        <v>59</v>
      </c>
      <c r="K2692" s="2" t="s">
        <v>24</v>
      </c>
      <c r="L2692" s="13" t="s">
        <v>51</v>
      </c>
      <c r="M2692" s="2" t="s">
        <v>26</v>
      </c>
      <c r="P2692" s="5" t="str">
        <f>IFERROR(__xludf.DUMMYFUNCTION("TEXTJOIN("" | "",TRUE,IF(OR(D2692="""",E2692="""",I2692="""",J2692="""",H2692=""""),""ফাঁকা ঘর"",""""),IF(AND(C2692&lt;&gt;"""",D2692&lt;&gt;"""",C2692=D2692),""gloss=figurative"",""""),IF(LEN(D2692)&lt;15,""figurative ছোট"",""""),IF(AND(I2692=""Positive"",REGEXMATCH(H2"&amp;"692,""মূর্খ|ভণ্ড|প্রতার|অলস|লোভ|স্বার্থ|অক্ষম|অযোগ্য|বোকা|কৃপণ|হিংস"")),""valence-target অমিল"",""""),IF(COUNTIF($B:$B,B2692)&gt;1,""ডুপ্লিকেট"",""""))"),"")</f>
        <v/>
      </c>
      <c r="Q2692" s="5" t="str">
        <f t="shared" si="1"/>
        <v>২ পরে</v>
      </c>
    </row>
    <row r="2693">
      <c r="A2693" s="4">
        <v>457.0</v>
      </c>
      <c r="B2693" s="2" t="s">
        <v>10585</v>
      </c>
      <c r="C2693" s="2" t="s">
        <v>10586</v>
      </c>
      <c r="D2693" s="2" t="s">
        <v>10587</v>
      </c>
      <c r="E2693" s="2" t="s">
        <v>10588</v>
      </c>
      <c r="F2693" s="2" t="b">
        <v>1</v>
      </c>
      <c r="G2693" s="2" t="b">
        <v>0</v>
      </c>
      <c r="H2693" s="2" t="s">
        <v>10589</v>
      </c>
      <c r="I2693" s="2" t="s">
        <v>49</v>
      </c>
      <c r="J2693" s="2" t="s">
        <v>8895</v>
      </c>
      <c r="K2693" s="2" t="s">
        <v>24</v>
      </c>
      <c r="L2693" s="13" t="s">
        <v>51</v>
      </c>
      <c r="M2693" s="2" t="s">
        <v>26</v>
      </c>
      <c r="P2693" s="5" t="str">
        <f>IFERROR(__xludf.DUMMYFUNCTION("TEXTJOIN("" | "",TRUE,IF(OR(D2693="""",E2693="""",I2693="""",J2693="""",H2693=""""),""ফাঁকা ঘর"",""""),IF(AND(C2693&lt;&gt;"""",D2693&lt;&gt;"""",C2693=D2693),""gloss=figurative"",""""),IF(LEN(D2693)&lt;15,""figurative ছোট"",""""),IF(AND(I2693=""Positive"",REGEXMATCH(H2"&amp;"693,""মূর্খ|ভণ্ড|প্রতার|অলস|লোভ|স্বার্থ|অক্ষম|অযোগ্য|বোকা|কৃপণ|হিংস"")),""valence-target অমিল"",""""),IF(COUNTIF($B:$B,B2693)&gt;1,""ডুপ্লিকেট"",""""))"),"")</f>
        <v/>
      </c>
      <c r="Q2693" s="5" t="str">
        <f t="shared" si="1"/>
        <v>২ পরে</v>
      </c>
    </row>
    <row r="2694">
      <c r="A2694" s="4">
        <v>458.0</v>
      </c>
      <c r="B2694" s="2" t="s">
        <v>10590</v>
      </c>
      <c r="C2694" s="2" t="s">
        <v>10591</v>
      </c>
      <c r="D2694" s="2" t="s">
        <v>10592</v>
      </c>
      <c r="E2694" s="2" t="s">
        <v>10593</v>
      </c>
      <c r="F2694" s="2" t="b">
        <v>1</v>
      </c>
      <c r="G2694" s="2" t="b">
        <v>0</v>
      </c>
      <c r="H2694" s="2" t="s">
        <v>10594</v>
      </c>
      <c r="I2694" s="2" t="s">
        <v>49</v>
      </c>
      <c r="J2694" s="2" t="s">
        <v>157</v>
      </c>
      <c r="K2694" s="2" t="s">
        <v>24</v>
      </c>
      <c r="L2694" s="13" t="s">
        <v>51</v>
      </c>
      <c r="M2694" s="2" t="s">
        <v>26</v>
      </c>
      <c r="P2694" s="5" t="str">
        <f>IFERROR(__xludf.DUMMYFUNCTION("TEXTJOIN("" | "",TRUE,IF(OR(D2694="""",E2694="""",I2694="""",J2694="""",H2694=""""),""ফাঁকা ঘর"",""""),IF(AND(C2694&lt;&gt;"""",D2694&lt;&gt;"""",C2694=D2694),""gloss=figurative"",""""),IF(LEN(D2694)&lt;15,""figurative ছোট"",""""),IF(AND(I2694=""Positive"",REGEXMATCH(H2"&amp;"694,""মূর্খ|ভণ্ড|প্রতার|অলস|লোভ|স্বার্থ|অক্ষম|অযোগ্য|বোকা|কৃপণ|হিংস"")),""valence-target অমিল"",""""),IF(COUNTIF($B:$B,B2694)&gt;1,""ডুপ্লিকেট"",""""))"),"")</f>
        <v/>
      </c>
      <c r="Q2694" s="5" t="str">
        <f t="shared" si="1"/>
        <v>২ পরে</v>
      </c>
    </row>
    <row r="2695">
      <c r="A2695" s="4">
        <v>459.0</v>
      </c>
      <c r="B2695" s="2" t="s">
        <v>10595</v>
      </c>
      <c r="C2695" s="2" t="s">
        <v>10596</v>
      </c>
      <c r="D2695" s="2" t="s">
        <v>10597</v>
      </c>
      <c r="E2695" s="2" t="s">
        <v>10598</v>
      </c>
      <c r="F2695" s="2" t="b">
        <v>1</v>
      </c>
      <c r="G2695" s="2" t="b">
        <v>0</v>
      </c>
      <c r="H2695" s="2" t="s">
        <v>9057</v>
      </c>
      <c r="I2695" s="2" t="s">
        <v>22</v>
      </c>
      <c r="J2695" s="2" t="s">
        <v>59</v>
      </c>
      <c r="K2695" s="2" t="s">
        <v>24</v>
      </c>
      <c r="L2695" s="13" t="s">
        <v>51</v>
      </c>
      <c r="M2695" s="2" t="s">
        <v>26</v>
      </c>
      <c r="P2695" s="5" t="str">
        <f>IFERROR(__xludf.DUMMYFUNCTION("TEXTJOIN("" | "",TRUE,IF(OR(D2695="""",E2695="""",I2695="""",J2695="""",H2695=""""),""ফাঁকা ঘর"",""""),IF(AND(C2695&lt;&gt;"""",D2695&lt;&gt;"""",C2695=D2695),""gloss=figurative"",""""),IF(LEN(D2695)&lt;15,""figurative ছোট"",""""),IF(AND(I2695=""Positive"",REGEXMATCH(H2"&amp;"695,""মূর্খ|ভণ্ড|প্রতার|অলস|লোভ|স্বার্থ|অক্ষম|অযোগ্য|বোকা|কৃপণ|হিংস"")),""valence-target অমিল"",""""),IF(COUNTIF($B:$B,B2695)&gt;1,""ডুপ্লিকেট"",""""))"),"")</f>
        <v/>
      </c>
      <c r="Q2695" s="5" t="str">
        <f t="shared" si="1"/>
        <v>২ পরে</v>
      </c>
    </row>
    <row r="2696">
      <c r="A2696" s="4">
        <v>460.0</v>
      </c>
      <c r="B2696" s="2" t="s">
        <v>10599</v>
      </c>
      <c r="C2696" s="2" t="s">
        <v>10600</v>
      </c>
      <c r="D2696" s="2" t="s">
        <v>10601</v>
      </c>
      <c r="E2696" s="2" t="s">
        <v>10602</v>
      </c>
      <c r="F2696" s="2" t="b">
        <v>1</v>
      </c>
      <c r="G2696" s="2" t="b">
        <v>0</v>
      </c>
      <c r="H2696" s="2" t="s">
        <v>9320</v>
      </c>
      <c r="I2696" s="2" t="s">
        <v>49</v>
      </c>
      <c r="J2696" s="2" t="s">
        <v>447</v>
      </c>
      <c r="K2696" s="2" t="s">
        <v>24</v>
      </c>
      <c r="L2696" s="13" t="s">
        <v>51</v>
      </c>
      <c r="M2696" s="2" t="s">
        <v>26</v>
      </c>
      <c r="P2696" s="5" t="str">
        <f>IFERROR(__xludf.DUMMYFUNCTION("TEXTJOIN("" | "",TRUE,IF(OR(D2696="""",E2696="""",I2696="""",J2696="""",H2696=""""),""ফাঁকা ঘর"",""""),IF(AND(C2696&lt;&gt;"""",D2696&lt;&gt;"""",C2696=D2696),""gloss=figurative"",""""),IF(LEN(D2696)&lt;15,""figurative ছোট"",""""),IF(AND(I2696=""Positive"",REGEXMATCH(H2"&amp;"696,""মূর্খ|ভণ্ড|প্রতার|অলস|লোভ|স্বার্থ|অক্ষম|অযোগ্য|বোকা|কৃপণ|হিংস"")),""valence-target অমিল"",""""),IF(COUNTIF($B:$B,B2696)&gt;1,""ডুপ্লিকেট"",""""))"),"")</f>
        <v/>
      </c>
      <c r="Q2696" s="5" t="str">
        <f t="shared" si="1"/>
        <v>২ পরে</v>
      </c>
    </row>
    <row r="2697">
      <c r="A2697" s="4">
        <v>461.0</v>
      </c>
      <c r="B2697" s="2" t="s">
        <v>10603</v>
      </c>
      <c r="C2697" s="2" t="s">
        <v>10604</v>
      </c>
      <c r="D2697" s="2" t="s">
        <v>10597</v>
      </c>
      <c r="E2697" s="2" t="s">
        <v>10605</v>
      </c>
      <c r="F2697" s="2" t="b">
        <v>1</v>
      </c>
      <c r="G2697" s="2" t="b">
        <v>0</v>
      </c>
      <c r="H2697" s="2" t="s">
        <v>9057</v>
      </c>
      <c r="I2697" s="2" t="s">
        <v>22</v>
      </c>
      <c r="J2697" s="2" t="s">
        <v>59</v>
      </c>
      <c r="K2697" s="2" t="s">
        <v>24</v>
      </c>
      <c r="L2697" s="13" t="s">
        <v>51</v>
      </c>
      <c r="M2697" s="2" t="s">
        <v>26</v>
      </c>
      <c r="P2697" s="5" t="str">
        <f>IFERROR(__xludf.DUMMYFUNCTION("TEXTJOIN("" | "",TRUE,IF(OR(D2697="""",E2697="""",I2697="""",J2697="""",H2697=""""),""ফাঁকা ঘর"",""""),IF(AND(C2697&lt;&gt;"""",D2697&lt;&gt;"""",C2697=D2697),""gloss=figurative"",""""),IF(LEN(D2697)&lt;15,""figurative ছোট"",""""),IF(AND(I2697=""Positive"",REGEXMATCH(H2"&amp;"697,""মূর্খ|ভণ্ড|প্রতার|অলস|লোভ|স্বার্থ|অক্ষম|অযোগ্য|বোকা|কৃপণ|হিংস"")),""valence-target অমিল"",""""),IF(COUNTIF($B:$B,B2697)&gt;1,""ডুপ্লিকেট"",""""))"),"")</f>
        <v/>
      </c>
      <c r="Q2697" s="5" t="str">
        <f t="shared" si="1"/>
        <v>২ পরে</v>
      </c>
    </row>
    <row r="2698">
      <c r="A2698" s="4">
        <v>462.0</v>
      </c>
      <c r="B2698" s="2" t="s">
        <v>10606</v>
      </c>
      <c r="C2698" s="2" t="s">
        <v>10607</v>
      </c>
      <c r="D2698" s="2" t="s">
        <v>10608</v>
      </c>
      <c r="E2698" s="2" t="s">
        <v>10609</v>
      </c>
      <c r="F2698" s="2" t="b">
        <v>1</v>
      </c>
      <c r="G2698" s="2" t="b">
        <v>0</v>
      </c>
      <c r="H2698" s="2" t="s">
        <v>308</v>
      </c>
      <c r="I2698" s="2" t="s">
        <v>22</v>
      </c>
      <c r="J2698" s="2" t="s">
        <v>59</v>
      </c>
      <c r="K2698" s="2" t="s">
        <v>24</v>
      </c>
      <c r="L2698" s="13" t="s">
        <v>51</v>
      </c>
      <c r="M2698" s="2" t="s">
        <v>26</v>
      </c>
      <c r="P2698" s="5" t="str">
        <f>IFERROR(__xludf.DUMMYFUNCTION("TEXTJOIN("" | "",TRUE,IF(OR(D2698="""",E2698="""",I2698="""",J2698="""",H2698=""""),""ফাঁকা ঘর"",""""),IF(AND(C2698&lt;&gt;"""",D2698&lt;&gt;"""",C2698=D2698),""gloss=figurative"",""""),IF(LEN(D2698)&lt;15,""figurative ছোট"",""""),IF(AND(I2698=""Positive"",REGEXMATCH(H2"&amp;"698,""মূর্খ|ভণ্ড|প্রতার|অলস|লোভ|স্বার্থ|অক্ষম|অযোগ্য|বোকা|কৃপণ|হিংস"")),""valence-target অমিল"",""""),IF(COUNTIF($B:$B,B2698)&gt;1,""ডুপ্লিকেট"",""""))"),"")</f>
        <v/>
      </c>
      <c r="Q2698" s="5" t="str">
        <f t="shared" si="1"/>
        <v>২ পরে</v>
      </c>
    </row>
    <row r="2699">
      <c r="A2699" s="4">
        <v>463.0</v>
      </c>
      <c r="B2699" s="2" t="s">
        <v>10610</v>
      </c>
      <c r="C2699" s="2" t="s">
        <v>10611</v>
      </c>
      <c r="D2699" s="2" t="s">
        <v>10612</v>
      </c>
      <c r="E2699" s="2" t="s">
        <v>10613</v>
      </c>
      <c r="F2699" s="2" t="b">
        <v>1</v>
      </c>
      <c r="G2699" s="2" t="b">
        <v>0</v>
      </c>
      <c r="H2699" s="2" t="s">
        <v>10290</v>
      </c>
      <c r="I2699" s="2" t="s">
        <v>32</v>
      </c>
      <c r="J2699" s="2" t="s">
        <v>142</v>
      </c>
      <c r="K2699" s="2" t="s">
        <v>24</v>
      </c>
      <c r="L2699" s="13" t="s">
        <v>51</v>
      </c>
      <c r="M2699" s="2" t="s">
        <v>26</v>
      </c>
      <c r="P2699" s="5" t="str">
        <f>IFERROR(__xludf.DUMMYFUNCTION("TEXTJOIN("" | "",TRUE,IF(OR(D2699="""",E2699="""",I2699="""",J2699="""",H2699=""""),""ফাঁকা ঘর"",""""),IF(AND(C2699&lt;&gt;"""",D2699&lt;&gt;"""",C2699=D2699),""gloss=figurative"",""""),IF(LEN(D2699)&lt;15,""figurative ছোট"",""""),IF(AND(I2699=""Positive"",REGEXMATCH(H2"&amp;"699,""মূর্খ|ভণ্ড|প্রতার|অলস|লোভ|স্বার্থ|অক্ষম|অযোগ্য|বোকা|কৃপণ|হিংস"")),""valence-target অমিল"",""""),IF(COUNTIF($B:$B,B2699)&gt;1,""ডুপ্লিকেট"",""""))"),"")</f>
        <v/>
      </c>
      <c r="Q2699" s="5" t="str">
        <f t="shared" si="1"/>
        <v>২ পরে</v>
      </c>
    </row>
    <row r="2700">
      <c r="A2700" s="4">
        <v>465.0</v>
      </c>
      <c r="B2700" s="2" t="s">
        <v>10614</v>
      </c>
      <c r="C2700" s="2" t="s">
        <v>10615</v>
      </c>
      <c r="D2700" s="2" t="s">
        <v>10616</v>
      </c>
      <c r="E2700" s="2" t="s">
        <v>10617</v>
      </c>
      <c r="F2700" s="2" t="b">
        <v>1</v>
      </c>
      <c r="G2700" s="2" t="b">
        <v>0</v>
      </c>
      <c r="H2700" s="2" t="s">
        <v>10618</v>
      </c>
      <c r="I2700" s="2" t="s">
        <v>32</v>
      </c>
      <c r="J2700" s="2" t="s">
        <v>8895</v>
      </c>
      <c r="K2700" s="2" t="s">
        <v>24</v>
      </c>
      <c r="L2700" s="13" t="s">
        <v>51</v>
      </c>
      <c r="M2700" s="2" t="s">
        <v>26</v>
      </c>
      <c r="P2700" s="5" t="str">
        <f>IFERROR(__xludf.DUMMYFUNCTION("TEXTJOIN("" | "",TRUE,IF(OR(D2700="""",E2700="""",I2700="""",J2700="""",H2700=""""),""ফাঁকা ঘর"",""""),IF(AND(C2700&lt;&gt;"""",D2700&lt;&gt;"""",C2700=D2700),""gloss=figurative"",""""),IF(LEN(D2700)&lt;15,""figurative ছোট"",""""),IF(AND(I2700=""Positive"",REGEXMATCH(H2"&amp;"700,""মূর্খ|ভণ্ড|প্রতার|অলস|লোভ|স্বার্থ|অক্ষম|অযোগ্য|বোকা|কৃপণ|হিংস"")),""valence-target অমিল"",""""),IF(COUNTIF($B:$B,B2700)&gt;1,""ডুপ্লিকেট"",""""))"),"")</f>
        <v/>
      </c>
      <c r="Q2700" s="5" t="str">
        <f t="shared" si="1"/>
        <v>২ পরে</v>
      </c>
    </row>
    <row r="2701">
      <c r="A2701" s="4">
        <v>466.0</v>
      </c>
      <c r="B2701" s="2" t="s">
        <v>10619</v>
      </c>
      <c r="C2701" s="2" t="s">
        <v>3809</v>
      </c>
      <c r="D2701" s="2" t="s">
        <v>10620</v>
      </c>
      <c r="E2701" s="2" t="s">
        <v>10621</v>
      </c>
      <c r="F2701" s="2" t="b">
        <v>1</v>
      </c>
      <c r="G2701" s="2" t="b">
        <v>0</v>
      </c>
      <c r="H2701" s="2" t="s">
        <v>37</v>
      </c>
      <c r="I2701" s="2" t="s">
        <v>49</v>
      </c>
      <c r="J2701" s="2" t="s">
        <v>3506</v>
      </c>
      <c r="K2701" s="2" t="s">
        <v>24</v>
      </c>
      <c r="L2701" s="13" t="s">
        <v>51</v>
      </c>
      <c r="M2701" s="2" t="s">
        <v>26</v>
      </c>
      <c r="P2701" s="5" t="str">
        <f>IFERROR(__xludf.DUMMYFUNCTION("TEXTJOIN("" | "",TRUE,IF(OR(D2701="""",E2701="""",I2701="""",J2701="""",H2701=""""),""ফাঁকা ঘর"",""""),IF(AND(C2701&lt;&gt;"""",D2701&lt;&gt;"""",C2701=D2701),""gloss=figurative"",""""),IF(LEN(D2701)&lt;15,""figurative ছোট"",""""),IF(AND(I2701=""Positive"",REGEXMATCH(H2"&amp;"701,""মূর্খ|ভণ্ড|প্রতার|অলস|লোভ|স্বার্থ|অক্ষম|অযোগ্য|বোকা|কৃপণ|হিংস"")),""valence-target অমিল"",""""),IF(COUNTIF($B:$B,B2701)&gt;1,""ডুপ্লিকেট"",""""))"),"")</f>
        <v/>
      </c>
      <c r="Q2701" s="5" t="str">
        <f t="shared" si="1"/>
        <v>২ পরে</v>
      </c>
    </row>
    <row r="2702">
      <c r="A2702" s="4">
        <v>467.0</v>
      </c>
      <c r="B2702" s="2" t="s">
        <v>10622</v>
      </c>
      <c r="C2702" s="2" t="s">
        <v>10623</v>
      </c>
      <c r="D2702" s="2" t="s">
        <v>10624</v>
      </c>
      <c r="E2702" s="2" t="s">
        <v>10625</v>
      </c>
      <c r="F2702" s="2" t="b">
        <v>1</v>
      </c>
      <c r="G2702" s="2" t="b">
        <v>0</v>
      </c>
      <c r="H2702" s="2" t="s">
        <v>224</v>
      </c>
      <c r="I2702" s="2" t="s">
        <v>22</v>
      </c>
      <c r="J2702" s="2" t="s">
        <v>225</v>
      </c>
      <c r="K2702" s="2" t="s">
        <v>24</v>
      </c>
      <c r="L2702" s="13" t="s">
        <v>51</v>
      </c>
      <c r="M2702" s="2" t="s">
        <v>26</v>
      </c>
      <c r="P2702" s="5" t="str">
        <f>IFERROR(__xludf.DUMMYFUNCTION("TEXTJOIN("" | "",TRUE,IF(OR(D2702="""",E2702="""",I2702="""",J2702="""",H2702=""""),""ফাঁকা ঘর"",""""),IF(AND(C2702&lt;&gt;"""",D2702&lt;&gt;"""",C2702=D2702),""gloss=figurative"",""""),IF(LEN(D2702)&lt;15,""figurative ছোট"",""""),IF(AND(I2702=""Positive"",REGEXMATCH(H2"&amp;"702,""মূর্খ|ভণ্ড|প্রতার|অলস|লোভ|স্বার্থ|অক্ষম|অযোগ্য|বোকা|কৃপণ|হিংস"")),""valence-target অমিল"",""""),IF(COUNTIF($B:$B,B2702)&gt;1,""ডুপ্লিকেট"",""""))"),"")</f>
        <v/>
      </c>
      <c r="Q2702" s="5" t="str">
        <f t="shared" si="1"/>
        <v>২ পরে</v>
      </c>
    </row>
    <row r="2703">
      <c r="A2703" s="4">
        <v>468.0</v>
      </c>
      <c r="B2703" s="2" t="s">
        <v>10626</v>
      </c>
      <c r="C2703" s="2" t="s">
        <v>10627</v>
      </c>
      <c r="D2703" s="2" t="s">
        <v>10628</v>
      </c>
      <c r="E2703" s="2" t="s">
        <v>10629</v>
      </c>
      <c r="F2703" s="2" t="b">
        <v>1</v>
      </c>
      <c r="G2703" s="2" t="b">
        <v>0</v>
      </c>
      <c r="H2703" s="2" t="s">
        <v>10630</v>
      </c>
      <c r="I2703" s="2" t="s">
        <v>32</v>
      </c>
      <c r="J2703" s="2" t="s">
        <v>1679</v>
      </c>
      <c r="K2703" s="2" t="s">
        <v>24</v>
      </c>
      <c r="L2703" s="13" t="s">
        <v>51</v>
      </c>
      <c r="M2703" s="2" t="s">
        <v>26</v>
      </c>
      <c r="P2703" s="5" t="str">
        <f>IFERROR(__xludf.DUMMYFUNCTION("TEXTJOIN("" | "",TRUE,IF(OR(D2703="""",E2703="""",I2703="""",J2703="""",H2703=""""),""ফাঁকা ঘর"",""""),IF(AND(C2703&lt;&gt;"""",D2703&lt;&gt;"""",C2703=D2703),""gloss=figurative"",""""),IF(LEN(D2703)&lt;15,""figurative ছোট"",""""),IF(AND(I2703=""Positive"",REGEXMATCH(H2"&amp;"703,""মূর্খ|ভণ্ড|প্রতার|অলস|লোভ|স্বার্থ|অক্ষম|অযোগ্য|বোকা|কৃপণ|হিংস"")),""valence-target অমিল"",""""),IF(COUNTIF($B:$B,B2703)&gt;1,""ডুপ্লিকেট"",""""))"),"")</f>
        <v/>
      </c>
      <c r="Q2703" s="5" t="str">
        <f t="shared" si="1"/>
        <v>২ পরে</v>
      </c>
    </row>
    <row r="2704">
      <c r="A2704" s="4">
        <v>469.0</v>
      </c>
      <c r="B2704" s="2" t="s">
        <v>10631</v>
      </c>
      <c r="C2704" s="2" t="s">
        <v>10199</v>
      </c>
      <c r="D2704" s="2" t="s">
        <v>10200</v>
      </c>
      <c r="E2704" s="2" t="s">
        <v>10632</v>
      </c>
      <c r="F2704" s="2" t="b">
        <v>1</v>
      </c>
      <c r="G2704" s="2" t="b">
        <v>0</v>
      </c>
      <c r="H2704" s="2" t="s">
        <v>37</v>
      </c>
      <c r="I2704" s="2" t="s">
        <v>32</v>
      </c>
      <c r="J2704" s="2" t="s">
        <v>9037</v>
      </c>
      <c r="K2704" s="2" t="s">
        <v>24</v>
      </c>
      <c r="L2704" s="13" t="s">
        <v>51</v>
      </c>
      <c r="M2704" s="2" t="s">
        <v>26</v>
      </c>
      <c r="P2704" s="5" t="str">
        <f>IFERROR(__xludf.DUMMYFUNCTION("TEXTJOIN("" | "",TRUE,IF(OR(D2704="""",E2704="""",I2704="""",J2704="""",H2704=""""),""ফাঁকা ঘর"",""""),IF(AND(C2704&lt;&gt;"""",D2704&lt;&gt;"""",C2704=D2704),""gloss=figurative"",""""),IF(LEN(D2704)&lt;15,""figurative ছোট"",""""),IF(AND(I2704=""Positive"",REGEXMATCH(H2"&amp;"704,""মূর্খ|ভণ্ড|প্রতার|অলস|লোভ|স্বার্থ|অক্ষম|অযোগ্য|বোকা|কৃপণ|হিংস"")),""valence-target অমিল"",""""),IF(COUNTIF($B:$B,B2704)&gt;1,""ডুপ্লিকেট"",""""))"),"")</f>
        <v/>
      </c>
      <c r="Q2704" s="5" t="str">
        <f t="shared" si="1"/>
        <v>২ পরে</v>
      </c>
    </row>
    <row r="2705">
      <c r="A2705" s="4">
        <v>470.0</v>
      </c>
      <c r="B2705" s="2" t="s">
        <v>10633</v>
      </c>
      <c r="C2705" s="2" t="s">
        <v>10634</v>
      </c>
      <c r="D2705" s="2" t="s">
        <v>10635</v>
      </c>
      <c r="E2705" s="2" t="s">
        <v>10636</v>
      </c>
      <c r="F2705" s="2" t="b">
        <v>1</v>
      </c>
      <c r="G2705" s="2" t="b">
        <v>0</v>
      </c>
      <c r="H2705" s="2" t="s">
        <v>10637</v>
      </c>
      <c r="I2705" s="2" t="s">
        <v>32</v>
      </c>
      <c r="J2705" s="2" t="s">
        <v>1621</v>
      </c>
      <c r="K2705" s="2" t="s">
        <v>24</v>
      </c>
      <c r="L2705" s="13" t="s">
        <v>51</v>
      </c>
      <c r="M2705" s="2" t="s">
        <v>26</v>
      </c>
      <c r="P2705" s="5" t="str">
        <f>IFERROR(__xludf.DUMMYFUNCTION("TEXTJOIN("" | "",TRUE,IF(OR(D2705="""",E2705="""",I2705="""",J2705="""",H2705=""""),""ফাঁকা ঘর"",""""),IF(AND(C2705&lt;&gt;"""",D2705&lt;&gt;"""",C2705=D2705),""gloss=figurative"",""""),IF(LEN(D2705)&lt;15,""figurative ছোট"",""""),IF(AND(I2705=""Positive"",REGEXMATCH(H2"&amp;"705,""মূর্খ|ভণ্ড|প্রতার|অলস|লোভ|স্বার্থ|অক্ষম|অযোগ্য|বোকা|কৃপণ|হিংস"")),""valence-target অমিল"",""""),IF(COUNTIF($B:$B,B2705)&gt;1,""ডুপ্লিকেট"",""""))"),"")</f>
        <v/>
      </c>
      <c r="Q2705" s="5" t="str">
        <f t="shared" si="1"/>
        <v>২ পরে</v>
      </c>
    </row>
    <row r="2706">
      <c r="A2706" s="4">
        <v>471.0</v>
      </c>
      <c r="B2706" s="2" t="s">
        <v>10638</v>
      </c>
      <c r="C2706" s="2" t="s">
        <v>10639</v>
      </c>
      <c r="D2706" s="2" t="s">
        <v>10640</v>
      </c>
      <c r="E2706" s="2" t="s">
        <v>10641</v>
      </c>
      <c r="F2706" s="2" t="b">
        <v>1</v>
      </c>
      <c r="G2706" s="2" t="b">
        <v>0</v>
      </c>
      <c r="H2706" s="2" t="s">
        <v>9486</v>
      </c>
      <c r="I2706" s="2" t="s">
        <v>49</v>
      </c>
      <c r="J2706" s="2" t="s">
        <v>190</v>
      </c>
      <c r="K2706" s="2" t="s">
        <v>24</v>
      </c>
      <c r="L2706" s="13" t="s">
        <v>51</v>
      </c>
      <c r="M2706" s="2" t="s">
        <v>26</v>
      </c>
      <c r="P2706" s="5" t="str">
        <f>IFERROR(__xludf.DUMMYFUNCTION("TEXTJOIN("" | "",TRUE,IF(OR(D2706="""",E2706="""",I2706="""",J2706="""",H2706=""""),""ফাঁকা ঘর"",""""),IF(AND(C2706&lt;&gt;"""",D2706&lt;&gt;"""",C2706=D2706),""gloss=figurative"",""""),IF(LEN(D2706)&lt;15,""figurative ছোট"",""""),IF(AND(I2706=""Positive"",REGEXMATCH(H2"&amp;"706,""মূর্খ|ভণ্ড|প্রতার|অলস|লোভ|স্বার্থ|অক্ষম|অযোগ্য|বোকা|কৃপণ|হিংস"")),""valence-target অমিল"",""""),IF(COUNTIF($B:$B,B2706)&gt;1,""ডুপ্লিকেট"",""""))"),"")</f>
        <v/>
      </c>
      <c r="Q2706" s="5" t="str">
        <f t="shared" si="1"/>
        <v>২ পরে</v>
      </c>
    </row>
    <row r="2707">
      <c r="A2707" s="4">
        <v>472.0</v>
      </c>
      <c r="B2707" s="2" t="s">
        <v>10642</v>
      </c>
      <c r="C2707" s="2" t="s">
        <v>10203</v>
      </c>
      <c r="D2707" s="2" t="s">
        <v>10204</v>
      </c>
      <c r="E2707" s="2" t="s">
        <v>10643</v>
      </c>
      <c r="F2707" s="2" t="b">
        <v>1</v>
      </c>
      <c r="G2707" s="2" t="b">
        <v>0</v>
      </c>
      <c r="H2707" s="2" t="s">
        <v>37</v>
      </c>
      <c r="I2707" s="2" t="s">
        <v>32</v>
      </c>
      <c r="J2707" s="2" t="s">
        <v>9183</v>
      </c>
      <c r="K2707" s="2" t="s">
        <v>24</v>
      </c>
      <c r="L2707" s="13" t="s">
        <v>51</v>
      </c>
      <c r="M2707" s="2" t="s">
        <v>26</v>
      </c>
      <c r="P2707" s="5" t="str">
        <f>IFERROR(__xludf.DUMMYFUNCTION("TEXTJOIN("" | "",TRUE,IF(OR(D2707="""",E2707="""",I2707="""",J2707="""",H2707=""""),""ফাঁকা ঘর"",""""),IF(AND(C2707&lt;&gt;"""",D2707&lt;&gt;"""",C2707=D2707),""gloss=figurative"",""""),IF(LEN(D2707)&lt;15,""figurative ছোট"",""""),IF(AND(I2707=""Positive"",REGEXMATCH(H2"&amp;"707,""মূর্খ|ভণ্ড|প্রতার|অলস|লোভ|স্বার্থ|অক্ষম|অযোগ্য|বোকা|কৃপণ|হিংস"")),""valence-target অমিল"",""""),IF(COUNTIF($B:$B,B2707)&gt;1,""ডুপ্লিকেট"",""""))"),"")</f>
        <v/>
      </c>
      <c r="Q2707" s="5" t="str">
        <f t="shared" si="1"/>
        <v>২ পরে</v>
      </c>
    </row>
    <row r="2708">
      <c r="A2708" s="4">
        <v>473.0</v>
      </c>
      <c r="B2708" s="2" t="s">
        <v>10644</v>
      </c>
      <c r="C2708" s="2" t="s">
        <v>10645</v>
      </c>
      <c r="D2708" s="2" t="s">
        <v>10200</v>
      </c>
      <c r="E2708" s="2" t="s">
        <v>10646</v>
      </c>
      <c r="F2708" s="2" t="b">
        <v>1</v>
      </c>
      <c r="G2708" s="2" t="b">
        <v>0</v>
      </c>
      <c r="H2708" s="2" t="s">
        <v>37</v>
      </c>
      <c r="I2708" s="2" t="s">
        <v>32</v>
      </c>
      <c r="J2708" s="2" t="s">
        <v>9037</v>
      </c>
      <c r="K2708" s="2" t="s">
        <v>24</v>
      </c>
      <c r="L2708" s="13" t="s">
        <v>51</v>
      </c>
      <c r="M2708" s="2" t="s">
        <v>26</v>
      </c>
      <c r="P2708" s="5" t="str">
        <f>IFERROR(__xludf.DUMMYFUNCTION("TEXTJOIN("" | "",TRUE,IF(OR(D2708="""",E2708="""",I2708="""",J2708="""",H2708=""""),""ফাঁকা ঘর"",""""),IF(AND(C2708&lt;&gt;"""",D2708&lt;&gt;"""",C2708=D2708),""gloss=figurative"",""""),IF(LEN(D2708)&lt;15,""figurative ছোট"",""""),IF(AND(I2708=""Positive"",REGEXMATCH(H2"&amp;"708,""মূর্খ|ভণ্ড|প্রতার|অলস|লোভ|স্বার্থ|অক্ষম|অযোগ্য|বোকা|কৃপণ|হিংস"")),""valence-target অমিল"",""""),IF(COUNTIF($B:$B,B2708)&gt;1,""ডুপ্লিকেট"",""""))"),"")</f>
        <v/>
      </c>
      <c r="Q2708" s="5" t="str">
        <f t="shared" si="1"/>
        <v>২ পরে</v>
      </c>
    </row>
    <row r="2709">
      <c r="A2709" s="4">
        <v>475.0</v>
      </c>
      <c r="B2709" s="2" t="s">
        <v>10647</v>
      </c>
      <c r="C2709" s="2" t="s">
        <v>10648</v>
      </c>
      <c r="D2709" s="2" t="s">
        <v>10649</v>
      </c>
      <c r="E2709" s="2" t="s">
        <v>10650</v>
      </c>
      <c r="F2709" s="2" t="b">
        <v>1</v>
      </c>
      <c r="G2709" s="2" t="b">
        <v>0</v>
      </c>
      <c r="H2709" s="2" t="s">
        <v>323</v>
      </c>
      <c r="I2709" s="2" t="s">
        <v>49</v>
      </c>
      <c r="J2709" s="2" t="s">
        <v>324</v>
      </c>
      <c r="K2709" s="2" t="s">
        <v>24</v>
      </c>
      <c r="L2709" s="13" t="s">
        <v>51</v>
      </c>
      <c r="M2709" s="2" t="s">
        <v>26</v>
      </c>
      <c r="P2709" s="5" t="str">
        <f>IFERROR(__xludf.DUMMYFUNCTION("TEXTJOIN("" | "",TRUE,IF(OR(D2709="""",E2709="""",I2709="""",J2709="""",H2709=""""),""ফাঁকা ঘর"",""""),IF(AND(C2709&lt;&gt;"""",D2709&lt;&gt;"""",C2709=D2709),""gloss=figurative"",""""),IF(LEN(D2709)&lt;15,""figurative ছোট"",""""),IF(AND(I2709=""Positive"",REGEXMATCH(H2"&amp;"709,""মূর্খ|ভণ্ড|প্রতার|অলস|লোভ|স্বার্থ|অক্ষম|অযোগ্য|বোকা|কৃপণ|হিংস"")),""valence-target অমিল"",""""),IF(COUNTIF($B:$B,B2709)&gt;1,""ডুপ্লিকেট"",""""))"),"")</f>
        <v/>
      </c>
      <c r="Q2709" s="5" t="str">
        <f t="shared" si="1"/>
        <v>২ পরে</v>
      </c>
    </row>
    <row r="2710">
      <c r="A2710" s="4">
        <v>476.0</v>
      </c>
      <c r="B2710" s="2" t="s">
        <v>10651</v>
      </c>
      <c r="C2710" s="2" t="s">
        <v>10652</v>
      </c>
      <c r="D2710" s="2" t="s">
        <v>10653</v>
      </c>
      <c r="E2710" s="2" t="s">
        <v>10654</v>
      </c>
      <c r="F2710" s="2" t="b">
        <v>1</v>
      </c>
      <c r="G2710" s="2" t="b">
        <v>0</v>
      </c>
      <c r="H2710" s="2" t="s">
        <v>37</v>
      </c>
      <c r="I2710" s="2" t="s">
        <v>32</v>
      </c>
      <c r="J2710" s="2" t="s">
        <v>9037</v>
      </c>
      <c r="K2710" s="2" t="s">
        <v>24</v>
      </c>
      <c r="L2710" s="13" t="s">
        <v>51</v>
      </c>
      <c r="M2710" s="2" t="s">
        <v>26</v>
      </c>
      <c r="P2710" s="5" t="str">
        <f>IFERROR(__xludf.DUMMYFUNCTION("TEXTJOIN("" | "",TRUE,IF(OR(D2710="""",E2710="""",I2710="""",J2710="""",H2710=""""),""ফাঁকা ঘর"",""""),IF(AND(C2710&lt;&gt;"""",D2710&lt;&gt;"""",C2710=D2710),""gloss=figurative"",""""),IF(LEN(D2710)&lt;15,""figurative ছোট"",""""),IF(AND(I2710=""Positive"",REGEXMATCH(H2"&amp;"710,""মূর্খ|ভণ্ড|প্রতার|অলস|লোভ|স্বার্থ|অক্ষম|অযোগ্য|বোকা|কৃপণ|হিংস"")),""valence-target অমিল"",""""),IF(COUNTIF($B:$B,B2710)&gt;1,""ডুপ্লিকেট"",""""))"),"")</f>
        <v/>
      </c>
      <c r="Q2710" s="5" t="str">
        <f t="shared" si="1"/>
        <v>২ পরে</v>
      </c>
    </row>
    <row r="2711">
      <c r="A2711" s="4">
        <v>477.0</v>
      </c>
      <c r="B2711" s="2" t="s">
        <v>10655</v>
      </c>
      <c r="C2711" s="2" t="s">
        <v>10656</v>
      </c>
      <c r="D2711" s="2" t="s">
        <v>10657</v>
      </c>
      <c r="E2711" s="2" t="s">
        <v>10658</v>
      </c>
      <c r="F2711" s="2" t="b">
        <v>1</v>
      </c>
      <c r="G2711" s="2" t="b">
        <v>0</v>
      </c>
      <c r="H2711" s="2" t="s">
        <v>5713</v>
      </c>
      <c r="I2711" s="2" t="s">
        <v>22</v>
      </c>
      <c r="J2711" s="2" t="s">
        <v>142</v>
      </c>
      <c r="K2711" s="2" t="s">
        <v>24</v>
      </c>
      <c r="L2711" s="13" t="s">
        <v>51</v>
      </c>
      <c r="M2711" s="2" t="s">
        <v>26</v>
      </c>
      <c r="P2711" s="5" t="str">
        <f>IFERROR(__xludf.DUMMYFUNCTION("TEXTJOIN("" | "",TRUE,IF(OR(D2711="""",E2711="""",I2711="""",J2711="""",H2711=""""),""ফাঁকা ঘর"",""""),IF(AND(C2711&lt;&gt;"""",D2711&lt;&gt;"""",C2711=D2711),""gloss=figurative"",""""),IF(LEN(D2711)&lt;15,""figurative ছোট"",""""),IF(AND(I2711=""Positive"",REGEXMATCH(H2"&amp;"711,""মূর্খ|ভণ্ড|প্রতার|অলস|লোভ|স্বার্থ|অক্ষম|অযোগ্য|বোকা|কৃপণ|হিংস"")),""valence-target অমিল"",""""),IF(COUNTIF($B:$B,B2711)&gt;1,""ডুপ্লিকেট"",""""))"),"")</f>
        <v/>
      </c>
      <c r="Q2711" s="5" t="str">
        <f t="shared" si="1"/>
        <v>২ পরে</v>
      </c>
    </row>
    <row r="2712">
      <c r="A2712" s="4">
        <v>478.0</v>
      </c>
      <c r="B2712" s="2" t="s">
        <v>10659</v>
      </c>
      <c r="C2712" s="2" t="s">
        <v>10660</v>
      </c>
      <c r="D2712" s="2" t="s">
        <v>10661</v>
      </c>
      <c r="E2712" s="2" t="s">
        <v>7363</v>
      </c>
      <c r="F2712" s="2" t="b">
        <v>1</v>
      </c>
      <c r="G2712" s="2" t="b">
        <v>0</v>
      </c>
      <c r="H2712" s="2" t="s">
        <v>37</v>
      </c>
      <c r="I2712" s="2" t="s">
        <v>32</v>
      </c>
      <c r="J2712" s="2" t="s">
        <v>646</v>
      </c>
      <c r="K2712" s="2" t="s">
        <v>24</v>
      </c>
      <c r="L2712" s="13" t="s">
        <v>51</v>
      </c>
      <c r="M2712" s="2" t="s">
        <v>26</v>
      </c>
      <c r="P2712" s="5" t="str">
        <f>IFERROR(__xludf.DUMMYFUNCTION("TEXTJOIN("" | "",TRUE,IF(OR(D2712="""",E2712="""",I2712="""",J2712="""",H2712=""""),""ফাঁকা ঘর"",""""),IF(AND(C2712&lt;&gt;"""",D2712&lt;&gt;"""",C2712=D2712),""gloss=figurative"",""""),IF(LEN(D2712)&lt;15,""figurative ছোট"",""""),IF(AND(I2712=""Positive"",REGEXMATCH(H2"&amp;"712,""মূর্খ|ভণ্ড|প্রতার|অলস|লোভ|স্বার্থ|অক্ষম|অযোগ্য|বোকা|কৃপণ|হিংস"")),""valence-target অমিল"",""""),IF(COUNTIF($B:$B,B2712)&gt;1,""ডুপ্লিকেট"",""""))"),"")</f>
        <v/>
      </c>
      <c r="Q2712" s="5" t="str">
        <f t="shared" si="1"/>
        <v>২ পরে</v>
      </c>
    </row>
    <row r="2713">
      <c r="A2713" s="4">
        <v>479.0</v>
      </c>
      <c r="B2713" s="2" t="s">
        <v>10662</v>
      </c>
      <c r="C2713" s="2" t="s">
        <v>10663</v>
      </c>
      <c r="D2713" s="2" t="s">
        <v>10664</v>
      </c>
      <c r="E2713" s="2" t="s">
        <v>10665</v>
      </c>
      <c r="F2713" s="2" t="b">
        <v>1</v>
      </c>
      <c r="G2713" s="2" t="b">
        <v>0</v>
      </c>
      <c r="H2713" s="2" t="s">
        <v>37</v>
      </c>
      <c r="I2713" s="2" t="s">
        <v>49</v>
      </c>
      <c r="J2713" s="2" t="s">
        <v>646</v>
      </c>
      <c r="K2713" s="2" t="s">
        <v>24</v>
      </c>
      <c r="L2713" s="13" t="s">
        <v>51</v>
      </c>
      <c r="M2713" s="2" t="s">
        <v>26</v>
      </c>
      <c r="P2713" s="5" t="str">
        <f>IFERROR(__xludf.DUMMYFUNCTION("TEXTJOIN("" | "",TRUE,IF(OR(D2713="""",E2713="""",I2713="""",J2713="""",H2713=""""),""ফাঁকা ঘর"",""""),IF(AND(C2713&lt;&gt;"""",D2713&lt;&gt;"""",C2713=D2713),""gloss=figurative"",""""),IF(LEN(D2713)&lt;15,""figurative ছোট"",""""),IF(AND(I2713=""Positive"",REGEXMATCH(H2"&amp;"713,""মূর্খ|ভণ্ড|প্রতার|অলস|লোভ|স্বার্থ|অক্ষম|অযোগ্য|বোকা|কৃপণ|হিংস"")),""valence-target অমিল"",""""),IF(COUNTIF($B:$B,B2713)&gt;1,""ডুপ্লিকেট"",""""))"),"")</f>
        <v/>
      </c>
      <c r="Q2713" s="5" t="str">
        <f t="shared" si="1"/>
        <v>২ পরে</v>
      </c>
    </row>
    <row r="2714">
      <c r="A2714" s="4">
        <v>480.0</v>
      </c>
      <c r="B2714" s="2" t="s">
        <v>10666</v>
      </c>
      <c r="C2714" s="2" t="s">
        <v>10667</v>
      </c>
      <c r="D2714" s="2" t="s">
        <v>10668</v>
      </c>
      <c r="E2714" s="2" t="s">
        <v>10669</v>
      </c>
      <c r="F2714" s="2" t="b">
        <v>1</v>
      </c>
      <c r="G2714" s="2" t="b">
        <v>0</v>
      </c>
      <c r="H2714" s="2" t="s">
        <v>37</v>
      </c>
      <c r="I2714" s="2" t="s">
        <v>49</v>
      </c>
      <c r="J2714" s="2" t="s">
        <v>646</v>
      </c>
      <c r="K2714" s="2" t="s">
        <v>24</v>
      </c>
      <c r="L2714" s="13" t="s">
        <v>51</v>
      </c>
      <c r="M2714" s="2" t="s">
        <v>26</v>
      </c>
      <c r="P2714" s="5" t="str">
        <f>IFERROR(__xludf.DUMMYFUNCTION("TEXTJOIN("" | "",TRUE,IF(OR(D2714="""",E2714="""",I2714="""",J2714="""",H2714=""""),""ফাঁকা ঘর"",""""),IF(AND(C2714&lt;&gt;"""",D2714&lt;&gt;"""",C2714=D2714),""gloss=figurative"",""""),IF(LEN(D2714)&lt;15,""figurative ছোট"",""""),IF(AND(I2714=""Positive"",REGEXMATCH(H2"&amp;"714,""মূর্খ|ভণ্ড|প্রতার|অলস|লোভ|স্বার্থ|অক্ষম|অযোগ্য|বোকা|কৃপণ|হিংস"")),""valence-target অমিল"",""""),IF(COUNTIF($B:$B,B2714)&gt;1,""ডুপ্লিকেট"",""""))"),"")</f>
        <v/>
      </c>
      <c r="Q2714" s="5" t="str">
        <f t="shared" si="1"/>
        <v>২ পরে</v>
      </c>
    </row>
    <row r="2715">
      <c r="A2715" s="4">
        <v>481.0</v>
      </c>
      <c r="B2715" s="2" t="s">
        <v>10670</v>
      </c>
      <c r="C2715" s="2" t="s">
        <v>10671</v>
      </c>
      <c r="D2715" s="2" t="s">
        <v>10041</v>
      </c>
      <c r="E2715" s="2" t="s">
        <v>10672</v>
      </c>
      <c r="F2715" s="2" t="b">
        <v>1</v>
      </c>
      <c r="G2715" s="2" t="b">
        <v>0</v>
      </c>
      <c r="H2715" s="2" t="s">
        <v>89</v>
      </c>
      <c r="I2715" s="2" t="s">
        <v>22</v>
      </c>
      <c r="J2715" s="2" t="s">
        <v>59</v>
      </c>
      <c r="K2715" s="2" t="s">
        <v>24</v>
      </c>
      <c r="L2715" s="13" t="s">
        <v>51</v>
      </c>
      <c r="M2715" s="2" t="s">
        <v>26</v>
      </c>
      <c r="P2715" s="5" t="str">
        <f>IFERROR(__xludf.DUMMYFUNCTION("TEXTJOIN("" | "",TRUE,IF(OR(D2715="""",E2715="""",I2715="""",J2715="""",H2715=""""),""ফাঁকা ঘর"",""""),IF(AND(C2715&lt;&gt;"""",D2715&lt;&gt;"""",C2715=D2715),""gloss=figurative"",""""),IF(LEN(D2715)&lt;15,""figurative ছোট"",""""),IF(AND(I2715=""Positive"",REGEXMATCH(H2"&amp;"715,""মূর্খ|ভণ্ড|প্রতার|অলস|লোভ|স্বার্থ|অক্ষম|অযোগ্য|বোকা|কৃপণ|হিংস"")),""valence-target অমিল"",""""),IF(COUNTIF($B:$B,B2715)&gt;1,""ডুপ্লিকেট"",""""))"),"")</f>
        <v/>
      </c>
      <c r="Q2715" s="5" t="str">
        <f t="shared" si="1"/>
        <v>২ পরে</v>
      </c>
    </row>
    <row r="2716">
      <c r="A2716" s="4">
        <v>482.0</v>
      </c>
      <c r="B2716" s="2" t="s">
        <v>10673</v>
      </c>
      <c r="C2716" s="2" t="s">
        <v>10674</v>
      </c>
      <c r="D2716" s="2" t="s">
        <v>10675</v>
      </c>
      <c r="E2716" s="2" t="s">
        <v>10676</v>
      </c>
      <c r="F2716" s="2" t="b">
        <v>1</v>
      </c>
      <c r="G2716" s="2" t="b">
        <v>0</v>
      </c>
      <c r="H2716" s="2" t="s">
        <v>9084</v>
      </c>
      <c r="I2716" s="2" t="s">
        <v>22</v>
      </c>
      <c r="J2716" s="2" t="s">
        <v>59</v>
      </c>
      <c r="K2716" s="2" t="s">
        <v>24</v>
      </c>
      <c r="L2716" s="13" t="s">
        <v>51</v>
      </c>
      <c r="M2716" s="2" t="s">
        <v>26</v>
      </c>
      <c r="P2716" s="5" t="str">
        <f>IFERROR(__xludf.DUMMYFUNCTION("TEXTJOIN("" | "",TRUE,IF(OR(D2716="""",E2716="""",I2716="""",J2716="""",H2716=""""),""ফাঁকা ঘর"",""""),IF(AND(C2716&lt;&gt;"""",D2716&lt;&gt;"""",C2716=D2716),""gloss=figurative"",""""),IF(LEN(D2716)&lt;15,""figurative ছোট"",""""),IF(AND(I2716=""Positive"",REGEXMATCH(H2"&amp;"716,""মূর্খ|ভণ্ড|প্রতার|অলস|লোভ|স্বার্থ|অক্ষম|অযোগ্য|বোকা|কৃপণ|হিংস"")),""valence-target অমিল"",""""),IF(COUNTIF($B:$B,B2716)&gt;1,""ডুপ্লিকেট"",""""))"),"")</f>
        <v/>
      </c>
      <c r="Q2716" s="5" t="str">
        <f t="shared" si="1"/>
        <v>২ পরে</v>
      </c>
    </row>
    <row r="2717">
      <c r="A2717" s="4">
        <v>484.0</v>
      </c>
      <c r="B2717" s="2" t="s">
        <v>10677</v>
      </c>
      <c r="C2717" s="2" t="s">
        <v>10678</v>
      </c>
      <c r="D2717" s="2" t="s">
        <v>10679</v>
      </c>
      <c r="E2717" s="2" t="s">
        <v>10680</v>
      </c>
      <c r="F2717" s="2" t="b">
        <v>1</v>
      </c>
      <c r="G2717" s="2" t="b">
        <v>0</v>
      </c>
      <c r="H2717" s="2" t="s">
        <v>10681</v>
      </c>
      <c r="I2717" s="2" t="s">
        <v>22</v>
      </c>
      <c r="J2717" s="2" t="s">
        <v>59</v>
      </c>
      <c r="K2717" s="2" t="s">
        <v>24</v>
      </c>
      <c r="L2717" s="13" t="s">
        <v>51</v>
      </c>
      <c r="M2717" s="2" t="s">
        <v>26</v>
      </c>
      <c r="P2717" s="5" t="str">
        <f>IFERROR(__xludf.DUMMYFUNCTION("TEXTJOIN("" | "",TRUE,IF(OR(D2717="""",E2717="""",I2717="""",J2717="""",H2717=""""),""ফাঁকা ঘর"",""""),IF(AND(C2717&lt;&gt;"""",D2717&lt;&gt;"""",C2717=D2717),""gloss=figurative"",""""),IF(LEN(D2717)&lt;15,""figurative ছোট"",""""),IF(AND(I2717=""Positive"",REGEXMATCH(H2"&amp;"717,""মূর্খ|ভণ্ড|প্রতার|অলস|লোভ|স্বার্থ|অক্ষম|অযোগ্য|বোকা|কৃপণ|হিংস"")),""valence-target অমিল"",""""),IF(COUNTIF($B:$B,B2717)&gt;1,""ডুপ্লিকেট"",""""))"),"")</f>
        <v/>
      </c>
      <c r="Q2717" s="5" t="str">
        <f t="shared" si="1"/>
        <v>২ পরে</v>
      </c>
    </row>
    <row r="2718">
      <c r="A2718" s="4">
        <v>485.0</v>
      </c>
      <c r="B2718" s="2" t="s">
        <v>10682</v>
      </c>
      <c r="C2718" s="2" t="s">
        <v>10683</v>
      </c>
      <c r="D2718" s="2" t="s">
        <v>10684</v>
      </c>
      <c r="E2718" s="2" t="s">
        <v>10685</v>
      </c>
      <c r="F2718" s="2" t="b">
        <v>1</v>
      </c>
      <c r="G2718" s="2" t="b">
        <v>0</v>
      </c>
      <c r="H2718" s="2" t="s">
        <v>10686</v>
      </c>
      <c r="I2718" s="2" t="s">
        <v>32</v>
      </c>
      <c r="J2718" s="2" t="s">
        <v>59</v>
      </c>
      <c r="K2718" s="2" t="s">
        <v>24</v>
      </c>
      <c r="L2718" s="13" t="s">
        <v>51</v>
      </c>
      <c r="M2718" s="2" t="s">
        <v>26</v>
      </c>
      <c r="P2718" s="5" t="str">
        <f>IFERROR(__xludf.DUMMYFUNCTION("TEXTJOIN("" | "",TRUE,IF(OR(D2718="""",E2718="""",I2718="""",J2718="""",H2718=""""),""ফাঁকা ঘর"",""""),IF(AND(C2718&lt;&gt;"""",D2718&lt;&gt;"""",C2718=D2718),""gloss=figurative"",""""),IF(LEN(D2718)&lt;15,""figurative ছোট"",""""),IF(AND(I2718=""Positive"",REGEXMATCH(H2"&amp;"718,""মূর্খ|ভণ্ড|প্রতার|অলস|লোভ|স্বার্থ|অক্ষম|অযোগ্য|বোকা|কৃপণ|হিংস"")),""valence-target অমিল"",""""),IF(COUNTIF($B:$B,B2718)&gt;1,""ডুপ্লিকেট"",""""))"),"")</f>
        <v/>
      </c>
      <c r="Q2718" s="5" t="str">
        <f t="shared" si="1"/>
        <v>২ পরে</v>
      </c>
    </row>
    <row r="2719">
      <c r="A2719" s="4">
        <v>487.0</v>
      </c>
      <c r="B2719" s="2" t="s">
        <v>10687</v>
      </c>
      <c r="C2719" s="2" t="s">
        <v>10688</v>
      </c>
      <c r="D2719" s="2" t="s">
        <v>10689</v>
      </c>
      <c r="E2719" s="2" t="s">
        <v>10690</v>
      </c>
      <c r="F2719" s="2" t="b">
        <v>1</v>
      </c>
      <c r="G2719" s="2" t="b">
        <v>0</v>
      </c>
      <c r="H2719" s="2" t="s">
        <v>9296</v>
      </c>
      <c r="I2719" s="2" t="s">
        <v>22</v>
      </c>
      <c r="J2719" s="2" t="s">
        <v>59</v>
      </c>
      <c r="K2719" s="2" t="s">
        <v>24</v>
      </c>
      <c r="L2719" s="13" t="s">
        <v>51</v>
      </c>
      <c r="M2719" s="2" t="s">
        <v>26</v>
      </c>
      <c r="P2719" s="5" t="str">
        <f>IFERROR(__xludf.DUMMYFUNCTION("TEXTJOIN("" | "",TRUE,IF(OR(D2719="""",E2719="""",I2719="""",J2719="""",H2719=""""),""ফাঁকা ঘর"",""""),IF(AND(C2719&lt;&gt;"""",D2719&lt;&gt;"""",C2719=D2719),""gloss=figurative"",""""),IF(LEN(D2719)&lt;15,""figurative ছোট"",""""),IF(AND(I2719=""Positive"",REGEXMATCH(H2"&amp;"719,""মূর্খ|ভণ্ড|প্রতার|অলস|লোভ|স্বার্থ|অক্ষম|অযোগ্য|বোকা|কৃপণ|হিংস"")),""valence-target অমিল"",""""),IF(COUNTIF($B:$B,B2719)&gt;1,""ডুপ্লিকেট"",""""))"),"")</f>
        <v/>
      </c>
      <c r="Q2719" s="5" t="str">
        <f t="shared" si="1"/>
        <v>২ পরে</v>
      </c>
    </row>
    <row r="2720">
      <c r="A2720" s="4">
        <v>489.0</v>
      </c>
      <c r="B2720" s="2" t="s">
        <v>10691</v>
      </c>
      <c r="C2720" s="2" t="s">
        <v>10692</v>
      </c>
      <c r="D2720" s="2" t="s">
        <v>10693</v>
      </c>
      <c r="E2720" s="2" t="s">
        <v>10694</v>
      </c>
      <c r="F2720" s="2" t="b">
        <v>1</v>
      </c>
      <c r="G2720" s="2" t="b">
        <v>0</v>
      </c>
      <c r="H2720" s="2" t="s">
        <v>10695</v>
      </c>
      <c r="I2720" s="2" t="s">
        <v>22</v>
      </c>
      <c r="J2720" s="2" t="s">
        <v>59</v>
      </c>
      <c r="K2720" s="2" t="s">
        <v>24</v>
      </c>
      <c r="L2720" s="13" t="s">
        <v>51</v>
      </c>
      <c r="M2720" s="2" t="s">
        <v>26</v>
      </c>
      <c r="P2720" s="5" t="str">
        <f>IFERROR(__xludf.DUMMYFUNCTION("TEXTJOIN("" | "",TRUE,IF(OR(D2720="""",E2720="""",I2720="""",J2720="""",H2720=""""),""ফাঁকা ঘর"",""""),IF(AND(C2720&lt;&gt;"""",D2720&lt;&gt;"""",C2720=D2720),""gloss=figurative"",""""),IF(LEN(D2720)&lt;15,""figurative ছোট"",""""),IF(AND(I2720=""Positive"",REGEXMATCH(H2"&amp;"720,""মূর্খ|ভণ্ড|প্রতার|অলস|লোভ|স্বার্থ|অক্ষম|অযোগ্য|বোকা|কৃপণ|হিংস"")),""valence-target অমিল"",""""),IF(COUNTIF($B:$B,B2720)&gt;1,""ডুপ্লিকেট"",""""))"),"")</f>
        <v/>
      </c>
      <c r="Q2720" s="5" t="str">
        <f t="shared" si="1"/>
        <v>২ পরে</v>
      </c>
    </row>
    <row r="2721">
      <c r="A2721" s="4">
        <v>491.0</v>
      </c>
      <c r="B2721" s="2" t="s">
        <v>10696</v>
      </c>
      <c r="C2721" s="2" t="s">
        <v>10697</v>
      </c>
      <c r="D2721" s="2" t="s">
        <v>10698</v>
      </c>
      <c r="E2721" s="2" t="s">
        <v>10699</v>
      </c>
      <c r="F2721" s="2" t="b">
        <v>1</v>
      </c>
      <c r="G2721" s="2" t="b">
        <v>0</v>
      </c>
      <c r="H2721" s="2" t="s">
        <v>10700</v>
      </c>
      <c r="I2721" s="2" t="s">
        <v>32</v>
      </c>
      <c r="J2721" s="2" t="s">
        <v>59</v>
      </c>
      <c r="K2721" s="2" t="s">
        <v>24</v>
      </c>
      <c r="L2721" s="13" t="s">
        <v>51</v>
      </c>
      <c r="M2721" s="2" t="s">
        <v>26</v>
      </c>
      <c r="P2721" s="5" t="str">
        <f>IFERROR(__xludf.DUMMYFUNCTION("TEXTJOIN("" | "",TRUE,IF(OR(D2721="""",E2721="""",I2721="""",J2721="""",H2721=""""),""ফাঁকা ঘর"",""""),IF(AND(C2721&lt;&gt;"""",D2721&lt;&gt;"""",C2721=D2721),""gloss=figurative"",""""),IF(LEN(D2721)&lt;15,""figurative ছোট"",""""),IF(AND(I2721=""Positive"",REGEXMATCH(H2"&amp;"721,""মূর্খ|ভণ্ড|প্রতার|অলস|লোভ|স্বার্থ|অক্ষম|অযোগ্য|বোকা|কৃপণ|হিংস"")),""valence-target অমিল"",""""),IF(COUNTIF($B:$B,B2721)&gt;1,""ডুপ্লিকেট"",""""))"),"")</f>
        <v/>
      </c>
      <c r="Q2721" s="5" t="str">
        <f t="shared" si="1"/>
        <v>২ পরে</v>
      </c>
    </row>
    <row r="2722">
      <c r="A2722" s="4">
        <v>492.0</v>
      </c>
      <c r="B2722" s="2" t="s">
        <v>10701</v>
      </c>
      <c r="C2722" s="2" t="s">
        <v>10702</v>
      </c>
      <c r="D2722" s="2" t="s">
        <v>10703</v>
      </c>
      <c r="E2722" s="2" t="s">
        <v>10704</v>
      </c>
      <c r="F2722" s="2" t="b">
        <v>1</v>
      </c>
      <c r="G2722" s="2" t="b">
        <v>0</v>
      </c>
      <c r="H2722" s="2" t="s">
        <v>10705</v>
      </c>
      <c r="I2722" s="2" t="s">
        <v>32</v>
      </c>
      <c r="J2722" s="2" t="s">
        <v>9743</v>
      </c>
      <c r="K2722" s="2" t="s">
        <v>24</v>
      </c>
      <c r="L2722" s="13" t="s">
        <v>51</v>
      </c>
      <c r="M2722" s="2" t="s">
        <v>26</v>
      </c>
      <c r="P2722" s="5" t="str">
        <f>IFERROR(__xludf.DUMMYFUNCTION("TEXTJOIN("" | "",TRUE,IF(OR(D2722="""",E2722="""",I2722="""",J2722="""",H2722=""""),""ফাঁকা ঘর"",""""),IF(AND(C2722&lt;&gt;"""",D2722&lt;&gt;"""",C2722=D2722),""gloss=figurative"",""""),IF(LEN(D2722)&lt;15,""figurative ছোট"",""""),IF(AND(I2722=""Positive"",REGEXMATCH(H2"&amp;"722,""মূর্খ|ভণ্ড|প্রতার|অলস|লোভ|স্বার্থ|অক্ষম|অযোগ্য|বোকা|কৃপণ|হিংস"")),""valence-target অমিল"",""""),IF(COUNTIF($B:$B,B2722)&gt;1,""ডুপ্লিকেট"",""""))"),"")</f>
        <v/>
      </c>
      <c r="Q2722" s="5" t="str">
        <f t="shared" si="1"/>
        <v>২ পরে</v>
      </c>
    </row>
    <row r="2723">
      <c r="A2723" s="4">
        <v>493.0</v>
      </c>
      <c r="B2723" s="2" t="s">
        <v>10706</v>
      </c>
      <c r="C2723" s="2" t="s">
        <v>10707</v>
      </c>
      <c r="D2723" s="2" t="s">
        <v>10708</v>
      </c>
      <c r="E2723" s="2" t="s">
        <v>10709</v>
      </c>
      <c r="F2723" s="2" t="b">
        <v>1</v>
      </c>
      <c r="G2723" s="2" t="b">
        <v>0</v>
      </c>
      <c r="H2723" s="2" t="s">
        <v>10710</v>
      </c>
      <c r="I2723" s="2" t="s">
        <v>22</v>
      </c>
      <c r="J2723" s="2" t="s">
        <v>8895</v>
      </c>
      <c r="K2723" s="2" t="s">
        <v>24</v>
      </c>
      <c r="L2723" s="13" t="s">
        <v>51</v>
      </c>
      <c r="M2723" s="2" t="s">
        <v>26</v>
      </c>
      <c r="P2723" s="5" t="str">
        <f>IFERROR(__xludf.DUMMYFUNCTION("TEXTJOIN("" | "",TRUE,IF(OR(D2723="""",E2723="""",I2723="""",J2723="""",H2723=""""),""ফাঁকা ঘর"",""""),IF(AND(C2723&lt;&gt;"""",D2723&lt;&gt;"""",C2723=D2723),""gloss=figurative"",""""),IF(LEN(D2723)&lt;15,""figurative ছোট"",""""),IF(AND(I2723=""Positive"",REGEXMATCH(H2"&amp;"723,""মূর্খ|ভণ্ড|প্রতার|অলস|লোভ|স্বার্থ|অক্ষম|অযোগ্য|বোকা|কৃপণ|হিংস"")),""valence-target অমিল"",""""),IF(COUNTIF($B:$B,B2723)&gt;1,""ডুপ্লিকেট"",""""))"),"")</f>
        <v/>
      </c>
      <c r="Q2723" s="5" t="str">
        <f t="shared" si="1"/>
        <v>২ পরে</v>
      </c>
    </row>
    <row r="2724">
      <c r="A2724" s="4">
        <v>496.0</v>
      </c>
      <c r="B2724" s="2" t="s">
        <v>10711</v>
      </c>
      <c r="C2724" s="2" t="s">
        <v>10712</v>
      </c>
      <c r="D2724" s="2" t="s">
        <v>10713</v>
      </c>
      <c r="E2724" s="2" t="s">
        <v>10714</v>
      </c>
      <c r="F2724" s="2" t="b">
        <v>1</v>
      </c>
      <c r="G2724" s="2" t="b">
        <v>0</v>
      </c>
      <c r="H2724" s="2" t="s">
        <v>10715</v>
      </c>
      <c r="I2724" s="2" t="s">
        <v>22</v>
      </c>
      <c r="J2724" s="2" t="s">
        <v>59</v>
      </c>
      <c r="K2724" s="2" t="s">
        <v>24</v>
      </c>
      <c r="L2724" s="13" t="s">
        <v>51</v>
      </c>
      <c r="M2724" s="2" t="s">
        <v>26</v>
      </c>
      <c r="P2724" s="5" t="str">
        <f>IFERROR(__xludf.DUMMYFUNCTION("TEXTJOIN("" | "",TRUE,IF(OR(D2724="""",E2724="""",I2724="""",J2724="""",H2724=""""),""ফাঁকা ঘর"",""""),IF(AND(C2724&lt;&gt;"""",D2724&lt;&gt;"""",C2724=D2724),""gloss=figurative"",""""),IF(LEN(D2724)&lt;15,""figurative ছোট"",""""),IF(AND(I2724=""Positive"",REGEXMATCH(H2"&amp;"724,""মূর্খ|ভণ্ড|প্রতার|অলস|লোভ|স্বার্থ|অক্ষম|অযোগ্য|বোকা|কৃপণ|হিংস"")),""valence-target অমিল"",""""),IF(COUNTIF($B:$B,B2724)&gt;1,""ডুপ্লিকেট"",""""))"),"")</f>
        <v/>
      </c>
      <c r="Q2724" s="5" t="str">
        <f t="shared" si="1"/>
        <v>২ পরে</v>
      </c>
    </row>
    <row r="2725">
      <c r="A2725" s="4">
        <v>497.0</v>
      </c>
      <c r="B2725" s="2" t="s">
        <v>10716</v>
      </c>
      <c r="C2725" s="2" t="s">
        <v>10717</v>
      </c>
      <c r="D2725" s="2" t="s">
        <v>10718</v>
      </c>
      <c r="E2725" s="2" t="s">
        <v>10719</v>
      </c>
      <c r="F2725" s="2" t="b">
        <v>1</v>
      </c>
      <c r="G2725" s="2" t="b">
        <v>0</v>
      </c>
      <c r="H2725" s="2" t="s">
        <v>10637</v>
      </c>
      <c r="I2725" s="2" t="s">
        <v>22</v>
      </c>
      <c r="J2725" s="2" t="s">
        <v>1621</v>
      </c>
      <c r="K2725" s="2" t="s">
        <v>24</v>
      </c>
      <c r="L2725" s="13" t="s">
        <v>51</v>
      </c>
      <c r="M2725" s="2" t="s">
        <v>26</v>
      </c>
      <c r="P2725" s="5" t="str">
        <f>IFERROR(__xludf.DUMMYFUNCTION("TEXTJOIN("" | "",TRUE,IF(OR(D2725="""",E2725="""",I2725="""",J2725="""",H2725=""""),""ফাঁকা ঘর"",""""),IF(AND(C2725&lt;&gt;"""",D2725&lt;&gt;"""",C2725=D2725),""gloss=figurative"",""""),IF(LEN(D2725)&lt;15,""figurative ছোট"",""""),IF(AND(I2725=""Positive"",REGEXMATCH(H2"&amp;"725,""মূর্খ|ভণ্ড|প্রতার|অলস|লোভ|স্বার্থ|অক্ষম|অযোগ্য|বোকা|কৃপণ|হিংস"")),""valence-target অমিল"",""""),IF(COUNTIF($B:$B,B2725)&gt;1,""ডুপ্লিকেট"",""""))"),"")</f>
        <v/>
      </c>
      <c r="Q2725" s="5" t="str">
        <f t="shared" si="1"/>
        <v>২ পরে</v>
      </c>
    </row>
    <row r="2726">
      <c r="A2726" s="4">
        <v>499.0</v>
      </c>
      <c r="B2726" s="2" t="s">
        <v>10720</v>
      </c>
      <c r="C2726" s="2" t="s">
        <v>10721</v>
      </c>
      <c r="D2726" s="2" t="s">
        <v>10722</v>
      </c>
      <c r="E2726" s="2" t="s">
        <v>10723</v>
      </c>
      <c r="F2726" s="2" t="b">
        <v>1</v>
      </c>
      <c r="G2726" s="2" t="b">
        <v>1</v>
      </c>
      <c r="H2726" s="2" t="s">
        <v>2482</v>
      </c>
      <c r="I2726" s="2" t="s">
        <v>32</v>
      </c>
      <c r="J2726" s="2" t="s">
        <v>9389</v>
      </c>
      <c r="K2726" s="2" t="s">
        <v>24</v>
      </c>
      <c r="L2726" s="13" t="s">
        <v>51</v>
      </c>
      <c r="M2726" s="2" t="s">
        <v>26</v>
      </c>
      <c r="P2726" s="5" t="str">
        <f>IFERROR(__xludf.DUMMYFUNCTION("TEXTJOIN("" | "",TRUE,IF(OR(D2726="""",E2726="""",I2726="""",J2726="""",H2726=""""),""ফাঁকা ঘর"",""""),IF(AND(C2726&lt;&gt;"""",D2726&lt;&gt;"""",C2726=D2726),""gloss=figurative"",""""),IF(LEN(D2726)&lt;15,""figurative ছোট"",""""),IF(AND(I2726=""Positive"",REGEXMATCH(H2"&amp;"726,""মূর্খ|ভণ্ড|প্রতার|অলস|লোভ|স্বার্থ|অক্ষম|অযোগ্য|বোকা|কৃপণ|হিংস"")),""valence-target অমিল"",""""),IF(COUNTIF($B:$B,B2726)&gt;1,""ডুপ্লিকেট"",""""))"),"")</f>
        <v/>
      </c>
      <c r="Q2726" s="5" t="str">
        <f t="shared" si="1"/>
        <v>২ পরে</v>
      </c>
    </row>
    <row r="2727">
      <c r="A2727" s="4">
        <v>500.0</v>
      </c>
      <c r="B2727" s="2" t="s">
        <v>10724</v>
      </c>
      <c r="C2727" s="2" t="s">
        <v>10725</v>
      </c>
      <c r="D2727" s="2" t="s">
        <v>10726</v>
      </c>
      <c r="E2727" s="2" t="s">
        <v>10727</v>
      </c>
      <c r="F2727" s="2" t="b">
        <v>1</v>
      </c>
      <c r="G2727" s="2" t="b">
        <v>0</v>
      </c>
      <c r="H2727" s="2" t="s">
        <v>9296</v>
      </c>
      <c r="I2727" s="2" t="s">
        <v>22</v>
      </c>
      <c r="J2727" s="2" t="s">
        <v>59</v>
      </c>
      <c r="K2727" s="2" t="s">
        <v>24</v>
      </c>
      <c r="L2727" s="13" t="s">
        <v>51</v>
      </c>
      <c r="M2727" s="2" t="s">
        <v>26</v>
      </c>
      <c r="P2727" s="5" t="str">
        <f>IFERROR(__xludf.DUMMYFUNCTION("TEXTJOIN("" | "",TRUE,IF(OR(D2727="""",E2727="""",I2727="""",J2727="""",H2727=""""),""ফাঁকা ঘর"",""""),IF(AND(C2727&lt;&gt;"""",D2727&lt;&gt;"""",C2727=D2727),""gloss=figurative"",""""),IF(LEN(D2727)&lt;15,""figurative ছোট"",""""),IF(AND(I2727=""Positive"",REGEXMATCH(H2"&amp;"727,""মূর্খ|ভণ্ড|প্রতার|অলস|লোভ|স্বার্থ|অক্ষম|অযোগ্য|বোকা|কৃপণ|হিংস"")),""valence-target অমিল"",""""),IF(COUNTIF($B:$B,B2727)&gt;1,""ডুপ্লিকেট"",""""))"),"")</f>
        <v/>
      </c>
      <c r="Q2727" s="5" t="str">
        <f t="shared" si="1"/>
        <v>২ পরে</v>
      </c>
    </row>
    <row r="2728">
      <c r="A2728" s="4">
        <v>501.0</v>
      </c>
      <c r="B2728" s="2" t="s">
        <v>10728</v>
      </c>
      <c r="C2728" s="2" t="s">
        <v>10729</v>
      </c>
      <c r="D2728" s="2" t="s">
        <v>10730</v>
      </c>
      <c r="E2728" s="2" t="s">
        <v>10731</v>
      </c>
      <c r="F2728" s="2" t="b">
        <v>1</v>
      </c>
      <c r="G2728" s="2" t="b">
        <v>0</v>
      </c>
      <c r="H2728" s="2" t="s">
        <v>9797</v>
      </c>
      <c r="I2728" s="2" t="s">
        <v>22</v>
      </c>
      <c r="J2728" s="2" t="s">
        <v>59</v>
      </c>
      <c r="K2728" s="2" t="s">
        <v>24</v>
      </c>
      <c r="L2728" s="13" t="s">
        <v>51</v>
      </c>
      <c r="M2728" s="2" t="s">
        <v>26</v>
      </c>
      <c r="P2728" s="5" t="str">
        <f>IFERROR(__xludf.DUMMYFUNCTION("TEXTJOIN("" | "",TRUE,IF(OR(D2728="""",E2728="""",I2728="""",J2728="""",H2728=""""),""ফাঁকা ঘর"",""""),IF(AND(C2728&lt;&gt;"""",D2728&lt;&gt;"""",C2728=D2728),""gloss=figurative"",""""),IF(LEN(D2728)&lt;15,""figurative ছোট"",""""),IF(AND(I2728=""Positive"",REGEXMATCH(H2"&amp;"728,""মূর্খ|ভণ্ড|প্রতার|অলস|লোভ|স্বার্থ|অক্ষম|অযোগ্য|বোকা|কৃপণ|হিংস"")),""valence-target অমিল"",""""),IF(COUNTIF($B:$B,B2728)&gt;1,""ডুপ্লিকেট"",""""))"),"")</f>
        <v/>
      </c>
      <c r="Q2728" s="5" t="str">
        <f t="shared" si="1"/>
        <v>২ পরে</v>
      </c>
    </row>
    <row r="2729">
      <c r="A2729" s="4">
        <v>502.0</v>
      </c>
      <c r="B2729" s="2" t="s">
        <v>10732</v>
      </c>
      <c r="C2729" s="2" t="s">
        <v>10733</v>
      </c>
      <c r="D2729" s="2" t="s">
        <v>10734</v>
      </c>
      <c r="E2729" s="2" t="s">
        <v>10735</v>
      </c>
      <c r="F2729" s="2" t="b">
        <v>1</v>
      </c>
      <c r="G2729" s="2" t="b">
        <v>0</v>
      </c>
      <c r="H2729" s="2" t="s">
        <v>8963</v>
      </c>
      <c r="I2729" s="2" t="s">
        <v>22</v>
      </c>
      <c r="J2729" s="2" t="s">
        <v>59</v>
      </c>
      <c r="K2729" s="2" t="s">
        <v>24</v>
      </c>
      <c r="L2729" s="13" t="s">
        <v>51</v>
      </c>
      <c r="M2729" s="2" t="s">
        <v>26</v>
      </c>
      <c r="P2729" s="5" t="str">
        <f>IFERROR(__xludf.DUMMYFUNCTION("TEXTJOIN("" | "",TRUE,IF(OR(D2729="""",E2729="""",I2729="""",J2729="""",H2729=""""),""ফাঁকা ঘর"",""""),IF(AND(C2729&lt;&gt;"""",D2729&lt;&gt;"""",C2729=D2729),""gloss=figurative"",""""),IF(LEN(D2729)&lt;15,""figurative ছোট"",""""),IF(AND(I2729=""Positive"",REGEXMATCH(H2"&amp;"729,""মূর্খ|ভণ্ড|প্রতার|অলস|লোভ|স্বার্থ|অক্ষম|অযোগ্য|বোকা|কৃপণ|হিংস"")),""valence-target অমিল"",""""),IF(COUNTIF($B:$B,B2729)&gt;1,""ডুপ্লিকেট"",""""))"),"")</f>
        <v/>
      </c>
      <c r="Q2729" s="5" t="str">
        <f t="shared" si="1"/>
        <v>২ পরে</v>
      </c>
    </row>
    <row r="2730">
      <c r="A2730" s="4">
        <v>503.0</v>
      </c>
      <c r="B2730" s="2" t="s">
        <v>10736</v>
      </c>
      <c r="C2730" s="2" t="s">
        <v>10737</v>
      </c>
      <c r="D2730" s="2" t="s">
        <v>10738</v>
      </c>
      <c r="E2730" s="2" t="s">
        <v>10739</v>
      </c>
      <c r="F2730" s="2" t="b">
        <v>1</v>
      </c>
      <c r="G2730" s="2" t="b">
        <v>0</v>
      </c>
      <c r="H2730" s="2" t="s">
        <v>308</v>
      </c>
      <c r="I2730" s="2" t="s">
        <v>22</v>
      </c>
      <c r="J2730" s="2" t="s">
        <v>59</v>
      </c>
      <c r="K2730" s="2" t="s">
        <v>24</v>
      </c>
      <c r="L2730" s="13" t="s">
        <v>51</v>
      </c>
      <c r="M2730" s="2" t="s">
        <v>26</v>
      </c>
      <c r="P2730" s="5" t="str">
        <f>IFERROR(__xludf.DUMMYFUNCTION("TEXTJOIN("" | "",TRUE,IF(OR(D2730="""",E2730="""",I2730="""",J2730="""",H2730=""""),""ফাঁকা ঘর"",""""),IF(AND(C2730&lt;&gt;"""",D2730&lt;&gt;"""",C2730=D2730),""gloss=figurative"",""""),IF(LEN(D2730)&lt;15,""figurative ছোট"",""""),IF(AND(I2730=""Positive"",REGEXMATCH(H2"&amp;"730,""মূর্খ|ভণ্ড|প্রতার|অলস|লোভ|স্বার্থ|অক্ষম|অযোগ্য|বোকা|কৃপণ|হিংস"")),""valence-target অমিল"",""""),IF(COUNTIF($B:$B,B2730)&gt;1,""ডুপ্লিকেট"",""""))"),"")</f>
        <v/>
      </c>
      <c r="Q2730" s="5" t="str">
        <f t="shared" si="1"/>
        <v>২ পরে</v>
      </c>
    </row>
    <row r="2731">
      <c r="A2731" s="4">
        <v>505.0</v>
      </c>
      <c r="B2731" s="2" t="s">
        <v>10740</v>
      </c>
      <c r="C2731" s="2" t="s">
        <v>3353</v>
      </c>
      <c r="D2731" s="2" t="s">
        <v>10741</v>
      </c>
      <c r="E2731" s="2" t="s">
        <v>10742</v>
      </c>
      <c r="F2731" s="2" t="b">
        <v>1</v>
      </c>
      <c r="G2731" s="2" t="b">
        <v>0</v>
      </c>
      <c r="H2731" s="2" t="s">
        <v>308</v>
      </c>
      <c r="I2731" s="2" t="s">
        <v>22</v>
      </c>
      <c r="J2731" s="2" t="s">
        <v>59</v>
      </c>
      <c r="K2731" s="2" t="s">
        <v>24</v>
      </c>
      <c r="L2731" s="13" t="s">
        <v>51</v>
      </c>
      <c r="M2731" s="2" t="s">
        <v>26</v>
      </c>
      <c r="P2731" s="5" t="str">
        <f>IFERROR(__xludf.DUMMYFUNCTION("TEXTJOIN("" | "",TRUE,IF(OR(D2731="""",E2731="""",I2731="""",J2731="""",H2731=""""),""ফাঁকা ঘর"",""""),IF(AND(C2731&lt;&gt;"""",D2731&lt;&gt;"""",C2731=D2731),""gloss=figurative"",""""),IF(LEN(D2731)&lt;15,""figurative ছোট"",""""),IF(AND(I2731=""Positive"",REGEXMATCH(H2"&amp;"731,""মূর্খ|ভণ্ড|প্রতার|অলস|লোভ|স্বার্থ|অক্ষম|অযোগ্য|বোকা|কৃপণ|হিংস"")),""valence-target অমিল"",""""),IF(COUNTIF($B:$B,B2731)&gt;1,""ডুপ্লিকেট"",""""))"),"")</f>
        <v/>
      </c>
      <c r="Q2731" s="5" t="str">
        <f t="shared" si="1"/>
        <v>২ পরে</v>
      </c>
    </row>
    <row r="2732">
      <c r="A2732" s="4">
        <v>506.0</v>
      </c>
      <c r="B2732" s="2" t="s">
        <v>10743</v>
      </c>
      <c r="C2732" s="2" t="s">
        <v>10744</v>
      </c>
      <c r="D2732" s="2" t="s">
        <v>9329</v>
      </c>
      <c r="E2732" s="2" t="s">
        <v>10745</v>
      </c>
      <c r="F2732" s="2" t="b">
        <v>1</v>
      </c>
      <c r="G2732" s="2" t="b">
        <v>0</v>
      </c>
      <c r="H2732" s="2" t="s">
        <v>9331</v>
      </c>
      <c r="I2732" s="2" t="s">
        <v>32</v>
      </c>
      <c r="J2732" s="2" t="s">
        <v>5278</v>
      </c>
      <c r="K2732" s="2" t="s">
        <v>24</v>
      </c>
      <c r="L2732" s="10" t="s">
        <v>51</v>
      </c>
      <c r="M2732" s="2" t="s">
        <v>26</v>
      </c>
      <c r="P2732" s="5" t="str">
        <f>IFERROR(__xludf.DUMMYFUNCTION("TEXTJOIN("" | "",TRUE,IF(OR(D2732="""",E2732="""",I2732="""",J2732="""",H2732=""""),""ফাঁকা ঘর"",""""),IF(AND(C2732&lt;&gt;"""",D2732&lt;&gt;"""",C2732=D2732),""gloss=figurative"",""""),IF(LEN(D2732)&lt;15,""figurative ছোট"",""""),IF(AND(I2732=""Positive"",REGEXMATCH(H2"&amp;"732,""মূর্খ|ভণ্ড|প্রতার|অলস|লোভ|স্বার্থ|অক্ষম|অযোগ্য|বোকা|কৃপণ|হিংস"")),""valence-target অমিল"",""""),IF(COUNTIF($B:$B,B2732)&gt;1,""ডুপ্লিকেট"",""""))"),"")</f>
        <v/>
      </c>
      <c r="Q2732" s="5" t="str">
        <f t="shared" si="1"/>
        <v>২ পরে</v>
      </c>
    </row>
    <row r="2733">
      <c r="A2733" s="4">
        <v>508.0</v>
      </c>
      <c r="B2733" s="2" t="s">
        <v>10746</v>
      </c>
      <c r="C2733" s="2" t="s">
        <v>10747</v>
      </c>
      <c r="D2733" s="2" t="s">
        <v>10748</v>
      </c>
      <c r="E2733" s="2" t="s">
        <v>10749</v>
      </c>
      <c r="F2733" s="2" t="b">
        <v>1</v>
      </c>
      <c r="G2733" s="2" t="b">
        <v>0</v>
      </c>
      <c r="H2733" s="2" t="s">
        <v>9486</v>
      </c>
      <c r="I2733" s="2" t="s">
        <v>32</v>
      </c>
      <c r="J2733" s="2" t="s">
        <v>59</v>
      </c>
      <c r="K2733" s="2" t="s">
        <v>24</v>
      </c>
      <c r="L2733" s="13" t="s">
        <v>51</v>
      </c>
      <c r="M2733" s="2" t="s">
        <v>26</v>
      </c>
      <c r="P2733" s="5" t="str">
        <f>IFERROR(__xludf.DUMMYFUNCTION("TEXTJOIN("" | "",TRUE,IF(OR(D2733="""",E2733="""",I2733="""",J2733="""",H2733=""""),""ফাঁকা ঘর"",""""),IF(AND(C2733&lt;&gt;"""",D2733&lt;&gt;"""",C2733=D2733),""gloss=figurative"",""""),IF(LEN(D2733)&lt;15,""figurative ছোট"",""""),IF(AND(I2733=""Positive"",REGEXMATCH(H2"&amp;"733,""মূর্খ|ভণ্ড|প্রতার|অলস|লোভ|স্বার্থ|অক্ষম|অযোগ্য|বোকা|কৃপণ|হিংস"")),""valence-target অমিল"",""""),IF(COUNTIF($B:$B,B2733)&gt;1,""ডুপ্লিকেট"",""""))"),"")</f>
        <v/>
      </c>
      <c r="Q2733" s="5" t="str">
        <f t="shared" si="1"/>
        <v>২ পরে</v>
      </c>
    </row>
    <row r="2734">
      <c r="A2734" s="4">
        <v>509.0</v>
      </c>
      <c r="B2734" s="2" t="s">
        <v>10750</v>
      </c>
      <c r="C2734" s="2" t="s">
        <v>9356</v>
      </c>
      <c r="D2734" s="2" t="s">
        <v>9357</v>
      </c>
      <c r="E2734" s="2" t="s">
        <v>10751</v>
      </c>
      <c r="F2734" s="2" t="b">
        <v>1</v>
      </c>
      <c r="G2734" s="2" t="b">
        <v>0</v>
      </c>
      <c r="H2734" s="2" t="s">
        <v>9359</v>
      </c>
      <c r="I2734" s="2" t="s">
        <v>22</v>
      </c>
      <c r="J2734" s="2" t="s">
        <v>59</v>
      </c>
      <c r="K2734" s="2" t="s">
        <v>24</v>
      </c>
      <c r="L2734" s="13" t="s">
        <v>51</v>
      </c>
      <c r="M2734" s="2" t="s">
        <v>26</v>
      </c>
      <c r="P2734" s="5" t="str">
        <f>IFERROR(__xludf.DUMMYFUNCTION("TEXTJOIN("" | "",TRUE,IF(OR(D2734="""",E2734="""",I2734="""",J2734="""",H2734=""""),""ফাঁকা ঘর"",""""),IF(AND(C2734&lt;&gt;"""",D2734&lt;&gt;"""",C2734=D2734),""gloss=figurative"",""""),IF(LEN(D2734)&lt;15,""figurative ছোট"",""""),IF(AND(I2734=""Positive"",REGEXMATCH(H2"&amp;"734,""মূর্খ|ভণ্ড|প্রতার|অলস|লোভ|স্বার্থ|অক্ষম|অযোগ্য|বোকা|কৃপণ|হিংস"")),""valence-target অমিল"",""""),IF(COUNTIF($B:$B,B2734)&gt;1,""ডুপ্লিকেট"",""""))"),"")</f>
        <v/>
      </c>
      <c r="Q2734" s="5" t="str">
        <f t="shared" si="1"/>
        <v>২ পরে</v>
      </c>
    </row>
    <row r="2735">
      <c r="A2735" s="4">
        <v>510.0</v>
      </c>
      <c r="B2735" s="2" t="s">
        <v>10752</v>
      </c>
      <c r="C2735" s="2" t="s">
        <v>10753</v>
      </c>
      <c r="D2735" s="2" t="s">
        <v>10754</v>
      </c>
      <c r="E2735" s="2" t="s">
        <v>10755</v>
      </c>
      <c r="F2735" s="2" t="b">
        <v>1</v>
      </c>
      <c r="G2735" s="2" t="b">
        <v>0</v>
      </c>
      <c r="H2735" s="2" t="s">
        <v>9359</v>
      </c>
      <c r="I2735" s="2" t="s">
        <v>22</v>
      </c>
      <c r="J2735" s="2" t="s">
        <v>59</v>
      </c>
      <c r="K2735" s="2" t="s">
        <v>24</v>
      </c>
      <c r="L2735" s="13" t="s">
        <v>51</v>
      </c>
      <c r="M2735" s="2" t="s">
        <v>26</v>
      </c>
      <c r="P2735" s="5" t="str">
        <f>IFERROR(__xludf.DUMMYFUNCTION("TEXTJOIN("" | "",TRUE,IF(OR(D2735="""",E2735="""",I2735="""",J2735="""",H2735=""""),""ফাঁকা ঘর"",""""),IF(AND(C2735&lt;&gt;"""",D2735&lt;&gt;"""",C2735=D2735),""gloss=figurative"",""""),IF(LEN(D2735)&lt;15,""figurative ছোট"",""""),IF(AND(I2735=""Positive"",REGEXMATCH(H2"&amp;"735,""মূর্খ|ভণ্ড|প্রতার|অলস|লোভ|স্বার্থ|অক্ষম|অযোগ্য|বোকা|কৃপণ|হিংস"")),""valence-target অমিল"",""""),IF(COUNTIF($B:$B,B2735)&gt;1,""ডুপ্লিকেট"",""""))"),"")</f>
        <v/>
      </c>
      <c r="Q2735" s="5" t="str">
        <f t="shared" si="1"/>
        <v>২ পরে</v>
      </c>
    </row>
    <row r="2736">
      <c r="A2736" s="4">
        <v>511.0</v>
      </c>
      <c r="B2736" s="2" t="s">
        <v>10756</v>
      </c>
      <c r="C2736" s="2" t="s">
        <v>10757</v>
      </c>
      <c r="D2736" s="2" t="s">
        <v>9314</v>
      </c>
      <c r="E2736" s="2" t="s">
        <v>10758</v>
      </c>
      <c r="F2736" s="2" t="b">
        <v>1</v>
      </c>
      <c r="G2736" s="2" t="b">
        <v>0</v>
      </c>
      <c r="H2736" s="2" t="s">
        <v>308</v>
      </c>
      <c r="I2736" s="2" t="s">
        <v>22</v>
      </c>
      <c r="J2736" s="2" t="s">
        <v>59</v>
      </c>
      <c r="K2736" s="2" t="s">
        <v>24</v>
      </c>
      <c r="L2736" s="13" t="s">
        <v>51</v>
      </c>
      <c r="M2736" s="2" t="s">
        <v>26</v>
      </c>
      <c r="P2736" s="5" t="str">
        <f>IFERROR(__xludf.DUMMYFUNCTION("TEXTJOIN("" | "",TRUE,IF(OR(D2736="""",E2736="""",I2736="""",J2736="""",H2736=""""),""ফাঁকা ঘর"",""""),IF(AND(C2736&lt;&gt;"""",D2736&lt;&gt;"""",C2736=D2736),""gloss=figurative"",""""),IF(LEN(D2736)&lt;15,""figurative ছোট"",""""),IF(AND(I2736=""Positive"",REGEXMATCH(H2"&amp;"736,""মূর্খ|ভণ্ড|প্রতার|অলস|লোভ|স্বার্থ|অক্ষম|অযোগ্য|বোকা|কৃপণ|হিংস"")),""valence-target অমিল"",""""),IF(COUNTIF($B:$B,B2736)&gt;1,""ডুপ্লিকেট"",""""))"),"")</f>
        <v/>
      </c>
      <c r="Q2736" s="5" t="str">
        <f t="shared" si="1"/>
        <v>২ পরে</v>
      </c>
    </row>
    <row r="2737">
      <c r="A2737" s="4">
        <v>512.0</v>
      </c>
      <c r="B2737" s="2" t="s">
        <v>10759</v>
      </c>
      <c r="C2737" s="2" t="s">
        <v>9423</v>
      </c>
      <c r="D2737" s="2" t="s">
        <v>10760</v>
      </c>
      <c r="E2737" s="2" t="s">
        <v>10761</v>
      </c>
      <c r="F2737" s="2" t="b">
        <v>1</v>
      </c>
      <c r="G2737" s="2" t="b">
        <v>0</v>
      </c>
      <c r="H2737" s="2" t="s">
        <v>8837</v>
      </c>
      <c r="I2737" s="2" t="s">
        <v>22</v>
      </c>
      <c r="J2737" s="2" t="s">
        <v>59</v>
      </c>
      <c r="K2737" s="2" t="s">
        <v>24</v>
      </c>
      <c r="L2737" s="13" t="s">
        <v>51</v>
      </c>
      <c r="M2737" s="2" t="s">
        <v>26</v>
      </c>
      <c r="P2737" s="5" t="str">
        <f>IFERROR(__xludf.DUMMYFUNCTION("TEXTJOIN("" | "",TRUE,IF(OR(D2737="""",E2737="""",I2737="""",J2737="""",H2737=""""),""ফাঁকা ঘর"",""""),IF(AND(C2737&lt;&gt;"""",D2737&lt;&gt;"""",C2737=D2737),""gloss=figurative"",""""),IF(LEN(D2737)&lt;15,""figurative ছোট"",""""),IF(AND(I2737=""Positive"",REGEXMATCH(H2"&amp;"737,""মূর্খ|ভণ্ড|প্রতার|অলস|লোভ|স্বার্থ|অক্ষম|অযোগ্য|বোকা|কৃপণ|হিংস"")),""valence-target অমিল"",""""),IF(COUNTIF($B:$B,B2737)&gt;1,""ডুপ্লিকেট"",""""))"),"")</f>
        <v/>
      </c>
      <c r="Q2737" s="5" t="str">
        <f t="shared" si="1"/>
        <v>২ পরে</v>
      </c>
    </row>
    <row r="2738">
      <c r="A2738" s="4">
        <v>513.0</v>
      </c>
      <c r="B2738" s="2" t="s">
        <v>10762</v>
      </c>
      <c r="C2738" s="2" t="s">
        <v>10763</v>
      </c>
      <c r="D2738" s="2" t="s">
        <v>10764</v>
      </c>
      <c r="E2738" s="2" t="s">
        <v>10765</v>
      </c>
      <c r="F2738" s="2" t="b">
        <v>1</v>
      </c>
      <c r="G2738" s="2" t="b">
        <v>0</v>
      </c>
      <c r="H2738" s="2" t="s">
        <v>10766</v>
      </c>
      <c r="I2738" s="2" t="s">
        <v>22</v>
      </c>
      <c r="J2738" s="2" t="s">
        <v>197</v>
      </c>
      <c r="K2738" s="2" t="s">
        <v>24</v>
      </c>
      <c r="L2738" s="13" t="s">
        <v>51</v>
      </c>
      <c r="M2738" s="2" t="s">
        <v>26</v>
      </c>
      <c r="P2738" s="5" t="str">
        <f>IFERROR(__xludf.DUMMYFUNCTION("TEXTJOIN("" | "",TRUE,IF(OR(D2738="""",E2738="""",I2738="""",J2738="""",H2738=""""),""ফাঁকা ঘর"",""""),IF(AND(C2738&lt;&gt;"""",D2738&lt;&gt;"""",C2738=D2738),""gloss=figurative"",""""),IF(LEN(D2738)&lt;15,""figurative ছোট"",""""),IF(AND(I2738=""Positive"",REGEXMATCH(H2"&amp;"738,""মূর্খ|ভণ্ড|প্রতার|অলস|লোভ|স্বার্থ|অক্ষম|অযোগ্য|বোকা|কৃপণ|হিংস"")),""valence-target অমিল"",""""),IF(COUNTIF($B:$B,B2738)&gt;1,""ডুপ্লিকেট"",""""))"),"")</f>
        <v/>
      </c>
      <c r="Q2738" s="5" t="str">
        <f t="shared" si="1"/>
        <v>২ পরে</v>
      </c>
    </row>
    <row r="2739">
      <c r="A2739" s="4">
        <v>514.0</v>
      </c>
      <c r="B2739" s="2" t="s">
        <v>10767</v>
      </c>
      <c r="C2739" s="2" t="s">
        <v>10768</v>
      </c>
      <c r="D2739" s="2" t="s">
        <v>10769</v>
      </c>
      <c r="E2739" s="2" t="s">
        <v>10770</v>
      </c>
      <c r="F2739" s="2" t="b">
        <v>1</v>
      </c>
      <c r="G2739" s="2" t="b">
        <v>0</v>
      </c>
      <c r="H2739" s="2" t="s">
        <v>89</v>
      </c>
      <c r="I2739" s="2" t="s">
        <v>22</v>
      </c>
      <c r="J2739" s="2" t="s">
        <v>59</v>
      </c>
      <c r="K2739" s="2" t="s">
        <v>24</v>
      </c>
      <c r="L2739" s="13" t="s">
        <v>51</v>
      </c>
      <c r="M2739" s="2" t="s">
        <v>26</v>
      </c>
      <c r="P2739" s="5" t="str">
        <f>IFERROR(__xludf.DUMMYFUNCTION("TEXTJOIN("" | "",TRUE,IF(OR(D2739="""",E2739="""",I2739="""",J2739="""",H2739=""""),""ফাঁকা ঘর"",""""),IF(AND(C2739&lt;&gt;"""",D2739&lt;&gt;"""",C2739=D2739),""gloss=figurative"",""""),IF(LEN(D2739)&lt;15,""figurative ছোট"",""""),IF(AND(I2739=""Positive"",REGEXMATCH(H2"&amp;"739,""মূর্খ|ভণ্ড|প্রতার|অলস|লোভ|স্বার্থ|অক্ষম|অযোগ্য|বোকা|কৃপণ|হিংস"")),""valence-target অমিল"",""""),IF(COUNTIF($B:$B,B2739)&gt;1,""ডুপ্লিকেট"",""""))"),"")</f>
        <v/>
      </c>
      <c r="Q2739" s="5" t="str">
        <f t="shared" si="1"/>
        <v>২ পরে</v>
      </c>
    </row>
    <row r="2740">
      <c r="A2740" s="4">
        <v>515.0</v>
      </c>
      <c r="B2740" s="2" t="s">
        <v>10771</v>
      </c>
      <c r="C2740" s="2" t="s">
        <v>10772</v>
      </c>
      <c r="D2740" s="2" t="s">
        <v>10773</v>
      </c>
      <c r="E2740" s="2" t="s">
        <v>10774</v>
      </c>
      <c r="F2740" s="2" t="b">
        <v>1</v>
      </c>
      <c r="G2740" s="2" t="b">
        <v>0</v>
      </c>
      <c r="H2740" s="2" t="s">
        <v>10775</v>
      </c>
      <c r="I2740" s="2" t="s">
        <v>22</v>
      </c>
      <c r="J2740" s="2" t="s">
        <v>59</v>
      </c>
      <c r="K2740" s="2" t="s">
        <v>24</v>
      </c>
      <c r="L2740" s="13" t="s">
        <v>51</v>
      </c>
      <c r="M2740" s="2" t="s">
        <v>26</v>
      </c>
      <c r="P2740" s="5" t="str">
        <f>IFERROR(__xludf.DUMMYFUNCTION("TEXTJOIN("" | "",TRUE,IF(OR(D2740="""",E2740="""",I2740="""",J2740="""",H2740=""""),""ফাঁকা ঘর"",""""),IF(AND(C2740&lt;&gt;"""",D2740&lt;&gt;"""",C2740=D2740),""gloss=figurative"",""""),IF(LEN(D2740)&lt;15,""figurative ছোট"",""""),IF(AND(I2740=""Positive"",REGEXMATCH(H2"&amp;"740,""মূর্খ|ভণ্ড|প্রতার|অলস|লোভ|স্বার্থ|অক্ষম|অযোগ্য|বোকা|কৃপণ|হিংস"")),""valence-target অমিল"",""""),IF(COUNTIF($B:$B,B2740)&gt;1,""ডুপ্লিকেট"",""""))"),"")</f>
        <v/>
      </c>
      <c r="Q2740" s="5" t="str">
        <f t="shared" si="1"/>
        <v>২ পরে</v>
      </c>
    </row>
    <row r="2741">
      <c r="A2741" s="4">
        <v>516.0</v>
      </c>
      <c r="B2741" s="2" t="s">
        <v>10776</v>
      </c>
      <c r="C2741" s="2" t="s">
        <v>10777</v>
      </c>
      <c r="D2741" s="2" t="s">
        <v>10778</v>
      </c>
      <c r="E2741" s="2" t="s">
        <v>10779</v>
      </c>
      <c r="F2741" s="2" t="b">
        <v>1</v>
      </c>
      <c r="G2741" s="2" t="b">
        <v>0</v>
      </c>
      <c r="H2741" s="2" t="s">
        <v>308</v>
      </c>
      <c r="I2741" s="2" t="s">
        <v>22</v>
      </c>
      <c r="J2741" s="2" t="s">
        <v>59</v>
      </c>
      <c r="K2741" s="2" t="s">
        <v>24</v>
      </c>
      <c r="L2741" s="13" t="s">
        <v>51</v>
      </c>
      <c r="M2741" s="2" t="s">
        <v>26</v>
      </c>
      <c r="P2741" s="5" t="str">
        <f>IFERROR(__xludf.DUMMYFUNCTION("TEXTJOIN("" | "",TRUE,IF(OR(D2741="""",E2741="""",I2741="""",J2741="""",H2741=""""),""ফাঁকা ঘর"",""""),IF(AND(C2741&lt;&gt;"""",D2741&lt;&gt;"""",C2741=D2741),""gloss=figurative"",""""),IF(LEN(D2741)&lt;15,""figurative ছোট"",""""),IF(AND(I2741=""Positive"",REGEXMATCH(H2"&amp;"741,""মূর্খ|ভণ্ড|প্রতার|অলস|লোভ|স্বার্থ|অক্ষম|অযোগ্য|বোকা|কৃপণ|হিংস"")),""valence-target অমিল"",""""),IF(COUNTIF($B:$B,B2741)&gt;1,""ডুপ্লিকেট"",""""))"),"")</f>
        <v/>
      </c>
      <c r="Q2741" s="5" t="str">
        <f t="shared" si="1"/>
        <v>২ পরে</v>
      </c>
    </row>
    <row r="2742">
      <c r="A2742" s="4">
        <v>517.0</v>
      </c>
      <c r="B2742" s="2" t="s">
        <v>10780</v>
      </c>
      <c r="C2742" s="2" t="s">
        <v>10781</v>
      </c>
      <c r="D2742" s="2" t="s">
        <v>10782</v>
      </c>
      <c r="E2742" s="2" t="s">
        <v>10783</v>
      </c>
      <c r="F2742" s="2" t="b">
        <v>1</v>
      </c>
      <c r="G2742" s="2" t="b">
        <v>0</v>
      </c>
      <c r="H2742" s="2" t="s">
        <v>9380</v>
      </c>
      <c r="I2742" s="2" t="s">
        <v>22</v>
      </c>
      <c r="J2742" s="2" t="s">
        <v>123</v>
      </c>
      <c r="K2742" s="2" t="s">
        <v>24</v>
      </c>
      <c r="L2742" s="13" t="s">
        <v>51</v>
      </c>
      <c r="M2742" s="2" t="s">
        <v>26</v>
      </c>
      <c r="P2742" s="5" t="str">
        <f>IFERROR(__xludf.DUMMYFUNCTION("TEXTJOIN("" | "",TRUE,IF(OR(D2742="""",E2742="""",I2742="""",J2742="""",H2742=""""),""ফাঁকা ঘর"",""""),IF(AND(C2742&lt;&gt;"""",D2742&lt;&gt;"""",C2742=D2742),""gloss=figurative"",""""),IF(LEN(D2742)&lt;15,""figurative ছোট"",""""),IF(AND(I2742=""Positive"",REGEXMATCH(H2"&amp;"742,""মূর্খ|ভণ্ড|প্রতার|অলস|লোভ|স্বার্থ|অক্ষম|অযোগ্য|বোকা|কৃপণ|হিংস"")),""valence-target অমিল"",""""),IF(COUNTIF($B:$B,B2742)&gt;1,""ডুপ্লিকেট"",""""))"),"")</f>
        <v/>
      </c>
      <c r="Q2742" s="5" t="str">
        <f t="shared" si="1"/>
        <v>২ পরে</v>
      </c>
    </row>
    <row r="2743">
      <c r="A2743" s="4">
        <v>518.0</v>
      </c>
      <c r="B2743" s="2" t="s">
        <v>10784</v>
      </c>
      <c r="C2743" s="2" t="s">
        <v>10785</v>
      </c>
      <c r="D2743" s="2" t="s">
        <v>10786</v>
      </c>
      <c r="E2743" s="2" t="s">
        <v>10787</v>
      </c>
      <c r="F2743" s="2" t="b">
        <v>1</v>
      </c>
      <c r="G2743" s="2" t="b">
        <v>0</v>
      </c>
      <c r="H2743" s="2" t="s">
        <v>9486</v>
      </c>
      <c r="I2743" s="2" t="s">
        <v>49</v>
      </c>
      <c r="J2743" s="2" t="s">
        <v>190</v>
      </c>
      <c r="K2743" s="2" t="s">
        <v>24</v>
      </c>
      <c r="L2743" s="13" t="s">
        <v>51</v>
      </c>
      <c r="M2743" s="2" t="s">
        <v>26</v>
      </c>
      <c r="P2743" s="5" t="str">
        <f>IFERROR(__xludf.DUMMYFUNCTION("TEXTJOIN("" | "",TRUE,IF(OR(D2743="""",E2743="""",I2743="""",J2743="""",H2743=""""),""ফাঁকা ঘর"",""""),IF(AND(C2743&lt;&gt;"""",D2743&lt;&gt;"""",C2743=D2743),""gloss=figurative"",""""),IF(LEN(D2743)&lt;15,""figurative ছোট"",""""),IF(AND(I2743=""Positive"",REGEXMATCH(H2"&amp;"743,""মূর্খ|ভণ্ড|প্রতার|অলস|লোভ|স্বার্থ|অক্ষম|অযোগ্য|বোকা|কৃপণ|হিংস"")),""valence-target অমিল"",""""),IF(COUNTIF($B:$B,B2743)&gt;1,""ডুপ্লিকেট"",""""))"),"")</f>
        <v/>
      </c>
      <c r="Q2743" s="5" t="str">
        <f t="shared" si="1"/>
        <v>২ পরে</v>
      </c>
    </row>
    <row r="2744">
      <c r="A2744" s="4">
        <v>519.0</v>
      </c>
      <c r="B2744" s="2" t="s">
        <v>10788</v>
      </c>
      <c r="C2744" s="2" t="s">
        <v>10789</v>
      </c>
      <c r="D2744" s="2" t="s">
        <v>10790</v>
      </c>
      <c r="E2744" s="2" t="s">
        <v>10791</v>
      </c>
      <c r="F2744" s="2" t="b">
        <v>1</v>
      </c>
      <c r="G2744" s="2" t="b">
        <v>0</v>
      </c>
      <c r="H2744" s="2" t="s">
        <v>9486</v>
      </c>
      <c r="I2744" s="2" t="s">
        <v>49</v>
      </c>
      <c r="J2744" s="2" t="s">
        <v>9743</v>
      </c>
      <c r="K2744" s="2" t="s">
        <v>24</v>
      </c>
      <c r="L2744" s="13" t="s">
        <v>51</v>
      </c>
      <c r="M2744" s="2" t="s">
        <v>26</v>
      </c>
      <c r="P2744" s="5" t="str">
        <f>IFERROR(__xludf.DUMMYFUNCTION("TEXTJOIN("" | "",TRUE,IF(OR(D2744="""",E2744="""",I2744="""",J2744="""",H2744=""""),""ফাঁকা ঘর"",""""),IF(AND(C2744&lt;&gt;"""",D2744&lt;&gt;"""",C2744=D2744),""gloss=figurative"",""""),IF(LEN(D2744)&lt;15,""figurative ছোট"",""""),IF(AND(I2744=""Positive"",REGEXMATCH(H2"&amp;"744,""মূর্খ|ভণ্ড|প্রতার|অলস|লোভ|স্বার্থ|অক্ষম|অযোগ্য|বোকা|কৃপণ|হিংস"")),""valence-target অমিল"",""""),IF(COUNTIF($B:$B,B2744)&gt;1,""ডুপ্লিকেট"",""""))"),"")</f>
        <v/>
      </c>
      <c r="Q2744" s="5" t="str">
        <f t="shared" si="1"/>
        <v>২ পরে</v>
      </c>
    </row>
    <row r="2745">
      <c r="A2745" s="4">
        <v>520.0</v>
      </c>
      <c r="B2745" s="2" t="s">
        <v>10792</v>
      </c>
      <c r="C2745" s="2" t="s">
        <v>10793</v>
      </c>
      <c r="D2745" s="2" t="s">
        <v>10794</v>
      </c>
      <c r="E2745" s="2" t="s">
        <v>10795</v>
      </c>
      <c r="F2745" s="2" t="b">
        <v>1</v>
      </c>
      <c r="G2745" s="2" t="b">
        <v>0</v>
      </c>
      <c r="H2745" s="2" t="s">
        <v>10796</v>
      </c>
      <c r="I2745" s="2" t="s">
        <v>32</v>
      </c>
      <c r="J2745" s="2" t="s">
        <v>59</v>
      </c>
      <c r="K2745" s="2" t="s">
        <v>24</v>
      </c>
      <c r="L2745" s="13" t="s">
        <v>51</v>
      </c>
      <c r="M2745" s="2" t="s">
        <v>26</v>
      </c>
      <c r="P2745" s="5" t="str">
        <f>IFERROR(__xludf.DUMMYFUNCTION("TEXTJOIN("" | "",TRUE,IF(OR(D2745="""",E2745="""",I2745="""",J2745="""",H2745=""""),""ফাঁকা ঘর"",""""),IF(AND(C2745&lt;&gt;"""",D2745&lt;&gt;"""",C2745=D2745),""gloss=figurative"",""""),IF(LEN(D2745)&lt;15,""figurative ছোট"",""""),IF(AND(I2745=""Positive"",REGEXMATCH(H2"&amp;"745,""মূর্খ|ভণ্ড|প্রতার|অলস|লোভ|স্বার্থ|অক্ষম|অযোগ্য|বোকা|কৃপণ|হিংস"")),""valence-target অমিল"",""""),IF(COUNTIF($B:$B,B2745)&gt;1,""ডুপ্লিকেট"",""""))"),"")</f>
        <v/>
      </c>
      <c r="Q2745" s="5" t="str">
        <f t="shared" si="1"/>
        <v>২ পরে</v>
      </c>
    </row>
    <row r="2746">
      <c r="A2746" s="4">
        <v>521.0</v>
      </c>
      <c r="B2746" s="2" t="s">
        <v>10797</v>
      </c>
      <c r="C2746" s="2" t="s">
        <v>10798</v>
      </c>
      <c r="D2746" s="2" t="s">
        <v>10799</v>
      </c>
      <c r="E2746" s="2" t="s">
        <v>10800</v>
      </c>
      <c r="F2746" s="2" t="b">
        <v>1</v>
      </c>
      <c r="G2746" s="2" t="b">
        <v>0</v>
      </c>
      <c r="H2746" s="2" t="s">
        <v>3306</v>
      </c>
      <c r="I2746" s="2" t="s">
        <v>32</v>
      </c>
      <c r="J2746" s="2" t="s">
        <v>1454</v>
      </c>
      <c r="K2746" s="2" t="s">
        <v>24</v>
      </c>
      <c r="L2746" s="13" t="s">
        <v>51</v>
      </c>
      <c r="M2746" s="2" t="s">
        <v>26</v>
      </c>
      <c r="P2746" s="5" t="str">
        <f>IFERROR(__xludf.DUMMYFUNCTION("TEXTJOIN("" | "",TRUE,IF(OR(D2746="""",E2746="""",I2746="""",J2746="""",H2746=""""),""ফাঁকা ঘর"",""""),IF(AND(C2746&lt;&gt;"""",D2746&lt;&gt;"""",C2746=D2746),""gloss=figurative"",""""),IF(LEN(D2746)&lt;15,""figurative ছোট"",""""),IF(AND(I2746=""Positive"",REGEXMATCH(H2"&amp;"746,""মূর্খ|ভণ্ড|প্রতার|অলস|লোভ|স্বার্থ|অক্ষম|অযোগ্য|বোকা|কৃপণ|হিংস"")),""valence-target অমিল"",""""),IF(COUNTIF($B:$B,B2746)&gt;1,""ডুপ্লিকেট"",""""))"),"")</f>
        <v/>
      </c>
      <c r="Q2746" s="5" t="str">
        <f t="shared" si="1"/>
        <v>২ পরে</v>
      </c>
    </row>
    <row r="2747">
      <c r="A2747" s="4">
        <v>523.0</v>
      </c>
      <c r="B2747" s="2" t="s">
        <v>10801</v>
      </c>
      <c r="C2747" s="2" t="s">
        <v>10802</v>
      </c>
      <c r="D2747" s="2" t="s">
        <v>10803</v>
      </c>
      <c r="E2747" s="2" t="s">
        <v>10804</v>
      </c>
      <c r="F2747" s="2" t="b">
        <v>1</v>
      </c>
      <c r="G2747" s="2" t="b">
        <v>0</v>
      </c>
      <c r="H2747" s="2" t="s">
        <v>37</v>
      </c>
      <c r="I2747" s="2" t="s">
        <v>22</v>
      </c>
      <c r="J2747" s="2" t="s">
        <v>202</v>
      </c>
      <c r="K2747" s="2" t="s">
        <v>24</v>
      </c>
      <c r="L2747" s="13" t="s">
        <v>51</v>
      </c>
      <c r="M2747" s="2" t="s">
        <v>26</v>
      </c>
      <c r="P2747" s="5" t="str">
        <f>IFERROR(__xludf.DUMMYFUNCTION("TEXTJOIN("" | "",TRUE,IF(OR(D2747="""",E2747="""",I2747="""",J2747="""",H2747=""""),""ফাঁকা ঘর"",""""),IF(AND(C2747&lt;&gt;"""",D2747&lt;&gt;"""",C2747=D2747),""gloss=figurative"",""""),IF(LEN(D2747)&lt;15,""figurative ছোট"",""""),IF(AND(I2747=""Positive"",REGEXMATCH(H2"&amp;"747,""মূর্খ|ভণ্ড|প্রতার|অলস|লোভ|স্বার্থ|অক্ষম|অযোগ্য|বোকা|কৃপণ|হিংস"")),""valence-target অমিল"",""""),IF(COUNTIF($B:$B,B2747)&gt;1,""ডুপ্লিকেট"",""""))"),"")</f>
        <v/>
      </c>
      <c r="Q2747" s="5" t="str">
        <f t="shared" si="1"/>
        <v>২ পরে</v>
      </c>
    </row>
    <row r="2748">
      <c r="A2748" s="4">
        <v>524.0</v>
      </c>
      <c r="B2748" s="2" t="s">
        <v>10805</v>
      </c>
      <c r="C2748" s="2" t="s">
        <v>10806</v>
      </c>
      <c r="D2748" s="2" t="s">
        <v>10807</v>
      </c>
      <c r="E2748" s="2" t="s">
        <v>10808</v>
      </c>
      <c r="F2748" s="2" t="b">
        <v>1</v>
      </c>
      <c r="G2748" s="2" t="b">
        <v>0</v>
      </c>
      <c r="H2748" s="2" t="s">
        <v>110</v>
      </c>
      <c r="I2748" s="2" t="s">
        <v>22</v>
      </c>
      <c r="J2748" s="2" t="s">
        <v>59</v>
      </c>
      <c r="K2748" s="2" t="s">
        <v>24</v>
      </c>
      <c r="L2748" s="13" t="s">
        <v>51</v>
      </c>
      <c r="M2748" s="2" t="s">
        <v>26</v>
      </c>
      <c r="P2748" s="5" t="str">
        <f>IFERROR(__xludf.DUMMYFUNCTION("TEXTJOIN("" | "",TRUE,IF(OR(D2748="""",E2748="""",I2748="""",J2748="""",H2748=""""),""ফাঁকা ঘর"",""""),IF(AND(C2748&lt;&gt;"""",D2748&lt;&gt;"""",C2748=D2748),""gloss=figurative"",""""),IF(LEN(D2748)&lt;15,""figurative ছোট"",""""),IF(AND(I2748=""Positive"",REGEXMATCH(H2"&amp;"748,""মূর্খ|ভণ্ড|প্রতার|অলস|লোভ|স্বার্থ|অক্ষম|অযোগ্য|বোকা|কৃপণ|হিংস"")),""valence-target অমিল"",""""),IF(COUNTIF($B:$B,B2748)&gt;1,""ডুপ্লিকেট"",""""))"),"")</f>
        <v/>
      </c>
      <c r="Q2748" s="5" t="str">
        <f t="shared" si="1"/>
        <v>২ পরে</v>
      </c>
    </row>
    <row r="2749">
      <c r="A2749" s="4">
        <v>525.0</v>
      </c>
      <c r="B2749" s="2" t="s">
        <v>10809</v>
      </c>
      <c r="C2749" s="2" t="s">
        <v>7828</v>
      </c>
      <c r="D2749" s="2" t="s">
        <v>10810</v>
      </c>
      <c r="E2749" s="2" t="s">
        <v>10811</v>
      </c>
      <c r="F2749" s="2" t="b">
        <v>1</v>
      </c>
      <c r="G2749" s="2" t="b">
        <v>0</v>
      </c>
      <c r="H2749" s="2" t="s">
        <v>10812</v>
      </c>
      <c r="I2749" s="2" t="s">
        <v>22</v>
      </c>
      <c r="J2749" s="2" t="s">
        <v>197</v>
      </c>
      <c r="K2749" s="2" t="s">
        <v>24</v>
      </c>
      <c r="L2749" s="13" t="s">
        <v>51</v>
      </c>
      <c r="M2749" s="2" t="s">
        <v>26</v>
      </c>
      <c r="P2749" s="5" t="str">
        <f>IFERROR(__xludf.DUMMYFUNCTION("TEXTJOIN("" | "",TRUE,IF(OR(D2749="""",E2749="""",I2749="""",J2749="""",H2749=""""),""ফাঁকা ঘর"",""""),IF(AND(C2749&lt;&gt;"""",D2749&lt;&gt;"""",C2749=D2749),""gloss=figurative"",""""),IF(LEN(D2749)&lt;15,""figurative ছোট"",""""),IF(AND(I2749=""Positive"",REGEXMATCH(H2"&amp;"749,""মূর্খ|ভণ্ড|প্রতার|অলস|লোভ|স্বার্থ|অক্ষম|অযোগ্য|বোকা|কৃপণ|হিংস"")),""valence-target অমিল"",""""),IF(COUNTIF($B:$B,B2749)&gt;1,""ডুপ্লিকেট"",""""))"),"")</f>
        <v/>
      </c>
      <c r="Q2749" s="5" t="str">
        <f t="shared" si="1"/>
        <v>২ পরে</v>
      </c>
    </row>
    <row r="2750">
      <c r="A2750" s="4">
        <v>526.0</v>
      </c>
      <c r="B2750" s="2" t="s">
        <v>10813</v>
      </c>
      <c r="C2750" s="2" t="s">
        <v>10814</v>
      </c>
      <c r="D2750" s="2" t="s">
        <v>10815</v>
      </c>
      <c r="E2750" s="2" t="s">
        <v>10816</v>
      </c>
      <c r="F2750" s="2" t="b">
        <v>1</v>
      </c>
      <c r="G2750" s="2" t="b">
        <v>0</v>
      </c>
      <c r="H2750" s="2" t="s">
        <v>8772</v>
      </c>
      <c r="I2750" s="2" t="s">
        <v>22</v>
      </c>
      <c r="J2750" s="2" t="s">
        <v>59</v>
      </c>
      <c r="K2750" s="2" t="s">
        <v>24</v>
      </c>
      <c r="L2750" s="13" t="s">
        <v>51</v>
      </c>
      <c r="M2750" s="2" t="s">
        <v>26</v>
      </c>
      <c r="P2750" s="5" t="str">
        <f>IFERROR(__xludf.DUMMYFUNCTION("TEXTJOIN("" | "",TRUE,IF(OR(D2750="""",E2750="""",I2750="""",J2750="""",H2750=""""),""ফাঁকা ঘর"",""""),IF(AND(C2750&lt;&gt;"""",D2750&lt;&gt;"""",C2750=D2750),""gloss=figurative"",""""),IF(LEN(D2750)&lt;15,""figurative ছোট"",""""),IF(AND(I2750=""Positive"",REGEXMATCH(H2"&amp;"750,""মূর্খ|ভণ্ড|প্রতার|অলস|লোভ|স্বার্থ|অক্ষম|অযোগ্য|বোকা|কৃপণ|হিংস"")),""valence-target অমিল"",""""),IF(COUNTIF($B:$B,B2750)&gt;1,""ডুপ্লিকেট"",""""))"),"")</f>
        <v/>
      </c>
      <c r="Q2750" s="5" t="str">
        <f t="shared" si="1"/>
        <v>২ পরে</v>
      </c>
    </row>
    <row r="2751">
      <c r="A2751" s="4">
        <v>527.0</v>
      </c>
      <c r="B2751" s="2" t="s">
        <v>10817</v>
      </c>
      <c r="C2751" s="2" t="s">
        <v>10818</v>
      </c>
      <c r="D2751" s="2" t="s">
        <v>10819</v>
      </c>
      <c r="E2751" s="2" t="s">
        <v>10820</v>
      </c>
      <c r="F2751" s="2" t="b">
        <v>1</v>
      </c>
      <c r="G2751" s="2" t="b">
        <v>0</v>
      </c>
      <c r="H2751" s="2" t="s">
        <v>10821</v>
      </c>
      <c r="I2751" s="2" t="s">
        <v>49</v>
      </c>
      <c r="J2751" s="2" t="s">
        <v>117</v>
      </c>
      <c r="K2751" s="2" t="s">
        <v>24</v>
      </c>
      <c r="L2751" s="13" t="s">
        <v>51</v>
      </c>
      <c r="M2751" s="2" t="s">
        <v>26</v>
      </c>
      <c r="P2751" s="5" t="str">
        <f>IFERROR(__xludf.DUMMYFUNCTION("TEXTJOIN("" | "",TRUE,IF(OR(D2751="""",E2751="""",I2751="""",J2751="""",H2751=""""),""ফাঁকা ঘর"",""""),IF(AND(C2751&lt;&gt;"""",D2751&lt;&gt;"""",C2751=D2751),""gloss=figurative"",""""),IF(LEN(D2751)&lt;15,""figurative ছোট"",""""),IF(AND(I2751=""Positive"",REGEXMATCH(H2"&amp;"751,""মূর্খ|ভণ্ড|প্রতার|অলস|লোভ|স্বার্থ|অক্ষম|অযোগ্য|বোকা|কৃপণ|হিংস"")),""valence-target অমিল"",""""),IF(COUNTIF($B:$B,B2751)&gt;1,""ডুপ্লিকেট"",""""))"),"")</f>
        <v/>
      </c>
      <c r="Q2751" s="5" t="str">
        <f t="shared" si="1"/>
        <v>২ পরে</v>
      </c>
    </row>
    <row r="2752">
      <c r="A2752" s="4">
        <v>528.0</v>
      </c>
      <c r="B2752" s="2" t="s">
        <v>10822</v>
      </c>
      <c r="C2752" s="2" t="s">
        <v>10823</v>
      </c>
      <c r="D2752" s="2" t="s">
        <v>10824</v>
      </c>
      <c r="E2752" s="2" t="s">
        <v>10825</v>
      </c>
      <c r="F2752" s="2" t="b">
        <v>1</v>
      </c>
      <c r="G2752" s="2" t="b">
        <v>0</v>
      </c>
      <c r="H2752" s="2" t="s">
        <v>351</v>
      </c>
      <c r="I2752" s="2" t="s">
        <v>49</v>
      </c>
      <c r="J2752" s="2" t="s">
        <v>123</v>
      </c>
      <c r="K2752" s="2" t="s">
        <v>24</v>
      </c>
      <c r="L2752" s="13" t="s">
        <v>51</v>
      </c>
      <c r="M2752" s="2" t="s">
        <v>26</v>
      </c>
      <c r="P2752" s="5" t="str">
        <f>IFERROR(__xludf.DUMMYFUNCTION("TEXTJOIN("" | "",TRUE,IF(OR(D2752="""",E2752="""",I2752="""",J2752="""",H2752=""""),""ফাঁকা ঘর"",""""),IF(AND(C2752&lt;&gt;"""",D2752&lt;&gt;"""",C2752=D2752),""gloss=figurative"",""""),IF(LEN(D2752)&lt;15,""figurative ছোট"",""""),IF(AND(I2752=""Positive"",REGEXMATCH(H2"&amp;"752,""মূর্খ|ভণ্ড|প্রতার|অলস|লোভ|স্বার্থ|অক্ষম|অযোগ্য|বোকা|কৃপণ|হিংস"")),""valence-target অমিল"",""""),IF(COUNTIF($B:$B,B2752)&gt;1,""ডুপ্লিকেট"",""""))"),"")</f>
        <v/>
      </c>
      <c r="Q2752" s="5" t="str">
        <f t="shared" si="1"/>
        <v>২ পরে</v>
      </c>
    </row>
    <row r="2753">
      <c r="A2753" s="4">
        <v>531.0</v>
      </c>
      <c r="B2753" s="2" t="s">
        <v>10826</v>
      </c>
      <c r="C2753" s="2" t="s">
        <v>10827</v>
      </c>
      <c r="D2753" s="2" t="s">
        <v>10828</v>
      </c>
      <c r="E2753" s="2" t="s">
        <v>10829</v>
      </c>
      <c r="F2753" s="2" t="b">
        <v>1</v>
      </c>
      <c r="G2753" s="2" t="b">
        <v>0</v>
      </c>
      <c r="H2753" s="2" t="s">
        <v>9380</v>
      </c>
      <c r="I2753" s="2" t="s">
        <v>22</v>
      </c>
      <c r="J2753" s="2" t="s">
        <v>59</v>
      </c>
      <c r="K2753" s="2" t="s">
        <v>24</v>
      </c>
      <c r="L2753" s="13" t="s">
        <v>51</v>
      </c>
      <c r="M2753" s="2" t="s">
        <v>26</v>
      </c>
      <c r="P2753" s="5" t="str">
        <f>IFERROR(__xludf.DUMMYFUNCTION("TEXTJOIN("" | "",TRUE,IF(OR(D2753="""",E2753="""",I2753="""",J2753="""",H2753=""""),""ফাঁকা ঘর"",""""),IF(AND(C2753&lt;&gt;"""",D2753&lt;&gt;"""",C2753=D2753),""gloss=figurative"",""""),IF(LEN(D2753)&lt;15,""figurative ছোট"",""""),IF(AND(I2753=""Positive"",REGEXMATCH(H2"&amp;"753,""মূর্খ|ভণ্ড|প্রতার|অলস|লোভ|স্বার্থ|অক্ষম|অযোগ্য|বোকা|কৃপণ|হিংস"")),""valence-target অমিল"",""""),IF(COUNTIF($B:$B,B2753)&gt;1,""ডুপ্লিকেট"",""""))"),"")</f>
        <v/>
      </c>
      <c r="Q2753" s="5" t="str">
        <f t="shared" si="1"/>
        <v>২ পরে</v>
      </c>
    </row>
    <row r="2754">
      <c r="A2754" s="4">
        <v>533.0</v>
      </c>
      <c r="B2754" s="2" t="s">
        <v>10830</v>
      </c>
      <c r="C2754" s="2" t="s">
        <v>10831</v>
      </c>
      <c r="D2754" s="2" t="s">
        <v>10832</v>
      </c>
      <c r="E2754" s="2" t="s">
        <v>10833</v>
      </c>
      <c r="F2754" s="2" t="b">
        <v>1</v>
      </c>
      <c r="G2754" s="2" t="b">
        <v>0</v>
      </c>
      <c r="H2754" s="2" t="s">
        <v>10834</v>
      </c>
      <c r="I2754" s="2" t="s">
        <v>49</v>
      </c>
      <c r="J2754" s="2" t="s">
        <v>10835</v>
      </c>
      <c r="K2754" s="2" t="s">
        <v>24</v>
      </c>
      <c r="L2754" s="13" t="s">
        <v>51</v>
      </c>
      <c r="M2754" s="2" t="s">
        <v>26</v>
      </c>
      <c r="P2754" s="5" t="str">
        <f>IFERROR(__xludf.DUMMYFUNCTION("TEXTJOIN("" | "",TRUE,IF(OR(D2754="""",E2754="""",I2754="""",J2754="""",H2754=""""),""ফাঁকা ঘর"",""""),IF(AND(C2754&lt;&gt;"""",D2754&lt;&gt;"""",C2754=D2754),""gloss=figurative"",""""),IF(LEN(D2754)&lt;15,""figurative ছোট"",""""),IF(AND(I2754=""Positive"",REGEXMATCH(H2"&amp;"754,""মূর্খ|ভণ্ড|প্রতার|অলস|লোভ|স্বার্থ|অক্ষম|অযোগ্য|বোকা|কৃপণ|হিংস"")),""valence-target অমিল"",""""),IF(COUNTIF($B:$B,B2754)&gt;1,""ডুপ্লিকেট"",""""))"),"")</f>
        <v/>
      </c>
      <c r="Q2754" s="5" t="str">
        <f t="shared" si="1"/>
        <v>২ পরে</v>
      </c>
    </row>
    <row r="2755">
      <c r="A2755" s="4">
        <v>535.0</v>
      </c>
      <c r="B2755" s="2" t="s">
        <v>10836</v>
      </c>
      <c r="C2755" s="2" t="s">
        <v>10837</v>
      </c>
      <c r="D2755" s="2" t="s">
        <v>10838</v>
      </c>
      <c r="E2755" s="2" t="s">
        <v>10839</v>
      </c>
      <c r="F2755" s="2" t="b">
        <v>1</v>
      </c>
      <c r="G2755" s="2" t="b">
        <v>0</v>
      </c>
      <c r="H2755" s="2" t="s">
        <v>8848</v>
      </c>
      <c r="I2755" s="2" t="s">
        <v>22</v>
      </c>
      <c r="J2755" s="2" t="s">
        <v>123</v>
      </c>
      <c r="K2755" s="2" t="s">
        <v>24</v>
      </c>
      <c r="L2755" s="13" t="s">
        <v>51</v>
      </c>
      <c r="M2755" s="2" t="s">
        <v>26</v>
      </c>
      <c r="P2755" s="5" t="str">
        <f>IFERROR(__xludf.DUMMYFUNCTION("TEXTJOIN("" | "",TRUE,IF(OR(D2755="""",E2755="""",I2755="""",J2755="""",H2755=""""),""ফাঁকা ঘর"",""""),IF(AND(C2755&lt;&gt;"""",D2755&lt;&gt;"""",C2755=D2755),""gloss=figurative"",""""),IF(LEN(D2755)&lt;15,""figurative ছোট"",""""),IF(AND(I2755=""Positive"",REGEXMATCH(H2"&amp;"755,""মূর্খ|ভণ্ড|প্রতার|অলস|লোভ|স্বার্থ|অক্ষম|অযোগ্য|বোকা|কৃপণ|হিংস"")),""valence-target অমিল"",""""),IF(COUNTIF($B:$B,B2755)&gt;1,""ডুপ্লিকেট"",""""))"),"")</f>
        <v/>
      </c>
      <c r="Q2755" s="5" t="str">
        <f t="shared" si="1"/>
        <v>২ পরে</v>
      </c>
    </row>
    <row r="2756">
      <c r="A2756" s="4">
        <v>536.0</v>
      </c>
      <c r="B2756" s="2" t="s">
        <v>10840</v>
      </c>
      <c r="C2756" s="2" t="s">
        <v>10841</v>
      </c>
      <c r="D2756" s="2" t="s">
        <v>10842</v>
      </c>
      <c r="E2756" s="2" t="s">
        <v>10843</v>
      </c>
      <c r="F2756" s="2" t="b">
        <v>1</v>
      </c>
      <c r="G2756" s="2" t="b">
        <v>0</v>
      </c>
      <c r="H2756" s="2" t="s">
        <v>9380</v>
      </c>
      <c r="I2756" s="2" t="s">
        <v>22</v>
      </c>
      <c r="J2756" s="2" t="s">
        <v>59</v>
      </c>
      <c r="K2756" s="2" t="s">
        <v>24</v>
      </c>
      <c r="L2756" s="13" t="s">
        <v>51</v>
      </c>
      <c r="M2756" s="2" t="s">
        <v>26</v>
      </c>
      <c r="P2756" s="5" t="str">
        <f>IFERROR(__xludf.DUMMYFUNCTION("TEXTJOIN("" | "",TRUE,IF(OR(D2756="""",E2756="""",I2756="""",J2756="""",H2756=""""),""ফাঁকা ঘর"",""""),IF(AND(C2756&lt;&gt;"""",D2756&lt;&gt;"""",C2756=D2756),""gloss=figurative"",""""),IF(LEN(D2756)&lt;15,""figurative ছোট"",""""),IF(AND(I2756=""Positive"",REGEXMATCH(H2"&amp;"756,""মূর্খ|ভণ্ড|প্রতার|অলস|লোভ|স্বার্থ|অক্ষম|অযোগ্য|বোকা|কৃপণ|হিংস"")),""valence-target অমিল"",""""),IF(COUNTIF($B:$B,B2756)&gt;1,""ডুপ্লিকেট"",""""))"),"")</f>
        <v/>
      </c>
      <c r="Q2756" s="5" t="str">
        <f t="shared" si="1"/>
        <v>২ পরে</v>
      </c>
    </row>
    <row r="2757">
      <c r="A2757" s="4">
        <v>538.0</v>
      </c>
      <c r="B2757" s="2" t="s">
        <v>10844</v>
      </c>
      <c r="C2757" s="2" t="s">
        <v>10845</v>
      </c>
      <c r="D2757" s="2" t="s">
        <v>10846</v>
      </c>
      <c r="E2757" s="2" t="s">
        <v>10847</v>
      </c>
      <c r="F2757" s="2" t="b">
        <v>1</v>
      </c>
      <c r="G2757" s="2" t="b">
        <v>0</v>
      </c>
      <c r="H2757" s="2" t="s">
        <v>9380</v>
      </c>
      <c r="I2757" s="2" t="s">
        <v>22</v>
      </c>
      <c r="J2757" s="2" t="s">
        <v>59</v>
      </c>
      <c r="K2757" s="2" t="s">
        <v>24</v>
      </c>
      <c r="L2757" s="13" t="s">
        <v>51</v>
      </c>
      <c r="M2757" s="2" t="s">
        <v>26</v>
      </c>
      <c r="P2757" s="5" t="str">
        <f>IFERROR(__xludf.DUMMYFUNCTION("TEXTJOIN("" | "",TRUE,IF(OR(D2757="""",E2757="""",I2757="""",J2757="""",H2757=""""),""ফাঁকা ঘর"",""""),IF(AND(C2757&lt;&gt;"""",D2757&lt;&gt;"""",C2757=D2757),""gloss=figurative"",""""),IF(LEN(D2757)&lt;15,""figurative ছোট"",""""),IF(AND(I2757=""Positive"",REGEXMATCH(H2"&amp;"757,""মূর্খ|ভণ্ড|প্রতার|অলস|লোভ|স্বার্থ|অক্ষম|অযোগ্য|বোকা|কৃপণ|হিংস"")),""valence-target অমিল"",""""),IF(COUNTIF($B:$B,B2757)&gt;1,""ডুপ্লিকেট"",""""))"),"")</f>
        <v/>
      </c>
      <c r="Q2757" s="5" t="str">
        <f t="shared" si="1"/>
        <v>২ পরে</v>
      </c>
    </row>
    <row r="2758">
      <c r="A2758" s="4">
        <v>539.0</v>
      </c>
      <c r="B2758" s="2" t="s">
        <v>10848</v>
      </c>
      <c r="C2758" s="2" t="s">
        <v>10849</v>
      </c>
      <c r="D2758" s="2" t="s">
        <v>10850</v>
      </c>
      <c r="E2758" s="2" t="s">
        <v>10851</v>
      </c>
      <c r="F2758" s="2" t="b">
        <v>1</v>
      </c>
      <c r="G2758" s="2" t="b">
        <v>0</v>
      </c>
      <c r="H2758" s="2" t="s">
        <v>8963</v>
      </c>
      <c r="I2758" s="2" t="s">
        <v>22</v>
      </c>
      <c r="J2758" s="2" t="s">
        <v>59</v>
      </c>
      <c r="K2758" s="2" t="s">
        <v>24</v>
      </c>
      <c r="L2758" s="13" t="s">
        <v>51</v>
      </c>
      <c r="M2758" s="2" t="s">
        <v>26</v>
      </c>
      <c r="P2758" s="5" t="str">
        <f>IFERROR(__xludf.DUMMYFUNCTION("TEXTJOIN("" | "",TRUE,IF(OR(D2758="""",E2758="""",I2758="""",J2758="""",H2758=""""),""ফাঁকা ঘর"",""""),IF(AND(C2758&lt;&gt;"""",D2758&lt;&gt;"""",C2758=D2758),""gloss=figurative"",""""),IF(LEN(D2758)&lt;15,""figurative ছোট"",""""),IF(AND(I2758=""Positive"",REGEXMATCH(H2"&amp;"758,""মূর্খ|ভণ্ড|প্রতার|অলস|লোভ|স্বার্থ|অক্ষম|অযোগ্য|বোকা|কৃপণ|হিংস"")),""valence-target অমিল"",""""),IF(COUNTIF($B:$B,B2758)&gt;1,""ডুপ্লিকেট"",""""))"),"")</f>
        <v/>
      </c>
      <c r="Q2758" s="5" t="str">
        <f t="shared" si="1"/>
        <v>২ পরে</v>
      </c>
    </row>
    <row r="2759">
      <c r="A2759" s="4">
        <v>540.0</v>
      </c>
      <c r="B2759" s="2" t="s">
        <v>10852</v>
      </c>
      <c r="C2759" s="2" t="s">
        <v>10853</v>
      </c>
      <c r="D2759" s="2" t="s">
        <v>10846</v>
      </c>
      <c r="E2759" s="2" t="s">
        <v>10854</v>
      </c>
      <c r="F2759" s="2" t="b">
        <v>1</v>
      </c>
      <c r="G2759" s="2" t="b">
        <v>0</v>
      </c>
      <c r="H2759" s="2" t="s">
        <v>9380</v>
      </c>
      <c r="I2759" s="2" t="s">
        <v>22</v>
      </c>
      <c r="J2759" s="2" t="s">
        <v>59</v>
      </c>
      <c r="K2759" s="2" t="s">
        <v>24</v>
      </c>
      <c r="L2759" s="13" t="s">
        <v>51</v>
      </c>
      <c r="M2759" s="2" t="s">
        <v>26</v>
      </c>
      <c r="P2759" s="5" t="str">
        <f>IFERROR(__xludf.DUMMYFUNCTION("TEXTJOIN("" | "",TRUE,IF(OR(D2759="""",E2759="""",I2759="""",J2759="""",H2759=""""),""ফাঁকা ঘর"",""""),IF(AND(C2759&lt;&gt;"""",D2759&lt;&gt;"""",C2759=D2759),""gloss=figurative"",""""),IF(LEN(D2759)&lt;15,""figurative ছোট"",""""),IF(AND(I2759=""Positive"",REGEXMATCH(H2"&amp;"759,""মূর্খ|ভণ্ড|প্রতার|অলস|লোভ|স্বার্থ|অক্ষম|অযোগ্য|বোকা|কৃপণ|হিংস"")),""valence-target অমিল"",""""),IF(COUNTIF($B:$B,B2759)&gt;1,""ডুপ্লিকেট"",""""))"),"")</f>
        <v/>
      </c>
      <c r="Q2759" s="5" t="str">
        <f t="shared" si="1"/>
        <v>২ পরে</v>
      </c>
    </row>
    <row r="2760">
      <c r="A2760" s="4">
        <v>541.0</v>
      </c>
      <c r="B2760" s="2" t="s">
        <v>10855</v>
      </c>
      <c r="C2760" s="2" t="s">
        <v>10781</v>
      </c>
      <c r="D2760" s="2" t="s">
        <v>10782</v>
      </c>
      <c r="E2760" s="2" t="s">
        <v>10856</v>
      </c>
      <c r="F2760" s="2" t="b">
        <v>1</v>
      </c>
      <c r="G2760" s="2" t="b">
        <v>0</v>
      </c>
      <c r="H2760" s="2" t="s">
        <v>9380</v>
      </c>
      <c r="I2760" s="2" t="s">
        <v>22</v>
      </c>
      <c r="J2760" s="2" t="s">
        <v>123</v>
      </c>
      <c r="K2760" s="2" t="s">
        <v>24</v>
      </c>
      <c r="L2760" s="13" t="s">
        <v>51</v>
      </c>
      <c r="M2760" s="2" t="s">
        <v>26</v>
      </c>
      <c r="P2760" s="5" t="str">
        <f>IFERROR(__xludf.DUMMYFUNCTION("TEXTJOIN("" | "",TRUE,IF(OR(D2760="""",E2760="""",I2760="""",J2760="""",H2760=""""),""ফাঁকা ঘর"",""""),IF(AND(C2760&lt;&gt;"""",D2760&lt;&gt;"""",C2760=D2760),""gloss=figurative"",""""),IF(LEN(D2760)&lt;15,""figurative ছোট"",""""),IF(AND(I2760=""Positive"",REGEXMATCH(H2"&amp;"760,""মূর্খ|ভণ্ড|প্রতার|অলস|লোভ|স্বার্থ|অক্ষম|অযোগ্য|বোকা|কৃপণ|হিংস"")),""valence-target অমিল"",""""),IF(COUNTIF($B:$B,B2760)&gt;1,""ডুপ্লিকেট"",""""))"),"")</f>
        <v/>
      </c>
      <c r="Q2760" s="5" t="str">
        <f t="shared" si="1"/>
        <v>২ পরে</v>
      </c>
    </row>
    <row r="2761">
      <c r="A2761" s="4">
        <v>542.0</v>
      </c>
      <c r="B2761" s="2" t="s">
        <v>10857</v>
      </c>
      <c r="C2761" s="2" t="s">
        <v>10858</v>
      </c>
      <c r="D2761" s="2" t="s">
        <v>10859</v>
      </c>
      <c r="E2761" s="2" t="s">
        <v>10860</v>
      </c>
      <c r="F2761" s="2" t="b">
        <v>1</v>
      </c>
      <c r="G2761" s="2" t="b">
        <v>0</v>
      </c>
      <c r="H2761" s="2" t="s">
        <v>10861</v>
      </c>
      <c r="I2761" s="2" t="s">
        <v>22</v>
      </c>
      <c r="J2761" s="2" t="s">
        <v>59</v>
      </c>
      <c r="K2761" s="2" t="s">
        <v>24</v>
      </c>
      <c r="L2761" s="13" t="s">
        <v>51</v>
      </c>
      <c r="M2761" s="2" t="s">
        <v>26</v>
      </c>
      <c r="P2761" s="5" t="str">
        <f>IFERROR(__xludf.DUMMYFUNCTION("TEXTJOIN("" | "",TRUE,IF(OR(D2761="""",E2761="""",I2761="""",J2761="""",H2761=""""),""ফাঁকা ঘর"",""""),IF(AND(C2761&lt;&gt;"""",D2761&lt;&gt;"""",C2761=D2761),""gloss=figurative"",""""),IF(LEN(D2761)&lt;15,""figurative ছোট"",""""),IF(AND(I2761=""Positive"",REGEXMATCH(H2"&amp;"761,""মূর্খ|ভণ্ড|প্রতার|অলস|লোভ|স্বার্থ|অক্ষম|অযোগ্য|বোকা|কৃপণ|হিংস"")),""valence-target অমিল"",""""),IF(COUNTIF($B:$B,B2761)&gt;1,""ডুপ্লিকেট"",""""))"),"")</f>
        <v/>
      </c>
      <c r="Q2761" s="5" t="str">
        <f t="shared" si="1"/>
        <v>২ পরে</v>
      </c>
    </row>
    <row r="2762">
      <c r="A2762" s="4">
        <v>543.0</v>
      </c>
      <c r="B2762" s="2" t="s">
        <v>10862</v>
      </c>
      <c r="C2762" s="2" t="s">
        <v>10863</v>
      </c>
      <c r="D2762" s="2" t="s">
        <v>10864</v>
      </c>
      <c r="E2762" s="2" t="s">
        <v>10865</v>
      </c>
      <c r="F2762" s="2" t="b">
        <v>1</v>
      </c>
      <c r="G2762" s="2" t="b">
        <v>0</v>
      </c>
      <c r="H2762" s="2" t="s">
        <v>9380</v>
      </c>
      <c r="I2762" s="2" t="s">
        <v>22</v>
      </c>
      <c r="J2762" s="2" t="s">
        <v>59</v>
      </c>
      <c r="K2762" s="2" t="s">
        <v>24</v>
      </c>
      <c r="L2762" s="13" t="s">
        <v>51</v>
      </c>
      <c r="M2762" s="2" t="s">
        <v>26</v>
      </c>
      <c r="P2762" s="5" t="str">
        <f>IFERROR(__xludf.DUMMYFUNCTION("TEXTJOIN("" | "",TRUE,IF(OR(D2762="""",E2762="""",I2762="""",J2762="""",H2762=""""),""ফাঁকা ঘর"",""""),IF(AND(C2762&lt;&gt;"""",D2762&lt;&gt;"""",C2762=D2762),""gloss=figurative"",""""),IF(LEN(D2762)&lt;15,""figurative ছোট"",""""),IF(AND(I2762=""Positive"",REGEXMATCH(H2"&amp;"762,""মূর্খ|ভণ্ড|প্রতার|অলস|লোভ|স্বার্থ|অক্ষম|অযোগ্য|বোকা|কৃপণ|হিংস"")),""valence-target অমিল"",""""),IF(COUNTIF($B:$B,B2762)&gt;1,""ডুপ্লিকেট"",""""))"),"")</f>
        <v/>
      </c>
      <c r="Q2762" s="5" t="str">
        <f t="shared" si="1"/>
        <v>২ পরে</v>
      </c>
    </row>
    <row r="2763">
      <c r="A2763" s="4">
        <v>544.0</v>
      </c>
      <c r="B2763" s="2" t="s">
        <v>10866</v>
      </c>
      <c r="C2763" s="2" t="s">
        <v>10867</v>
      </c>
      <c r="D2763" s="2" t="s">
        <v>10868</v>
      </c>
      <c r="E2763" s="2" t="s">
        <v>10869</v>
      </c>
      <c r="F2763" s="2" t="b">
        <v>1</v>
      </c>
      <c r="G2763" s="2" t="b">
        <v>0</v>
      </c>
      <c r="H2763" s="2" t="s">
        <v>10435</v>
      </c>
      <c r="I2763" s="2" t="s">
        <v>32</v>
      </c>
      <c r="J2763" s="2" t="s">
        <v>59</v>
      </c>
      <c r="K2763" s="2" t="s">
        <v>24</v>
      </c>
      <c r="L2763" s="13" t="s">
        <v>51</v>
      </c>
      <c r="M2763" s="2" t="s">
        <v>26</v>
      </c>
      <c r="P2763" s="5" t="str">
        <f>IFERROR(__xludf.DUMMYFUNCTION("TEXTJOIN("" | "",TRUE,IF(OR(D2763="""",E2763="""",I2763="""",J2763="""",H2763=""""),""ফাঁকা ঘর"",""""),IF(AND(C2763&lt;&gt;"""",D2763&lt;&gt;"""",C2763=D2763),""gloss=figurative"",""""),IF(LEN(D2763)&lt;15,""figurative ছোট"",""""),IF(AND(I2763=""Positive"",REGEXMATCH(H2"&amp;"763,""মূর্খ|ভণ্ড|প্রতার|অলস|লোভ|স্বার্থ|অক্ষম|অযোগ্য|বোকা|কৃপণ|হিংস"")),""valence-target অমিল"",""""),IF(COUNTIF($B:$B,B2763)&gt;1,""ডুপ্লিকেট"",""""))"),"")</f>
        <v/>
      </c>
      <c r="Q2763" s="5" t="str">
        <f t="shared" si="1"/>
        <v>২ পরে</v>
      </c>
    </row>
    <row r="2764">
      <c r="A2764" s="4">
        <v>545.0</v>
      </c>
      <c r="B2764" s="2" t="s">
        <v>10870</v>
      </c>
      <c r="C2764" s="2" t="s">
        <v>10871</v>
      </c>
      <c r="D2764" s="2" t="s">
        <v>10872</v>
      </c>
      <c r="E2764" s="2" t="s">
        <v>10873</v>
      </c>
      <c r="F2764" s="2" t="b">
        <v>1</v>
      </c>
      <c r="G2764" s="2" t="b">
        <v>0</v>
      </c>
      <c r="H2764" s="2" t="s">
        <v>390</v>
      </c>
      <c r="I2764" s="2" t="s">
        <v>22</v>
      </c>
      <c r="J2764" s="2" t="s">
        <v>169</v>
      </c>
      <c r="K2764" s="2" t="s">
        <v>24</v>
      </c>
      <c r="L2764" s="13" t="s">
        <v>51</v>
      </c>
      <c r="M2764" s="2" t="s">
        <v>26</v>
      </c>
      <c r="P2764" s="5" t="str">
        <f>IFERROR(__xludf.DUMMYFUNCTION("TEXTJOIN("" | "",TRUE,IF(OR(D2764="""",E2764="""",I2764="""",J2764="""",H2764=""""),""ফাঁকা ঘর"",""""),IF(AND(C2764&lt;&gt;"""",D2764&lt;&gt;"""",C2764=D2764),""gloss=figurative"",""""),IF(LEN(D2764)&lt;15,""figurative ছোট"",""""),IF(AND(I2764=""Positive"",REGEXMATCH(H2"&amp;"764,""মূর্খ|ভণ্ড|প্রতার|অলস|লোভ|স্বার্থ|অক্ষম|অযোগ্য|বোকা|কৃপণ|হিংস"")),""valence-target অমিল"",""""),IF(COUNTIF($B:$B,B2764)&gt;1,""ডুপ্লিকেট"",""""))"),"")</f>
        <v/>
      </c>
      <c r="Q2764" s="5" t="str">
        <f t="shared" si="1"/>
        <v>২ পরে</v>
      </c>
    </row>
    <row r="2765">
      <c r="A2765" s="4">
        <v>547.0</v>
      </c>
      <c r="B2765" s="2" t="s">
        <v>10874</v>
      </c>
      <c r="C2765" s="2" t="s">
        <v>10875</v>
      </c>
      <c r="D2765" s="2" t="s">
        <v>10876</v>
      </c>
      <c r="E2765" s="2" t="s">
        <v>10877</v>
      </c>
      <c r="F2765" s="2" t="b">
        <v>1</v>
      </c>
      <c r="G2765" s="2" t="b">
        <v>0</v>
      </c>
      <c r="H2765" s="2" t="s">
        <v>10878</v>
      </c>
      <c r="I2765" s="2" t="s">
        <v>32</v>
      </c>
      <c r="J2765" s="2" t="s">
        <v>59</v>
      </c>
      <c r="K2765" s="2" t="s">
        <v>24</v>
      </c>
      <c r="L2765" s="13" t="s">
        <v>51</v>
      </c>
      <c r="M2765" s="2" t="s">
        <v>26</v>
      </c>
      <c r="P2765" s="5" t="str">
        <f>IFERROR(__xludf.DUMMYFUNCTION("TEXTJOIN("" | "",TRUE,IF(OR(D2765="""",E2765="""",I2765="""",J2765="""",H2765=""""),""ফাঁকা ঘর"",""""),IF(AND(C2765&lt;&gt;"""",D2765&lt;&gt;"""",C2765=D2765),""gloss=figurative"",""""),IF(LEN(D2765)&lt;15,""figurative ছোট"",""""),IF(AND(I2765=""Positive"",REGEXMATCH(H2"&amp;"765,""মূর্খ|ভণ্ড|প্রতার|অলস|লোভ|স্বার্থ|অক্ষম|অযোগ্য|বোকা|কৃপণ|হিংস"")),""valence-target অমিল"",""""),IF(COUNTIF($B:$B,B2765)&gt;1,""ডুপ্লিকেট"",""""))"),"")</f>
        <v/>
      </c>
      <c r="Q2765" s="5" t="str">
        <f t="shared" si="1"/>
        <v>২ পরে</v>
      </c>
    </row>
    <row r="2766">
      <c r="A2766" s="4">
        <v>549.0</v>
      </c>
      <c r="B2766" s="2" t="s">
        <v>10879</v>
      </c>
      <c r="C2766" s="2" t="s">
        <v>10880</v>
      </c>
      <c r="D2766" s="2" t="s">
        <v>10881</v>
      </c>
      <c r="E2766" s="2" t="s">
        <v>10882</v>
      </c>
      <c r="F2766" s="2" t="b">
        <v>1</v>
      </c>
      <c r="G2766" s="2" t="b">
        <v>0</v>
      </c>
      <c r="H2766" s="2" t="s">
        <v>236</v>
      </c>
      <c r="I2766" s="2" t="s">
        <v>22</v>
      </c>
      <c r="J2766" s="2" t="s">
        <v>59</v>
      </c>
      <c r="K2766" s="2" t="s">
        <v>24</v>
      </c>
      <c r="L2766" s="13" t="s">
        <v>51</v>
      </c>
      <c r="M2766" s="2" t="s">
        <v>26</v>
      </c>
      <c r="P2766" s="5" t="str">
        <f>IFERROR(__xludf.DUMMYFUNCTION("TEXTJOIN("" | "",TRUE,IF(OR(D2766="""",E2766="""",I2766="""",J2766="""",H2766=""""),""ফাঁকা ঘর"",""""),IF(AND(C2766&lt;&gt;"""",D2766&lt;&gt;"""",C2766=D2766),""gloss=figurative"",""""),IF(LEN(D2766)&lt;15,""figurative ছোট"",""""),IF(AND(I2766=""Positive"",REGEXMATCH(H2"&amp;"766,""মূর্খ|ভণ্ড|প্রতার|অলস|লোভ|স্বার্থ|অক্ষম|অযোগ্য|বোকা|কৃপণ|হিংস"")),""valence-target অমিল"",""""),IF(COUNTIF($B:$B,B2766)&gt;1,""ডুপ্লিকেট"",""""))"),"")</f>
        <v/>
      </c>
      <c r="Q2766" s="5" t="str">
        <f t="shared" si="1"/>
        <v>২ পরে</v>
      </c>
    </row>
    <row r="2767">
      <c r="A2767" s="4">
        <v>550.0</v>
      </c>
      <c r="B2767" s="2" t="s">
        <v>10883</v>
      </c>
      <c r="C2767" s="2" t="s">
        <v>10884</v>
      </c>
      <c r="D2767" s="2" t="s">
        <v>10885</v>
      </c>
      <c r="E2767" s="2" t="s">
        <v>10886</v>
      </c>
      <c r="F2767" s="2" t="b">
        <v>1</v>
      </c>
      <c r="G2767" s="2" t="b">
        <v>0</v>
      </c>
      <c r="H2767" s="2" t="s">
        <v>308</v>
      </c>
      <c r="I2767" s="2" t="s">
        <v>22</v>
      </c>
      <c r="J2767" s="2" t="s">
        <v>59</v>
      </c>
      <c r="K2767" s="2" t="s">
        <v>24</v>
      </c>
      <c r="L2767" s="13" t="s">
        <v>51</v>
      </c>
      <c r="M2767" s="2" t="s">
        <v>26</v>
      </c>
      <c r="P2767" s="5" t="str">
        <f>IFERROR(__xludf.DUMMYFUNCTION("TEXTJOIN("" | "",TRUE,IF(OR(D2767="""",E2767="""",I2767="""",J2767="""",H2767=""""),""ফাঁকা ঘর"",""""),IF(AND(C2767&lt;&gt;"""",D2767&lt;&gt;"""",C2767=D2767),""gloss=figurative"",""""),IF(LEN(D2767)&lt;15,""figurative ছোট"",""""),IF(AND(I2767=""Positive"",REGEXMATCH(H2"&amp;"767,""মূর্খ|ভণ্ড|প্রতার|অলস|লোভ|স্বার্থ|অক্ষম|অযোগ্য|বোকা|কৃপণ|হিংস"")),""valence-target অমিল"",""""),IF(COUNTIF($B:$B,B2767)&gt;1,""ডুপ্লিকেট"",""""))"),"")</f>
        <v/>
      </c>
      <c r="Q2767" s="5" t="str">
        <f t="shared" si="1"/>
        <v>২ পরে</v>
      </c>
    </row>
    <row r="2768">
      <c r="A2768" s="4">
        <v>551.0</v>
      </c>
      <c r="B2768" s="2" t="s">
        <v>10887</v>
      </c>
      <c r="C2768" s="2" t="s">
        <v>10888</v>
      </c>
      <c r="D2768" s="2" t="s">
        <v>10889</v>
      </c>
      <c r="E2768" s="2" t="s">
        <v>10890</v>
      </c>
      <c r="F2768" s="2" t="b">
        <v>1</v>
      </c>
      <c r="G2768" s="2" t="b">
        <v>0</v>
      </c>
      <c r="H2768" s="2" t="s">
        <v>8772</v>
      </c>
      <c r="I2768" s="2" t="s">
        <v>32</v>
      </c>
      <c r="J2768" s="2" t="s">
        <v>59</v>
      </c>
      <c r="K2768" s="2" t="s">
        <v>24</v>
      </c>
      <c r="L2768" s="13" t="s">
        <v>51</v>
      </c>
      <c r="M2768" s="2" t="s">
        <v>26</v>
      </c>
      <c r="P2768" s="5" t="str">
        <f>IFERROR(__xludf.DUMMYFUNCTION("TEXTJOIN("" | "",TRUE,IF(OR(D2768="""",E2768="""",I2768="""",J2768="""",H2768=""""),""ফাঁকা ঘর"",""""),IF(AND(C2768&lt;&gt;"""",D2768&lt;&gt;"""",C2768=D2768),""gloss=figurative"",""""),IF(LEN(D2768)&lt;15,""figurative ছোট"",""""),IF(AND(I2768=""Positive"",REGEXMATCH(H2"&amp;"768,""মূর্খ|ভণ্ড|প্রতার|অলস|লোভ|স্বার্থ|অক্ষম|অযোগ্য|বোকা|কৃপণ|হিংস"")),""valence-target অমিল"",""""),IF(COUNTIF($B:$B,B2768)&gt;1,""ডুপ্লিকেট"",""""))"),"")</f>
        <v/>
      </c>
      <c r="Q2768" s="5" t="str">
        <f t="shared" si="1"/>
        <v>২ পরে</v>
      </c>
    </row>
    <row r="2769">
      <c r="A2769" s="4">
        <v>552.0</v>
      </c>
      <c r="B2769" s="2" t="s">
        <v>10891</v>
      </c>
      <c r="C2769" s="2" t="s">
        <v>10892</v>
      </c>
      <c r="D2769" s="2" t="s">
        <v>10893</v>
      </c>
      <c r="E2769" s="2" t="s">
        <v>10894</v>
      </c>
      <c r="F2769" s="2" t="b">
        <v>1</v>
      </c>
      <c r="G2769" s="2" t="b">
        <v>0</v>
      </c>
      <c r="H2769" s="2" t="s">
        <v>10681</v>
      </c>
      <c r="I2769" s="2" t="s">
        <v>22</v>
      </c>
      <c r="J2769" s="2" t="s">
        <v>59</v>
      </c>
      <c r="K2769" s="2" t="s">
        <v>24</v>
      </c>
      <c r="L2769" s="13" t="s">
        <v>51</v>
      </c>
      <c r="M2769" s="2" t="s">
        <v>26</v>
      </c>
      <c r="P2769" s="5" t="str">
        <f>IFERROR(__xludf.DUMMYFUNCTION("TEXTJOIN("" | "",TRUE,IF(OR(D2769="""",E2769="""",I2769="""",J2769="""",H2769=""""),""ফাঁকা ঘর"",""""),IF(AND(C2769&lt;&gt;"""",D2769&lt;&gt;"""",C2769=D2769),""gloss=figurative"",""""),IF(LEN(D2769)&lt;15,""figurative ছোট"",""""),IF(AND(I2769=""Positive"",REGEXMATCH(H2"&amp;"769,""মূর্খ|ভণ্ড|প্রতার|অলস|লোভ|স্বার্থ|অক্ষম|অযোগ্য|বোকা|কৃপণ|হিংস"")),""valence-target অমিল"",""""),IF(COUNTIF($B:$B,B2769)&gt;1,""ডুপ্লিকেট"",""""))"),"")</f>
        <v/>
      </c>
      <c r="Q2769" s="5" t="str">
        <f t="shared" si="1"/>
        <v>২ পরে</v>
      </c>
    </row>
    <row r="2770">
      <c r="A2770" s="4">
        <v>553.0</v>
      </c>
      <c r="B2770" s="2" t="s">
        <v>10895</v>
      </c>
      <c r="C2770" s="2" t="s">
        <v>10896</v>
      </c>
      <c r="D2770" s="2" t="s">
        <v>10897</v>
      </c>
      <c r="E2770" s="2" t="s">
        <v>10898</v>
      </c>
      <c r="F2770" s="2" t="b">
        <v>1</v>
      </c>
      <c r="G2770" s="2" t="b">
        <v>0</v>
      </c>
      <c r="H2770" s="2" t="s">
        <v>9380</v>
      </c>
      <c r="I2770" s="2" t="s">
        <v>22</v>
      </c>
      <c r="J2770" s="2" t="s">
        <v>59</v>
      </c>
      <c r="K2770" s="2" t="s">
        <v>24</v>
      </c>
      <c r="L2770" s="13" t="s">
        <v>51</v>
      </c>
      <c r="M2770" s="2" t="s">
        <v>26</v>
      </c>
      <c r="P2770" s="5" t="str">
        <f>IFERROR(__xludf.DUMMYFUNCTION("TEXTJOIN("" | "",TRUE,IF(OR(D2770="""",E2770="""",I2770="""",J2770="""",H2770=""""),""ফাঁকা ঘর"",""""),IF(AND(C2770&lt;&gt;"""",D2770&lt;&gt;"""",C2770=D2770),""gloss=figurative"",""""),IF(LEN(D2770)&lt;15,""figurative ছোট"",""""),IF(AND(I2770=""Positive"",REGEXMATCH(H2"&amp;"770,""মূর্খ|ভণ্ড|প্রতার|অলস|লোভ|স্বার্থ|অক্ষম|অযোগ্য|বোকা|কৃপণ|হিংস"")),""valence-target অমিল"",""""),IF(COUNTIF($B:$B,B2770)&gt;1,""ডুপ্লিকেট"",""""))"),"")</f>
        <v/>
      </c>
      <c r="Q2770" s="5" t="str">
        <f t="shared" si="1"/>
        <v>২ পরে</v>
      </c>
    </row>
    <row r="2771">
      <c r="A2771" s="4">
        <v>554.0</v>
      </c>
      <c r="B2771" s="2" t="s">
        <v>10899</v>
      </c>
      <c r="C2771" s="2" t="s">
        <v>10900</v>
      </c>
      <c r="D2771" s="2" t="s">
        <v>10901</v>
      </c>
      <c r="E2771" s="2" t="s">
        <v>10902</v>
      </c>
      <c r="F2771" s="2" t="b">
        <v>1</v>
      </c>
      <c r="G2771" s="2" t="b">
        <v>0</v>
      </c>
      <c r="H2771" s="2" t="s">
        <v>9380</v>
      </c>
      <c r="I2771" s="2" t="s">
        <v>22</v>
      </c>
      <c r="J2771" s="2" t="s">
        <v>59</v>
      </c>
      <c r="K2771" s="2" t="s">
        <v>24</v>
      </c>
      <c r="L2771" s="13" t="s">
        <v>51</v>
      </c>
      <c r="M2771" s="2" t="s">
        <v>26</v>
      </c>
      <c r="P2771" s="5" t="str">
        <f>IFERROR(__xludf.DUMMYFUNCTION("TEXTJOIN("" | "",TRUE,IF(OR(D2771="""",E2771="""",I2771="""",J2771="""",H2771=""""),""ফাঁকা ঘর"",""""),IF(AND(C2771&lt;&gt;"""",D2771&lt;&gt;"""",C2771=D2771),""gloss=figurative"",""""),IF(LEN(D2771)&lt;15,""figurative ছোট"",""""),IF(AND(I2771=""Positive"",REGEXMATCH(H2"&amp;"771,""মূর্খ|ভণ্ড|প্রতার|অলস|লোভ|স্বার্থ|অক্ষম|অযোগ্য|বোকা|কৃপণ|হিংস"")),""valence-target অমিল"",""""),IF(COUNTIF($B:$B,B2771)&gt;1,""ডুপ্লিকেট"",""""))"),"")</f>
        <v/>
      </c>
      <c r="Q2771" s="5" t="str">
        <f t="shared" si="1"/>
        <v>২ পরে</v>
      </c>
    </row>
    <row r="2772">
      <c r="A2772" s="4">
        <v>556.0</v>
      </c>
      <c r="B2772" s="2" t="s">
        <v>10903</v>
      </c>
      <c r="C2772" s="2" t="s">
        <v>10904</v>
      </c>
      <c r="D2772" s="2" t="s">
        <v>10905</v>
      </c>
      <c r="E2772" s="2" t="s">
        <v>10906</v>
      </c>
      <c r="F2772" s="2" t="b">
        <v>1</v>
      </c>
      <c r="G2772" s="2" t="b">
        <v>0</v>
      </c>
      <c r="H2772" s="2" t="s">
        <v>527</v>
      </c>
      <c r="I2772" s="2" t="s">
        <v>22</v>
      </c>
      <c r="J2772" s="2" t="s">
        <v>59</v>
      </c>
      <c r="K2772" s="2" t="s">
        <v>24</v>
      </c>
      <c r="L2772" s="13" t="s">
        <v>51</v>
      </c>
      <c r="M2772" s="2" t="s">
        <v>26</v>
      </c>
      <c r="P2772" s="5" t="str">
        <f>IFERROR(__xludf.DUMMYFUNCTION("TEXTJOIN("" | "",TRUE,IF(OR(D2772="""",E2772="""",I2772="""",J2772="""",H2772=""""),""ফাঁকা ঘর"",""""),IF(AND(C2772&lt;&gt;"""",D2772&lt;&gt;"""",C2772=D2772),""gloss=figurative"",""""),IF(LEN(D2772)&lt;15,""figurative ছোট"",""""),IF(AND(I2772=""Positive"",REGEXMATCH(H2"&amp;"772,""মূর্খ|ভণ্ড|প্রতার|অলস|লোভ|স্বার্থ|অক্ষম|অযোগ্য|বোকা|কৃপণ|হিংস"")),""valence-target অমিল"",""""),IF(COUNTIF($B:$B,B2772)&gt;1,""ডুপ্লিকেট"",""""))"),"")</f>
        <v/>
      </c>
      <c r="Q2772" s="5" t="str">
        <f t="shared" si="1"/>
        <v>২ পরে</v>
      </c>
    </row>
    <row r="2773">
      <c r="A2773" s="4">
        <v>557.0</v>
      </c>
      <c r="B2773" s="2" t="s">
        <v>10907</v>
      </c>
      <c r="C2773" s="2" t="s">
        <v>10036</v>
      </c>
      <c r="D2773" s="2" t="s">
        <v>10037</v>
      </c>
      <c r="E2773" s="2" t="s">
        <v>10908</v>
      </c>
      <c r="F2773" s="2" t="b">
        <v>1</v>
      </c>
      <c r="G2773" s="2" t="b">
        <v>0</v>
      </c>
      <c r="H2773" s="2" t="s">
        <v>37</v>
      </c>
      <c r="I2773" s="2" t="s">
        <v>32</v>
      </c>
      <c r="J2773" s="2" t="s">
        <v>9177</v>
      </c>
      <c r="K2773" s="2" t="s">
        <v>24</v>
      </c>
      <c r="L2773" s="13" t="s">
        <v>51</v>
      </c>
      <c r="M2773" s="2" t="s">
        <v>26</v>
      </c>
      <c r="P2773" s="5" t="str">
        <f>IFERROR(__xludf.DUMMYFUNCTION("TEXTJOIN("" | "",TRUE,IF(OR(D2773="""",E2773="""",I2773="""",J2773="""",H2773=""""),""ফাঁকা ঘর"",""""),IF(AND(C2773&lt;&gt;"""",D2773&lt;&gt;"""",C2773=D2773),""gloss=figurative"",""""),IF(LEN(D2773)&lt;15,""figurative ছোট"",""""),IF(AND(I2773=""Positive"",REGEXMATCH(H2"&amp;"773,""মূর্খ|ভণ্ড|প্রতার|অলস|লোভ|স্বার্থ|অক্ষম|অযোগ্য|বোকা|কৃপণ|হিংস"")),""valence-target অমিল"",""""),IF(COUNTIF($B:$B,B2773)&gt;1,""ডুপ্লিকেট"",""""))"),"")</f>
        <v/>
      </c>
      <c r="Q2773" s="5" t="str">
        <f t="shared" si="1"/>
        <v>২ পরে</v>
      </c>
    </row>
    <row r="2774">
      <c r="A2774" s="4">
        <v>558.0</v>
      </c>
      <c r="B2774" s="2" t="s">
        <v>10909</v>
      </c>
      <c r="C2774" s="2" t="s">
        <v>10910</v>
      </c>
      <c r="D2774" s="2" t="s">
        <v>10911</v>
      </c>
      <c r="E2774" s="2" t="s">
        <v>10912</v>
      </c>
      <c r="F2774" s="2" t="b">
        <v>1</v>
      </c>
      <c r="G2774" s="2" t="b">
        <v>0</v>
      </c>
      <c r="H2774" s="2" t="s">
        <v>10913</v>
      </c>
      <c r="I2774" s="2" t="s">
        <v>22</v>
      </c>
      <c r="J2774" s="2" t="s">
        <v>59</v>
      </c>
      <c r="K2774" s="2" t="s">
        <v>24</v>
      </c>
      <c r="L2774" s="13" t="s">
        <v>51</v>
      </c>
      <c r="M2774" s="2" t="s">
        <v>26</v>
      </c>
      <c r="P2774" s="5" t="str">
        <f>IFERROR(__xludf.DUMMYFUNCTION("TEXTJOIN("" | "",TRUE,IF(OR(D2774="""",E2774="""",I2774="""",J2774="""",H2774=""""),""ফাঁকা ঘর"",""""),IF(AND(C2774&lt;&gt;"""",D2774&lt;&gt;"""",C2774=D2774),""gloss=figurative"",""""),IF(LEN(D2774)&lt;15,""figurative ছোট"",""""),IF(AND(I2774=""Positive"",REGEXMATCH(H2"&amp;"774,""মূর্খ|ভণ্ড|প্রতার|অলস|লোভ|স্বার্থ|অক্ষম|অযোগ্য|বোকা|কৃপণ|হিংস"")),""valence-target অমিল"",""""),IF(COUNTIF($B:$B,B2774)&gt;1,""ডুপ্লিকেট"",""""))"),"")</f>
        <v/>
      </c>
      <c r="Q2774" s="5" t="str">
        <f t="shared" si="1"/>
        <v>২ পরে</v>
      </c>
    </row>
    <row r="2775">
      <c r="A2775" s="4">
        <v>559.0</v>
      </c>
      <c r="B2775" s="2" t="s">
        <v>10914</v>
      </c>
      <c r="C2775" s="2" t="s">
        <v>10915</v>
      </c>
      <c r="D2775" s="2" t="s">
        <v>10734</v>
      </c>
      <c r="E2775" s="2" t="s">
        <v>10916</v>
      </c>
      <c r="F2775" s="2" t="b">
        <v>1</v>
      </c>
      <c r="G2775" s="2" t="b">
        <v>0</v>
      </c>
      <c r="H2775" s="2" t="s">
        <v>8963</v>
      </c>
      <c r="I2775" s="2" t="s">
        <v>22</v>
      </c>
      <c r="J2775" s="2" t="s">
        <v>59</v>
      </c>
      <c r="K2775" s="2" t="s">
        <v>24</v>
      </c>
      <c r="L2775" s="13" t="s">
        <v>51</v>
      </c>
      <c r="M2775" s="2" t="s">
        <v>26</v>
      </c>
      <c r="P2775" s="5" t="str">
        <f>IFERROR(__xludf.DUMMYFUNCTION("TEXTJOIN("" | "",TRUE,IF(OR(D2775="""",E2775="""",I2775="""",J2775="""",H2775=""""),""ফাঁকা ঘর"",""""),IF(AND(C2775&lt;&gt;"""",D2775&lt;&gt;"""",C2775=D2775),""gloss=figurative"",""""),IF(LEN(D2775)&lt;15,""figurative ছোট"",""""),IF(AND(I2775=""Positive"",REGEXMATCH(H2"&amp;"775,""মূর্খ|ভণ্ড|প্রতার|অলস|লোভ|স্বার্থ|অক্ষম|অযোগ্য|বোকা|কৃপণ|হিংস"")),""valence-target অমিল"",""""),IF(COUNTIF($B:$B,B2775)&gt;1,""ডুপ্লিকেট"",""""))"),"")</f>
        <v/>
      </c>
      <c r="Q2775" s="5" t="str">
        <f t="shared" si="1"/>
        <v>২ পরে</v>
      </c>
    </row>
    <row r="2776">
      <c r="A2776" s="4">
        <v>560.0</v>
      </c>
      <c r="B2776" s="2" t="s">
        <v>10917</v>
      </c>
      <c r="C2776" s="2" t="s">
        <v>10918</v>
      </c>
      <c r="D2776" s="2" t="s">
        <v>10919</v>
      </c>
      <c r="E2776" s="2" t="s">
        <v>10920</v>
      </c>
      <c r="F2776" s="2" t="b">
        <v>1</v>
      </c>
      <c r="G2776" s="2" t="b">
        <v>0</v>
      </c>
      <c r="H2776" s="2" t="s">
        <v>10921</v>
      </c>
      <c r="I2776" s="2" t="s">
        <v>22</v>
      </c>
      <c r="J2776" s="2" t="s">
        <v>59</v>
      </c>
      <c r="K2776" s="2" t="s">
        <v>24</v>
      </c>
      <c r="L2776" s="13" t="s">
        <v>51</v>
      </c>
      <c r="M2776" s="2" t="s">
        <v>26</v>
      </c>
      <c r="P2776" s="5" t="str">
        <f>IFERROR(__xludf.DUMMYFUNCTION("TEXTJOIN("" | "",TRUE,IF(OR(D2776="""",E2776="""",I2776="""",J2776="""",H2776=""""),""ফাঁকা ঘর"",""""),IF(AND(C2776&lt;&gt;"""",D2776&lt;&gt;"""",C2776=D2776),""gloss=figurative"",""""),IF(LEN(D2776)&lt;15,""figurative ছোট"",""""),IF(AND(I2776=""Positive"",REGEXMATCH(H2"&amp;"776,""মূর্খ|ভণ্ড|প্রতার|অলস|লোভ|স্বার্থ|অক্ষম|অযোগ্য|বোকা|কৃপণ|হিংস"")),""valence-target অমিল"",""""),IF(COUNTIF($B:$B,B2776)&gt;1,""ডুপ্লিকেট"",""""))"),"")</f>
        <v/>
      </c>
      <c r="Q2776" s="5" t="str">
        <f t="shared" si="1"/>
        <v>২ পরে</v>
      </c>
    </row>
    <row r="2777">
      <c r="A2777" s="4">
        <v>561.0</v>
      </c>
      <c r="B2777" s="2" t="s">
        <v>10922</v>
      </c>
      <c r="C2777" s="2" t="s">
        <v>10923</v>
      </c>
      <c r="D2777" s="2" t="s">
        <v>10924</v>
      </c>
      <c r="E2777" s="2" t="s">
        <v>10925</v>
      </c>
      <c r="F2777" s="2" t="b">
        <v>1</v>
      </c>
      <c r="G2777" s="2" t="b">
        <v>0</v>
      </c>
      <c r="H2777" s="2" t="s">
        <v>9872</v>
      </c>
      <c r="I2777" s="2" t="s">
        <v>49</v>
      </c>
      <c r="J2777" s="2" t="s">
        <v>117</v>
      </c>
      <c r="K2777" s="2" t="s">
        <v>24</v>
      </c>
      <c r="L2777" s="13" t="s">
        <v>51</v>
      </c>
      <c r="M2777" s="2" t="s">
        <v>26</v>
      </c>
      <c r="P2777" s="5" t="str">
        <f>IFERROR(__xludf.DUMMYFUNCTION("TEXTJOIN("" | "",TRUE,IF(OR(D2777="""",E2777="""",I2777="""",J2777="""",H2777=""""),""ফাঁকা ঘর"",""""),IF(AND(C2777&lt;&gt;"""",D2777&lt;&gt;"""",C2777=D2777),""gloss=figurative"",""""),IF(LEN(D2777)&lt;15,""figurative ছোট"",""""),IF(AND(I2777=""Positive"",REGEXMATCH(H2"&amp;"777,""মূর্খ|ভণ্ড|প্রতার|অলস|লোভ|স্বার্থ|অক্ষম|অযোগ্য|বোকা|কৃপণ|হিংস"")),""valence-target অমিল"",""""),IF(COUNTIF($B:$B,B2777)&gt;1,""ডুপ্লিকেট"",""""))"),"")</f>
        <v/>
      </c>
      <c r="Q2777" s="5" t="str">
        <f t="shared" si="1"/>
        <v>২ পরে</v>
      </c>
    </row>
    <row r="2778">
      <c r="A2778" s="4">
        <v>564.0</v>
      </c>
      <c r="B2778" s="2" t="s">
        <v>10926</v>
      </c>
      <c r="C2778" s="2" t="s">
        <v>10927</v>
      </c>
      <c r="D2778" s="2" t="s">
        <v>10928</v>
      </c>
      <c r="E2778" s="2" t="s">
        <v>10929</v>
      </c>
      <c r="F2778" s="2" t="b">
        <v>1</v>
      </c>
      <c r="G2778" s="2" t="b">
        <v>0</v>
      </c>
      <c r="H2778" s="2" t="s">
        <v>10280</v>
      </c>
      <c r="I2778" s="2" t="s">
        <v>22</v>
      </c>
      <c r="J2778" s="2" t="s">
        <v>59</v>
      </c>
      <c r="K2778" s="2" t="s">
        <v>24</v>
      </c>
      <c r="L2778" s="13" t="s">
        <v>51</v>
      </c>
      <c r="M2778" s="2" t="s">
        <v>26</v>
      </c>
      <c r="P2778" s="5" t="str">
        <f>IFERROR(__xludf.DUMMYFUNCTION("TEXTJOIN("" | "",TRUE,IF(OR(D2778="""",E2778="""",I2778="""",J2778="""",H2778=""""),""ফাঁকা ঘর"",""""),IF(AND(C2778&lt;&gt;"""",D2778&lt;&gt;"""",C2778=D2778),""gloss=figurative"",""""),IF(LEN(D2778)&lt;15,""figurative ছোট"",""""),IF(AND(I2778=""Positive"",REGEXMATCH(H2"&amp;"778,""মূর্খ|ভণ্ড|প্রতার|অলস|লোভ|স্বার্থ|অক্ষম|অযোগ্য|বোকা|কৃপণ|হিংস"")),""valence-target অমিল"",""""),IF(COUNTIF($B:$B,B2778)&gt;1,""ডুপ্লিকেট"",""""))"),"")</f>
        <v/>
      </c>
      <c r="Q2778" s="5" t="str">
        <f t="shared" si="1"/>
        <v>২ পরে</v>
      </c>
    </row>
    <row r="2779">
      <c r="A2779" s="4">
        <v>565.0</v>
      </c>
      <c r="B2779" s="2" t="s">
        <v>10930</v>
      </c>
      <c r="C2779" s="2" t="s">
        <v>10931</v>
      </c>
      <c r="D2779" s="2" t="s">
        <v>10932</v>
      </c>
      <c r="E2779" s="2" t="s">
        <v>10933</v>
      </c>
      <c r="F2779" s="2" t="b">
        <v>1</v>
      </c>
      <c r="G2779" s="2" t="b">
        <v>0</v>
      </c>
      <c r="H2779" s="2" t="s">
        <v>308</v>
      </c>
      <c r="I2779" s="2" t="s">
        <v>22</v>
      </c>
      <c r="J2779" s="2" t="s">
        <v>59</v>
      </c>
      <c r="K2779" s="2" t="s">
        <v>24</v>
      </c>
      <c r="L2779" s="13" t="s">
        <v>51</v>
      </c>
      <c r="M2779" s="2" t="s">
        <v>26</v>
      </c>
      <c r="P2779" s="5" t="str">
        <f>IFERROR(__xludf.DUMMYFUNCTION("TEXTJOIN("" | "",TRUE,IF(OR(D2779="""",E2779="""",I2779="""",J2779="""",H2779=""""),""ফাঁকা ঘর"",""""),IF(AND(C2779&lt;&gt;"""",D2779&lt;&gt;"""",C2779=D2779),""gloss=figurative"",""""),IF(LEN(D2779)&lt;15,""figurative ছোট"",""""),IF(AND(I2779=""Positive"",REGEXMATCH(H2"&amp;"779,""মূর্খ|ভণ্ড|প্রতার|অলস|লোভ|স্বার্থ|অক্ষম|অযোগ্য|বোকা|কৃপণ|হিংস"")),""valence-target অমিল"",""""),IF(COUNTIF($B:$B,B2779)&gt;1,""ডুপ্লিকেট"",""""))"),"")</f>
        <v/>
      </c>
      <c r="Q2779" s="5" t="str">
        <f t="shared" si="1"/>
        <v>২ পরে</v>
      </c>
    </row>
    <row r="2780">
      <c r="A2780" s="4">
        <v>566.0</v>
      </c>
      <c r="B2780" s="2" t="s">
        <v>10934</v>
      </c>
      <c r="C2780" s="2" t="s">
        <v>10935</v>
      </c>
      <c r="D2780" s="2" t="s">
        <v>10936</v>
      </c>
      <c r="E2780" s="2" t="s">
        <v>10937</v>
      </c>
      <c r="F2780" s="2" t="b">
        <v>1</v>
      </c>
      <c r="G2780" s="2" t="b">
        <v>0</v>
      </c>
      <c r="H2780" s="2" t="s">
        <v>10938</v>
      </c>
      <c r="I2780" s="2" t="s">
        <v>22</v>
      </c>
      <c r="J2780" s="2" t="s">
        <v>59</v>
      </c>
      <c r="K2780" s="2" t="s">
        <v>24</v>
      </c>
      <c r="L2780" s="13" t="s">
        <v>51</v>
      </c>
      <c r="M2780" s="2" t="s">
        <v>26</v>
      </c>
      <c r="P2780" s="5" t="str">
        <f>IFERROR(__xludf.DUMMYFUNCTION("TEXTJOIN("" | "",TRUE,IF(OR(D2780="""",E2780="""",I2780="""",J2780="""",H2780=""""),""ফাঁকা ঘর"",""""),IF(AND(C2780&lt;&gt;"""",D2780&lt;&gt;"""",C2780=D2780),""gloss=figurative"",""""),IF(LEN(D2780)&lt;15,""figurative ছোট"",""""),IF(AND(I2780=""Positive"",REGEXMATCH(H2"&amp;"780,""মূর্খ|ভণ্ড|প্রতার|অলস|লোভ|স্বার্থ|অক্ষম|অযোগ্য|বোকা|কৃপণ|হিংস"")),""valence-target অমিল"",""""),IF(COUNTIF($B:$B,B2780)&gt;1,""ডুপ্লিকেট"",""""))"),"")</f>
        <v/>
      </c>
      <c r="Q2780" s="5" t="str">
        <f t="shared" si="1"/>
        <v>২ পরে</v>
      </c>
    </row>
    <row r="2781">
      <c r="A2781" s="4">
        <v>568.0</v>
      </c>
      <c r="B2781" s="2" t="s">
        <v>10939</v>
      </c>
      <c r="C2781" s="2" t="s">
        <v>10940</v>
      </c>
      <c r="D2781" s="2" t="s">
        <v>10941</v>
      </c>
      <c r="E2781" s="2" t="s">
        <v>10942</v>
      </c>
      <c r="F2781" s="2" t="b">
        <v>1</v>
      </c>
      <c r="G2781" s="2" t="b">
        <v>0</v>
      </c>
      <c r="H2781" s="2" t="s">
        <v>10943</v>
      </c>
      <c r="I2781" s="2" t="s">
        <v>22</v>
      </c>
      <c r="J2781" s="2" t="s">
        <v>59</v>
      </c>
      <c r="K2781" s="2" t="s">
        <v>24</v>
      </c>
      <c r="L2781" s="13" t="s">
        <v>51</v>
      </c>
      <c r="M2781" s="2" t="s">
        <v>26</v>
      </c>
      <c r="P2781" s="5" t="str">
        <f>IFERROR(__xludf.DUMMYFUNCTION("TEXTJOIN("" | "",TRUE,IF(OR(D2781="""",E2781="""",I2781="""",J2781="""",H2781=""""),""ফাঁকা ঘর"",""""),IF(AND(C2781&lt;&gt;"""",D2781&lt;&gt;"""",C2781=D2781),""gloss=figurative"",""""),IF(LEN(D2781)&lt;15,""figurative ছোট"",""""),IF(AND(I2781=""Positive"",REGEXMATCH(H2"&amp;"781,""মূর্খ|ভণ্ড|প্রতার|অলস|লোভ|স্বার্থ|অক্ষম|অযোগ্য|বোকা|কৃপণ|হিংস"")),""valence-target অমিল"",""""),IF(COUNTIF($B:$B,B2781)&gt;1,""ডুপ্লিকেট"",""""))"),"")</f>
        <v/>
      </c>
      <c r="Q2781" s="5" t="str">
        <f t="shared" si="1"/>
        <v>২ পরে</v>
      </c>
    </row>
    <row r="2782">
      <c r="A2782" s="4">
        <v>570.0</v>
      </c>
      <c r="B2782" s="2" t="s">
        <v>10944</v>
      </c>
      <c r="C2782" s="2" t="s">
        <v>10945</v>
      </c>
      <c r="D2782" s="2" t="s">
        <v>10946</v>
      </c>
      <c r="E2782" s="2" t="s">
        <v>10947</v>
      </c>
      <c r="F2782" s="2" t="b">
        <v>1</v>
      </c>
      <c r="G2782" s="2" t="b">
        <v>0</v>
      </c>
      <c r="H2782" s="2" t="s">
        <v>37</v>
      </c>
      <c r="I2782" s="2" t="s">
        <v>32</v>
      </c>
      <c r="J2782" s="2" t="s">
        <v>10948</v>
      </c>
      <c r="K2782" s="2" t="s">
        <v>24</v>
      </c>
      <c r="L2782" s="13" t="s">
        <v>51</v>
      </c>
      <c r="M2782" s="2" t="s">
        <v>26</v>
      </c>
      <c r="P2782" s="5" t="str">
        <f>IFERROR(__xludf.DUMMYFUNCTION("TEXTJOIN("" | "",TRUE,IF(OR(D2782="""",E2782="""",I2782="""",J2782="""",H2782=""""),""ফাঁকা ঘর"",""""),IF(AND(C2782&lt;&gt;"""",D2782&lt;&gt;"""",C2782=D2782),""gloss=figurative"",""""),IF(LEN(D2782)&lt;15,""figurative ছোট"",""""),IF(AND(I2782=""Positive"",REGEXMATCH(H2"&amp;"782,""মূর্খ|ভণ্ড|প্রতার|অলস|লোভ|স্বার্থ|অক্ষম|অযোগ্য|বোকা|কৃপণ|হিংস"")),""valence-target অমিল"",""""),IF(COUNTIF($B:$B,B2782)&gt;1,""ডুপ্লিকেট"",""""))"),"")</f>
        <v/>
      </c>
      <c r="Q2782" s="5" t="str">
        <f t="shared" si="1"/>
        <v>২ পরে</v>
      </c>
    </row>
    <row r="2783">
      <c r="A2783" s="4">
        <v>571.0</v>
      </c>
      <c r="B2783" s="2" t="s">
        <v>10949</v>
      </c>
      <c r="C2783" s="2" t="s">
        <v>10950</v>
      </c>
      <c r="D2783" s="2" t="s">
        <v>10951</v>
      </c>
      <c r="E2783" s="2" t="s">
        <v>10952</v>
      </c>
      <c r="F2783" s="2" t="b">
        <v>1</v>
      </c>
      <c r="G2783" s="2" t="b">
        <v>0</v>
      </c>
      <c r="H2783" s="2" t="s">
        <v>10953</v>
      </c>
      <c r="I2783" s="2" t="s">
        <v>32</v>
      </c>
      <c r="J2783" s="2" t="s">
        <v>340</v>
      </c>
      <c r="K2783" s="2" t="s">
        <v>24</v>
      </c>
      <c r="L2783" s="13" t="s">
        <v>51</v>
      </c>
      <c r="M2783" s="2" t="s">
        <v>26</v>
      </c>
      <c r="P2783" s="5" t="str">
        <f>IFERROR(__xludf.DUMMYFUNCTION("TEXTJOIN("" | "",TRUE,IF(OR(D2783="""",E2783="""",I2783="""",J2783="""",H2783=""""),""ফাঁকা ঘর"",""""),IF(AND(C2783&lt;&gt;"""",D2783&lt;&gt;"""",C2783=D2783),""gloss=figurative"",""""),IF(LEN(D2783)&lt;15,""figurative ছোট"",""""),IF(AND(I2783=""Positive"",REGEXMATCH(H2"&amp;"783,""মূর্খ|ভণ্ড|প্রতার|অলস|লোভ|স্বার্থ|অক্ষম|অযোগ্য|বোকা|কৃপণ|হিংস"")),""valence-target অমিল"",""""),IF(COUNTIF($B:$B,B2783)&gt;1,""ডুপ্লিকেট"",""""))"),"")</f>
        <v/>
      </c>
      <c r="Q2783" s="5" t="str">
        <f t="shared" si="1"/>
        <v>২ পরে</v>
      </c>
    </row>
    <row r="2784">
      <c r="A2784" s="4">
        <v>572.0</v>
      </c>
      <c r="B2784" s="2" t="s">
        <v>10954</v>
      </c>
      <c r="C2784" s="2" t="s">
        <v>10955</v>
      </c>
      <c r="D2784" s="2" t="s">
        <v>10956</v>
      </c>
      <c r="E2784" s="2" t="s">
        <v>10957</v>
      </c>
      <c r="F2784" s="2" t="b">
        <v>1</v>
      </c>
      <c r="G2784" s="2" t="b">
        <v>0</v>
      </c>
      <c r="H2784" s="2" t="s">
        <v>339</v>
      </c>
      <c r="I2784" s="2" t="s">
        <v>49</v>
      </c>
      <c r="J2784" s="2" t="s">
        <v>340</v>
      </c>
      <c r="K2784" s="2" t="s">
        <v>24</v>
      </c>
      <c r="L2784" s="13" t="s">
        <v>51</v>
      </c>
      <c r="M2784" s="2" t="s">
        <v>26</v>
      </c>
      <c r="P2784" s="5" t="str">
        <f>IFERROR(__xludf.DUMMYFUNCTION("TEXTJOIN("" | "",TRUE,IF(OR(D2784="""",E2784="""",I2784="""",J2784="""",H2784=""""),""ফাঁকা ঘর"",""""),IF(AND(C2784&lt;&gt;"""",D2784&lt;&gt;"""",C2784=D2784),""gloss=figurative"",""""),IF(LEN(D2784)&lt;15,""figurative ছোট"",""""),IF(AND(I2784=""Positive"",REGEXMATCH(H2"&amp;"784,""মূর্খ|ভণ্ড|প্রতার|অলস|লোভ|স্বার্থ|অক্ষম|অযোগ্য|বোকা|কৃপণ|হিংস"")),""valence-target অমিল"",""""),IF(COUNTIF($B:$B,B2784)&gt;1,""ডুপ্লিকেট"",""""))"),"")</f>
        <v/>
      </c>
      <c r="Q2784" s="5" t="str">
        <f t="shared" si="1"/>
        <v>২ পরে</v>
      </c>
    </row>
    <row r="2785">
      <c r="A2785" s="4">
        <v>573.0</v>
      </c>
      <c r="B2785" s="2" t="s">
        <v>10958</v>
      </c>
      <c r="C2785" s="2" t="s">
        <v>10117</v>
      </c>
      <c r="D2785" s="2" t="s">
        <v>10118</v>
      </c>
      <c r="E2785" s="2" t="s">
        <v>10959</v>
      </c>
      <c r="F2785" s="2" t="b">
        <v>1</v>
      </c>
      <c r="G2785" s="2" t="b">
        <v>0</v>
      </c>
      <c r="H2785" s="2" t="s">
        <v>10120</v>
      </c>
      <c r="I2785" s="2" t="s">
        <v>49</v>
      </c>
      <c r="J2785" s="2" t="s">
        <v>142</v>
      </c>
      <c r="K2785" s="2" t="s">
        <v>24</v>
      </c>
      <c r="L2785" s="13" t="s">
        <v>51</v>
      </c>
      <c r="M2785" s="2" t="s">
        <v>26</v>
      </c>
      <c r="P2785" s="5" t="str">
        <f>IFERROR(__xludf.DUMMYFUNCTION("TEXTJOIN("" | "",TRUE,IF(OR(D2785="""",E2785="""",I2785="""",J2785="""",H2785=""""),""ফাঁকা ঘর"",""""),IF(AND(C2785&lt;&gt;"""",D2785&lt;&gt;"""",C2785=D2785),""gloss=figurative"",""""),IF(LEN(D2785)&lt;15,""figurative ছোট"",""""),IF(AND(I2785=""Positive"",REGEXMATCH(H2"&amp;"785,""মূর্খ|ভণ্ড|প্রতার|অলস|লোভ|স্বার্থ|অক্ষম|অযোগ্য|বোকা|কৃপণ|হিংস"")),""valence-target অমিল"",""""),IF(COUNTIF($B:$B,B2785)&gt;1,""ডুপ্লিকেট"",""""))"),"")</f>
        <v/>
      </c>
      <c r="Q2785" s="5" t="str">
        <f t="shared" si="1"/>
        <v>২ পরে</v>
      </c>
    </row>
    <row r="2786">
      <c r="A2786" s="4">
        <v>574.0</v>
      </c>
      <c r="B2786" s="2" t="s">
        <v>10960</v>
      </c>
      <c r="C2786" s="2" t="s">
        <v>10961</v>
      </c>
      <c r="D2786" s="2" t="s">
        <v>10962</v>
      </c>
      <c r="E2786" s="2" t="s">
        <v>10963</v>
      </c>
      <c r="F2786" s="2" t="b">
        <v>1</v>
      </c>
      <c r="G2786" s="2" t="b">
        <v>0</v>
      </c>
      <c r="H2786" s="2" t="s">
        <v>37</v>
      </c>
      <c r="I2786" s="2" t="s">
        <v>32</v>
      </c>
      <c r="J2786" s="2" t="s">
        <v>142</v>
      </c>
      <c r="K2786" s="2" t="s">
        <v>24</v>
      </c>
      <c r="L2786" s="13" t="s">
        <v>51</v>
      </c>
      <c r="M2786" s="2" t="s">
        <v>26</v>
      </c>
      <c r="P2786" s="5" t="str">
        <f>IFERROR(__xludf.DUMMYFUNCTION("TEXTJOIN("" | "",TRUE,IF(OR(D2786="""",E2786="""",I2786="""",J2786="""",H2786=""""),""ফাঁকা ঘর"",""""),IF(AND(C2786&lt;&gt;"""",D2786&lt;&gt;"""",C2786=D2786),""gloss=figurative"",""""),IF(LEN(D2786)&lt;15,""figurative ছোট"",""""),IF(AND(I2786=""Positive"",REGEXMATCH(H2"&amp;"786,""মূর্খ|ভণ্ড|প্রতার|অলস|লোভ|স্বার্থ|অক্ষম|অযোগ্য|বোকা|কৃপণ|হিংস"")),""valence-target অমিল"",""""),IF(COUNTIF($B:$B,B2786)&gt;1,""ডুপ্লিকেট"",""""))"),"")</f>
        <v/>
      </c>
      <c r="Q2786" s="5" t="str">
        <f t="shared" si="1"/>
        <v>২ পরে</v>
      </c>
    </row>
    <row r="2787">
      <c r="A2787" s="4">
        <v>575.0</v>
      </c>
      <c r="B2787" s="2" t="s">
        <v>10964</v>
      </c>
      <c r="C2787" s="2" t="s">
        <v>10965</v>
      </c>
      <c r="D2787" s="2" t="s">
        <v>10966</v>
      </c>
      <c r="E2787" s="2" t="s">
        <v>10967</v>
      </c>
      <c r="F2787" s="2" t="b">
        <v>1</v>
      </c>
      <c r="G2787" s="2" t="b">
        <v>0</v>
      </c>
      <c r="H2787" s="2" t="s">
        <v>10968</v>
      </c>
      <c r="I2787" s="2" t="s">
        <v>22</v>
      </c>
      <c r="J2787" s="2" t="s">
        <v>1934</v>
      </c>
      <c r="K2787" s="2" t="s">
        <v>24</v>
      </c>
      <c r="L2787" s="13" t="s">
        <v>51</v>
      </c>
      <c r="M2787" s="2" t="s">
        <v>26</v>
      </c>
      <c r="P2787" s="5" t="str">
        <f>IFERROR(__xludf.DUMMYFUNCTION("TEXTJOIN("" | "",TRUE,IF(OR(D2787="""",E2787="""",I2787="""",J2787="""",H2787=""""),""ফাঁকা ঘর"",""""),IF(AND(C2787&lt;&gt;"""",D2787&lt;&gt;"""",C2787=D2787),""gloss=figurative"",""""),IF(LEN(D2787)&lt;15,""figurative ছোট"",""""),IF(AND(I2787=""Positive"",REGEXMATCH(H2"&amp;"787,""মূর্খ|ভণ্ড|প্রতার|অলস|লোভ|স্বার্থ|অক্ষম|অযোগ্য|বোকা|কৃপণ|হিংস"")),""valence-target অমিল"",""""),IF(COUNTIF($B:$B,B2787)&gt;1,""ডুপ্লিকেট"",""""))"),"")</f>
        <v/>
      </c>
      <c r="Q2787" s="5" t="str">
        <f t="shared" si="1"/>
        <v>২ পরে</v>
      </c>
    </row>
    <row r="2788">
      <c r="A2788" s="4">
        <v>576.0</v>
      </c>
      <c r="B2788" s="2" t="s">
        <v>10969</v>
      </c>
      <c r="C2788" s="2" t="s">
        <v>10970</v>
      </c>
      <c r="D2788" s="2" t="s">
        <v>10971</v>
      </c>
      <c r="E2788" s="2" t="s">
        <v>10972</v>
      </c>
      <c r="F2788" s="2" t="b">
        <v>1</v>
      </c>
      <c r="G2788" s="2" t="b">
        <v>0</v>
      </c>
      <c r="H2788" s="2" t="s">
        <v>37</v>
      </c>
      <c r="I2788" s="2" t="s">
        <v>49</v>
      </c>
      <c r="J2788" s="2" t="s">
        <v>142</v>
      </c>
      <c r="K2788" s="2" t="s">
        <v>24</v>
      </c>
      <c r="L2788" s="13" t="s">
        <v>51</v>
      </c>
      <c r="M2788" s="2" t="s">
        <v>26</v>
      </c>
      <c r="P2788" s="5" t="str">
        <f>IFERROR(__xludf.DUMMYFUNCTION("TEXTJOIN("" | "",TRUE,IF(OR(D2788="""",E2788="""",I2788="""",J2788="""",H2788=""""),""ফাঁকা ঘর"",""""),IF(AND(C2788&lt;&gt;"""",D2788&lt;&gt;"""",C2788=D2788),""gloss=figurative"",""""),IF(LEN(D2788)&lt;15,""figurative ছোট"",""""),IF(AND(I2788=""Positive"",REGEXMATCH(H2"&amp;"788,""মূর্খ|ভণ্ড|প্রতার|অলস|লোভ|স্বার্থ|অক্ষম|অযোগ্য|বোকা|কৃপণ|হিংস"")),""valence-target অমিল"",""""),IF(COUNTIF($B:$B,B2788)&gt;1,""ডুপ্লিকেট"",""""))"),"")</f>
        <v/>
      </c>
      <c r="Q2788" s="5" t="str">
        <f t="shared" si="1"/>
        <v>২ পরে</v>
      </c>
    </row>
    <row r="2789">
      <c r="A2789" s="4">
        <v>578.0</v>
      </c>
      <c r="B2789" s="2" t="s">
        <v>10973</v>
      </c>
      <c r="C2789" s="2" t="s">
        <v>10974</v>
      </c>
      <c r="D2789" s="2" t="s">
        <v>10975</v>
      </c>
      <c r="E2789" s="2" t="s">
        <v>10976</v>
      </c>
      <c r="F2789" s="2" t="b">
        <v>1</v>
      </c>
      <c r="G2789" s="2" t="b">
        <v>0</v>
      </c>
      <c r="H2789" s="2" t="s">
        <v>37</v>
      </c>
      <c r="I2789" s="2" t="s">
        <v>49</v>
      </c>
      <c r="J2789" s="2" t="s">
        <v>162</v>
      </c>
      <c r="K2789" s="2" t="s">
        <v>24</v>
      </c>
      <c r="L2789" s="13" t="s">
        <v>51</v>
      </c>
      <c r="M2789" s="2" t="s">
        <v>26</v>
      </c>
      <c r="P2789" s="5" t="str">
        <f>IFERROR(__xludf.DUMMYFUNCTION("TEXTJOIN("" | "",TRUE,IF(OR(D2789="""",E2789="""",I2789="""",J2789="""",H2789=""""),""ফাঁকা ঘর"",""""),IF(AND(C2789&lt;&gt;"""",D2789&lt;&gt;"""",C2789=D2789),""gloss=figurative"",""""),IF(LEN(D2789)&lt;15,""figurative ছোট"",""""),IF(AND(I2789=""Positive"",REGEXMATCH(H2"&amp;"789,""মূর্খ|ভণ্ড|প্রতার|অলস|লোভ|স্বার্থ|অক্ষম|অযোগ্য|বোকা|কৃপণ|হিংস"")),""valence-target অমিল"",""""),IF(COUNTIF($B:$B,B2789)&gt;1,""ডুপ্লিকেট"",""""))"),"")</f>
        <v/>
      </c>
      <c r="Q2789" s="5" t="str">
        <f t="shared" si="1"/>
        <v>২ পরে</v>
      </c>
    </row>
    <row r="2790">
      <c r="A2790" s="4">
        <v>579.0</v>
      </c>
      <c r="B2790" s="2" t="s">
        <v>10977</v>
      </c>
      <c r="C2790" s="2" t="s">
        <v>10978</v>
      </c>
      <c r="D2790" s="2" t="s">
        <v>10979</v>
      </c>
      <c r="E2790" s="2" t="s">
        <v>10980</v>
      </c>
      <c r="F2790" s="2" t="b">
        <v>1</v>
      </c>
      <c r="G2790" s="2" t="b">
        <v>0</v>
      </c>
      <c r="H2790" s="2" t="s">
        <v>10981</v>
      </c>
      <c r="I2790" s="2" t="s">
        <v>49</v>
      </c>
      <c r="J2790" s="2" t="s">
        <v>169</v>
      </c>
      <c r="K2790" s="2" t="s">
        <v>24</v>
      </c>
      <c r="L2790" s="13" t="s">
        <v>51</v>
      </c>
      <c r="M2790" s="2" t="s">
        <v>26</v>
      </c>
      <c r="P2790" s="5" t="str">
        <f>IFERROR(__xludf.DUMMYFUNCTION("TEXTJOIN("" | "",TRUE,IF(OR(D2790="""",E2790="""",I2790="""",J2790="""",H2790=""""),""ফাঁকা ঘর"",""""),IF(AND(C2790&lt;&gt;"""",D2790&lt;&gt;"""",C2790=D2790),""gloss=figurative"",""""),IF(LEN(D2790)&lt;15,""figurative ছোট"",""""),IF(AND(I2790=""Positive"",REGEXMATCH(H2"&amp;"790,""মূর্খ|ভণ্ড|প্রতার|অলস|লোভ|স্বার্থ|অক্ষম|অযোগ্য|বোকা|কৃপণ|হিংস"")),""valence-target অমিল"",""""),IF(COUNTIF($B:$B,B2790)&gt;1,""ডুপ্লিকেট"",""""))"),"")</f>
        <v/>
      </c>
      <c r="Q2790" s="5" t="str">
        <f t="shared" si="1"/>
        <v>২ পরে</v>
      </c>
    </row>
    <row r="2791">
      <c r="A2791" s="4">
        <v>580.0</v>
      </c>
      <c r="B2791" s="2" t="s">
        <v>10982</v>
      </c>
      <c r="C2791" s="2" t="s">
        <v>10983</v>
      </c>
      <c r="D2791" s="2" t="s">
        <v>10984</v>
      </c>
      <c r="E2791" s="2" t="s">
        <v>10985</v>
      </c>
      <c r="F2791" s="2" t="b">
        <v>1</v>
      </c>
      <c r="G2791" s="2" t="b">
        <v>0</v>
      </c>
      <c r="H2791" s="2" t="s">
        <v>37</v>
      </c>
      <c r="I2791" s="2" t="s">
        <v>49</v>
      </c>
      <c r="J2791" s="2" t="s">
        <v>447</v>
      </c>
      <c r="K2791" s="2" t="s">
        <v>24</v>
      </c>
      <c r="L2791" s="13" t="s">
        <v>51</v>
      </c>
      <c r="M2791" s="2" t="s">
        <v>26</v>
      </c>
      <c r="P2791" s="5" t="str">
        <f>IFERROR(__xludf.DUMMYFUNCTION("TEXTJOIN("" | "",TRUE,IF(OR(D2791="""",E2791="""",I2791="""",J2791="""",H2791=""""),""ফাঁকা ঘর"",""""),IF(AND(C2791&lt;&gt;"""",D2791&lt;&gt;"""",C2791=D2791),""gloss=figurative"",""""),IF(LEN(D2791)&lt;15,""figurative ছোট"",""""),IF(AND(I2791=""Positive"",REGEXMATCH(H2"&amp;"791,""মূর্খ|ভণ্ড|প্রতার|অলস|লোভ|স্বার্থ|অক্ষম|অযোগ্য|বোকা|কৃপণ|হিংস"")),""valence-target অমিল"",""""),IF(COUNTIF($B:$B,B2791)&gt;1,""ডুপ্লিকেট"",""""))"),"")</f>
        <v/>
      </c>
      <c r="Q2791" s="5" t="str">
        <f t="shared" si="1"/>
        <v>২ পরে</v>
      </c>
    </row>
    <row r="2792">
      <c r="A2792" s="4">
        <v>582.0</v>
      </c>
      <c r="B2792" s="2" t="s">
        <v>10986</v>
      </c>
      <c r="C2792" s="2" t="s">
        <v>10987</v>
      </c>
      <c r="D2792" s="2" t="s">
        <v>10988</v>
      </c>
      <c r="E2792" s="2" t="s">
        <v>10989</v>
      </c>
      <c r="F2792" s="2" t="b">
        <v>1</v>
      </c>
      <c r="G2792" s="2" t="b">
        <v>0</v>
      </c>
      <c r="H2792" s="2" t="s">
        <v>10990</v>
      </c>
      <c r="I2792" s="2" t="s">
        <v>22</v>
      </c>
      <c r="J2792" s="2" t="s">
        <v>59</v>
      </c>
      <c r="K2792" s="2" t="s">
        <v>24</v>
      </c>
      <c r="L2792" s="13" t="s">
        <v>51</v>
      </c>
      <c r="M2792" s="2" t="s">
        <v>26</v>
      </c>
      <c r="P2792" s="5" t="str">
        <f>IFERROR(__xludf.DUMMYFUNCTION("TEXTJOIN("" | "",TRUE,IF(OR(D2792="""",E2792="""",I2792="""",J2792="""",H2792=""""),""ফাঁকা ঘর"",""""),IF(AND(C2792&lt;&gt;"""",D2792&lt;&gt;"""",C2792=D2792),""gloss=figurative"",""""),IF(LEN(D2792)&lt;15,""figurative ছোট"",""""),IF(AND(I2792=""Positive"",REGEXMATCH(H2"&amp;"792,""মূর্খ|ভণ্ড|প্রতার|অলস|লোভ|স্বার্থ|অক্ষম|অযোগ্য|বোকা|কৃপণ|হিংস"")),""valence-target অমিল"",""""),IF(COUNTIF($B:$B,B2792)&gt;1,""ডুপ্লিকেট"",""""))"),"")</f>
        <v/>
      </c>
      <c r="Q2792" s="5" t="str">
        <f t="shared" si="1"/>
        <v>২ পরে</v>
      </c>
    </row>
    <row r="2793">
      <c r="A2793" s="4">
        <v>584.0</v>
      </c>
      <c r="B2793" s="2" t="s">
        <v>10991</v>
      </c>
      <c r="C2793" s="2" t="s">
        <v>10992</v>
      </c>
      <c r="D2793" s="2" t="s">
        <v>10993</v>
      </c>
      <c r="E2793" s="2" t="s">
        <v>10994</v>
      </c>
      <c r="F2793" s="2" t="b">
        <v>1</v>
      </c>
      <c r="G2793" s="2" t="b">
        <v>0</v>
      </c>
      <c r="H2793" s="2" t="s">
        <v>10371</v>
      </c>
      <c r="I2793" s="2" t="s">
        <v>32</v>
      </c>
      <c r="J2793" s="2" t="s">
        <v>424</v>
      </c>
      <c r="K2793" s="2" t="s">
        <v>24</v>
      </c>
      <c r="L2793" s="13" t="s">
        <v>51</v>
      </c>
      <c r="M2793" s="2" t="s">
        <v>26</v>
      </c>
      <c r="P2793" s="5" t="str">
        <f>IFERROR(__xludf.DUMMYFUNCTION("TEXTJOIN("" | "",TRUE,IF(OR(D2793="""",E2793="""",I2793="""",J2793="""",H2793=""""),""ফাঁকা ঘর"",""""),IF(AND(C2793&lt;&gt;"""",D2793&lt;&gt;"""",C2793=D2793),""gloss=figurative"",""""),IF(LEN(D2793)&lt;15,""figurative ছোট"",""""),IF(AND(I2793=""Positive"",REGEXMATCH(H2"&amp;"793,""মূর্খ|ভণ্ড|প্রতার|অলস|লোভ|স্বার্থ|অক্ষম|অযোগ্য|বোকা|কৃপণ|হিংস"")),""valence-target অমিল"",""""),IF(COUNTIF($B:$B,B2793)&gt;1,""ডুপ্লিকেট"",""""))"),"")</f>
        <v/>
      </c>
      <c r="Q2793" s="5" t="str">
        <f t="shared" si="1"/>
        <v>২ পরে</v>
      </c>
    </row>
    <row r="2794">
      <c r="A2794" s="4">
        <v>585.0</v>
      </c>
      <c r="B2794" s="2" t="s">
        <v>10995</v>
      </c>
      <c r="C2794" s="2" t="s">
        <v>4091</v>
      </c>
      <c r="D2794" s="2" t="s">
        <v>10107</v>
      </c>
      <c r="E2794" s="2" t="s">
        <v>10996</v>
      </c>
      <c r="F2794" s="2" t="b">
        <v>1</v>
      </c>
      <c r="G2794" s="2" t="b">
        <v>0</v>
      </c>
      <c r="H2794" s="2" t="s">
        <v>260</v>
      </c>
      <c r="I2794" s="2" t="s">
        <v>49</v>
      </c>
      <c r="J2794" s="2" t="s">
        <v>162</v>
      </c>
      <c r="K2794" s="2" t="s">
        <v>24</v>
      </c>
      <c r="L2794" s="13" t="s">
        <v>51</v>
      </c>
      <c r="M2794" s="2" t="s">
        <v>26</v>
      </c>
      <c r="P2794" s="5" t="str">
        <f>IFERROR(__xludf.DUMMYFUNCTION("TEXTJOIN("" | "",TRUE,IF(OR(D2794="""",E2794="""",I2794="""",J2794="""",H2794=""""),""ফাঁকা ঘর"",""""),IF(AND(C2794&lt;&gt;"""",D2794&lt;&gt;"""",C2794=D2794),""gloss=figurative"",""""),IF(LEN(D2794)&lt;15,""figurative ছোট"",""""),IF(AND(I2794=""Positive"",REGEXMATCH(H2"&amp;"794,""মূর্খ|ভণ্ড|প্রতার|অলস|লোভ|স্বার্থ|অক্ষম|অযোগ্য|বোকা|কৃপণ|হিংস"")),""valence-target অমিল"",""""),IF(COUNTIF($B:$B,B2794)&gt;1,""ডুপ্লিকেট"",""""))"),"")</f>
        <v/>
      </c>
      <c r="Q2794" s="5" t="str">
        <f t="shared" si="1"/>
        <v>২ পরে</v>
      </c>
    </row>
    <row r="2795">
      <c r="A2795" s="4">
        <v>586.0</v>
      </c>
      <c r="B2795" s="2" t="s">
        <v>10997</v>
      </c>
      <c r="C2795" s="2" t="s">
        <v>10998</v>
      </c>
      <c r="D2795" s="2" t="s">
        <v>10999</v>
      </c>
      <c r="E2795" s="2" t="s">
        <v>11000</v>
      </c>
      <c r="F2795" s="2" t="b">
        <v>1</v>
      </c>
      <c r="G2795" s="2" t="b">
        <v>0</v>
      </c>
      <c r="H2795" s="2" t="s">
        <v>8837</v>
      </c>
      <c r="I2795" s="2" t="s">
        <v>32</v>
      </c>
      <c r="J2795" s="2" t="s">
        <v>324</v>
      </c>
      <c r="K2795" s="2" t="s">
        <v>24</v>
      </c>
      <c r="L2795" s="13" t="s">
        <v>51</v>
      </c>
      <c r="M2795" s="2" t="s">
        <v>26</v>
      </c>
      <c r="P2795" s="5" t="str">
        <f>IFERROR(__xludf.DUMMYFUNCTION("TEXTJOIN("" | "",TRUE,IF(OR(D2795="""",E2795="""",I2795="""",J2795="""",H2795=""""),""ফাঁকা ঘর"",""""),IF(AND(C2795&lt;&gt;"""",D2795&lt;&gt;"""",C2795=D2795),""gloss=figurative"",""""),IF(LEN(D2795)&lt;15,""figurative ছোট"",""""),IF(AND(I2795=""Positive"",REGEXMATCH(H2"&amp;"795,""মূর্খ|ভণ্ড|প্রতার|অলস|লোভ|স্বার্থ|অক্ষম|অযোগ্য|বোকা|কৃপণ|হিংস"")),""valence-target অমিল"",""""),IF(COUNTIF($B:$B,B2795)&gt;1,""ডুপ্লিকেট"",""""))"),"")</f>
        <v/>
      </c>
      <c r="Q2795" s="5" t="str">
        <f t="shared" si="1"/>
        <v>২ পরে</v>
      </c>
    </row>
    <row r="2796">
      <c r="A2796" s="4">
        <v>587.0</v>
      </c>
      <c r="B2796" s="2" t="s">
        <v>11001</v>
      </c>
      <c r="C2796" s="2" t="s">
        <v>9293</v>
      </c>
      <c r="D2796" s="2" t="s">
        <v>9294</v>
      </c>
      <c r="E2796" s="2" t="s">
        <v>11002</v>
      </c>
      <c r="F2796" s="2" t="b">
        <v>1</v>
      </c>
      <c r="G2796" s="2" t="b">
        <v>0</v>
      </c>
      <c r="H2796" s="2" t="s">
        <v>9296</v>
      </c>
      <c r="I2796" s="2" t="s">
        <v>22</v>
      </c>
      <c r="J2796" s="2" t="s">
        <v>5143</v>
      </c>
      <c r="K2796" s="2" t="s">
        <v>24</v>
      </c>
      <c r="L2796" s="13" t="s">
        <v>51</v>
      </c>
      <c r="M2796" s="2" t="s">
        <v>26</v>
      </c>
      <c r="P2796" s="5" t="str">
        <f>IFERROR(__xludf.DUMMYFUNCTION("TEXTJOIN("" | "",TRUE,IF(OR(D2796="""",E2796="""",I2796="""",J2796="""",H2796=""""),""ফাঁকা ঘর"",""""),IF(AND(C2796&lt;&gt;"""",D2796&lt;&gt;"""",C2796=D2796),""gloss=figurative"",""""),IF(LEN(D2796)&lt;15,""figurative ছোট"",""""),IF(AND(I2796=""Positive"",REGEXMATCH(H2"&amp;"796,""মূর্খ|ভণ্ড|প্রতার|অলস|লোভ|স্বার্থ|অক্ষম|অযোগ্য|বোকা|কৃপণ|হিংস"")),""valence-target অমিল"",""""),IF(COUNTIF($B:$B,B2796)&gt;1,""ডুপ্লিকেট"",""""))"),"")</f>
        <v/>
      </c>
      <c r="Q2796" s="5" t="str">
        <f t="shared" si="1"/>
        <v>২ পরে</v>
      </c>
    </row>
    <row r="2797">
      <c r="A2797" s="4">
        <v>588.0</v>
      </c>
      <c r="B2797" s="2" t="s">
        <v>11003</v>
      </c>
      <c r="C2797" s="2" t="s">
        <v>10117</v>
      </c>
      <c r="D2797" s="2" t="s">
        <v>10118</v>
      </c>
      <c r="E2797" s="2" t="s">
        <v>11004</v>
      </c>
      <c r="F2797" s="2" t="b">
        <v>1</v>
      </c>
      <c r="G2797" s="2" t="b">
        <v>0</v>
      </c>
      <c r="H2797" s="2" t="s">
        <v>10120</v>
      </c>
      <c r="I2797" s="2" t="s">
        <v>49</v>
      </c>
      <c r="J2797" s="2" t="s">
        <v>142</v>
      </c>
      <c r="K2797" s="2" t="s">
        <v>24</v>
      </c>
      <c r="L2797" s="13" t="s">
        <v>51</v>
      </c>
      <c r="M2797" s="2" t="s">
        <v>26</v>
      </c>
      <c r="P2797" s="5" t="str">
        <f>IFERROR(__xludf.DUMMYFUNCTION("TEXTJOIN("" | "",TRUE,IF(OR(D2797="""",E2797="""",I2797="""",J2797="""",H2797=""""),""ফাঁকা ঘর"",""""),IF(AND(C2797&lt;&gt;"""",D2797&lt;&gt;"""",C2797=D2797),""gloss=figurative"",""""),IF(LEN(D2797)&lt;15,""figurative ছোট"",""""),IF(AND(I2797=""Positive"",REGEXMATCH(H2"&amp;"797,""মূর্খ|ভণ্ড|প্রতার|অলস|লোভ|স্বার্থ|অক্ষম|অযোগ্য|বোকা|কৃপণ|হিংস"")),""valence-target অমিল"",""""),IF(COUNTIF($B:$B,B2797)&gt;1,""ডুপ্লিকেট"",""""))"),"")</f>
        <v/>
      </c>
      <c r="Q2797" s="5" t="str">
        <f t="shared" si="1"/>
        <v>২ পরে</v>
      </c>
    </row>
    <row r="2798">
      <c r="A2798" s="4">
        <v>589.0</v>
      </c>
      <c r="B2798" s="2" t="s">
        <v>11005</v>
      </c>
      <c r="C2798" s="2" t="s">
        <v>11006</v>
      </c>
      <c r="D2798" s="2" t="s">
        <v>11007</v>
      </c>
      <c r="E2798" s="2" t="s">
        <v>11008</v>
      </c>
      <c r="F2798" s="2" t="b">
        <v>1</v>
      </c>
      <c r="G2798" s="2" t="b">
        <v>0</v>
      </c>
      <c r="H2798" s="2" t="s">
        <v>37</v>
      </c>
      <c r="I2798" s="2" t="s">
        <v>32</v>
      </c>
      <c r="J2798" s="2" t="s">
        <v>9037</v>
      </c>
      <c r="K2798" s="2" t="s">
        <v>24</v>
      </c>
      <c r="L2798" s="13" t="s">
        <v>51</v>
      </c>
      <c r="M2798" s="2" t="s">
        <v>26</v>
      </c>
      <c r="P2798" s="5" t="str">
        <f>IFERROR(__xludf.DUMMYFUNCTION("TEXTJOIN("" | "",TRUE,IF(OR(D2798="""",E2798="""",I2798="""",J2798="""",H2798=""""),""ফাঁকা ঘর"",""""),IF(AND(C2798&lt;&gt;"""",D2798&lt;&gt;"""",C2798=D2798),""gloss=figurative"",""""),IF(LEN(D2798)&lt;15,""figurative ছোট"",""""),IF(AND(I2798=""Positive"",REGEXMATCH(H2"&amp;"798,""মূর্খ|ভণ্ড|প্রতার|অলস|লোভ|স্বার্থ|অক্ষম|অযোগ্য|বোকা|কৃপণ|হিংস"")),""valence-target অমিল"",""""),IF(COUNTIF($B:$B,B2798)&gt;1,""ডুপ্লিকেট"",""""))"),"")</f>
        <v/>
      </c>
      <c r="Q2798" s="5" t="str">
        <f t="shared" si="1"/>
        <v>২ পরে</v>
      </c>
    </row>
    <row r="2799">
      <c r="A2799" s="4">
        <v>590.0</v>
      </c>
      <c r="B2799" s="2" t="s">
        <v>11009</v>
      </c>
      <c r="C2799" s="2" t="s">
        <v>11010</v>
      </c>
      <c r="D2799" s="2" t="s">
        <v>11011</v>
      </c>
      <c r="E2799" s="2" t="s">
        <v>11012</v>
      </c>
      <c r="F2799" s="2" t="b">
        <v>1</v>
      </c>
      <c r="G2799" s="2" t="b">
        <v>0</v>
      </c>
      <c r="H2799" s="2" t="s">
        <v>10834</v>
      </c>
      <c r="I2799" s="2" t="s">
        <v>49</v>
      </c>
      <c r="J2799" s="2" t="s">
        <v>10835</v>
      </c>
      <c r="K2799" s="2" t="s">
        <v>24</v>
      </c>
      <c r="L2799" s="13" t="s">
        <v>51</v>
      </c>
      <c r="M2799" s="2" t="s">
        <v>26</v>
      </c>
      <c r="P2799" s="5" t="str">
        <f>IFERROR(__xludf.DUMMYFUNCTION("TEXTJOIN("" | "",TRUE,IF(OR(D2799="""",E2799="""",I2799="""",J2799="""",H2799=""""),""ফাঁকা ঘর"",""""),IF(AND(C2799&lt;&gt;"""",D2799&lt;&gt;"""",C2799=D2799),""gloss=figurative"",""""),IF(LEN(D2799)&lt;15,""figurative ছোট"",""""),IF(AND(I2799=""Positive"",REGEXMATCH(H2"&amp;"799,""মূর্খ|ভণ্ড|প্রতার|অলস|লোভ|স্বার্থ|অক্ষম|অযোগ্য|বোকা|কৃপণ|হিংস"")),""valence-target অমিল"",""""),IF(COUNTIF($B:$B,B2799)&gt;1,""ডুপ্লিকেট"",""""))"),"")</f>
        <v/>
      </c>
      <c r="Q2799" s="5" t="str">
        <f t="shared" si="1"/>
        <v>২ পরে</v>
      </c>
    </row>
    <row r="2800">
      <c r="A2800" s="4">
        <v>591.0</v>
      </c>
      <c r="B2800" s="2" t="s">
        <v>11013</v>
      </c>
      <c r="C2800" s="2" t="s">
        <v>11014</v>
      </c>
      <c r="D2800" s="2" t="s">
        <v>11015</v>
      </c>
      <c r="E2800" s="2" t="s">
        <v>11016</v>
      </c>
      <c r="F2800" s="2" t="b">
        <v>1</v>
      </c>
      <c r="G2800" s="2" t="b">
        <v>0</v>
      </c>
      <c r="H2800" s="2" t="s">
        <v>10878</v>
      </c>
      <c r="I2800" s="2" t="s">
        <v>32</v>
      </c>
      <c r="J2800" s="2" t="s">
        <v>59</v>
      </c>
      <c r="K2800" s="2" t="s">
        <v>24</v>
      </c>
      <c r="L2800" s="13" t="s">
        <v>51</v>
      </c>
      <c r="M2800" s="2" t="s">
        <v>26</v>
      </c>
      <c r="P2800" s="5" t="str">
        <f>IFERROR(__xludf.DUMMYFUNCTION("TEXTJOIN("" | "",TRUE,IF(OR(D2800="""",E2800="""",I2800="""",J2800="""",H2800=""""),""ফাঁকা ঘর"",""""),IF(AND(C2800&lt;&gt;"""",D2800&lt;&gt;"""",C2800=D2800),""gloss=figurative"",""""),IF(LEN(D2800)&lt;15,""figurative ছোট"",""""),IF(AND(I2800=""Positive"",REGEXMATCH(H2"&amp;"800,""মূর্খ|ভণ্ড|প্রতার|অলস|লোভ|স্বার্থ|অক্ষম|অযোগ্য|বোকা|কৃপণ|হিংস"")),""valence-target অমিল"",""""),IF(COUNTIF($B:$B,B2800)&gt;1,""ডুপ্লিকেট"",""""))"),"")</f>
        <v/>
      </c>
      <c r="Q2800" s="5" t="str">
        <f t="shared" si="1"/>
        <v>২ পরে</v>
      </c>
    </row>
    <row r="2801">
      <c r="A2801" s="4">
        <v>592.0</v>
      </c>
      <c r="B2801" s="2" t="s">
        <v>11017</v>
      </c>
      <c r="C2801" s="2" t="s">
        <v>11018</v>
      </c>
      <c r="D2801" s="2" t="s">
        <v>11019</v>
      </c>
      <c r="E2801" s="2" t="s">
        <v>11020</v>
      </c>
      <c r="F2801" s="2" t="b">
        <v>1</v>
      </c>
      <c r="G2801" s="2" t="b">
        <v>0</v>
      </c>
      <c r="H2801" s="2" t="s">
        <v>11021</v>
      </c>
      <c r="I2801" s="2" t="s">
        <v>49</v>
      </c>
      <c r="J2801" s="2" t="s">
        <v>169</v>
      </c>
      <c r="K2801" s="2" t="s">
        <v>24</v>
      </c>
      <c r="L2801" s="13" t="s">
        <v>51</v>
      </c>
      <c r="M2801" s="2" t="s">
        <v>26</v>
      </c>
      <c r="P2801" s="5" t="str">
        <f>IFERROR(__xludf.DUMMYFUNCTION("TEXTJOIN("" | "",TRUE,IF(OR(D2801="""",E2801="""",I2801="""",J2801="""",H2801=""""),""ফাঁকা ঘর"",""""),IF(AND(C2801&lt;&gt;"""",D2801&lt;&gt;"""",C2801=D2801),""gloss=figurative"",""""),IF(LEN(D2801)&lt;15,""figurative ছোট"",""""),IF(AND(I2801=""Positive"",REGEXMATCH(H2"&amp;"801,""মূর্খ|ভণ্ড|প্রতার|অলস|লোভ|স্বার্থ|অক্ষম|অযোগ্য|বোকা|কৃপণ|হিংস"")),""valence-target অমিল"",""""),IF(COUNTIF($B:$B,B2801)&gt;1,""ডুপ্লিকেট"",""""))"),"")</f>
        <v/>
      </c>
      <c r="Q2801" s="5" t="str">
        <f t="shared" si="1"/>
        <v>২ পরে</v>
      </c>
    </row>
    <row r="2802">
      <c r="A2802" s="4">
        <v>593.0</v>
      </c>
      <c r="B2802" s="2" t="s">
        <v>11022</v>
      </c>
      <c r="C2802" s="2" t="s">
        <v>11023</v>
      </c>
      <c r="D2802" s="2" t="s">
        <v>11024</v>
      </c>
      <c r="E2802" s="2" t="s">
        <v>11025</v>
      </c>
      <c r="F2802" s="2" t="b">
        <v>1</v>
      </c>
      <c r="G2802" s="2" t="b">
        <v>0</v>
      </c>
      <c r="H2802" s="2" t="s">
        <v>11021</v>
      </c>
      <c r="I2802" s="2" t="s">
        <v>49</v>
      </c>
      <c r="J2802" s="2" t="s">
        <v>169</v>
      </c>
      <c r="K2802" s="2" t="s">
        <v>24</v>
      </c>
      <c r="L2802" s="13" t="s">
        <v>51</v>
      </c>
      <c r="M2802" s="2" t="s">
        <v>26</v>
      </c>
      <c r="P2802" s="5" t="str">
        <f>IFERROR(__xludf.DUMMYFUNCTION("TEXTJOIN("" | "",TRUE,IF(OR(D2802="""",E2802="""",I2802="""",J2802="""",H2802=""""),""ফাঁকা ঘর"",""""),IF(AND(C2802&lt;&gt;"""",D2802&lt;&gt;"""",C2802=D2802),""gloss=figurative"",""""),IF(LEN(D2802)&lt;15,""figurative ছোট"",""""),IF(AND(I2802=""Positive"",REGEXMATCH(H2"&amp;"802,""মূর্খ|ভণ্ড|প্রতার|অলস|লোভ|স্বার্থ|অক্ষম|অযোগ্য|বোকা|কৃপণ|হিংস"")),""valence-target অমিল"",""""),IF(COUNTIF($B:$B,B2802)&gt;1,""ডুপ্লিকেট"",""""))"),"")</f>
        <v/>
      </c>
      <c r="Q2802" s="5" t="str">
        <f t="shared" si="1"/>
        <v>২ পরে</v>
      </c>
    </row>
    <row r="2803">
      <c r="A2803" s="4">
        <v>594.0</v>
      </c>
      <c r="B2803" s="2" t="s">
        <v>11026</v>
      </c>
      <c r="C2803" s="2" t="s">
        <v>11027</v>
      </c>
      <c r="D2803" s="2" t="s">
        <v>11028</v>
      </c>
      <c r="E2803" s="2" t="s">
        <v>11029</v>
      </c>
      <c r="F2803" s="2" t="b">
        <v>1</v>
      </c>
      <c r="G2803" s="2" t="b">
        <v>0</v>
      </c>
      <c r="H2803" s="2" t="s">
        <v>37</v>
      </c>
      <c r="I2803" s="2" t="s">
        <v>32</v>
      </c>
      <c r="J2803" s="2" t="s">
        <v>9037</v>
      </c>
      <c r="K2803" s="2" t="s">
        <v>24</v>
      </c>
      <c r="L2803" s="13" t="s">
        <v>51</v>
      </c>
      <c r="M2803" s="2" t="s">
        <v>26</v>
      </c>
      <c r="P2803" s="5" t="str">
        <f>IFERROR(__xludf.DUMMYFUNCTION("TEXTJOIN("" | "",TRUE,IF(OR(D2803="""",E2803="""",I2803="""",J2803="""",H2803=""""),""ফাঁকা ঘর"",""""),IF(AND(C2803&lt;&gt;"""",D2803&lt;&gt;"""",C2803=D2803),""gloss=figurative"",""""),IF(LEN(D2803)&lt;15,""figurative ছোট"",""""),IF(AND(I2803=""Positive"",REGEXMATCH(H2"&amp;"803,""মূর্খ|ভণ্ড|প্রতার|অলস|লোভ|স্বার্থ|অক্ষম|অযোগ্য|বোকা|কৃপণ|হিংস"")),""valence-target অমিল"",""""),IF(COUNTIF($B:$B,B2803)&gt;1,""ডুপ্লিকেট"",""""))"),"")</f>
        <v/>
      </c>
      <c r="Q2803" s="5" t="str">
        <f t="shared" si="1"/>
        <v>২ পরে</v>
      </c>
    </row>
    <row r="2804">
      <c r="A2804" s="4">
        <v>595.0</v>
      </c>
      <c r="B2804" s="2" t="s">
        <v>11030</v>
      </c>
      <c r="C2804" s="2" t="s">
        <v>11031</v>
      </c>
      <c r="D2804" s="2" t="s">
        <v>11032</v>
      </c>
      <c r="E2804" s="2" t="s">
        <v>11033</v>
      </c>
      <c r="F2804" s="2" t="b">
        <v>1</v>
      </c>
      <c r="G2804" s="2" t="b">
        <v>0</v>
      </c>
      <c r="H2804" s="2" t="s">
        <v>37</v>
      </c>
      <c r="I2804" s="2" t="s">
        <v>32</v>
      </c>
      <c r="J2804" s="2" t="s">
        <v>441</v>
      </c>
      <c r="K2804" s="2" t="s">
        <v>24</v>
      </c>
      <c r="L2804" s="13" t="s">
        <v>51</v>
      </c>
      <c r="M2804" s="2" t="s">
        <v>26</v>
      </c>
      <c r="P2804" s="5" t="str">
        <f>IFERROR(__xludf.DUMMYFUNCTION("TEXTJOIN("" | "",TRUE,IF(OR(D2804="""",E2804="""",I2804="""",J2804="""",H2804=""""),""ফাঁকা ঘর"",""""),IF(AND(C2804&lt;&gt;"""",D2804&lt;&gt;"""",C2804=D2804),""gloss=figurative"",""""),IF(LEN(D2804)&lt;15,""figurative ছোট"",""""),IF(AND(I2804=""Positive"",REGEXMATCH(H2"&amp;"804,""মূর্খ|ভণ্ড|প্রতার|অলস|লোভ|স্বার্থ|অক্ষম|অযোগ্য|বোকা|কৃপণ|হিংস"")),""valence-target অমিল"",""""),IF(COUNTIF($B:$B,B2804)&gt;1,""ডুপ্লিকেট"",""""))"),"")</f>
        <v/>
      </c>
      <c r="Q2804" s="5" t="str">
        <f t="shared" si="1"/>
        <v>২ পরে</v>
      </c>
    </row>
    <row r="2805">
      <c r="A2805" s="4">
        <v>596.0</v>
      </c>
      <c r="B2805" s="2" t="s">
        <v>11034</v>
      </c>
      <c r="C2805" s="2" t="s">
        <v>11035</v>
      </c>
      <c r="D2805" s="2" t="s">
        <v>10936</v>
      </c>
      <c r="E2805" s="2" t="s">
        <v>11036</v>
      </c>
      <c r="F2805" s="2" t="b">
        <v>1</v>
      </c>
      <c r="G2805" s="2" t="b">
        <v>0</v>
      </c>
      <c r="H2805" s="2" t="s">
        <v>10938</v>
      </c>
      <c r="I2805" s="2" t="s">
        <v>22</v>
      </c>
      <c r="J2805" s="2" t="s">
        <v>59</v>
      </c>
      <c r="K2805" s="2" t="s">
        <v>24</v>
      </c>
      <c r="L2805" s="13" t="s">
        <v>51</v>
      </c>
      <c r="M2805" s="2" t="s">
        <v>26</v>
      </c>
      <c r="P2805" s="5" t="str">
        <f>IFERROR(__xludf.DUMMYFUNCTION("TEXTJOIN("" | "",TRUE,IF(OR(D2805="""",E2805="""",I2805="""",J2805="""",H2805=""""),""ফাঁকা ঘর"",""""),IF(AND(C2805&lt;&gt;"""",D2805&lt;&gt;"""",C2805=D2805),""gloss=figurative"",""""),IF(LEN(D2805)&lt;15,""figurative ছোট"",""""),IF(AND(I2805=""Positive"",REGEXMATCH(H2"&amp;"805,""মূর্খ|ভণ্ড|প্রতার|অলস|লোভ|স্বার্থ|অক্ষম|অযোগ্য|বোকা|কৃপণ|হিংস"")),""valence-target অমিল"",""""),IF(COUNTIF($B:$B,B2805)&gt;1,""ডুপ্লিকেট"",""""))"),"")</f>
        <v/>
      </c>
      <c r="Q2805" s="5" t="str">
        <f t="shared" si="1"/>
        <v>২ পরে</v>
      </c>
    </row>
    <row r="2806">
      <c r="A2806" s="4">
        <v>597.0</v>
      </c>
      <c r="B2806" s="2" t="s">
        <v>11037</v>
      </c>
      <c r="C2806" s="2" t="s">
        <v>11038</v>
      </c>
      <c r="D2806" s="2" t="s">
        <v>9611</v>
      </c>
      <c r="E2806" s="2" t="s">
        <v>11039</v>
      </c>
      <c r="F2806" s="2" t="b">
        <v>1</v>
      </c>
      <c r="G2806" s="2" t="b">
        <v>0</v>
      </c>
      <c r="H2806" s="2" t="s">
        <v>37</v>
      </c>
      <c r="I2806" s="2" t="s">
        <v>32</v>
      </c>
      <c r="J2806" s="2" t="s">
        <v>739</v>
      </c>
      <c r="K2806" s="2" t="s">
        <v>24</v>
      </c>
      <c r="L2806" s="13" t="s">
        <v>51</v>
      </c>
      <c r="M2806" s="2" t="s">
        <v>26</v>
      </c>
      <c r="P2806" s="5" t="str">
        <f>IFERROR(__xludf.DUMMYFUNCTION("TEXTJOIN("" | "",TRUE,IF(OR(D2806="""",E2806="""",I2806="""",J2806="""",H2806=""""),""ফাঁকা ঘর"",""""),IF(AND(C2806&lt;&gt;"""",D2806&lt;&gt;"""",C2806=D2806),""gloss=figurative"",""""),IF(LEN(D2806)&lt;15,""figurative ছোট"",""""),IF(AND(I2806=""Positive"",REGEXMATCH(H2"&amp;"806,""মূর্খ|ভণ্ড|প্রতার|অলস|লোভ|স্বার্থ|অক্ষম|অযোগ্য|বোকা|কৃপণ|হিংস"")),""valence-target অমিল"",""""),IF(COUNTIF($B:$B,B2806)&gt;1,""ডুপ্লিকেট"",""""))"),"")</f>
        <v/>
      </c>
      <c r="Q2806" s="5" t="str">
        <f t="shared" si="1"/>
        <v>২ পরে</v>
      </c>
    </row>
    <row r="2807">
      <c r="A2807" s="4">
        <v>598.0</v>
      </c>
      <c r="B2807" s="2" t="s">
        <v>11040</v>
      </c>
      <c r="C2807" s="2" t="s">
        <v>11041</v>
      </c>
      <c r="D2807" s="2" t="s">
        <v>11042</v>
      </c>
      <c r="E2807" s="2" t="s">
        <v>11043</v>
      </c>
      <c r="F2807" s="2" t="b">
        <v>1</v>
      </c>
      <c r="G2807" s="2" t="b">
        <v>0</v>
      </c>
      <c r="H2807" s="2" t="s">
        <v>37</v>
      </c>
      <c r="I2807" s="2" t="s">
        <v>32</v>
      </c>
      <c r="J2807" s="2" t="s">
        <v>6566</v>
      </c>
      <c r="K2807" s="2" t="s">
        <v>24</v>
      </c>
      <c r="L2807" s="13" t="s">
        <v>51</v>
      </c>
      <c r="M2807" s="2" t="s">
        <v>26</v>
      </c>
      <c r="P2807" s="5" t="str">
        <f>IFERROR(__xludf.DUMMYFUNCTION("TEXTJOIN("" | "",TRUE,IF(OR(D2807="""",E2807="""",I2807="""",J2807="""",H2807=""""),""ফাঁকা ঘর"",""""),IF(AND(C2807&lt;&gt;"""",D2807&lt;&gt;"""",C2807=D2807),""gloss=figurative"",""""),IF(LEN(D2807)&lt;15,""figurative ছোট"",""""),IF(AND(I2807=""Positive"",REGEXMATCH(H2"&amp;"807,""মূর্খ|ভণ্ড|প্রতার|অলস|লোভ|স্বার্থ|অক্ষম|অযোগ্য|বোকা|কৃপণ|হিংস"")),""valence-target অমিল"",""""),IF(COUNTIF($B:$B,B2807)&gt;1,""ডুপ্লিকেট"",""""))"),"")</f>
        <v/>
      </c>
      <c r="Q2807" s="5" t="str">
        <f t="shared" si="1"/>
        <v>২ পরে</v>
      </c>
    </row>
    <row r="2808">
      <c r="A2808" s="4">
        <v>599.0</v>
      </c>
      <c r="B2808" s="2" t="s">
        <v>11044</v>
      </c>
      <c r="C2808" s="2" t="s">
        <v>11045</v>
      </c>
      <c r="D2808" s="2" t="s">
        <v>10183</v>
      </c>
      <c r="E2808" s="2" t="s">
        <v>11046</v>
      </c>
      <c r="F2808" s="2" t="b">
        <v>1</v>
      </c>
      <c r="G2808" s="2" t="b">
        <v>0</v>
      </c>
      <c r="H2808" s="2" t="s">
        <v>37</v>
      </c>
      <c r="I2808" s="2" t="s">
        <v>22</v>
      </c>
      <c r="J2808" s="2" t="s">
        <v>9943</v>
      </c>
      <c r="K2808" s="2" t="s">
        <v>24</v>
      </c>
      <c r="L2808" s="13" t="s">
        <v>51</v>
      </c>
      <c r="M2808" s="2" t="s">
        <v>26</v>
      </c>
      <c r="P2808" s="5" t="str">
        <f>IFERROR(__xludf.DUMMYFUNCTION("TEXTJOIN("" | "",TRUE,IF(OR(D2808="""",E2808="""",I2808="""",J2808="""",H2808=""""),""ফাঁকা ঘর"",""""),IF(AND(C2808&lt;&gt;"""",D2808&lt;&gt;"""",C2808=D2808),""gloss=figurative"",""""),IF(LEN(D2808)&lt;15,""figurative ছোট"",""""),IF(AND(I2808=""Positive"",REGEXMATCH(H2"&amp;"808,""মূর্খ|ভণ্ড|প্রতার|অলস|লোভ|স্বার্থ|অক্ষম|অযোগ্য|বোকা|কৃপণ|হিংস"")),""valence-target অমিল"",""""),IF(COUNTIF($B:$B,B2808)&gt;1,""ডুপ্লিকেট"",""""))"),"")</f>
        <v/>
      </c>
      <c r="Q2808" s="5" t="str">
        <f t="shared" si="1"/>
        <v>২ পরে</v>
      </c>
    </row>
    <row r="2809">
      <c r="A2809" s="4">
        <v>600.0</v>
      </c>
      <c r="B2809" s="2" t="s">
        <v>11047</v>
      </c>
      <c r="C2809" s="2" t="s">
        <v>11048</v>
      </c>
      <c r="D2809" s="2" t="s">
        <v>11049</v>
      </c>
      <c r="E2809" s="2" t="s">
        <v>11050</v>
      </c>
      <c r="F2809" s="2" t="b">
        <v>1</v>
      </c>
      <c r="G2809" s="2" t="b">
        <v>0</v>
      </c>
      <c r="H2809" s="2" t="s">
        <v>37</v>
      </c>
      <c r="I2809" s="2" t="s">
        <v>32</v>
      </c>
      <c r="J2809" s="2" t="s">
        <v>739</v>
      </c>
      <c r="K2809" s="2" t="s">
        <v>24</v>
      </c>
      <c r="L2809" s="13" t="s">
        <v>51</v>
      </c>
      <c r="M2809" s="2" t="s">
        <v>26</v>
      </c>
      <c r="P2809" s="5" t="str">
        <f>IFERROR(__xludf.DUMMYFUNCTION("TEXTJOIN("" | "",TRUE,IF(OR(D2809="""",E2809="""",I2809="""",J2809="""",H2809=""""),""ফাঁকা ঘর"",""""),IF(AND(C2809&lt;&gt;"""",D2809&lt;&gt;"""",C2809=D2809),""gloss=figurative"",""""),IF(LEN(D2809)&lt;15,""figurative ছোট"",""""),IF(AND(I2809=""Positive"",REGEXMATCH(H2"&amp;"809,""মূর্খ|ভণ্ড|প্রতার|অলস|লোভ|স্বার্থ|অক্ষম|অযোগ্য|বোকা|কৃপণ|হিংস"")),""valence-target অমিল"",""""),IF(COUNTIF($B:$B,B2809)&gt;1,""ডুপ্লিকেট"",""""))"),"")</f>
        <v/>
      </c>
      <c r="Q2809" s="5" t="str">
        <f t="shared" si="1"/>
        <v>২ পরে</v>
      </c>
    </row>
    <row r="2810">
      <c r="A2810" s="4">
        <v>602.0</v>
      </c>
      <c r="B2810" s="2" t="s">
        <v>11051</v>
      </c>
      <c r="C2810" s="2" t="s">
        <v>11052</v>
      </c>
      <c r="D2810" s="2" t="s">
        <v>11053</v>
      </c>
      <c r="E2810" s="2" t="s">
        <v>11054</v>
      </c>
      <c r="F2810" s="2" t="b">
        <v>1</v>
      </c>
      <c r="G2810" s="2" t="b">
        <v>0</v>
      </c>
      <c r="H2810" s="2" t="s">
        <v>37</v>
      </c>
      <c r="I2810" s="2" t="s">
        <v>32</v>
      </c>
      <c r="J2810" s="2" t="s">
        <v>436</v>
      </c>
      <c r="K2810" s="2" t="s">
        <v>24</v>
      </c>
      <c r="L2810" s="13" t="s">
        <v>51</v>
      </c>
      <c r="M2810" s="2" t="s">
        <v>26</v>
      </c>
      <c r="P2810" s="5" t="str">
        <f>IFERROR(__xludf.DUMMYFUNCTION("TEXTJOIN("" | "",TRUE,IF(OR(D2810="""",E2810="""",I2810="""",J2810="""",H2810=""""),""ফাঁকা ঘর"",""""),IF(AND(C2810&lt;&gt;"""",D2810&lt;&gt;"""",C2810=D2810),""gloss=figurative"",""""),IF(LEN(D2810)&lt;15,""figurative ছোট"",""""),IF(AND(I2810=""Positive"",REGEXMATCH(H2"&amp;"810,""মূর্খ|ভণ্ড|প্রতার|অলস|লোভ|স্বার্থ|অক্ষম|অযোগ্য|বোকা|কৃপণ|হিংস"")),""valence-target অমিল"",""""),IF(COUNTIF($B:$B,B2810)&gt;1,""ডুপ্লিকেট"",""""))"),"")</f>
        <v/>
      </c>
      <c r="Q2810" s="5" t="str">
        <f t="shared" si="1"/>
        <v>২ পরে</v>
      </c>
    </row>
    <row r="2811">
      <c r="A2811" s="4">
        <v>603.0</v>
      </c>
      <c r="B2811" s="2" t="s">
        <v>11055</v>
      </c>
      <c r="C2811" s="2" t="s">
        <v>11056</v>
      </c>
      <c r="D2811" s="2" t="s">
        <v>11057</v>
      </c>
      <c r="E2811" s="2" t="s">
        <v>11058</v>
      </c>
      <c r="F2811" s="2" t="b">
        <v>1</v>
      </c>
      <c r="G2811" s="2" t="b">
        <v>0</v>
      </c>
      <c r="H2811" s="2" t="s">
        <v>9194</v>
      </c>
      <c r="I2811" s="2" t="s">
        <v>32</v>
      </c>
      <c r="J2811" s="2" t="s">
        <v>59</v>
      </c>
      <c r="K2811" s="2" t="s">
        <v>24</v>
      </c>
      <c r="L2811" s="13" t="s">
        <v>51</v>
      </c>
      <c r="M2811" s="2" t="s">
        <v>26</v>
      </c>
      <c r="P2811" s="5" t="str">
        <f>IFERROR(__xludf.DUMMYFUNCTION("TEXTJOIN("" | "",TRUE,IF(OR(D2811="""",E2811="""",I2811="""",J2811="""",H2811=""""),""ফাঁকা ঘর"",""""),IF(AND(C2811&lt;&gt;"""",D2811&lt;&gt;"""",C2811=D2811),""gloss=figurative"",""""),IF(LEN(D2811)&lt;15,""figurative ছোট"",""""),IF(AND(I2811=""Positive"",REGEXMATCH(H2"&amp;"811,""মূর্খ|ভণ্ড|প্রতার|অলস|লোভ|স্বার্থ|অক্ষম|অযোগ্য|বোকা|কৃপণ|হিংস"")),""valence-target অমিল"",""""),IF(COUNTIF($B:$B,B2811)&gt;1,""ডুপ্লিকেট"",""""))"),"")</f>
        <v/>
      </c>
      <c r="Q2811" s="5" t="str">
        <f t="shared" si="1"/>
        <v>২ পরে</v>
      </c>
    </row>
    <row r="2812">
      <c r="A2812" s="4">
        <v>604.0</v>
      </c>
      <c r="B2812" s="2" t="s">
        <v>11059</v>
      </c>
      <c r="C2812" s="2" t="s">
        <v>11060</v>
      </c>
      <c r="D2812" s="2" t="s">
        <v>11057</v>
      </c>
      <c r="E2812" s="2" t="s">
        <v>11061</v>
      </c>
      <c r="F2812" s="2" t="b">
        <v>1</v>
      </c>
      <c r="G2812" s="2" t="b">
        <v>0</v>
      </c>
      <c r="H2812" s="2" t="s">
        <v>9194</v>
      </c>
      <c r="I2812" s="2" t="s">
        <v>32</v>
      </c>
      <c r="J2812" s="2" t="s">
        <v>59</v>
      </c>
      <c r="K2812" s="2" t="s">
        <v>24</v>
      </c>
      <c r="L2812" s="13" t="s">
        <v>51</v>
      </c>
      <c r="M2812" s="2" t="s">
        <v>26</v>
      </c>
      <c r="P2812" s="5" t="str">
        <f>IFERROR(__xludf.DUMMYFUNCTION("TEXTJOIN("" | "",TRUE,IF(OR(D2812="""",E2812="""",I2812="""",J2812="""",H2812=""""),""ফাঁকা ঘর"",""""),IF(AND(C2812&lt;&gt;"""",D2812&lt;&gt;"""",C2812=D2812),""gloss=figurative"",""""),IF(LEN(D2812)&lt;15,""figurative ছোট"",""""),IF(AND(I2812=""Positive"",REGEXMATCH(H2"&amp;"812,""মূর্খ|ভণ্ড|প্রতার|অলস|লোভ|স্বার্থ|অক্ষম|অযোগ্য|বোকা|কৃপণ|হিংস"")),""valence-target অমিল"",""""),IF(COUNTIF($B:$B,B2812)&gt;1,""ডুপ্লিকেট"",""""))"),"")</f>
        <v/>
      </c>
      <c r="Q2812" s="5" t="str">
        <f t="shared" si="1"/>
        <v>২ পরে</v>
      </c>
    </row>
    <row r="2813">
      <c r="A2813" s="4">
        <v>605.0</v>
      </c>
      <c r="B2813" s="2" t="s">
        <v>11062</v>
      </c>
      <c r="C2813" s="2" t="s">
        <v>11063</v>
      </c>
      <c r="D2813" s="2" t="s">
        <v>11064</v>
      </c>
      <c r="E2813" s="2" t="s">
        <v>11065</v>
      </c>
      <c r="F2813" s="2" t="b">
        <v>1</v>
      </c>
      <c r="G2813" s="2" t="b">
        <v>0</v>
      </c>
      <c r="H2813" s="2" t="s">
        <v>37</v>
      </c>
      <c r="I2813" s="2" t="s">
        <v>49</v>
      </c>
      <c r="J2813" s="2" t="s">
        <v>964</v>
      </c>
      <c r="K2813" s="2" t="s">
        <v>24</v>
      </c>
      <c r="L2813" s="13" t="s">
        <v>51</v>
      </c>
      <c r="M2813" s="2" t="s">
        <v>26</v>
      </c>
      <c r="P2813" s="5" t="str">
        <f>IFERROR(__xludf.DUMMYFUNCTION("TEXTJOIN("" | "",TRUE,IF(OR(D2813="""",E2813="""",I2813="""",J2813="""",H2813=""""),""ফাঁকা ঘর"",""""),IF(AND(C2813&lt;&gt;"""",D2813&lt;&gt;"""",C2813=D2813),""gloss=figurative"",""""),IF(LEN(D2813)&lt;15,""figurative ছোট"",""""),IF(AND(I2813=""Positive"",REGEXMATCH(H2"&amp;"813,""মূর্খ|ভণ্ড|প্রতার|অলস|লোভ|স্বার্থ|অক্ষম|অযোগ্য|বোকা|কৃপণ|হিংস"")),""valence-target অমিল"",""""),IF(COUNTIF($B:$B,B2813)&gt;1,""ডুপ্লিকেট"",""""))"),"")</f>
        <v/>
      </c>
      <c r="Q2813" s="5" t="str">
        <f t="shared" si="1"/>
        <v>২ পরে</v>
      </c>
    </row>
    <row r="2814">
      <c r="A2814" s="4">
        <v>606.0</v>
      </c>
      <c r="B2814" s="2" t="s">
        <v>11066</v>
      </c>
      <c r="C2814" s="2" t="s">
        <v>11067</v>
      </c>
      <c r="D2814" s="2" t="s">
        <v>11068</v>
      </c>
      <c r="E2814" s="2" t="s">
        <v>11069</v>
      </c>
      <c r="F2814" s="2" t="b">
        <v>1</v>
      </c>
      <c r="G2814" s="2" t="b">
        <v>0</v>
      </c>
      <c r="H2814" s="2" t="s">
        <v>11070</v>
      </c>
      <c r="I2814" s="2" t="s">
        <v>22</v>
      </c>
      <c r="J2814" s="2" t="s">
        <v>123</v>
      </c>
      <c r="K2814" s="2" t="s">
        <v>24</v>
      </c>
      <c r="L2814" s="13" t="s">
        <v>51</v>
      </c>
      <c r="M2814" s="2" t="s">
        <v>26</v>
      </c>
      <c r="P2814" s="5" t="str">
        <f>IFERROR(__xludf.DUMMYFUNCTION("TEXTJOIN("" | "",TRUE,IF(OR(D2814="""",E2814="""",I2814="""",J2814="""",H2814=""""),""ফাঁকা ঘর"",""""),IF(AND(C2814&lt;&gt;"""",D2814&lt;&gt;"""",C2814=D2814),""gloss=figurative"",""""),IF(LEN(D2814)&lt;15,""figurative ছোট"",""""),IF(AND(I2814=""Positive"",REGEXMATCH(H2"&amp;"814,""মূর্খ|ভণ্ড|প্রতার|অলস|লোভ|স্বার্থ|অক্ষম|অযোগ্য|বোকা|কৃপণ|হিংস"")),""valence-target অমিল"",""""),IF(COUNTIF($B:$B,B2814)&gt;1,""ডুপ্লিকেট"",""""))"),"")</f>
        <v/>
      </c>
      <c r="Q2814" s="5" t="str">
        <f t="shared" si="1"/>
        <v>২ পরে</v>
      </c>
    </row>
    <row r="2815">
      <c r="A2815" s="4">
        <v>607.0</v>
      </c>
      <c r="B2815" s="2" t="s">
        <v>11071</v>
      </c>
      <c r="C2815" s="2" t="s">
        <v>11072</v>
      </c>
      <c r="D2815" s="2" t="s">
        <v>11073</v>
      </c>
      <c r="E2815" s="2" t="s">
        <v>11074</v>
      </c>
      <c r="F2815" s="2" t="b">
        <v>1</v>
      </c>
      <c r="G2815" s="2" t="b">
        <v>0</v>
      </c>
      <c r="H2815" s="2" t="s">
        <v>11075</v>
      </c>
      <c r="I2815" s="2" t="s">
        <v>22</v>
      </c>
      <c r="J2815" s="2" t="s">
        <v>59</v>
      </c>
      <c r="K2815" s="2" t="s">
        <v>24</v>
      </c>
      <c r="L2815" s="13" t="s">
        <v>51</v>
      </c>
      <c r="M2815" s="2" t="s">
        <v>26</v>
      </c>
      <c r="P2815" s="5" t="str">
        <f>IFERROR(__xludf.DUMMYFUNCTION("TEXTJOIN("" | "",TRUE,IF(OR(D2815="""",E2815="""",I2815="""",J2815="""",H2815=""""),""ফাঁকা ঘর"",""""),IF(AND(C2815&lt;&gt;"""",D2815&lt;&gt;"""",C2815=D2815),""gloss=figurative"",""""),IF(LEN(D2815)&lt;15,""figurative ছোট"",""""),IF(AND(I2815=""Positive"",REGEXMATCH(H2"&amp;"815,""মূর্খ|ভণ্ড|প্রতার|অলস|লোভ|স্বার্থ|অক্ষম|অযোগ্য|বোকা|কৃপণ|হিংস"")),""valence-target অমিল"",""""),IF(COUNTIF($B:$B,B2815)&gt;1,""ডুপ্লিকেট"",""""))"),"")</f>
        <v/>
      </c>
      <c r="Q2815" s="5" t="str">
        <f t="shared" si="1"/>
        <v>২ পরে</v>
      </c>
    </row>
    <row r="2816">
      <c r="A2816" s="4">
        <v>608.0</v>
      </c>
      <c r="B2816" s="2" t="s">
        <v>11076</v>
      </c>
      <c r="C2816" s="2" t="s">
        <v>11077</v>
      </c>
      <c r="D2816" s="2" t="s">
        <v>11078</v>
      </c>
      <c r="E2816" s="2" t="s">
        <v>11079</v>
      </c>
      <c r="F2816" s="2" t="b">
        <v>1</v>
      </c>
      <c r="G2816" s="2" t="b">
        <v>0</v>
      </c>
      <c r="H2816" s="2" t="s">
        <v>11080</v>
      </c>
      <c r="I2816" s="2" t="s">
        <v>49</v>
      </c>
      <c r="J2816" s="2" t="s">
        <v>117</v>
      </c>
      <c r="K2816" s="2" t="s">
        <v>24</v>
      </c>
      <c r="L2816" s="13" t="s">
        <v>51</v>
      </c>
      <c r="M2816" s="2" t="s">
        <v>26</v>
      </c>
      <c r="P2816" s="5" t="str">
        <f>IFERROR(__xludf.DUMMYFUNCTION("TEXTJOIN("" | "",TRUE,IF(OR(D2816="""",E2816="""",I2816="""",J2816="""",H2816=""""),""ফাঁকা ঘর"",""""),IF(AND(C2816&lt;&gt;"""",D2816&lt;&gt;"""",C2816=D2816),""gloss=figurative"",""""),IF(LEN(D2816)&lt;15,""figurative ছোট"",""""),IF(AND(I2816=""Positive"",REGEXMATCH(H2"&amp;"816,""মূর্খ|ভণ্ড|প্রতার|অলস|লোভ|স্বার্থ|অক্ষম|অযোগ্য|বোকা|কৃপণ|হিংস"")),""valence-target অমিল"",""""),IF(COUNTIF($B:$B,B2816)&gt;1,""ডুপ্লিকেট"",""""))"),"")</f>
        <v/>
      </c>
      <c r="Q2816" s="5" t="str">
        <f t="shared" si="1"/>
        <v>২ পরে</v>
      </c>
    </row>
    <row r="2817">
      <c r="A2817" s="4">
        <v>609.0</v>
      </c>
      <c r="B2817" s="2" t="s">
        <v>11081</v>
      </c>
      <c r="C2817" s="2" t="s">
        <v>11082</v>
      </c>
      <c r="D2817" s="2" t="s">
        <v>11083</v>
      </c>
      <c r="E2817" s="2" t="s">
        <v>11084</v>
      </c>
      <c r="F2817" s="2" t="b">
        <v>1</v>
      </c>
      <c r="G2817" s="2" t="b">
        <v>0</v>
      </c>
      <c r="H2817" s="2" t="s">
        <v>356</v>
      </c>
      <c r="I2817" s="2" t="s">
        <v>32</v>
      </c>
      <c r="J2817" s="2" t="s">
        <v>300</v>
      </c>
      <c r="K2817" s="2" t="s">
        <v>24</v>
      </c>
      <c r="L2817" s="13" t="s">
        <v>51</v>
      </c>
      <c r="M2817" s="2" t="s">
        <v>26</v>
      </c>
      <c r="P2817" s="5" t="str">
        <f>IFERROR(__xludf.DUMMYFUNCTION("TEXTJOIN("" | "",TRUE,IF(OR(D2817="""",E2817="""",I2817="""",J2817="""",H2817=""""),""ফাঁকা ঘর"",""""),IF(AND(C2817&lt;&gt;"""",D2817&lt;&gt;"""",C2817=D2817),""gloss=figurative"",""""),IF(LEN(D2817)&lt;15,""figurative ছোট"",""""),IF(AND(I2817=""Positive"",REGEXMATCH(H2"&amp;"817,""মূর্খ|ভণ্ড|প্রতার|অলস|লোভ|স্বার্থ|অক্ষম|অযোগ্য|বোকা|কৃপণ|হিংস"")),""valence-target অমিল"",""""),IF(COUNTIF($B:$B,B2817)&gt;1,""ডুপ্লিকেট"",""""))"),"")</f>
        <v/>
      </c>
      <c r="Q2817" s="5" t="str">
        <f t="shared" si="1"/>
        <v>২ পরে</v>
      </c>
    </row>
    <row r="2818">
      <c r="A2818" s="4">
        <v>610.0</v>
      </c>
      <c r="B2818" s="2" t="s">
        <v>11085</v>
      </c>
      <c r="C2818" s="2" t="s">
        <v>11086</v>
      </c>
      <c r="D2818" s="2" t="s">
        <v>11087</v>
      </c>
      <c r="E2818" s="2" t="s">
        <v>11088</v>
      </c>
      <c r="F2818" s="2" t="b">
        <v>1</v>
      </c>
      <c r="G2818" s="2" t="b">
        <v>0</v>
      </c>
      <c r="H2818" s="2" t="s">
        <v>11089</v>
      </c>
      <c r="I2818" s="2" t="s">
        <v>49</v>
      </c>
      <c r="J2818" s="2" t="s">
        <v>117</v>
      </c>
      <c r="K2818" s="2" t="s">
        <v>24</v>
      </c>
      <c r="L2818" s="13" t="s">
        <v>51</v>
      </c>
      <c r="M2818" s="2" t="s">
        <v>26</v>
      </c>
      <c r="P2818" s="5" t="str">
        <f>IFERROR(__xludf.DUMMYFUNCTION("TEXTJOIN("" | "",TRUE,IF(OR(D2818="""",E2818="""",I2818="""",J2818="""",H2818=""""),""ফাঁকা ঘর"",""""),IF(AND(C2818&lt;&gt;"""",D2818&lt;&gt;"""",C2818=D2818),""gloss=figurative"",""""),IF(LEN(D2818)&lt;15,""figurative ছোট"",""""),IF(AND(I2818=""Positive"",REGEXMATCH(H2"&amp;"818,""মূর্খ|ভণ্ড|প্রতার|অলস|লোভ|স্বার্থ|অক্ষম|অযোগ্য|বোকা|কৃপণ|হিংস"")),""valence-target অমিল"",""""),IF(COUNTIF($B:$B,B2818)&gt;1,""ডুপ্লিকেট"",""""))"),"")</f>
        <v/>
      </c>
      <c r="Q2818" s="5" t="str">
        <f t="shared" si="1"/>
        <v>২ পরে</v>
      </c>
    </row>
    <row r="2819">
      <c r="A2819" s="4">
        <v>611.0</v>
      </c>
      <c r="B2819" s="2" t="s">
        <v>11090</v>
      </c>
      <c r="C2819" s="2" t="s">
        <v>11091</v>
      </c>
      <c r="D2819" s="2" t="s">
        <v>11092</v>
      </c>
      <c r="E2819" s="2" t="s">
        <v>11093</v>
      </c>
      <c r="F2819" s="2" t="b">
        <v>1</v>
      </c>
      <c r="G2819" s="2" t="b">
        <v>0</v>
      </c>
      <c r="H2819" s="2" t="s">
        <v>10981</v>
      </c>
      <c r="I2819" s="2" t="s">
        <v>49</v>
      </c>
      <c r="J2819" s="2" t="s">
        <v>11094</v>
      </c>
      <c r="K2819" s="2" t="s">
        <v>24</v>
      </c>
      <c r="L2819" s="13" t="s">
        <v>51</v>
      </c>
      <c r="M2819" s="2" t="s">
        <v>26</v>
      </c>
      <c r="P2819" s="5" t="str">
        <f>IFERROR(__xludf.DUMMYFUNCTION("TEXTJOIN("" | "",TRUE,IF(OR(D2819="""",E2819="""",I2819="""",J2819="""",H2819=""""),""ফাঁকা ঘর"",""""),IF(AND(C2819&lt;&gt;"""",D2819&lt;&gt;"""",C2819=D2819),""gloss=figurative"",""""),IF(LEN(D2819)&lt;15,""figurative ছোট"",""""),IF(AND(I2819=""Positive"",REGEXMATCH(H2"&amp;"819,""মূর্খ|ভণ্ড|প্রতার|অলস|লোভ|স্বার্থ|অক্ষম|অযোগ্য|বোকা|কৃপণ|হিংস"")),""valence-target অমিল"",""""),IF(COUNTIF($B:$B,B2819)&gt;1,""ডুপ্লিকেট"",""""))"),"")</f>
        <v/>
      </c>
      <c r="Q2819" s="5" t="str">
        <f t="shared" si="1"/>
        <v>২ পরে</v>
      </c>
    </row>
    <row r="2820">
      <c r="A2820" s="4">
        <v>612.0</v>
      </c>
      <c r="B2820" s="2" t="s">
        <v>11095</v>
      </c>
      <c r="C2820" s="2" t="s">
        <v>11096</v>
      </c>
      <c r="D2820" s="2" t="s">
        <v>11097</v>
      </c>
      <c r="E2820" s="2" t="s">
        <v>11098</v>
      </c>
      <c r="F2820" s="2" t="b">
        <v>1</v>
      </c>
      <c r="G2820" s="2" t="b">
        <v>0</v>
      </c>
      <c r="H2820" s="2" t="s">
        <v>37</v>
      </c>
      <c r="I2820" s="2" t="s">
        <v>49</v>
      </c>
      <c r="J2820" s="2" t="s">
        <v>9037</v>
      </c>
      <c r="K2820" s="2" t="s">
        <v>24</v>
      </c>
      <c r="L2820" s="13" t="s">
        <v>51</v>
      </c>
      <c r="M2820" s="2" t="s">
        <v>26</v>
      </c>
      <c r="P2820" s="5" t="str">
        <f>IFERROR(__xludf.DUMMYFUNCTION("TEXTJOIN("" | "",TRUE,IF(OR(D2820="""",E2820="""",I2820="""",J2820="""",H2820=""""),""ফাঁকা ঘর"",""""),IF(AND(C2820&lt;&gt;"""",D2820&lt;&gt;"""",C2820=D2820),""gloss=figurative"",""""),IF(LEN(D2820)&lt;15,""figurative ছোট"",""""),IF(AND(I2820=""Positive"",REGEXMATCH(H2"&amp;"820,""মূর্খ|ভণ্ড|প্রতার|অলস|লোভ|স্বার্থ|অক্ষম|অযোগ্য|বোকা|কৃপণ|হিংস"")),""valence-target অমিল"",""""),IF(COUNTIF($B:$B,B2820)&gt;1,""ডুপ্লিকেট"",""""))"),"")</f>
        <v/>
      </c>
      <c r="Q2820" s="5" t="str">
        <f t="shared" si="1"/>
        <v>২ পরে</v>
      </c>
    </row>
    <row r="2821">
      <c r="A2821" s="4">
        <v>614.0</v>
      </c>
      <c r="B2821" s="2" t="s">
        <v>11099</v>
      </c>
      <c r="C2821" s="2" t="s">
        <v>11100</v>
      </c>
      <c r="D2821" s="2" t="s">
        <v>11101</v>
      </c>
      <c r="E2821" s="2" t="s">
        <v>11102</v>
      </c>
      <c r="F2821" s="2" t="b">
        <v>1</v>
      </c>
      <c r="G2821" s="2" t="b">
        <v>0</v>
      </c>
      <c r="H2821" s="2" t="s">
        <v>11103</v>
      </c>
      <c r="I2821" s="2" t="s">
        <v>22</v>
      </c>
      <c r="J2821" s="2" t="s">
        <v>300</v>
      </c>
      <c r="K2821" s="2" t="s">
        <v>24</v>
      </c>
      <c r="L2821" s="13" t="s">
        <v>51</v>
      </c>
      <c r="M2821" s="2" t="s">
        <v>26</v>
      </c>
      <c r="P2821" s="5" t="str">
        <f>IFERROR(__xludf.DUMMYFUNCTION("TEXTJOIN("" | "",TRUE,IF(OR(D2821="""",E2821="""",I2821="""",J2821="""",H2821=""""),""ফাঁকা ঘর"",""""),IF(AND(C2821&lt;&gt;"""",D2821&lt;&gt;"""",C2821=D2821),""gloss=figurative"",""""),IF(LEN(D2821)&lt;15,""figurative ছোট"",""""),IF(AND(I2821=""Positive"",REGEXMATCH(H2"&amp;"821,""মূর্খ|ভণ্ড|প্রতার|অলস|লোভ|স্বার্থ|অক্ষম|অযোগ্য|বোকা|কৃপণ|হিংস"")),""valence-target অমিল"",""""),IF(COUNTIF($B:$B,B2821)&gt;1,""ডুপ্লিকেট"",""""))"),"")</f>
        <v/>
      </c>
      <c r="Q2821" s="5" t="str">
        <f t="shared" si="1"/>
        <v>২ পরে</v>
      </c>
    </row>
    <row r="2822">
      <c r="A2822" s="4">
        <v>615.0</v>
      </c>
      <c r="B2822" s="2" t="s">
        <v>11104</v>
      </c>
      <c r="C2822" s="2" t="s">
        <v>11105</v>
      </c>
      <c r="D2822" s="2" t="s">
        <v>11106</v>
      </c>
      <c r="E2822" s="2" t="s">
        <v>11107</v>
      </c>
      <c r="F2822" s="2" t="b">
        <v>1</v>
      </c>
      <c r="G2822" s="2" t="b">
        <v>0</v>
      </c>
      <c r="H2822" s="2" t="s">
        <v>11108</v>
      </c>
      <c r="I2822" s="2" t="s">
        <v>22</v>
      </c>
      <c r="J2822" s="2" t="s">
        <v>169</v>
      </c>
      <c r="K2822" s="2" t="s">
        <v>24</v>
      </c>
      <c r="L2822" s="13" t="s">
        <v>51</v>
      </c>
      <c r="M2822" s="2" t="s">
        <v>26</v>
      </c>
      <c r="P2822" s="5" t="str">
        <f>IFERROR(__xludf.DUMMYFUNCTION("TEXTJOIN("" | "",TRUE,IF(OR(D2822="""",E2822="""",I2822="""",J2822="""",H2822=""""),""ফাঁকা ঘর"",""""),IF(AND(C2822&lt;&gt;"""",D2822&lt;&gt;"""",C2822=D2822),""gloss=figurative"",""""),IF(LEN(D2822)&lt;15,""figurative ছোট"",""""),IF(AND(I2822=""Positive"",REGEXMATCH(H2"&amp;"822,""মূর্খ|ভণ্ড|প্রতার|অলস|লোভ|স্বার্থ|অক্ষম|অযোগ্য|বোকা|কৃপণ|হিংস"")),""valence-target অমিল"",""""),IF(COUNTIF($B:$B,B2822)&gt;1,""ডুপ্লিকেট"",""""))"),"")</f>
        <v/>
      </c>
      <c r="Q2822" s="5" t="str">
        <f t="shared" si="1"/>
        <v>২ পরে</v>
      </c>
    </row>
    <row r="2823">
      <c r="A2823" s="4">
        <v>616.0</v>
      </c>
      <c r="B2823" s="2" t="s">
        <v>11109</v>
      </c>
      <c r="C2823" s="2" t="s">
        <v>11110</v>
      </c>
      <c r="D2823" s="2" t="s">
        <v>11111</v>
      </c>
      <c r="E2823" s="2" t="s">
        <v>11112</v>
      </c>
      <c r="F2823" s="2" t="b">
        <v>1</v>
      </c>
      <c r="G2823" s="2" t="b">
        <v>0</v>
      </c>
      <c r="H2823" s="2" t="s">
        <v>8772</v>
      </c>
      <c r="I2823" s="2" t="s">
        <v>32</v>
      </c>
      <c r="J2823" s="2" t="s">
        <v>964</v>
      </c>
      <c r="K2823" s="2" t="s">
        <v>24</v>
      </c>
      <c r="L2823" s="13" t="s">
        <v>51</v>
      </c>
      <c r="M2823" s="2" t="s">
        <v>26</v>
      </c>
      <c r="P2823" s="5" t="str">
        <f>IFERROR(__xludf.DUMMYFUNCTION("TEXTJOIN("" | "",TRUE,IF(OR(D2823="""",E2823="""",I2823="""",J2823="""",H2823=""""),""ফাঁকা ঘর"",""""),IF(AND(C2823&lt;&gt;"""",D2823&lt;&gt;"""",C2823=D2823),""gloss=figurative"",""""),IF(LEN(D2823)&lt;15,""figurative ছোট"",""""),IF(AND(I2823=""Positive"",REGEXMATCH(H2"&amp;"823,""মূর্খ|ভণ্ড|প্রতার|অলস|লোভ|স্বার্থ|অক্ষম|অযোগ্য|বোকা|কৃপণ|হিংস"")),""valence-target অমিল"",""""),IF(COUNTIF($B:$B,B2823)&gt;1,""ডুপ্লিকেট"",""""))"),"")</f>
        <v/>
      </c>
      <c r="Q2823" s="5" t="str">
        <f t="shared" si="1"/>
        <v>২ পরে</v>
      </c>
    </row>
    <row r="2824">
      <c r="A2824" s="4">
        <v>617.0</v>
      </c>
      <c r="B2824" s="2" t="s">
        <v>11113</v>
      </c>
      <c r="C2824" s="2" t="s">
        <v>11114</v>
      </c>
      <c r="D2824" s="2" t="s">
        <v>11115</v>
      </c>
      <c r="E2824" s="2" t="s">
        <v>11116</v>
      </c>
      <c r="F2824" s="2" t="b">
        <v>1</v>
      </c>
      <c r="G2824" s="2" t="b">
        <v>0</v>
      </c>
      <c r="H2824" s="2" t="s">
        <v>9598</v>
      </c>
      <c r="I2824" s="2" t="s">
        <v>22</v>
      </c>
      <c r="J2824" s="2" t="s">
        <v>59</v>
      </c>
      <c r="K2824" s="2" t="s">
        <v>24</v>
      </c>
      <c r="L2824" s="13" t="s">
        <v>51</v>
      </c>
      <c r="M2824" s="2" t="s">
        <v>26</v>
      </c>
      <c r="P2824" s="5" t="str">
        <f>IFERROR(__xludf.DUMMYFUNCTION("TEXTJOIN("" | "",TRUE,IF(OR(D2824="""",E2824="""",I2824="""",J2824="""",H2824=""""),""ফাঁকা ঘর"",""""),IF(AND(C2824&lt;&gt;"""",D2824&lt;&gt;"""",C2824=D2824),""gloss=figurative"",""""),IF(LEN(D2824)&lt;15,""figurative ছোট"",""""),IF(AND(I2824=""Positive"",REGEXMATCH(H2"&amp;"824,""মূর্খ|ভণ্ড|প্রতার|অলস|লোভ|স্বার্থ|অক্ষম|অযোগ্য|বোকা|কৃপণ|হিংস"")),""valence-target অমিল"",""""),IF(COUNTIF($B:$B,B2824)&gt;1,""ডুপ্লিকেট"",""""))"),"")</f>
        <v/>
      </c>
      <c r="Q2824" s="5" t="str">
        <f t="shared" si="1"/>
        <v>২ পরে</v>
      </c>
    </row>
    <row r="2825">
      <c r="A2825" s="4">
        <v>618.0</v>
      </c>
      <c r="B2825" s="2" t="s">
        <v>11117</v>
      </c>
      <c r="C2825" s="2" t="s">
        <v>11118</v>
      </c>
      <c r="D2825" s="2" t="s">
        <v>11119</v>
      </c>
      <c r="E2825" s="2" t="s">
        <v>11120</v>
      </c>
      <c r="F2825" s="2" t="b">
        <v>1</v>
      </c>
      <c r="G2825" s="2" t="b">
        <v>0</v>
      </c>
      <c r="H2825" s="2" t="s">
        <v>9580</v>
      </c>
      <c r="I2825" s="2" t="s">
        <v>49</v>
      </c>
      <c r="J2825" s="2" t="s">
        <v>1679</v>
      </c>
      <c r="K2825" s="2" t="s">
        <v>24</v>
      </c>
      <c r="L2825" s="13" t="s">
        <v>51</v>
      </c>
      <c r="M2825" s="2" t="s">
        <v>26</v>
      </c>
      <c r="P2825" s="5" t="str">
        <f>IFERROR(__xludf.DUMMYFUNCTION("TEXTJOIN("" | "",TRUE,IF(OR(D2825="""",E2825="""",I2825="""",J2825="""",H2825=""""),""ফাঁকা ঘর"",""""),IF(AND(C2825&lt;&gt;"""",D2825&lt;&gt;"""",C2825=D2825),""gloss=figurative"",""""),IF(LEN(D2825)&lt;15,""figurative ছোট"",""""),IF(AND(I2825=""Positive"",REGEXMATCH(H2"&amp;"825,""মূর্খ|ভণ্ড|প্রতার|অলস|লোভ|স্বার্থ|অক্ষম|অযোগ্য|বোকা|কৃপণ|হিংস"")),""valence-target অমিল"",""""),IF(COUNTIF($B:$B,B2825)&gt;1,""ডুপ্লিকেট"",""""))"),"")</f>
        <v/>
      </c>
      <c r="Q2825" s="5" t="str">
        <f t="shared" si="1"/>
        <v>২ পরে</v>
      </c>
    </row>
    <row r="2826">
      <c r="A2826" s="4">
        <v>619.0</v>
      </c>
      <c r="B2826" s="2" t="s">
        <v>11121</v>
      </c>
      <c r="C2826" s="2" t="s">
        <v>11122</v>
      </c>
      <c r="D2826" s="2" t="s">
        <v>11123</v>
      </c>
      <c r="E2826" s="2" t="s">
        <v>11124</v>
      </c>
      <c r="F2826" s="2" t="b">
        <v>1</v>
      </c>
      <c r="G2826" s="2" t="b">
        <v>0</v>
      </c>
      <c r="H2826" s="2" t="s">
        <v>21</v>
      </c>
      <c r="I2826" s="2" t="s">
        <v>22</v>
      </c>
      <c r="J2826" s="2" t="s">
        <v>5524</v>
      </c>
      <c r="K2826" s="2" t="s">
        <v>24</v>
      </c>
      <c r="L2826" s="13" t="s">
        <v>51</v>
      </c>
      <c r="M2826" s="2" t="s">
        <v>26</v>
      </c>
      <c r="P2826" s="5" t="str">
        <f>IFERROR(__xludf.DUMMYFUNCTION("TEXTJOIN("" | "",TRUE,IF(OR(D2826="""",E2826="""",I2826="""",J2826="""",H2826=""""),""ফাঁকা ঘর"",""""),IF(AND(C2826&lt;&gt;"""",D2826&lt;&gt;"""",C2826=D2826),""gloss=figurative"",""""),IF(LEN(D2826)&lt;15,""figurative ছোট"",""""),IF(AND(I2826=""Positive"",REGEXMATCH(H2"&amp;"826,""মূর্খ|ভণ্ড|প্রতার|অলস|লোভ|স্বার্থ|অক্ষম|অযোগ্য|বোকা|কৃপণ|হিংস"")),""valence-target অমিল"",""""),IF(COUNTIF($B:$B,B2826)&gt;1,""ডুপ্লিকেট"",""""))"),"")</f>
        <v/>
      </c>
      <c r="Q2826" s="5" t="str">
        <f t="shared" si="1"/>
        <v>২ পরে</v>
      </c>
    </row>
    <row r="2827">
      <c r="A2827" s="4">
        <v>620.0</v>
      </c>
      <c r="B2827" s="2" t="s">
        <v>11125</v>
      </c>
      <c r="C2827" s="2" t="s">
        <v>11126</v>
      </c>
      <c r="D2827" s="2" t="s">
        <v>11127</v>
      </c>
      <c r="E2827" s="2" t="s">
        <v>11128</v>
      </c>
      <c r="F2827" s="2" t="b">
        <v>1</v>
      </c>
      <c r="G2827" s="2" t="b">
        <v>0</v>
      </c>
      <c r="H2827" s="2" t="s">
        <v>11129</v>
      </c>
      <c r="I2827" s="2" t="s">
        <v>22</v>
      </c>
      <c r="J2827" s="2" t="s">
        <v>9321</v>
      </c>
      <c r="K2827" s="2" t="s">
        <v>24</v>
      </c>
      <c r="L2827" s="13" t="s">
        <v>51</v>
      </c>
      <c r="M2827" s="2" t="s">
        <v>26</v>
      </c>
      <c r="P2827" s="5" t="str">
        <f>IFERROR(__xludf.DUMMYFUNCTION("TEXTJOIN("" | "",TRUE,IF(OR(D2827="""",E2827="""",I2827="""",J2827="""",H2827=""""),""ফাঁকা ঘর"",""""),IF(AND(C2827&lt;&gt;"""",D2827&lt;&gt;"""",C2827=D2827),""gloss=figurative"",""""),IF(LEN(D2827)&lt;15,""figurative ছোট"",""""),IF(AND(I2827=""Positive"",REGEXMATCH(H2"&amp;"827,""মূর্খ|ভণ্ড|প্রতার|অলস|লোভ|স্বার্থ|অক্ষম|অযোগ্য|বোকা|কৃপণ|হিংস"")),""valence-target অমিল"",""""),IF(COUNTIF($B:$B,B2827)&gt;1,""ডুপ্লিকেট"",""""))"),"")</f>
        <v/>
      </c>
      <c r="Q2827" s="5" t="str">
        <f t="shared" si="1"/>
        <v>২ পরে</v>
      </c>
    </row>
    <row r="2828">
      <c r="A2828" s="4">
        <v>623.0</v>
      </c>
      <c r="B2828" s="2" t="s">
        <v>11130</v>
      </c>
      <c r="C2828" s="2" t="s">
        <v>11131</v>
      </c>
      <c r="D2828" s="2" t="s">
        <v>11132</v>
      </c>
      <c r="E2828" s="2" t="s">
        <v>11133</v>
      </c>
      <c r="F2828" s="2" t="b">
        <v>1</v>
      </c>
      <c r="G2828" s="2" t="b">
        <v>0</v>
      </c>
      <c r="H2828" s="2" t="s">
        <v>299</v>
      </c>
      <c r="I2828" s="2" t="s">
        <v>32</v>
      </c>
      <c r="J2828" s="2" t="s">
        <v>300</v>
      </c>
      <c r="K2828" s="2" t="s">
        <v>24</v>
      </c>
      <c r="L2828" s="13" t="s">
        <v>51</v>
      </c>
      <c r="M2828" s="2" t="s">
        <v>26</v>
      </c>
      <c r="P2828" s="5" t="str">
        <f>IFERROR(__xludf.DUMMYFUNCTION("TEXTJOIN("" | "",TRUE,IF(OR(D2828="""",E2828="""",I2828="""",J2828="""",H2828=""""),""ফাঁকা ঘর"",""""),IF(AND(C2828&lt;&gt;"""",D2828&lt;&gt;"""",C2828=D2828),""gloss=figurative"",""""),IF(LEN(D2828)&lt;15,""figurative ছোট"",""""),IF(AND(I2828=""Positive"",REGEXMATCH(H2"&amp;"828,""মূর্খ|ভণ্ড|প্রতার|অলস|লোভ|স্বার্থ|অক্ষম|অযোগ্য|বোকা|কৃপণ|হিংস"")),""valence-target অমিল"",""""),IF(COUNTIF($B:$B,B2828)&gt;1,""ডুপ্লিকেট"",""""))"),"")</f>
        <v/>
      </c>
      <c r="Q2828" s="5" t="str">
        <f t="shared" si="1"/>
        <v>২ পরে</v>
      </c>
    </row>
    <row r="2829">
      <c r="A2829" s="3">
        <v>624.0</v>
      </c>
      <c r="B2829" s="27" t="s">
        <v>11134</v>
      </c>
      <c r="C2829" s="27" t="s">
        <v>11134</v>
      </c>
      <c r="D2829" s="3" t="s">
        <v>11135</v>
      </c>
      <c r="E2829" s="3" t="s">
        <v>11136</v>
      </c>
      <c r="F2829" s="3" t="b">
        <v>1</v>
      </c>
      <c r="G2829" s="3" t="b">
        <v>1</v>
      </c>
      <c r="H2829" s="3" t="s">
        <v>11137</v>
      </c>
      <c r="I2829" s="3" t="s">
        <v>32</v>
      </c>
      <c r="J2829" s="3" t="s">
        <v>37</v>
      </c>
      <c r="K2829" s="2" t="s">
        <v>24</v>
      </c>
      <c r="M2829" s="3" t="s">
        <v>11138</v>
      </c>
      <c r="P2829" s="5" t="str">
        <f>IFERROR(__xludf.DUMMYFUNCTION("TEXTJOIN("" | "",TRUE,IF(OR(D2829="""",E2829="""",I2829="""",J2829="""",H2829=""""),""ফাঁকা ঘর"",""""),IF(AND(C2829&lt;&gt;"""",D2829&lt;&gt;"""",C2829=D2829),""gloss=figurative"",""""),IF(LEN(D2829)&lt;15,""figurative ছোট"",""""),IF(AND(I2829=""Positive"",REGEXMATCH(H2"&amp;"829,""মূর্খ|ভণ্ড|প্রতার|অলস|লোভ|স্বার্থ|অক্ষম|অযোগ্য|বোকা|কৃপণ|হিংস"")),""valence-target অমিল"",""""),IF(COUNTIF($B:$B,B2829)&gt;1,""ডুপ্লিকেট"",""""))"),"")</f>
        <v/>
      </c>
      <c r="Q2829" s="5" t="str">
        <f t="shared" si="1"/>
        <v>২ পরে</v>
      </c>
    </row>
    <row r="2830">
      <c r="A2830" s="4">
        <v>625.0</v>
      </c>
      <c r="B2830" s="2" t="s">
        <v>11139</v>
      </c>
      <c r="C2830" s="2" t="s">
        <v>11140</v>
      </c>
      <c r="D2830" s="2" t="s">
        <v>11141</v>
      </c>
      <c r="E2830" s="2" t="s">
        <v>11142</v>
      </c>
      <c r="F2830" s="2" t="b">
        <v>1</v>
      </c>
      <c r="G2830" s="2" t="b">
        <v>0</v>
      </c>
      <c r="H2830" s="2" t="s">
        <v>37</v>
      </c>
      <c r="I2830" s="2" t="s">
        <v>32</v>
      </c>
      <c r="J2830" s="2" t="s">
        <v>11143</v>
      </c>
      <c r="K2830" s="2" t="s">
        <v>376</v>
      </c>
      <c r="L2830" s="13" t="s">
        <v>377</v>
      </c>
      <c r="M2830" s="2" t="s">
        <v>26</v>
      </c>
      <c r="P2830" s="5" t="str">
        <f>IFERROR(__xludf.DUMMYFUNCTION("TEXTJOIN("" | "",TRUE,IF(OR(D2830="""",E2830="""",I2830="""",J2830="""",H2830=""""),""ফাঁকা ঘর"",""""),IF(AND(C2830&lt;&gt;"""",D2830&lt;&gt;"""",C2830=D2830),""gloss=figurative"",""""),IF(LEN(D2830)&lt;15,""figurative ছোট"",""""),IF(AND(I2830=""Positive"",REGEXMATCH(H2"&amp;"830,""মূর্খ|ভণ্ড|প্রতার|অলস|লোভ|স্বার্থ|অক্ষম|অযোগ্য|বোকা|কৃপণ|হিংস"")),""valence-target অমিল"",""""),IF(COUNTIF($B:$B,B2830)&gt;1,""ডুপ্লিকেট"",""""))"),"")</f>
        <v/>
      </c>
      <c r="Q2830" s="5" t="str">
        <f t="shared" si="1"/>
        <v>২ পরে</v>
      </c>
    </row>
    <row r="2831">
      <c r="A2831" s="4">
        <v>626.0</v>
      </c>
      <c r="B2831" s="2" t="s">
        <v>11144</v>
      </c>
      <c r="C2831" s="2" t="s">
        <v>11145</v>
      </c>
      <c r="D2831" s="2" t="s">
        <v>11146</v>
      </c>
      <c r="E2831" s="2" t="s">
        <v>11147</v>
      </c>
      <c r="F2831" s="2" t="b">
        <v>1</v>
      </c>
      <c r="G2831" s="2" t="b">
        <v>0</v>
      </c>
      <c r="H2831" s="2" t="s">
        <v>9661</v>
      </c>
      <c r="I2831" s="2" t="s">
        <v>22</v>
      </c>
      <c r="J2831" s="2" t="s">
        <v>9022</v>
      </c>
      <c r="K2831" s="2" t="s">
        <v>376</v>
      </c>
      <c r="L2831" s="13" t="s">
        <v>377</v>
      </c>
      <c r="M2831" s="2" t="s">
        <v>26</v>
      </c>
      <c r="P2831" s="5" t="str">
        <f>IFERROR(__xludf.DUMMYFUNCTION("TEXTJOIN("" | "",TRUE,IF(OR(D2831="""",E2831="""",I2831="""",J2831="""",H2831=""""),""ফাঁকা ঘর"",""""),IF(AND(C2831&lt;&gt;"""",D2831&lt;&gt;"""",C2831=D2831),""gloss=figurative"",""""),IF(LEN(D2831)&lt;15,""figurative ছোট"",""""),IF(AND(I2831=""Positive"",REGEXMATCH(H2"&amp;"831,""মূর্খ|ভণ্ড|প্রতার|অলস|লোভ|স্বার্থ|অক্ষম|অযোগ্য|বোকা|কৃপণ|হিংস"")),""valence-target অমিল"",""""),IF(COUNTIF($B:$B,B2831)&gt;1,""ডুপ্লিকেট"",""""))"),"")</f>
        <v/>
      </c>
      <c r="Q2831" s="5" t="str">
        <f t="shared" si="1"/>
        <v>২ পরে</v>
      </c>
    </row>
    <row r="2832">
      <c r="A2832" s="4">
        <v>627.0</v>
      </c>
      <c r="B2832" s="2" t="s">
        <v>11148</v>
      </c>
      <c r="C2832" s="2" t="s">
        <v>11149</v>
      </c>
      <c r="D2832" s="2" t="s">
        <v>11150</v>
      </c>
      <c r="E2832" s="2" t="s">
        <v>11151</v>
      </c>
      <c r="F2832" s="2" t="b">
        <v>1</v>
      </c>
      <c r="G2832" s="2" t="b">
        <v>0</v>
      </c>
      <c r="H2832" s="2" t="s">
        <v>356</v>
      </c>
      <c r="I2832" s="2" t="s">
        <v>22</v>
      </c>
      <c r="J2832" s="2" t="s">
        <v>11152</v>
      </c>
      <c r="K2832" s="2" t="s">
        <v>376</v>
      </c>
      <c r="L2832" s="13" t="s">
        <v>377</v>
      </c>
      <c r="M2832" s="2" t="s">
        <v>26</v>
      </c>
      <c r="P2832" s="5" t="str">
        <f>IFERROR(__xludf.DUMMYFUNCTION("TEXTJOIN("" | "",TRUE,IF(OR(D2832="""",E2832="""",I2832="""",J2832="""",H2832=""""),""ফাঁকা ঘর"",""""),IF(AND(C2832&lt;&gt;"""",D2832&lt;&gt;"""",C2832=D2832),""gloss=figurative"",""""),IF(LEN(D2832)&lt;15,""figurative ছোট"",""""),IF(AND(I2832=""Positive"",REGEXMATCH(H2"&amp;"832,""মূর্খ|ভণ্ড|প্রতার|অলস|লোভ|স্বার্থ|অক্ষম|অযোগ্য|বোকা|কৃপণ|হিংস"")),""valence-target অমিল"",""""),IF(COUNTIF($B:$B,B2832)&gt;1,""ডুপ্লিকেট"",""""))"),"")</f>
        <v/>
      </c>
      <c r="Q2832" s="5" t="str">
        <f t="shared" si="1"/>
        <v>২ পরে</v>
      </c>
    </row>
    <row r="2833">
      <c r="A2833" s="4">
        <v>628.0</v>
      </c>
      <c r="B2833" s="2" t="s">
        <v>11153</v>
      </c>
      <c r="C2833" s="2" t="s">
        <v>11154</v>
      </c>
      <c r="D2833" s="2" t="s">
        <v>11155</v>
      </c>
      <c r="E2833" s="2" t="s">
        <v>11156</v>
      </c>
      <c r="F2833" s="2" t="b">
        <v>1</v>
      </c>
      <c r="G2833" s="2" t="b">
        <v>0</v>
      </c>
      <c r="H2833" s="2" t="s">
        <v>8760</v>
      </c>
      <c r="I2833" s="2" t="s">
        <v>22</v>
      </c>
      <c r="J2833" s="2" t="s">
        <v>11157</v>
      </c>
      <c r="K2833" s="2" t="s">
        <v>376</v>
      </c>
      <c r="L2833" s="13" t="s">
        <v>377</v>
      </c>
      <c r="M2833" s="2" t="s">
        <v>26</v>
      </c>
      <c r="P2833" s="5" t="str">
        <f>IFERROR(__xludf.DUMMYFUNCTION("TEXTJOIN("" | "",TRUE,IF(OR(D2833="""",E2833="""",I2833="""",J2833="""",H2833=""""),""ফাঁকা ঘর"",""""),IF(AND(C2833&lt;&gt;"""",D2833&lt;&gt;"""",C2833=D2833),""gloss=figurative"",""""),IF(LEN(D2833)&lt;15,""figurative ছোট"",""""),IF(AND(I2833=""Positive"",REGEXMATCH(H2"&amp;"833,""মূর্খ|ভণ্ড|প্রতার|অলস|লোভ|স্বার্থ|অক্ষম|অযোগ্য|বোকা|কৃপণ|হিংস"")),""valence-target অমিল"",""""),IF(COUNTIF($B:$B,B2833)&gt;1,""ডুপ্লিকেট"",""""))"),"")</f>
        <v/>
      </c>
      <c r="Q2833" s="5" t="str">
        <f t="shared" si="1"/>
        <v>২ পরে</v>
      </c>
    </row>
    <row r="2834">
      <c r="A2834" s="4">
        <v>629.0</v>
      </c>
      <c r="B2834" s="2" t="s">
        <v>11158</v>
      </c>
      <c r="C2834" s="2" t="s">
        <v>11159</v>
      </c>
      <c r="D2834" s="2" t="s">
        <v>11160</v>
      </c>
      <c r="E2834" s="2" t="s">
        <v>11161</v>
      </c>
      <c r="F2834" s="2" t="b">
        <v>1</v>
      </c>
      <c r="G2834" s="2" t="b">
        <v>0</v>
      </c>
      <c r="H2834" s="2" t="s">
        <v>9457</v>
      </c>
      <c r="I2834" s="2" t="s">
        <v>22</v>
      </c>
      <c r="J2834" s="2" t="s">
        <v>59</v>
      </c>
      <c r="K2834" s="2" t="s">
        <v>376</v>
      </c>
      <c r="L2834" s="13" t="s">
        <v>377</v>
      </c>
      <c r="M2834" s="2" t="s">
        <v>26</v>
      </c>
      <c r="P2834" s="5" t="str">
        <f>IFERROR(__xludf.DUMMYFUNCTION("TEXTJOIN("" | "",TRUE,IF(OR(D2834="""",E2834="""",I2834="""",J2834="""",H2834=""""),""ফাঁকা ঘর"",""""),IF(AND(C2834&lt;&gt;"""",D2834&lt;&gt;"""",C2834=D2834),""gloss=figurative"",""""),IF(LEN(D2834)&lt;15,""figurative ছোট"",""""),IF(AND(I2834=""Positive"",REGEXMATCH(H2"&amp;"834,""মূর্খ|ভণ্ড|প্রতার|অলস|লোভ|স্বার্থ|অক্ষম|অযোগ্য|বোকা|কৃপণ|হিংস"")),""valence-target অমিল"",""""),IF(COUNTIF($B:$B,B2834)&gt;1,""ডুপ্লিকেট"",""""))"),"")</f>
        <v/>
      </c>
      <c r="Q2834" s="5" t="str">
        <f t="shared" si="1"/>
        <v>২ পরে</v>
      </c>
    </row>
    <row r="2835">
      <c r="A2835" s="4">
        <v>630.0</v>
      </c>
      <c r="B2835" s="2" t="s">
        <v>11162</v>
      </c>
      <c r="C2835" s="2" t="s">
        <v>11163</v>
      </c>
      <c r="D2835" s="2" t="s">
        <v>11164</v>
      </c>
      <c r="E2835" s="2" t="s">
        <v>11165</v>
      </c>
      <c r="F2835" s="2" t="b">
        <v>1</v>
      </c>
      <c r="G2835" s="2" t="b">
        <v>0</v>
      </c>
      <c r="H2835" s="2" t="s">
        <v>11166</v>
      </c>
      <c r="I2835" s="2" t="s">
        <v>32</v>
      </c>
      <c r="J2835" s="2" t="s">
        <v>142</v>
      </c>
      <c r="K2835" s="2" t="s">
        <v>376</v>
      </c>
      <c r="L2835" s="13" t="s">
        <v>377</v>
      </c>
      <c r="M2835" s="2" t="s">
        <v>26</v>
      </c>
      <c r="P2835" s="5" t="str">
        <f>IFERROR(__xludf.DUMMYFUNCTION("TEXTJOIN("" | "",TRUE,IF(OR(D2835="""",E2835="""",I2835="""",J2835="""",H2835=""""),""ফাঁকা ঘর"",""""),IF(AND(C2835&lt;&gt;"""",D2835&lt;&gt;"""",C2835=D2835),""gloss=figurative"",""""),IF(LEN(D2835)&lt;15,""figurative ছোট"",""""),IF(AND(I2835=""Positive"",REGEXMATCH(H2"&amp;"835,""মূর্খ|ভণ্ড|প্রতার|অলস|লোভ|স্বার্থ|অক্ষম|অযোগ্য|বোকা|কৃপণ|হিংস"")),""valence-target অমিল"",""""),IF(COUNTIF($B:$B,B2835)&gt;1,""ডুপ্লিকেট"",""""))"),"")</f>
        <v/>
      </c>
      <c r="Q2835" s="5" t="str">
        <f t="shared" si="1"/>
        <v>২ পরে</v>
      </c>
    </row>
    <row r="2836">
      <c r="A2836" s="4">
        <v>631.0</v>
      </c>
      <c r="B2836" s="2" t="s">
        <v>11167</v>
      </c>
      <c r="C2836" s="2" t="s">
        <v>11168</v>
      </c>
      <c r="D2836" s="2" t="s">
        <v>11169</v>
      </c>
      <c r="E2836" s="2" t="s">
        <v>11170</v>
      </c>
      <c r="F2836" s="2" t="b">
        <v>1</v>
      </c>
      <c r="G2836" s="2" t="b">
        <v>0</v>
      </c>
      <c r="H2836" s="2" t="s">
        <v>11171</v>
      </c>
      <c r="I2836" s="2" t="s">
        <v>22</v>
      </c>
      <c r="J2836" s="2" t="s">
        <v>142</v>
      </c>
      <c r="K2836" s="2" t="s">
        <v>376</v>
      </c>
      <c r="L2836" s="13" t="s">
        <v>377</v>
      </c>
      <c r="M2836" s="2" t="s">
        <v>26</v>
      </c>
      <c r="P2836" s="5" t="str">
        <f>IFERROR(__xludf.DUMMYFUNCTION("TEXTJOIN("" | "",TRUE,IF(OR(D2836="""",E2836="""",I2836="""",J2836="""",H2836=""""),""ফাঁকা ঘর"",""""),IF(AND(C2836&lt;&gt;"""",D2836&lt;&gt;"""",C2836=D2836),""gloss=figurative"",""""),IF(LEN(D2836)&lt;15,""figurative ছোট"",""""),IF(AND(I2836=""Positive"",REGEXMATCH(H2"&amp;"836,""মূর্খ|ভণ্ড|প্রতার|অলস|লোভ|স্বার্থ|অক্ষম|অযোগ্য|বোকা|কৃপণ|হিংস"")),""valence-target অমিল"",""""),IF(COUNTIF($B:$B,B2836)&gt;1,""ডুপ্লিকেট"",""""))"),"")</f>
        <v/>
      </c>
      <c r="Q2836" s="5" t="str">
        <f t="shared" si="1"/>
        <v>২ পরে</v>
      </c>
    </row>
    <row r="2837">
      <c r="A2837" s="4">
        <v>632.0</v>
      </c>
      <c r="B2837" s="2" t="s">
        <v>11172</v>
      </c>
      <c r="C2837" s="2" t="s">
        <v>11173</v>
      </c>
      <c r="D2837" s="2" t="s">
        <v>11174</v>
      </c>
      <c r="E2837" s="2" t="s">
        <v>11175</v>
      </c>
      <c r="F2837" s="2" t="b">
        <v>1</v>
      </c>
      <c r="G2837" s="2" t="b">
        <v>0</v>
      </c>
      <c r="H2837" s="2" t="s">
        <v>37</v>
      </c>
      <c r="I2837" s="2" t="s">
        <v>32</v>
      </c>
      <c r="J2837" s="2" t="s">
        <v>123</v>
      </c>
      <c r="K2837" s="2" t="s">
        <v>376</v>
      </c>
      <c r="L2837" s="13" t="s">
        <v>377</v>
      </c>
      <c r="M2837" s="2" t="s">
        <v>26</v>
      </c>
      <c r="P2837" s="5" t="str">
        <f>IFERROR(__xludf.DUMMYFUNCTION("TEXTJOIN("" | "",TRUE,IF(OR(D2837="""",E2837="""",I2837="""",J2837="""",H2837=""""),""ফাঁকা ঘর"",""""),IF(AND(C2837&lt;&gt;"""",D2837&lt;&gt;"""",C2837=D2837),""gloss=figurative"",""""),IF(LEN(D2837)&lt;15,""figurative ছোট"",""""),IF(AND(I2837=""Positive"",REGEXMATCH(H2"&amp;"837,""মূর্খ|ভণ্ড|প্রতার|অলস|লোভ|স্বার্থ|অক্ষম|অযোগ্য|বোকা|কৃপণ|হিংস"")),""valence-target অমিল"",""""),IF(COUNTIF($B:$B,B2837)&gt;1,""ডুপ্লিকেট"",""""))"),"")</f>
        <v/>
      </c>
      <c r="Q2837" s="5" t="str">
        <f t="shared" si="1"/>
        <v>২ পরে</v>
      </c>
    </row>
    <row r="2838">
      <c r="A2838" s="4">
        <v>633.0</v>
      </c>
      <c r="B2838" s="2" t="s">
        <v>11176</v>
      </c>
      <c r="C2838" s="2" t="s">
        <v>11177</v>
      </c>
      <c r="D2838" s="2" t="s">
        <v>11178</v>
      </c>
      <c r="E2838" s="2" t="s">
        <v>11179</v>
      </c>
      <c r="F2838" s="2" t="b">
        <v>1</v>
      </c>
      <c r="G2838" s="2" t="b">
        <v>0</v>
      </c>
      <c r="H2838" s="2" t="s">
        <v>37</v>
      </c>
      <c r="I2838" s="2" t="s">
        <v>32</v>
      </c>
      <c r="J2838" s="2" t="s">
        <v>11180</v>
      </c>
      <c r="K2838" s="2" t="s">
        <v>376</v>
      </c>
      <c r="L2838" s="13" t="s">
        <v>377</v>
      </c>
      <c r="M2838" s="2" t="s">
        <v>26</v>
      </c>
      <c r="P2838" s="5" t="str">
        <f>IFERROR(__xludf.DUMMYFUNCTION("TEXTJOIN("" | "",TRUE,IF(OR(D2838="""",E2838="""",I2838="""",J2838="""",H2838=""""),""ফাঁকা ঘর"",""""),IF(AND(C2838&lt;&gt;"""",D2838&lt;&gt;"""",C2838=D2838),""gloss=figurative"",""""),IF(LEN(D2838)&lt;15,""figurative ছোট"",""""),IF(AND(I2838=""Positive"",REGEXMATCH(H2"&amp;"838,""মূর্খ|ভণ্ড|প্রতার|অলস|লোভ|স্বার্থ|অক্ষম|অযোগ্য|বোকা|কৃপণ|হিংস"")),""valence-target অমিল"",""""),IF(COUNTIF($B:$B,B2838)&gt;1,""ডুপ্লিকেট"",""""))"),"")</f>
        <v/>
      </c>
      <c r="Q2838" s="5" t="str">
        <f t="shared" si="1"/>
        <v>২ পরে</v>
      </c>
    </row>
    <row r="2839">
      <c r="A2839" s="4">
        <v>634.0</v>
      </c>
      <c r="B2839" s="2" t="s">
        <v>11181</v>
      </c>
      <c r="C2839" s="2" t="s">
        <v>11182</v>
      </c>
      <c r="D2839" s="2" t="s">
        <v>11183</v>
      </c>
      <c r="E2839" s="2" t="s">
        <v>11184</v>
      </c>
      <c r="F2839" s="2" t="b">
        <v>1</v>
      </c>
      <c r="G2839" s="2" t="b">
        <v>0</v>
      </c>
      <c r="H2839" s="2" t="s">
        <v>37</v>
      </c>
      <c r="I2839" s="2" t="s">
        <v>32</v>
      </c>
      <c r="J2839" s="2" t="s">
        <v>324</v>
      </c>
      <c r="K2839" s="2" t="s">
        <v>376</v>
      </c>
      <c r="L2839" s="13" t="s">
        <v>377</v>
      </c>
      <c r="M2839" s="2" t="s">
        <v>26</v>
      </c>
      <c r="P2839" s="5" t="str">
        <f>IFERROR(__xludf.DUMMYFUNCTION("TEXTJOIN("" | "",TRUE,IF(OR(D2839="""",E2839="""",I2839="""",J2839="""",H2839=""""),""ফাঁকা ঘর"",""""),IF(AND(C2839&lt;&gt;"""",D2839&lt;&gt;"""",C2839=D2839),""gloss=figurative"",""""),IF(LEN(D2839)&lt;15,""figurative ছোট"",""""),IF(AND(I2839=""Positive"",REGEXMATCH(H2"&amp;"839,""মূর্খ|ভণ্ড|প্রতার|অলস|লোভ|স্বার্থ|অক্ষম|অযোগ্য|বোকা|কৃপণ|হিংস"")),""valence-target অমিল"",""""),IF(COUNTIF($B:$B,B2839)&gt;1,""ডুপ্লিকেট"",""""))"),"")</f>
        <v/>
      </c>
      <c r="Q2839" s="5" t="str">
        <f t="shared" si="1"/>
        <v>২ পরে</v>
      </c>
    </row>
    <row r="2840">
      <c r="A2840" s="4">
        <v>635.0</v>
      </c>
      <c r="B2840" s="2" t="s">
        <v>11185</v>
      </c>
      <c r="C2840" s="2" t="s">
        <v>11186</v>
      </c>
      <c r="D2840" s="2" t="s">
        <v>11187</v>
      </c>
      <c r="E2840" s="2" t="s">
        <v>11188</v>
      </c>
      <c r="F2840" s="2" t="b">
        <v>1</v>
      </c>
      <c r="G2840" s="2" t="b">
        <v>0</v>
      </c>
      <c r="H2840" s="2" t="s">
        <v>11189</v>
      </c>
      <c r="I2840" s="2" t="s">
        <v>22</v>
      </c>
      <c r="J2840" s="2" t="s">
        <v>11180</v>
      </c>
      <c r="K2840" s="2" t="s">
        <v>376</v>
      </c>
      <c r="L2840" s="13" t="s">
        <v>377</v>
      </c>
      <c r="M2840" s="2" t="s">
        <v>26</v>
      </c>
      <c r="P2840" s="5" t="str">
        <f>IFERROR(__xludf.DUMMYFUNCTION("TEXTJOIN("" | "",TRUE,IF(OR(D2840="""",E2840="""",I2840="""",J2840="""",H2840=""""),""ফাঁকা ঘর"",""""),IF(AND(C2840&lt;&gt;"""",D2840&lt;&gt;"""",C2840=D2840),""gloss=figurative"",""""),IF(LEN(D2840)&lt;15,""figurative ছোট"",""""),IF(AND(I2840=""Positive"",REGEXMATCH(H2"&amp;"840,""মূর্খ|ভণ্ড|প্রতার|অলস|লোভ|স্বার্থ|অক্ষম|অযোগ্য|বোকা|কৃপণ|হিংস"")),""valence-target অমিল"",""""),IF(COUNTIF($B:$B,B2840)&gt;1,""ডুপ্লিকেট"",""""))"),"")</f>
        <v/>
      </c>
      <c r="Q2840" s="5" t="str">
        <f t="shared" si="1"/>
        <v>২ পরে</v>
      </c>
    </row>
    <row r="2841">
      <c r="A2841" s="4">
        <v>637.0</v>
      </c>
      <c r="B2841" s="2" t="s">
        <v>11190</v>
      </c>
      <c r="C2841" s="2" t="s">
        <v>11191</v>
      </c>
      <c r="D2841" s="2" t="s">
        <v>11192</v>
      </c>
      <c r="E2841" s="2" t="s">
        <v>11193</v>
      </c>
      <c r="F2841" s="2" t="b">
        <v>1</v>
      </c>
      <c r="G2841" s="2" t="b">
        <v>0</v>
      </c>
      <c r="H2841" s="2" t="s">
        <v>37</v>
      </c>
      <c r="I2841" s="2" t="s">
        <v>22</v>
      </c>
      <c r="J2841" s="2" t="s">
        <v>59</v>
      </c>
      <c r="K2841" s="2" t="s">
        <v>376</v>
      </c>
      <c r="L2841" s="13" t="s">
        <v>377</v>
      </c>
      <c r="M2841" s="2" t="s">
        <v>26</v>
      </c>
      <c r="P2841" s="5" t="str">
        <f>IFERROR(__xludf.DUMMYFUNCTION("TEXTJOIN("" | "",TRUE,IF(OR(D2841="""",E2841="""",I2841="""",J2841="""",H2841=""""),""ফাঁকা ঘর"",""""),IF(AND(C2841&lt;&gt;"""",D2841&lt;&gt;"""",C2841=D2841),""gloss=figurative"",""""),IF(LEN(D2841)&lt;15,""figurative ছোট"",""""),IF(AND(I2841=""Positive"",REGEXMATCH(H2"&amp;"841,""মূর্খ|ভণ্ড|প্রতার|অলস|লোভ|স্বার্থ|অক্ষম|অযোগ্য|বোকা|কৃপণ|হিংস"")),""valence-target অমিল"",""""),IF(COUNTIF($B:$B,B2841)&gt;1,""ডুপ্লিকেট"",""""))"),"")</f>
        <v/>
      </c>
      <c r="Q2841" s="5" t="str">
        <f t="shared" si="1"/>
        <v>২ পরে</v>
      </c>
    </row>
    <row r="2842">
      <c r="A2842" s="4">
        <v>638.0</v>
      </c>
      <c r="B2842" s="2" t="s">
        <v>11194</v>
      </c>
      <c r="C2842" s="2" t="s">
        <v>11195</v>
      </c>
      <c r="D2842" s="2" t="s">
        <v>11196</v>
      </c>
      <c r="E2842" s="2" t="s">
        <v>11197</v>
      </c>
      <c r="F2842" s="2" t="b">
        <v>1</v>
      </c>
      <c r="G2842" s="2" t="b">
        <v>0</v>
      </c>
      <c r="H2842" s="2" t="s">
        <v>224</v>
      </c>
      <c r="I2842" s="2" t="s">
        <v>22</v>
      </c>
      <c r="J2842" s="2" t="s">
        <v>11157</v>
      </c>
      <c r="K2842" s="2" t="s">
        <v>376</v>
      </c>
      <c r="L2842" s="13" t="s">
        <v>377</v>
      </c>
      <c r="M2842" s="2" t="s">
        <v>26</v>
      </c>
      <c r="P2842" s="5" t="str">
        <f>IFERROR(__xludf.DUMMYFUNCTION("TEXTJOIN("" | "",TRUE,IF(OR(D2842="""",E2842="""",I2842="""",J2842="""",H2842=""""),""ফাঁকা ঘর"",""""),IF(AND(C2842&lt;&gt;"""",D2842&lt;&gt;"""",C2842=D2842),""gloss=figurative"",""""),IF(LEN(D2842)&lt;15,""figurative ছোট"",""""),IF(AND(I2842=""Positive"",REGEXMATCH(H2"&amp;"842,""মূর্খ|ভণ্ড|প্রতার|অলস|লোভ|স্বার্থ|অক্ষম|অযোগ্য|বোকা|কৃপণ|হিংস"")),""valence-target অমিল"",""""),IF(COUNTIF($B:$B,B2842)&gt;1,""ডুপ্লিকেট"",""""))"),"")</f>
        <v/>
      </c>
      <c r="Q2842" s="5" t="str">
        <f t="shared" si="1"/>
        <v>২ পরে</v>
      </c>
    </row>
    <row r="2843">
      <c r="A2843" s="4">
        <v>639.0</v>
      </c>
      <c r="B2843" s="2" t="s">
        <v>11198</v>
      </c>
      <c r="C2843" s="2" t="s">
        <v>11199</v>
      </c>
      <c r="D2843" s="2" t="s">
        <v>11200</v>
      </c>
      <c r="E2843" s="2" t="s">
        <v>11201</v>
      </c>
      <c r="F2843" s="2" t="b">
        <v>1</v>
      </c>
      <c r="G2843" s="2" t="b">
        <v>0</v>
      </c>
      <c r="H2843" s="2" t="s">
        <v>37</v>
      </c>
      <c r="I2843" s="2" t="s">
        <v>32</v>
      </c>
      <c r="J2843" s="2" t="s">
        <v>123</v>
      </c>
      <c r="K2843" s="2" t="s">
        <v>376</v>
      </c>
      <c r="L2843" s="13" t="s">
        <v>377</v>
      </c>
      <c r="M2843" s="2" t="s">
        <v>26</v>
      </c>
      <c r="P2843" s="5" t="str">
        <f>IFERROR(__xludf.DUMMYFUNCTION("TEXTJOIN("" | "",TRUE,IF(OR(D2843="""",E2843="""",I2843="""",J2843="""",H2843=""""),""ফাঁকা ঘর"",""""),IF(AND(C2843&lt;&gt;"""",D2843&lt;&gt;"""",C2843=D2843),""gloss=figurative"",""""),IF(LEN(D2843)&lt;15,""figurative ছোট"",""""),IF(AND(I2843=""Positive"",REGEXMATCH(H2"&amp;"843,""মূর্খ|ভণ্ড|প্রতার|অলস|লোভ|স্বার্থ|অক্ষম|অযোগ্য|বোকা|কৃপণ|হিংস"")),""valence-target অমিল"",""""),IF(COUNTIF($B:$B,B2843)&gt;1,""ডুপ্লিকেট"",""""))"),"")</f>
        <v/>
      </c>
      <c r="Q2843" s="5" t="str">
        <f t="shared" si="1"/>
        <v>২ পরে</v>
      </c>
    </row>
    <row r="2844">
      <c r="A2844" s="4">
        <v>640.0</v>
      </c>
      <c r="B2844" s="2" t="s">
        <v>11202</v>
      </c>
      <c r="C2844" s="2" t="s">
        <v>11203</v>
      </c>
      <c r="D2844" s="2" t="s">
        <v>11204</v>
      </c>
      <c r="E2844" s="2" t="s">
        <v>11205</v>
      </c>
      <c r="F2844" s="2" t="b">
        <v>1</v>
      </c>
      <c r="G2844" s="2" t="b">
        <v>0</v>
      </c>
      <c r="H2844" s="2" t="s">
        <v>37</v>
      </c>
      <c r="I2844" s="2" t="s">
        <v>32</v>
      </c>
      <c r="J2844" s="2" t="s">
        <v>1775</v>
      </c>
      <c r="K2844" s="2" t="s">
        <v>376</v>
      </c>
      <c r="L2844" s="13" t="s">
        <v>377</v>
      </c>
      <c r="M2844" s="2" t="s">
        <v>26</v>
      </c>
      <c r="P2844" s="5" t="str">
        <f>IFERROR(__xludf.DUMMYFUNCTION("TEXTJOIN("" | "",TRUE,IF(OR(D2844="""",E2844="""",I2844="""",J2844="""",H2844=""""),""ফাঁকা ঘর"",""""),IF(AND(C2844&lt;&gt;"""",D2844&lt;&gt;"""",C2844=D2844),""gloss=figurative"",""""),IF(LEN(D2844)&lt;15,""figurative ছোট"",""""),IF(AND(I2844=""Positive"",REGEXMATCH(H2"&amp;"844,""মূর্খ|ভণ্ড|প্রতার|অলস|লোভ|স্বার্থ|অক্ষম|অযোগ্য|বোকা|কৃপণ|হিংস"")),""valence-target অমিল"",""""),IF(COUNTIF($B:$B,B2844)&gt;1,""ডুপ্লিকেট"",""""))"),"")</f>
        <v/>
      </c>
      <c r="Q2844" s="5" t="str">
        <f t="shared" si="1"/>
        <v>২ পরে</v>
      </c>
    </row>
    <row r="2845">
      <c r="A2845" s="4">
        <v>641.0</v>
      </c>
      <c r="B2845" s="2" t="s">
        <v>11206</v>
      </c>
      <c r="C2845" s="2" t="s">
        <v>11207</v>
      </c>
      <c r="D2845" s="2" t="s">
        <v>11208</v>
      </c>
      <c r="E2845" s="2" t="s">
        <v>11209</v>
      </c>
      <c r="F2845" s="2" t="b">
        <v>1</v>
      </c>
      <c r="G2845" s="2" t="b">
        <v>0</v>
      </c>
      <c r="H2845" s="2" t="s">
        <v>37</v>
      </c>
      <c r="I2845" s="2" t="s">
        <v>22</v>
      </c>
      <c r="J2845" s="2" t="s">
        <v>9183</v>
      </c>
      <c r="K2845" s="2" t="s">
        <v>376</v>
      </c>
      <c r="L2845" s="13" t="s">
        <v>377</v>
      </c>
      <c r="M2845" s="2" t="s">
        <v>26</v>
      </c>
      <c r="P2845" s="5" t="str">
        <f>IFERROR(__xludf.DUMMYFUNCTION("TEXTJOIN("" | "",TRUE,IF(OR(D2845="""",E2845="""",I2845="""",J2845="""",H2845=""""),""ফাঁকা ঘর"",""""),IF(AND(C2845&lt;&gt;"""",D2845&lt;&gt;"""",C2845=D2845),""gloss=figurative"",""""),IF(LEN(D2845)&lt;15,""figurative ছোট"",""""),IF(AND(I2845=""Positive"",REGEXMATCH(H2"&amp;"845,""মূর্খ|ভণ্ড|প্রতার|অলস|লোভ|স্বার্থ|অক্ষম|অযোগ্য|বোকা|কৃপণ|হিংস"")),""valence-target অমিল"",""""),IF(COUNTIF($B:$B,B2845)&gt;1,""ডুপ্লিকেট"",""""))"),"")</f>
        <v/>
      </c>
      <c r="Q2845" s="5" t="str">
        <f t="shared" si="1"/>
        <v>২ পরে</v>
      </c>
    </row>
    <row r="2846">
      <c r="A2846" s="4">
        <v>642.0</v>
      </c>
      <c r="B2846" s="2" t="s">
        <v>11210</v>
      </c>
      <c r="C2846" s="2" t="s">
        <v>11211</v>
      </c>
      <c r="D2846" s="2" t="s">
        <v>11212</v>
      </c>
      <c r="E2846" s="2" t="s">
        <v>11213</v>
      </c>
      <c r="F2846" s="2" t="b">
        <v>1</v>
      </c>
      <c r="G2846" s="2" t="b">
        <v>0</v>
      </c>
      <c r="H2846" s="2" t="s">
        <v>21</v>
      </c>
      <c r="I2846" s="2" t="s">
        <v>32</v>
      </c>
      <c r="J2846" s="2" t="s">
        <v>123</v>
      </c>
      <c r="K2846" s="2" t="s">
        <v>376</v>
      </c>
      <c r="L2846" s="13" t="s">
        <v>377</v>
      </c>
      <c r="M2846" s="2" t="s">
        <v>26</v>
      </c>
      <c r="P2846" s="5" t="str">
        <f>IFERROR(__xludf.DUMMYFUNCTION("TEXTJOIN("" | "",TRUE,IF(OR(D2846="""",E2846="""",I2846="""",J2846="""",H2846=""""),""ফাঁকা ঘর"",""""),IF(AND(C2846&lt;&gt;"""",D2846&lt;&gt;"""",C2846=D2846),""gloss=figurative"",""""),IF(LEN(D2846)&lt;15,""figurative ছোট"",""""),IF(AND(I2846=""Positive"",REGEXMATCH(H2"&amp;"846,""মূর্খ|ভণ্ড|প্রতার|অলস|লোভ|স্বার্থ|অক্ষম|অযোগ্য|বোকা|কৃপণ|হিংস"")),""valence-target অমিল"",""""),IF(COUNTIF($B:$B,B2846)&gt;1,""ডুপ্লিকেট"",""""))"),"")</f>
        <v/>
      </c>
      <c r="Q2846" s="5" t="str">
        <f t="shared" si="1"/>
        <v>২ পরে</v>
      </c>
    </row>
    <row r="2847">
      <c r="A2847" s="4">
        <v>643.0</v>
      </c>
      <c r="B2847" s="2" t="s">
        <v>11214</v>
      </c>
      <c r="C2847" s="2" t="s">
        <v>11215</v>
      </c>
      <c r="D2847" s="2" t="s">
        <v>11216</v>
      </c>
      <c r="E2847" s="2" t="s">
        <v>11217</v>
      </c>
      <c r="F2847" s="2" t="b">
        <v>1</v>
      </c>
      <c r="G2847" s="2" t="b">
        <v>0</v>
      </c>
      <c r="H2847" s="2" t="s">
        <v>37</v>
      </c>
      <c r="I2847" s="2" t="s">
        <v>32</v>
      </c>
      <c r="J2847" s="2" t="s">
        <v>202</v>
      </c>
      <c r="K2847" s="2" t="s">
        <v>376</v>
      </c>
      <c r="L2847" s="13" t="s">
        <v>377</v>
      </c>
      <c r="M2847" s="2" t="s">
        <v>26</v>
      </c>
      <c r="P2847" s="5" t="str">
        <f>IFERROR(__xludf.DUMMYFUNCTION("TEXTJOIN("" | "",TRUE,IF(OR(D2847="""",E2847="""",I2847="""",J2847="""",H2847=""""),""ফাঁকা ঘর"",""""),IF(AND(C2847&lt;&gt;"""",D2847&lt;&gt;"""",C2847=D2847),""gloss=figurative"",""""),IF(LEN(D2847)&lt;15,""figurative ছোট"",""""),IF(AND(I2847=""Positive"",REGEXMATCH(H2"&amp;"847,""মূর্খ|ভণ্ড|প্রতার|অলস|লোভ|স্বার্থ|অক্ষম|অযোগ্য|বোকা|কৃপণ|হিংস"")),""valence-target অমিল"",""""),IF(COUNTIF($B:$B,B2847)&gt;1,""ডুপ্লিকেট"",""""))"),"")</f>
        <v/>
      </c>
      <c r="Q2847" s="5" t="str">
        <f t="shared" si="1"/>
        <v>২ পরে</v>
      </c>
    </row>
    <row r="2848">
      <c r="A2848" s="4">
        <v>644.0</v>
      </c>
      <c r="B2848" s="2" t="s">
        <v>11218</v>
      </c>
      <c r="C2848" s="2" t="s">
        <v>11219</v>
      </c>
      <c r="D2848" s="2" t="s">
        <v>11220</v>
      </c>
      <c r="E2848" s="2" t="s">
        <v>11221</v>
      </c>
      <c r="F2848" s="2" t="b">
        <v>1</v>
      </c>
      <c r="G2848" s="2" t="b">
        <v>0</v>
      </c>
      <c r="H2848" s="2" t="s">
        <v>37</v>
      </c>
      <c r="I2848" s="2" t="s">
        <v>32</v>
      </c>
      <c r="J2848" s="2" t="s">
        <v>11222</v>
      </c>
      <c r="K2848" s="2" t="s">
        <v>376</v>
      </c>
      <c r="L2848" s="13" t="s">
        <v>377</v>
      </c>
      <c r="M2848" s="2" t="s">
        <v>26</v>
      </c>
      <c r="P2848" s="5" t="str">
        <f>IFERROR(__xludf.DUMMYFUNCTION("TEXTJOIN("" | "",TRUE,IF(OR(D2848="""",E2848="""",I2848="""",J2848="""",H2848=""""),""ফাঁকা ঘর"",""""),IF(AND(C2848&lt;&gt;"""",D2848&lt;&gt;"""",C2848=D2848),""gloss=figurative"",""""),IF(LEN(D2848)&lt;15,""figurative ছোট"",""""),IF(AND(I2848=""Positive"",REGEXMATCH(H2"&amp;"848,""মূর্খ|ভণ্ড|প্রতার|অলস|লোভ|স্বার্থ|অক্ষম|অযোগ্য|বোকা|কৃপণ|হিংস"")),""valence-target অমিল"",""""),IF(COUNTIF($B:$B,B2848)&gt;1,""ডুপ্লিকেট"",""""))"),"")</f>
        <v/>
      </c>
      <c r="Q2848" s="5" t="str">
        <f t="shared" si="1"/>
        <v>২ পরে</v>
      </c>
    </row>
    <row r="2849">
      <c r="A2849" s="4">
        <v>645.0</v>
      </c>
      <c r="B2849" s="2" t="s">
        <v>11223</v>
      </c>
      <c r="C2849" s="2" t="s">
        <v>11224</v>
      </c>
      <c r="D2849" s="2" t="s">
        <v>11225</v>
      </c>
      <c r="E2849" s="2" t="s">
        <v>11226</v>
      </c>
      <c r="F2849" s="2" t="b">
        <v>1</v>
      </c>
      <c r="G2849" s="2" t="b">
        <v>0</v>
      </c>
      <c r="H2849" s="2" t="s">
        <v>156</v>
      </c>
      <c r="I2849" s="2" t="s">
        <v>49</v>
      </c>
      <c r="J2849" s="2" t="s">
        <v>9022</v>
      </c>
      <c r="K2849" s="2" t="s">
        <v>376</v>
      </c>
      <c r="L2849" s="13" t="s">
        <v>377</v>
      </c>
      <c r="M2849" s="2" t="s">
        <v>26</v>
      </c>
      <c r="P2849" s="5" t="str">
        <f>IFERROR(__xludf.DUMMYFUNCTION("TEXTJOIN("" | "",TRUE,IF(OR(D2849="""",E2849="""",I2849="""",J2849="""",H2849=""""),""ফাঁকা ঘর"",""""),IF(AND(C2849&lt;&gt;"""",D2849&lt;&gt;"""",C2849=D2849),""gloss=figurative"",""""),IF(LEN(D2849)&lt;15,""figurative ছোট"",""""),IF(AND(I2849=""Positive"",REGEXMATCH(H2"&amp;"849,""মূর্খ|ভণ্ড|প্রতার|অলস|লোভ|স্বার্থ|অক্ষম|অযোগ্য|বোকা|কৃপণ|হিংস"")),""valence-target অমিল"",""""),IF(COUNTIF($B:$B,B2849)&gt;1,""ডুপ্লিকেট"",""""))"),"")</f>
        <v/>
      </c>
      <c r="Q2849" s="5" t="str">
        <f t="shared" si="1"/>
        <v>২ পরে</v>
      </c>
    </row>
    <row r="2850">
      <c r="A2850" s="4">
        <v>646.0</v>
      </c>
      <c r="B2850" s="2" t="s">
        <v>11227</v>
      </c>
      <c r="C2850" s="2" t="s">
        <v>11228</v>
      </c>
      <c r="D2850" s="2" t="s">
        <v>11229</v>
      </c>
      <c r="E2850" s="2" t="s">
        <v>11230</v>
      </c>
      <c r="F2850" s="2" t="b">
        <v>1</v>
      </c>
      <c r="G2850" s="2" t="b">
        <v>0</v>
      </c>
      <c r="H2850" s="2" t="s">
        <v>37</v>
      </c>
      <c r="I2850" s="2" t="s">
        <v>49</v>
      </c>
      <c r="J2850" s="2" t="s">
        <v>11231</v>
      </c>
      <c r="K2850" s="2" t="s">
        <v>376</v>
      </c>
      <c r="L2850" s="13" t="s">
        <v>377</v>
      </c>
      <c r="M2850" s="2" t="s">
        <v>26</v>
      </c>
      <c r="P2850" s="5" t="str">
        <f>IFERROR(__xludf.DUMMYFUNCTION("TEXTJOIN("" | "",TRUE,IF(OR(D2850="""",E2850="""",I2850="""",J2850="""",H2850=""""),""ফাঁকা ঘর"",""""),IF(AND(C2850&lt;&gt;"""",D2850&lt;&gt;"""",C2850=D2850),""gloss=figurative"",""""),IF(LEN(D2850)&lt;15,""figurative ছোট"",""""),IF(AND(I2850=""Positive"",REGEXMATCH(H2"&amp;"850,""মূর্খ|ভণ্ড|প্রতার|অলস|লোভ|স্বার্থ|অক্ষম|অযোগ্য|বোকা|কৃপণ|হিংস"")),""valence-target অমিল"",""""),IF(COUNTIF($B:$B,B2850)&gt;1,""ডুপ্লিকেট"",""""))"),"")</f>
        <v/>
      </c>
      <c r="Q2850" s="5" t="str">
        <f t="shared" si="1"/>
        <v>২ পরে</v>
      </c>
    </row>
    <row r="2851">
      <c r="A2851" s="4">
        <v>647.0</v>
      </c>
      <c r="B2851" s="2" t="s">
        <v>11232</v>
      </c>
      <c r="C2851" s="2" t="s">
        <v>11233</v>
      </c>
      <c r="D2851" s="2" t="s">
        <v>11234</v>
      </c>
      <c r="E2851" s="2" t="s">
        <v>11235</v>
      </c>
      <c r="F2851" s="2" t="b">
        <v>1</v>
      </c>
      <c r="G2851" s="2" t="b">
        <v>0</v>
      </c>
      <c r="H2851" s="2" t="s">
        <v>10105</v>
      </c>
      <c r="I2851" s="2" t="s">
        <v>49</v>
      </c>
      <c r="J2851" s="2" t="s">
        <v>11236</v>
      </c>
      <c r="K2851" s="2" t="s">
        <v>376</v>
      </c>
      <c r="L2851" s="13" t="s">
        <v>377</v>
      </c>
      <c r="M2851" s="2" t="s">
        <v>26</v>
      </c>
      <c r="P2851" s="5" t="str">
        <f>IFERROR(__xludf.DUMMYFUNCTION("TEXTJOIN("" | "",TRUE,IF(OR(D2851="""",E2851="""",I2851="""",J2851="""",H2851=""""),""ফাঁকা ঘর"",""""),IF(AND(C2851&lt;&gt;"""",D2851&lt;&gt;"""",C2851=D2851),""gloss=figurative"",""""),IF(LEN(D2851)&lt;15,""figurative ছোট"",""""),IF(AND(I2851=""Positive"",REGEXMATCH(H2"&amp;"851,""মূর্খ|ভণ্ড|প্রতার|অলস|লোভ|স্বার্থ|অক্ষম|অযোগ্য|বোকা|কৃপণ|হিংস"")),""valence-target অমিল"",""""),IF(COUNTIF($B:$B,B2851)&gt;1,""ডুপ্লিকেট"",""""))"),"")</f>
        <v/>
      </c>
      <c r="Q2851" s="5" t="str">
        <f t="shared" si="1"/>
        <v>২ পরে</v>
      </c>
    </row>
    <row r="2852">
      <c r="A2852" s="4">
        <v>648.0</v>
      </c>
      <c r="B2852" s="2" t="s">
        <v>11237</v>
      </c>
      <c r="C2852" s="2" t="s">
        <v>11238</v>
      </c>
      <c r="D2852" s="2" t="s">
        <v>11239</v>
      </c>
      <c r="E2852" s="2" t="s">
        <v>11240</v>
      </c>
      <c r="F2852" s="2" t="b">
        <v>1</v>
      </c>
      <c r="G2852" s="2" t="b">
        <v>0</v>
      </c>
      <c r="H2852" s="2" t="s">
        <v>37</v>
      </c>
      <c r="I2852" s="2" t="s">
        <v>32</v>
      </c>
      <c r="J2852" s="2" t="s">
        <v>59</v>
      </c>
      <c r="K2852" s="2" t="s">
        <v>376</v>
      </c>
      <c r="L2852" s="13" t="s">
        <v>377</v>
      </c>
      <c r="M2852" s="2" t="s">
        <v>26</v>
      </c>
      <c r="P2852" s="5" t="str">
        <f>IFERROR(__xludf.DUMMYFUNCTION("TEXTJOIN("" | "",TRUE,IF(OR(D2852="""",E2852="""",I2852="""",J2852="""",H2852=""""),""ফাঁকা ঘর"",""""),IF(AND(C2852&lt;&gt;"""",D2852&lt;&gt;"""",C2852=D2852),""gloss=figurative"",""""),IF(LEN(D2852)&lt;15,""figurative ছোট"",""""),IF(AND(I2852=""Positive"",REGEXMATCH(H2"&amp;"852,""মূর্খ|ভণ্ড|প্রতার|অলস|লোভ|স্বার্থ|অক্ষম|অযোগ্য|বোকা|কৃপণ|হিংস"")),""valence-target অমিল"",""""),IF(COUNTIF($B:$B,B2852)&gt;1,""ডুপ্লিকেট"",""""))"),"")</f>
        <v/>
      </c>
      <c r="Q2852" s="5" t="str">
        <f t="shared" si="1"/>
        <v>২ পরে</v>
      </c>
    </row>
    <row r="2853">
      <c r="A2853" s="4">
        <v>649.0</v>
      </c>
      <c r="B2853" s="2" t="s">
        <v>11241</v>
      </c>
      <c r="C2853" s="2" t="s">
        <v>11242</v>
      </c>
      <c r="D2853" s="2" t="s">
        <v>11243</v>
      </c>
      <c r="E2853" s="2" t="s">
        <v>11244</v>
      </c>
      <c r="F2853" s="2" t="b">
        <v>1</v>
      </c>
      <c r="G2853" s="2" t="b">
        <v>0</v>
      </c>
      <c r="H2853" s="2" t="s">
        <v>189</v>
      </c>
      <c r="I2853" s="2" t="s">
        <v>22</v>
      </c>
      <c r="J2853" s="2" t="s">
        <v>59</v>
      </c>
      <c r="K2853" s="2" t="s">
        <v>376</v>
      </c>
      <c r="L2853" s="13" t="s">
        <v>377</v>
      </c>
      <c r="M2853" s="2" t="s">
        <v>26</v>
      </c>
      <c r="P2853" s="5" t="str">
        <f>IFERROR(__xludf.DUMMYFUNCTION("TEXTJOIN("" | "",TRUE,IF(OR(D2853="""",E2853="""",I2853="""",J2853="""",H2853=""""),""ফাঁকা ঘর"",""""),IF(AND(C2853&lt;&gt;"""",D2853&lt;&gt;"""",C2853=D2853),""gloss=figurative"",""""),IF(LEN(D2853)&lt;15,""figurative ছোট"",""""),IF(AND(I2853=""Positive"",REGEXMATCH(H2"&amp;"853,""মূর্খ|ভণ্ড|প্রতার|অলস|লোভ|স্বার্থ|অক্ষম|অযোগ্য|বোকা|কৃপণ|হিংস"")),""valence-target অমিল"",""""),IF(COUNTIF($B:$B,B2853)&gt;1,""ডুপ্লিকেট"",""""))"),"")</f>
        <v/>
      </c>
      <c r="Q2853" s="5" t="str">
        <f t="shared" si="1"/>
        <v>২ পরে</v>
      </c>
    </row>
    <row r="2854">
      <c r="A2854" s="4">
        <v>650.0</v>
      </c>
      <c r="B2854" s="2" t="s">
        <v>11245</v>
      </c>
      <c r="C2854" s="2" t="s">
        <v>11246</v>
      </c>
      <c r="D2854" s="2" t="s">
        <v>11247</v>
      </c>
      <c r="E2854" s="2" t="s">
        <v>11248</v>
      </c>
      <c r="F2854" s="2" t="b">
        <v>1</v>
      </c>
      <c r="G2854" s="2" t="b">
        <v>0</v>
      </c>
      <c r="H2854" s="2" t="s">
        <v>11249</v>
      </c>
      <c r="I2854" s="2" t="s">
        <v>32</v>
      </c>
      <c r="J2854" s="2" t="s">
        <v>11250</v>
      </c>
      <c r="K2854" s="2" t="s">
        <v>376</v>
      </c>
      <c r="L2854" s="13" t="s">
        <v>377</v>
      </c>
      <c r="M2854" s="2" t="s">
        <v>26</v>
      </c>
      <c r="P2854" s="5" t="str">
        <f>IFERROR(__xludf.DUMMYFUNCTION("TEXTJOIN("" | "",TRUE,IF(OR(D2854="""",E2854="""",I2854="""",J2854="""",H2854=""""),""ফাঁকা ঘর"",""""),IF(AND(C2854&lt;&gt;"""",D2854&lt;&gt;"""",C2854=D2854),""gloss=figurative"",""""),IF(LEN(D2854)&lt;15,""figurative ছোট"",""""),IF(AND(I2854=""Positive"",REGEXMATCH(H2"&amp;"854,""মূর্খ|ভণ্ড|প্রতার|অলস|লোভ|স্বার্থ|অক্ষম|অযোগ্য|বোকা|কৃপণ|হিংস"")),""valence-target অমিল"",""""),IF(COUNTIF($B:$B,B2854)&gt;1,""ডুপ্লিকেট"",""""))"),"")</f>
        <v/>
      </c>
      <c r="Q2854" s="5" t="str">
        <f t="shared" si="1"/>
        <v>২ পরে</v>
      </c>
    </row>
    <row r="2855">
      <c r="A2855" s="4">
        <v>651.0</v>
      </c>
      <c r="B2855" s="2" t="s">
        <v>11251</v>
      </c>
      <c r="C2855" s="2" t="s">
        <v>11252</v>
      </c>
      <c r="D2855" s="2" t="s">
        <v>11253</v>
      </c>
      <c r="E2855" s="2" t="s">
        <v>11254</v>
      </c>
      <c r="F2855" s="2" t="b">
        <v>1</v>
      </c>
      <c r="G2855" s="2" t="b">
        <v>0</v>
      </c>
      <c r="H2855" s="2" t="s">
        <v>11255</v>
      </c>
      <c r="I2855" s="2" t="s">
        <v>22</v>
      </c>
      <c r="J2855" s="2" t="s">
        <v>123</v>
      </c>
      <c r="K2855" s="2" t="s">
        <v>376</v>
      </c>
      <c r="L2855" s="13" t="s">
        <v>377</v>
      </c>
      <c r="M2855" s="2" t="s">
        <v>26</v>
      </c>
      <c r="P2855" s="5" t="str">
        <f>IFERROR(__xludf.DUMMYFUNCTION("TEXTJOIN("" | "",TRUE,IF(OR(D2855="""",E2855="""",I2855="""",J2855="""",H2855=""""),""ফাঁকা ঘর"",""""),IF(AND(C2855&lt;&gt;"""",D2855&lt;&gt;"""",C2855=D2855),""gloss=figurative"",""""),IF(LEN(D2855)&lt;15,""figurative ছোট"",""""),IF(AND(I2855=""Positive"",REGEXMATCH(H2"&amp;"855,""মূর্খ|ভণ্ড|প্রতার|অলস|লোভ|স্বার্থ|অক্ষম|অযোগ্য|বোকা|কৃপণ|হিংস"")),""valence-target অমিল"",""""),IF(COUNTIF($B:$B,B2855)&gt;1,""ডুপ্লিকেট"",""""))"),"")</f>
        <v/>
      </c>
      <c r="Q2855" s="5" t="str">
        <f t="shared" si="1"/>
        <v>২ পরে</v>
      </c>
    </row>
    <row r="2856">
      <c r="A2856" s="4">
        <v>652.0</v>
      </c>
      <c r="B2856" s="2" t="s">
        <v>11256</v>
      </c>
      <c r="C2856" s="2" t="s">
        <v>11257</v>
      </c>
      <c r="D2856" s="2" t="s">
        <v>11258</v>
      </c>
      <c r="E2856" s="2" t="s">
        <v>11259</v>
      </c>
      <c r="F2856" s="2" t="b">
        <v>1</v>
      </c>
      <c r="G2856" s="2" t="b">
        <v>0</v>
      </c>
      <c r="H2856" s="2" t="s">
        <v>11260</v>
      </c>
      <c r="I2856" s="2" t="s">
        <v>22</v>
      </c>
      <c r="J2856" s="2" t="s">
        <v>123</v>
      </c>
      <c r="K2856" s="2" t="s">
        <v>376</v>
      </c>
      <c r="L2856" s="13" t="s">
        <v>377</v>
      </c>
      <c r="M2856" s="2" t="s">
        <v>26</v>
      </c>
      <c r="P2856" s="5" t="str">
        <f>IFERROR(__xludf.DUMMYFUNCTION("TEXTJOIN("" | "",TRUE,IF(OR(D2856="""",E2856="""",I2856="""",J2856="""",H2856=""""),""ফাঁকা ঘর"",""""),IF(AND(C2856&lt;&gt;"""",D2856&lt;&gt;"""",C2856=D2856),""gloss=figurative"",""""),IF(LEN(D2856)&lt;15,""figurative ছোট"",""""),IF(AND(I2856=""Positive"",REGEXMATCH(H2"&amp;"856,""মূর্খ|ভণ্ড|প্রতার|অলস|লোভ|স্বার্থ|অক্ষম|অযোগ্য|বোকা|কৃপণ|হিংস"")),""valence-target অমিল"",""""),IF(COUNTIF($B:$B,B2856)&gt;1,""ডুপ্লিকেট"",""""))"),"")</f>
        <v/>
      </c>
      <c r="Q2856" s="5" t="str">
        <f t="shared" si="1"/>
        <v>২ পরে</v>
      </c>
    </row>
    <row r="2857">
      <c r="A2857" s="4">
        <v>653.0</v>
      </c>
      <c r="B2857" s="2" t="s">
        <v>11261</v>
      </c>
      <c r="C2857" s="2" t="s">
        <v>11262</v>
      </c>
      <c r="D2857" s="2" t="s">
        <v>11263</v>
      </c>
      <c r="E2857" s="2" t="s">
        <v>11264</v>
      </c>
      <c r="F2857" s="2" t="b">
        <v>1</v>
      </c>
      <c r="G2857" s="2" t="b">
        <v>0</v>
      </c>
      <c r="H2857" s="2" t="s">
        <v>37</v>
      </c>
      <c r="I2857" s="2" t="s">
        <v>32</v>
      </c>
      <c r="J2857" s="2" t="s">
        <v>1775</v>
      </c>
      <c r="K2857" s="2" t="s">
        <v>376</v>
      </c>
      <c r="L2857" s="13" t="s">
        <v>377</v>
      </c>
      <c r="M2857" s="2" t="s">
        <v>26</v>
      </c>
      <c r="P2857" s="5" t="str">
        <f>IFERROR(__xludf.DUMMYFUNCTION("TEXTJOIN("" | "",TRUE,IF(OR(D2857="""",E2857="""",I2857="""",J2857="""",H2857=""""),""ফাঁকা ঘর"",""""),IF(AND(C2857&lt;&gt;"""",D2857&lt;&gt;"""",C2857=D2857),""gloss=figurative"",""""),IF(LEN(D2857)&lt;15,""figurative ছোট"",""""),IF(AND(I2857=""Positive"",REGEXMATCH(H2"&amp;"857,""মূর্খ|ভণ্ড|প্রতার|অলস|লোভ|স্বার্থ|অক্ষম|অযোগ্য|বোকা|কৃপণ|হিংস"")),""valence-target অমিল"",""""),IF(COUNTIF($B:$B,B2857)&gt;1,""ডুপ্লিকেট"",""""))"),"")</f>
        <v/>
      </c>
      <c r="Q2857" s="5" t="str">
        <f t="shared" si="1"/>
        <v>২ পরে</v>
      </c>
    </row>
    <row r="2858">
      <c r="A2858" s="4">
        <v>654.0</v>
      </c>
      <c r="B2858" s="2" t="s">
        <v>11265</v>
      </c>
      <c r="C2858" s="2" t="s">
        <v>11266</v>
      </c>
      <c r="D2858" s="2" t="s">
        <v>11267</v>
      </c>
      <c r="E2858" s="2" t="s">
        <v>11268</v>
      </c>
      <c r="F2858" s="2" t="b">
        <v>1</v>
      </c>
      <c r="G2858" s="2" t="b">
        <v>0</v>
      </c>
      <c r="H2858" s="2" t="s">
        <v>333</v>
      </c>
      <c r="I2858" s="2" t="s">
        <v>22</v>
      </c>
      <c r="J2858" s="2" t="s">
        <v>169</v>
      </c>
      <c r="K2858" s="2" t="s">
        <v>376</v>
      </c>
      <c r="L2858" s="13" t="s">
        <v>377</v>
      </c>
      <c r="M2858" s="2" t="s">
        <v>26</v>
      </c>
      <c r="P2858" s="5" t="str">
        <f>IFERROR(__xludf.DUMMYFUNCTION("TEXTJOIN("" | "",TRUE,IF(OR(D2858="""",E2858="""",I2858="""",J2858="""",H2858=""""),""ফাঁকা ঘর"",""""),IF(AND(C2858&lt;&gt;"""",D2858&lt;&gt;"""",C2858=D2858),""gloss=figurative"",""""),IF(LEN(D2858)&lt;15,""figurative ছোট"",""""),IF(AND(I2858=""Positive"",REGEXMATCH(H2"&amp;"858,""মূর্খ|ভণ্ড|প্রতার|অলস|লোভ|স্বার্থ|অক্ষম|অযোগ্য|বোকা|কৃপণ|হিংস"")),""valence-target অমিল"",""""),IF(COUNTIF($B:$B,B2858)&gt;1,""ডুপ্লিকেট"",""""))"),"")</f>
        <v/>
      </c>
      <c r="Q2858" s="5" t="str">
        <f t="shared" si="1"/>
        <v>২ পরে</v>
      </c>
    </row>
    <row r="2859">
      <c r="A2859" s="4">
        <v>655.0</v>
      </c>
      <c r="B2859" s="2" t="s">
        <v>11269</v>
      </c>
      <c r="C2859" s="2" t="s">
        <v>11270</v>
      </c>
      <c r="D2859" s="2" t="s">
        <v>11271</v>
      </c>
      <c r="E2859" s="2" t="s">
        <v>11272</v>
      </c>
      <c r="F2859" s="2" t="b">
        <v>1</v>
      </c>
      <c r="G2859" s="2" t="b">
        <v>0</v>
      </c>
      <c r="H2859" s="2" t="s">
        <v>37</v>
      </c>
      <c r="I2859" s="2" t="s">
        <v>22</v>
      </c>
      <c r="J2859" s="2" t="s">
        <v>202</v>
      </c>
      <c r="K2859" s="2" t="s">
        <v>376</v>
      </c>
      <c r="L2859" s="13" t="s">
        <v>377</v>
      </c>
      <c r="M2859" s="2" t="s">
        <v>26</v>
      </c>
      <c r="P2859" s="5" t="str">
        <f>IFERROR(__xludf.DUMMYFUNCTION("TEXTJOIN("" | "",TRUE,IF(OR(D2859="""",E2859="""",I2859="""",J2859="""",H2859=""""),""ফাঁকা ঘর"",""""),IF(AND(C2859&lt;&gt;"""",D2859&lt;&gt;"""",C2859=D2859),""gloss=figurative"",""""),IF(LEN(D2859)&lt;15,""figurative ছোট"",""""),IF(AND(I2859=""Positive"",REGEXMATCH(H2"&amp;"859,""মূর্খ|ভণ্ড|প্রতার|অলস|লোভ|স্বার্থ|অক্ষম|অযোগ্য|বোকা|কৃপণ|হিংস"")),""valence-target অমিল"",""""),IF(COUNTIF($B:$B,B2859)&gt;1,""ডুপ্লিকেট"",""""))"),"")</f>
        <v/>
      </c>
      <c r="Q2859" s="5" t="str">
        <f t="shared" si="1"/>
        <v>২ পরে</v>
      </c>
    </row>
    <row r="2860">
      <c r="A2860" s="4">
        <v>656.0</v>
      </c>
      <c r="B2860" s="2" t="s">
        <v>11273</v>
      </c>
      <c r="C2860" s="2" t="s">
        <v>11274</v>
      </c>
      <c r="D2860" s="2" t="s">
        <v>11275</v>
      </c>
      <c r="E2860" s="2" t="s">
        <v>11276</v>
      </c>
      <c r="F2860" s="2" t="b">
        <v>1</v>
      </c>
      <c r="G2860" s="2" t="b">
        <v>0</v>
      </c>
      <c r="H2860" s="2" t="s">
        <v>37</v>
      </c>
      <c r="I2860" s="2" t="s">
        <v>32</v>
      </c>
      <c r="J2860" s="2" t="s">
        <v>8973</v>
      </c>
      <c r="K2860" s="2" t="s">
        <v>376</v>
      </c>
      <c r="L2860" s="13" t="s">
        <v>377</v>
      </c>
      <c r="M2860" s="2" t="s">
        <v>26</v>
      </c>
      <c r="P2860" s="5" t="str">
        <f>IFERROR(__xludf.DUMMYFUNCTION("TEXTJOIN("" | "",TRUE,IF(OR(D2860="""",E2860="""",I2860="""",J2860="""",H2860=""""),""ফাঁকা ঘর"",""""),IF(AND(C2860&lt;&gt;"""",D2860&lt;&gt;"""",C2860=D2860),""gloss=figurative"",""""),IF(LEN(D2860)&lt;15,""figurative ছোট"",""""),IF(AND(I2860=""Positive"",REGEXMATCH(H2"&amp;"860,""মূর্খ|ভণ্ড|প্রতার|অলস|লোভ|স্বার্থ|অক্ষম|অযোগ্য|বোকা|কৃপণ|হিংস"")),""valence-target অমিল"",""""),IF(COUNTIF($B:$B,B2860)&gt;1,""ডুপ্লিকেট"",""""))"),"")</f>
        <v/>
      </c>
      <c r="Q2860" s="5" t="str">
        <f t="shared" si="1"/>
        <v>২ পরে</v>
      </c>
    </row>
    <row r="2861">
      <c r="A2861" s="4">
        <v>657.0</v>
      </c>
      <c r="B2861" s="2" t="s">
        <v>11277</v>
      </c>
      <c r="C2861" s="2" t="s">
        <v>11278</v>
      </c>
      <c r="D2861" s="2" t="s">
        <v>11279</v>
      </c>
      <c r="E2861" s="2" t="s">
        <v>11280</v>
      </c>
      <c r="F2861" s="2" t="b">
        <v>1</v>
      </c>
      <c r="G2861" s="2" t="b">
        <v>0</v>
      </c>
      <c r="H2861" s="2" t="s">
        <v>10105</v>
      </c>
      <c r="I2861" s="2" t="s">
        <v>32</v>
      </c>
      <c r="J2861" s="2" t="s">
        <v>142</v>
      </c>
      <c r="K2861" s="2" t="s">
        <v>376</v>
      </c>
      <c r="L2861" s="13" t="s">
        <v>377</v>
      </c>
      <c r="M2861" s="2" t="s">
        <v>26</v>
      </c>
      <c r="P2861" s="5" t="str">
        <f>IFERROR(__xludf.DUMMYFUNCTION("TEXTJOIN("" | "",TRUE,IF(OR(D2861="""",E2861="""",I2861="""",J2861="""",H2861=""""),""ফাঁকা ঘর"",""""),IF(AND(C2861&lt;&gt;"""",D2861&lt;&gt;"""",C2861=D2861),""gloss=figurative"",""""),IF(LEN(D2861)&lt;15,""figurative ছোট"",""""),IF(AND(I2861=""Positive"",REGEXMATCH(H2"&amp;"861,""মূর্খ|ভণ্ড|প্রতার|অলস|লোভ|স্বার্থ|অক্ষম|অযোগ্য|বোকা|কৃপণ|হিংস"")),""valence-target অমিল"",""""),IF(COUNTIF($B:$B,B2861)&gt;1,""ডুপ্লিকেট"",""""))"),"")</f>
        <v/>
      </c>
      <c r="Q2861" s="5" t="str">
        <f t="shared" si="1"/>
        <v>২ পরে</v>
      </c>
    </row>
    <row r="2862">
      <c r="A2862" s="4">
        <v>658.0</v>
      </c>
      <c r="B2862" s="2" t="s">
        <v>11281</v>
      </c>
      <c r="C2862" s="2" t="s">
        <v>11282</v>
      </c>
      <c r="D2862" s="2" t="s">
        <v>11283</v>
      </c>
      <c r="E2862" s="2" t="s">
        <v>11284</v>
      </c>
      <c r="F2862" s="2" t="b">
        <v>1</v>
      </c>
      <c r="G2862" s="2" t="b">
        <v>0</v>
      </c>
      <c r="H2862" s="2" t="s">
        <v>10522</v>
      </c>
      <c r="I2862" s="2" t="s">
        <v>32</v>
      </c>
      <c r="J2862" s="2" t="s">
        <v>59</v>
      </c>
      <c r="K2862" s="2" t="s">
        <v>376</v>
      </c>
      <c r="L2862" s="13" t="s">
        <v>377</v>
      </c>
      <c r="M2862" s="2" t="s">
        <v>26</v>
      </c>
      <c r="P2862" s="5" t="str">
        <f>IFERROR(__xludf.DUMMYFUNCTION("TEXTJOIN("" | "",TRUE,IF(OR(D2862="""",E2862="""",I2862="""",J2862="""",H2862=""""),""ফাঁকা ঘর"",""""),IF(AND(C2862&lt;&gt;"""",D2862&lt;&gt;"""",C2862=D2862),""gloss=figurative"",""""),IF(LEN(D2862)&lt;15,""figurative ছোট"",""""),IF(AND(I2862=""Positive"",REGEXMATCH(H2"&amp;"862,""মূর্খ|ভণ্ড|প্রতার|অলস|লোভ|স্বার্থ|অক্ষম|অযোগ্য|বোকা|কৃপণ|হিংস"")),""valence-target অমিল"",""""),IF(COUNTIF($B:$B,B2862)&gt;1,""ডুপ্লিকেট"",""""))"),"")</f>
        <v/>
      </c>
      <c r="Q2862" s="5" t="str">
        <f t="shared" si="1"/>
        <v>২ পরে</v>
      </c>
    </row>
    <row r="2863">
      <c r="A2863" s="4">
        <v>659.0</v>
      </c>
      <c r="B2863" s="2" t="s">
        <v>11285</v>
      </c>
      <c r="C2863" s="2" t="s">
        <v>11286</v>
      </c>
      <c r="D2863" s="2" t="s">
        <v>11287</v>
      </c>
      <c r="E2863" s="2" t="s">
        <v>11288</v>
      </c>
      <c r="F2863" s="2" t="b">
        <v>1</v>
      </c>
      <c r="G2863" s="2" t="b">
        <v>0</v>
      </c>
      <c r="H2863" s="2" t="s">
        <v>7463</v>
      </c>
      <c r="I2863" s="2" t="s">
        <v>32</v>
      </c>
      <c r="J2863" s="2" t="s">
        <v>142</v>
      </c>
      <c r="K2863" s="2" t="s">
        <v>376</v>
      </c>
      <c r="L2863" s="13" t="s">
        <v>377</v>
      </c>
      <c r="M2863" s="2" t="s">
        <v>26</v>
      </c>
      <c r="P2863" s="5" t="str">
        <f>IFERROR(__xludf.DUMMYFUNCTION("TEXTJOIN("" | "",TRUE,IF(OR(D2863="""",E2863="""",I2863="""",J2863="""",H2863=""""),""ফাঁকা ঘর"",""""),IF(AND(C2863&lt;&gt;"""",D2863&lt;&gt;"""",C2863=D2863),""gloss=figurative"",""""),IF(LEN(D2863)&lt;15,""figurative ছোট"",""""),IF(AND(I2863=""Positive"",REGEXMATCH(H2"&amp;"863,""মূর্খ|ভণ্ড|প্রতার|অলস|লোভ|স্বার্থ|অক্ষম|অযোগ্য|বোকা|কৃপণ|হিংস"")),""valence-target অমিল"",""""),IF(COUNTIF($B:$B,B2863)&gt;1,""ডুপ্লিকেট"",""""))"),"")</f>
        <v/>
      </c>
      <c r="Q2863" s="5" t="str">
        <f t="shared" si="1"/>
        <v>২ পরে</v>
      </c>
    </row>
    <row r="2864">
      <c r="A2864" s="4">
        <v>660.0</v>
      </c>
      <c r="B2864" s="2" t="s">
        <v>11289</v>
      </c>
      <c r="C2864" s="2" t="s">
        <v>11290</v>
      </c>
      <c r="D2864" s="2" t="s">
        <v>11291</v>
      </c>
      <c r="E2864" s="2" t="s">
        <v>11292</v>
      </c>
      <c r="F2864" s="2" t="b">
        <v>1</v>
      </c>
      <c r="G2864" s="2" t="b">
        <v>0</v>
      </c>
      <c r="H2864" s="2" t="s">
        <v>110</v>
      </c>
      <c r="I2864" s="2" t="s">
        <v>22</v>
      </c>
      <c r="J2864" s="2" t="s">
        <v>59</v>
      </c>
      <c r="K2864" s="2" t="s">
        <v>376</v>
      </c>
      <c r="L2864" s="13" t="s">
        <v>377</v>
      </c>
      <c r="M2864" s="2" t="s">
        <v>26</v>
      </c>
      <c r="P2864" s="5" t="str">
        <f>IFERROR(__xludf.DUMMYFUNCTION("TEXTJOIN("" | "",TRUE,IF(OR(D2864="""",E2864="""",I2864="""",J2864="""",H2864=""""),""ফাঁকা ঘর"",""""),IF(AND(C2864&lt;&gt;"""",D2864&lt;&gt;"""",C2864=D2864),""gloss=figurative"",""""),IF(LEN(D2864)&lt;15,""figurative ছোট"",""""),IF(AND(I2864=""Positive"",REGEXMATCH(H2"&amp;"864,""মূর্খ|ভণ্ড|প্রতার|অলস|লোভ|স্বার্থ|অক্ষম|অযোগ্য|বোকা|কৃপণ|হিংস"")),""valence-target অমিল"",""""),IF(COUNTIF($B:$B,B2864)&gt;1,""ডুপ্লিকেট"",""""))"),"")</f>
        <v/>
      </c>
      <c r="Q2864" s="5" t="str">
        <f t="shared" si="1"/>
        <v>২ পরে</v>
      </c>
    </row>
    <row r="2865">
      <c r="A2865" s="4">
        <v>661.0</v>
      </c>
      <c r="B2865" s="2" t="s">
        <v>11293</v>
      </c>
      <c r="C2865" s="2" t="s">
        <v>11294</v>
      </c>
      <c r="D2865" s="2" t="s">
        <v>11295</v>
      </c>
      <c r="E2865" s="2" t="s">
        <v>11296</v>
      </c>
      <c r="F2865" s="2" t="b">
        <v>1</v>
      </c>
      <c r="G2865" s="2" t="b">
        <v>0</v>
      </c>
      <c r="H2865" s="2" t="s">
        <v>390</v>
      </c>
      <c r="I2865" s="2" t="s">
        <v>22</v>
      </c>
      <c r="J2865" s="2" t="s">
        <v>59</v>
      </c>
      <c r="K2865" s="2" t="s">
        <v>376</v>
      </c>
      <c r="L2865" s="13" t="s">
        <v>377</v>
      </c>
      <c r="M2865" s="2" t="s">
        <v>26</v>
      </c>
      <c r="P2865" s="5" t="str">
        <f>IFERROR(__xludf.DUMMYFUNCTION("TEXTJOIN("" | "",TRUE,IF(OR(D2865="""",E2865="""",I2865="""",J2865="""",H2865=""""),""ফাঁকা ঘর"",""""),IF(AND(C2865&lt;&gt;"""",D2865&lt;&gt;"""",C2865=D2865),""gloss=figurative"",""""),IF(LEN(D2865)&lt;15,""figurative ছোট"",""""),IF(AND(I2865=""Positive"",REGEXMATCH(H2"&amp;"865,""মূর্খ|ভণ্ড|প্রতার|অলস|লোভ|স্বার্থ|অক্ষম|অযোগ্য|বোকা|কৃপণ|হিংস"")),""valence-target অমিল"",""""),IF(COUNTIF($B:$B,B2865)&gt;1,""ডুপ্লিকেট"",""""))"),"")</f>
        <v/>
      </c>
      <c r="Q2865" s="5" t="str">
        <f t="shared" si="1"/>
        <v>২ পরে</v>
      </c>
    </row>
    <row r="2866">
      <c r="A2866" s="4">
        <v>662.0</v>
      </c>
      <c r="B2866" s="2" t="s">
        <v>11297</v>
      </c>
      <c r="C2866" s="2" t="s">
        <v>11298</v>
      </c>
      <c r="D2866" s="2" t="s">
        <v>11299</v>
      </c>
      <c r="E2866" s="2" t="s">
        <v>11300</v>
      </c>
      <c r="F2866" s="2" t="b">
        <v>1</v>
      </c>
      <c r="G2866" s="2" t="b">
        <v>0</v>
      </c>
      <c r="H2866" s="2" t="s">
        <v>9300</v>
      </c>
      <c r="I2866" s="2" t="s">
        <v>32</v>
      </c>
      <c r="J2866" s="2" t="s">
        <v>9301</v>
      </c>
      <c r="K2866" s="2" t="s">
        <v>376</v>
      </c>
      <c r="L2866" s="13" t="s">
        <v>377</v>
      </c>
      <c r="M2866" s="2" t="s">
        <v>26</v>
      </c>
      <c r="P2866" s="5" t="str">
        <f>IFERROR(__xludf.DUMMYFUNCTION("TEXTJOIN("" | "",TRUE,IF(OR(D2866="""",E2866="""",I2866="""",J2866="""",H2866=""""),""ফাঁকা ঘর"",""""),IF(AND(C2866&lt;&gt;"""",D2866&lt;&gt;"""",C2866=D2866),""gloss=figurative"",""""),IF(LEN(D2866)&lt;15,""figurative ছোট"",""""),IF(AND(I2866=""Positive"",REGEXMATCH(H2"&amp;"866,""মূর্খ|ভণ্ড|প্রতার|অলস|লোভ|স্বার্থ|অক্ষম|অযোগ্য|বোকা|কৃপণ|হিংস"")),""valence-target অমিল"",""""),IF(COUNTIF($B:$B,B2866)&gt;1,""ডুপ্লিকেট"",""""))"),"")</f>
        <v/>
      </c>
      <c r="Q2866" s="5" t="str">
        <f t="shared" si="1"/>
        <v>২ পরে</v>
      </c>
    </row>
    <row r="2867">
      <c r="A2867" s="4">
        <v>663.0</v>
      </c>
      <c r="B2867" s="2" t="s">
        <v>11301</v>
      </c>
      <c r="C2867" s="2" t="s">
        <v>11302</v>
      </c>
      <c r="D2867" s="2" t="s">
        <v>11303</v>
      </c>
      <c r="E2867" s="2" t="s">
        <v>11304</v>
      </c>
      <c r="F2867" s="2" t="b">
        <v>1</v>
      </c>
      <c r="G2867" s="2" t="b">
        <v>0</v>
      </c>
      <c r="H2867" s="2" t="s">
        <v>77</v>
      </c>
      <c r="I2867" s="2" t="s">
        <v>22</v>
      </c>
      <c r="J2867" s="2" t="s">
        <v>59</v>
      </c>
      <c r="K2867" s="2" t="s">
        <v>376</v>
      </c>
      <c r="L2867" s="13" t="s">
        <v>377</v>
      </c>
      <c r="M2867" s="2" t="s">
        <v>26</v>
      </c>
      <c r="P2867" s="5" t="str">
        <f>IFERROR(__xludf.DUMMYFUNCTION("TEXTJOIN("" | "",TRUE,IF(OR(D2867="""",E2867="""",I2867="""",J2867="""",H2867=""""),""ফাঁকা ঘর"",""""),IF(AND(C2867&lt;&gt;"""",D2867&lt;&gt;"""",C2867=D2867),""gloss=figurative"",""""),IF(LEN(D2867)&lt;15,""figurative ছোট"",""""),IF(AND(I2867=""Positive"",REGEXMATCH(H2"&amp;"867,""মূর্খ|ভণ্ড|প্রতার|অলস|লোভ|স্বার্থ|অক্ষম|অযোগ্য|বোকা|কৃপণ|হিংস"")),""valence-target অমিল"",""""),IF(COUNTIF($B:$B,B2867)&gt;1,""ডুপ্লিকেট"",""""))"),"")</f>
        <v/>
      </c>
      <c r="Q2867" s="5" t="str">
        <f t="shared" si="1"/>
        <v>২ পরে</v>
      </c>
    </row>
    <row r="2868">
      <c r="A2868" s="4">
        <v>665.0</v>
      </c>
      <c r="B2868" s="2" t="s">
        <v>11305</v>
      </c>
      <c r="C2868" s="2" t="s">
        <v>11306</v>
      </c>
      <c r="D2868" s="2" t="s">
        <v>9553</v>
      </c>
      <c r="E2868" s="2" t="s">
        <v>11307</v>
      </c>
      <c r="F2868" s="2" t="b">
        <v>1</v>
      </c>
      <c r="G2868" s="2" t="b">
        <v>0</v>
      </c>
      <c r="H2868" s="2" t="s">
        <v>390</v>
      </c>
      <c r="I2868" s="2" t="s">
        <v>32</v>
      </c>
      <c r="J2868" s="2" t="s">
        <v>9943</v>
      </c>
      <c r="K2868" s="2" t="s">
        <v>376</v>
      </c>
      <c r="L2868" s="13" t="s">
        <v>377</v>
      </c>
      <c r="M2868" s="2" t="s">
        <v>26</v>
      </c>
      <c r="P2868" s="5" t="str">
        <f>IFERROR(__xludf.DUMMYFUNCTION("TEXTJOIN("" | "",TRUE,IF(OR(D2868="""",E2868="""",I2868="""",J2868="""",H2868=""""),""ফাঁকা ঘর"",""""),IF(AND(C2868&lt;&gt;"""",D2868&lt;&gt;"""",C2868=D2868),""gloss=figurative"",""""),IF(LEN(D2868)&lt;15,""figurative ছোট"",""""),IF(AND(I2868=""Positive"",REGEXMATCH(H2"&amp;"868,""মূর্খ|ভণ্ড|প্রতার|অলস|লোভ|স্বার্থ|অক্ষম|অযোগ্য|বোকা|কৃপণ|হিংস"")),""valence-target অমিল"",""""),IF(COUNTIF($B:$B,B2868)&gt;1,""ডুপ্লিকেট"",""""))"),"")</f>
        <v/>
      </c>
      <c r="Q2868" s="5" t="str">
        <f t="shared" si="1"/>
        <v>২ পরে</v>
      </c>
    </row>
    <row r="2869">
      <c r="A2869" s="4">
        <v>666.0</v>
      </c>
      <c r="B2869" s="2" t="s">
        <v>11308</v>
      </c>
      <c r="C2869" s="2" t="s">
        <v>11309</v>
      </c>
      <c r="D2869" s="2" t="s">
        <v>11310</v>
      </c>
      <c r="E2869" s="2" t="s">
        <v>11311</v>
      </c>
      <c r="F2869" s="2" t="b">
        <v>1</v>
      </c>
      <c r="G2869" s="2" t="b">
        <v>0</v>
      </c>
      <c r="H2869" s="2" t="s">
        <v>37</v>
      </c>
      <c r="I2869" s="2" t="s">
        <v>32</v>
      </c>
      <c r="J2869" s="2" t="s">
        <v>123</v>
      </c>
      <c r="K2869" s="2" t="s">
        <v>376</v>
      </c>
      <c r="L2869" s="13" t="s">
        <v>377</v>
      </c>
      <c r="M2869" s="2" t="s">
        <v>26</v>
      </c>
      <c r="P2869" s="5" t="str">
        <f>IFERROR(__xludf.DUMMYFUNCTION("TEXTJOIN("" | "",TRUE,IF(OR(D2869="""",E2869="""",I2869="""",J2869="""",H2869=""""),""ফাঁকা ঘর"",""""),IF(AND(C2869&lt;&gt;"""",D2869&lt;&gt;"""",C2869=D2869),""gloss=figurative"",""""),IF(LEN(D2869)&lt;15,""figurative ছোট"",""""),IF(AND(I2869=""Positive"",REGEXMATCH(H2"&amp;"869,""মূর্খ|ভণ্ড|প্রতার|অলস|লোভ|স্বার্থ|অক্ষম|অযোগ্য|বোকা|কৃপণ|হিংস"")),""valence-target অমিল"",""""),IF(COUNTIF($B:$B,B2869)&gt;1,""ডুপ্লিকেট"",""""))"),"")</f>
        <v/>
      </c>
      <c r="Q2869" s="5" t="str">
        <f t="shared" si="1"/>
        <v>২ পরে</v>
      </c>
    </row>
    <row r="2870">
      <c r="A2870" s="4">
        <v>667.0</v>
      </c>
      <c r="B2870" s="2" t="s">
        <v>11312</v>
      </c>
      <c r="C2870" s="2" t="s">
        <v>11313</v>
      </c>
      <c r="D2870" s="2" t="s">
        <v>11314</v>
      </c>
      <c r="E2870" s="2" t="s">
        <v>11315</v>
      </c>
      <c r="F2870" s="2" t="b">
        <v>1</v>
      </c>
      <c r="G2870" s="2" t="b">
        <v>1</v>
      </c>
      <c r="H2870" s="2" t="s">
        <v>11316</v>
      </c>
      <c r="I2870" s="2" t="s">
        <v>32</v>
      </c>
      <c r="J2870" s="2" t="s">
        <v>11317</v>
      </c>
      <c r="K2870" s="2" t="s">
        <v>376</v>
      </c>
      <c r="L2870" s="13" t="s">
        <v>377</v>
      </c>
      <c r="M2870" s="2" t="s">
        <v>26</v>
      </c>
      <c r="P2870" s="5" t="str">
        <f>IFERROR(__xludf.DUMMYFUNCTION("TEXTJOIN("" | "",TRUE,IF(OR(D2870="""",E2870="""",I2870="""",J2870="""",H2870=""""),""ফাঁকা ঘর"",""""),IF(AND(C2870&lt;&gt;"""",D2870&lt;&gt;"""",C2870=D2870),""gloss=figurative"",""""),IF(LEN(D2870)&lt;15,""figurative ছোট"",""""),IF(AND(I2870=""Positive"",REGEXMATCH(H2"&amp;"870,""মূর্খ|ভণ্ড|প্রতার|অলস|লোভ|স্বার্থ|অক্ষম|অযোগ্য|বোকা|কৃপণ|হিংস"")),""valence-target অমিল"",""""),IF(COUNTIF($B:$B,B2870)&gt;1,""ডুপ্লিকেট"",""""))"),"")</f>
        <v/>
      </c>
      <c r="Q2870" s="5" t="str">
        <f t="shared" si="1"/>
        <v>২ পরে</v>
      </c>
    </row>
    <row r="2871">
      <c r="A2871" s="4">
        <v>668.0</v>
      </c>
      <c r="B2871" s="2" t="s">
        <v>11318</v>
      </c>
      <c r="C2871" s="2" t="s">
        <v>11319</v>
      </c>
      <c r="D2871" s="2" t="s">
        <v>11320</v>
      </c>
      <c r="E2871" s="2" t="s">
        <v>11321</v>
      </c>
      <c r="F2871" s="2" t="b">
        <v>1</v>
      </c>
      <c r="G2871" s="2" t="b">
        <v>0</v>
      </c>
      <c r="H2871" s="2" t="s">
        <v>9047</v>
      </c>
      <c r="I2871" s="2" t="s">
        <v>22</v>
      </c>
      <c r="J2871" s="2" t="s">
        <v>59</v>
      </c>
      <c r="K2871" s="2" t="s">
        <v>376</v>
      </c>
      <c r="L2871" s="13" t="s">
        <v>377</v>
      </c>
      <c r="M2871" s="2" t="s">
        <v>26</v>
      </c>
      <c r="P2871" s="5" t="str">
        <f>IFERROR(__xludf.DUMMYFUNCTION("TEXTJOIN("" | "",TRUE,IF(OR(D2871="""",E2871="""",I2871="""",J2871="""",H2871=""""),""ফাঁকা ঘর"",""""),IF(AND(C2871&lt;&gt;"""",D2871&lt;&gt;"""",C2871=D2871),""gloss=figurative"",""""),IF(LEN(D2871)&lt;15,""figurative ছোট"",""""),IF(AND(I2871=""Positive"",REGEXMATCH(H2"&amp;"871,""মূর্খ|ভণ্ড|প্রতার|অলস|লোভ|স্বার্থ|অক্ষম|অযোগ্য|বোকা|কৃপণ|হিংস"")),""valence-target অমিল"",""""),IF(COUNTIF($B:$B,B2871)&gt;1,""ডুপ্লিকেট"",""""))"),"")</f>
        <v/>
      </c>
      <c r="Q2871" s="5" t="str">
        <f t="shared" si="1"/>
        <v>২ পরে</v>
      </c>
    </row>
    <row r="2872">
      <c r="A2872" s="4">
        <v>669.0</v>
      </c>
      <c r="B2872" s="2" t="s">
        <v>11322</v>
      </c>
      <c r="C2872" s="2" t="s">
        <v>11323</v>
      </c>
      <c r="D2872" s="2" t="s">
        <v>11324</v>
      </c>
      <c r="E2872" s="2" t="s">
        <v>11325</v>
      </c>
      <c r="F2872" s="2" t="b">
        <v>1</v>
      </c>
      <c r="G2872" s="2" t="b">
        <v>0</v>
      </c>
      <c r="H2872" s="2" t="s">
        <v>37</v>
      </c>
      <c r="I2872" s="2" t="s">
        <v>32</v>
      </c>
      <c r="J2872" s="2" t="s">
        <v>646</v>
      </c>
      <c r="K2872" s="2" t="s">
        <v>376</v>
      </c>
      <c r="L2872" s="13" t="s">
        <v>377</v>
      </c>
      <c r="M2872" s="2" t="s">
        <v>26</v>
      </c>
      <c r="P2872" s="5" t="str">
        <f>IFERROR(__xludf.DUMMYFUNCTION("TEXTJOIN("" | "",TRUE,IF(OR(D2872="""",E2872="""",I2872="""",J2872="""",H2872=""""),""ফাঁকা ঘর"",""""),IF(AND(C2872&lt;&gt;"""",D2872&lt;&gt;"""",C2872=D2872),""gloss=figurative"",""""),IF(LEN(D2872)&lt;15,""figurative ছোট"",""""),IF(AND(I2872=""Positive"",REGEXMATCH(H2"&amp;"872,""মূর্খ|ভণ্ড|প্রতার|অলস|লোভ|স্বার্থ|অক্ষম|অযোগ্য|বোকা|কৃপণ|হিংস"")),""valence-target অমিল"",""""),IF(COUNTIF($B:$B,B2872)&gt;1,""ডুপ্লিকেট"",""""))"),"")</f>
        <v/>
      </c>
      <c r="Q2872" s="5" t="str">
        <f t="shared" si="1"/>
        <v>২ পরে</v>
      </c>
    </row>
    <row r="2873">
      <c r="A2873" s="4">
        <v>670.0</v>
      </c>
      <c r="B2873" s="2" t="s">
        <v>11326</v>
      </c>
      <c r="C2873" s="2" t="s">
        <v>11327</v>
      </c>
      <c r="D2873" s="2" t="s">
        <v>11328</v>
      </c>
      <c r="E2873" s="2" t="s">
        <v>11329</v>
      </c>
      <c r="F2873" s="2" t="b">
        <v>1</v>
      </c>
      <c r="G2873" s="2" t="b">
        <v>0</v>
      </c>
      <c r="H2873" s="2" t="s">
        <v>21</v>
      </c>
      <c r="I2873" s="2" t="s">
        <v>22</v>
      </c>
      <c r="J2873" s="2" t="s">
        <v>11250</v>
      </c>
      <c r="K2873" s="2" t="s">
        <v>376</v>
      </c>
      <c r="L2873" s="13" t="s">
        <v>377</v>
      </c>
      <c r="M2873" s="2" t="s">
        <v>26</v>
      </c>
      <c r="P2873" s="5" t="str">
        <f>IFERROR(__xludf.DUMMYFUNCTION("TEXTJOIN("" | "",TRUE,IF(OR(D2873="""",E2873="""",I2873="""",J2873="""",H2873=""""),""ফাঁকা ঘর"",""""),IF(AND(C2873&lt;&gt;"""",D2873&lt;&gt;"""",C2873=D2873),""gloss=figurative"",""""),IF(LEN(D2873)&lt;15,""figurative ছোট"",""""),IF(AND(I2873=""Positive"",REGEXMATCH(H2"&amp;"873,""মূর্খ|ভণ্ড|প্রতার|অলস|লোভ|স্বার্থ|অক্ষম|অযোগ্য|বোকা|কৃপণ|হিংস"")),""valence-target অমিল"",""""),IF(COUNTIF($B:$B,B2873)&gt;1,""ডুপ্লিকেট"",""""))"),"")</f>
        <v/>
      </c>
      <c r="Q2873" s="5" t="str">
        <f t="shared" si="1"/>
        <v>২ পরে</v>
      </c>
    </row>
    <row r="2874">
      <c r="A2874" s="4">
        <v>671.0</v>
      </c>
      <c r="B2874" s="2" t="s">
        <v>11330</v>
      </c>
      <c r="C2874" s="2" t="s">
        <v>11331</v>
      </c>
      <c r="D2874" s="2" t="s">
        <v>11332</v>
      </c>
      <c r="E2874" s="2" t="s">
        <v>11333</v>
      </c>
      <c r="F2874" s="2" t="b">
        <v>1</v>
      </c>
      <c r="G2874" s="2" t="b">
        <v>0</v>
      </c>
      <c r="H2874" s="2" t="s">
        <v>11334</v>
      </c>
      <c r="I2874" s="2" t="s">
        <v>22</v>
      </c>
      <c r="J2874" s="2" t="s">
        <v>142</v>
      </c>
      <c r="K2874" s="2" t="s">
        <v>376</v>
      </c>
      <c r="L2874" s="13" t="s">
        <v>377</v>
      </c>
      <c r="M2874" s="2" t="s">
        <v>26</v>
      </c>
      <c r="P2874" s="5" t="str">
        <f>IFERROR(__xludf.DUMMYFUNCTION("TEXTJOIN("" | "",TRUE,IF(OR(D2874="""",E2874="""",I2874="""",J2874="""",H2874=""""),""ফাঁকা ঘর"",""""),IF(AND(C2874&lt;&gt;"""",D2874&lt;&gt;"""",C2874=D2874),""gloss=figurative"",""""),IF(LEN(D2874)&lt;15,""figurative ছোট"",""""),IF(AND(I2874=""Positive"",REGEXMATCH(H2"&amp;"874,""মূর্খ|ভণ্ড|প্রতার|অলস|লোভ|স্বার্থ|অক্ষম|অযোগ্য|বোকা|কৃপণ|হিংস"")),""valence-target অমিল"",""""),IF(COUNTIF($B:$B,B2874)&gt;1,""ডুপ্লিকেট"",""""))"),"")</f>
        <v/>
      </c>
      <c r="Q2874" s="5" t="str">
        <f t="shared" si="1"/>
        <v>২ পরে</v>
      </c>
    </row>
    <row r="2875">
      <c r="A2875" s="4">
        <v>672.0</v>
      </c>
      <c r="B2875" s="2" t="s">
        <v>11335</v>
      </c>
      <c r="C2875" s="2" t="s">
        <v>11336</v>
      </c>
      <c r="D2875" s="2" t="s">
        <v>11337</v>
      </c>
      <c r="E2875" s="2" t="s">
        <v>11338</v>
      </c>
      <c r="F2875" s="2" t="b">
        <v>1</v>
      </c>
      <c r="G2875" s="2" t="b">
        <v>0</v>
      </c>
      <c r="H2875" s="2" t="s">
        <v>11339</v>
      </c>
      <c r="I2875" s="2" t="s">
        <v>22</v>
      </c>
      <c r="J2875" s="2" t="s">
        <v>59</v>
      </c>
      <c r="K2875" s="2" t="s">
        <v>376</v>
      </c>
      <c r="L2875" s="13" t="s">
        <v>377</v>
      </c>
      <c r="M2875" s="2" t="s">
        <v>26</v>
      </c>
      <c r="P2875" s="5" t="str">
        <f>IFERROR(__xludf.DUMMYFUNCTION("TEXTJOIN("" | "",TRUE,IF(OR(D2875="""",E2875="""",I2875="""",J2875="""",H2875=""""),""ফাঁকা ঘর"",""""),IF(AND(C2875&lt;&gt;"""",D2875&lt;&gt;"""",C2875=D2875),""gloss=figurative"",""""),IF(LEN(D2875)&lt;15,""figurative ছোট"",""""),IF(AND(I2875=""Positive"",REGEXMATCH(H2"&amp;"875,""মূর্খ|ভণ্ড|প্রতার|অলস|লোভ|স্বার্থ|অক্ষম|অযোগ্য|বোকা|কৃপণ|হিংস"")),""valence-target অমিল"",""""),IF(COUNTIF($B:$B,B2875)&gt;1,""ডুপ্লিকেট"",""""))"),"")</f>
        <v/>
      </c>
      <c r="Q2875" s="5" t="str">
        <f t="shared" si="1"/>
        <v>২ পরে</v>
      </c>
    </row>
    <row r="2876">
      <c r="A2876" s="4">
        <v>673.0</v>
      </c>
      <c r="B2876" s="2" t="s">
        <v>11340</v>
      </c>
      <c r="C2876" s="2" t="s">
        <v>11341</v>
      </c>
      <c r="D2876" s="2" t="s">
        <v>11342</v>
      </c>
      <c r="E2876" s="2" t="s">
        <v>11343</v>
      </c>
      <c r="F2876" s="2" t="b">
        <v>1</v>
      </c>
      <c r="G2876" s="2" t="b">
        <v>0</v>
      </c>
      <c r="H2876" s="2" t="s">
        <v>37</v>
      </c>
      <c r="I2876" s="2" t="s">
        <v>32</v>
      </c>
      <c r="J2876" s="2" t="s">
        <v>59</v>
      </c>
      <c r="K2876" s="2" t="s">
        <v>376</v>
      </c>
      <c r="L2876" s="13" t="s">
        <v>377</v>
      </c>
      <c r="M2876" s="2" t="s">
        <v>26</v>
      </c>
      <c r="P2876" s="5" t="str">
        <f>IFERROR(__xludf.DUMMYFUNCTION("TEXTJOIN("" | "",TRUE,IF(OR(D2876="""",E2876="""",I2876="""",J2876="""",H2876=""""),""ফাঁকা ঘর"",""""),IF(AND(C2876&lt;&gt;"""",D2876&lt;&gt;"""",C2876=D2876),""gloss=figurative"",""""),IF(LEN(D2876)&lt;15,""figurative ছোট"",""""),IF(AND(I2876=""Positive"",REGEXMATCH(H2"&amp;"876,""মূর্খ|ভণ্ড|প্রতার|অলস|লোভ|স্বার্থ|অক্ষম|অযোগ্য|বোকা|কৃপণ|হিংস"")),""valence-target অমিল"",""""),IF(COUNTIF($B:$B,B2876)&gt;1,""ডুপ্লিকেট"",""""))"),"")</f>
        <v/>
      </c>
      <c r="Q2876" s="5" t="str">
        <f t="shared" si="1"/>
        <v>২ পরে</v>
      </c>
    </row>
    <row r="2877">
      <c r="A2877" s="4">
        <v>674.0</v>
      </c>
      <c r="B2877" s="2" t="s">
        <v>11344</v>
      </c>
      <c r="C2877" s="2" t="s">
        <v>11345</v>
      </c>
      <c r="D2877" s="2" t="s">
        <v>11346</v>
      </c>
      <c r="E2877" s="2" t="s">
        <v>11347</v>
      </c>
      <c r="F2877" s="2" t="b">
        <v>1</v>
      </c>
      <c r="G2877" s="2" t="b">
        <v>0</v>
      </c>
      <c r="H2877" s="2" t="s">
        <v>37</v>
      </c>
      <c r="I2877" s="2" t="s">
        <v>32</v>
      </c>
      <c r="J2877" s="2" t="s">
        <v>59</v>
      </c>
      <c r="K2877" s="2" t="s">
        <v>376</v>
      </c>
      <c r="L2877" s="13" t="s">
        <v>377</v>
      </c>
      <c r="M2877" s="2" t="s">
        <v>26</v>
      </c>
      <c r="P2877" s="5" t="str">
        <f>IFERROR(__xludf.DUMMYFUNCTION("TEXTJOIN("" | "",TRUE,IF(OR(D2877="""",E2877="""",I2877="""",J2877="""",H2877=""""),""ফাঁকা ঘর"",""""),IF(AND(C2877&lt;&gt;"""",D2877&lt;&gt;"""",C2877=D2877),""gloss=figurative"",""""),IF(LEN(D2877)&lt;15,""figurative ছোট"",""""),IF(AND(I2877=""Positive"",REGEXMATCH(H2"&amp;"877,""মূর্খ|ভণ্ড|প্রতার|অলস|লোভ|স্বার্থ|অক্ষম|অযোগ্য|বোকা|কৃপণ|হিংস"")),""valence-target অমিল"",""""),IF(COUNTIF($B:$B,B2877)&gt;1,""ডুপ্লিকেট"",""""))"),"")</f>
        <v/>
      </c>
      <c r="Q2877" s="5" t="str">
        <f t="shared" si="1"/>
        <v>২ পরে</v>
      </c>
    </row>
    <row r="2878">
      <c r="A2878" s="4">
        <v>675.0</v>
      </c>
      <c r="B2878" s="2" t="s">
        <v>11348</v>
      </c>
      <c r="C2878" s="2" t="s">
        <v>11349</v>
      </c>
      <c r="D2878" s="2" t="s">
        <v>11350</v>
      </c>
      <c r="E2878" s="2" t="s">
        <v>11351</v>
      </c>
      <c r="F2878" s="2" t="b">
        <v>1</v>
      </c>
      <c r="G2878" s="2" t="b">
        <v>1</v>
      </c>
      <c r="H2878" s="2" t="s">
        <v>11352</v>
      </c>
      <c r="I2878" s="2" t="s">
        <v>22</v>
      </c>
      <c r="J2878" s="2" t="s">
        <v>11353</v>
      </c>
      <c r="K2878" s="2" t="s">
        <v>376</v>
      </c>
      <c r="L2878" s="13" t="s">
        <v>377</v>
      </c>
      <c r="M2878" s="2" t="s">
        <v>26</v>
      </c>
      <c r="P2878" s="5" t="str">
        <f>IFERROR(__xludf.DUMMYFUNCTION("TEXTJOIN("" | "",TRUE,IF(OR(D2878="""",E2878="""",I2878="""",J2878="""",H2878=""""),""ফাঁকা ঘর"",""""),IF(AND(C2878&lt;&gt;"""",D2878&lt;&gt;"""",C2878=D2878),""gloss=figurative"",""""),IF(LEN(D2878)&lt;15,""figurative ছোট"",""""),IF(AND(I2878=""Positive"",REGEXMATCH(H2"&amp;"878,""মূর্খ|ভণ্ড|প্রতার|অলস|লোভ|স্বার্থ|অক্ষম|অযোগ্য|বোকা|কৃপণ|হিংস"")),""valence-target অমিল"",""""),IF(COUNTIF($B:$B,B2878)&gt;1,""ডুপ্লিকেট"",""""))"),"")</f>
        <v/>
      </c>
      <c r="Q2878" s="5" t="str">
        <f t="shared" si="1"/>
        <v>২ পরে</v>
      </c>
    </row>
    <row r="2879">
      <c r="A2879" s="4">
        <v>676.0</v>
      </c>
      <c r="B2879" s="2" t="s">
        <v>11354</v>
      </c>
      <c r="C2879" s="2" t="s">
        <v>11355</v>
      </c>
      <c r="D2879" s="2" t="s">
        <v>11356</v>
      </c>
      <c r="E2879" s="2" t="s">
        <v>11357</v>
      </c>
      <c r="F2879" s="2" t="b">
        <v>1</v>
      </c>
      <c r="G2879" s="2" t="b">
        <v>0</v>
      </c>
      <c r="H2879" s="2" t="s">
        <v>10105</v>
      </c>
      <c r="I2879" s="2" t="s">
        <v>49</v>
      </c>
      <c r="J2879" s="2" t="s">
        <v>11358</v>
      </c>
      <c r="K2879" s="2" t="s">
        <v>376</v>
      </c>
      <c r="L2879" s="13" t="s">
        <v>377</v>
      </c>
      <c r="M2879" s="2" t="s">
        <v>26</v>
      </c>
      <c r="P2879" s="5" t="str">
        <f>IFERROR(__xludf.DUMMYFUNCTION("TEXTJOIN("" | "",TRUE,IF(OR(D2879="""",E2879="""",I2879="""",J2879="""",H2879=""""),""ফাঁকা ঘর"",""""),IF(AND(C2879&lt;&gt;"""",D2879&lt;&gt;"""",C2879=D2879),""gloss=figurative"",""""),IF(LEN(D2879)&lt;15,""figurative ছোট"",""""),IF(AND(I2879=""Positive"",REGEXMATCH(H2"&amp;"879,""মূর্খ|ভণ্ড|প্রতার|অলস|লোভ|স্বার্থ|অক্ষম|অযোগ্য|বোকা|কৃপণ|হিংস"")),""valence-target অমিল"",""""),IF(COUNTIF($B:$B,B2879)&gt;1,""ডুপ্লিকেট"",""""))"),"")</f>
        <v/>
      </c>
      <c r="Q2879" s="5" t="str">
        <f t="shared" si="1"/>
        <v>২ পরে</v>
      </c>
    </row>
    <row r="2880">
      <c r="A2880" s="4">
        <v>677.0</v>
      </c>
      <c r="B2880" s="2" t="s">
        <v>11359</v>
      </c>
      <c r="C2880" s="2" t="s">
        <v>11360</v>
      </c>
      <c r="D2880" s="2" t="s">
        <v>11361</v>
      </c>
      <c r="E2880" s="2" t="s">
        <v>11362</v>
      </c>
      <c r="F2880" s="2" t="b">
        <v>1</v>
      </c>
      <c r="G2880" s="2" t="b">
        <v>0</v>
      </c>
      <c r="H2880" s="2" t="s">
        <v>11363</v>
      </c>
      <c r="I2880" s="2" t="s">
        <v>32</v>
      </c>
      <c r="J2880" s="2" t="s">
        <v>59</v>
      </c>
      <c r="K2880" s="2" t="s">
        <v>376</v>
      </c>
      <c r="L2880" s="13" t="s">
        <v>377</v>
      </c>
      <c r="M2880" s="2" t="s">
        <v>26</v>
      </c>
      <c r="P2880" s="5" t="str">
        <f>IFERROR(__xludf.DUMMYFUNCTION("TEXTJOIN("" | "",TRUE,IF(OR(D2880="""",E2880="""",I2880="""",J2880="""",H2880=""""),""ফাঁকা ঘর"",""""),IF(AND(C2880&lt;&gt;"""",D2880&lt;&gt;"""",C2880=D2880),""gloss=figurative"",""""),IF(LEN(D2880)&lt;15,""figurative ছোট"",""""),IF(AND(I2880=""Positive"",REGEXMATCH(H2"&amp;"880,""মূর্খ|ভণ্ড|প্রতার|অলস|লোভ|স্বার্থ|অক্ষম|অযোগ্য|বোকা|কৃপণ|হিংস"")),""valence-target অমিল"",""""),IF(COUNTIF($B:$B,B2880)&gt;1,""ডুপ্লিকেট"",""""))"),"")</f>
        <v/>
      </c>
      <c r="Q2880" s="5" t="str">
        <f t="shared" si="1"/>
        <v>২ পরে</v>
      </c>
    </row>
    <row r="2881">
      <c r="A2881" s="4">
        <v>678.0</v>
      </c>
      <c r="B2881" s="2" t="s">
        <v>11364</v>
      </c>
      <c r="C2881" s="2" t="s">
        <v>11364</v>
      </c>
      <c r="D2881" s="2" t="s">
        <v>11365</v>
      </c>
      <c r="E2881" s="2" t="s">
        <v>11366</v>
      </c>
      <c r="F2881" s="2" t="b">
        <v>1</v>
      </c>
      <c r="G2881" s="2" t="b">
        <v>0</v>
      </c>
      <c r="H2881" s="2" t="s">
        <v>137</v>
      </c>
      <c r="I2881" s="2" t="s">
        <v>22</v>
      </c>
      <c r="J2881" s="2" t="s">
        <v>59</v>
      </c>
      <c r="K2881" s="2" t="s">
        <v>376</v>
      </c>
      <c r="L2881" s="13" t="s">
        <v>377</v>
      </c>
      <c r="M2881" s="2" t="s">
        <v>26</v>
      </c>
      <c r="P2881" s="5" t="str">
        <f>IFERROR(__xludf.DUMMYFUNCTION("TEXTJOIN("" | "",TRUE,IF(OR(D2881="""",E2881="""",I2881="""",J2881="""",H2881=""""),""ফাঁকা ঘর"",""""),IF(AND(C2881&lt;&gt;"""",D2881&lt;&gt;"""",C2881=D2881),""gloss=figurative"",""""),IF(LEN(D2881)&lt;15,""figurative ছোট"",""""),IF(AND(I2881=""Positive"",REGEXMATCH(H2"&amp;"881,""মূর্খ|ভণ্ড|প্রতার|অলস|লোভ|স্বার্থ|অক্ষম|অযোগ্য|বোকা|কৃপণ|হিংস"")),""valence-target অমিল"",""""),IF(COUNTIF($B:$B,B2881)&gt;1,""ডুপ্লিকেট"",""""))"),"")</f>
        <v/>
      </c>
      <c r="Q2881" s="5" t="str">
        <f t="shared" si="1"/>
        <v>২ পরে</v>
      </c>
    </row>
    <row r="2882">
      <c r="A2882" s="4">
        <v>679.0</v>
      </c>
      <c r="B2882" s="2" t="s">
        <v>11367</v>
      </c>
      <c r="C2882" s="2" t="s">
        <v>11368</v>
      </c>
      <c r="D2882" s="2" t="s">
        <v>11369</v>
      </c>
      <c r="E2882" s="2" t="s">
        <v>11370</v>
      </c>
      <c r="F2882" s="2" t="b">
        <v>1</v>
      </c>
      <c r="G2882" s="2" t="b">
        <v>0</v>
      </c>
      <c r="H2882" s="2" t="s">
        <v>37</v>
      </c>
      <c r="I2882" s="2" t="s">
        <v>32</v>
      </c>
      <c r="J2882" s="2" t="s">
        <v>11371</v>
      </c>
      <c r="K2882" s="2" t="s">
        <v>376</v>
      </c>
      <c r="L2882" s="13" t="s">
        <v>377</v>
      </c>
      <c r="M2882" s="2" t="s">
        <v>26</v>
      </c>
      <c r="P2882" s="5" t="str">
        <f>IFERROR(__xludf.DUMMYFUNCTION("TEXTJOIN("" | "",TRUE,IF(OR(D2882="""",E2882="""",I2882="""",J2882="""",H2882=""""),""ফাঁকা ঘর"",""""),IF(AND(C2882&lt;&gt;"""",D2882&lt;&gt;"""",C2882=D2882),""gloss=figurative"",""""),IF(LEN(D2882)&lt;15,""figurative ছোট"",""""),IF(AND(I2882=""Positive"",REGEXMATCH(H2"&amp;"882,""মূর্খ|ভণ্ড|প্রতার|অলস|লোভ|স্বার্থ|অক্ষম|অযোগ্য|বোকা|কৃপণ|হিংস"")),""valence-target অমিল"",""""),IF(COUNTIF($B:$B,B2882)&gt;1,""ডুপ্লিকেট"",""""))"),"")</f>
        <v/>
      </c>
      <c r="Q2882" s="5" t="str">
        <f t="shared" si="1"/>
        <v>২ পরে</v>
      </c>
    </row>
    <row r="2883">
      <c r="A2883" s="4">
        <v>680.0</v>
      </c>
      <c r="B2883" s="2" t="s">
        <v>11372</v>
      </c>
      <c r="C2883" s="2" t="s">
        <v>11373</v>
      </c>
      <c r="D2883" s="2" t="s">
        <v>11374</v>
      </c>
      <c r="E2883" s="2" t="s">
        <v>11375</v>
      </c>
      <c r="F2883" s="2" t="b">
        <v>1</v>
      </c>
      <c r="G2883" s="2" t="b">
        <v>0</v>
      </c>
      <c r="H2883" s="2" t="s">
        <v>11021</v>
      </c>
      <c r="I2883" s="2" t="s">
        <v>49</v>
      </c>
      <c r="J2883" s="2" t="s">
        <v>169</v>
      </c>
      <c r="K2883" s="2" t="s">
        <v>376</v>
      </c>
      <c r="L2883" s="13" t="s">
        <v>377</v>
      </c>
      <c r="M2883" s="2" t="s">
        <v>26</v>
      </c>
      <c r="P2883" s="5" t="str">
        <f>IFERROR(__xludf.DUMMYFUNCTION("TEXTJOIN("" | "",TRUE,IF(OR(D2883="""",E2883="""",I2883="""",J2883="""",H2883=""""),""ফাঁকা ঘর"",""""),IF(AND(C2883&lt;&gt;"""",D2883&lt;&gt;"""",C2883=D2883),""gloss=figurative"",""""),IF(LEN(D2883)&lt;15,""figurative ছোট"",""""),IF(AND(I2883=""Positive"",REGEXMATCH(H2"&amp;"883,""মূর্খ|ভণ্ড|প্রতার|অলস|লোভ|স্বার্থ|অক্ষম|অযোগ্য|বোকা|কৃপণ|হিংস"")),""valence-target অমিল"",""""),IF(COUNTIF($B:$B,B2883)&gt;1,""ডুপ্লিকেট"",""""))"),"")</f>
        <v/>
      </c>
      <c r="Q2883" s="5" t="str">
        <f t="shared" si="1"/>
        <v>২ পরে</v>
      </c>
    </row>
    <row r="2884">
      <c r="A2884" s="4">
        <v>681.0</v>
      </c>
      <c r="B2884" s="2" t="s">
        <v>11376</v>
      </c>
      <c r="C2884" s="2" t="s">
        <v>11377</v>
      </c>
      <c r="D2884" s="2" t="s">
        <v>11378</v>
      </c>
      <c r="E2884" s="2" t="s">
        <v>11379</v>
      </c>
      <c r="F2884" s="2" t="b">
        <v>1</v>
      </c>
      <c r="G2884" s="2" t="b">
        <v>0</v>
      </c>
      <c r="H2884" s="2" t="s">
        <v>11380</v>
      </c>
      <c r="I2884" s="2" t="s">
        <v>32</v>
      </c>
      <c r="J2884" s="2" t="s">
        <v>8973</v>
      </c>
      <c r="K2884" s="2" t="s">
        <v>376</v>
      </c>
      <c r="L2884" s="13" t="s">
        <v>377</v>
      </c>
      <c r="M2884" s="2" t="s">
        <v>26</v>
      </c>
      <c r="P2884" s="5" t="str">
        <f>IFERROR(__xludf.DUMMYFUNCTION("TEXTJOIN("" | "",TRUE,IF(OR(D2884="""",E2884="""",I2884="""",J2884="""",H2884=""""),""ফাঁকা ঘর"",""""),IF(AND(C2884&lt;&gt;"""",D2884&lt;&gt;"""",C2884=D2884),""gloss=figurative"",""""),IF(LEN(D2884)&lt;15,""figurative ছোট"",""""),IF(AND(I2884=""Positive"",REGEXMATCH(H2"&amp;"884,""মূর্খ|ভণ্ড|প্রতার|অলস|লোভ|স্বার্থ|অক্ষম|অযোগ্য|বোকা|কৃপণ|হিংস"")),""valence-target অমিল"",""""),IF(COUNTIF($B:$B,B2884)&gt;1,""ডুপ্লিকেট"",""""))"),"")</f>
        <v/>
      </c>
      <c r="Q2884" s="5" t="str">
        <f t="shared" si="1"/>
        <v>২ পরে</v>
      </c>
    </row>
    <row r="2885">
      <c r="A2885" s="4">
        <v>682.0</v>
      </c>
      <c r="B2885" s="2" t="s">
        <v>11381</v>
      </c>
      <c r="C2885" s="2" t="s">
        <v>11382</v>
      </c>
      <c r="D2885" s="2" t="s">
        <v>11383</v>
      </c>
      <c r="E2885" s="2" t="s">
        <v>11384</v>
      </c>
      <c r="F2885" s="2" t="b">
        <v>1</v>
      </c>
      <c r="G2885" s="2" t="b">
        <v>0</v>
      </c>
      <c r="H2885" s="2" t="s">
        <v>37</v>
      </c>
      <c r="I2885" s="2" t="s">
        <v>32</v>
      </c>
      <c r="J2885" s="2" t="s">
        <v>11385</v>
      </c>
      <c r="K2885" s="2" t="s">
        <v>376</v>
      </c>
      <c r="L2885" s="13" t="s">
        <v>377</v>
      </c>
      <c r="M2885" s="2" t="s">
        <v>26</v>
      </c>
      <c r="P2885" s="5" t="str">
        <f>IFERROR(__xludf.DUMMYFUNCTION("TEXTJOIN("" | "",TRUE,IF(OR(D2885="""",E2885="""",I2885="""",J2885="""",H2885=""""),""ফাঁকা ঘর"",""""),IF(AND(C2885&lt;&gt;"""",D2885&lt;&gt;"""",C2885=D2885),""gloss=figurative"",""""),IF(LEN(D2885)&lt;15,""figurative ছোট"",""""),IF(AND(I2885=""Positive"",REGEXMATCH(H2"&amp;"885,""মূর্খ|ভণ্ড|প্রতার|অলস|লোভ|স্বার্থ|অক্ষম|অযোগ্য|বোকা|কৃপণ|হিংস"")),""valence-target অমিল"",""""),IF(COUNTIF($B:$B,B2885)&gt;1,""ডুপ্লিকেট"",""""))"),"")</f>
        <v/>
      </c>
      <c r="Q2885" s="5" t="str">
        <f t="shared" si="1"/>
        <v>২ পরে</v>
      </c>
    </row>
    <row r="2886">
      <c r="A2886" s="4">
        <v>683.0</v>
      </c>
      <c r="B2886" s="2" t="s">
        <v>11386</v>
      </c>
      <c r="C2886" s="2" t="s">
        <v>11387</v>
      </c>
      <c r="D2886" s="2" t="s">
        <v>11388</v>
      </c>
      <c r="E2886" s="2" t="s">
        <v>11389</v>
      </c>
      <c r="F2886" s="2" t="b">
        <v>1</v>
      </c>
      <c r="G2886" s="2" t="b">
        <v>0</v>
      </c>
      <c r="H2886" s="2" t="s">
        <v>37</v>
      </c>
      <c r="I2886" s="2" t="s">
        <v>32</v>
      </c>
      <c r="J2886" s="2" t="s">
        <v>169</v>
      </c>
      <c r="K2886" s="2" t="s">
        <v>376</v>
      </c>
      <c r="L2886" s="13" t="s">
        <v>377</v>
      </c>
      <c r="M2886" s="2" t="s">
        <v>26</v>
      </c>
      <c r="P2886" s="5" t="str">
        <f>IFERROR(__xludf.DUMMYFUNCTION("TEXTJOIN("" | "",TRUE,IF(OR(D2886="""",E2886="""",I2886="""",J2886="""",H2886=""""),""ফাঁকা ঘর"",""""),IF(AND(C2886&lt;&gt;"""",D2886&lt;&gt;"""",C2886=D2886),""gloss=figurative"",""""),IF(LEN(D2886)&lt;15,""figurative ছোট"",""""),IF(AND(I2886=""Positive"",REGEXMATCH(H2"&amp;"886,""মূর্খ|ভণ্ড|প্রতার|অলস|লোভ|স্বার্থ|অক্ষম|অযোগ্য|বোকা|কৃপণ|হিংস"")),""valence-target অমিল"",""""),IF(COUNTIF($B:$B,B2886)&gt;1,""ডুপ্লিকেট"",""""))"),"")</f>
        <v/>
      </c>
      <c r="Q2886" s="5" t="str">
        <f t="shared" si="1"/>
        <v>২ পরে</v>
      </c>
    </row>
    <row r="2887">
      <c r="A2887" s="4">
        <v>684.0</v>
      </c>
      <c r="B2887" s="2" t="s">
        <v>11390</v>
      </c>
      <c r="C2887" s="2" t="s">
        <v>11391</v>
      </c>
      <c r="D2887" s="2" t="s">
        <v>11392</v>
      </c>
      <c r="E2887" s="2" t="s">
        <v>11393</v>
      </c>
      <c r="F2887" s="2" t="b">
        <v>1</v>
      </c>
      <c r="G2887" s="2" t="b">
        <v>0</v>
      </c>
      <c r="H2887" s="2" t="s">
        <v>37</v>
      </c>
      <c r="I2887" s="2" t="s">
        <v>32</v>
      </c>
      <c r="J2887" s="2" t="s">
        <v>1775</v>
      </c>
      <c r="K2887" s="2" t="s">
        <v>376</v>
      </c>
      <c r="L2887" s="13" t="s">
        <v>377</v>
      </c>
      <c r="M2887" s="2" t="s">
        <v>26</v>
      </c>
      <c r="P2887" s="5" t="str">
        <f>IFERROR(__xludf.DUMMYFUNCTION("TEXTJOIN("" | "",TRUE,IF(OR(D2887="""",E2887="""",I2887="""",J2887="""",H2887=""""),""ফাঁকা ঘর"",""""),IF(AND(C2887&lt;&gt;"""",D2887&lt;&gt;"""",C2887=D2887),""gloss=figurative"",""""),IF(LEN(D2887)&lt;15,""figurative ছোট"",""""),IF(AND(I2887=""Positive"",REGEXMATCH(H2"&amp;"887,""মূর্খ|ভণ্ড|প্রতার|অলস|লোভ|স্বার্থ|অক্ষম|অযোগ্য|বোকা|কৃপণ|হিংস"")),""valence-target অমিল"",""""),IF(COUNTIF($B:$B,B2887)&gt;1,""ডুপ্লিকেট"",""""))"),"")</f>
        <v/>
      </c>
      <c r="Q2887" s="5" t="str">
        <f t="shared" si="1"/>
        <v>২ পরে</v>
      </c>
    </row>
    <row r="2888">
      <c r="A2888" s="4">
        <v>685.0</v>
      </c>
      <c r="B2888" s="2" t="s">
        <v>11394</v>
      </c>
      <c r="C2888" s="2" t="s">
        <v>11395</v>
      </c>
      <c r="D2888" s="2" t="s">
        <v>11396</v>
      </c>
      <c r="E2888" s="2" t="s">
        <v>11397</v>
      </c>
      <c r="F2888" s="2" t="b">
        <v>1</v>
      </c>
      <c r="G2888" s="2" t="b">
        <v>0</v>
      </c>
      <c r="H2888" s="2" t="s">
        <v>819</v>
      </c>
      <c r="I2888" s="2" t="s">
        <v>22</v>
      </c>
      <c r="J2888" s="2" t="s">
        <v>8934</v>
      </c>
      <c r="K2888" s="2" t="s">
        <v>376</v>
      </c>
      <c r="L2888" s="13" t="s">
        <v>377</v>
      </c>
      <c r="M2888" s="2" t="s">
        <v>26</v>
      </c>
      <c r="P2888" s="5" t="str">
        <f>IFERROR(__xludf.DUMMYFUNCTION("TEXTJOIN("" | "",TRUE,IF(OR(D2888="""",E2888="""",I2888="""",J2888="""",H2888=""""),""ফাঁকা ঘর"",""""),IF(AND(C2888&lt;&gt;"""",D2888&lt;&gt;"""",C2888=D2888),""gloss=figurative"",""""),IF(LEN(D2888)&lt;15,""figurative ছোট"",""""),IF(AND(I2888=""Positive"",REGEXMATCH(H2"&amp;"888,""মূর্খ|ভণ্ড|প্রতার|অলস|লোভ|স্বার্থ|অক্ষম|অযোগ্য|বোকা|কৃপণ|হিংস"")),""valence-target অমিল"",""""),IF(COUNTIF($B:$B,B2888)&gt;1,""ডুপ্লিকেট"",""""))"),"")</f>
        <v/>
      </c>
      <c r="Q2888" s="5" t="str">
        <f t="shared" si="1"/>
        <v>২ পরে</v>
      </c>
    </row>
    <row r="2889">
      <c r="A2889" s="4">
        <v>686.0</v>
      </c>
      <c r="B2889" s="2" t="s">
        <v>11398</v>
      </c>
      <c r="C2889" s="2" t="s">
        <v>11399</v>
      </c>
      <c r="D2889" s="2" t="s">
        <v>11400</v>
      </c>
      <c r="E2889" s="2" t="s">
        <v>11401</v>
      </c>
      <c r="F2889" s="2" t="b">
        <v>1</v>
      </c>
      <c r="G2889" s="2" t="b">
        <v>0</v>
      </c>
      <c r="H2889" s="2" t="s">
        <v>9296</v>
      </c>
      <c r="I2889" s="2" t="s">
        <v>22</v>
      </c>
      <c r="J2889" s="2" t="s">
        <v>59</v>
      </c>
      <c r="K2889" s="2" t="s">
        <v>376</v>
      </c>
      <c r="L2889" s="13" t="s">
        <v>377</v>
      </c>
      <c r="M2889" s="2" t="s">
        <v>26</v>
      </c>
      <c r="P2889" s="5" t="str">
        <f>IFERROR(__xludf.DUMMYFUNCTION("TEXTJOIN("" | "",TRUE,IF(OR(D2889="""",E2889="""",I2889="""",J2889="""",H2889=""""),""ফাঁকা ঘর"",""""),IF(AND(C2889&lt;&gt;"""",D2889&lt;&gt;"""",C2889=D2889),""gloss=figurative"",""""),IF(LEN(D2889)&lt;15,""figurative ছোট"",""""),IF(AND(I2889=""Positive"",REGEXMATCH(H2"&amp;"889,""মূর্খ|ভণ্ড|প্রতার|অলস|লোভ|স্বার্থ|অক্ষম|অযোগ্য|বোকা|কৃপণ|হিংস"")),""valence-target অমিল"",""""),IF(COUNTIF($B:$B,B2889)&gt;1,""ডুপ্লিকেট"",""""))"),"")</f>
        <v/>
      </c>
      <c r="Q2889" s="5" t="str">
        <f t="shared" si="1"/>
        <v>২ পরে</v>
      </c>
    </row>
    <row r="2890">
      <c r="A2890" s="4">
        <v>687.0</v>
      </c>
      <c r="B2890" s="2" t="s">
        <v>11402</v>
      </c>
      <c r="C2890" s="2" t="s">
        <v>11403</v>
      </c>
      <c r="D2890" s="2" t="s">
        <v>9762</v>
      </c>
      <c r="E2890" s="2" t="s">
        <v>11404</v>
      </c>
      <c r="F2890" s="2" t="b">
        <v>1</v>
      </c>
      <c r="G2890" s="2" t="b">
        <v>0</v>
      </c>
      <c r="H2890" s="2" t="s">
        <v>308</v>
      </c>
      <c r="I2890" s="2" t="s">
        <v>22</v>
      </c>
      <c r="J2890" s="2" t="s">
        <v>59</v>
      </c>
      <c r="K2890" s="2" t="s">
        <v>376</v>
      </c>
      <c r="L2890" s="13" t="s">
        <v>377</v>
      </c>
      <c r="M2890" s="2" t="s">
        <v>26</v>
      </c>
      <c r="P2890" s="5" t="str">
        <f>IFERROR(__xludf.DUMMYFUNCTION("TEXTJOIN("" | "",TRUE,IF(OR(D2890="""",E2890="""",I2890="""",J2890="""",H2890=""""),""ফাঁকা ঘর"",""""),IF(AND(C2890&lt;&gt;"""",D2890&lt;&gt;"""",C2890=D2890),""gloss=figurative"",""""),IF(LEN(D2890)&lt;15,""figurative ছোট"",""""),IF(AND(I2890=""Positive"",REGEXMATCH(H2"&amp;"890,""মূর্খ|ভণ্ড|প্রতার|অলস|লোভ|স্বার্থ|অক্ষম|অযোগ্য|বোকা|কৃপণ|হিংস"")),""valence-target অমিল"",""""),IF(COUNTIF($B:$B,B2890)&gt;1,""ডুপ্লিকেট"",""""))"),"")</f>
        <v/>
      </c>
      <c r="Q2890" s="5" t="str">
        <f t="shared" si="1"/>
        <v>২ পরে</v>
      </c>
    </row>
    <row r="2891">
      <c r="A2891" s="4">
        <v>688.0</v>
      </c>
      <c r="B2891" s="2" t="s">
        <v>11405</v>
      </c>
      <c r="C2891" s="2" t="s">
        <v>11406</v>
      </c>
      <c r="D2891" s="2" t="s">
        <v>11407</v>
      </c>
      <c r="E2891" s="2" t="s">
        <v>11408</v>
      </c>
      <c r="F2891" s="2" t="b">
        <v>1</v>
      </c>
      <c r="G2891" s="2" t="b">
        <v>0</v>
      </c>
      <c r="H2891" s="2" t="s">
        <v>11409</v>
      </c>
      <c r="I2891" s="2" t="s">
        <v>22</v>
      </c>
      <c r="J2891" s="2" t="s">
        <v>142</v>
      </c>
      <c r="K2891" s="2" t="s">
        <v>376</v>
      </c>
      <c r="L2891" s="13" t="s">
        <v>377</v>
      </c>
      <c r="M2891" s="2" t="s">
        <v>26</v>
      </c>
      <c r="P2891" s="5" t="str">
        <f>IFERROR(__xludf.DUMMYFUNCTION("TEXTJOIN("" | "",TRUE,IF(OR(D2891="""",E2891="""",I2891="""",J2891="""",H2891=""""),""ফাঁকা ঘর"",""""),IF(AND(C2891&lt;&gt;"""",D2891&lt;&gt;"""",C2891=D2891),""gloss=figurative"",""""),IF(LEN(D2891)&lt;15,""figurative ছোট"",""""),IF(AND(I2891=""Positive"",REGEXMATCH(H2"&amp;"891,""মূর্খ|ভণ্ড|প্রতার|অলস|লোভ|স্বার্থ|অক্ষম|অযোগ্য|বোকা|কৃপণ|হিংস"")),""valence-target অমিল"",""""),IF(COUNTIF($B:$B,B2891)&gt;1,""ডুপ্লিকেট"",""""))"),"")</f>
        <v/>
      </c>
      <c r="Q2891" s="5" t="str">
        <f t="shared" si="1"/>
        <v>২ পরে</v>
      </c>
    </row>
    <row r="2892">
      <c r="A2892" s="4">
        <v>689.0</v>
      </c>
      <c r="B2892" s="2" t="s">
        <v>11410</v>
      </c>
      <c r="C2892" s="2" t="s">
        <v>11411</v>
      </c>
      <c r="D2892" s="2" t="s">
        <v>11412</v>
      </c>
      <c r="E2892" s="2" t="s">
        <v>11413</v>
      </c>
      <c r="F2892" s="2" t="b">
        <v>1</v>
      </c>
      <c r="G2892" s="2" t="b">
        <v>0</v>
      </c>
      <c r="H2892" s="2" t="s">
        <v>11414</v>
      </c>
      <c r="I2892" s="2" t="s">
        <v>22</v>
      </c>
      <c r="J2892" s="2" t="s">
        <v>9943</v>
      </c>
      <c r="K2892" s="2" t="s">
        <v>376</v>
      </c>
      <c r="L2892" s="13" t="s">
        <v>377</v>
      </c>
      <c r="M2892" s="2" t="s">
        <v>26</v>
      </c>
      <c r="P2892" s="5" t="str">
        <f>IFERROR(__xludf.DUMMYFUNCTION("TEXTJOIN("" | "",TRUE,IF(OR(D2892="""",E2892="""",I2892="""",J2892="""",H2892=""""),""ফাঁকা ঘর"",""""),IF(AND(C2892&lt;&gt;"""",D2892&lt;&gt;"""",C2892=D2892),""gloss=figurative"",""""),IF(LEN(D2892)&lt;15,""figurative ছোট"",""""),IF(AND(I2892=""Positive"",REGEXMATCH(H2"&amp;"892,""মূর্খ|ভণ্ড|প্রতার|অলস|লোভ|স্বার্থ|অক্ষম|অযোগ্য|বোকা|কৃপণ|হিংস"")),""valence-target অমিল"",""""),IF(COUNTIF($B:$B,B2892)&gt;1,""ডুপ্লিকেট"",""""))"),"")</f>
        <v/>
      </c>
      <c r="Q2892" s="5" t="str">
        <f t="shared" si="1"/>
        <v>২ পরে</v>
      </c>
    </row>
    <row r="2893">
      <c r="A2893" s="4">
        <v>690.0</v>
      </c>
      <c r="B2893" s="2" t="s">
        <v>11415</v>
      </c>
      <c r="C2893" s="2" t="s">
        <v>11416</v>
      </c>
      <c r="D2893" s="2" t="s">
        <v>11417</v>
      </c>
      <c r="E2893" s="2" t="s">
        <v>11418</v>
      </c>
      <c r="F2893" s="2" t="b">
        <v>1</v>
      </c>
      <c r="G2893" s="2" t="b">
        <v>0</v>
      </c>
      <c r="H2893" s="2" t="s">
        <v>37</v>
      </c>
      <c r="I2893" s="2" t="s">
        <v>32</v>
      </c>
      <c r="J2893" s="2" t="s">
        <v>1775</v>
      </c>
      <c r="K2893" s="2" t="s">
        <v>376</v>
      </c>
      <c r="L2893" s="13" t="s">
        <v>377</v>
      </c>
      <c r="M2893" s="2" t="s">
        <v>26</v>
      </c>
      <c r="P2893" s="5" t="str">
        <f>IFERROR(__xludf.DUMMYFUNCTION("TEXTJOIN("" | "",TRUE,IF(OR(D2893="""",E2893="""",I2893="""",J2893="""",H2893=""""),""ফাঁকা ঘর"",""""),IF(AND(C2893&lt;&gt;"""",D2893&lt;&gt;"""",C2893=D2893),""gloss=figurative"",""""),IF(LEN(D2893)&lt;15,""figurative ছোট"",""""),IF(AND(I2893=""Positive"",REGEXMATCH(H2"&amp;"893,""মূর্খ|ভণ্ড|প্রতার|অলস|লোভ|স্বার্থ|অক্ষম|অযোগ্য|বোকা|কৃপণ|হিংস"")),""valence-target অমিল"",""""),IF(COUNTIF($B:$B,B2893)&gt;1,""ডুপ্লিকেট"",""""))"),"")</f>
        <v/>
      </c>
      <c r="Q2893" s="5" t="str">
        <f t="shared" si="1"/>
        <v>২ পরে</v>
      </c>
    </row>
    <row r="2894">
      <c r="A2894" s="4">
        <v>691.0</v>
      </c>
      <c r="B2894" s="2" t="s">
        <v>11419</v>
      </c>
      <c r="C2894" s="2" t="s">
        <v>11420</v>
      </c>
      <c r="D2894" s="2" t="s">
        <v>11421</v>
      </c>
      <c r="E2894" s="2" t="s">
        <v>11422</v>
      </c>
      <c r="F2894" s="2" t="b">
        <v>1</v>
      </c>
      <c r="G2894" s="2" t="b">
        <v>0</v>
      </c>
      <c r="H2894" s="2" t="s">
        <v>11423</v>
      </c>
      <c r="I2894" s="2" t="s">
        <v>22</v>
      </c>
      <c r="J2894" s="2" t="s">
        <v>59</v>
      </c>
      <c r="K2894" s="2" t="s">
        <v>376</v>
      </c>
      <c r="L2894" s="13" t="s">
        <v>377</v>
      </c>
      <c r="M2894" s="2" t="s">
        <v>26</v>
      </c>
      <c r="P2894" s="5" t="str">
        <f>IFERROR(__xludf.DUMMYFUNCTION("TEXTJOIN("" | "",TRUE,IF(OR(D2894="""",E2894="""",I2894="""",J2894="""",H2894=""""),""ফাঁকা ঘর"",""""),IF(AND(C2894&lt;&gt;"""",D2894&lt;&gt;"""",C2894=D2894),""gloss=figurative"",""""),IF(LEN(D2894)&lt;15,""figurative ছোট"",""""),IF(AND(I2894=""Positive"",REGEXMATCH(H2"&amp;"894,""মূর্খ|ভণ্ড|প্রতার|অলস|লোভ|স্বার্থ|অক্ষম|অযোগ্য|বোকা|কৃপণ|হিংস"")),""valence-target অমিল"",""""),IF(COUNTIF($B:$B,B2894)&gt;1,""ডুপ্লিকেট"",""""))"),"")</f>
        <v/>
      </c>
      <c r="Q2894" s="5" t="str">
        <f t="shared" si="1"/>
        <v>২ পরে</v>
      </c>
    </row>
    <row r="2895">
      <c r="A2895" s="4">
        <v>692.0</v>
      </c>
      <c r="B2895" s="2" t="s">
        <v>11424</v>
      </c>
      <c r="C2895" s="2" t="s">
        <v>11425</v>
      </c>
      <c r="D2895" s="2" t="s">
        <v>10520</v>
      </c>
      <c r="E2895" s="2" t="s">
        <v>11426</v>
      </c>
      <c r="F2895" s="2" t="b">
        <v>1</v>
      </c>
      <c r="G2895" s="2" t="b">
        <v>0</v>
      </c>
      <c r="H2895" s="2" t="s">
        <v>10522</v>
      </c>
      <c r="I2895" s="2" t="s">
        <v>32</v>
      </c>
      <c r="J2895" s="2" t="s">
        <v>59</v>
      </c>
      <c r="K2895" s="2" t="s">
        <v>376</v>
      </c>
      <c r="L2895" s="13" t="s">
        <v>377</v>
      </c>
      <c r="M2895" s="2" t="s">
        <v>26</v>
      </c>
      <c r="P2895" s="5" t="str">
        <f>IFERROR(__xludf.DUMMYFUNCTION("TEXTJOIN("" | "",TRUE,IF(OR(D2895="""",E2895="""",I2895="""",J2895="""",H2895=""""),""ফাঁকা ঘর"",""""),IF(AND(C2895&lt;&gt;"""",D2895&lt;&gt;"""",C2895=D2895),""gloss=figurative"",""""),IF(LEN(D2895)&lt;15,""figurative ছোট"",""""),IF(AND(I2895=""Positive"",REGEXMATCH(H2"&amp;"895,""মূর্খ|ভণ্ড|প্রতার|অলস|লোভ|স্বার্থ|অক্ষম|অযোগ্য|বোকা|কৃপণ|হিংস"")),""valence-target অমিল"",""""),IF(COUNTIF($B:$B,B2895)&gt;1,""ডুপ্লিকেট"",""""))"),"")</f>
        <v/>
      </c>
      <c r="Q2895" s="5" t="str">
        <f t="shared" si="1"/>
        <v>২ পরে</v>
      </c>
    </row>
    <row r="2896">
      <c r="A2896" s="4">
        <v>693.0</v>
      </c>
      <c r="B2896" s="2" t="s">
        <v>11427</v>
      </c>
      <c r="C2896" s="2" t="s">
        <v>11428</v>
      </c>
      <c r="D2896" s="2" t="s">
        <v>11429</v>
      </c>
      <c r="E2896" s="2" t="s">
        <v>11430</v>
      </c>
      <c r="F2896" s="2" t="b">
        <v>1</v>
      </c>
      <c r="G2896" s="2" t="b">
        <v>0</v>
      </c>
      <c r="H2896" s="2" t="s">
        <v>11431</v>
      </c>
      <c r="I2896" s="2" t="s">
        <v>22</v>
      </c>
      <c r="J2896" s="2" t="s">
        <v>59</v>
      </c>
      <c r="K2896" s="2" t="s">
        <v>376</v>
      </c>
      <c r="L2896" s="13" t="s">
        <v>377</v>
      </c>
      <c r="M2896" s="2" t="s">
        <v>26</v>
      </c>
      <c r="P2896" s="5" t="str">
        <f>IFERROR(__xludf.DUMMYFUNCTION("TEXTJOIN("" | "",TRUE,IF(OR(D2896="""",E2896="""",I2896="""",J2896="""",H2896=""""),""ফাঁকা ঘর"",""""),IF(AND(C2896&lt;&gt;"""",D2896&lt;&gt;"""",C2896=D2896),""gloss=figurative"",""""),IF(LEN(D2896)&lt;15,""figurative ছোট"",""""),IF(AND(I2896=""Positive"",REGEXMATCH(H2"&amp;"896,""মূর্খ|ভণ্ড|প্রতার|অলস|লোভ|স্বার্থ|অক্ষম|অযোগ্য|বোকা|কৃপণ|হিংস"")),""valence-target অমিল"",""""),IF(COUNTIF($B:$B,B2896)&gt;1,""ডুপ্লিকেট"",""""))"),"")</f>
        <v/>
      </c>
      <c r="Q2896" s="5" t="str">
        <f t="shared" si="1"/>
        <v>২ পরে</v>
      </c>
    </row>
    <row r="2897">
      <c r="A2897" s="4">
        <v>694.0</v>
      </c>
      <c r="B2897" s="2" t="s">
        <v>11432</v>
      </c>
      <c r="C2897" s="2" t="s">
        <v>11433</v>
      </c>
      <c r="D2897" s="2" t="s">
        <v>11434</v>
      </c>
      <c r="E2897" s="2" t="s">
        <v>11435</v>
      </c>
      <c r="F2897" s="2" t="b">
        <v>1</v>
      </c>
      <c r="G2897" s="2" t="b">
        <v>1</v>
      </c>
      <c r="H2897" s="2" t="s">
        <v>1982</v>
      </c>
      <c r="I2897" s="2" t="s">
        <v>49</v>
      </c>
      <c r="J2897" s="2" t="s">
        <v>11436</v>
      </c>
      <c r="K2897" s="2" t="s">
        <v>376</v>
      </c>
      <c r="L2897" s="13" t="s">
        <v>377</v>
      </c>
      <c r="M2897" s="2" t="s">
        <v>26</v>
      </c>
      <c r="P2897" s="5" t="str">
        <f>IFERROR(__xludf.DUMMYFUNCTION("TEXTJOIN("" | "",TRUE,IF(OR(D2897="""",E2897="""",I2897="""",J2897="""",H2897=""""),""ফাঁকা ঘর"",""""),IF(AND(C2897&lt;&gt;"""",D2897&lt;&gt;"""",C2897=D2897),""gloss=figurative"",""""),IF(LEN(D2897)&lt;15,""figurative ছোট"",""""),IF(AND(I2897=""Positive"",REGEXMATCH(H2"&amp;"897,""মূর্খ|ভণ্ড|প্রতার|অলস|লোভ|স্বার্থ|অক্ষম|অযোগ্য|বোকা|কৃপণ|হিংস"")),""valence-target অমিল"",""""),IF(COUNTIF($B:$B,B2897)&gt;1,""ডুপ্লিকেট"",""""))"),"")</f>
        <v/>
      </c>
      <c r="Q2897" s="5" t="str">
        <f t="shared" si="1"/>
        <v>২ পরে</v>
      </c>
    </row>
    <row r="2898">
      <c r="A2898" s="4">
        <v>695.0</v>
      </c>
      <c r="B2898" s="2" t="s">
        <v>11437</v>
      </c>
      <c r="C2898" s="2" t="s">
        <v>11438</v>
      </c>
      <c r="D2898" s="2" t="s">
        <v>11439</v>
      </c>
      <c r="E2898" s="2" t="s">
        <v>11440</v>
      </c>
      <c r="F2898" s="2" t="b">
        <v>1</v>
      </c>
      <c r="G2898" s="2" t="b">
        <v>0</v>
      </c>
      <c r="H2898" s="2" t="s">
        <v>11441</v>
      </c>
      <c r="I2898" s="2" t="s">
        <v>32</v>
      </c>
      <c r="J2898" s="2" t="s">
        <v>59</v>
      </c>
      <c r="K2898" s="2" t="s">
        <v>376</v>
      </c>
      <c r="L2898" s="13" t="s">
        <v>377</v>
      </c>
      <c r="M2898" s="2" t="s">
        <v>26</v>
      </c>
      <c r="P2898" s="5" t="str">
        <f>IFERROR(__xludf.DUMMYFUNCTION("TEXTJOIN("" | "",TRUE,IF(OR(D2898="""",E2898="""",I2898="""",J2898="""",H2898=""""),""ফাঁকা ঘর"",""""),IF(AND(C2898&lt;&gt;"""",D2898&lt;&gt;"""",C2898=D2898),""gloss=figurative"",""""),IF(LEN(D2898)&lt;15,""figurative ছোট"",""""),IF(AND(I2898=""Positive"",REGEXMATCH(H2"&amp;"898,""মূর্খ|ভণ্ড|প্রতার|অলস|লোভ|স্বার্থ|অক্ষম|অযোগ্য|বোকা|কৃপণ|হিংস"")),""valence-target অমিল"",""""),IF(COUNTIF($B:$B,B2898)&gt;1,""ডুপ্লিকেট"",""""))"),"")</f>
        <v/>
      </c>
      <c r="Q2898" s="5" t="str">
        <f t="shared" si="1"/>
        <v>২ পরে</v>
      </c>
    </row>
    <row r="2899">
      <c r="A2899" s="4">
        <v>696.0</v>
      </c>
      <c r="B2899" s="2" t="s">
        <v>11442</v>
      </c>
      <c r="C2899" s="2" t="s">
        <v>11443</v>
      </c>
      <c r="D2899" s="2" t="s">
        <v>11444</v>
      </c>
      <c r="E2899" s="2" t="s">
        <v>11445</v>
      </c>
      <c r="F2899" s="2" t="b">
        <v>1</v>
      </c>
      <c r="G2899" s="2" t="b">
        <v>0</v>
      </c>
      <c r="H2899" s="2" t="s">
        <v>8713</v>
      </c>
      <c r="I2899" s="2" t="s">
        <v>32</v>
      </c>
      <c r="J2899" s="2" t="s">
        <v>59</v>
      </c>
      <c r="K2899" s="2" t="s">
        <v>376</v>
      </c>
      <c r="L2899" s="13" t="s">
        <v>377</v>
      </c>
      <c r="M2899" s="2" t="s">
        <v>26</v>
      </c>
      <c r="P2899" s="5" t="str">
        <f>IFERROR(__xludf.DUMMYFUNCTION("TEXTJOIN("" | "",TRUE,IF(OR(D2899="""",E2899="""",I2899="""",J2899="""",H2899=""""),""ফাঁকা ঘর"",""""),IF(AND(C2899&lt;&gt;"""",D2899&lt;&gt;"""",C2899=D2899),""gloss=figurative"",""""),IF(LEN(D2899)&lt;15,""figurative ছোট"",""""),IF(AND(I2899=""Positive"",REGEXMATCH(H2"&amp;"899,""মূর্খ|ভণ্ড|প্রতার|অলস|লোভ|স্বার্থ|অক্ষম|অযোগ্য|বোকা|কৃপণ|হিংস"")),""valence-target অমিল"",""""),IF(COUNTIF($B:$B,B2899)&gt;1,""ডুপ্লিকেট"",""""))"),"")</f>
        <v/>
      </c>
      <c r="Q2899" s="5" t="str">
        <f t="shared" si="1"/>
        <v>২ পরে</v>
      </c>
    </row>
    <row r="2900">
      <c r="A2900" s="4">
        <v>697.0</v>
      </c>
      <c r="B2900" s="2" t="s">
        <v>11446</v>
      </c>
      <c r="C2900" s="2" t="s">
        <v>11447</v>
      </c>
      <c r="D2900" s="2" t="s">
        <v>11448</v>
      </c>
      <c r="E2900" s="2" t="s">
        <v>11449</v>
      </c>
      <c r="F2900" s="2" t="b">
        <v>1</v>
      </c>
      <c r="G2900" s="2" t="b">
        <v>0</v>
      </c>
      <c r="H2900" s="2" t="s">
        <v>8772</v>
      </c>
      <c r="I2900" s="2" t="s">
        <v>32</v>
      </c>
      <c r="J2900" s="2" t="s">
        <v>9943</v>
      </c>
      <c r="K2900" s="2" t="s">
        <v>376</v>
      </c>
      <c r="L2900" s="13" t="s">
        <v>377</v>
      </c>
      <c r="M2900" s="2" t="s">
        <v>26</v>
      </c>
      <c r="P2900" s="5" t="str">
        <f>IFERROR(__xludf.DUMMYFUNCTION("TEXTJOIN("" | "",TRUE,IF(OR(D2900="""",E2900="""",I2900="""",J2900="""",H2900=""""),""ফাঁকা ঘর"",""""),IF(AND(C2900&lt;&gt;"""",D2900&lt;&gt;"""",C2900=D2900),""gloss=figurative"",""""),IF(LEN(D2900)&lt;15,""figurative ছোট"",""""),IF(AND(I2900=""Positive"",REGEXMATCH(H2"&amp;"900,""মূর্খ|ভণ্ড|প্রতার|অলস|লোভ|স্বার্থ|অক্ষম|অযোগ্য|বোকা|কৃপণ|হিংস"")),""valence-target অমিল"",""""),IF(COUNTIF($B:$B,B2900)&gt;1,""ডুপ্লিকেট"",""""))"),"")</f>
        <v/>
      </c>
      <c r="Q2900" s="5" t="str">
        <f t="shared" si="1"/>
        <v>২ পরে</v>
      </c>
    </row>
    <row r="2901">
      <c r="A2901" s="4">
        <v>698.0</v>
      </c>
      <c r="B2901" s="2" t="s">
        <v>11450</v>
      </c>
      <c r="C2901" s="2" t="s">
        <v>11451</v>
      </c>
      <c r="D2901" s="2" t="s">
        <v>11452</v>
      </c>
      <c r="E2901" s="2" t="s">
        <v>11453</v>
      </c>
      <c r="F2901" s="2" t="b">
        <v>1</v>
      </c>
      <c r="G2901" s="2" t="b">
        <v>0</v>
      </c>
      <c r="H2901" s="2" t="s">
        <v>37</v>
      </c>
      <c r="I2901" s="2" t="s">
        <v>49</v>
      </c>
      <c r="J2901" s="2" t="s">
        <v>169</v>
      </c>
      <c r="K2901" s="2" t="s">
        <v>376</v>
      </c>
      <c r="L2901" s="13" t="s">
        <v>377</v>
      </c>
      <c r="M2901" s="2" t="s">
        <v>26</v>
      </c>
      <c r="P2901" s="5" t="str">
        <f>IFERROR(__xludf.DUMMYFUNCTION("TEXTJOIN("" | "",TRUE,IF(OR(D2901="""",E2901="""",I2901="""",J2901="""",H2901=""""),""ফাঁকা ঘর"",""""),IF(AND(C2901&lt;&gt;"""",D2901&lt;&gt;"""",C2901=D2901),""gloss=figurative"",""""),IF(LEN(D2901)&lt;15,""figurative ছোট"",""""),IF(AND(I2901=""Positive"",REGEXMATCH(H2"&amp;"901,""মূর্খ|ভণ্ড|প্রতার|অলস|লোভ|স্বার্থ|অক্ষম|অযোগ্য|বোকা|কৃপণ|হিংস"")),""valence-target অমিল"",""""),IF(COUNTIF($B:$B,B2901)&gt;1,""ডুপ্লিকেট"",""""))"),"")</f>
        <v/>
      </c>
      <c r="Q2901" s="5" t="str">
        <f t="shared" si="1"/>
        <v>২ পরে</v>
      </c>
    </row>
    <row r="2902">
      <c r="A2902" s="4">
        <v>699.0</v>
      </c>
      <c r="B2902" s="2" t="s">
        <v>11454</v>
      </c>
      <c r="C2902" s="2" t="s">
        <v>11455</v>
      </c>
      <c r="D2902" s="2" t="s">
        <v>11456</v>
      </c>
      <c r="E2902" s="2" t="s">
        <v>11457</v>
      </c>
      <c r="F2902" s="2" t="b">
        <v>1</v>
      </c>
      <c r="G2902" s="2" t="b">
        <v>0</v>
      </c>
      <c r="H2902" s="2" t="s">
        <v>37</v>
      </c>
      <c r="I2902" s="2" t="s">
        <v>32</v>
      </c>
      <c r="J2902" s="2" t="s">
        <v>11458</v>
      </c>
      <c r="K2902" s="2" t="s">
        <v>376</v>
      </c>
      <c r="L2902" s="13" t="s">
        <v>377</v>
      </c>
      <c r="M2902" s="2" t="s">
        <v>26</v>
      </c>
      <c r="P2902" s="5" t="str">
        <f>IFERROR(__xludf.DUMMYFUNCTION("TEXTJOIN("" | "",TRUE,IF(OR(D2902="""",E2902="""",I2902="""",J2902="""",H2902=""""),""ফাঁকা ঘর"",""""),IF(AND(C2902&lt;&gt;"""",D2902&lt;&gt;"""",C2902=D2902),""gloss=figurative"",""""),IF(LEN(D2902)&lt;15,""figurative ছোট"",""""),IF(AND(I2902=""Positive"",REGEXMATCH(H2"&amp;"902,""মূর্খ|ভণ্ড|প্রতার|অলস|লোভ|স্বার্থ|অক্ষম|অযোগ্য|বোকা|কৃপণ|হিংস"")),""valence-target অমিল"",""""),IF(COUNTIF($B:$B,B2902)&gt;1,""ডুপ্লিকেট"",""""))"),"")</f>
        <v/>
      </c>
      <c r="Q2902" s="5" t="str">
        <f t="shared" si="1"/>
        <v>২ পরে</v>
      </c>
    </row>
    <row r="2903">
      <c r="A2903" s="4">
        <v>700.0</v>
      </c>
      <c r="B2903" s="2" t="s">
        <v>11459</v>
      </c>
      <c r="C2903" s="2" t="s">
        <v>11460</v>
      </c>
      <c r="D2903" s="2" t="s">
        <v>11461</v>
      </c>
      <c r="E2903" s="2" t="s">
        <v>11462</v>
      </c>
      <c r="F2903" s="2" t="b">
        <v>1</v>
      </c>
      <c r="G2903" s="2" t="b">
        <v>0</v>
      </c>
      <c r="H2903" s="2" t="s">
        <v>11463</v>
      </c>
      <c r="I2903" s="2" t="s">
        <v>22</v>
      </c>
      <c r="J2903" s="2" t="s">
        <v>11464</v>
      </c>
      <c r="K2903" s="2" t="s">
        <v>376</v>
      </c>
      <c r="L2903" s="13" t="s">
        <v>377</v>
      </c>
      <c r="M2903" s="2" t="s">
        <v>26</v>
      </c>
      <c r="P2903" s="5" t="str">
        <f>IFERROR(__xludf.DUMMYFUNCTION("TEXTJOIN("" | "",TRUE,IF(OR(D2903="""",E2903="""",I2903="""",J2903="""",H2903=""""),""ফাঁকা ঘর"",""""),IF(AND(C2903&lt;&gt;"""",D2903&lt;&gt;"""",C2903=D2903),""gloss=figurative"",""""),IF(LEN(D2903)&lt;15,""figurative ছোট"",""""),IF(AND(I2903=""Positive"",REGEXMATCH(H2"&amp;"903,""মূর্খ|ভণ্ড|প্রতার|অলস|লোভ|স্বার্থ|অক্ষম|অযোগ্য|বোকা|কৃপণ|হিংস"")),""valence-target অমিল"",""""),IF(COUNTIF($B:$B,B2903)&gt;1,""ডুপ্লিকেট"",""""))"),"")</f>
        <v/>
      </c>
      <c r="Q2903" s="5" t="str">
        <f t="shared" si="1"/>
        <v>২ পরে</v>
      </c>
    </row>
    <row r="2904">
      <c r="A2904" s="4">
        <v>701.0</v>
      </c>
      <c r="B2904" s="2" t="s">
        <v>11465</v>
      </c>
      <c r="C2904" s="2" t="s">
        <v>11466</v>
      </c>
      <c r="D2904" s="2" t="s">
        <v>11467</v>
      </c>
      <c r="E2904" s="2" t="s">
        <v>11468</v>
      </c>
      <c r="F2904" s="2" t="b">
        <v>1</v>
      </c>
      <c r="G2904" s="2" t="b">
        <v>0</v>
      </c>
      <c r="H2904" s="2" t="s">
        <v>9359</v>
      </c>
      <c r="I2904" s="2" t="s">
        <v>22</v>
      </c>
      <c r="J2904" s="2" t="s">
        <v>123</v>
      </c>
      <c r="K2904" s="2" t="s">
        <v>376</v>
      </c>
      <c r="L2904" s="13" t="s">
        <v>377</v>
      </c>
      <c r="M2904" s="2" t="s">
        <v>26</v>
      </c>
      <c r="P2904" s="5" t="str">
        <f>IFERROR(__xludf.DUMMYFUNCTION("TEXTJOIN("" | "",TRUE,IF(OR(D2904="""",E2904="""",I2904="""",J2904="""",H2904=""""),""ফাঁকা ঘর"",""""),IF(AND(C2904&lt;&gt;"""",D2904&lt;&gt;"""",C2904=D2904),""gloss=figurative"",""""),IF(LEN(D2904)&lt;15,""figurative ছোট"",""""),IF(AND(I2904=""Positive"",REGEXMATCH(H2"&amp;"904,""মূর্খ|ভণ্ড|প্রতার|অলস|লোভ|স্বার্থ|অক্ষম|অযোগ্য|বোকা|কৃপণ|হিংস"")),""valence-target অমিল"",""""),IF(COUNTIF($B:$B,B2904)&gt;1,""ডুপ্লিকেট"",""""))"),"")</f>
        <v/>
      </c>
      <c r="Q2904" s="5" t="str">
        <f t="shared" si="1"/>
        <v>২ পরে</v>
      </c>
    </row>
    <row r="2905">
      <c r="A2905" s="4">
        <v>702.0</v>
      </c>
      <c r="B2905" s="2" t="s">
        <v>11469</v>
      </c>
      <c r="C2905" s="2" t="s">
        <v>11470</v>
      </c>
      <c r="D2905" s="2" t="s">
        <v>11471</v>
      </c>
      <c r="E2905" s="2" t="s">
        <v>11472</v>
      </c>
      <c r="F2905" s="2" t="b">
        <v>1</v>
      </c>
      <c r="G2905" s="2" t="b">
        <v>0</v>
      </c>
      <c r="H2905" s="2" t="s">
        <v>230</v>
      </c>
      <c r="I2905" s="2" t="s">
        <v>32</v>
      </c>
      <c r="J2905" s="2" t="s">
        <v>142</v>
      </c>
      <c r="K2905" s="2" t="s">
        <v>376</v>
      </c>
      <c r="L2905" s="13" t="s">
        <v>377</v>
      </c>
      <c r="M2905" s="2" t="s">
        <v>26</v>
      </c>
      <c r="P2905" s="5" t="str">
        <f>IFERROR(__xludf.DUMMYFUNCTION("TEXTJOIN("" | "",TRUE,IF(OR(D2905="""",E2905="""",I2905="""",J2905="""",H2905=""""),""ফাঁকা ঘর"",""""),IF(AND(C2905&lt;&gt;"""",D2905&lt;&gt;"""",C2905=D2905),""gloss=figurative"",""""),IF(LEN(D2905)&lt;15,""figurative ছোট"",""""),IF(AND(I2905=""Positive"",REGEXMATCH(H2"&amp;"905,""মূর্খ|ভণ্ড|প্রতার|অলস|লোভ|স্বার্থ|অক্ষম|অযোগ্য|বোকা|কৃপণ|হিংস"")),""valence-target অমিল"",""""),IF(COUNTIF($B:$B,B2905)&gt;1,""ডুপ্লিকেট"",""""))"),"")</f>
        <v/>
      </c>
      <c r="Q2905" s="5" t="str">
        <f t="shared" si="1"/>
        <v>২ পরে</v>
      </c>
    </row>
    <row r="2906">
      <c r="A2906" s="4">
        <v>703.0</v>
      </c>
      <c r="B2906" s="2" t="s">
        <v>11473</v>
      </c>
      <c r="C2906" s="2" t="s">
        <v>11474</v>
      </c>
      <c r="D2906" s="2" t="s">
        <v>11475</v>
      </c>
      <c r="E2906" s="2" t="s">
        <v>11476</v>
      </c>
      <c r="F2906" s="2" t="b">
        <v>1</v>
      </c>
      <c r="G2906" s="2" t="b">
        <v>0</v>
      </c>
      <c r="H2906" s="2" t="s">
        <v>9359</v>
      </c>
      <c r="I2906" s="2" t="s">
        <v>22</v>
      </c>
      <c r="J2906" s="2" t="s">
        <v>123</v>
      </c>
      <c r="K2906" s="2" t="s">
        <v>376</v>
      </c>
      <c r="L2906" s="13" t="s">
        <v>377</v>
      </c>
      <c r="M2906" s="2" t="s">
        <v>26</v>
      </c>
      <c r="P2906" s="5" t="str">
        <f>IFERROR(__xludf.DUMMYFUNCTION("TEXTJOIN("" | "",TRUE,IF(OR(D2906="""",E2906="""",I2906="""",J2906="""",H2906=""""),""ফাঁকা ঘর"",""""),IF(AND(C2906&lt;&gt;"""",D2906&lt;&gt;"""",C2906=D2906),""gloss=figurative"",""""),IF(LEN(D2906)&lt;15,""figurative ছোট"",""""),IF(AND(I2906=""Positive"",REGEXMATCH(H2"&amp;"906,""মূর্খ|ভণ্ড|প্রতার|অলস|লোভ|স্বার্থ|অক্ষম|অযোগ্য|বোকা|কৃপণ|হিংস"")),""valence-target অমিল"",""""),IF(COUNTIF($B:$B,B2906)&gt;1,""ডুপ্লিকেট"",""""))"),"")</f>
        <v/>
      </c>
      <c r="Q2906" s="5" t="str">
        <f t="shared" si="1"/>
        <v>২ পরে</v>
      </c>
    </row>
    <row r="2907">
      <c r="A2907" s="4">
        <v>704.0</v>
      </c>
      <c r="B2907" s="2" t="s">
        <v>11477</v>
      </c>
      <c r="C2907" s="2" t="s">
        <v>11478</v>
      </c>
      <c r="D2907" s="2" t="s">
        <v>11479</v>
      </c>
      <c r="E2907" s="2" t="s">
        <v>11480</v>
      </c>
      <c r="F2907" s="2" t="b">
        <v>1</v>
      </c>
      <c r="G2907" s="2" t="b">
        <v>0</v>
      </c>
      <c r="H2907" s="2" t="s">
        <v>37</v>
      </c>
      <c r="I2907" s="2" t="s">
        <v>22</v>
      </c>
      <c r="J2907" s="2" t="s">
        <v>202</v>
      </c>
      <c r="K2907" s="2" t="s">
        <v>376</v>
      </c>
      <c r="L2907" s="13" t="s">
        <v>377</v>
      </c>
      <c r="M2907" s="2" t="s">
        <v>26</v>
      </c>
      <c r="P2907" s="5" t="str">
        <f>IFERROR(__xludf.DUMMYFUNCTION("TEXTJOIN("" | "",TRUE,IF(OR(D2907="""",E2907="""",I2907="""",J2907="""",H2907=""""),""ফাঁকা ঘর"",""""),IF(AND(C2907&lt;&gt;"""",D2907&lt;&gt;"""",C2907=D2907),""gloss=figurative"",""""),IF(LEN(D2907)&lt;15,""figurative ছোট"",""""),IF(AND(I2907=""Positive"",REGEXMATCH(H2"&amp;"907,""মূর্খ|ভণ্ড|প্রতার|অলস|লোভ|স্বার্থ|অক্ষম|অযোগ্য|বোকা|কৃপণ|হিংস"")),""valence-target অমিল"",""""),IF(COUNTIF($B:$B,B2907)&gt;1,""ডুপ্লিকেট"",""""))"),"")</f>
        <v/>
      </c>
      <c r="Q2907" s="5" t="str">
        <f t="shared" si="1"/>
        <v>২ পরে</v>
      </c>
    </row>
    <row r="2908">
      <c r="A2908" s="4">
        <v>705.0</v>
      </c>
      <c r="B2908" s="2" t="s">
        <v>11481</v>
      </c>
      <c r="C2908" s="2" t="s">
        <v>11482</v>
      </c>
      <c r="D2908" s="2" t="s">
        <v>11483</v>
      </c>
      <c r="E2908" s="2" t="s">
        <v>11484</v>
      </c>
      <c r="F2908" s="2" t="b">
        <v>1</v>
      </c>
      <c r="G2908" s="2" t="b">
        <v>0</v>
      </c>
      <c r="H2908" s="2" t="s">
        <v>10766</v>
      </c>
      <c r="I2908" s="2" t="s">
        <v>22</v>
      </c>
      <c r="J2908" s="2" t="s">
        <v>142</v>
      </c>
      <c r="K2908" s="2" t="s">
        <v>376</v>
      </c>
      <c r="L2908" s="13" t="s">
        <v>377</v>
      </c>
      <c r="M2908" s="2" t="s">
        <v>26</v>
      </c>
      <c r="P2908" s="5" t="str">
        <f>IFERROR(__xludf.DUMMYFUNCTION("TEXTJOIN("" | "",TRUE,IF(OR(D2908="""",E2908="""",I2908="""",J2908="""",H2908=""""),""ফাঁকা ঘর"",""""),IF(AND(C2908&lt;&gt;"""",D2908&lt;&gt;"""",C2908=D2908),""gloss=figurative"",""""),IF(LEN(D2908)&lt;15,""figurative ছোট"",""""),IF(AND(I2908=""Positive"",REGEXMATCH(H2"&amp;"908,""মূর্খ|ভণ্ড|প্রতার|অলস|লোভ|স্বার্থ|অক্ষম|অযোগ্য|বোকা|কৃপণ|হিংস"")),""valence-target অমিল"",""""),IF(COUNTIF($B:$B,B2908)&gt;1,""ডুপ্লিকেট"",""""))"),"")</f>
        <v/>
      </c>
      <c r="Q2908" s="5" t="str">
        <f t="shared" si="1"/>
        <v>২ পরে</v>
      </c>
    </row>
    <row r="2909">
      <c r="A2909" s="4">
        <v>706.0</v>
      </c>
      <c r="B2909" s="2" t="s">
        <v>11485</v>
      </c>
      <c r="C2909" s="2" t="s">
        <v>11486</v>
      </c>
      <c r="D2909" s="2" t="s">
        <v>11487</v>
      </c>
      <c r="E2909" s="2" t="s">
        <v>11488</v>
      </c>
      <c r="F2909" s="2" t="b">
        <v>1</v>
      </c>
      <c r="G2909" s="2" t="b">
        <v>1</v>
      </c>
      <c r="H2909" s="2" t="s">
        <v>11489</v>
      </c>
      <c r="I2909" s="2" t="s">
        <v>32</v>
      </c>
      <c r="J2909" s="2" t="s">
        <v>169</v>
      </c>
      <c r="K2909" s="2" t="s">
        <v>376</v>
      </c>
      <c r="L2909" s="13" t="s">
        <v>377</v>
      </c>
      <c r="M2909" s="2" t="s">
        <v>26</v>
      </c>
      <c r="P2909" s="5" t="str">
        <f>IFERROR(__xludf.DUMMYFUNCTION("TEXTJOIN("" | "",TRUE,IF(OR(D2909="""",E2909="""",I2909="""",J2909="""",H2909=""""),""ফাঁকা ঘর"",""""),IF(AND(C2909&lt;&gt;"""",D2909&lt;&gt;"""",C2909=D2909),""gloss=figurative"",""""),IF(LEN(D2909)&lt;15,""figurative ছোট"",""""),IF(AND(I2909=""Positive"",REGEXMATCH(H2"&amp;"909,""মূর্খ|ভণ্ড|প্রতার|অলস|লোভ|স্বার্থ|অক্ষম|অযোগ্য|বোকা|কৃপণ|হিংস"")),""valence-target অমিল"",""""),IF(COUNTIF($B:$B,B2909)&gt;1,""ডুপ্লিকেট"",""""))"),"")</f>
        <v/>
      </c>
      <c r="Q2909" s="5" t="str">
        <f t="shared" si="1"/>
        <v>২ পরে</v>
      </c>
    </row>
    <row r="2910">
      <c r="A2910" s="4">
        <v>708.0</v>
      </c>
      <c r="B2910" s="2" t="s">
        <v>11490</v>
      </c>
      <c r="C2910" s="2" t="s">
        <v>11491</v>
      </c>
      <c r="D2910" s="2" t="s">
        <v>11492</v>
      </c>
      <c r="E2910" s="2" t="s">
        <v>11493</v>
      </c>
      <c r="F2910" s="2" t="b">
        <v>1</v>
      </c>
      <c r="G2910" s="2" t="b">
        <v>0</v>
      </c>
      <c r="H2910" s="2" t="s">
        <v>11494</v>
      </c>
      <c r="I2910" s="2" t="s">
        <v>32</v>
      </c>
      <c r="J2910" s="2" t="s">
        <v>11495</v>
      </c>
      <c r="K2910" s="2" t="s">
        <v>376</v>
      </c>
      <c r="L2910" s="13" t="s">
        <v>377</v>
      </c>
      <c r="M2910" s="2" t="s">
        <v>26</v>
      </c>
      <c r="P2910" s="5" t="str">
        <f>IFERROR(__xludf.DUMMYFUNCTION("TEXTJOIN("" | "",TRUE,IF(OR(D2910="""",E2910="""",I2910="""",J2910="""",H2910=""""),""ফাঁকা ঘর"",""""),IF(AND(C2910&lt;&gt;"""",D2910&lt;&gt;"""",C2910=D2910),""gloss=figurative"",""""),IF(LEN(D2910)&lt;15,""figurative ছোট"",""""),IF(AND(I2910=""Positive"",REGEXMATCH(H2"&amp;"910,""মূর্খ|ভণ্ড|প্রতার|অলস|লোভ|স্বার্থ|অক্ষম|অযোগ্য|বোকা|কৃপণ|হিংস"")),""valence-target অমিল"",""""),IF(COUNTIF($B:$B,B2910)&gt;1,""ডুপ্লিকেট"",""""))"),"")</f>
        <v/>
      </c>
      <c r="Q2910" s="5" t="str">
        <f t="shared" si="1"/>
        <v>২ পরে</v>
      </c>
    </row>
    <row r="2911">
      <c r="A2911" s="4">
        <v>709.0</v>
      </c>
      <c r="B2911" s="2" t="s">
        <v>11496</v>
      </c>
      <c r="C2911" s="2" t="s">
        <v>11497</v>
      </c>
      <c r="D2911" s="2" t="s">
        <v>11498</v>
      </c>
      <c r="E2911" s="2" t="s">
        <v>11499</v>
      </c>
      <c r="F2911" s="2" t="b">
        <v>1</v>
      </c>
      <c r="G2911" s="2" t="b">
        <v>0</v>
      </c>
      <c r="H2911" s="2" t="s">
        <v>10217</v>
      </c>
      <c r="I2911" s="2" t="s">
        <v>49</v>
      </c>
      <c r="J2911" s="2" t="s">
        <v>11500</v>
      </c>
      <c r="K2911" s="2" t="s">
        <v>376</v>
      </c>
      <c r="L2911" s="13" t="s">
        <v>377</v>
      </c>
      <c r="M2911" s="2" t="s">
        <v>26</v>
      </c>
      <c r="P2911" s="5" t="str">
        <f>IFERROR(__xludf.DUMMYFUNCTION("TEXTJOIN("" | "",TRUE,IF(OR(D2911="""",E2911="""",I2911="""",J2911="""",H2911=""""),""ফাঁকা ঘর"",""""),IF(AND(C2911&lt;&gt;"""",D2911&lt;&gt;"""",C2911=D2911),""gloss=figurative"",""""),IF(LEN(D2911)&lt;15,""figurative ছোট"",""""),IF(AND(I2911=""Positive"",REGEXMATCH(H2"&amp;"911,""মূর্খ|ভণ্ড|প্রতার|অলস|লোভ|স্বার্থ|অক্ষম|অযোগ্য|বোকা|কৃপণ|হিংস"")),""valence-target অমিল"",""""),IF(COUNTIF($B:$B,B2911)&gt;1,""ডুপ্লিকেট"",""""))"),"")</f>
        <v/>
      </c>
      <c r="Q2911" s="5" t="str">
        <f t="shared" si="1"/>
        <v>২ পরে</v>
      </c>
    </row>
    <row r="2912">
      <c r="A2912" s="4">
        <v>710.0</v>
      </c>
      <c r="B2912" s="2" t="s">
        <v>11501</v>
      </c>
      <c r="C2912" s="2" t="s">
        <v>11502</v>
      </c>
      <c r="D2912" s="2" t="s">
        <v>11503</v>
      </c>
      <c r="E2912" s="2" t="s">
        <v>11504</v>
      </c>
      <c r="F2912" s="2" t="b">
        <v>1</v>
      </c>
      <c r="G2912" s="2" t="b">
        <v>0</v>
      </c>
      <c r="H2912" s="2" t="s">
        <v>8837</v>
      </c>
      <c r="I2912" s="2" t="s">
        <v>22</v>
      </c>
      <c r="J2912" s="2" t="s">
        <v>208</v>
      </c>
      <c r="K2912" s="2" t="s">
        <v>376</v>
      </c>
      <c r="L2912" s="13" t="s">
        <v>377</v>
      </c>
      <c r="M2912" s="2" t="s">
        <v>26</v>
      </c>
      <c r="P2912" s="5" t="str">
        <f>IFERROR(__xludf.DUMMYFUNCTION("TEXTJOIN("" | "",TRUE,IF(OR(D2912="""",E2912="""",I2912="""",J2912="""",H2912=""""),""ফাঁকা ঘর"",""""),IF(AND(C2912&lt;&gt;"""",D2912&lt;&gt;"""",C2912=D2912),""gloss=figurative"",""""),IF(LEN(D2912)&lt;15,""figurative ছোট"",""""),IF(AND(I2912=""Positive"",REGEXMATCH(H2"&amp;"912,""মূর্খ|ভণ্ড|প্রতার|অলস|লোভ|স্বার্থ|অক্ষম|অযোগ্য|বোকা|কৃপণ|হিংস"")),""valence-target অমিল"",""""),IF(COUNTIF($B:$B,B2912)&gt;1,""ডুপ্লিকেট"",""""))"),"")</f>
        <v/>
      </c>
      <c r="Q2912" s="5" t="str">
        <f t="shared" si="1"/>
        <v>২ পরে</v>
      </c>
    </row>
    <row r="2913">
      <c r="A2913" s="4">
        <v>711.0</v>
      </c>
      <c r="B2913" s="2" t="s">
        <v>11505</v>
      </c>
      <c r="C2913" s="2" t="s">
        <v>11506</v>
      </c>
      <c r="D2913" s="2" t="s">
        <v>11507</v>
      </c>
      <c r="E2913" s="2" t="s">
        <v>11508</v>
      </c>
      <c r="F2913" s="2" t="b">
        <v>1</v>
      </c>
      <c r="G2913" s="2" t="b">
        <v>0</v>
      </c>
      <c r="H2913" s="2" t="s">
        <v>10766</v>
      </c>
      <c r="I2913" s="2" t="s">
        <v>22</v>
      </c>
      <c r="J2913" s="2" t="s">
        <v>9022</v>
      </c>
      <c r="K2913" s="2" t="s">
        <v>376</v>
      </c>
      <c r="L2913" s="13" t="s">
        <v>377</v>
      </c>
      <c r="M2913" s="2" t="s">
        <v>26</v>
      </c>
      <c r="P2913" s="5" t="str">
        <f>IFERROR(__xludf.DUMMYFUNCTION("TEXTJOIN("" | "",TRUE,IF(OR(D2913="""",E2913="""",I2913="""",J2913="""",H2913=""""),""ফাঁকা ঘর"",""""),IF(AND(C2913&lt;&gt;"""",D2913&lt;&gt;"""",C2913=D2913),""gloss=figurative"",""""),IF(LEN(D2913)&lt;15,""figurative ছোট"",""""),IF(AND(I2913=""Positive"",REGEXMATCH(H2"&amp;"913,""মূর্খ|ভণ্ড|প্রতার|অলস|লোভ|স্বার্থ|অক্ষম|অযোগ্য|বোকা|কৃপণ|হিংস"")),""valence-target অমিল"",""""),IF(COUNTIF($B:$B,B2913)&gt;1,""ডুপ্লিকেট"",""""))"),"")</f>
        <v/>
      </c>
      <c r="Q2913" s="5" t="str">
        <f t="shared" si="1"/>
        <v>২ পরে</v>
      </c>
    </row>
    <row r="2914">
      <c r="A2914" s="4">
        <v>712.0</v>
      </c>
      <c r="B2914" s="2" t="s">
        <v>11509</v>
      </c>
      <c r="C2914" s="2" t="s">
        <v>11510</v>
      </c>
      <c r="D2914" s="2" t="s">
        <v>11511</v>
      </c>
      <c r="E2914" s="2" t="s">
        <v>11512</v>
      </c>
      <c r="F2914" s="2" t="b">
        <v>1</v>
      </c>
      <c r="G2914" s="2" t="b">
        <v>0</v>
      </c>
      <c r="H2914" s="2" t="s">
        <v>11513</v>
      </c>
      <c r="I2914" s="2" t="s">
        <v>22</v>
      </c>
      <c r="J2914" s="2" t="s">
        <v>123</v>
      </c>
      <c r="K2914" s="2" t="s">
        <v>376</v>
      </c>
      <c r="L2914" s="13" t="s">
        <v>377</v>
      </c>
      <c r="M2914" s="2" t="s">
        <v>26</v>
      </c>
      <c r="P2914" s="5" t="str">
        <f>IFERROR(__xludf.DUMMYFUNCTION("TEXTJOIN("" | "",TRUE,IF(OR(D2914="""",E2914="""",I2914="""",J2914="""",H2914=""""),""ফাঁকা ঘর"",""""),IF(AND(C2914&lt;&gt;"""",D2914&lt;&gt;"""",C2914=D2914),""gloss=figurative"",""""),IF(LEN(D2914)&lt;15,""figurative ছোট"",""""),IF(AND(I2914=""Positive"",REGEXMATCH(H2"&amp;"914,""মূর্খ|ভণ্ড|প্রতার|অলস|লোভ|স্বার্থ|অক্ষম|অযোগ্য|বোকা|কৃপণ|হিংস"")),""valence-target অমিল"",""""),IF(COUNTIF($B:$B,B2914)&gt;1,""ডুপ্লিকেট"",""""))"),"")</f>
        <v/>
      </c>
      <c r="Q2914" s="5" t="str">
        <f t="shared" si="1"/>
        <v>২ পরে</v>
      </c>
    </row>
    <row r="2915">
      <c r="A2915" s="4">
        <v>713.0</v>
      </c>
      <c r="B2915" s="2" t="s">
        <v>11514</v>
      </c>
      <c r="C2915" s="2" t="s">
        <v>11515</v>
      </c>
      <c r="D2915" s="2" t="s">
        <v>11516</v>
      </c>
      <c r="E2915" s="2" t="s">
        <v>11517</v>
      </c>
      <c r="F2915" s="2" t="b">
        <v>1</v>
      </c>
      <c r="G2915" s="2" t="b">
        <v>0</v>
      </c>
      <c r="H2915" s="2" t="s">
        <v>11518</v>
      </c>
      <c r="I2915" s="2" t="s">
        <v>22</v>
      </c>
      <c r="J2915" s="2" t="s">
        <v>9183</v>
      </c>
      <c r="K2915" s="2" t="s">
        <v>376</v>
      </c>
      <c r="L2915" s="13" t="s">
        <v>377</v>
      </c>
      <c r="M2915" s="2" t="s">
        <v>26</v>
      </c>
      <c r="P2915" s="5" t="str">
        <f>IFERROR(__xludf.DUMMYFUNCTION("TEXTJOIN("" | "",TRUE,IF(OR(D2915="""",E2915="""",I2915="""",J2915="""",H2915=""""),""ফাঁকা ঘর"",""""),IF(AND(C2915&lt;&gt;"""",D2915&lt;&gt;"""",C2915=D2915),""gloss=figurative"",""""),IF(LEN(D2915)&lt;15,""figurative ছোট"",""""),IF(AND(I2915=""Positive"",REGEXMATCH(H2"&amp;"915,""মূর্খ|ভণ্ড|প্রতার|অলস|লোভ|স্বার্থ|অক্ষম|অযোগ্য|বোকা|কৃপণ|হিংস"")),""valence-target অমিল"",""""),IF(COUNTIF($B:$B,B2915)&gt;1,""ডুপ্লিকেট"",""""))"),"")</f>
        <v/>
      </c>
      <c r="Q2915" s="5" t="str">
        <f t="shared" si="1"/>
        <v>২ পরে</v>
      </c>
    </row>
    <row r="2916">
      <c r="A2916" s="4">
        <v>714.0</v>
      </c>
      <c r="B2916" s="2" t="s">
        <v>11519</v>
      </c>
      <c r="C2916" s="2" t="s">
        <v>11520</v>
      </c>
      <c r="D2916" s="2" t="s">
        <v>11521</v>
      </c>
      <c r="E2916" s="2" t="s">
        <v>11522</v>
      </c>
      <c r="F2916" s="2" t="b">
        <v>1</v>
      </c>
      <c r="G2916" s="2" t="b">
        <v>0</v>
      </c>
      <c r="H2916" s="2" t="s">
        <v>308</v>
      </c>
      <c r="I2916" s="2" t="s">
        <v>22</v>
      </c>
      <c r="J2916" s="2" t="s">
        <v>59</v>
      </c>
      <c r="K2916" s="2" t="s">
        <v>376</v>
      </c>
      <c r="L2916" s="13" t="s">
        <v>377</v>
      </c>
      <c r="M2916" s="2" t="s">
        <v>26</v>
      </c>
      <c r="P2916" s="5" t="str">
        <f>IFERROR(__xludf.DUMMYFUNCTION("TEXTJOIN("" | "",TRUE,IF(OR(D2916="""",E2916="""",I2916="""",J2916="""",H2916=""""),""ফাঁকা ঘর"",""""),IF(AND(C2916&lt;&gt;"""",D2916&lt;&gt;"""",C2916=D2916),""gloss=figurative"",""""),IF(LEN(D2916)&lt;15,""figurative ছোট"",""""),IF(AND(I2916=""Positive"",REGEXMATCH(H2"&amp;"916,""মূর্খ|ভণ্ড|প্রতার|অলস|লোভ|স্বার্থ|অক্ষম|অযোগ্য|বোকা|কৃপণ|হিংস"")),""valence-target অমিল"",""""),IF(COUNTIF($B:$B,B2916)&gt;1,""ডুপ্লিকেট"",""""))"),"")</f>
        <v/>
      </c>
      <c r="Q2916" s="5" t="str">
        <f t="shared" si="1"/>
        <v>২ পরে</v>
      </c>
    </row>
    <row r="2917">
      <c r="A2917" s="4">
        <v>715.0</v>
      </c>
      <c r="B2917" s="2" t="s">
        <v>11523</v>
      </c>
      <c r="C2917" s="2" t="s">
        <v>11524</v>
      </c>
      <c r="D2917" s="2" t="s">
        <v>11525</v>
      </c>
      <c r="E2917" s="2" t="s">
        <v>11526</v>
      </c>
      <c r="F2917" s="2" t="b">
        <v>1</v>
      </c>
      <c r="G2917" s="2" t="b">
        <v>0</v>
      </c>
      <c r="H2917" s="2" t="s">
        <v>9047</v>
      </c>
      <c r="I2917" s="2" t="s">
        <v>22</v>
      </c>
      <c r="J2917" s="2" t="s">
        <v>10835</v>
      </c>
      <c r="K2917" s="2" t="s">
        <v>376</v>
      </c>
      <c r="L2917" s="13" t="s">
        <v>377</v>
      </c>
      <c r="M2917" s="2" t="s">
        <v>26</v>
      </c>
      <c r="P2917" s="5" t="str">
        <f>IFERROR(__xludf.DUMMYFUNCTION("TEXTJOIN("" | "",TRUE,IF(OR(D2917="""",E2917="""",I2917="""",J2917="""",H2917=""""),""ফাঁকা ঘর"",""""),IF(AND(C2917&lt;&gt;"""",D2917&lt;&gt;"""",C2917=D2917),""gloss=figurative"",""""),IF(LEN(D2917)&lt;15,""figurative ছোট"",""""),IF(AND(I2917=""Positive"",REGEXMATCH(H2"&amp;"917,""মূর্খ|ভণ্ড|প্রতার|অলস|লোভ|স্বার্থ|অক্ষম|অযোগ্য|বোকা|কৃপণ|হিংস"")),""valence-target অমিল"",""""),IF(COUNTIF($B:$B,B2917)&gt;1,""ডুপ্লিকেট"",""""))"),"")</f>
        <v/>
      </c>
      <c r="Q2917" s="5" t="str">
        <f t="shared" si="1"/>
        <v>২ পরে</v>
      </c>
    </row>
    <row r="2918">
      <c r="A2918" s="4">
        <v>716.0</v>
      </c>
      <c r="B2918" s="2" t="s">
        <v>11527</v>
      </c>
      <c r="C2918" s="2" t="s">
        <v>11528</v>
      </c>
      <c r="D2918" s="2" t="s">
        <v>11529</v>
      </c>
      <c r="E2918" s="2" t="s">
        <v>11530</v>
      </c>
      <c r="F2918" s="2" t="b">
        <v>1</v>
      </c>
      <c r="G2918" s="2" t="b">
        <v>0</v>
      </c>
      <c r="H2918" s="2" t="s">
        <v>37</v>
      </c>
      <c r="I2918" s="2" t="s">
        <v>49</v>
      </c>
      <c r="J2918" s="2" t="s">
        <v>1008</v>
      </c>
      <c r="K2918" s="2" t="s">
        <v>376</v>
      </c>
      <c r="L2918" s="13" t="s">
        <v>377</v>
      </c>
      <c r="M2918" s="2" t="s">
        <v>26</v>
      </c>
      <c r="P2918" s="5" t="str">
        <f>IFERROR(__xludf.DUMMYFUNCTION("TEXTJOIN("" | "",TRUE,IF(OR(D2918="""",E2918="""",I2918="""",J2918="""",H2918=""""),""ফাঁকা ঘর"",""""),IF(AND(C2918&lt;&gt;"""",D2918&lt;&gt;"""",C2918=D2918),""gloss=figurative"",""""),IF(LEN(D2918)&lt;15,""figurative ছোট"",""""),IF(AND(I2918=""Positive"",REGEXMATCH(H2"&amp;"918,""মূর্খ|ভণ্ড|প্রতার|অলস|লোভ|স্বার্থ|অক্ষম|অযোগ্য|বোকা|কৃপণ|হিংস"")),""valence-target অমিল"",""""),IF(COUNTIF($B:$B,B2918)&gt;1,""ডুপ্লিকেট"",""""))"),"")</f>
        <v/>
      </c>
      <c r="Q2918" s="5" t="str">
        <f t="shared" si="1"/>
        <v>২ পরে</v>
      </c>
    </row>
    <row r="2919">
      <c r="A2919" s="4">
        <v>717.0</v>
      </c>
      <c r="B2919" s="2" t="s">
        <v>11531</v>
      </c>
      <c r="C2919" s="2" t="s">
        <v>11532</v>
      </c>
      <c r="D2919" s="2" t="s">
        <v>11533</v>
      </c>
      <c r="E2919" s="2" t="s">
        <v>11534</v>
      </c>
      <c r="F2919" s="2" t="b">
        <v>1</v>
      </c>
      <c r="G2919" s="2" t="b">
        <v>0</v>
      </c>
      <c r="H2919" s="2" t="s">
        <v>37</v>
      </c>
      <c r="I2919" s="2" t="s">
        <v>32</v>
      </c>
      <c r="J2919" s="2" t="s">
        <v>1775</v>
      </c>
      <c r="K2919" s="2" t="s">
        <v>376</v>
      </c>
      <c r="L2919" s="13" t="s">
        <v>377</v>
      </c>
      <c r="M2919" s="2" t="s">
        <v>26</v>
      </c>
      <c r="P2919" s="5" t="str">
        <f>IFERROR(__xludf.DUMMYFUNCTION("TEXTJOIN("" | "",TRUE,IF(OR(D2919="""",E2919="""",I2919="""",J2919="""",H2919=""""),""ফাঁকা ঘর"",""""),IF(AND(C2919&lt;&gt;"""",D2919&lt;&gt;"""",C2919=D2919),""gloss=figurative"",""""),IF(LEN(D2919)&lt;15,""figurative ছোট"",""""),IF(AND(I2919=""Positive"",REGEXMATCH(H2"&amp;"919,""মূর্খ|ভণ্ড|প্রতার|অলস|লোভ|স্বার্থ|অক্ষম|অযোগ্য|বোকা|কৃপণ|হিংস"")),""valence-target অমিল"",""""),IF(COUNTIF($B:$B,B2919)&gt;1,""ডুপ্লিকেট"",""""))"),"")</f>
        <v/>
      </c>
      <c r="Q2919" s="5" t="str">
        <f t="shared" si="1"/>
        <v>২ পরে</v>
      </c>
    </row>
    <row r="2920">
      <c r="A2920" s="4">
        <v>718.0</v>
      </c>
      <c r="B2920" s="2" t="s">
        <v>11535</v>
      </c>
      <c r="C2920" s="2" t="s">
        <v>11536</v>
      </c>
      <c r="D2920" s="2" t="s">
        <v>11537</v>
      </c>
      <c r="E2920" s="2" t="s">
        <v>11538</v>
      </c>
      <c r="F2920" s="2" t="b">
        <v>1</v>
      </c>
      <c r="G2920" s="2" t="b">
        <v>0</v>
      </c>
      <c r="H2920" s="2" t="s">
        <v>37</v>
      </c>
      <c r="I2920" s="2" t="s">
        <v>22</v>
      </c>
      <c r="J2920" s="2" t="s">
        <v>142</v>
      </c>
      <c r="K2920" s="2" t="s">
        <v>376</v>
      </c>
      <c r="L2920" s="13" t="s">
        <v>377</v>
      </c>
      <c r="M2920" s="2" t="s">
        <v>26</v>
      </c>
      <c r="P2920" s="5" t="str">
        <f>IFERROR(__xludf.DUMMYFUNCTION("TEXTJOIN("" | "",TRUE,IF(OR(D2920="""",E2920="""",I2920="""",J2920="""",H2920=""""),""ফাঁকা ঘর"",""""),IF(AND(C2920&lt;&gt;"""",D2920&lt;&gt;"""",C2920=D2920),""gloss=figurative"",""""),IF(LEN(D2920)&lt;15,""figurative ছোট"",""""),IF(AND(I2920=""Positive"",REGEXMATCH(H2"&amp;"920,""মূর্খ|ভণ্ড|প্রতার|অলস|লোভ|স্বার্থ|অক্ষম|অযোগ্য|বোকা|কৃপণ|হিংস"")),""valence-target অমিল"",""""),IF(COUNTIF($B:$B,B2920)&gt;1,""ডুপ্লিকেট"",""""))"),"")</f>
        <v/>
      </c>
      <c r="Q2920" s="5" t="str">
        <f t="shared" si="1"/>
        <v>২ পরে</v>
      </c>
    </row>
    <row r="2921">
      <c r="A2921" s="4">
        <v>719.0</v>
      </c>
      <c r="B2921" s="2" t="s">
        <v>11539</v>
      </c>
      <c r="C2921" s="2" t="s">
        <v>11540</v>
      </c>
      <c r="D2921" s="2" t="s">
        <v>11541</v>
      </c>
      <c r="E2921" s="2" t="s">
        <v>11542</v>
      </c>
      <c r="F2921" s="2" t="b">
        <v>1</v>
      </c>
      <c r="G2921" s="2" t="b">
        <v>0</v>
      </c>
      <c r="H2921" s="2" t="s">
        <v>110</v>
      </c>
      <c r="I2921" s="2" t="s">
        <v>22</v>
      </c>
      <c r="J2921" s="2" t="s">
        <v>59</v>
      </c>
      <c r="K2921" s="2" t="s">
        <v>376</v>
      </c>
      <c r="L2921" s="13" t="s">
        <v>377</v>
      </c>
      <c r="M2921" s="2" t="s">
        <v>26</v>
      </c>
      <c r="P2921" s="5" t="str">
        <f>IFERROR(__xludf.DUMMYFUNCTION("TEXTJOIN("" | "",TRUE,IF(OR(D2921="""",E2921="""",I2921="""",J2921="""",H2921=""""),""ফাঁকা ঘর"",""""),IF(AND(C2921&lt;&gt;"""",D2921&lt;&gt;"""",C2921=D2921),""gloss=figurative"",""""),IF(LEN(D2921)&lt;15,""figurative ছোট"",""""),IF(AND(I2921=""Positive"",REGEXMATCH(H2"&amp;"921,""মূর্খ|ভণ্ড|প্রতার|অলস|লোভ|স্বার্থ|অক্ষম|অযোগ্য|বোকা|কৃপণ|হিংস"")),""valence-target অমিল"",""""),IF(COUNTIF($B:$B,B2921)&gt;1,""ডুপ্লিকেট"",""""))"),"")</f>
        <v/>
      </c>
      <c r="Q2921" s="5" t="str">
        <f t="shared" si="1"/>
        <v>২ পরে</v>
      </c>
    </row>
    <row r="2922">
      <c r="A2922" s="4">
        <v>720.0</v>
      </c>
      <c r="B2922" s="2" t="s">
        <v>11543</v>
      </c>
      <c r="C2922" s="2" t="s">
        <v>11544</v>
      </c>
      <c r="D2922" s="2" t="s">
        <v>11545</v>
      </c>
      <c r="E2922" s="2" t="s">
        <v>11546</v>
      </c>
      <c r="F2922" s="2" t="b">
        <v>1</v>
      </c>
      <c r="G2922" s="2" t="b">
        <v>1</v>
      </c>
      <c r="H2922" s="2" t="s">
        <v>5767</v>
      </c>
      <c r="I2922" s="2" t="s">
        <v>32</v>
      </c>
      <c r="J2922" s="2" t="s">
        <v>9749</v>
      </c>
      <c r="K2922" s="2" t="s">
        <v>376</v>
      </c>
      <c r="L2922" s="13" t="s">
        <v>377</v>
      </c>
      <c r="M2922" s="2" t="s">
        <v>26</v>
      </c>
      <c r="P2922" s="5" t="str">
        <f>IFERROR(__xludf.DUMMYFUNCTION("TEXTJOIN("" | "",TRUE,IF(OR(D2922="""",E2922="""",I2922="""",J2922="""",H2922=""""),""ফাঁকা ঘর"",""""),IF(AND(C2922&lt;&gt;"""",D2922&lt;&gt;"""",C2922=D2922),""gloss=figurative"",""""),IF(LEN(D2922)&lt;15,""figurative ছোট"",""""),IF(AND(I2922=""Positive"",REGEXMATCH(H2"&amp;"922,""মূর্খ|ভণ্ড|প্রতার|অলস|লোভ|স্বার্থ|অক্ষম|অযোগ্য|বোকা|কৃপণ|হিংস"")),""valence-target অমিল"",""""),IF(COUNTIF($B:$B,B2922)&gt;1,""ডুপ্লিকেট"",""""))"),"")</f>
        <v/>
      </c>
      <c r="Q2922" s="5" t="str">
        <f t="shared" si="1"/>
        <v>২ পরে</v>
      </c>
    </row>
    <row r="2923">
      <c r="A2923" s="4">
        <v>721.0</v>
      </c>
      <c r="B2923" s="2" t="s">
        <v>11547</v>
      </c>
      <c r="C2923" s="2" t="s">
        <v>11548</v>
      </c>
      <c r="D2923" s="2" t="s">
        <v>11549</v>
      </c>
      <c r="E2923" s="2" t="s">
        <v>11550</v>
      </c>
      <c r="F2923" s="2" t="b">
        <v>1</v>
      </c>
      <c r="G2923" s="2" t="b">
        <v>0</v>
      </c>
      <c r="H2923" s="2" t="s">
        <v>10766</v>
      </c>
      <c r="I2923" s="2" t="s">
        <v>32</v>
      </c>
      <c r="J2923" s="2" t="s">
        <v>142</v>
      </c>
      <c r="K2923" s="2" t="s">
        <v>376</v>
      </c>
      <c r="L2923" s="13" t="s">
        <v>377</v>
      </c>
      <c r="M2923" s="2" t="s">
        <v>26</v>
      </c>
      <c r="P2923" s="5" t="str">
        <f>IFERROR(__xludf.DUMMYFUNCTION("TEXTJOIN("" | "",TRUE,IF(OR(D2923="""",E2923="""",I2923="""",J2923="""",H2923=""""),""ফাঁকা ঘর"",""""),IF(AND(C2923&lt;&gt;"""",D2923&lt;&gt;"""",C2923=D2923),""gloss=figurative"",""""),IF(LEN(D2923)&lt;15,""figurative ছোট"",""""),IF(AND(I2923=""Positive"",REGEXMATCH(H2"&amp;"923,""মূর্খ|ভণ্ড|প্রতার|অলস|লোভ|স্বার্থ|অক্ষম|অযোগ্য|বোকা|কৃপণ|হিংস"")),""valence-target অমিল"",""""),IF(COUNTIF($B:$B,B2923)&gt;1,""ডুপ্লিকেট"",""""))"),"")</f>
        <v/>
      </c>
      <c r="Q2923" s="5" t="str">
        <f t="shared" si="1"/>
        <v>২ পরে</v>
      </c>
    </row>
    <row r="2924">
      <c r="A2924" s="4">
        <v>722.0</v>
      </c>
      <c r="B2924" s="2" t="s">
        <v>11551</v>
      </c>
      <c r="C2924" s="2" t="s">
        <v>11552</v>
      </c>
      <c r="D2924" s="2" t="s">
        <v>11553</v>
      </c>
      <c r="E2924" s="2" t="s">
        <v>11554</v>
      </c>
      <c r="F2924" s="2" t="b">
        <v>1</v>
      </c>
      <c r="G2924" s="2" t="b">
        <v>0</v>
      </c>
      <c r="H2924" s="2" t="s">
        <v>9661</v>
      </c>
      <c r="I2924" s="2" t="s">
        <v>22</v>
      </c>
      <c r="J2924" s="2" t="s">
        <v>142</v>
      </c>
      <c r="K2924" s="2" t="s">
        <v>376</v>
      </c>
      <c r="L2924" s="13" t="s">
        <v>377</v>
      </c>
      <c r="M2924" s="2" t="s">
        <v>26</v>
      </c>
      <c r="P2924" s="5" t="str">
        <f>IFERROR(__xludf.DUMMYFUNCTION("TEXTJOIN("" | "",TRUE,IF(OR(D2924="""",E2924="""",I2924="""",J2924="""",H2924=""""),""ফাঁকা ঘর"",""""),IF(AND(C2924&lt;&gt;"""",D2924&lt;&gt;"""",C2924=D2924),""gloss=figurative"",""""),IF(LEN(D2924)&lt;15,""figurative ছোট"",""""),IF(AND(I2924=""Positive"",REGEXMATCH(H2"&amp;"924,""মূর্খ|ভণ্ড|প্রতার|অলস|লোভ|স্বার্থ|অক্ষম|অযোগ্য|বোকা|কৃপণ|হিংস"")),""valence-target অমিল"",""""),IF(COUNTIF($B:$B,B2924)&gt;1,""ডুপ্লিকেট"",""""))"),"")</f>
        <v/>
      </c>
      <c r="Q2924" s="5" t="str">
        <f t="shared" si="1"/>
        <v>২ পরে</v>
      </c>
    </row>
    <row r="2925">
      <c r="A2925" s="4">
        <v>723.0</v>
      </c>
      <c r="B2925" s="2" t="s">
        <v>11555</v>
      </c>
      <c r="C2925" s="2" t="s">
        <v>11556</v>
      </c>
      <c r="D2925" s="2" t="s">
        <v>11064</v>
      </c>
      <c r="E2925" s="2" t="s">
        <v>11557</v>
      </c>
      <c r="F2925" s="2" t="b">
        <v>1</v>
      </c>
      <c r="G2925" s="2" t="b">
        <v>0</v>
      </c>
      <c r="H2925" s="2" t="s">
        <v>37</v>
      </c>
      <c r="I2925" s="2" t="s">
        <v>49</v>
      </c>
      <c r="J2925" s="2" t="s">
        <v>964</v>
      </c>
      <c r="K2925" s="2" t="s">
        <v>376</v>
      </c>
      <c r="L2925" s="13" t="s">
        <v>377</v>
      </c>
      <c r="M2925" s="2" t="s">
        <v>26</v>
      </c>
      <c r="P2925" s="5" t="str">
        <f>IFERROR(__xludf.DUMMYFUNCTION("TEXTJOIN("" | "",TRUE,IF(OR(D2925="""",E2925="""",I2925="""",J2925="""",H2925=""""),""ফাঁকা ঘর"",""""),IF(AND(C2925&lt;&gt;"""",D2925&lt;&gt;"""",C2925=D2925),""gloss=figurative"",""""),IF(LEN(D2925)&lt;15,""figurative ছোট"",""""),IF(AND(I2925=""Positive"",REGEXMATCH(H2"&amp;"925,""মূর্খ|ভণ্ড|প্রতার|অলস|লোভ|স্বার্থ|অক্ষম|অযোগ্য|বোকা|কৃপণ|হিংস"")),""valence-target অমিল"",""""),IF(COUNTIF($B:$B,B2925)&gt;1,""ডুপ্লিকেট"",""""))"),"")</f>
        <v/>
      </c>
      <c r="Q2925" s="5" t="str">
        <f t="shared" si="1"/>
        <v>২ পরে</v>
      </c>
    </row>
    <row r="2926">
      <c r="A2926" s="4">
        <v>724.0</v>
      </c>
      <c r="B2926" s="2" t="s">
        <v>11558</v>
      </c>
      <c r="C2926" s="2" t="s">
        <v>11559</v>
      </c>
      <c r="D2926" s="2" t="s">
        <v>11560</v>
      </c>
      <c r="E2926" s="2" t="s">
        <v>11561</v>
      </c>
      <c r="F2926" s="2" t="b">
        <v>1</v>
      </c>
      <c r="G2926" s="2" t="b">
        <v>0</v>
      </c>
      <c r="H2926" s="2" t="s">
        <v>9452</v>
      </c>
      <c r="I2926" s="2" t="s">
        <v>22</v>
      </c>
      <c r="J2926" s="2" t="s">
        <v>197</v>
      </c>
      <c r="K2926" s="2" t="s">
        <v>376</v>
      </c>
      <c r="L2926" s="2" t="s">
        <v>391</v>
      </c>
      <c r="M2926" s="2" t="s">
        <v>26</v>
      </c>
      <c r="P2926" s="5" t="str">
        <f>IFERROR(__xludf.DUMMYFUNCTION("TEXTJOIN("" | "",TRUE,IF(OR(D2926="""",E2926="""",I2926="""",J2926="""",H2926=""""),""ফাঁকা ঘর"",""""),IF(AND(C2926&lt;&gt;"""",D2926&lt;&gt;"""",C2926=D2926),""gloss=figurative"",""""),IF(LEN(D2926)&lt;15,""figurative ছোট"",""""),IF(AND(I2926=""Positive"",REGEXMATCH(H2"&amp;"926,""মূর্খ|ভণ্ড|প্রতার|অলস|লোভ|স্বার্থ|অক্ষম|অযোগ্য|বোকা|কৃপণ|হিংস"")),""valence-target অমিল"",""""),IF(COUNTIF($B:$B,B2926)&gt;1,""ডুপ্লিকেট"",""""))"),"")</f>
        <v/>
      </c>
      <c r="Q2926" s="5" t="str">
        <f t="shared" si="1"/>
        <v>২ পরে</v>
      </c>
    </row>
    <row r="2927">
      <c r="A2927" s="4">
        <v>725.0</v>
      </c>
      <c r="B2927" s="2" t="s">
        <v>11562</v>
      </c>
      <c r="C2927" s="2" t="s">
        <v>11563</v>
      </c>
      <c r="D2927" s="2" t="s">
        <v>11564</v>
      </c>
      <c r="E2927" s="2" t="s">
        <v>11565</v>
      </c>
      <c r="F2927" s="2" t="b">
        <v>1</v>
      </c>
      <c r="G2927" s="2" t="b">
        <v>0</v>
      </c>
      <c r="H2927" s="2" t="s">
        <v>11566</v>
      </c>
      <c r="I2927" s="2" t="s">
        <v>49</v>
      </c>
      <c r="J2927" s="2" t="s">
        <v>4670</v>
      </c>
      <c r="K2927" s="2" t="s">
        <v>376</v>
      </c>
      <c r="L2927" s="2" t="s">
        <v>391</v>
      </c>
      <c r="M2927" s="2" t="s">
        <v>26</v>
      </c>
      <c r="P2927" s="5" t="str">
        <f>IFERROR(__xludf.DUMMYFUNCTION("TEXTJOIN("" | "",TRUE,IF(OR(D2927="""",E2927="""",I2927="""",J2927="""",H2927=""""),""ফাঁকা ঘর"",""""),IF(AND(C2927&lt;&gt;"""",D2927&lt;&gt;"""",C2927=D2927),""gloss=figurative"",""""),IF(LEN(D2927)&lt;15,""figurative ছোট"",""""),IF(AND(I2927=""Positive"",REGEXMATCH(H2"&amp;"927,""মূর্খ|ভণ্ড|প্রতার|অলস|লোভ|স্বার্থ|অক্ষম|অযোগ্য|বোকা|কৃপণ|হিংস"")),""valence-target অমিল"",""""),IF(COUNTIF($B:$B,B2927)&gt;1,""ডুপ্লিকেট"",""""))"),"")</f>
        <v/>
      </c>
      <c r="Q2927" s="5" t="str">
        <f t="shared" si="1"/>
        <v>২ পরে</v>
      </c>
    </row>
    <row r="2928">
      <c r="A2928" s="4">
        <v>726.0</v>
      </c>
      <c r="B2928" s="2" t="s">
        <v>11567</v>
      </c>
      <c r="C2928" s="2" t="s">
        <v>11568</v>
      </c>
      <c r="D2928" s="2" t="s">
        <v>11569</v>
      </c>
      <c r="E2928" s="2" t="s">
        <v>11570</v>
      </c>
      <c r="F2928" s="2" t="b">
        <v>1</v>
      </c>
      <c r="G2928" s="2" t="b">
        <v>0</v>
      </c>
      <c r="H2928" s="2" t="s">
        <v>11571</v>
      </c>
      <c r="I2928" s="2" t="s">
        <v>22</v>
      </c>
      <c r="J2928" s="2" t="s">
        <v>59</v>
      </c>
      <c r="K2928" s="2" t="s">
        <v>376</v>
      </c>
      <c r="L2928" s="2" t="s">
        <v>391</v>
      </c>
      <c r="M2928" s="2" t="s">
        <v>26</v>
      </c>
      <c r="P2928" s="5" t="str">
        <f>IFERROR(__xludf.DUMMYFUNCTION("TEXTJOIN("" | "",TRUE,IF(OR(D2928="""",E2928="""",I2928="""",J2928="""",H2928=""""),""ফাঁকা ঘর"",""""),IF(AND(C2928&lt;&gt;"""",D2928&lt;&gt;"""",C2928=D2928),""gloss=figurative"",""""),IF(LEN(D2928)&lt;15,""figurative ছোট"",""""),IF(AND(I2928=""Positive"",REGEXMATCH(H2"&amp;"928,""মূর্খ|ভণ্ড|প্রতার|অলস|লোভ|স্বার্থ|অক্ষম|অযোগ্য|বোকা|কৃপণ|হিংস"")),""valence-target অমিল"",""""),IF(COUNTIF($B:$B,B2928)&gt;1,""ডুপ্লিকেট"",""""))"),"")</f>
        <v/>
      </c>
      <c r="Q2928" s="5" t="str">
        <f t="shared" si="1"/>
        <v>২ পরে</v>
      </c>
    </row>
    <row r="2929">
      <c r="A2929" s="4">
        <v>727.0</v>
      </c>
      <c r="B2929" s="2" t="s">
        <v>11572</v>
      </c>
      <c r="C2929" s="2" t="s">
        <v>11573</v>
      </c>
      <c r="D2929" s="2" t="s">
        <v>11574</v>
      </c>
      <c r="E2929" s="2" t="s">
        <v>11575</v>
      </c>
      <c r="F2929" s="2" t="b">
        <v>1</v>
      </c>
      <c r="G2929" s="2" t="b">
        <v>0</v>
      </c>
      <c r="H2929" s="2" t="s">
        <v>10981</v>
      </c>
      <c r="I2929" s="2" t="s">
        <v>49</v>
      </c>
      <c r="J2929" s="2" t="s">
        <v>447</v>
      </c>
      <c r="K2929" s="2" t="s">
        <v>376</v>
      </c>
      <c r="L2929" s="2" t="s">
        <v>391</v>
      </c>
      <c r="M2929" s="2" t="s">
        <v>26</v>
      </c>
      <c r="P2929" s="5" t="str">
        <f>IFERROR(__xludf.DUMMYFUNCTION("TEXTJOIN("" | "",TRUE,IF(OR(D2929="""",E2929="""",I2929="""",J2929="""",H2929=""""),""ফাঁকা ঘর"",""""),IF(AND(C2929&lt;&gt;"""",D2929&lt;&gt;"""",C2929=D2929),""gloss=figurative"",""""),IF(LEN(D2929)&lt;15,""figurative ছোট"",""""),IF(AND(I2929=""Positive"",REGEXMATCH(H2"&amp;"929,""মূর্খ|ভণ্ড|প্রতার|অলস|লোভ|স্বার্থ|অক্ষম|অযোগ্য|বোকা|কৃপণ|হিংস"")),""valence-target অমিল"",""""),IF(COUNTIF($B:$B,B2929)&gt;1,""ডুপ্লিকেট"",""""))"),"")</f>
        <v/>
      </c>
      <c r="Q2929" s="5" t="str">
        <f t="shared" si="1"/>
        <v>২ পরে</v>
      </c>
    </row>
    <row r="2930">
      <c r="A2930" s="4">
        <v>728.0</v>
      </c>
      <c r="B2930" s="2" t="s">
        <v>11576</v>
      </c>
      <c r="C2930" s="2" t="s">
        <v>11577</v>
      </c>
      <c r="D2930" s="2" t="s">
        <v>11578</v>
      </c>
      <c r="E2930" s="2" t="s">
        <v>11579</v>
      </c>
      <c r="F2930" s="2" t="b">
        <v>1</v>
      </c>
      <c r="G2930" s="2" t="b">
        <v>0</v>
      </c>
      <c r="H2930" s="2" t="s">
        <v>11580</v>
      </c>
      <c r="I2930" s="2" t="s">
        <v>32</v>
      </c>
      <c r="J2930" s="2" t="s">
        <v>162</v>
      </c>
      <c r="K2930" s="2" t="s">
        <v>376</v>
      </c>
      <c r="L2930" s="2" t="s">
        <v>391</v>
      </c>
      <c r="M2930" s="2" t="s">
        <v>26</v>
      </c>
      <c r="P2930" s="5" t="str">
        <f>IFERROR(__xludf.DUMMYFUNCTION("TEXTJOIN("" | "",TRUE,IF(OR(D2930="""",E2930="""",I2930="""",J2930="""",H2930=""""),""ফাঁকা ঘর"",""""),IF(AND(C2930&lt;&gt;"""",D2930&lt;&gt;"""",C2930=D2930),""gloss=figurative"",""""),IF(LEN(D2930)&lt;15,""figurative ছোট"",""""),IF(AND(I2930=""Positive"",REGEXMATCH(H2"&amp;"930,""মূর্খ|ভণ্ড|প্রতার|অলস|লোভ|স্বার্থ|অক্ষম|অযোগ্য|বোকা|কৃপণ|হিংস"")),""valence-target অমিল"",""""),IF(COUNTIF($B:$B,B2930)&gt;1,""ডুপ্লিকেট"",""""))"),"")</f>
        <v/>
      </c>
      <c r="Q2930" s="5" t="str">
        <f t="shared" si="1"/>
        <v>২ পরে</v>
      </c>
    </row>
    <row r="2931">
      <c r="A2931" s="4">
        <v>729.0</v>
      </c>
      <c r="B2931" s="2" t="s">
        <v>11581</v>
      </c>
      <c r="C2931" s="2" t="s">
        <v>11582</v>
      </c>
      <c r="D2931" s="2" t="s">
        <v>11583</v>
      </c>
      <c r="E2931" s="2" t="s">
        <v>11584</v>
      </c>
      <c r="F2931" s="2" t="b">
        <v>1</v>
      </c>
      <c r="G2931" s="2" t="b">
        <v>1</v>
      </c>
      <c r="H2931" s="2" t="s">
        <v>11585</v>
      </c>
      <c r="I2931" s="2" t="s">
        <v>22</v>
      </c>
      <c r="J2931" s="2" t="s">
        <v>11586</v>
      </c>
      <c r="K2931" s="2" t="s">
        <v>376</v>
      </c>
      <c r="L2931" s="2" t="s">
        <v>391</v>
      </c>
      <c r="M2931" s="2" t="s">
        <v>26</v>
      </c>
      <c r="P2931" s="5" t="str">
        <f>IFERROR(__xludf.DUMMYFUNCTION("TEXTJOIN("" | "",TRUE,IF(OR(D2931="""",E2931="""",I2931="""",J2931="""",H2931=""""),""ফাঁকা ঘর"",""""),IF(AND(C2931&lt;&gt;"""",D2931&lt;&gt;"""",C2931=D2931),""gloss=figurative"",""""),IF(LEN(D2931)&lt;15,""figurative ছোট"",""""),IF(AND(I2931=""Positive"",REGEXMATCH(H2"&amp;"931,""মূর্খ|ভণ্ড|প্রতার|অলস|লোভ|স্বার্থ|অক্ষম|অযোগ্য|বোকা|কৃপণ|হিংস"")),""valence-target অমিল"",""""),IF(COUNTIF($B:$B,B2931)&gt;1,""ডুপ্লিকেট"",""""))"),"")</f>
        <v/>
      </c>
      <c r="Q2931" s="5" t="str">
        <f t="shared" si="1"/>
        <v>২ পরে</v>
      </c>
    </row>
    <row r="2932">
      <c r="A2932" s="4">
        <v>730.0</v>
      </c>
      <c r="B2932" s="2" t="s">
        <v>11587</v>
      </c>
      <c r="C2932" s="2" t="s">
        <v>11588</v>
      </c>
      <c r="D2932" s="2" t="s">
        <v>11589</v>
      </c>
      <c r="E2932" s="2" t="s">
        <v>11590</v>
      </c>
      <c r="F2932" s="2" t="b">
        <v>1</v>
      </c>
      <c r="G2932" s="2" t="b">
        <v>0</v>
      </c>
      <c r="H2932" s="2" t="s">
        <v>11591</v>
      </c>
      <c r="I2932" s="2" t="s">
        <v>22</v>
      </c>
      <c r="J2932" s="2" t="s">
        <v>123</v>
      </c>
      <c r="K2932" s="2" t="s">
        <v>376</v>
      </c>
      <c r="L2932" s="2" t="s">
        <v>391</v>
      </c>
      <c r="M2932" s="2" t="s">
        <v>26</v>
      </c>
      <c r="P2932" s="5" t="str">
        <f>IFERROR(__xludf.DUMMYFUNCTION("TEXTJOIN("" | "",TRUE,IF(OR(D2932="""",E2932="""",I2932="""",J2932="""",H2932=""""),""ফাঁকা ঘর"",""""),IF(AND(C2932&lt;&gt;"""",D2932&lt;&gt;"""",C2932=D2932),""gloss=figurative"",""""),IF(LEN(D2932)&lt;15,""figurative ছোট"",""""),IF(AND(I2932=""Positive"",REGEXMATCH(H2"&amp;"932,""মূর্খ|ভণ্ড|প্রতার|অলস|লোভ|স্বার্থ|অক্ষম|অযোগ্য|বোকা|কৃপণ|হিংস"")),""valence-target অমিল"",""""),IF(COUNTIF($B:$B,B2932)&gt;1,""ডুপ্লিকেট"",""""))"),"")</f>
        <v/>
      </c>
      <c r="Q2932" s="5" t="str">
        <f t="shared" si="1"/>
        <v>২ পরে</v>
      </c>
    </row>
    <row r="2933">
      <c r="A2933" s="4">
        <v>731.0</v>
      </c>
      <c r="B2933" s="2" t="s">
        <v>11592</v>
      </c>
      <c r="C2933" s="2" t="s">
        <v>11593</v>
      </c>
      <c r="D2933" s="2" t="s">
        <v>11594</v>
      </c>
      <c r="E2933" s="2" t="s">
        <v>11595</v>
      </c>
      <c r="F2933" s="2" t="b">
        <v>1</v>
      </c>
      <c r="G2933" s="2" t="b">
        <v>0</v>
      </c>
      <c r="H2933" s="2" t="s">
        <v>8870</v>
      </c>
      <c r="I2933" s="2" t="s">
        <v>49</v>
      </c>
      <c r="J2933" s="2" t="s">
        <v>142</v>
      </c>
      <c r="K2933" s="2" t="s">
        <v>376</v>
      </c>
      <c r="L2933" s="2" t="s">
        <v>391</v>
      </c>
      <c r="M2933" s="2" t="s">
        <v>26</v>
      </c>
      <c r="P2933" s="5" t="str">
        <f>IFERROR(__xludf.DUMMYFUNCTION("TEXTJOIN("" | "",TRUE,IF(OR(D2933="""",E2933="""",I2933="""",J2933="""",H2933=""""),""ফাঁকা ঘর"",""""),IF(AND(C2933&lt;&gt;"""",D2933&lt;&gt;"""",C2933=D2933),""gloss=figurative"",""""),IF(LEN(D2933)&lt;15,""figurative ছোট"",""""),IF(AND(I2933=""Positive"",REGEXMATCH(H2"&amp;"933,""মূর্খ|ভণ্ড|প্রতার|অলস|লোভ|স্বার্থ|অক্ষম|অযোগ্য|বোকা|কৃপণ|হিংস"")),""valence-target অমিল"",""""),IF(COUNTIF($B:$B,B2933)&gt;1,""ডুপ্লিকেট"",""""))"),"")</f>
        <v/>
      </c>
      <c r="Q2933" s="5" t="str">
        <f t="shared" si="1"/>
        <v>২ পরে</v>
      </c>
    </row>
    <row r="2934">
      <c r="A2934" s="4">
        <v>732.0</v>
      </c>
      <c r="B2934" s="2" t="s">
        <v>11596</v>
      </c>
      <c r="C2934" s="2" t="s">
        <v>11597</v>
      </c>
      <c r="D2934" s="2" t="s">
        <v>11598</v>
      </c>
      <c r="E2934" s="2" t="s">
        <v>11599</v>
      </c>
      <c r="F2934" s="2" t="b">
        <v>1</v>
      </c>
      <c r="G2934" s="2" t="b">
        <v>0</v>
      </c>
      <c r="H2934" s="2" t="s">
        <v>21</v>
      </c>
      <c r="I2934" s="2" t="s">
        <v>22</v>
      </c>
      <c r="J2934" s="2" t="s">
        <v>3262</v>
      </c>
      <c r="K2934" s="2" t="s">
        <v>376</v>
      </c>
      <c r="L2934" s="2" t="s">
        <v>391</v>
      </c>
      <c r="M2934" s="2" t="s">
        <v>26</v>
      </c>
      <c r="P2934" s="5" t="str">
        <f>IFERROR(__xludf.DUMMYFUNCTION("TEXTJOIN("" | "",TRUE,IF(OR(D2934="""",E2934="""",I2934="""",J2934="""",H2934=""""),""ফাঁকা ঘর"",""""),IF(AND(C2934&lt;&gt;"""",D2934&lt;&gt;"""",C2934=D2934),""gloss=figurative"",""""),IF(LEN(D2934)&lt;15,""figurative ছোট"",""""),IF(AND(I2934=""Positive"",REGEXMATCH(H2"&amp;"934,""মূর্খ|ভণ্ড|প্রতার|অলস|লোভ|স্বার্থ|অক্ষম|অযোগ্য|বোকা|কৃপণ|হিংস"")),""valence-target অমিল"",""""),IF(COUNTIF($B:$B,B2934)&gt;1,""ডুপ্লিকেট"",""""))"),"")</f>
        <v/>
      </c>
      <c r="Q2934" s="5" t="str">
        <f t="shared" si="1"/>
        <v>২ পরে</v>
      </c>
    </row>
    <row r="2935">
      <c r="A2935" s="4">
        <v>733.0</v>
      </c>
      <c r="B2935" s="2" t="s">
        <v>11600</v>
      </c>
      <c r="C2935" s="2" t="s">
        <v>11601</v>
      </c>
      <c r="D2935" s="2" t="s">
        <v>11602</v>
      </c>
      <c r="E2935" s="2" t="s">
        <v>11603</v>
      </c>
      <c r="F2935" s="2" t="b">
        <v>1</v>
      </c>
      <c r="G2935" s="2" t="b">
        <v>0</v>
      </c>
      <c r="H2935" s="2" t="s">
        <v>11604</v>
      </c>
      <c r="I2935" s="2" t="s">
        <v>22</v>
      </c>
      <c r="J2935" s="2" t="s">
        <v>59</v>
      </c>
      <c r="K2935" s="2" t="s">
        <v>376</v>
      </c>
      <c r="L2935" s="2" t="s">
        <v>391</v>
      </c>
      <c r="M2935" s="2" t="s">
        <v>26</v>
      </c>
      <c r="P2935" s="5" t="str">
        <f>IFERROR(__xludf.DUMMYFUNCTION("TEXTJOIN("" | "",TRUE,IF(OR(D2935="""",E2935="""",I2935="""",J2935="""",H2935=""""),""ফাঁকা ঘর"",""""),IF(AND(C2935&lt;&gt;"""",D2935&lt;&gt;"""",C2935=D2935),""gloss=figurative"",""""),IF(LEN(D2935)&lt;15,""figurative ছোট"",""""),IF(AND(I2935=""Positive"",REGEXMATCH(H2"&amp;"935,""মূর্খ|ভণ্ড|প্রতার|অলস|লোভ|স্বার্থ|অক্ষম|অযোগ্য|বোকা|কৃপণ|হিংস"")),""valence-target অমিল"",""""),IF(COUNTIF($B:$B,B2935)&gt;1,""ডুপ্লিকেট"",""""))"),"")</f>
        <v/>
      </c>
      <c r="Q2935" s="5" t="str">
        <f t="shared" si="1"/>
        <v>২ পরে</v>
      </c>
    </row>
    <row r="2936">
      <c r="A2936" s="4">
        <v>734.0</v>
      </c>
      <c r="B2936" s="2" t="s">
        <v>11605</v>
      </c>
      <c r="C2936" s="2" t="s">
        <v>11606</v>
      </c>
      <c r="D2936" s="2" t="s">
        <v>11607</v>
      </c>
      <c r="E2936" s="2" t="s">
        <v>11608</v>
      </c>
      <c r="F2936" s="2" t="b">
        <v>1</v>
      </c>
      <c r="G2936" s="2" t="b">
        <v>0</v>
      </c>
      <c r="H2936" s="2" t="s">
        <v>10834</v>
      </c>
      <c r="I2936" s="2" t="s">
        <v>49</v>
      </c>
      <c r="J2936" s="2" t="s">
        <v>11609</v>
      </c>
      <c r="K2936" s="2" t="s">
        <v>376</v>
      </c>
      <c r="L2936" s="2" t="s">
        <v>391</v>
      </c>
      <c r="M2936" s="2" t="s">
        <v>26</v>
      </c>
      <c r="P2936" s="5" t="str">
        <f>IFERROR(__xludf.DUMMYFUNCTION("TEXTJOIN("" | "",TRUE,IF(OR(D2936="""",E2936="""",I2936="""",J2936="""",H2936=""""),""ফাঁকা ঘর"",""""),IF(AND(C2936&lt;&gt;"""",D2936&lt;&gt;"""",C2936=D2936),""gloss=figurative"",""""),IF(LEN(D2936)&lt;15,""figurative ছোট"",""""),IF(AND(I2936=""Positive"",REGEXMATCH(H2"&amp;"936,""মূর্খ|ভণ্ড|প্রতার|অলস|লোভ|স্বার্থ|অক্ষম|অযোগ্য|বোকা|কৃপণ|হিংস"")),""valence-target অমিল"",""""),IF(COUNTIF($B:$B,B2936)&gt;1,""ডুপ্লিকেট"",""""))"),"")</f>
        <v/>
      </c>
      <c r="Q2936" s="5" t="str">
        <f t="shared" si="1"/>
        <v>২ পরে</v>
      </c>
    </row>
    <row r="2937">
      <c r="A2937" s="4">
        <v>735.0</v>
      </c>
      <c r="B2937" s="2" t="s">
        <v>11610</v>
      </c>
      <c r="C2937" s="2" t="s">
        <v>11611</v>
      </c>
      <c r="D2937" s="2" t="s">
        <v>11612</v>
      </c>
      <c r="E2937" s="2" t="s">
        <v>11613</v>
      </c>
      <c r="F2937" s="2" t="b">
        <v>1</v>
      </c>
      <c r="G2937" s="2" t="b">
        <v>0</v>
      </c>
      <c r="H2937" s="2" t="s">
        <v>189</v>
      </c>
      <c r="I2937" s="2" t="s">
        <v>22</v>
      </c>
      <c r="J2937" s="2" t="s">
        <v>123</v>
      </c>
      <c r="K2937" s="2" t="s">
        <v>376</v>
      </c>
      <c r="L2937" s="2" t="s">
        <v>391</v>
      </c>
      <c r="M2937" s="2" t="s">
        <v>26</v>
      </c>
      <c r="P2937" s="5" t="str">
        <f>IFERROR(__xludf.DUMMYFUNCTION("TEXTJOIN("" | "",TRUE,IF(OR(D2937="""",E2937="""",I2937="""",J2937="""",H2937=""""),""ফাঁকা ঘর"",""""),IF(AND(C2937&lt;&gt;"""",D2937&lt;&gt;"""",C2937=D2937),""gloss=figurative"",""""),IF(LEN(D2937)&lt;15,""figurative ছোট"",""""),IF(AND(I2937=""Positive"",REGEXMATCH(H2"&amp;"937,""মূর্খ|ভণ্ড|প্রতার|অলস|লোভ|স্বার্থ|অক্ষম|অযোগ্য|বোকা|কৃপণ|হিংস"")),""valence-target অমিল"",""""),IF(COUNTIF($B:$B,B2937)&gt;1,""ডুপ্লিকেট"",""""))"),"")</f>
        <v/>
      </c>
      <c r="Q2937" s="5" t="str">
        <f t="shared" si="1"/>
        <v>২ পরে</v>
      </c>
    </row>
    <row r="2938">
      <c r="A2938" s="4">
        <v>736.0</v>
      </c>
      <c r="B2938" s="2" t="s">
        <v>11614</v>
      </c>
      <c r="C2938" s="2" t="s">
        <v>11615</v>
      </c>
      <c r="D2938" s="2" t="s">
        <v>11616</v>
      </c>
      <c r="E2938" s="2" t="s">
        <v>11617</v>
      </c>
      <c r="F2938" s="2" t="b">
        <v>1</v>
      </c>
      <c r="G2938" s="2" t="b">
        <v>0</v>
      </c>
      <c r="H2938" s="2" t="s">
        <v>11618</v>
      </c>
      <c r="I2938" s="2" t="s">
        <v>32</v>
      </c>
      <c r="J2938" s="2" t="s">
        <v>1264</v>
      </c>
      <c r="K2938" s="2" t="s">
        <v>376</v>
      </c>
      <c r="L2938" s="2" t="s">
        <v>391</v>
      </c>
      <c r="M2938" s="2" t="s">
        <v>26</v>
      </c>
      <c r="P2938" s="5" t="str">
        <f>IFERROR(__xludf.DUMMYFUNCTION("TEXTJOIN("" | "",TRUE,IF(OR(D2938="""",E2938="""",I2938="""",J2938="""",H2938=""""),""ফাঁকা ঘর"",""""),IF(AND(C2938&lt;&gt;"""",D2938&lt;&gt;"""",C2938=D2938),""gloss=figurative"",""""),IF(LEN(D2938)&lt;15,""figurative ছোট"",""""),IF(AND(I2938=""Positive"",REGEXMATCH(H2"&amp;"938,""মূর্খ|ভণ্ড|প্রতার|অলস|লোভ|স্বার্থ|অক্ষম|অযোগ্য|বোকা|কৃপণ|হিংস"")),""valence-target অমিল"",""""),IF(COUNTIF($B:$B,B2938)&gt;1,""ডুপ্লিকেট"",""""))"),"")</f>
        <v/>
      </c>
      <c r="Q2938" s="5" t="str">
        <f t="shared" si="1"/>
        <v>২ পরে</v>
      </c>
    </row>
    <row r="2939">
      <c r="A2939" s="4">
        <v>737.0</v>
      </c>
      <c r="B2939" s="2" t="s">
        <v>11619</v>
      </c>
      <c r="C2939" s="2" t="s">
        <v>11620</v>
      </c>
      <c r="D2939" s="2" t="s">
        <v>11621</v>
      </c>
      <c r="E2939" s="2" t="s">
        <v>11622</v>
      </c>
      <c r="F2939" s="2" t="b">
        <v>1</v>
      </c>
      <c r="G2939" s="2" t="b">
        <v>0</v>
      </c>
      <c r="H2939" s="2" t="s">
        <v>9320</v>
      </c>
      <c r="I2939" s="2" t="s">
        <v>49</v>
      </c>
      <c r="J2939" s="2" t="s">
        <v>2833</v>
      </c>
      <c r="K2939" s="2" t="s">
        <v>376</v>
      </c>
      <c r="L2939" s="2" t="s">
        <v>391</v>
      </c>
      <c r="M2939" s="2" t="s">
        <v>26</v>
      </c>
      <c r="P2939" s="5" t="str">
        <f>IFERROR(__xludf.DUMMYFUNCTION("TEXTJOIN("" | "",TRUE,IF(OR(D2939="""",E2939="""",I2939="""",J2939="""",H2939=""""),""ফাঁকা ঘর"",""""),IF(AND(C2939&lt;&gt;"""",D2939&lt;&gt;"""",C2939=D2939),""gloss=figurative"",""""),IF(LEN(D2939)&lt;15,""figurative ছোট"",""""),IF(AND(I2939=""Positive"",REGEXMATCH(H2"&amp;"939,""মূর্খ|ভণ্ড|প্রতার|অলস|লোভ|স্বার্থ|অক্ষম|অযোগ্য|বোকা|কৃপণ|হিংস"")),""valence-target অমিল"",""""),IF(COUNTIF($B:$B,B2939)&gt;1,""ডুপ্লিকেট"",""""))"),"")</f>
        <v/>
      </c>
      <c r="Q2939" s="5" t="str">
        <f t="shared" si="1"/>
        <v>২ পরে</v>
      </c>
    </row>
    <row r="2940">
      <c r="A2940" s="4">
        <v>738.0</v>
      </c>
      <c r="B2940" s="2" t="s">
        <v>11623</v>
      </c>
      <c r="C2940" s="2" t="s">
        <v>11624</v>
      </c>
      <c r="D2940" s="2" t="s">
        <v>11625</v>
      </c>
      <c r="E2940" s="2" t="s">
        <v>11626</v>
      </c>
      <c r="F2940" s="2" t="b">
        <v>1</v>
      </c>
      <c r="G2940" s="2" t="b">
        <v>0</v>
      </c>
      <c r="H2940" s="2" t="s">
        <v>11627</v>
      </c>
      <c r="I2940" s="2" t="s">
        <v>22</v>
      </c>
      <c r="J2940" s="2" t="s">
        <v>59</v>
      </c>
      <c r="K2940" s="2" t="s">
        <v>376</v>
      </c>
      <c r="L2940" s="2" t="s">
        <v>391</v>
      </c>
      <c r="M2940" s="2" t="s">
        <v>26</v>
      </c>
      <c r="P2940" s="5" t="str">
        <f>IFERROR(__xludf.DUMMYFUNCTION("TEXTJOIN("" | "",TRUE,IF(OR(D2940="""",E2940="""",I2940="""",J2940="""",H2940=""""),""ফাঁকা ঘর"",""""),IF(AND(C2940&lt;&gt;"""",D2940&lt;&gt;"""",C2940=D2940),""gloss=figurative"",""""),IF(LEN(D2940)&lt;15,""figurative ছোট"",""""),IF(AND(I2940=""Positive"",REGEXMATCH(H2"&amp;"940,""মূর্খ|ভণ্ড|প্রতার|অলস|লোভ|স্বার্থ|অক্ষম|অযোগ্য|বোকা|কৃপণ|হিংস"")),""valence-target অমিল"",""""),IF(COUNTIF($B:$B,B2940)&gt;1,""ডুপ্লিকেট"",""""))"),"")</f>
        <v/>
      </c>
      <c r="Q2940" s="5" t="str">
        <f t="shared" si="1"/>
        <v>২ পরে</v>
      </c>
    </row>
    <row r="2941">
      <c r="A2941" s="4">
        <v>739.0</v>
      </c>
      <c r="B2941" s="2" t="s">
        <v>11628</v>
      </c>
      <c r="C2941" s="2" t="s">
        <v>11629</v>
      </c>
      <c r="D2941" s="2" t="s">
        <v>11630</v>
      </c>
      <c r="E2941" s="2" t="s">
        <v>11631</v>
      </c>
      <c r="F2941" s="2" t="b">
        <v>1</v>
      </c>
      <c r="G2941" s="2" t="b">
        <v>0</v>
      </c>
      <c r="H2941" s="2" t="s">
        <v>739</v>
      </c>
      <c r="I2941" s="2" t="s">
        <v>32</v>
      </c>
      <c r="J2941" s="2" t="s">
        <v>739</v>
      </c>
      <c r="K2941" s="2" t="s">
        <v>376</v>
      </c>
      <c r="L2941" s="2" t="s">
        <v>391</v>
      </c>
      <c r="M2941" s="2" t="s">
        <v>26</v>
      </c>
      <c r="P2941" s="5" t="str">
        <f>IFERROR(__xludf.DUMMYFUNCTION("TEXTJOIN("" | "",TRUE,IF(OR(D2941="""",E2941="""",I2941="""",J2941="""",H2941=""""),""ফাঁকা ঘর"",""""),IF(AND(C2941&lt;&gt;"""",D2941&lt;&gt;"""",C2941=D2941),""gloss=figurative"",""""),IF(LEN(D2941)&lt;15,""figurative ছোট"",""""),IF(AND(I2941=""Positive"",REGEXMATCH(H2"&amp;"941,""মূর্খ|ভণ্ড|প্রতার|অলস|লোভ|স্বার্থ|অক্ষম|অযোগ্য|বোকা|কৃপণ|হিংস"")),""valence-target অমিল"",""""),IF(COUNTIF($B:$B,B2941)&gt;1,""ডুপ্লিকেট"",""""))"),"")</f>
        <v/>
      </c>
      <c r="Q2941" s="5" t="str">
        <f t="shared" si="1"/>
        <v>২ পরে</v>
      </c>
    </row>
    <row r="2942">
      <c r="A2942" s="4">
        <v>740.0</v>
      </c>
      <c r="B2942" s="2" t="s">
        <v>11632</v>
      </c>
      <c r="C2942" s="2" t="s">
        <v>11633</v>
      </c>
      <c r="D2942" s="2" t="s">
        <v>11634</v>
      </c>
      <c r="E2942" s="2" t="s">
        <v>11635</v>
      </c>
      <c r="F2942" s="2" t="b">
        <v>1</v>
      </c>
      <c r="G2942" s="2" t="b">
        <v>0</v>
      </c>
      <c r="H2942" s="2" t="s">
        <v>224</v>
      </c>
      <c r="I2942" s="2" t="s">
        <v>22</v>
      </c>
      <c r="J2942" s="2" t="s">
        <v>59</v>
      </c>
      <c r="K2942" s="2" t="s">
        <v>376</v>
      </c>
      <c r="L2942" s="2" t="s">
        <v>391</v>
      </c>
      <c r="M2942" s="2" t="s">
        <v>26</v>
      </c>
      <c r="P2942" s="5" t="str">
        <f>IFERROR(__xludf.DUMMYFUNCTION("TEXTJOIN("" | "",TRUE,IF(OR(D2942="""",E2942="""",I2942="""",J2942="""",H2942=""""),""ফাঁকা ঘর"",""""),IF(AND(C2942&lt;&gt;"""",D2942&lt;&gt;"""",C2942=D2942),""gloss=figurative"",""""),IF(LEN(D2942)&lt;15,""figurative ছোট"",""""),IF(AND(I2942=""Positive"",REGEXMATCH(H2"&amp;"942,""মূর্খ|ভণ্ড|প্রতার|অলস|লোভ|স্বার্থ|অক্ষম|অযোগ্য|বোকা|কৃপণ|হিংস"")),""valence-target অমিল"",""""),IF(COUNTIF($B:$B,B2942)&gt;1,""ডুপ্লিকেট"",""""))"),"")</f>
        <v/>
      </c>
      <c r="Q2942" s="5" t="str">
        <f t="shared" si="1"/>
        <v>২ পরে</v>
      </c>
    </row>
    <row r="2943">
      <c r="A2943" s="4">
        <v>741.0</v>
      </c>
      <c r="B2943" s="2" t="s">
        <v>11636</v>
      </c>
      <c r="C2943" s="2" t="s">
        <v>11637</v>
      </c>
      <c r="D2943" s="2" t="s">
        <v>11638</v>
      </c>
      <c r="E2943" s="2" t="s">
        <v>11639</v>
      </c>
      <c r="F2943" s="2" t="b">
        <v>1</v>
      </c>
      <c r="G2943" s="2" t="b">
        <v>0</v>
      </c>
      <c r="H2943" s="2" t="s">
        <v>8760</v>
      </c>
      <c r="I2943" s="2" t="s">
        <v>22</v>
      </c>
      <c r="J2943" s="2" t="s">
        <v>669</v>
      </c>
      <c r="K2943" s="2" t="s">
        <v>376</v>
      </c>
      <c r="L2943" s="2" t="s">
        <v>391</v>
      </c>
      <c r="M2943" s="2" t="s">
        <v>26</v>
      </c>
      <c r="P2943" s="5" t="str">
        <f>IFERROR(__xludf.DUMMYFUNCTION("TEXTJOIN("" | "",TRUE,IF(OR(D2943="""",E2943="""",I2943="""",J2943="""",H2943=""""),""ফাঁকা ঘর"",""""),IF(AND(C2943&lt;&gt;"""",D2943&lt;&gt;"""",C2943=D2943),""gloss=figurative"",""""),IF(LEN(D2943)&lt;15,""figurative ছোট"",""""),IF(AND(I2943=""Positive"",REGEXMATCH(H2"&amp;"943,""মূর্খ|ভণ্ড|প্রতার|অলস|লোভ|স্বার্থ|অক্ষম|অযোগ্য|বোকা|কৃপণ|হিংস"")),""valence-target অমিল"",""""),IF(COUNTIF($B:$B,B2943)&gt;1,""ডুপ্লিকেট"",""""))"),"")</f>
        <v/>
      </c>
      <c r="Q2943" s="5" t="str">
        <f t="shared" si="1"/>
        <v>২ পরে</v>
      </c>
    </row>
    <row r="2944">
      <c r="A2944" s="4">
        <v>742.0</v>
      </c>
      <c r="B2944" s="2" t="s">
        <v>11640</v>
      </c>
      <c r="C2944" s="2" t="s">
        <v>11641</v>
      </c>
      <c r="D2944" s="2" t="s">
        <v>11642</v>
      </c>
      <c r="E2944" s="2" t="s">
        <v>11643</v>
      </c>
      <c r="F2944" s="2" t="b">
        <v>1</v>
      </c>
      <c r="G2944" s="2" t="b">
        <v>0</v>
      </c>
      <c r="H2944" s="2" t="s">
        <v>8760</v>
      </c>
      <c r="I2944" s="2" t="s">
        <v>22</v>
      </c>
      <c r="J2944" s="2" t="s">
        <v>59</v>
      </c>
      <c r="K2944" s="2" t="s">
        <v>376</v>
      </c>
      <c r="L2944" s="2" t="s">
        <v>391</v>
      </c>
      <c r="M2944" s="2" t="s">
        <v>26</v>
      </c>
      <c r="P2944" s="5" t="str">
        <f>IFERROR(__xludf.DUMMYFUNCTION("TEXTJOIN("" | "",TRUE,IF(OR(D2944="""",E2944="""",I2944="""",J2944="""",H2944=""""),""ফাঁকা ঘর"",""""),IF(AND(C2944&lt;&gt;"""",D2944&lt;&gt;"""",C2944=D2944),""gloss=figurative"",""""),IF(LEN(D2944)&lt;15,""figurative ছোট"",""""),IF(AND(I2944=""Positive"",REGEXMATCH(H2"&amp;"944,""মূর্খ|ভণ্ড|প্রতার|অলস|লোভ|স্বার্থ|অক্ষম|অযোগ্য|বোকা|কৃপণ|হিংস"")),""valence-target অমিল"",""""),IF(COUNTIF($B:$B,B2944)&gt;1,""ডুপ্লিকেট"",""""))"),"")</f>
        <v/>
      </c>
      <c r="Q2944" s="5" t="str">
        <f t="shared" si="1"/>
        <v>২ পরে</v>
      </c>
    </row>
    <row r="2945">
      <c r="A2945" s="4">
        <v>743.0</v>
      </c>
      <c r="B2945" s="2" t="s">
        <v>11644</v>
      </c>
      <c r="C2945" s="2" t="s">
        <v>11645</v>
      </c>
      <c r="D2945" s="2" t="s">
        <v>11646</v>
      </c>
      <c r="E2945" s="2" t="s">
        <v>11647</v>
      </c>
      <c r="F2945" s="2" t="b">
        <v>1</v>
      </c>
      <c r="G2945" s="2" t="b">
        <v>0</v>
      </c>
      <c r="H2945" s="2" t="s">
        <v>11648</v>
      </c>
      <c r="I2945" s="2" t="s">
        <v>49</v>
      </c>
      <c r="J2945" s="2" t="s">
        <v>1621</v>
      </c>
      <c r="K2945" s="2" t="s">
        <v>376</v>
      </c>
      <c r="L2945" s="2" t="s">
        <v>391</v>
      </c>
      <c r="M2945" s="2" t="s">
        <v>26</v>
      </c>
      <c r="P2945" s="5" t="str">
        <f>IFERROR(__xludf.DUMMYFUNCTION("TEXTJOIN("" | "",TRUE,IF(OR(D2945="""",E2945="""",I2945="""",J2945="""",H2945=""""),""ফাঁকা ঘর"",""""),IF(AND(C2945&lt;&gt;"""",D2945&lt;&gt;"""",C2945=D2945),""gloss=figurative"",""""),IF(LEN(D2945)&lt;15,""figurative ছোট"",""""),IF(AND(I2945=""Positive"",REGEXMATCH(H2"&amp;"945,""মূর্খ|ভণ্ড|প্রতার|অলস|লোভ|স্বার্থ|অক্ষম|অযোগ্য|বোকা|কৃপণ|হিংস"")),""valence-target অমিল"",""""),IF(COUNTIF($B:$B,B2945)&gt;1,""ডুপ্লিকেট"",""""))"),"")</f>
        <v/>
      </c>
      <c r="Q2945" s="5" t="str">
        <f t="shared" si="1"/>
        <v>২ পরে</v>
      </c>
    </row>
    <row r="2946">
      <c r="A2946" s="4">
        <v>744.0</v>
      </c>
      <c r="B2946" s="2" t="s">
        <v>11649</v>
      </c>
      <c r="C2946" s="2" t="s">
        <v>11650</v>
      </c>
      <c r="D2946" s="2" t="s">
        <v>11651</v>
      </c>
      <c r="E2946" s="2" t="s">
        <v>11652</v>
      </c>
      <c r="F2946" s="2" t="b">
        <v>1</v>
      </c>
      <c r="G2946" s="2" t="b">
        <v>0</v>
      </c>
      <c r="H2946" s="2" t="s">
        <v>189</v>
      </c>
      <c r="I2946" s="2" t="s">
        <v>22</v>
      </c>
      <c r="J2946" s="2" t="s">
        <v>59</v>
      </c>
      <c r="K2946" s="2" t="s">
        <v>376</v>
      </c>
      <c r="L2946" s="2" t="s">
        <v>391</v>
      </c>
      <c r="M2946" s="2" t="s">
        <v>26</v>
      </c>
      <c r="P2946" s="5" t="str">
        <f>IFERROR(__xludf.DUMMYFUNCTION("TEXTJOIN("" | "",TRUE,IF(OR(D2946="""",E2946="""",I2946="""",J2946="""",H2946=""""),""ফাঁকা ঘর"",""""),IF(AND(C2946&lt;&gt;"""",D2946&lt;&gt;"""",C2946=D2946),""gloss=figurative"",""""),IF(LEN(D2946)&lt;15,""figurative ছোট"",""""),IF(AND(I2946=""Positive"",REGEXMATCH(H2"&amp;"946,""মূর্খ|ভণ্ড|প্রতার|অলস|লোভ|স্বার্থ|অক্ষম|অযোগ্য|বোকা|কৃপণ|হিংস"")),""valence-target অমিল"",""""),IF(COUNTIF($B:$B,B2946)&gt;1,""ডুপ্লিকেট"",""""))"),"")</f>
        <v/>
      </c>
      <c r="Q2946" s="5" t="str">
        <f t="shared" si="1"/>
        <v>২ পরে</v>
      </c>
    </row>
    <row r="2947">
      <c r="A2947" s="4">
        <v>745.0</v>
      </c>
      <c r="B2947" s="2" t="s">
        <v>11653</v>
      </c>
      <c r="C2947" s="2" t="s">
        <v>11654</v>
      </c>
      <c r="D2947" s="2" t="s">
        <v>11655</v>
      </c>
      <c r="E2947" s="2" t="s">
        <v>11656</v>
      </c>
      <c r="F2947" s="2" t="b">
        <v>1</v>
      </c>
      <c r="G2947" s="2" t="b">
        <v>0</v>
      </c>
      <c r="H2947" s="2" t="s">
        <v>189</v>
      </c>
      <c r="I2947" s="2" t="s">
        <v>22</v>
      </c>
      <c r="J2947" s="2" t="s">
        <v>59</v>
      </c>
      <c r="K2947" s="2" t="s">
        <v>376</v>
      </c>
      <c r="L2947" s="2" t="s">
        <v>391</v>
      </c>
      <c r="M2947" s="2" t="s">
        <v>26</v>
      </c>
      <c r="P2947" s="5" t="str">
        <f>IFERROR(__xludf.DUMMYFUNCTION("TEXTJOIN("" | "",TRUE,IF(OR(D2947="""",E2947="""",I2947="""",J2947="""",H2947=""""),""ফাঁকা ঘর"",""""),IF(AND(C2947&lt;&gt;"""",D2947&lt;&gt;"""",C2947=D2947),""gloss=figurative"",""""),IF(LEN(D2947)&lt;15,""figurative ছোট"",""""),IF(AND(I2947=""Positive"",REGEXMATCH(H2"&amp;"947,""মূর্খ|ভণ্ড|প্রতার|অলস|লোভ|স্বার্থ|অক্ষম|অযোগ্য|বোকা|কৃপণ|হিংস"")),""valence-target অমিল"",""""),IF(COUNTIF($B:$B,B2947)&gt;1,""ডুপ্লিকেট"",""""))"),"")</f>
        <v/>
      </c>
      <c r="Q2947" s="5" t="str">
        <f t="shared" si="1"/>
        <v>২ পরে</v>
      </c>
    </row>
    <row r="2948">
      <c r="A2948" s="4">
        <v>746.0</v>
      </c>
      <c r="B2948" s="2" t="s">
        <v>11657</v>
      </c>
      <c r="C2948" s="2" t="s">
        <v>11658</v>
      </c>
      <c r="D2948" s="2" t="s">
        <v>11659</v>
      </c>
      <c r="E2948" s="2" t="s">
        <v>11660</v>
      </c>
      <c r="F2948" s="2" t="b">
        <v>1</v>
      </c>
      <c r="G2948" s="2" t="b">
        <v>0</v>
      </c>
      <c r="H2948" s="2" t="s">
        <v>189</v>
      </c>
      <c r="I2948" s="2" t="s">
        <v>22</v>
      </c>
      <c r="J2948" s="2" t="s">
        <v>59</v>
      </c>
      <c r="K2948" s="2" t="s">
        <v>376</v>
      </c>
      <c r="L2948" s="2" t="s">
        <v>391</v>
      </c>
      <c r="M2948" s="2" t="s">
        <v>26</v>
      </c>
      <c r="P2948" s="5" t="str">
        <f>IFERROR(__xludf.DUMMYFUNCTION("TEXTJOIN("" | "",TRUE,IF(OR(D2948="""",E2948="""",I2948="""",J2948="""",H2948=""""),""ফাঁকা ঘর"",""""),IF(AND(C2948&lt;&gt;"""",D2948&lt;&gt;"""",C2948=D2948),""gloss=figurative"",""""),IF(LEN(D2948)&lt;15,""figurative ছোট"",""""),IF(AND(I2948=""Positive"",REGEXMATCH(H2"&amp;"948,""মূর্খ|ভণ্ড|প্রতার|অলস|লোভ|স্বার্থ|অক্ষম|অযোগ্য|বোকা|কৃপণ|হিংস"")),""valence-target অমিল"",""""),IF(COUNTIF($B:$B,B2948)&gt;1,""ডুপ্লিকেট"",""""))"),"")</f>
        <v/>
      </c>
      <c r="Q2948" s="5" t="str">
        <f t="shared" si="1"/>
        <v>২ পরে</v>
      </c>
    </row>
    <row r="2949">
      <c r="A2949" s="4">
        <v>747.0</v>
      </c>
      <c r="B2949" s="2" t="s">
        <v>11661</v>
      </c>
      <c r="C2949" s="2" t="s">
        <v>11662</v>
      </c>
      <c r="D2949" s="2" t="s">
        <v>11663</v>
      </c>
      <c r="E2949" s="2" t="s">
        <v>11664</v>
      </c>
      <c r="F2949" s="2" t="b">
        <v>1</v>
      </c>
      <c r="G2949" s="2" t="b">
        <v>1</v>
      </c>
      <c r="H2949" s="2" t="s">
        <v>11665</v>
      </c>
      <c r="I2949" s="2" t="s">
        <v>22</v>
      </c>
      <c r="J2949" s="2" t="s">
        <v>527</v>
      </c>
      <c r="K2949" s="2" t="s">
        <v>376</v>
      </c>
      <c r="L2949" s="2" t="s">
        <v>391</v>
      </c>
      <c r="M2949" s="2" t="s">
        <v>26</v>
      </c>
      <c r="P2949" s="5" t="str">
        <f>IFERROR(__xludf.DUMMYFUNCTION("TEXTJOIN("" | "",TRUE,IF(OR(D2949="""",E2949="""",I2949="""",J2949="""",H2949=""""),""ফাঁকা ঘর"",""""),IF(AND(C2949&lt;&gt;"""",D2949&lt;&gt;"""",C2949=D2949),""gloss=figurative"",""""),IF(LEN(D2949)&lt;15,""figurative ছোট"",""""),IF(AND(I2949=""Positive"",REGEXMATCH(H2"&amp;"949,""মূর্খ|ভণ্ড|প্রতার|অলস|লোভ|স্বার্থ|অক্ষম|অযোগ্য|বোকা|কৃপণ|হিংস"")),""valence-target অমিল"",""""),IF(COUNTIF($B:$B,B2949)&gt;1,""ডুপ্লিকেট"",""""))"),"")</f>
        <v/>
      </c>
      <c r="Q2949" s="5" t="str">
        <f t="shared" si="1"/>
        <v>২ পরে</v>
      </c>
    </row>
    <row r="2950">
      <c r="A2950" s="4">
        <v>748.0</v>
      </c>
      <c r="B2950" s="2" t="s">
        <v>11666</v>
      </c>
      <c r="C2950" s="2" t="s">
        <v>11667</v>
      </c>
      <c r="D2950" s="2" t="s">
        <v>11668</v>
      </c>
      <c r="E2950" s="2" t="s">
        <v>11669</v>
      </c>
      <c r="F2950" s="2" t="b">
        <v>1</v>
      </c>
      <c r="G2950" s="2" t="b">
        <v>0</v>
      </c>
      <c r="H2950" s="2" t="s">
        <v>189</v>
      </c>
      <c r="I2950" s="2" t="s">
        <v>22</v>
      </c>
      <c r="J2950" s="2" t="s">
        <v>11670</v>
      </c>
      <c r="K2950" s="2" t="s">
        <v>376</v>
      </c>
      <c r="L2950" s="2" t="s">
        <v>391</v>
      </c>
      <c r="M2950" s="2" t="s">
        <v>26</v>
      </c>
      <c r="P2950" s="5" t="str">
        <f>IFERROR(__xludf.DUMMYFUNCTION("TEXTJOIN("" | "",TRUE,IF(OR(D2950="""",E2950="""",I2950="""",J2950="""",H2950=""""),""ফাঁকা ঘর"",""""),IF(AND(C2950&lt;&gt;"""",D2950&lt;&gt;"""",C2950=D2950),""gloss=figurative"",""""),IF(LEN(D2950)&lt;15,""figurative ছোট"",""""),IF(AND(I2950=""Positive"",REGEXMATCH(H2"&amp;"950,""মূর্খ|ভণ্ড|প্রতার|অলস|লোভ|স্বার্থ|অক্ষম|অযোগ্য|বোকা|কৃপণ|হিংস"")),""valence-target অমিল"",""""),IF(COUNTIF($B:$B,B2950)&gt;1,""ডুপ্লিকেট"",""""))"),"")</f>
        <v/>
      </c>
      <c r="Q2950" s="5" t="str">
        <f t="shared" si="1"/>
        <v>২ পরে</v>
      </c>
    </row>
    <row r="2951">
      <c r="A2951" s="4">
        <v>749.0</v>
      </c>
      <c r="B2951" s="2" t="s">
        <v>11671</v>
      </c>
      <c r="C2951" s="2" t="s">
        <v>11672</v>
      </c>
      <c r="D2951" s="2" t="s">
        <v>11673</v>
      </c>
      <c r="E2951" s="2" t="s">
        <v>11674</v>
      </c>
      <c r="F2951" s="2" t="b">
        <v>1</v>
      </c>
      <c r="G2951" s="2" t="b">
        <v>0</v>
      </c>
      <c r="H2951" s="2" t="s">
        <v>8764</v>
      </c>
      <c r="I2951" s="2" t="s">
        <v>32</v>
      </c>
      <c r="J2951" s="2" t="s">
        <v>11675</v>
      </c>
      <c r="K2951" s="2" t="s">
        <v>376</v>
      </c>
      <c r="L2951" s="2" t="s">
        <v>391</v>
      </c>
      <c r="M2951" s="2" t="s">
        <v>26</v>
      </c>
      <c r="P2951" s="5" t="str">
        <f>IFERROR(__xludf.DUMMYFUNCTION("TEXTJOIN("" | "",TRUE,IF(OR(D2951="""",E2951="""",I2951="""",J2951="""",H2951=""""),""ফাঁকা ঘর"",""""),IF(AND(C2951&lt;&gt;"""",D2951&lt;&gt;"""",C2951=D2951),""gloss=figurative"",""""),IF(LEN(D2951)&lt;15,""figurative ছোট"",""""),IF(AND(I2951=""Positive"",REGEXMATCH(H2"&amp;"951,""মূর্খ|ভণ্ড|প্রতার|অলস|লোভ|স্বার্থ|অক্ষম|অযোগ্য|বোকা|কৃপণ|হিংস"")),""valence-target অমিল"",""""),IF(COUNTIF($B:$B,B2951)&gt;1,""ডুপ্লিকেট"",""""))"),"")</f>
        <v/>
      </c>
      <c r="Q2951" s="5" t="str">
        <f t="shared" si="1"/>
        <v>২ পরে</v>
      </c>
    </row>
    <row r="2952">
      <c r="A2952" s="4">
        <v>750.0</v>
      </c>
      <c r="B2952" s="2" t="s">
        <v>11676</v>
      </c>
      <c r="C2952" s="2" t="s">
        <v>11677</v>
      </c>
      <c r="D2952" s="2" t="s">
        <v>11678</v>
      </c>
      <c r="E2952" s="2" t="s">
        <v>11679</v>
      </c>
      <c r="F2952" s="2" t="b">
        <v>1</v>
      </c>
      <c r="G2952" s="2" t="b">
        <v>0</v>
      </c>
      <c r="H2952" s="2" t="s">
        <v>11680</v>
      </c>
      <c r="I2952" s="2" t="s">
        <v>32</v>
      </c>
      <c r="J2952" s="2" t="s">
        <v>1438</v>
      </c>
      <c r="K2952" s="2" t="s">
        <v>376</v>
      </c>
      <c r="L2952" s="2" t="s">
        <v>391</v>
      </c>
      <c r="M2952" s="2" t="s">
        <v>26</v>
      </c>
      <c r="P2952" s="5" t="str">
        <f>IFERROR(__xludf.DUMMYFUNCTION("TEXTJOIN("" | "",TRUE,IF(OR(D2952="""",E2952="""",I2952="""",J2952="""",H2952=""""),""ফাঁকা ঘর"",""""),IF(AND(C2952&lt;&gt;"""",D2952&lt;&gt;"""",C2952=D2952),""gloss=figurative"",""""),IF(LEN(D2952)&lt;15,""figurative ছোট"",""""),IF(AND(I2952=""Positive"",REGEXMATCH(H2"&amp;"952,""মূর্খ|ভণ্ড|প্রতার|অলস|লোভ|স্বার্থ|অক্ষম|অযোগ্য|বোকা|কৃপণ|হিংস"")),""valence-target অমিল"",""""),IF(COUNTIF($B:$B,B2952)&gt;1,""ডুপ্লিকেট"",""""))"),"")</f>
        <v/>
      </c>
      <c r="Q2952" s="5" t="str">
        <f t="shared" si="1"/>
        <v>২ পরে</v>
      </c>
    </row>
    <row r="2953">
      <c r="A2953" s="4">
        <v>751.0</v>
      </c>
      <c r="B2953" s="2" t="s">
        <v>11681</v>
      </c>
      <c r="C2953" s="2" t="s">
        <v>11682</v>
      </c>
      <c r="D2953" s="2" t="s">
        <v>11683</v>
      </c>
      <c r="E2953" s="2" t="s">
        <v>11684</v>
      </c>
      <c r="F2953" s="2" t="b">
        <v>1</v>
      </c>
      <c r="G2953" s="2" t="b">
        <v>0</v>
      </c>
      <c r="H2953" s="2" t="s">
        <v>181</v>
      </c>
      <c r="I2953" s="2" t="s">
        <v>22</v>
      </c>
      <c r="J2953" s="2" t="s">
        <v>59</v>
      </c>
      <c r="K2953" s="2" t="s">
        <v>376</v>
      </c>
      <c r="L2953" s="2" t="s">
        <v>391</v>
      </c>
      <c r="M2953" s="2" t="s">
        <v>26</v>
      </c>
      <c r="P2953" s="5" t="str">
        <f>IFERROR(__xludf.DUMMYFUNCTION("TEXTJOIN("" | "",TRUE,IF(OR(D2953="""",E2953="""",I2953="""",J2953="""",H2953=""""),""ফাঁকা ঘর"",""""),IF(AND(C2953&lt;&gt;"""",D2953&lt;&gt;"""",C2953=D2953),""gloss=figurative"",""""),IF(LEN(D2953)&lt;15,""figurative ছোট"",""""),IF(AND(I2953=""Positive"",REGEXMATCH(H2"&amp;"953,""মূর্খ|ভণ্ড|প্রতার|অলস|লোভ|স্বার্থ|অক্ষম|অযোগ্য|বোকা|কৃপণ|হিংস"")),""valence-target অমিল"",""""),IF(COUNTIF($B:$B,B2953)&gt;1,""ডুপ্লিকেট"",""""))"),"")</f>
        <v/>
      </c>
      <c r="Q2953" s="5" t="str">
        <f t="shared" si="1"/>
        <v>২ পরে</v>
      </c>
    </row>
    <row r="2954">
      <c r="A2954" s="4">
        <v>752.0</v>
      </c>
      <c r="B2954" s="2" t="s">
        <v>11685</v>
      </c>
      <c r="C2954" s="2" t="s">
        <v>11686</v>
      </c>
      <c r="D2954" s="2" t="s">
        <v>11687</v>
      </c>
      <c r="E2954" s="2" t="s">
        <v>11688</v>
      </c>
      <c r="F2954" s="2" t="b">
        <v>1</v>
      </c>
      <c r="G2954" s="2" t="b">
        <v>0</v>
      </c>
      <c r="H2954" s="2" t="s">
        <v>37</v>
      </c>
      <c r="I2954" s="2" t="s">
        <v>32</v>
      </c>
      <c r="J2954" s="2" t="s">
        <v>162</v>
      </c>
      <c r="K2954" s="2" t="s">
        <v>376</v>
      </c>
      <c r="L2954" s="2" t="s">
        <v>391</v>
      </c>
      <c r="M2954" s="2" t="s">
        <v>26</v>
      </c>
      <c r="P2954" s="5" t="str">
        <f>IFERROR(__xludf.DUMMYFUNCTION("TEXTJOIN("" | "",TRUE,IF(OR(D2954="""",E2954="""",I2954="""",J2954="""",H2954=""""),""ফাঁকা ঘর"",""""),IF(AND(C2954&lt;&gt;"""",D2954&lt;&gt;"""",C2954=D2954),""gloss=figurative"",""""),IF(LEN(D2954)&lt;15,""figurative ছোট"",""""),IF(AND(I2954=""Positive"",REGEXMATCH(H2"&amp;"954,""মূর্খ|ভণ্ড|প্রতার|অলস|লোভ|স্বার্থ|অক্ষম|অযোগ্য|বোকা|কৃপণ|হিংস"")),""valence-target অমিল"",""""),IF(COUNTIF($B:$B,B2954)&gt;1,""ডুপ্লিকেট"",""""))"),"")</f>
        <v/>
      </c>
      <c r="Q2954" s="5" t="str">
        <f t="shared" si="1"/>
        <v>২ পরে</v>
      </c>
    </row>
    <row r="2955">
      <c r="A2955" s="4">
        <v>753.0</v>
      </c>
      <c r="B2955" s="2" t="s">
        <v>11689</v>
      </c>
      <c r="C2955" s="2" t="s">
        <v>11690</v>
      </c>
      <c r="D2955" s="2" t="s">
        <v>11691</v>
      </c>
      <c r="E2955" s="2" t="s">
        <v>11692</v>
      </c>
      <c r="F2955" s="2" t="b">
        <v>1</v>
      </c>
      <c r="G2955" s="2" t="b">
        <v>0</v>
      </c>
      <c r="H2955" s="2" t="s">
        <v>37</v>
      </c>
      <c r="I2955" s="2" t="s">
        <v>32</v>
      </c>
      <c r="J2955" s="2" t="s">
        <v>739</v>
      </c>
      <c r="K2955" s="2" t="s">
        <v>376</v>
      </c>
      <c r="L2955" s="2" t="s">
        <v>391</v>
      </c>
      <c r="M2955" s="2" t="s">
        <v>26</v>
      </c>
      <c r="P2955" s="5" t="str">
        <f>IFERROR(__xludf.DUMMYFUNCTION("TEXTJOIN("" | "",TRUE,IF(OR(D2955="""",E2955="""",I2955="""",J2955="""",H2955=""""),""ফাঁকা ঘর"",""""),IF(AND(C2955&lt;&gt;"""",D2955&lt;&gt;"""",C2955=D2955),""gloss=figurative"",""""),IF(LEN(D2955)&lt;15,""figurative ছোট"",""""),IF(AND(I2955=""Positive"",REGEXMATCH(H2"&amp;"955,""মূর্খ|ভণ্ড|প্রতার|অলস|লোভ|স্বার্থ|অক্ষম|অযোগ্য|বোকা|কৃপণ|হিংস"")),""valence-target অমিল"",""""),IF(COUNTIF($B:$B,B2955)&gt;1,""ডুপ্লিকেট"",""""))"),"")</f>
        <v/>
      </c>
      <c r="Q2955" s="5" t="str">
        <f t="shared" si="1"/>
        <v>২ পরে</v>
      </c>
    </row>
    <row r="2956">
      <c r="A2956" s="4">
        <v>754.0</v>
      </c>
      <c r="B2956" s="2" t="s">
        <v>11693</v>
      </c>
      <c r="C2956" s="2" t="s">
        <v>11694</v>
      </c>
      <c r="D2956" s="2" t="s">
        <v>11695</v>
      </c>
      <c r="E2956" s="2" t="s">
        <v>11696</v>
      </c>
      <c r="F2956" s="2" t="b">
        <v>1</v>
      </c>
      <c r="G2956" s="2" t="b">
        <v>0</v>
      </c>
      <c r="H2956" s="2" t="s">
        <v>21</v>
      </c>
      <c r="I2956" s="2" t="s">
        <v>22</v>
      </c>
      <c r="J2956" s="2" t="s">
        <v>527</v>
      </c>
      <c r="K2956" s="2" t="s">
        <v>376</v>
      </c>
      <c r="L2956" s="2" t="s">
        <v>391</v>
      </c>
      <c r="M2956" s="2" t="s">
        <v>26</v>
      </c>
      <c r="P2956" s="5" t="str">
        <f>IFERROR(__xludf.DUMMYFUNCTION("TEXTJOIN("" | "",TRUE,IF(OR(D2956="""",E2956="""",I2956="""",J2956="""",H2956=""""),""ফাঁকা ঘর"",""""),IF(AND(C2956&lt;&gt;"""",D2956&lt;&gt;"""",C2956=D2956),""gloss=figurative"",""""),IF(LEN(D2956)&lt;15,""figurative ছোট"",""""),IF(AND(I2956=""Positive"",REGEXMATCH(H2"&amp;"956,""মূর্খ|ভণ্ড|প্রতার|অলস|লোভ|স্বার্থ|অক্ষম|অযোগ্য|বোকা|কৃপণ|হিংস"")),""valence-target অমিল"",""""),IF(COUNTIF($B:$B,B2956)&gt;1,""ডুপ্লিকেট"",""""))"),"")</f>
        <v/>
      </c>
      <c r="Q2956" s="5" t="str">
        <f t="shared" si="1"/>
        <v>২ পরে</v>
      </c>
    </row>
    <row r="2957">
      <c r="A2957" s="4">
        <v>755.0</v>
      </c>
      <c r="B2957" s="2" t="s">
        <v>11697</v>
      </c>
      <c r="C2957" s="2" t="s">
        <v>11698</v>
      </c>
      <c r="D2957" s="2" t="s">
        <v>11699</v>
      </c>
      <c r="E2957" s="2" t="s">
        <v>11700</v>
      </c>
      <c r="F2957" s="2" t="b">
        <v>1</v>
      </c>
      <c r="G2957" s="2" t="b">
        <v>0</v>
      </c>
      <c r="H2957" s="2" t="s">
        <v>308</v>
      </c>
      <c r="I2957" s="2" t="s">
        <v>22</v>
      </c>
      <c r="J2957" s="2" t="s">
        <v>59</v>
      </c>
      <c r="K2957" s="2" t="s">
        <v>376</v>
      </c>
      <c r="L2957" s="2" t="s">
        <v>391</v>
      </c>
      <c r="M2957" s="2" t="s">
        <v>26</v>
      </c>
      <c r="P2957" s="5" t="str">
        <f>IFERROR(__xludf.DUMMYFUNCTION("TEXTJOIN("" | "",TRUE,IF(OR(D2957="""",E2957="""",I2957="""",J2957="""",H2957=""""),""ফাঁকা ঘর"",""""),IF(AND(C2957&lt;&gt;"""",D2957&lt;&gt;"""",C2957=D2957),""gloss=figurative"",""""),IF(LEN(D2957)&lt;15,""figurative ছোট"",""""),IF(AND(I2957=""Positive"",REGEXMATCH(H2"&amp;"957,""মূর্খ|ভণ্ড|প্রতার|অলস|লোভ|স্বার্থ|অক্ষম|অযোগ্য|বোকা|কৃপণ|হিংস"")),""valence-target অমিল"",""""),IF(COUNTIF($B:$B,B2957)&gt;1,""ডুপ্লিকেট"",""""))"),"")</f>
        <v/>
      </c>
      <c r="Q2957" s="5" t="str">
        <f t="shared" si="1"/>
        <v>২ পরে</v>
      </c>
    </row>
    <row r="2958">
      <c r="A2958" s="4">
        <v>756.0</v>
      </c>
      <c r="B2958" s="2" t="s">
        <v>11701</v>
      </c>
      <c r="C2958" s="2" t="s">
        <v>11702</v>
      </c>
      <c r="D2958" s="2" t="s">
        <v>11703</v>
      </c>
      <c r="E2958" s="2" t="s">
        <v>11704</v>
      </c>
      <c r="F2958" s="2" t="b">
        <v>1</v>
      </c>
      <c r="G2958" s="2" t="b">
        <v>0</v>
      </c>
      <c r="H2958" s="2" t="s">
        <v>5767</v>
      </c>
      <c r="I2958" s="2" t="s">
        <v>49</v>
      </c>
      <c r="J2958" s="2" t="s">
        <v>9301</v>
      </c>
      <c r="K2958" s="2" t="s">
        <v>376</v>
      </c>
      <c r="L2958" s="2" t="s">
        <v>391</v>
      </c>
      <c r="M2958" s="2" t="s">
        <v>26</v>
      </c>
      <c r="P2958" s="5" t="str">
        <f>IFERROR(__xludf.DUMMYFUNCTION("TEXTJOIN("" | "",TRUE,IF(OR(D2958="""",E2958="""",I2958="""",J2958="""",H2958=""""),""ফাঁকা ঘর"",""""),IF(AND(C2958&lt;&gt;"""",D2958&lt;&gt;"""",C2958=D2958),""gloss=figurative"",""""),IF(LEN(D2958)&lt;15,""figurative ছোট"",""""),IF(AND(I2958=""Positive"",REGEXMATCH(H2"&amp;"958,""মূর্খ|ভণ্ড|প্রতার|অলস|লোভ|স্বার্থ|অক্ষম|অযোগ্য|বোকা|কৃপণ|হিংস"")),""valence-target অমিল"",""""),IF(COUNTIF($B:$B,B2958)&gt;1,""ডুপ্লিকেট"",""""))"),"")</f>
        <v/>
      </c>
      <c r="Q2958" s="5" t="str">
        <f t="shared" si="1"/>
        <v>২ পরে</v>
      </c>
    </row>
    <row r="2959">
      <c r="A2959" s="4">
        <v>757.0</v>
      </c>
      <c r="B2959" s="2" t="s">
        <v>11705</v>
      </c>
      <c r="C2959" s="2" t="s">
        <v>11706</v>
      </c>
      <c r="D2959" s="2" t="s">
        <v>11707</v>
      </c>
      <c r="E2959" s="2" t="s">
        <v>11708</v>
      </c>
      <c r="F2959" s="2" t="b">
        <v>1</v>
      </c>
      <c r="G2959" s="2" t="b">
        <v>0</v>
      </c>
      <c r="H2959" s="2" t="s">
        <v>11709</v>
      </c>
      <c r="I2959" s="2" t="s">
        <v>32</v>
      </c>
      <c r="J2959" s="2" t="s">
        <v>123</v>
      </c>
      <c r="K2959" s="2" t="s">
        <v>376</v>
      </c>
      <c r="L2959" s="2" t="s">
        <v>391</v>
      </c>
      <c r="M2959" s="2" t="s">
        <v>26</v>
      </c>
      <c r="P2959" s="5" t="str">
        <f>IFERROR(__xludf.DUMMYFUNCTION("TEXTJOIN("" | "",TRUE,IF(OR(D2959="""",E2959="""",I2959="""",J2959="""",H2959=""""),""ফাঁকা ঘর"",""""),IF(AND(C2959&lt;&gt;"""",D2959&lt;&gt;"""",C2959=D2959),""gloss=figurative"",""""),IF(LEN(D2959)&lt;15,""figurative ছোট"",""""),IF(AND(I2959=""Positive"",REGEXMATCH(H2"&amp;"959,""মূর্খ|ভণ্ড|প্রতার|অলস|লোভ|স্বার্থ|অক্ষম|অযোগ্য|বোকা|কৃপণ|হিংস"")),""valence-target অমিল"",""""),IF(COUNTIF($B:$B,B2959)&gt;1,""ডুপ্লিকেট"",""""))"),"")</f>
        <v/>
      </c>
      <c r="Q2959" s="5" t="str">
        <f t="shared" si="1"/>
        <v>২ পরে</v>
      </c>
    </row>
    <row r="2960">
      <c r="A2960" s="4">
        <v>758.0</v>
      </c>
      <c r="B2960" s="2" t="s">
        <v>11710</v>
      </c>
      <c r="C2960" s="2" t="s">
        <v>11711</v>
      </c>
      <c r="D2960" s="2" t="s">
        <v>127</v>
      </c>
      <c r="E2960" s="2" t="s">
        <v>11712</v>
      </c>
      <c r="F2960" s="2" t="b">
        <v>1</v>
      </c>
      <c r="G2960" s="2" t="b">
        <v>0</v>
      </c>
      <c r="H2960" s="2" t="s">
        <v>110</v>
      </c>
      <c r="I2960" s="2" t="s">
        <v>22</v>
      </c>
      <c r="J2960" s="2" t="s">
        <v>59</v>
      </c>
      <c r="K2960" s="2" t="s">
        <v>376</v>
      </c>
      <c r="L2960" s="2" t="s">
        <v>391</v>
      </c>
      <c r="M2960" s="2" t="s">
        <v>26</v>
      </c>
      <c r="P2960" s="5" t="str">
        <f>IFERROR(__xludf.DUMMYFUNCTION("TEXTJOIN("" | "",TRUE,IF(OR(D2960="""",E2960="""",I2960="""",J2960="""",H2960=""""),""ফাঁকা ঘর"",""""),IF(AND(C2960&lt;&gt;"""",D2960&lt;&gt;"""",C2960=D2960),""gloss=figurative"",""""),IF(LEN(D2960)&lt;15,""figurative ছোট"",""""),IF(AND(I2960=""Positive"",REGEXMATCH(H2"&amp;"960,""মূর্খ|ভণ্ড|প্রতার|অলস|লোভ|স্বার্থ|অক্ষম|অযোগ্য|বোকা|কৃপণ|হিংস"")),""valence-target অমিল"",""""),IF(COUNTIF($B:$B,B2960)&gt;1,""ডুপ্লিকেট"",""""))"),"")</f>
        <v/>
      </c>
      <c r="Q2960" s="5" t="str">
        <f t="shared" si="1"/>
        <v>২ পরে</v>
      </c>
    </row>
    <row r="2961">
      <c r="A2961" s="4">
        <v>759.0</v>
      </c>
      <c r="B2961" s="2" t="s">
        <v>11713</v>
      </c>
      <c r="C2961" s="2" t="s">
        <v>11714</v>
      </c>
      <c r="D2961" s="2" t="s">
        <v>11715</v>
      </c>
      <c r="E2961" s="2" t="s">
        <v>11716</v>
      </c>
      <c r="F2961" s="2" t="b">
        <v>1</v>
      </c>
      <c r="G2961" s="2" t="b">
        <v>0</v>
      </c>
      <c r="H2961" s="2" t="s">
        <v>37</v>
      </c>
      <c r="I2961" s="2" t="s">
        <v>32</v>
      </c>
      <c r="J2961" s="2" t="s">
        <v>162</v>
      </c>
      <c r="K2961" s="2" t="s">
        <v>376</v>
      </c>
      <c r="L2961" s="2" t="s">
        <v>391</v>
      </c>
      <c r="M2961" s="2" t="s">
        <v>26</v>
      </c>
      <c r="P2961" s="5" t="str">
        <f>IFERROR(__xludf.DUMMYFUNCTION("TEXTJOIN("" | "",TRUE,IF(OR(D2961="""",E2961="""",I2961="""",J2961="""",H2961=""""),""ফাঁকা ঘর"",""""),IF(AND(C2961&lt;&gt;"""",D2961&lt;&gt;"""",C2961=D2961),""gloss=figurative"",""""),IF(LEN(D2961)&lt;15,""figurative ছোট"",""""),IF(AND(I2961=""Positive"",REGEXMATCH(H2"&amp;"961,""মূর্খ|ভণ্ড|প্রতার|অলস|লোভ|স্বার্থ|অক্ষম|অযোগ্য|বোকা|কৃপণ|হিংস"")),""valence-target অমিল"",""""),IF(COUNTIF($B:$B,B2961)&gt;1,""ডুপ্লিকেট"",""""))"),"")</f>
        <v/>
      </c>
      <c r="Q2961" s="5" t="str">
        <f t="shared" si="1"/>
        <v>২ পরে</v>
      </c>
    </row>
    <row r="2962">
      <c r="A2962" s="4">
        <v>760.0</v>
      </c>
      <c r="B2962" s="2" t="s">
        <v>11717</v>
      </c>
      <c r="C2962" s="2" t="s">
        <v>11718</v>
      </c>
      <c r="D2962" s="2" t="s">
        <v>11719</v>
      </c>
      <c r="E2962" s="2" t="s">
        <v>11720</v>
      </c>
      <c r="F2962" s="2" t="b">
        <v>1</v>
      </c>
      <c r="G2962" s="2" t="b">
        <v>0</v>
      </c>
      <c r="H2962" s="2" t="s">
        <v>21</v>
      </c>
      <c r="I2962" s="2" t="s">
        <v>22</v>
      </c>
      <c r="J2962" s="2" t="s">
        <v>59</v>
      </c>
      <c r="K2962" s="2" t="s">
        <v>376</v>
      </c>
      <c r="L2962" s="2" t="s">
        <v>391</v>
      </c>
      <c r="M2962" s="2" t="s">
        <v>26</v>
      </c>
      <c r="P2962" s="5" t="str">
        <f>IFERROR(__xludf.DUMMYFUNCTION("TEXTJOIN("" | "",TRUE,IF(OR(D2962="""",E2962="""",I2962="""",J2962="""",H2962=""""),""ফাঁকা ঘর"",""""),IF(AND(C2962&lt;&gt;"""",D2962&lt;&gt;"""",C2962=D2962),""gloss=figurative"",""""),IF(LEN(D2962)&lt;15,""figurative ছোট"",""""),IF(AND(I2962=""Positive"",REGEXMATCH(H2"&amp;"962,""মূর্খ|ভণ্ড|প্রতার|অলস|লোভ|স্বার্থ|অক্ষম|অযোগ্য|বোকা|কৃপণ|হিংস"")),""valence-target অমিল"",""""),IF(COUNTIF($B:$B,B2962)&gt;1,""ডুপ্লিকেট"",""""))"),"")</f>
        <v/>
      </c>
      <c r="Q2962" s="5" t="str">
        <f t="shared" si="1"/>
        <v>২ পরে</v>
      </c>
    </row>
    <row r="2963">
      <c r="A2963" s="4">
        <v>761.0</v>
      </c>
      <c r="B2963" s="2" t="s">
        <v>11721</v>
      </c>
      <c r="C2963" s="2" t="s">
        <v>11722</v>
      </c>
      <c r="D2963" s="2" t="s">
        <v>11723</v>
      </c>
      <c r="E2963" s="2" t="s">
        <v>11724</v>
      </c>
      <c r="F2963" s="2" t="b">
        <v>1</v>
      </c>
      <c r="G2963" s="2" t="b">
        <v>0</v>
      </c>
      <c r="H2963" s="2" t="s">
        <v>181</v>
      </c>
      <c r="I2963" s="2" t="s">
        <v>22</v>
      </c>
      <c r="J2963" s="2" t="s">
        <v>10197</v>
      </c>
      <c r="K2963" s="2" t="s">
        <v>376</v>
      </c>
      <c r="L2963" s="2" t="s">
        <v>391</v>
      </c>
      <c r="M2963" s="2" t="s">
        <v>26</v>
      </c>
      <c r="P2963" s="5" t="str">
        <f>IFERROR(__xludf.DUMMYFUNCTION("TEXTJOIN("" | "",TRUE,IF(OR(D2963="""",E2963="""",I2963="""",J2963="""",H2963=""""),""ফাঁকা ঘর"",""""),IF(AND(C2963&lt;&gt;"""",D2963&lt;&gt;"""",C2963=D2963),""gloss=figurative"",""""),IF(LEN(D2963)&lt;15,""figurative ছোট"",""""),IF(AND(I2963=""Positive"",REGEXMATCH(H2"&amp;"963,""মূর্খ|ভণ্ড|প্রতার|অলস|লোভ|স্বার্থ|অক্ষম|অযোগ্য|বোকা|কৃপণ|হিংস"")),""valence-target অমিল"",""""),IF(COUNTIF($B:$B,B2963)&gt;1,""ডুপ্লিকেট"",""""))"),"")</f>
        <v/>
      </c>
      <c r="Q2963" s="5" t="str">
        <f t="shared" si="1"/>
        <v>২ পরে</v>
      </c>
    </row>
    <row r="2964">
      <c r="A2964" s="4">
        <v>762.0</v>
      </c>
      <c r="B2964" s="2" t="s">
        <v>11725</v>
      </c>
      <c r="C2964" s="2" t="s">
        <v>11726</v>
      </c>
      <c r="D2964" s="2" t="s">
        <v>11727</v>
      </c>
      <c r="E2964" s="2" t="s">
        <v>11728</v>
      </c>
      <c r="F2964" s="2" t="b">
        <v>1</v>
      </c>
      <c r="G2964" s="2" t="b">
        <v>0</v>
      </c>
      <c r="H2964" s="2" t="s">
        <v>10389</v>
      </c>
      <c r="I2964" s="2" t="s">
        <v>32</v>
      </c>
      <c r="J2964" s="2" t="s">
        <v>565</v>
      </c>
      <c r="K2964" s="2" t="s">
        <v>376</v>
      </c>
      <c r="L2964" s="2" t="s">
        <v>391</v>
      </c>
      <c r="M2964" s="2" t="s">
        <v>26</v>
      </c>
      <c r="P2964" s="5" t="str">
        <f>IFERROR(__xludf.DUMMYFUNCTION("TEXTJOIN("" | "",TRUE,IF(OR(D2964="""",E2964="""",I2964="""",J2964="""",H2964=""""),""ফাঁকা ঘর"",""""),IF(AND(C2964&lt;&gt;"""",D2964&lt;&gt;"""",C2964=D2964),""gloss=figurative"",""""),IF(LEN(D2964)&lt;15,""figurative ছোট"",""""),IF(AND(I2964=""Positive"",REGEXMATCH(H2"&amp;"964,""মূর্খ|ভণ্ড|প্রতার|অলস|লোভ|স্বার্থ|অক্ষম|অযোগ্য|বোকা|কৃপণ|হিংস"")),""valence-target অমিল"",""""),IF(COUNTIF($B:$B,B2964)&gt;1,""ডুপ্লিকেট"",""""))"),"")</f>
        <v/>
      </c>
      <c r="Q2964" s="5" t="str">
        <f t="shared" si="1"/>
        <v>২ পরে</v>
      </c>
    </row>
    <row r="2965">
      <c r="A2965" s="4">
        <v>763.0</v>
      </c>
      <c r="B2965" s="2" t="s">
        <v>11729</v>
      </c>
      <c r="C2965" s="2" t="s">
        <v>11730</v>
      </c>
      <c r="D2965" s="2" t="s">
        <v>11731</v>
      </c>
      <c r="E2965" s="2" t="s">
        <v>11732</v>
      </c>
      <c r="F2965" s="2" t="b">
        <v>1</v>
      </c>
      <c r="G2965" s="2" t="b">
        <v>0</v>
      </c>
      <c r="H2965" s="2" t="s">
        <v>37</v>
      </c>
      <c r="I2965" s="2" t="s">
        <v>32</v>
      </c>
      <c r="J2965" s="2" t="s">
        <v>590</v>
      </c>
      <c r="K2965" s="2" t="s">
        <v>376</v>
      </c>
      <c r="L2965" s="2" t="s">
        <v>391</v>
      </c>
      <c r="M2965" s="2" t="s">
        <v>26</v>
      </c>
      <c r="P2965" s="5" t="str">
        <f>IFERROR(__xludf.DUMMYFUNCTION("TEXTJOIN("" | "",TRUE,IF(OR(D2965="""",E2965="""",I2965="""",J2965="""",H2965=""""),""ফাঁকা ঘর"",""""),IF(AND(C2965&lt;&gt;"""",D2965&lt;&gt;"""",C2965=D2965),""gloss=figurative"",""""),IF(LEN(D2965)&lt;15,""figurative ছোট"",""""),IF(AND(I2965=""Positive"",REGEXMATCH(H2"&amp;"965,""মূর্খ|ভণ্ড|প্রতার|অলস|লোভ|স্বার্থ|অক্ষম|অযোগ্য|বোকা|কৃপণ|হিংস"")),""valence-target অমিল"",""""),IF(COUNTIF($B:$B,B2965)&gt;1,""ডুপ্লিকেট"",""""))"),"")</f>
        <v/>
      </c>
      <c r="Q2965" s="5" t="str">
        <f t="shared" si="1"/>
        <v>২ পরে</v>
      </c>
    </row>
    <row r="2966">
      <c r="A2966" s="4">
        <v>764.0</v>
      </c>
      <c r="B2966" s="2" t="s">
        <v>11733</v>
      </c>
      <c r="C2966" s="2" t="s">
        <v>11734</v>
      </c>
      <c r="D2966" s="2" t="s">
        <v>11735</v>
      </c>
      <c r="E2966" s="2" t="s">
        <v>11736</v>
      </c>
      <c r="F2966" s="2" t="b">
        <v>1</v>
      </c>
      <c r="G2966" s="2" t="b">
        <v>0</v>
      </c>
      <c r="H2966" s="2" t="s">
        <v>11737</v>
      </c>
      <c r="I2966" s="2" t="s">
        <v>32</v>
      </c>
      <c r="J2966" s="2" t="s">
        <v>1934</v>
      </c>
      <c r="K2966" s="2" t="s">
        <v>376</v>
      </c>
      <c r="L2966" s="2" t="s">
        <v>391</v>
      </c>
      <c r="M2966" s="2" t="s">
        <v>26</v>
      </c>
      <c r="P2966" s="5" t="str">
        <f>IFERROR(__xludf.DUMMYFUNCTION("TEXTJOIN("" | "",TRUE,IF(OR(D2966="""",E2966="""",I2966="""",J2966="""",H2966=""""),""ফাঁকা ঘর"",""""),IF(AND(C2966&lt;&gt;"""",D2966&lt;&gt;"""",C2966=D2966),""gloss=figurative"",""""),IF(LEN(D2966)&lt;15,""figurative ছোট"",""""),IF(AND(I2966=""Positive"",REGEXMATCH(H2"&amp;"966,""মূর্খ|ভণ্ড|প্রতার|অলস|লোভ|স্বার্থ|অক্ষম|অযোগ্য|বোকা|কৃপণ|হিংস"")),""valence-target অমিল"",""""),IF(COUNTIF($B:$B,B2966)&gt;1,""ডুপ্লিকেট"",""""))"),"")</f>
        <v/>
      </c>
      <c r="Q2966" s="5" t="str">
        <f t="shared" si="1"/>
        <v>২ পরে</v>
      </c>
    </row>
    <row r="2967">
      <c r="A2967" s="4">
        <v>765.0</v>
      </c>
      <c r="B2967" s="2" t="s">
        <v>11738</v>
      </c>
      <c r="C2967" s="2" t="s">
        <v>11739</v>
      </c>
      <c r="D2967" s="2" t="s">
        <v>11740</v>
      </c>
      <c r="E2967" s="2" t="s">
        <v>11741</v>
      </c>
      <c r="F2967" s="2" t="b">
        <v>1</v>
      </c>
      <c r="G2967" s="2" t="b">
        <v>1</v>
      </c>
      <c r="H2967" s="2" t="s">
        <v>11665</v>
      </c>
      <c r="I2967" s="2" t="s">
        <v>22</v>
      </c>
      <c r="J2967" s="2" t="s">
        <v>1700</v>
      </c>
      <c r="K2967" s="2" t="s">
        <v>376</v>
      </c>
      <c r="L2967" s="2" t="s">
        <v>391</v>
      </c>
      <c r="M2967" s="2" t="s">
        <v>26</v>
      </c>
      <c r="P2967" s="5" t="str">
        <f>IFERROR(__xludf.DUMMYFUNCTION("TEXTJOIN("" | "",TRUE,IF(OR(D2967="""",E2967="""",I2967="""",J2967="""",H2967=""""),""ফাঁকা ঘর"",""""),IF(AND(C2967&lt;&gt;"""",D2967&lt;&gt;"""",C2967=D2967),""gloss=figurative"",""""),IF(LEN(D2967)&lt;15,""figurative ছোট"",""""),IF(AND(I2967=""Positive"",REGEXMATCH(H2"&amp;"967,""মূর্খ|ভণ্ড|প্রতার|অলস|লোভ|স্বার্থ|অক্ষম|অযোগ্য|বোকা|কৃপণ|হিংস"")),""valence-target অমিল"",""""),IF(COUNTIF($B:$B,B2967)&gt;1,""ডুপ্লিকেট"",""""))"),"")</f>
        <v/>
      </c>
      <c r="Q2967" s="5" t="str">
        <f t="shared" si="1"/>
        <v>২ পরে</v>
      </c>
    </row>
    <row r="2968">
      <c r="A2968" s="4">
        <v>766.0</v>
      </c>
      <c r="B2968" s="2" t="s">
        <v>11742</v>
      </c>
      <c r="C2968" s="2" t="s">
        <v>11743</v>
      </c>
      <c r="D2968" s="2" t="s">
        <v>11744</v>
      </c>
      <c r="E2968" s="2" t="s">
        <v>11745</v>
      </c>
      <c r="F2968" s="2" t="b">
        <v>1</v>
      </c>
      <c r="G2968" s="2" t="b">
        <v>0</v>
      </c>
      <c r="H2968" s="2" t="s">
        <v>21</v>
      </c>
      <c r="I2968" s="2" t="s">
        <v>22</v>
      </c>
      <c r="J2968" s="2" t="s">
        <v>11746</v>
      </c>
      <c r="K2968" s="2" t="s">
        <v>376</v>
      </c>
      <c r="L2968" s="2" t="s">
        <v>391</v>
      </c>
      <c r="M2968" s="2" t="s">
        <v>26</v>
      </c>
      <c r="P2968" s="5" t="str">
        <f>IFERROR(__xludf.DUMMYFUNCTION("TEXTJOIN("" | "",TRUE,IF(OR(D2968="""",E2968="""",I2968="""",J2968="""",H2968=""""),""ফাঁকা ঘর"",""""),IF(AND(C2968&lt;&gt;"""",D2968&lt;&gt;"""",C2968=D2968),""gloss=figurative"",""""),IF(LEN(D2968)&lt;15,""figurative ছোট"",""""),IF(AND(I2968=""Positive"",REGEXMATCH(H2"&amp;"968,""মূর্খ|ভণ্ড|প্রতার|অলস|লোভ|স্বার্থ|অক্ষম|অযোগ্য|বোকা|কৃপণ|হিংস"")),""valence-target অমিল"",""""),IF(COUNTIF($B:$B,B2968)&gt;1,""ডুপ্লিকেট"",""""))"),"")</f>
        <v/>
      </c>
      <c r="Q2968" s="5" t="str">
        <f t="shared" si="1"/>
        <v>২ পরে</v>
      </c>
    </row>
    <row r="2969">
      <c r="A2969" s="4">
        <v>767.0</v>
      </c>
      <c r="B2969" s="2" t="s">
        <v>11747</v>
      </c>
      <c r="C2969" s="2" t="s">
        <v>11748</v>
      </c>
      <c r="D2969" s="2" t="s">
        <v>11749</v>
      </c>
      <c r="E2969" s="2" t="s">
        <v>11750</v>
      </c>
      <c r="F2969" s="2" t="b">
        <v>1</v>
      </c>
      <c r="G2969" s="2" t="b">
        <v>0</v>
      </c>
      <c r="H2969" s="2" t="s">
        <v>9452</v>
      </c>
      <c r="I2969" s="2" t="s">
        <v>22</v>
      </c>
      <c r="J2969" s="2" t="s">
        <v>197</v>
      </c>
      <c r="K2969" s="2" t="s">
        <v>376</v>
      </c>
      <c r="L2969" s="2" t="s">
        <v>391</v>
      </c>
      <c r="M2969" s="2" t="s">
        <v>26</v>
      </c>
      <c r="P2969" s="5" t="str">
        <f>IFERROR(__xludf.DUMMYFUNCTION("TEXTJOIN("" | "",TRUE,IF(OR(D2969="""",E2969="""",I2969="""",J2969="""",H2969=""""),""ফাঁকা ঘর"",""""),IF(AND(C2969&lt;&gt;"""",D2969&lt;&gt;"""",C2969=D2969),""gloss=figurative"",""""),IF(LEN(D2969)&lt;15,""figurative ছোট"",""""),IF(AND(I2969=""Positive"",REGEXMATCH(H2"&amp;"969,""মূর্খ|ভণ্ড|প্রতার|অলস|লোভ|স্বার্থ|অক্ষম|অযোগ্য|বোকা|কৃপণ|হিংস"")),""valence-target অমিল"",""""),IF(COUNTIF($B:$B,B2969)&gt;1,""ডুপ্লিকেট"",""""))"),"")</f>
        <v/>
      </c>
      <c r="Q2969" s="5" t="str">
        <f t="shared" si="1"/>
        <v>২ পরে</v>
      </c>
    </row>
    <row r="2970">
      <c r="A2970" s="4">
        <v>768.0</v>
      </c>
      <c r="B2970" s="2" t="s">
        <v>11751</v>
      </c>
      <c r="C2970" s="2" t="s">
        <v>11752</v>
      </c>
      <c r="D2970" s="2" t="s">
        <v>11753</v>
      </c>
      <c r="E2970" s="2" t="s">
        <v>11754</v>
      </c>
      <c r="F2970" s="2" t="b">
        <v>1</v>
      </c>
      <c r="G2970" s="2" t="b">
        <v>0</v>
      </c>
      <c r="H2970" s="2" t="s">
        <v>37</v>
      </c>
      <c r="I2970" s="2" t="s">
        <v>32</v>
      </c>
      <c r="J2970" s="2" t="s">
        <v>1151</v>
      </c>
      <c r="K2970" s="2" t="s">
        <v>376</v>
      </c>
      <c r="L2970" s="2" t="s">
        <v>391</v>
      </c>
      <c r="M2970" s="2" t="s">
        <v>26</v>
      </c>
      <c r="P2970" s="5" t="str">
        <f>IFERROR(__xludf.DUMMYFUNCTION("TEXTJOIN("" | "",TRUE,IF(OR(D2970="""",E2970="""",I2970="""",J2970="""",H2970=""""),""ফাঁকা ঘর"",""""),IF(AND(C2970&lt;&gt;"""",D2970&lt;&gt;"""",C2970=D2970),""gloss=figurative"",""""),IF(LEN(D2970)&lt;15,""figurative ছোট"",""""),IF(AND(I2970=""Positive"",REGEXMATCH(H2"&amp;"970,""মূর্খ|ভণ্ড|প্রতার|অলস|লোভ|স্বার্থ|অক্ষম|অযোগ্য|বোকা|কৃপণ|হিংস"")),""valence-target অমিল"",""""),IF(COUNTIF($B:$B,B2970)&gt;1,""ডুপ্লিকেট"",""""))"),"")</f>
        <v/>
      </c>
      <c r="Q2970" s="5" t="str">
        <f t="shared" si="1"/>
        <v>২ পরে</v>
      </c>
    </row>
    <row r="2971">
      <c r="A2971" s="4">
        <v>769.0</v>
      </c>
      <c r="B2971" s="2" t="s">
        <v>11755</v>
      </c>
      <c r="C2971" s="2" t="s">
        <v>11756</v>
      </c>
      <c r="D2971" s="2" t="s">
        <v>11757</v>
      </c>
      <c r="E2971" s="2" t="s">
        <v>11758</v>
      </c>
      <c r="F2971" s="2" t="b">
        <v>1</v>
      </c>
      <c r="G2971" s="2" t="b">
        <v>0</v>
      </c>
      <c r="H2971" s="2" t="s">
        <v>11759</v>
      </c>
      <c r="I2971" s="2" t="s">
        <v>32</v>
      </c>
      <c r="J2971" s="2" t="s">
        <v>59</v>
      </c>
      <c r="K2971" s="2" t="s">
        <v>376</v>
      </c>
      <c r="L2971" s="2" t="s">
        <v>391</v>
      </c>
      <c r="M2971" s="2" t="s">
        <v>26</v>
      </c>
      <c r="P2971" s="5" t="str">
        <f>IFERROR(__xludf.DUMMYFUNCTION("TEXTJOIN("" | "",TRUE,IF(OR(D2971="""",E2971="""",I2971="""",J2971="""",H2971=""""),""ফাঁকা ঘর"",""""),IF(AND(C2971&lt;&gt;"""",D2971&lt;&gt;"""",C2971=D2971),""gloss=figurative"",""""),IF(LEN(D2971)&lt;15,""figurative ছোট"",""""),IF(AND(I2971=""Positive"",REGEXMATCH(H2"&amp;"971,""মূর্খ|ভণ্ড|প্রতার|অলস|লোভ|স্বার্থ|অক্ষম|অযোগ্য|বোকা|কৃপণ|হিংস"")),""valence-target অমিল"",""""),IF(COUNTIF($B:$B,B2971)&gt;1,""ডুপ্লিকেট"",""""))"),"")</f>
        <v/>
      </c>
      <c r="Q2971" s="5" t="str">
        <f t="shared" si="1"/>
        <v>২ পরে</v>
      </c>
    </row>
    <row r="2972">
      <c r="A2972" s="4">
        <v>770.0</v>
      </c>
      <c r="B2972" s="2" t="s">
        <v>11760</v>
      </c>
      <c r="C2972" s="2" t="s">
        <v>11761</v>
      </c>
      <c r="D2972" s="2" t="s">
        <v>11762</v>
      </c>
      <c r="E2972" s="2" t="s">
        <v>11763</v>
      </c>
      <c r="F2972" s="2" t="b">
        <v>1</v>
      </c>
      <c r="G2972" s="2" t="b">
        <v>0</v>
      </c>
      <c r="H2972" s="2" t="s">
        <v>9359</v>
      </c>
      <c r="I2972" s="2" t="s">
        <v>22</v>
      </c>
      <c r="J2972" s="2" t="s">
        <v>123</v>
      </c>
      <c r="K2972" s="2" t="s">
        <v>376</v>
      </c>
      <c r="L2972" s="2" t="s">
        <v>391</v>
      </c>
      <c r="M2972" s="2" t="s">
        <v>26</v>
      </c>
      <c r="P2972" s="5" t="str">
        <f>IFERROR(__xludf.DUMMYFUNCTION("TEXTJOIN("" | "",TRUE,IF(OR(D2972="""",E2972="""",I2972="""",J2972="""",H2972=""""),""ফাঁকা ঘর"",""""),IF(AND(C2972&lt;&gt;"""",D2972&lt;&gt;"""",C2972=D2972),""gloss=figurative"",""""),IF(LEN(D2972)&lt;15,""figurative ছোট"",""""),IF(AND(I2972=""Positive"",REGEXMATCH(H2"&amp;"972,""মূর্খ|ভণ্ড|প্রতার|অলস|লোভ|স্বার্থ|অক্ষম|অযোগ্য|বোকা|কৃপণ|হিংস"")),""valence-target অমিল"",""""),IF(COUNTIF($B:$B,B2972)&gt;1,""ডুপ্লিকেট"",""""))"),"")</f>
        <v/>
      </c>
      <c r="Q2972" s="5" t="str">
        <f t="shared" si="1"/>
        <v>২ পরে</v>
      </c>
    </row>
    <row r="2973">
      <c r="A2973" s="4">
        <v>771.0</v>
      </c>
      <c r="B2973" s="2" t="s">
        <v>11764</v>
      </c>
      <c r="C2973" s="2" t="s">
        <v>11765</v>
      </c>
      <c r="D2973" s="2" t="s">
        <v>11766</v>
      </c>
      <c r="E2973" s="2" t="s">
        <v>11767</v>
      </c>
      <c r="F2973" s="2" t="b">
        <v>1</v>
      </c>
      <c r="G2973" s="2" t="b">
        <v>0</v>
      </c>
      <c r="H2973" s="2" t="s">
        <v>11768</v>
      </c>
      <c r="I2973" s="2" t="s">
        <v>32</v>
      </c>
      <c r="J2973" s="2" t="s">
        <v>11769</v>
      </c>
      <c r="K2973" s="2" t="s">
        <v>376</v>
      </c>
      <c r="L2973" s="2" t="s">
        <v>391</v>
      </c>
      <c r="M2973" s="2" t="s">
        <v>26</v>
      </c>
      <c r="P2973" s="5" t="str">
        <f>IFERROR(__xludf.DUMMYFUNCTION("TEXTJOIN("" | "",TRUE,IF(OR(D2973="""",E2973="""",I2973="""",J2973="""",H2973=""""),""ফাঁকা ঘর"",""""),IF(AND(C2973&lt;&gt;"""",D2973&lt;&gt;"""",C2973=D2973),""gloss=figurative"",""""),IF(LEN(D2973)&lt;15,""figurative ছোট"",""""),IF(AND(I2973=""Positive"",REGEXMATCH(H2"&amp;"973,""মূর্খ|ভণ্ড|প্রতার|অলস|লোভ|স্বার্থ|অক্ষম|অযোগ্য|বোকা|কৃপণ|হিংস"")),""valence-target অমিল"",""""),IF(COUNTIF($B:$B,B2973)&gt;1,""ডুপ্লিকেট"",""""))"),"")</f>
        <v/>
      </c>
      <c r="Q2973" s="5" t="str">
        <f t="shared" si="1"/>
        <v>২ পরে</v>
      </c>
    </row>
    <row r="2974">
      <c r="A2974" s="4">
        <v>772.0</v>
      </c>
      <c r="B2974" s="2" t="s">
        <v>11770</v>
      </c>
      <c r="C2974" s="2" t="s">
        <v>11771</v>
      </c>
      <c r="D2974" s="2" t="s">
        <v>11772</v>
      </c>
      <c r="E2974" s="2" t="s">
        <v>11773</v>
      </c>
      <c r="F2974" s="2" t="b">
        <v>1</v>
      </c>
      <c r="G2974" s="2" t="b">
        <v>0</v>
      </c>
      <c r="H2974" s="2" t="s">
        <v>110</v>
      </c>
      <c r="I2974" s="2" t="s">
        <v>22</v>
      </c>
      <c r="J2974" s="2" t="s">
        <v>59</v>
      </c>
      <c r="K2974" s="2" t="s">
        <v>376</v>
      </c>
      <c r="L2974" s="2" t="s">
        <v>391</v>
      </c>
      <c r="M2974" s="2" t="s">
        <v>26</v>
      </c>
      <c r="P2974" s="5" t="str">
        <f>IFERROR(__xludf.DUMMYFUNCTION("TEXTJOIN("" | "",TRUE,IF(OR(D2974="""",E2974="""",I2974="""",J2974="""",H2974=""""),""ফাঁকা ঘর"",""""),IF(AND(C2974&lt;&gt;"""",D2974&lt;&gt;"""",C2974=D2974),""gloss=figurative"",""""),IF(LEN(D2974)&lt;15,""figurative ছোট"",""""),IF(AND(I2974=""Positive"",REGEXMATCH(H2"&amp;"974,""মূর্খ|ভণ্ড|প্রতার|অলস|লোভ|স্বার্থ|অক্ষম|অযোগ্য|বোকা|কৃপণ|হিংস"")),""valence-target অমিল"",""""),IF(COUNTIF($B:$B,B2974)&gt;1,""ডুপ্লিকেট"",""""))"),"")</f>
        <v/>
      </c>
      <c r="Q2974" s="5" t="str">
        <f t="shared" si="1"/>
        <v>২ পরে</v>
      </c>
    </row>
    <row r="2975">
      <c r="A2975" s="4">
        <v>773.0</v>
      </c>
      <c r="B2975" s="2" t="s">
        <v>11774</v>
      </c>
      <c r="C2975" s="2" t="s">
        <v>11775</v>
      </c>
      <c r="D2975" s="2" t="s">
        <v>11776</v>
      </c>
      <c r="E2975" s="2" t="s">
        <v>11777</v>
      </c>
      <c r="F2975" s="2" t="b">
        <v>1</v>
      </c>
      <c r="G2975" s="2" t="b">
        <v>0</v>
      </c>
      <c r="H2975" s="2" t="s">
        <v>8837</v>
      </c>
      <c r="I2975" s="2" t="s">
        <v>32</v>
      </c>
      <c r="J2975" s="2" t="s">
        <v>59</v>
      </c>
      <c r="K2975" s="2" t="s">
        <v>376</v>
      </c>
      <c r="L2975" s="2" t="s">
        <v>391</v>
      </c>
      <c r="M2975" s="2" t="s">
        <v>26</v>
      </c>
      <c r="P2975" s="5" t="str">
        <f>IFERROR(__xludf.DUMMYFUNCTION("TEXTJOIN("" | "",TRUE,IF(OR(D2975="""",E2975="""",I2975="""",J2975="""",H2975=""""),""ফাঁকা ঘর"",""""),IF(AND(C2975&lt;&gt;"""",D2975&lt;&gt;"""",C2975=D2975),""gloss=figurative"",""""),IF(LEN(D2975)&lt;15,""figurative ছোট"",""""),IF(AND(I2975=""Positive"",REGEXMATCH(H2"&amp;"975,""মূর্খ|ভণ্ড|প্রতার|অলস|লোভ|স্বার্থ|অক্ষম|অযোগ্য|বোকা|কৃপণ|হিংস"")),""valence-target অমিল"",""""),IF(COUNTIF($B:$B,B2975)&gt;1,""ডুপ্লিকেট"",""""))"),"")</f>
        <v/>
      </c>
      <c r="Q2975" s="5" t="str">
        <f t="shared" si="1"/>
        <v>২ পরে</v>
      </c>
    </row>
    <row r="2976">
      <c r="A2976" s="4">
        <v>774.0</v>
      </c>
      <c r="B2976" s="2" t="s">
        <v>11778</v>
      </c>
      <c r="C2976" s="2" t="s">
        <v>11779</v>
      </c>
      <c r="D2976" s="2" t="s">
        <v>11780</v>
      </c>
      <c r="E2976" s="2" t="s">
        <v>11781</v>
      </c>
      <c r="F2976" s="2" t="b">
        <v>1</v>
      </c>
      <c r="G2976" s="2" t="b">
        <v>0</v>
      </c>
      <c r="H2976" s="2" t="s">
        <v>21</v>
      </c>
      <c r="I2976" s="2" t="s">
        <v>22</v>
      </c>
      <c r="J2976" s="2" t="s">
        <v>527</v>
      </c>
      <c r="K2976" s="2" t="s">
        <v>376</v>
      </c>
      <c r="L2976" s="2" t="s">
        <v>391</v>
      </c>
      <c r="M2976" s="2" t="s">
        <v>26</v>
      </c>
      <c r="P2976" s="5" t="str">
        <f>IFERROR(__xludf.DUMMYFUNCTION("TEXTJOIN("" | "",TRUE,IF(OR(D2976="""",E2976="""",I2976="""",J2976="""",H2976=""""),""ফাঁকা ঘর"",""""),IF(AND(C2976&lt;&gt;"""",D2976&lt;&gt;"""",C2976=D2976),""gloss=figurative"",""""),IF(LEN(D2976)&lt;15,""figurative ছোট"",""""),IF(AND(I2976=""Positive"",REGEXMATCH(H2"&amp;"976,""মূর্খ|ভণ্ড|প্রতার|অলস|লোভ|স্বার্থ|অক্ষম|অযোগ্য|বোকা|কৃপণ|হিংস"")),""valence-target অমিল"",""""),IF(COUNTIF($B:$B,B2976)&gt;1,""ডুপ্লিকেট"",""""))"),"")</f>
        <v/>
      </c>
      <c r="Q2976" s="5" t="str">
        <f t="shared" si="1"/>
        <v>২ পরে</v>
      </c>
    </row>
    <row r="2977">
      <c r="A2977" s="4">
        <v>775.0</v>
      </c>
      <c r="B2977" s="2" t="s">
        <v>11782</v>
      </c>
      <c r="C2977" s="2" t="s">
        <v>11783</v>
      </c>
      <c r="D2977" s="2" t="s">
        <v>11784</v>
      </c>
      <c r="E2977" s="2" t="s">
        <v>11785</v>
      </c>
      <c r="F2977" s="2" t="b">
        <v>1</v>
      </c>
      <c r="G2977" s="2" t="b">
        <v>0</v>
      </c>
      <c r="H2977" s="2" t="s">
        <v>11786</v>
      </c>
      <c r="I2977" s="2" t="s">
        <v>32</v>
      </c>
      <c r="J2977" s="2" t="s">
        <v>868</v>
      </c>
      <c r="K2977" s="2" t="s">
        <v>376</v>
      </c>
      <c r="L2977" s="2" t="s">
        <v>391</v>
      </c>
      <c r="M2977" s="2" t="s">
        <v>26</v>
      </c>
      <c r="P2977" s="5" t="str">
        <f>IFERROR(__xludf.DUMMYFUNCTION("TEXTJOIN("" | "",TRUE,IF(OR(D2977="""",E2977="""",I2977="""",J2977="""",H2977=""""),""ফাঁকা ঘর"",""""),IF(AND(C2977&lt;&gt;"""",D2977&lt;&gt;"""",C2977=D2977),""gloss=figurative"",""""),IF(LEN(D2977)&lt;15,""figurative ছোট"",""""),IF(AND(I2977=""Positive"",REGEXMATCH(H2"&amp;"977,""মূর্খ|ভণ্ড|প্রতার|অলস|লোভ|স্বার্থ|অক্ষম|অযোগ্য|বোকা|কৃপণ|হিংস"")),""valence-target অমিল"",""""),IF(COUNTIF($B:$B,B2977)&gt;1,""ডুপ্লিকেট"",""""))"),"")</f>
        <v/>
      </c>
      <c r="Q2977" s="5" t="str">
        <f t="shared" si="1"/>
        <v>২ পরে</v>
      </c>
    </row>
    <row r="2978">
      <c r="A2978" s="4">
        <v>776.0</v>
      </c>
      <c r="B2978" s="2" t="s">
        <v>11787</v>
      </c>
      <c r="C2978" s="2" t="s">
        <v>11788</v>
      </c>
      <c r="D2978" s="2" t="s">
        <v>11789</v>
      </c>
      <c r="E2978" s="2" t="s">
        <v>11790</v>
      </c>
      <c r="F2978" s="2" t="b">
        <v>1</v>
      </c>
      <c r="G2978" s="2" t="b">
        <v>0</v>
      </c>
      <c r="H2978" s="2" t="s">
        <v>11791</v>
      </c>
      <c r="I2978" s="2" t="s">
        <v>22</v>
      </c>
      <c r="J2978" s="2" t="s">
        <v>1679</v>
      </c>
      <c r="K2978" s="2" t="s">
        <v>376</v>
      </c>
      <c r="L2978" s="2" t="s">
        <v>391</v>
      </c>
      <c r="M2978" s="2" t="s">
        <v>26</v>
      </c>
      <c r="P2978" s="5" t="str">
        <f>IFERROR(__xludf.DUMMYFUNCTION("TEXTJOIN("" | "",TRUE,IF(OR(D2978="""",E2978="""",I2978="""",J2978="""",H2978=""""),""ফাঁকা ঘর"",""""),IF(AND(C2978&lt;&gt;"""",D2978&lt;&gt;"""",C2978=D2978),""gloss=figurative"",""""),IF(LEN(D2978)&lt;15,""figurative ছোট"",""""),IF(AND(I2978=""Positive"",REGEXMATCH(H2"&amp;"978,""মূর্খ|ভণ্ড|প্রতার|অলস|লোভ|স্বার্থ|অক্ষম|অযোগ্য|বোকা|কৃপণ|হিংস"")),""valence-target অমিল"",""""),IF(COUNTIF($B:$B,B2978)&gt;1,""ডুপ্লিকেট"",""""))"),"")</f>
        <v/>
      </c>
      <c r="Q2978" s="5" t="str">
        <f t="shared" si="1"/>
        <v>২ পরে</v>
      </c>
    </row>
    <row r="2979">
      <c r="A2979" s="4">
        <v>777.0</v>
      </c>
      <c r="B2979" s="2" t="s">
        <v>11792</v>
      </c>
      <c r="C2979" s="2" t="s">
        <v>11793</v>
      </c>
      <c r="D2979" s="2" t="s">
        <v>11794</v>
      </c>
      <c r="E2979" s="2" t="s">
        <v>11795</v>
      </c>
      <c r="F2979" s="2" t="b">
        <v>1</v>
      </c>
      <c r="G2979" s="2" t="b">
        <v>0</v>
      </c>
      <c r="H2979" s="2" t="s">
        <v>11796</v>
      </c>
      <c r="I2979" s="2" t="s">
        <v>32</v>
      </c>
      <c r="J2979" s="2" t="s">
        <v>9301</v>
      </c>
      <c r="K2979" s="2" t="s">
        <v>376</v>
      </c>
      <c r="L2979" s="2" t="s">
        <v>391</v>
      </c>
      <c r="M2979" s="2" t="s">
        <v>26</v>
      </c>
      <c r="P2979" s="5" t="str">
        <f>IFERROR(__xludf.DUMMYFUNCTION("TEXTJOIN("" | "",TRUE,IF(OR(D2979="""",E2979="""",I2979="""",J2979="""",H2979=""""),""ফাঁকা ঘর"",""""),IF(AND(C2979&lt;&gt;"""",D2979&lt;&gt;"""",C2979=D2979),""gloss=figurative"",""""),IF(LEN(D2979)&lt;15,""figurative ছোট"",""""),IF(AND(I2979=""Positive"",REGEXMATCH(H2"&amp;"979,""মূর্খ|ভণ্ড|প্রতার|অলস|লোভ|স্বার্থ|অক্ষম|অযোগ্য|বোকা|কৃপণ|হিংস"")),""valence-target অমিল"",""""),IF(COUNTIF($B:$B,B2979)&gt;1,""ডুপ্লিকেট"",""""))"),"")</f>
        <v/>
      </c>
      <c r="Q2979" s="5" t="str">
        <f t="shared" si="1"/>
        <v>২ পরে</v>
      </c>
    </row>
    <row r="2980">
      <c r="A2980" s="4">
        <v>778.0</v>
      </c>
      <c r="B2980" s="2" t="s">
        <v>11797</v>
      </c>
      <c r="C2980" s="2" t="s">
        <v>11798</v>
      </c>
      <c r="D2980" s="2" t="s">
        <v>11799</v>
      </c>
      <c r="E2980" s="2" t="s">
        <v>11800</v>
      </c>
      <c r="F2980" s="2" t="b">
        <v>1</v>
      </c>
      <c r="G2980" s="2" t="b">
        <v>0</v>
      </c>
      <c r="H2980" s="2" t="s">
        <v>390</v>
      </c>
      <c r="I2980" s="2" t="s">
        <v>22</v>
      </c>
      <c r="J2980" s="2" t="s">
        <v>59</v>
      </c>
      <c r="K2980" s="2" t="s">
        <v>376</v>
      </c>
      <c r="L2980" s="2" t="s">
        <v>391</v>
      </c>
      <c r="M2980" s="2" t="s">
        <v>26</v>
      </c>
      <c r="P2980" s="5" t="str">
        <f>IFERROR(__xludf.DUMMYFUNCTION("TEXTJOIN("" | "",TRUE,IF(OR(D2980="""",E2980="""",I2980="""",J2980="""",H2980=""""),""ফাঁকা ঘর"",""""),IF(AND(C2980&lt;&gt;"""",D2980&lt;&gt;"""",C2980=D2980),""gloss=figurative"",""""),IF(LEN(D2980)&lt;15,""figurative ছোট"",""""),IF(AND(I2980=""Positive"",REGEXMATCH(H2"&amp;"980,""মূর্খ|ভণ্ড|প্রতার|অলস|লোভ|স্বার্থ|অক্ষম|অযোগ্য|বোকা|কৃপণ|হিংস"")),""valence-target অমিল"",""""),IF(COUNTIF($B:$B,B2980)&gt;1,""ডুপ্লিকেট"",""""))"),"")</f>
        <v/>
      </c>
      <c r="Q2980" s="5" t="str">
        <f t="shared" si="1"/>
        <v>২ পরে</v>
      </c>
    </row>
    <row r="2981">
      <c r="A2981" s="4">
        <v>779.0</v>
      </c>
      <c r="B2981" s="2" t="s">
        <v>11801</v>
      </c>
      <c r="C2981" s="2" t="s">
        <v>11802</v>
      </c>
      <c r="D2981" s="2" t="s">
        <v>11803</v>
      </c>
      <c r="E2981" s="2" t="s">
        <v>11804</v>
      </c>
      <c r="F2981" s="2" t="b">
        <v>1</v>
      </c>
      <c r="G2981" s="2" t="b">
        <v>0</v>
      </c>
      <c r="H2981" s="2" t="s">
        <v>8713</v>
      </c>
      <c r="I2981" s="2" t="s">
        <v>32</v>
      </c>
      <c r="J2981" s="2" t="s">
        <v>59</v>
      </c>
      <c r="K2981" s="2" t="s">
        <v>376</v>
      </c>
      <c r="L2981" s="2" t="s">
        <v>391</v>
      </c>
      <c r="M2981" s="2" t="s">
        <v>26</v>
      </c>
      <c r="P2981" s="5" t="str">
        <f>IFERROR(__xludf.DUMMYFUNCTION("TEXTJOIN("" | "",TRUE,IF(OR(D2981="""",E2981="""",I2981="""",J2981="""",H2981=""""),""ফাঁকা ঘর"",""""),IF(AND(C2981&lt;&gt;"""",D2981&lt;&gt;"""",C2981=D2981),""gloss=figurative"",""""),IF(LEN(D2981)&lt;15,""figurative ছোট"",""""),IF(AND(I2981=""Positive"",REGEXMATCH(H2"&amp;"981,""মূর্খ|ভণ্ড|প্রতার|অলস|লোভ|স্বার্থ|অক্ষম|অযোগ্য|বোকা|কৃপণ|হিংস"")),""valence-target অমিল"",""""),IF(COUNTIF($B:$B,B2981)&gt;1,""ডুপ্লিকেট"",""""))"),"")</f>
        <v/>
      </c>
      <c r="Q2981" s="5" t="str">
        <f t="shared" si="1"/>
        <v>২ পরে</v>
      </c>
    </row>
    <row r="2982">
      <c r="A2982" s="4">
        <v>780.0</v>
      </c>
      <c r="B2982" s="2" t="s">
        <v>11805</v>
      </c>
      <c r="C2982" s="2" t="s">
        <v>11806</v>
      </c>
      <c r="D2982" s="2" t="s">
        <v>11807</v>
      </c>
      <c r="E2982" s="2" t="s">
        <v>11808</v>
      </c>
      <c r="F2982" s="2" t="b">
        <v>1</v>
      </c>
      <c r="G2982" s="2" t="b">
        <v>0</v>
      </c>
      <c r="H2982" s="2" t="s">
        <v>8772</v>
      </c>
      <c r="I2982" s="2" t="s">
        <v>22</v>
      </c>
      <c r="J2982" s="2" t="s">
        <v>59</v>
      </c>
      <c r="K2982" s="2" t="s">
        <v>376</v>
      </c>
      <c r="L2982" s="2" t="s">
        <v>391</v>
      </c>
      <c r="M2982" s="2" t="s">
        <v>26</v>
      </c>
      <c r="P2982" s="5" t="str">
        <f>IFERROR(__xludf.DUMMYFUNCTION("TEXTJOIN("" | "",TRUE,IF(OR(D2982="""",E2982="""",I2982="""",J2982="""",H2982=""""),""ফাঁকা ঘর"",""""),IF(AND(C2982&lt;&gt;"""",D2982&lt;&gt;"""",C2982=D2982),""gloss=figurative"",""""),IF(LEN(D2982)&lt;15,""figurative ছোট"",""""),IF(AND(I2982=""Positive"",REGEXMATCH(H2"&amp;"982,""মূর্খ|ভণ্ড|প্রতার|অলস|লোভ|স্বার্থ|অক্ষম|অযোগ্য|বোকা|কৃপণ|হিংস"")),""valence-target অমিল"",""""),IF(COUNTIF($B:$B,B2982)&gt;1,""ডুপ্লিকেট"",""""))"),"")</f>
        <v/>
      </c>
      <c r="Q2982" s="5" t="str">
        <f t="shared" si="1"/>
        <v>২ পরে</v>
      </c>
    </row>
    <row r="2983">
      <c r="A2983" s="4">
        <v>781.0</v>
      </c>
      <c r="B2983" s="2" t="s">
        <v>11809</v>
      </c>
      <c r="C2983" s="2" t="s">
        <v>11810</v>
      </c>
      <c r="D2983" s="2" t="s">
        <v>11811</v>
      </c>
      <c r="E2983" s="2" t="s">
        <v>11812</v>
      </c>
      <c r="F2983" s="2" t="b">
        <v>1</v>
      </c>
      <c r="G2983" s="2" t="b">
        <v>0</v>
      </c>
      <c r="H2983" s="2" t="s">
        <v>11813</v>
      </c>
      <c r="I2983" s="2" t="s">
        <v>32</v>
      </c>
      <c r="J2983" s="2" t="s">
        <v>123</v>
      </c>
      <c r="K2983" s="2" t="s">
        <v>376</v>
      </c>
      <c r="L2983" s="2" t="s">
        <v>391</v>
      </c>
      <c r="M2983" s="2" t="s">
        <v>26</v>
      </c>
      <c r="P2983" s="5" t="str">
        <f>IFERROR(__xludf.DUMMYFUNCTION("TEXTJOIN("" | "",TRUE,IF(OR(D2983="""",E2983="""",I2983="""",J2983="""",H2983=""""),""ফাঁকা ঘর"",""""),IF(AND(C2983&lt;&gt;"""",D2983&lt;&gt;"""",C2983=D2983),""gloss=figurative"",""""),IF(LEN(D2983)&lt;15,""figurative ছোট"",""""),IF(AND(I2983=""Positive"",REGEXMATCH(H2"&amp;"983,""মূর্খ|ভণ্ড|প্রতার|অলস|লোভ|স্বার্থ|অক্ষম|অযোগ্য|বোকা|কৃপণ|হিংস"")),""valence-target অমিল"",""""),IF(COUNTIF($B:$B,B2983)&gt;1,""ডুপ্লিকেট"",""""))"),"")</f>
        <v/>
      </c>
      <c r="Q2983" s="5" t="str">
        <f t="shared" si="1"/>
        <v>২ পরে</v>
      </c>
    </row>
    <row r="2984">
      <c r="A2984" s="4">
        <v>782.0</v>
      </c>
      <c r="B2984" s="2" t="s">
        <v>11814</v>
      </c>
      <c r="C2984" s="2" t="s">
        <v>11815</v>
      </c>
      <c r="D2984" s="2" t="s">
        <v>11816</v>
      </c>
      <c r="E2984" s="2" t="s">
        <v>11817</v>
      </c>
      <c r="F2984" s="2" t="b">
        <v>1</v>
      </c>
      <c r="G2984" s="2" t="b">
        <v>0</v>
      </c>
      <c r="H2984" s="2" t="s">
        <v>11818</v>
      </c>
      <c r="I2984" s="2" t="s">
        <v>32</v>
      </c>
      <c r="J2984" s="2" t="s">
        <v>59</v>
      </c>
      <c r="K2984" s="2" t="s">
        <v>376</v>
      </c>
      <c r="L2984" s="2" t="s">
        <v>391</v>
      </c>
      <c r="M2984" s="2" t="s">
        <v>26</v>
      </c>
      <c r="P2984" s="5" t="str">
        <f>IFERROR(__xludf.DUMMYFUNCTION("TEXTJOIN("" | "",TRUE,IF(OR(D2984="""",E2984="""",I2984="""",J2984="""",H2984=""""),""ফাঁকা ঘর"",""""),IF(AND(C2984&lt;&gt;"""",D2984&lt;&gt;"""",C2984=D2984),""gloss=figurative"",""""),IF(LEN(D2984)&lt;15,""figurative ছোট"",""""),IF(AND(I2984=""Positive"",REGEXMATCH(H2"&amp;"984,""মূর্খ|ভণ্ড|প্রতার|অলস|লোভ|স্বার্থ|অক্ষম|অযোগ্য|বোকা|কৃপণ|হিংস"")),""valence-target অমিল"",""""),IF(COUNTIF($B:$B,B2984)&gt;1,""ডুপ্লিকেট"",""""))"),"")</f>
        <v/>
      </c>
      <c r="Q2984" s="5" t="str">
        <f t="shared" si="1"/>
        <v>২ পরে</v>
      </c>
    </row>
    <row r="2985">
      <c r="A2985" s="4">
        <v>783.0</v>
      </c>
      <c r="B2985" s="2" t="s">
        <v>11819</v>
      </c>
      <c r="C2985" s="2" t="s">
        <v>11820</v>
      </c>
      <c r="D2985" s="2" t="s">
        <v>11821</v>
      </c>
      <c r="E2985" s="2" t="s">
        <v>11822</v>
      </c>
      <c r="F2985" s="2" t="b">
        <v>1</v>
      </c>
      <c r="G2985" s="2" t="b">
        <v>0</v>
      </c>
      <c r="H2985" s="2" t="s">
        <v>11823</v>
      </c>
      <c r="I2985" s="2" t="s">
        <v>22</v>
      </c>
      <c r="J2985" s="2" t="s">
        <v>59</v>
      </c>
      <c r="K2985" s="2" t="s">
        <v>376</v>
      </c>
      <c r="L2985" s="2" t="s">
        <v>391</v>
      </c>
      <c r="M2985" s="2" t="s">
        <v>26</v>
      </c>
      <c r="P2985" s="5" t="str">
        <f>IFERROR(__xludf.DUMMYFUNCTION("TEXTJOIN("" | "",TRUE,IF(OR(D2985="""",E2985="""",I2985="""",J2985="""",H2985=""""),""ফাঁকা ঘর"",""""),IF(AND(C2985&lt;&gt;"""",D2985&lt;&gt;"""",C2985=D2985),""gloss=figurative"",""""),IF(LEN(D2985)&lt;15,""figurative ছোট"",""""),IF(AND(I2985=""Positive"",REGEXMATCH(H2"&amp;"985,""মূর্খ|ভণ্ড|প্রতার|অলস|লোভ|স্বার্থ|অক্ষম|অযোগ্য|বোকা|কৃপণ|হিংস"")),""valence-target অমিল"",""""),IF(COUNTIF($B:$B,B2985)&gt;1,""ডুপ্লিকেট"",""""))"),"")</f>
        <v/>
      </c>
      <c r="Q2985" s="5" t="str">
        <f t="shared" si="1"/>
        <v>২ পরে</v>
      </c>
    </row>
    <row r="2986">
      <c r="A2986" s="4">
        <v>784.0</v>
      </c>
      <c r="B2986" s="2" t="s">
        <v>11824</v>
      </c>
      <c r="C2986" s="2" t="s">
        <v>11825</v>
      </c>
      <c r="D2986" s="2" t="s">
        <v>11826</v>
      </c>
      <c r="E2986" s="2" t="s">
        <v>11827</v>
      </c>
      <c r="F2986" s="2" t="b">
        <v>1</v>
      </c>
      <c r="G2986" s="2" t="b">
        <v>0</v>
      </c>
      <c r="H2986" s="2" t="s">
        <v>396</v>
      </c>
      <c r="I2986" s="2" t="s">
        <v>22</v>
      </c>
      <c r="J2986" s="2" t="s">
        <v>123</v>
      </c>
      <c r="K2986" s="2" t="s">
        <v>376</v>
      </c>
      <c r="L2986" s="2" t="s">
        <v>391</v>
      </c>
      <c r="M2986" s="2" t="s">
        <v>26</v>
      </c>
      <c r="P2986" s="5" t="str">
        <f>IFERROR(__xludf.DUMMYFUNCTION("TEXTJOIN("" | "",TRUE,IF(OR(D2986="""",E2986="""",I2986="""",J2986="""",H2986=""""),""ফাঁকা ঘর"",""""),IF(AND(C2986&lt;&gt;"""",D2986&lt;&gt;"""",C2986=D2986),""gloss=figurative"",""""),IF(LEN(D2986)&lt;15,""figurative ছোট"",""""),IF(AND(I2986=""Positive"",REGEXMATCH(H2"&amp;"986,""মূর্খ|ভণ্ড|প্রতার|অলস|লোভ|স্বার্থ|অক্ষম|অযোগ্য|বোকা|কৃপণ|হিংস"")),""valence-target অমিল"",""""),IF(COUNTIF($B:$B,B2986)&gt;1,""ডুপ্লিকেট"",""""))"),"")</f>
        <v/>
      </c>
      <c r="Q2986" s="5" t="str">
        <f t="shared" si="1"/>
        <v>২ পরে</v>
      </c>
    </row>
    <row r="2987">
      <c r="A2987" s="4">
        <v>785.0</v>
      </c>
      <c r="B2987" s="2" t="s">
        <v>11828</v>
      </c>
      <c r="C2987" s="2" t="s">
        <v>11829</v>
      </c>
      <c r="D2987" s="2" t="s">
        <v>11830</v>
      </c>
      <c r="E2987" s="2" t="s">
        <v>11831</v>
      </c>
      <c r="F2987" s="2" t="b">
        <v>1</v>
      </c>
      <c r="G2987" s="2" t="b">
        <v>0</v>
      </c>
      <c r="H2987" s="2" t="s">
        <v>21</v>
      </c>
      <c r="I2987" s="2" t="s">
        <v>22</v>
      </c>
      <c r="J2987" s="2" t="s">
        <v>3262</v>
      </c>
      <c r="K2987" s="2" t="s">
        <v>376</v>
      </c>
      <c r="L2987" s="2" t="s">
        <v>391</v>
      </c>
      <c r="M2987" s="2" t="s">
        <v>26</v>
      </c>
      <c r="P2987" s="5" t="str">
        <f>IFERROR(__xludf.DUMMYFUNCTION("TEXTJOIN("" | "",TRUE,IF(OR(D2987="""",E2987="""",I2987="""",J2987="""",H2987=""""),""ফাঁকা ঘর"",""""),IF(AND(C2987&lt;&gt;"""",D2987&lt;&gt;"""",C2987=D2987),""gloss=figurative"",""""),IF(LEN(D2987)&lt;15,""figurative ছোট"",""""),IF(AND(I2987=""Positive"",REGEXMATCH(H2"&amp;"987,""মূর্খ|ভণ্ড|প্রতার|অলস|লোভ|স্বার্থ|অক্ষম|অযোগ্য|বোকা|কৃপণ|হিংস"")),""valence-target অমিল"",""""),IF(COUNTIF($B:$B,B2987)&gt;1,""ডুপ্লিকেট"",""""))"),"")</f>
        <v/>
      </c>
      <c r="Q2987" s="5" t="str">
        <f t="shared" si="1"/>
        <v>২ পরে</v>
      </c>
    </row>
    <row r="2988">
      <c r="A2988" s="4">
        <v>786.0</v>
      </c>
      <c r="B2988" s="2" t="s">
        <v>11832</v>
      </c>
      <c r="C2988" s="2" t="s">
        <v>11833</v>
      </c>
      <c r="D2988" s="2" t="s">
        <v>11834</v>
      </c>
      <c r="E2988" s="2" t="s">
        <v>11835</v>
      </c>
      <c r="F2988" s="2" t="b">
        <v>1</v>
      </c>
      <c r="G2988" s="2" t="b">
        <v>0</v>
      </c>
      <c r="H2988" s="2" t="s">
        <v>11759</v>
      </c>
      <c r="I2988" s="2" t="s">
        <v>22</v>
      </c>
      <c r="J2988" s="2" t="s">
        <v>59</v>
      </c>
      <c r="K2988" s="2" t="s">
        <v>376</v>
      </c>
      <c r="L2988" s="2" t="s">
        <v>391</v>
      </c>
      <c r="M2988" s="2" t="s">
        <v>26</v>
      </c>
      <c r="P2988" s="5" t="str">
        <f>IFERROR(__xludf.DUMMYFUNCTION("TEXTJOIN("" | "",TRUE,IF(OR(D2988="""",E2988="""",I2988="""",J2988="""",H2988=""""),""ফাঁকা ঘর"",""""),IF(AND(C2988&lt;&gt;"""",D2988&lt;&gt;"""",C2988=D2988),""gloss=figurative"",""""),IF(LEN(D2988)&lt;15,""figurative ছোট"",""""),IF(AND(I2988=""Positive"",REGEXMATCH(H2"&amp;"988,""মূর্খ|ভণ্ড|প্রতার|অলস|লোভ|স্বার্থ|অক্ষম|অযোগ্য|বোকা|কৃপণ|হিংস"")),""valence-target অমিল"",""""),IF(COUNTIF($B:$B,B2988)&gt;1,""ডুপ্লিকেট"",""""))"),"")</f>
        <v/>
      </c>
      <c r="Q2988" s="5" t="str">
        <f t="shared" si="1"/>
        <v>২ পরে</v>
      </c>
    </row>
    <row r="2989">
      <c r="A2989" s="4">
        <v>787.0</v>
      </c>
      <c r="B2989" s="2" t="s">
        <v>11836</v>
      </c>
      <c r="C2989" s="2" t="s">
        <v>11837</v>
      </c>
      <c r="D2989" s="2" t="s">
        <v>11838</v>
      </c>
      <c r="E2989" s="2" t="s">
        <v>11839</v>
      </c>
      <c r="F2989" s="2" t="b">
        <v>1</v>
      </c>
      <c r="G2989" s="2" t="b">
        <v>0</v>
      </c>
      <c r="H2989" s="2" t="s">
        <v>37</v>
      </c>
      <c r="I2989" s="2" t="s">
        <v>32</v>
      </c>
      <c r="J2989" s="2" t="s">
        <v>9943</v>
      </c>
      <c r="K2989" s="2" t="s">
        <v>376</v>
      </c>
      <c r="L2989" s="2" t="s">
        <v>391</v>
      </c>
      <c r="M2989" s="2" t="s">
        <v>26</v>
      </c>
      <c r="P2989" s="5" t="str">
        <f>IFERROR(__xludf.DUMMYFUNCTION("TEXTJOIN("" | "",TRUE,IF(OR(D2989="""",E2989="""",I2989="""",J2989="""",H2989=""""),""ফাঁকা ঘর"",""""),IF(AND(C2989&lt;&gt;"""",D2989&lt;&gt;"""",C2989=D2989),""gloss=figurative"",""""),IF(LEN(D2989)&lt;15,""figurative ছোট"",""""),IF(AND(I2989=""Positive"",REGEXMATCH(H2"&amp;"989,""মূর্খ|ভণ্ড|প্রতার|অলস|লোভ|স্বার্থ|অক্ষম|অযোগ্য|বোকা|কৃপণ|হিংস"")),""valence-target অমিল"",""""),IF(COUNTIF($B:$B,B2989)&gt;1,""ডুপ্লিকেট"",""""))"),"")</f>
        <v/>
      </c>
      <c r="Q2989" s="5" t="str">
        <f t="shared" si="1"/>
        <v>২ পরে</v>
      </c>
    </row>
    <row r="2990">
      <c r="A2990" s="4">
        <v>788.0</v>
      </c>
      <c r="B2990" s="2" t="s">
        <v>11840</v>
      </c>
      <c r="C2990" s="2" t="s">
        <v>11841</v>
      </c>
      <c r="D2990" s="2" t="s">
        <v>11842</v>
      </c>
      <c r="E2990" s="2" t="s">
        <v>11843</v>
      </c>
      <c r="F2990" s="2" t="b">
        <v>1</v>
      </c>
      <c r="G2990" s="2" t="b">
        <v>0</v>
      </c>
      <c r="H2990" s="2" t="s">
        <v>11759</v>
      </c>
      <c r="I2990" s="2" t="s">
        <v>32</v>
      </c>
      <c r="J2990" s="2" t="s">
        <v>59</v>
      </c>
      <c r="K2990" s="2" t="s">
        <v>376</v>
      </c>
      <c r="L2990" s="2" t="s">
        <v>391</v>
      </c>
      <c r="M2990" s="2" t="s">
        <v>26</v>
      </c>
      <c r="P2990" s="5" t="str">
        <f>IFERROR(__xludf.DUMMYFUNCTION("TEXTJOIN("" | "",TRUE,IF(OR(D2990="""",E2990="""",I2990="""",J2990="""",H2990=""""),""ফাঁকা ঘর"",""""),IF(AND(C2990&lt;&gt;"""",D2990&lt;&gt;"""",C2990=D2990),""gloss=figurative"",""""),IF(LEN(D2990)&lt;15,""figurative ছোট"",""""),IF(AND(I2990=""Positive"",REGEXMATCH(H2"&amp;"990,""মূর্খ|ভণ্ড|প্রতার|অলস|লোভ|স্বার্থ|অক্ষম|অযোগ্য|বোকা|কৃপণ|হিংস"")),""valence-target অমিল"",""""),IF(COUNTIF($B:$B,B2990)&gt;1,""ডুপ্লিকেট"",""""))"),"")</f>
        <v/>
      </c>
      <c r="Q2990" s="5" t="str">
        <f t="shared" si="1"/>
        <v>২ পরে</v>
      </c>
    </row>
    <row r="2991">
      <c r="A2991" s="4">
        <v>789.0</v>
      </c>
      <c r="B2991" s="2" t="s">
        <v>11844</v>
      </c>
      <c r="C2991" s="2" t="s">
        <v>11845</v>
      </c>
      <c r="D2991" s="2" t="s">
        <v>11846</v>
      </c>
      <c r="E2991" s="2" t="s">
        <v>11847</v>
      </c>
      <c r="F2991" s="2" t="b">
        <v>1</v>
      </c>
      <c r="G2991" s="2" t="b">
        <v>0</v>
      </c>
      <c r="H2991" s="2" t="s">
        <v>9486</v>
      </c>
      <c r="I2991" s="2" t="s">
        <v>49</v>
      </c>
      <c r="J2991" s="2" t="s">
        <v>11670</v>
      </c>
      <c r="K2991" s="2" t="s">
        <v>376</v>
      </c>
      <c r="L2991" s="2" t="s">
        <v>391</v>
      </c>
      <c r="M2991" s="2" t="s">
        <v>26</v>
      </c>
      <c r="P2991" s="5" t="str">
        <f>IFERROR(__xludf.DUMMYFUNCTION("TEXTJOIN("" | "",TRUE,IF(OR(D2991="""",E2991="""",I2991="""",J2991="""",H2991=""""),""ফাঁকা ঘর"",""""),IF(AND(C2991&lt;&gt;"""",D2991&lt;&gt;"""",C2991=D2991),""gloss=figurative"",""""),IF(LEN(D2991)&lt;15,""figurative ছোট"",""""),IF(AND(I2991=""Positive"",REGEXMATCH(H2"&amp;"991,""মূর্খ|ভণ্ড|প্রতার|অলস|লোভ|স্বার্থ|অক্ষম|অযোগ্য|বোকা|কৃপণ|হিংস"")),""valence-target অমিল"",""""),IF(COUNTIF($B:$B,B2991)&gt;1,""ডুপ্লিকেট"",""""))"),"")</f>
        <v/>
      </c>
      <c r="Q2991" s="5" t="str">
        <f t="shared" si="1"/>
        <v>২ পরে</v>
      </c>
    </row>
    <row r="2992">
      <c r="A2992" s="4">
        <v>790.0</v>
      </c>
      <c r="B2992" s="2" t="s">
        <v>11848</v>
      </c>
      <c r="C2992" s="2" t="s">
        <v>11849</v>
      </c>
      <c r="D2992" s="2" t="s">
        <v>11850</v>
      </c>
      <c r="E2992" s="2" t="s">
        <v>11851</v>
      </c>
      <c r="F2992" s="2" t="b">
        <v>1</v>
      </c>
      <c r="G2992" s="2" t="b">
        <v>0</v>
      </c>
      <c r="H2992" s="2" t="s">
        <v>37</v>
      </c>
      <c r="I2992" s="2" t="s">
        <v>32</v>
      </c>
      <c r="J2992" s="2" t="s">
        <v>1060</v>
      </c>
      <c r="K2992" s="2" t="s">
        <v>376</v>
      </c>
      <c r="L2992" s="2" t="s">
        <v>391</v>
      </c>
      <c r="M2992" s="2" t="s">
        <v>26</v>
      </c>
      <c r="P2992" s="5" t="str">
        <f>IFERROR(__xludf.DUMMYFUNCTION("TEXTJOIN("" | "",TRUE,IF(OR(D2992="""",E2992="""",I2992="""",J2992="""",H2992=""""),""ফাঁকা ঘর"",""""),IF(AND(C2992&lt;&gt;"""",D2992&lt;&gt;"""",C2992=D2992),""gloss=figurative"",""""),IF(LEN(D2992)&lt;15,""figurative ছোট"",""""),IF(AND(I2992=""Positive"",REGEXMATCH(H2"&amp;"992,""মূর্খ|ভণ্ড|প্রতার|অলস|লোভ|স্বার্থ|অক্ষম|অযোগ্য|বোকা|কৃপণ|হিংস"")),""valence-target অমিল"",""""),IF(COUNTIF($B:$B,B2992)&gt;1,""ডুপ্লিকেট"",""""))"),"")</f>
        <v/>
      </c>
      <c r="Q2992" s="5" t="str">
        <f t="shared" si="1"/>
        <v>২ পরে</v>
      </c>
    </row>
    <row r="2993">
      <c r="A2993" s="4">
        <v>791.0</v>
      </c>
      <c r="B2993" s="2" t="s">
        <v>11852</v>
      </c>
      <c r="C2993" s="2" t="s">
        <v>11853</v>
      </c>
      <c r="D2993" s="2" t="s">
        <v>11854</v>
      </c>
      <c r="E2993" s="2" t="s">
        <v>11855</v>
      </c>
      <c r="F2993" s="2" t="b">
        <v>1</v>
      </c>
      <c r="G2993" s="2" t="b">
        <v>0</v>
      </c>
      <c r="H2993" s="2" t="s">
        <v>6161</v>
      </c>
      <c r="I2993" s="2" t="s">
        <v>32</v>
      </c>
      <c r="J2993" s="2" t="s">
        <v>1060</v>
      </c>
      <c r="K2993" s="2" t="s">
        <v>376</v>
      </c>
      <c r="L2993" s="2" t="s">
        <v>391</v>
      </c>
      <c r="M2993" s="2" t="s">
        <v>26</v>
      </c>
      <c r="P2993" s="5" t="str">
        <f>IFERROR(__xludf.DUMMYFUNCTION("TEXTJOIN("" | "",TRUE,IF(OR(D2993="""",E2993="""",I2993="""",J2993="""",H2993=""""),""ফাঁকা ঘর"",""""),IF(AND(C2993&lt;&gt;"""",D2993&lt;&gt;"""",C2993=D2993),""gloss=figurative"",""""),IF(LEN(D2993)&lt;15,""figurative ছোট"",""""),IF(AND(I2993=""Positive"",REGEXMATCH(H2"&amp;"993,""মূর্খ|ভণ্ড|প্রতার|অলস|লোভ|স্বার্থ|অক্ষম|অযোগ্য|বোকা|কৃপণ|হিংস"")),""valence-target অমিল"",""""),IF(COUNTIF($B:$B,B2993)&gt;1,""ডুপ্লিকেট"",""""))"),"")</f>
        <v/>
      </c>
      <c r="Q2993" s="5" t="str">
        <f t="shared" si="1"/>
        <v>২ পরে</v>
      </c>
    </row>
    <row r="2994">
      <c r="A2994" s="4">
        <v>792.0</v>
      </c>
      <c r="B2994" s="2" t="s">
        <v>11856</v>
      </c>
      <c r="C2994" s="2" t="s">
        <v>11857</v>
      </c>
      <c r="D2994" s="2" t="s">
        <v>11858</v>
      </c>
      <c r="E2994" s="2" t="s">
        <v>11859</v>
      </c>
      <c r="F2994" s="2" t="b">
        <v>1</v>
      </c>
      <c r="G2994" s="2" t="b">
        <v>0</v>
      </c>
      <c r="H2994" s="2" t="s">
        <v>396</v>
      </c>
      <c r="I2994" s="2" t="s">
        <v>22</v>
      </c>
      <c r="J2994" s="2" t="s">
        <v>123</v>
      </c>
      <c r="K2994" s="2" t="s">
        <v>376</v>
      </c>
      <c r="L2994" s="2" t="s">
        <v>391</v>
      </c>
      <c r="M2994" s="2" t="s">
        <v>26</v>
      </c>
      <c r="P2994" s="5" t="str">
        <f>IFERROR(__xludf.DUMMYFUNCTION("TEXTJOIN("" | "",TRUE,IF(OR(D2994="""",E2994="""",I2994="""",J2994="""",H2994=""""),""ফাঁকা ঘর"",""""),IF(AND(C2994&lt;&gt;"""",D2994&lt;&gt;"""",C2994=D2994),""gloss=figurative"",""""),IF(LEN(D2994)&lt;15,""figurative ছোট"",""""),IF(AND(I2994=""Positive"",REGEXMATCH(H2"&amp;"994,""মূর্খ|ভণ্ড|প্রতার|অলস|লোভ|স্বার্থ|অক্ষম|অযোগ্য|বোকা|কৃপণ|হিংস"")),""valence-target অমিল"",""""),IF(COUNTIF($B:$B,B2994)&gt;1,""ডুপ্লিকেট"",""""))"),"")</f>
        <v/>
      </c>
      <c r="Q2994" s="5" t="str">
        <f t="shared" si="1"/>
        <v>২ পরে</v>
      </c>
    </row>
    <row r="2995">
      <c r="A2995" s="4">
        <v>793.0</v>
      </c>
      <c r="B2995" s="2" t="s">
        <v>11860</v>
      </c>
      <c r="C2995" s="2" t="s">
        <v>11861</v>
      </c>
      <c r="D2995" s="2" t="s">
        <v>11862</v>
      </c>
      <c r="E2995" s="2" t="s">
        <v>11863</v>
      </c>
      <c r="F2995" s="2" t="b">
        <v>1</v>
      </c>
      <c r="G2995" s="2" t="b">
        <v>0</v>
      </c>
      <c r="H2995" s="2" t="s">
        <v>11864</v>
      </c>
      <c r="I2995" s="2" t="s">
        <v>32</v>
      </c>
      <c r="J2995" s="2" t="s">
        <v>528</v>
      </c>
      <c r="K2995" s="2" t="s">
        <v>376</v>
      </c>
      <c r="L2995" s="2" t="s">
        <v>391</v>
      </c>
      <c r="M2995" s="2" t="s">
        <v>26</v>
      </c>
      <c r="P2995" s="5" t="str">
        <f>IFERROR(__xludf.DUMMYFUNCTION("TEXTJOIN("" | "",TRUE,IF(OR(D2995="""",E2995="""",I2995="""",J2995="""",H2995=""""),""ফাঁকা ঘর"",""""),IF(AND(C2995&lt;&gt;"""",D2995&lt;&gt;"""",C2995=D2995),""gloss=figurative"",""""),IF(LEN(D2995)&lt;15,""figurative ছোট"",""""),IF(AND(I2995=""Positive"",REGEXMATCH(H2"&amp;"995,""মূর্খ|ভণ্ড|প্রতার|অলস|লোভ|স্বার্থ|অক্ষম|অযোগ্য|বোকা|কৃপণ|হিংস"")),""valence-target অমিল"",""""),IF(COUNTIF($B:$B,B2995)&gt;1,""ডুপ্লিকেট"",""""))"),"")</f>
        <v/>
      </c>
      <c r="Q2995" s="5" t="str">
        <f t="shared" si="1"/>
        <v>২ পরে</v>
      </c>
    </row>
    <row r="2996">
      <c r="A2996" s="4">
        <v>794.0</v>
      </c>
      <c r="B2996" s="2" t="s">
        <v>11865</v>
      </c>
      <c r="C2996" s="2" t="s">
        <v>11866</v>
      </c>
      <c r="D2996" s="2" t="s">
        <v>11867</v>
      </c>
      <c r="E2996" s="2" t="s">
        <v>11868</v>
      </c>
      <c r="F2996" s="2" t="b">
        <v>1</v>
      </c>
      <c r="G2996" s="2" t="b">
        <v>0</v>
      </c>
      <c r="H2996" s="2" t="s">
        <v>181</v>
      </c>
      <c r="I2996" s="2" t="s">
        <v>49</v>
      </c>
      <c r="J2996" s="2" t="s">
        <v>11869</v>
      </c>
      <c r="K2996" s="2" t="s">
        <v>376</v>
      </c>
      <c r="L2996" s="2" t="s">
        <v>391</v>
      </c>
      <c r="M2996" s="2" t="s">
        <v>26</v>
      </c>
      <c r="P2996" s="5" t="str">
        <f>IFERROR(__xludf.DUMMYFUNCTION("TEXTJOIN("" | "",TRUE,IF(OR(D2996="""",E2996="""",I2996="""",J2996="""",H2996=""""),""ফাঁকা ঘর"",""""),IF(AND(C2996&lt;&gt;"""",D2996&lt;&gt;"""",C2996=D2996),""gloss=figurative"",""""),IF(LEN(D2996)&lt;15,""figurative ছোট"",""""),IF(AND(I2996=""Positive"",REGEXMATCH(H2"&amp;"996,""মূর্খ|ভণ্ড|প্রতার|অলস|লোভ|স্বার্থ|অক্ষম|অযোগ্য|বোকা|কৃপণ|হিংস"")),""valence-target অমিল"",""""),IF(COUNTIF($B:$B,B2996)&gt;1,""ডুপ্লিকেট"",""""))"),"")</f>
        <v/>
      </c>
      <c r="Q2996" s="5" t="str">
        <f t="shared" si="1"/>
        <v>২ পরে</v>
      </c>
    </row>
    <row r="2997">
      <c r="A2997" s="4">
        <v>795.0</v>
      </c>
      <c r="B2997" s="2" t="s">
        <v>11870</v>
      </c>
      <c r="C2997" s="2" t="s">
        <v>11871</v>
      </c>
      <c r="D2997" s="2" t="s">
        <v>11872</v>
      </c>
      <c r="E2997" s="2" t="s">
        <v>11873</v>
      </c>
      <c r="F2997" s="2" t="b">
        <v>1</v>
      </c>
      <c r="G2997" s="2" t="b">
        <v>0</v>
      </c>
      <c r="H2997" s="2" t="s">
        <v>11874</v>
      </c>
      <c r="I2997" s="2" t="s">
        <v>22</v>
      </c>
      <c r="J2997" s="2" t="s">
        <v>424</v>
      </c>
      <c r="K2997" s="2" t="s">
        <v>376</v>
      </c>
      <c r="L2997" s="2" t="s">
        <v>391</v>
      </c>
      <c r="M2997" s="2" t="s">
        <v>26</v>
      </c>
      <c r="P2997" s="5" t="str">
        <f>IFERROR(__xludf.DUMMYFUNCTION("TEXTJOIN("" | "",TRUE,IF(OR(D2997="""",E2997="""",I2997="""",J2997="""",H2997=""""),""ফাঁকা ঘর"",""""),IF(AND(C2997&lt;&gt;"""",D2997&lt;&gt;"""",C2997=D2997),""gloss=figurative"",""""),IF(LEN(D2997)&lt;15,""figurative ছোট"",""""),IF(AND(I2997=""Positive"",REGEXMATCH(H2"&amp;"997,""মূর্খ|ভণ্ড|প্রতার|অলস|লোভ|স্বার্থ|অক্ষম|অযোগ্য|বোকা|কৃপণ|হিংস"")),""valence-target অমিল"",""""),IF(COUNTIF($B:$B,B2997)&gt;1,""ডুপ্লিকেট"",""""))"),"")</f>
        <v/>
      </c>
      <c r="Q2997" s="5" t="str">
        <f t="shared" si="1"/>
        <v>২ পরে</v>
      </c>
    </row>
    <row r="2998">
      <c r="A2998" s="4">
        <v>796.0</v>
      </c>
      <c r="B2998" s="2" t="s">
        <v>11875</v>
      </c>
      <c r="C2998" s="2" t="s">
        <v>11876</v>
      </c>
      <c r="D2998" s="2" t="s">
        <v>11877</v>
      </c>
      <c r="E2998" s="2" t="s">
        <v>11878</v>
      </c>
      <c r="F2998" s="2" t="b">
        <v>1</v>
      </c>
      <c r="G2998" s="2" t="b">
        <v>0</v>
      </c>
      <c r="H2998" s="2" t="s">
        <v>21</v>
      </c>
      <c r="I2998" s="2" t="s">
        <v>22</v>
      </c>
      <c r="J2998" s="2" t="s">
        <v>527</v>
      </c>
      <c r="K2998" s="2" t="s">
        <v>376</v>
      </c>
      <c r="L2998" s="2" t="s">
        <v>391</v>
      </c>
      <c r="M2998" s="2" t="s">
        <v>26</v>
      </c>
      <c r="P2998" s="5" t="str">
        <f>IFERROR(__xludf.DUMMYFUNCTION("TEXTJOIN("" | "",TRUE,IF(OR(D2998="""",E2998="""",I2998="""",J2998="""",H2998=""""),""ফাঁকা ঘর"",""""),IF(AND(C2998&lt;&gt;"""",D2998&lt;&gt;"""",C2998=D2998),""gloss=figurative"",""""),IF(LEN(D2998)&lt;15,""figurative ছোট"",""""),IF(AND(I2998=""Positive"",REGEXMATCH(H2"&amp;"998,""মূর্খ|ভণ্ড|প্রতার|অলস|লোভ|স্বার্থ|অক্ষম|অযোগ্য|বোকা|কৃপণ|হিংস"")),""valence-target অমিল"",""""),IF(COUNTIF($B:$B,B2998)&gt;1,""ডুপ্লিকেট"",""""))"),"")</f>
        <v/>
      </c>
      <c r="Q2998" s="5" t="str">
        <f t="shared" si="1"/>
        <v>২ পরে</v>
      </c>
    </row>
    <row r="2999">
      <c r="A2999" s="4">
        <v>797.0</v>
      </c>
      <c r="B2999" s="2" t="s">
        <v>11879</v>
      </c>
      <c r="C2999" s="2" t="s">
        <v>11880</v>
      </c>
      <c r="D2999" s="2" t="s">
        <v>11881</v>
      </c>
      <c r="E2999" s="2" t="s">
        <v>11882</v>
      </c>
      <c r="F2999" s="2" t="b">
        <v>1</v>
      </c>
      <c r="G2999" s="2" t="b">
        <v>0</v>
      </c>
      <c r="H2999" s="2" t="s">
        <v>11883</v>
      </c>
      <c r="I2999" s="2" t="s">
        <v>32</v>
      </c>
      <c r="J2999" s="2" t="s">
        <v>1008</v>
      </c>
      <c r="K2999" s="2" t="s">
        <v>376</v>
      </c>
      <c r="L2999" s="2" t="s">
        <v>391</v>
      </c>
      <c r="M2999" s="2" t="s">
        <v>26</v>
      </c>
      <c r="P2999" s="5" t="str">
        <f>IFERROR(__xludf.DUMMYFUNCTION("TEXTJOIN("" | "",TRUE,IF(OR(D2999="""",E2999="""",I2999="""",J2999="""",H2999=""""),""ফাঁকা ঘর"",""""),IF(AND(C2999&lt;&gt;"""",D2999&lt;&gt;"""",C2999=D2999),""gloss=figurative"",""""),IF(LEN(D2999)&lt;15,""figurative ছোট"",""""),IF(AND(I2999=""Positive"",REGEXMATCH(H2"&amp;"999,""মূর্খ|ভণ্ড|প্রতার|অলস|লোভ|স্বার্থ|অক্ষম|অযোগ্য|বোকা|কৃপণ|হিংস"")),""valence-target অমিল"",""""),IF(COUNTIF($B:$B,B2999)&gt;1,""ডুপ্লিকেট"",""""))"),"")</f>
        <v/>
      </c>
      <c r="Q2999" s="5" t="str">
        <f t="shared" si="1"/>
        <v>২ পরে</v>
      </c>
    </row>
    <row r="3000">
      <c r="A3000" s="4">
        <v>798.0</v>
      </c>
      <c r="B3000" s="2" t="s">
        <v>11884</v>
      </c>
      <c r="C3000" s="2" t="s">
        <v>11885</v>
      </c>
      <c r="D3000" s="2" t="s">
        <v>11886</v>
      </c>
      <c r="E3000" s="2" t="s">
        <v>11887</v>
      </c>
      <c r="F3000" s="2" t="b">
        <v>1</v>
      </c>
      <c r="G3000" s="2" t="b">
        <v>0</v>
      </c>
      <c r="H3000" s="2" t="s">
        <v>9742</v>
      </c>
      <c r="I3000" s="2" t="s">
        <v>49</v>
      </c>
      <c r="J3000" s="2" t="s">
        <v>9743</v>
      </c>
      <c r="K3000" s="2" t="s">
        <v>376</v>
      </c>
      <c r="L3000" s="2" t="s">
        <v>391</v>
      </c>
      <c r="M3000" s="2" t="s">
        <v>26</v>
      </c>
      <c r="P3000" s="5" t="str">
        <f>IFERROR(__xludf.DUMMYFUNCTION("TEXTJOIN("" | "",TRUE,IF(OR(D3000="""",E3000="""",I3000="""",J3000="""",H3000=""""),""ফাঁকা ঘর"",""""),IF(AND(C3000&lt;&gt;"""",D3000&lt;&gt;"""",C3000=D3000),""gloss=figurative"",""""),IF(LEN(D3000)&lt;15,""figurative ছোট"",""""),IF(AND(I3000=""Positive"",REGEXMATCH(H3"&amp;"000,""মূর্খ|ভণ্ড|প্রতার|অলস|লোভ|স্বার্থ|অক্ষম|অযোগ্য|বোকা|কৃপণ|হিংস"")),""valence-target অমিল"",""""),IF(COUNTIF($B:$B,B3000)&gt;1,""ডুপ্লিকেট"",""""))"),"")</f>
        <v/>
      </c>
      <c r="Q3000" s="5" t="str">
        <f t="shared" si="1"/>
        <v>২ পরে</v>
      </c>
    </row>
    <row r="3001">
      <c r="A3001" s="4">
        <v>799.0</v>
      </c>
      <c r="B3001" s="2" t="s">
        <v>11888</v>
      </c>
      <c r="C3001" s="2" t="s">
        <v>11889</v>
      </c>
      <c r="D3001" s="2" t="s">
        <v>11890</v>
      </c>
      <c r="E3001" s="2" t="s">
        <v>11891</v>
      </c>
      <c r="F3001" s="2" t="b">
        <v>1</v>
      </c>
      <c r="G3001" s="2" t="b">
        <v>1</v>
      </c>
      <c r="H3001" s="2" t="s">
        <v>11892</v>
      </c>
      <c r="I3001" s="2" t="s">
        <v>22</v>
      </c>
      <c r="J3001" s="2" t="s">
        <v>436</v>
      </c>
      <c r="K3001" s="2" t="s">
        <v>376</v>
      </c>
      <c r="L3001" s="2" t="s">
        <v>391</v>
      </c>
      <c r="M3001" s="2" t="s">
        <v>26</v>
      </c>
      <c r="P3001" s="5" t="str">
        <f>IFERROR(__xludf.DUMMYFUNCTION("TEXTJOIN("" | "",TRUE,IF(OR(D3001="""",E3001="""",I3001="""",J3001="""",H3001=""""),""ফাঁকা ঘর"",""""),IF(AND(C3001&lt;&gt;"""",D3001&lt;&gt;"""",C3001=D3001),""gloss=figurative"",""""),IF(LEN(D3001)&lt;15,""figurative ছোট"",""""),IF(AND(I3001=""Positive"",REGEXMATCH(H3"&amp;"001,""মূর্খ|ভণ্ড|প্রতার|অলস|লোভ|স্বার্থ|অক্ষম|অযোগ্য|বোকা|কৃপণ|হিংস"")),""valence-target অমিল"",""""),IF(COUNTIF($B:$B,B3001)&gt;1,""ডুপ্লিকেট"",""""))"),"")</f>
        <v/>
      </c>
      <c r="Q3001" s="5" t="str">
        <f t="shared" si="1"/>
        <v>২ পরে</v>
      </c>
    </row>
    <row r="3002">
      <c r="A3002" s="4">
        <v>800.0</v>
      </c>
      <c r="B3002" s="2" t="s">
        <v>11893</v>
      </c>
      <c r="C3002" s="2" t="s">
        <v>11894</v>
      </c>
      <c r="D3002" s="2" t="s">
        <v>11895</v>
      </c>
      <c r="E3002" s="2" t="s">
        <v>11896</v>
      </c>
      <c r="F3002" s="2" t="b">
        <v>1</v>
      </c>
      <c r="G3002" s="2" t="b">
        <v>0</v>
      </c>
      <c r="H3002" s="2" t="s">
        <v>189</v>
      </c>
      <c r="I3002" s="2" t="s">
        <v>22</v>
      </c>
      <c r="J3002" s="2" t="s">
        <v>59</v>
      </c>
      <c r="K3002" s="2" t="s">
        <v>376</v>
      </c>
      <c r="L3002" s="2" t="s">
        <v>391</v>
      </c>
      <c r="M3002" s="2" t="s">
        <v>26</v>
      </c>
      <c r="P3002" s="5" t="str">
        <f>IFERROR(__xludf.DUMMYFUNCTION("TEXTJOIN("" | "",TRUE,IF(OR(D3002="""",E3002="""",I3002="""",J3002="""",H3002=""""),""ফাঁকা ঘর"",""""),IF(AND(C3002&lt;&gt;"""",D3002&lt;&gt;"""",C3002=D3002),""gloss=figurative"",""""),IF(LEN(D3002)&lt;15,""figurative ছোট"",""""),IF(AND(I3002=""Positive"",REGEXMATCH(H3"&amp;"002,""মূর্খ|ভণ্ড|প্রতার|অলস|লোভ|স্বার্থ|অক্ষম|অযোগ্য|বোকা|কৃপণ|হিংস"")),""valence-target অমিল"",""""),IF(COUNTIF($B:$B,B3002)&gt;1,""ডুপ্লিকেট"",""""))"),"")</f>
        <v/>
      </c>
      <c r="Q3002" s="5" t="str">
        <f t="shared" si="1"/>
        <v>২ পরে</v>
      </c>
    </row>
    <row r="3003">
      <c r="A3003" s="4">
        <v>801.0</v>
      </c>
      <c r="B3003" s="2" t="s">
        <v>11897</v>
      </c>
      <c r="C3003" s="2" t="s">
        <v>11898</v>
      </c>
      <c r="D3003" s="2" t="s">
        <v>11899</v>
      </c>
      <c r="E3003" s="2" t="s">
        <v>11900</v>
      </c>
      <c r="F3003" s="2" t="b">
        <v>1</v>
      </c>
      <c r="G3003" s="2" t="b">
        <v>0</v>
      </c>
      <c r="H3003" s="2" t="s">
        <v>189</v>
      </c>
      <c r="I3003" s="2" t="s">
        <v>22</v>
      </c>
      <c r="J3003" s="2" t="s">
        <v>59</v>
      </c>
      <c r="K3003" s="2" t="s">
        <v>376</v>
      </c>
      <c r="L3003" s="2" t="s">
        <v>391</v>
      </c>
      <c r="M3003" s="2" t="s">
        <v>26</v>
      </c>
      <c r="P3003" s="5" t="str">
        <f>IFERROR(__xludf.DUMMYFUNCTION("TEXTJOIN("" | "",TRUE,IF(OR(D3003="""",E3003="""",I3003="""",J3003="""",H3003=""""),""ফাঁকা ঘর"",""""),IF(AND(C3003&lt;&gt;"""",D3003&lt;&gt;"""",C3003=D3003),""gloss=figurative"",""""),IF(LEN(D3003)&lt;15,""figurative ছোট"",""""),IF(AND(I3003=""Positive"",REGEXMATCH(H3"&amp;"003,""মূর্খ|ভণ্ড|প্রতার|অলস|লোভ|স্বার্থ|অক্ষম|অযোগ্য|বোকা|কৃপণ|হিংস"")),""valence-target অমিল"",""""),IF(COUNTIF($B:$B,B3003)&gt;1,""ডুপ্লিকেট"",""""))"),"")</f>
        <v/>
      </c>
      <c r="Q3003" s="5" t="str">
        <f t="shared" si="1"/>
        <v>২ পরে</v>
      </c>
    </row>
    <row r="3004">
      <c r="A3004" s="4">
        <v>802.0</v>
      </c>
      <c r="B3004" s="2" t="s">
        <v>11901</v>
      </c>
      <c r="C3004" s="2" t="s">
        <v>11902</v>
      </c>
      <c r="D3004" s="2" t="s">
        <v>11903</v>
      </c>
      <c r="E3004" s="2" t="s">
        <v>11904</v>
      </c>
      <c r="F3004" s="2" t="b">
        <v>1</v>
      </c>
      <c r="G3004" s="2" t="b">
        <v>0</v>
      </c>
      <c r="H3004" s="2" t="s">
        <v>10834</v>
      </c>
      <c r="I3004" s="2" t="s">
        <v>49</v>
      </c>
      <c r="J3004" s="2" t="s">
        <v>5524</v>
      </c>
      <c r="K3004" s="2" t="s">
        <v>376</v>
      </c>
      <c r="L3004" s="2" t="s">
        <v>391</v>
      </c>
      <c r="M3004" s="2" t="s">
        <v>26</v>
      </c>
      <c r="P3004" s="5" t="str">
        <f>IFERROR(__xludf.DUMMYFUNCTION("TEXTJOIN("" | "",TRUE,IF(OR(D3004="""",E3004="""",I3004="""",J3004="""",H3004=""""),""ফাঁকা ঘর"",""""),IF(AND(C3004&lt;&gt;"""",D3004&lt;&gt;"""",C3004=D3004),""gloss=figurative"",""""),IF(LEN(D3004)&lt;15,""figurative ছোট"",""""),IF(AND(I3004=""Positive"",REGEXMATCH(H3"&amp;"004,""মূর্খ|ভণ্ড|প্রতার|অলস|লোভ|স্বার্থ|অক্ষম|অযোগ্য|বোকা|কৃপণ|হিংস"")),""valence-target অমিল"",""""),IF(COUNTIF($B:$B,B3004)&gt;1,""ডুপ্লিকেট"",""""))"),"")</f>
        <v/>
      </c>
      <c r="Q3004" s="5" t="str">
        <f t="shared" si="1"/>
        <v>২ পরে</v>
      </c>
    </row>
    <row r="3005">
      <c r="A3005" s="4">
        <v>803.0</v>
      </c>
      <c r="B3005" s="2" t="s">
        <v>11905</v>
      </c>
      <c r="C3005" s="2" t="s">
        <v>11906</v>
      </c>
      <c r="D3005" s="2" t="s">
        <v>11907</v>
      </c>
      <c r="E3005" s="2" t="s">
        <v>11908</v>
      </c>
      <c r="F3005" s="2" t="b">
        <v>1</v>
      </c>
      <c r="G3005" s="2" t="b">
        <v>0</v>
      </c>
      <c r="H3005" s="2" t="s">
        <v>10796</v>
      </c>
      <c r="I3005" s="2" t="s">
        <v>32</v>
      </c>
      <c r="J3005" s="2" t="s">
        <v>162</v>
      </c>
      <c r="K3005" s="2" t="s">
        <v>376</v>
      </c>
      <c r="L3005" s="2" t="s">
        <v>391</v>
      </c>
      <c r="M3005" s="2" t="s">
        <v>26</v>
      </c>
      <c r="P3005" s="5" t="str">
        <f>IFERROR(__xludf.DUMMYFUNCTION("TEXTJOIN("" | "",TRUE,IF(OR(D3005="""",E3005="""",I3005="""",J3005="""",H3005=""""),""ফাঁকা ঘর"",""""),IF(AND(C3005&lt;&gt;"""",D3005&lt;&gt;"""",C3005=D3005),""gloss=figurative"",""""),IF(LEN(D3005)&lt;15,""figurative ছোট"",""""),IF(AND(I3005=""Positive"",REGEXMATCH(H3"&amp;"005,""মূর্খ|ভণ্ড|প্রতার|অলস|লোভ|স্বার্থ|অক্ষম|অযোগ্য|বোকা|কৃপণ|হিংস"")),""valence-target অমিল"",""""),IF(COUNTIF($B:$B,B3005)&gt;1,""ডুপ্লিকেট"",""""))"),"")</f>
        <v/>
      </c>
      <c r="Q3005" s="5" t="str">
        <f t="shared" si="1"/>
        <v>২ পরে</v>
      </c>
    </row>
    <row r="3006">
      <c r="A3006" s="4">
        <v>804.0</v>
      </c>
      <c r="B3006" s="2" t="s">
        <v>11909</v>
      </c>
      <c r="C3006" s="2" t="s">
        <v>11910</v>
      </c>
      <c r="D3006" s="2" t="s">
        <v>11911</v>
      </c>
      <c r="E3006" s="2" t="s">
        <v>11912</v>
      </c>
      <c r="F3006" s="2" t="b">
        <v>1</v>
      </c>
      <c r="G3006" s="2" t="b">
        <v>1</v>
      </c>
      <c r="H3006" s="2" t="s">
        <v>11913</v>
      </c>
      <c r="I3006" s="2" t="s">
        <v>22</v>
      </c>
      <c r="J3006" s="2" t="s">
        <v>11914</v>
      </c>
      <c r="K3006" s="2" t="s">
        <v>376</v>
      </c>
      <c r="L3006" s="2" t="s">
        <v>391</v>
      </c>
      <c r="M3006" s="2" t="s">
        <v>26</v>
      </c>
      <c r="P3006" s="5" t="str">
        <f>IFERROR(__xludf.DUMMYFUNCTION("TEXTJOIN("" | "",TRUE,IF(OR(D3006="""",E3006="""",I3006="""",J3006="""",H3006=""""),""ফাঁকা ঘর"",""""),IF(AND(C3006&lt;&gt;"""",D3006&lt;&gt;"""",C3006=D3006),""gloss=figurative"",""""),IF(LEN(D3006)&lt;15,""figurative ছোট"",""""),IF(AND(I3006=""Positive"",REGEXMATCH(H3"&amp;"006,""মূর্খ|ভণ্ড|প্রতার|অলস|লোভ|স্বার্থ|অক্ষম|অযোগ্য|বোকা|কৃপণ|হিংস"")),""valence-target অমিল"",""""),IF(COUNTIF($B:$B,B3006)&gt;1,""ডুপ্লিকেট"",""""))"),"")</f>
        <v/>
      </c>
      <c r="Q3006" s="5" t="str">
        <f t="shared" si="1"/>
        <v>২ পরে</v>
      </c>
    </row>
    <row r="3007">
      <c r="A3007" s="4">
        <v>805.0</v>
      </c>
      <c r="B3007" s="2" t="s">
        <v>11915</v>
      </c>
      <c r="C3007" s="2" t="s">
        <v>11916</v>
      </c>
      <c r="D3007" s="2" t="s">
        <v>11917</v>
      </c>
      <c r="E3007" s="2" t="s">
        <v>11918</v>
      </c>
      <c r="F3007" s="2" t="b">
        <v>1</v>
      </c>
      <c r="G3007" s="2" t="b">
        <v>1</v>
      </c>
      <c r="H3007" s="2" t="s">
        <v>11919</v>
      </c>
      <c r="I3007" s="2" t="s">
        <v>32</v>
      </c>
      <c r="J3007" s="2" t="s">
        <v>142</v>
      </c>
      <c r="K3007" s="2" t="s">
        <v>376</v>
      </c>
      <c r="L3007" s="2" t="s">
        <v>391</v>
      </c>
      <c r="M3007" s="2" t="s">
        <v>26</v>
      </c>
      <c r="P3007" s="5" t="str">
        <f>IFERROR(__xludf.DUMMYFUNCTION("TEXTJOIN("" | "",TRUE,IF(OR(D3007="""",E3007="""",I3007="""",J3007="""",H3007=""""),""ফাঁকা ঘর"",""""),IF(AND(C3007&lt;&gt;"""",D3007&lt;&gt;"""",C3007=D3007),""gloss=figurative"",""""),IF(LEN(D3007)&lt;15,""figurative ছোট"",""""),IF(AND(I3007=""Positive"",REGEXMATCH(H3"&amp;"007,""মূর্খ|ভণ্ড|প্রতার|অলস|লোভ|স্বার্থ|অক্ষম|অযোগ্য|বোকা|কৃপণ|হিংস"")),""valence-target অমিল"",""""),IF(COUNTIF($B:$B,B3007)&gt;1,""ডুপ্লিকেট"",""""))"),"")</f>
        <v/>
      </c>
      <c r="Q3007" s="5" t="str">
        <f t="shared" si="1"/>
        <v>২ পরে</v>
      </c>
    </row>
    <row r="3008">
      <c r="A3008" s="4">
        <v>806.0</v>
      </c>
      <c r="B3008" s="2" t="s">
        <v>11920</v>
      </c>
      <c r="C3008" s="2" t="s">
        <v>11921</v>
      </c>
      <c r="D3008" s="2" t="s">
        <v>11922</v>
      </c>
      <c r="E3008" s="2" t="s">
        <v>11923</v>
      </c>
      <c r="F3008" s="2" t="b">
        <v>1</v>
      </c>
      <c r="G3008" s="2" t="b">
        <v>0</v>
      </c>
      <c r="H3008" s="2" t="s">
        <v>9974</v>
      </c>
      <c r="I3008" s="2" t="s">
        <v>22</v>
      </c>
      <c r="J3008" s="2" t="s">
        <v>197</v>
      </c>
      <c r="K3008" s="2" t="s">
        <v>376</v>
      </c>
      <c r="L3008" s="2" t="s">
        <v>391</v>
      </c>
      <c r="M3008" s="2" t="s">
        <v>26</v>
      </c>
      <c r="P3008" s="5" t="str">
        <f>IFERROR(__xludf.DUMMYFUNCTION("TEXTJOIN("" | "",TRUE,IF(OR(D3008="""",E3008="""",I3008="""",J3008="""",H3008=""""),""ফাঁকা ঘর"",""""),IF(AND(C3008&lt;&gt;"""",D3008&lt;&gt;"""",C3008=D3008),""gloss=figurative"",""""),IF(LEN(D3008)&lt;15,""figurative ছোট"",""""),IF(AND(I3008=""Positive"",REGEXMATCH(H3"&amp;"008,""মূর্খ|ভণ্ড|প্রতার|অলস|লোভ|স্বার্থ|অক্ষম|অযোগ্য|বোকা|কৃপণ|হিংস"")),""valence-target অমিল"",""""),IF(COUNTIF($B:$B,B3008)&gt;1,""ডুপ্লিকেট"",""""))"),"")</f>
        <v/>
      </c>
      <c r="Q3008" s="5" t="str">
        <f t="shared" si="1"/>
        <v>২ পরে</v>
      </c>
    </row>
    <row r="3009">
      <c r="A3009" s="4">
        <v>807.0</v>
      </c>
      <c r="B3009" s="2" t="s">
        <v>11924</v>
      </c>
      <c r="C3009" s="2" t="s">
        <v>11925</v>
      </c>
      <c r="D3009" s="2" t="s">
        <v>11926</v>
      </c>
      <c r="E3009" s="2" t="s">
        <v>11927</v>
      </c>
      <c r="F3009" s="2" t="b">
        <v>1</v>
      </c>
      <c r="G3009" s="2" t="b">
        <v>0</v>
      </c>
      <c r="H3009" s="2" t="s">
        <v>37</v>
      </c>
      <c r="I3009" s="2" t="s">
        <v>32</v>
      </c>
      <c r="J3009" s="2" t="s">
        <v>447</v>
      </c>
      <c r="K3009" s="2" t="s">
        <v>376</v>
      </c>
      <c r="L3009" s="2" t="s">
        <v>391</v>
      </c>
      <c r="M3009" s="2" t="s">
        <v>26</v>
      </c>
      <c r="P3009" s="5" t="str">
        <f>IFERROR(__xludf.DUMMYFUNCTION("TEXTJOIN("" | "",TRUE,IF(OR(D3009="""",E3009="""",I3009="""",J3009="""",H3009=""""),""ফাঁকা ঘর"",""""),IF(AND(C3009&lt;&gt;"""",D3009&lt;&gt;"""",C3009=D3009),""gloss=figurative"",""""),IF(LEN(D3009)&lt;15,""figurative ছোট"",""""),IF(AND(I3009=""Positive"",REGEXMATCH(H3"&amp;"009,""মূর্খ|ভণ্ড|প্রতার|অলস|লোভ|স্বার্থ|অক্ষম|অযোগ্য|বোকা|কৃপণ|হিংস"")),""valence-target অমিল"",""""),IF(COUNTIF($B:$B,B3009)&gt;1,""ডুপ্লিকেট"",""""))"),"")</f>
        <v/>
      </c>
      <c r="Q3009" s="5" t="str">
        <f t="shared" si="1"/>
        <v>২ পরে</v>
      </c>
    </row>
    <row r="3010">
      <c r="A3010" s="4">
        <v>808.0</v>
      </c>
      <c r="B3010" s="2" t="s">
        <v>11928</v>
      </c>
      <c r="C3010" s="2" t="s">
        <v>11929</v>
      </c>
      <c r="D3010" s="2" t="s">
        <v>11930</v>
      </c>
      <c r="E3010" s="2" t="s">
        <v>11931</v>
      </c>
      <c r="F3010" s="2" t="b">
        <v>1</v>
      </c>
      <c r="G3010" s="2" t="b">
        <v>1</v>
      </c>
      <c r="H3010" s="2" t="s">
        <v>11932</v>
      </c>
      <c r="I3010" s="2" t="s">
        <v>32</v>
      </c>
      <c r="J3010" s="2" t="s">
        <v>59</v>
      </c>
      <c r="K3010" s="2" t="s">
        <v>376</v>
      </c>
      <c r="L3010" s="2" t="s">
        <v>391</v>
      </c>
      <c r="M3010" s="2" t="s">
        <v>26</v>
      </c>
      <c r="P3010" s="5" t="str">
        <f>IFERROR(__xludf.DUMMYFUNCTION("TEXTJOIN("" | "",TRUE,IF(OR(D3010="""",E3010="""",I3010="""",J3010="""",H3010=""""),""ফাঁকা ঘর"",""""),IF(AND(C3010&lt;&gt;"""",D3010&lt;&gt;"""",C3010=D3010),""gloss=figurative"",""""),IF(LEN(D3010)&lt;15,""figurative ছোট"",""""),IF(AND(I3010=""Positive"",REGEXMATCH(H3"&amp;"010,""মূর্খ|ভণ্ড|প্রতার|অলস|লোভ|স্বার্থ|অক্ষম|অযোগ্য|বোকা|কৃপণ|হিংস"")),""valence-target অমিল"",""""),IF(COUNTIF($B:$B,B3010)&gt;1,""ডুপ্লিকেট"",""""))"),"")</f>
        <v/>
      </c>
      <c r="Q3010" s="5" t="str">
        <f t="shared" si="1"/>
        <v>২ পরে</v>
      </c>
    </row>
    <row r="3011">
      <c r="A3011" s="4">
        <v>809.0</v>
      </c>
      <c r="B3011" s="2" t="s">
        <v>11933</v>
      </c>
      <c r="C3011" s="2" t="s">
        <v>11934</v>
      </c>
      <c r="D3011" s="2" t="s">
        <v>11935</v>
      </c>
      <c r="E3011" s="2" t="s">
        <v>11936</v>
      </c>
      <c r="F3011" s="2" t="b">
        <v>1</v>
      </c>
      <c r="G3011" s="2" t="b">
        <v>0</v>
      </c>
      <c r="H3011" s="2" t="s">
        <v>396</v>
      </c>
      <c r="I3011" s="2" t="s">
        <v>22</v>
      </c>
      <c r="J3011" s="2" t="s">
        <v>123</v>
      </c>
      <c r="K3011" s="2" t="s">
        <v>376</v>
      </c>
      <c r="L3011" s="2" t="s">
        <v>391</v>
      </c>
      <c r="M3011" s="2" t="s">
        <v>26</v>
      </c>
      <c r="P3011" s="5" t="str">
        <f>IFERROR(__xludf.DUMMYFUNCTION("TEXTJOIN("" | "",TRUE,IF(OR(D3011="""",E3011="""",I3011="""",J3011="""",H3011=""""),""ফাঁকা ঘর"",""""),IF(AND(C3011&lt;&gt;"""",D3011&lt;&gt;"""",C3011=D3011),""gloss=figurative"",""""),IF(LEN(D3011)&lt;15,""figurative ছোট"",""""),IF(AND(I3011=""Positive"",REGEXMATCH(H3"&amp;"011,""মূর্খ|ভণ্ড|প্রতার|অলস|লোভ|স্বার্থ|অক্ষম|অযোগ্য|বোকা|কৃপণ|হিংস"")),""valence-target অমিল"",""""),IF(COUNTIF($B:$B,B3011)&gt;1,""ডুপ্লিকেট"",""""))"),"")</f>
        <v/>
      </c>
      <c r="Q3011" s="5" t="str">
        <f t="shared" si="1"/>
        <v>২ পরে</v>
      </c>
    </row>
    <row r="3012">
      <c r="A3012" s="4">
        <v>810.0</v>
      </c>
      <c r="B3012" s="2" t="s">
        <v>11937</v>
      </c>
      <c r="C3012" s="2" t="s">
        <v>11938</v>
      </c>
      <c r="D3012" s="2" t="s">
        <v>11939</v>
      </c>
      <c r="E3012" s="2" t="s">
        <v>11940</v>
      </c>
      <c r="F3012" s="2" t="b">
        <v>1</v>
      </c>
      <c r="G3012" s="2" t="b">
        <v>0</v>
      </c>
      <c r="H3012" s="2" t="s">
        <v>9047</v>
      </c>
      <c r="I3012" s="2" t="s">
        <v>22</v>
      </c>
      <c r="J3012" s="2" t="s">
        <v>11746</v>
      </c>
      <c r="K3012" s="2" t="s">
        <v>376</v>
      </c>
      <c r="L3012" s="2" t="s">
        <v>391</v>
      </c>
      <c r="M3012" s="2" t="s">
        <v>26</v>
      </c>
      <c r="P3012" s="5" t="str">
        <f>IFERROR(__xludf.DUMMYFUNCTION("TEXTJOIN("" | "",TRUE,IF(OR(D3012="""",E3012="""",I3012="""",J3012="""",H3012=""""),""ফাঁকা ঘর"",""""),IF(AND(C3012&lt;&gt;"""",D3012&lt;&gt;"""",C3012=D3012),""gloss=figurative"",""""),IF(LEN(D3012)&lt;15,""figurative ছোট"",""""),IF(AND(I3012=""Positive"",REGEXMATCH(H3"&amp;"012,""মূর্খ|ভণ্ড|প্রতার|অলস|লোভ|স্বার্থ|অক্ষম|অযোগ্য|বোকা|কৃপণ|হিংস"")),""valence-target অমিল"",""""),IF(COUNTIF($B:$B,B3012)&gt;1,""ডুপ্লিকেট"",""""))"),"")</f>
        <v/>
      </c>
      <c r="Q3012" s="5" t="str">
        <f t="shared" si="1"/>
        <v>২ পরে</v>
      </c>
    </row>
    <row r="3013">
      <c r="A3013" s="4">
        <v>811.0</v>
      </c>
      <c r="B3013" s="2" t="s">
        <v>11941</v>
      </c>
      <c r="C3013" s="2" t="s">
        <v>11942</v>
      </c>
      <c r="D3013" s="2" t="s">
        <v>11943</v>
      </c>
      <c r="E3013" s="2" t="s">
        <v>11944</v>
      </c>
      <c r="F3013" s="2" t="b">
        <v>1</v>
      </c>
      <c r="G3013" s="2" t="b">
        <v>0</v>
      </c>
      <c r="H3013" s="2" t="s">
        <v>11945</v>
      </c>
      <c r="I3013" s="2" t="s">
        <v>32</v>
      </c>
      <c r="J3013" s="2" t="s">
        <v>10356</v>
      </c>
      <c r="K3013" s="2" t="s">
        <v>376</v>
      </c>
      <c r="L3013" s="2" t="s">
        <v>391</v>
      </c>
      <c r="M3013" s="2" t="s">
        <v>26</v>
      </c>
      <c r="P3013" s="5" t="str">
        <f>IFERROR(__xludf.DUMMYFUNCTION("TEXTJOIN("" | "",TRUE,IF(OR(D3013="""",E3013="""",I3013="""",J3013="""",H3013=""""),""ফাঁকা ঘর"",""""),IF(AND(C3013&lt;&gt;"""",D3013&lt;&gt;"""",C3013=D3013),""gloss=figurative"",""""),IF(LEN(D3013)&lt;15,""figurative ছোট"",""""),IF(AND(I3013=""Positive"",REGEXMATCH(H3"&amp;"013,""মূর্খ|ভণ্ড|প্রতার|অলস|লোভ|স্বার্থ|অক্ষম|অযোগ্য|বোকা|কৃপণ|হিংস"")),""valence-target অমিল"",""""),IF(COUNTIF($B:$B,B3013)&gt;1,""ডুপ্লিকেট"",""""))"),"")</f>
        <v/>
      </c>
      <c r="Q3013" s="5" t="str">
        <f t="shared" si="1"/>
        <v>২ পরে</v>
      </c>
    </row>
    <row r="3014">
      <c r="A3014" s="4">
        <v>812.0</v>
      </c>
      <c r="B3014" s="2" t="s">
        <v>11946</v>
      </c>
      <c r="C3014" s="2" t="s">
        <v>11947</v>
      </c>
      <c r="D3014" s="2" t="s">
        <v>11948</v>
      </c>
      <c r="E3014" s="2" t="s">
        <v>11949</v>
      </c>
      <c r="F3014" s="2" t="b">
        <v>1</v>
      </c>
      <c r="G3014" s="2" t="b">
        <v>0</v>
      </c>
      <c r="H3014" s="2" t="s">
        <v>11950</v>
      </c>
      <c r="I3014" s="2" t="s">
        <v>32</v>
      </c>
      <c r="J3014" s="2" t="s">
        <v>59</v>
      </c>
      <c r="K3014" s="2" t="s">
        <v>376</v>
      </c>
      <c r="L3014" s="2" t="s">
        <v>391</v>
      </c>
      <c r="M3014" s="2" t="s">
        <v>26</v>
      </c>
      <c r="P3014" s="5" t="str">
        <f>IFERROR(__xludf.DUMMYFUNCTION("TEXTJOIN("" | "",TRUE,IF(OR(D3014="""",E3014="""",I3014="""",J3014="""",H3014=""""),""ফাঁকা ঘর"",""""),IF(AND(C3014&lt;&gt;"""",D3014&lt;&gt;"""",C3014=D3014),""gloss=figurative"",""""),IF(LEN(D3014)&lt;15,""figurative ছোট"",""""),IF(AND(I3014=""Positive"",REGEXMATCH(H3"&amp;"014,""মূর্খ|ভণ্ড|প্রতার|অলস|লোভ|স্বার্থ|অক্ষম|অযোগ্য|বোকা|কৃপণ|হিংস"")),""valence-target অমিল"",""""),IF(COUNTIF($B:$B,B3014)&gt;1,""ডুপ্লিকেট"",""""))"),"")</f>
        <v/>
      </c>
      <c r="Q3014" s="5" t="str">
        <f t="shared" si="1"/>
        <v>২ পরে</v>
      </c>
    </row>
    <row r="3015">
      <c r="A3015" s="4">
        <v>813.0</v>
      </c>
      <c r="B3015" s="2" t="s">
        <v>11951</v>
      </c>
      <c r="C3015" s="2" t="s">
        <v>11952</v>
      </c>
      <c r="D3015" s="2" t="s">
        <v>11953</v>
      </c>
      <c r="E3015" s="2" t="s">
        <v>11954</v>
      </c>
      <c r="F3015" s="2" t="b">
        <v>1</v>
      </c>
      <c r="G3015" s="2" t="b">
        <v>0</v>
      </c>
      <c r="H3015" s="2" t="s">
        <v>37</v>
      </c>
      <c r="I3015" s="2" t="s">
        <v>32</v>
      </c>
      <c r="J3015" s="2" t="s">
        <v>162</v>
      </c>
      <c r="K3015" s="2" t="s">
        <v>376</v>
      </c>
      <c r="L3015" s="2" t="s">
        <v>391</v>
      </c>
      <c r="M3015" s="2" t="s">
        <v>26</v>
      </c>
      <c r="P3015" s="5" t="str">
        <f>IFERROR(__xludf.DUMMYFUNCTION("TEXTJOIN("" | "",TRUE,IF(OR(D3015="""",E3015="""",I3015="""",J3015="""",H3015=""""),""ফাঁকা ঘর"",""""),IF(AND(C3015&lt;&gt;"""",D3015&lt;&gt;"""",C3015=D3015),""gloss=figurative"",""""),IF(LEN(D3015)&lt;15,""figurative ছোট"",""""),IF(AND(I3015=""Positive"",REGEXMATCH(H3"&amp;"015,""মূর্খ|ভণ্ড|প্রতার|অলস|লোভ|স্বার্থ|অক্ষম|অযোগ্য|বোকা|কৃপণ|হিংস"")),""valence-target অমিল"",""""),IF(COUNTIF($B:$B,B3015)&gt;1,""ডুপ্লিকেট"",""""))"),"")</f>
        <v/>
      </c>
      <c r="Q3015" s="5" t="str">
        <f t="shared" si="1"/>
        <v>২ পরে</v>
      </c>
    </row>
    <row r="3016">
      <c r="A3016" s="4">
        <v>814.0</v>
      </c>
      <c r="B3016" s="2" t="s">
        <v>11955</v>
      </c>
      <c r="C3016" s="2" t="s">
        <v>11956</v>
      </c>
      <c r="D3016" s="2" t="s">
        <v>11957</v>
      </c>
      <c r="E3016" s="2" t="s">
        <v>11958</v>
      </c>
      <c r="F3016" s="2" t="b">
        <v>1</v>
      </c>
      <c r="G3016" s="2" t="b">
        <v>0</v>
      </c>
      <c r="H3016" s="2" t="s">
        <v>739</v>
      </c>
      <c r="I3016" s="2" t="s">
        <v>32</v>
      </c>
      <c r="J3016" s="2" t="s">
        <v>739</v>
      </c>
      <c r="K3016" s="2" t="s">
        <v>376</v>
      </c>
      <c r="L3016" s="2" t="s">
        <v>391</v>
      </c>
      <c r="M3016" s="2" t="s">
        <v>26</v>
      </c>
      <c r="P3016" s="5" t="str">
        <f>IFERROR(__xludf.DUMMYFUNCTION("TEXTJOIN("" | "",TRUE,IF(OR(D3016="""",E3016="""",I3016="""",J3016="""",H3016=""""),""ফাঁকা ঘর"",""""),IF(AND(C3016&lt;&gt;"""",D3016&lt;&gt;"""",C3016=D3016),""gloss=figurative"",""""),IF(LEN(D3016)&lt;15,""figurative ছোট"",""""),IF(AND(I3016=""Positive"",REGEXMATCH(H3"&amp;"016,""মূর্খ|ভণ্ড|প্রতার|অলস|লোভ|স্বার্থ|অক্ষম|অযোগ্য|বোকা|কৃপণ|হিংস"")),""valence-target অমিল"",""""),IF(COUNTIF($B:$B,B3016)&gt;1,""ডুপ্লিকেট"",""""))"),"")</f>
        <v/>
      </c>
      <c r="Q3016" s="5" t="str">
        <f t="shared" si="1"/>
        <v>২ পরে</v>
      </c>
    </row>
    <row r="3017">
      <c r="A3017" s="4">
        <v>815.0</v>
      </c>
      <c r="B3017" s="2" t="s">
        <v>11959</v>
      </c>
      <c r="C3017" s="2" t="s">
        <v>11960</v>
      </c>
      <c r="D3017" s="2" t="s">
        <v>11961</v>
      </c>
      <c r="E3017" s="2" t="s">
        <v>11962</v>
      </c>
      <c r="F3017" s="2" t="b">
        <v>1</v>
      </c>
      <c r="G3017" s="2" t="b">
        <v>1</v>
      </c>
      <c r="H3017" s="2" t="s">
        <v>11963</v>
      </c>
      <c r="I3017" s="2" t="s">
        <v>22</v>
      </c>
      <c r="J3017" s="2" t="s">
        <v>11964</v>
      </c>
      <c r="K3017" s="2" t="s">
        <v>376</v>
      </c>
      <c r="L3017" s="2" t="s">
        <v>391</v>
      </c>
      <c r="M3017" s="2" t="s">
        <v>26</v>
      </c>
      <c r="P3017" s="5" t="str">
        <f>IFERROR(__xludf.DUMMYFUNCTION("TEXTJOIN("" | "",TRUE,IF(OR(D3017="""",E3017="""",I3017="""",J3017="""",H3017=""""),""ফাঁকা ঘর"",""""),IF(AND(C3017&lt;&gt;"""",D3017&lt;&gt;"""",C3017=D3017),""gloss=figurative"",""""),IF(LEN(D3017)&lt;15,""figurative ছোট"",""""),IF(AND(I3017=""Positive"",REGEXMATCH(H3"&amp;"017,""মূর্খ|ভণ্ড|প্রতার|অলস|লোভ|স্বার্থ|অক্ষম|অযোগ্য|বোকা|কৃপণ|হিংস"")),""valence-target অমিল"",""""),IF(COUNTIF($B:$B,B3017)&gt;1,""ডুপ্লিকেট"",""""))"),"")</f>
        <v/>
      </c>
      <c r="Q3017" s="5" t="str">
        <f t="shared" si="1"/>
        <v>২ পরে</v>
      </c>
    </row>
    <row r="3018">
      <c r="A3018" s="4">
        <v>816.0</v>
      </c>
      <c r="B3018" s="2" t="s">
        <v>11965</v>
      </c>
      <c r="C3018" s="2" t="s">
        <v>11966</v>
      </c>
      <c r="D3018" s="2" t="s">
        <v>11967</v>
      </c>
      <c r="E3018" s="2" t="s">
        <v>11968</v>
      </c>
      <c r="F3018" s="2" t="b">
        <v>1</v>
      </c>
      <c r="G3018" s="2" t="b">
        <v>0</v>
      </c>
      <c r="H3018" s="2" t="s">
        <v>11796</v>
      </c>
      <c r="I3018" s="2" t="s">
        <v>32</v>
      </c>
      <c r="J3018" s="2" t="s">
        <v>9301</v>
      </c>
      <c r="K3018" s="2" t="s">
        <v>376</v>
      </c>
      <c r="L3018" s="2" t="s">
        <v>391</v>
      </c>
      <c r="M3018" s="2" t="s">
        <v>26</v>
      </c>
      <c r="P3018" s="5" t="str">
        <f>IFERROR(__xludf.DUMMYFUNCTION("TEXTJOIN("" | "",TRUE,IF(OR(D3018="""",E3018="""",I3018="""",J3018="""",H3018=""""),""ফাঁকা ঘর"",""""),IF(AND(C3018&lt;&gt;"""",D3018&lt;&gt;"""",C3018=D3018),""gloss=figurative"",""""),IF(LEN(D3018)&lt;15,""figurative ছোট"",""""),IF(AND(I3018=""Positive"",REGEXMATCH(H3"&amp;"018,""মূর্খ|ভণ্ড|প্রতার|অলস|লোভ|স্বার্থ|অক্ষম|অযোগ্য|বোকা|কৃপণ|হিংস"")),""valence-target অমিল"",""""),IF(COUNTIF($B:$B,B3018)&gt;1,""ডুপ্লিকেট"",""""))"),"")</f>
        <v/>
      </c>
      <c r="Q3018" s="5" t="str">
        <f t="shared" si="1"/>
        <v>২ পরে</v>
      </c>
    </row>
    <row r="3019">
      <c r="A3019" s="4">
        <v>817.0</v>
      </c>
      <c r="B3019" s="2" t="s">
        <v>11969</v>
      </c>
      <c r="C3019" s="2" t="s">
        <v>11122</v>
      </c>
      <c r="D3019" s="2" t="s">
        <v>11970</v>
      </c>
      <c r="E3019" s="2" t="s">
        <v>11971</v>
      </c>
      <c r="F3019" s="2" t="b">
        <v>1</v>
      </c>
      <c r="G3019" s="2" t="b">
        <v>0</v>
      </c>
      <c r="H3019" s="2" t="s">
        <v>21</v>
      </c>
      <c r="I3019" s="2" t="s">
        <v>22</v>
      </c>
      <c r="J3019" s="2" t="s">
        <v>3262</v>
      </c>
      <c r="K3019" s="2" t="s">
        <v>376</v>
      </c>
      <c r="L3019" s="2" t="s">
        <v>391</v>
      </c>
      <c r="M3019" s="2" t="s">
        <v>26</v>
      </c>
      <c r="P3019" s="5" t="str">
        <f>IFERROR(__xludf.DUMMYFUNCTION("TEXTJOIN("" | "",TRUE,IF(OR(D3019="""",E3019="""",I3019="""",J3019="""",H3019=""""),""ফাঁকা ঘর"",""""),IF(AND(C3019&lt;&gt;"""",D3019&lt;&gt;"""",C3019=D3019),""gloss=figurative"",""""),IF(LEN(D3019)&lt;15,""figurative ছোট"",""""),IF(AND(I3019=""Positive"",REGEXMATCH(H3"&amp;"019,""মূর্খ|ভণ্ড|প্রতার|অলস|লোভ|স্বার্থ|অক্ষম|অযোগ্য|বোকা|কৃপণ|হিংস"")),""valence-target অমিল"",""""),IF(COUNTIF($B:$B,B3019)&gt;1,""ডুপ্লিকেট"",""""))"),"")</f>
        <v/>
      </c>
      <c r="Q3019" s="5" t="str">
        <f t="shared" si="1"/>
        <v>২ পরে</v>
      </c>
    </row>
    <row r="3020">
      <c r="A3020" s="4">
        <v>818.0</v>
      </c>
      <c r="B3020" s="2" t="s">
        <v>11972</v>
      </c>
      <c r="C3020" s="2" t="s">
        <v>11973</v>
      </c>
      <c r="D3020" s="2" t="s">
        <v>11974</v>
      </c>
      <c r="E3020" s="2" t="s">
        <v>11975</v>
      </c>
      <c r="F3020" s="2" t="b">
        <v>1</v>
      </c>
      <c r="G3020" s="2" t="b">
        <v>0</v>
      </c>
      <c r="H3020" s="2" t="s">
        <v>21</v>
      </c>
      <c r="I3020" s="2" t="s">
        <v>22</v>
      </c>
      <c r="J3020" s="2" t="s">
        <v>3262</v>
      </c>
      <c r="K3020" s="2" t="s">
        <v>376</v>
      </c>
      <c r="L3020" s="2" t="s">
        <v>391</v>
      </c>
      <c r="M3020" s="2" t="s">
        <v>26</v>
      </c>
      <c r="P3020" s="5" t="str">
        <f>IFERROR(__xludf.DUMMYFUNCTION("TEXTJOIN("" | "",TRUE,IF(OR(D3020="""",E3020="""",I3020="""",J3020="""",H3020=""""),""ফাঁকা ঘর"",""""),IF(AND(C3020&lt;&gt;"""",D3020&lt;&gt;"""",C3020=D3020),""gloss=figurative"",""""),IF(LEN(D3020)&lt;15,""figurative ছোট"",""""),IF(AND(I3020=""Positive"",REGEXMATCH(H3"&amp;"020,""মূর্খ|ভণ্ড|প্রতার|অলস|লোভ|স্বার্থ|অক্ষম|অযোগ্য|বোকা|কৃপণ|হিংস"")),""valence-target অমিল"",""""),IF(COUNTIF($B:$B,B3020)&gt;1,""ডুপ্লিকেট"",""""))"),"")</f>
        <v/>
      </c>
      <c r="Q3020" s="5" t="str">
        <f t="shared" si="1"/>
        <v>২ পরে</v>
      </c>
    </row>
    <row r="3021">
      <c r="A3021" s="4">
        <v>819.0</v>
      </c>
      <c r="B3021" s="2" t="s">
        <v>11976</v>
      </c>
      <c r="C3021" s="2" t="s">
        <v>11977</v>
      </c>
      <c r="D3021" s="2" t="s">
        <v>11978</v>
      </c>
      <c r="E3021" s="2" t="s">
        <v>11979</v>
      </c>
      <c r="F3021" s="2" t="b">
        <v>1</v>
      </c>
      <c r="G3021" s="2" t="b">
        <v>0</v>
      </c>
      <c r="H3021" s="2" t="s">
        <v>9486</v>
      </c>
      <c r="I3021" s="2" t="s">
        <v>49</v>
      </c>
      <c r="J3021" s="2" t="s">
        <v>11670</v>
      </c>
      <c r="K3021" s="2" t="s">
        <v>376</v>
      </c>
      <c r="L3021" s="2" t="s">
        <v>391</v>
      </c>
      <c r="M3021" s="2" t="s">
        <v>26</v>
      </c>
      <c r="P3021" s="5" t="str">
        <f>IFERROR(__xludf.DUMMYFUNCTION("TEXTJOIN("" | "",TRUE,IF(OR(D3021="""",E3021="""",I3021="""",J3021="""",H3021=""""),""ফাঁকা ঘর"",""""),IF(AND(C3021&lt;&gt;"""",D3021&lt;&gt;"""",C3021=D3021),""gloss=figurative"",""""),IF(LEN(D3021)&lt;15,""figurative ছোট"",""""),IF(AND(I3021=""Positive"",REGEXMATCH(H3"&amp;"021,""মূর্খ|ভণ্ড|প্রতার|অলস|লোভ|স্বার্থ|অক্ষম|অযোগ্য|বোকা|কৃপণ|হিংস"")),""valence-target অমিল"",""""),IF(COUNTIF($B:$B,B3021)&gt;1,""ডুপ্লিকেট"",""""))"),"")</f>
        <v/>
      </c>
      <c r="Q3021" s="5" t="str">
        <f t="shared" si="1"/>
        <v>২ পরে</v>
      </c>
    </row>
    <row r="3022">
      <c r="A3022" s="4">
        <v>820.0</v>
      </c>
      <c r="B3022" s="2" t="s">
        <v>11980</v>
      </c>
      <c r="C3022" s="2" t="s">
        <v>11981</v>
      </c>
      <c r="D3022" s="2" t="s">
        <v>11982</v>
      </c>
      <c r="E3022" s="2" t="s">
        <v>11983</v>
      </c>
      <c r="F3022" s="2" t="b">
        <v>1</v>
      </c>
      <c r="G3022" s="2" t="b">
        <v>0</v>
      </c>
      <c r="H3022" s="2" t="s">
        <v>6612</v>
      </c>
      <c r="I3022" s="2" t="s">
        <v>32</v>
      </c>
      <c r="J3022" s="2" t="s">
        <v>142</v>
      </c>
      <c r="K3022" s="2" t="s">
        <v>376</v>
      </c>
      <c r="L3022" s="2" t="s">
        <v>391</v>
      </c>
      <c r="M3022" s="2" t="s">
        <v>26</v>
      </c>
      <c r="P3022" s="5" t="str">
        <f>IFERROR(__xludf.DUMMYFUNCTION("TEXTJOIN("" | "",TRUE,IF(OR(D3022="""",E3022="""",I3022="""",J3022="""",H3022=""""),""ফাঁকা ঘর"",""""),IF(AND(C3022&lt;&gt;"""",D3022&lt;&gt;"""",C3022=D3022),""gloss=figurative"",""""),IF(LEN(D3022)&lt;15,""figurative ছোট"",""""),IF(AND(I3022=""Positive"",REGEXMATCH(H3"&amp;"022,""মূর্খ|ভণ্ড|প্রতার|অলস|লোভ|স্বার্থ|অক্ষম|অযোগ্য|বোকা|কৃপণ|হিংস"")),""valence-target অমিল"",""""),IF(COUNTIF($B:$B,B3022)&gt;1,""ডুপ্লিকেট"",""""))"),"")</f>
        <v/>
      </c>
      <c r="Q3022" s="5" t="str">
        <f t="shared" si="1"/>
        <v>২ পরে</v>
      </c>
    </row>
    <row r="3023">
      <c r="A3023" s="4">
        <v>821.0</v>
      </c>
      <c r="B3023" s="2" t="s">
        <v>11984</v>
      </c>
      <c r="C3023" s="2" t="s">
        <v>11985</v>
      </c>
      <c r="D3023" s="2" t="s">
        <v>11986</v>
      </c>
      <c r="E3023" s="2" t="s">
        <v>11987</v>
      </c>
      <c r="F3023" s="2" t="b">
        <v>1</v>
      </c>
      <c r="G3023" s="2" t="b">
        <v>0</v>
      </c>
      <c r="H3023" s="2" t="s">
        <v>11988</v>
      </c>
      <c r="I3023" s="2" t="s">
        <v>32</v>
      </c>
      <c r="J3023" s="2" t="s">
        <v>123</v>
      </c>
      <c r="K3023" s="2" t="s">
        <v>376</v>
      </c>
      <c r="L3023" s="2" t="s">
        <v>391</v>
      </c>
      <c r="M3023" s="2" t="s">
        <v>26</v>
      </c>
      <c r="P3023" s="5" t="str">
        <f>IFERROR(__xludf.DUMMYFUNCTION("TEXTJOIN("" | "",TRUE,IF(OR(D3023="""",E3023="""",I3023="""",J3023="""",H3023=""""),""ফাঁকা ঘর"",""""),IF(AND(C3023&lt;&gt;"""",D3023&lt;&gt;"""",C3023=D3023),""gloss=figurative"",""""),IF(LEN(D3023)&lt;15,""figurative ছোট"",""""),IF(AND(I3023=""Positive"",REGEXMATCH(H3"&amp;"023,""মূর্খ|ভণ্ড|প্রতার|অলস|লোভ|স্বার্থ|অক্ষম|অযোগ্য|বোকা|কৃপণ|হিংস"")),""valence-target অমিল"",""""),IF(COUNTIF($B:$B,B3023)&gt;1,""ডুপ্লিকেট"",""""))"),"")</f>
        <v/>
      </c>
      <c r="Q3023" s="5" t="str">
        <f t="shared" si="1"/>
        <v>২ পরে</v>
      </c>
    </row>
    <row r="3024">
      <c r="A3024" s="4">
        <v>822.0</v>
      </c>
      <c r="B3024" s="2" t="s">
        <v>11989</v>
      </c>
      <c r="C3024" s="2" t="s">
        <v>11990</v>
      </c>
      <c r="D3024" s="2" t="s">
        <v>11991</v>
      </c>
      <c r="E3024" s="2" t="s">
        <v>11992</v>
      </c>
      <c r="F3024" s="2" t="b">
        <v>1</v>
      </c>
      <c r="G3024" s="2" t="b">
        <v>0</v>
      </c>
      <c r="H3024" s="2" t="s">
        <v>37</v>
      </c>
      <c r="I3024" s="2" t="s">
        <v>32</v>
      </c>
      <c r="J3024" s="2" t="s">
        <v>436</v>
      </c>
      <c r="K3024" s="2" t="s">
        <v>376</v>
      </c>
      <c r="L3024" s="2" t="s">
        <v>391</v>
      </c>
      <c r="M3024" s="2" t="s">
        <v>26</v>
      </c>
      <c r="P3024" s="5" t="str">
        <f>IFERROR(__xludf.DUMMYFUNCTION("TEXTJOIN("" | "",TRUE,IF(OR(D3024="""",E3024="""",I3024="""",J3024="""",H3024=""""),""ফাঁকা ঘর"",""""),IF(AND(C3024&lt;&gt;"""",D3024&lt;&gt;"""",C3024=D3024),""gloss=figurative"",""""),IF(LEN(D3024)&lt;15,""figurative ছোট"",""""),IF(AND(I3024=""Positive"",REGEXMATCH(H3"&amp;"024,""মূর্খ|ভণ্ড|প্রতার|অলস|লোভ|স্বার্থ|অক্ষম|অযোগ্য|বোকা|কৃপণ|হিংস"")),""valence-target অমিল"",""""),IF(COUNTIF($B:$B,B3024)&gt;1,""ডুপ্লিকেট"",""""))"),"")</f>
        <v/>
      </c>
      <c r="Q3024" s="5" t="str">
        <f t="shared" si="1"/>
        <v>২ পরে</v>
      </c>
    </row>
    <row r="3025">
      <c r="A3025" s="4">
        <v>823.0</v>
      </c>
      <c r="B3025" s="2" t="s">
        <v>11993</v>
      </c>
      <c r="C3025" s="2" t="s">
        <v>9423</v>
      </c>
      <c r="D3025" s="2" t="s">
        <v>9424</v>
      </c>
      <c r="E3025" s="2" t="s">
        <v>11994</v>
      </c>
      <c r="F3025" s="2" t="b">
        <v>1</v>
      </c>
      <c r="G3025" s="2" t="b">
        <v>1</v>
      </c>
      <c r="H3025" s="2" t="s">
        <v>1982</v>
      </c>
      <c r="I3025" s="2" t="s">
        <v>22</v>
      </c>
      <c r="J3025" s="2" t="s">
        <v>11995</v>
      </c>
      <c r="K3025" s="2" t="s">
        <v>376</v>
      </c>
      <c r="L3025" s="2" t="s">
        <v>391</v>
      </c>
      <c r="M3025" s="2" t="s">
        <v>26</v>
      </c>
      <c r="P3025" s="5" t="str">
        <f>IFERROR(__xludf.DUMMYFUNCTION("TEXTJOIN("" | "",TRUE,IF(OR(D3025="""",E3025="""",I3025="""",J3025="""",H3025=""""),""ফাঁকা ঘর"",""""),IF(AND(C3025&lt;&gt;"""",D3025&lt;&gt;"""",C3025=D3025),""gloss=figurative"",""""),IF(LEN(D3025)&lt;15,""figurative ছোট"",""""),IF(AND(I3025=""Positive"",REGEXMATCH(H3"&amp;"025,""মূর্খ|ভণ্ড|প্রতার|অলস|লোভ|স্বার্থ|অক্ষম|অযোগ্য|বোকা|কৃপণ|হিংস"")),""valence-target অমিল"",""""),IF(COUNTIF($B:$B,B3025)&gt;1,""ডুপ্লিকেট"",""""))"),"")</f>
        <v/>
      </c>
      <c r="Q3025" s="5" t="str">
        <f t="shared" si="1"/>
        <v>২ পরে</v>
      </c>
    </row>
    <row r="3026">
      <c r="A3026" s="4">
        <v>824.0</v>
      </c>
      <c r="B3026" s="2" t="s">
        <v>11996</v>
      </c>
      <c r="C3026" s="2" t="s">
        <v>11997</v>
      </c>
      <c r="D3026" s="2" t="s">
        <v>11998</v>
      </c>
      <c r="E3026" s="2" t="s">
        <v>11999</v>
      </c>
      <c r="F3026" s="2" t="b">
        <v>1</v>
      </c>
      <c r="G3026" s="2" t="b">
        <v>0</v>
      </c>
      <c r="H3026" s="2" t="s">
        <v>12000</v>
      </c>
      <c r="I3026" s="2" t="s">
        <v>32</v>
      </c>
      <c r="J3026" s="2" t="s">
        <v>9301</v>
      </c>
      <c r="K3026" s="2" t="s">
        <v>376</v>
      </c>
      <c r="L3026" s="2" t="s">
        <v>391</v>
      </c>
      <c r="M3026" s="2" t="s">
        <v>26</v>
      </c>
      <c r="P3026" s="5" t="str">
        <f>IFERROR(__xludf.DUMMYFUNCTION("TEXTJOIN("" | "",TRUE,IF(OR(D3026="""",E3026="""",I3026="""",J3026="""",H3026=""""),""ফাঁকা ঘর"",""""),IF(AND(C3026&lt;&gt;"""",D3026&lt;&gt;"""",C3026=D3026),""gloss=figurative"",""""),IF(LEN(D3026)&lt;15,""figurative ছোট"",""""),IF(AND(I3026=""Positive"",REGEXMATCH(H3"&amp;"026,""মূর্খ|ভণ্ড|প্রতার|অলস|লোভ|স্বার্থ|অক্ষম|অযোগ্য|বোকা|কৃপণ|হিংস"")),""valence-target অমিল"",""""),IF(COUNTIF($B:$B,B3026)&gt;1,""ডুপ্লিকেট"",""""))"),"")</f>
        <v/>
      </c>
      <c r="Q3026" s="5" t="str">
        <f t="shared" si="1"/>
        <v>২ পরে</v>
      </c>
    </row>
    <row r="3027">
      <c r="A3027" s="4">
        <v>825.0</v>
      </c>
      <c r="B3027" s="2" t="s">
        <v>12001</v>
      </c>
      <c r="C3027" s="2" t="s">
        <v>12002</v>
      </c>
      <c r="D3027" s="2" t="s">
        <v>12003</v>
      </c>
      <c r="E3027" s="2" t="s">
        <v>12004</v>
      </c>
      <c r="F3027" s="2" t="b">
        <v>1</v>
      </c>
      <c r="G3027" s="2" t="b">
        <v>0</v>
      </c>
      <c r="H3027" s="2" t="s">
        <v>12005</v>
      </c>
      <c r="I3027" s="2" t="s">
        <v>32</v>
      </c>
      <c r="J3027" s="2" t="s">
        <v>123</v>
      </c>
      <c r="K3027" s="2" t="s">
        <v>376</v>
      </c>
      <c r="L3027" s="2" t="s">
        <v>391</v>
      </c>
      <c r="M3027" s="2" t="s">
        <v>26</v>
      </c>
      <c r="P3027" s="5" t="str">
        <f>IFERROR(__xludf.DUMMYFUNCTION("TEXTJOIN("" | "",TRUE,IF(OR(D3027="""",E3027="""",I3027="""",J3027="""",H3027=""""),""ফাঁকা ঘর"",""""),IF(AND(C3027&lt;&gt;"""",D3027&lt;&gt;"""",C3027=D3027),""gloss=figurative"",""""),IF(LEN(D3027)&lt;15,""figurative ছোট"",""""),IF(AND(I3027=""Positive"",REGEXMATCH(H3"&amp;"027,""মূর্খ|ভণ্ড|প্রতার|অলস|লোভ|স্বার্থ|অক্ষম|অযোগ্য|বোকা|কৃপণ|হিংস"")),""valence-target অমিল"",""""),IF(COUNTIF($B:$B,B3027)&gt;1,""ডুপ্লিকেট"",""""))"),"")</f>
        <v/>
      </c>
      <c r="Q3027" s="5" t="str">
        <f t="shared" si="1"/>
        <v>২ পরে</v>
      </c>
    </row>
    <row r="3028">
      <c r="A3028" s="4">
        <v>826.0</v>
      </c>
      <c r="B3028" s="2" t="s">
        <v>12006</v>
      </c>
      <c r="C3028" s="2" t="s">
        <v>12007</v>
      </c>
      <c r="D3028" s="2" t="s">
        <v>12008</v>
      </c>
      <c r="E3028" s="2" t="s">
        <v>12009</v>
      </c>
      <c r="F3028" s="2" t="b">
        <v>1</v>
      </c>
      <c r="G3028" s="2" t="b">
        <v>0</v>
      </c>
      <c r="H3028" s="2" t="s">
        <v>12010</v>
      </c>
      <c r="I3028" s="2" t="s">
        <v>49</v>
      </c>
      <c r="J3028" s="2" t="s">
        <v>2002</v>
      </c>
      <c r="K3028" s="2" t="s">
        <v>376</v>
      </c>
      <c r="L3028" s="2" t="s">
        <v>391</v>
      </c>
      <c r="M3028" s="2" t="s">
        <v>26</v>
      </c>
      <c r="P3028" s="5" t="str">
        <f>IFERROR(__xludf.DUMMYFUNCTION("TEXTJOIN("" | "",TRUE,IF(OR(D3028="""",E3028="""",I3028="""",J3028="""",H3028=""""),""ফাঁকা ঘর"",""""),IF(AND(C3028&lt;&gt;"""",D3028&lt;&gt;"""",C3028=D3028),""gloss=figurative"",""""),IF(LEN(D3028)&lt;15,""figurative ছোট"",""""),IF(AND(I3028=""Positive"",REGEXMATCH(H3"&amp;"028,""মূর্খ|ভণ্ড|প্রতার|অলস|লোভ|স্বার্থ|অক্ষম|অযোগ্য|বোকা|কৃপণ|হিংস"")),""valence-target অমিল"",""""),IF(COUNTIF($B:$B,B3028)&gt;1,""ডুপ্লিকেট"",""""))"),"")</f>
        <v/>
      </c>
      <c r="Q3028" s="5" t="str">
        <f t="shared" si="1"/>
        <v>২ পরে</v>
      </c>
    </row>
    <row r="3029">
      <c r="A3029" s="4">
        <v>827.0</v>
      </c>
      <c r="B3029" s="2" t="s">
        <v>12011</v>
      </c>
      <c r="C3029" s="2" t="s">
        <v>12012</v>
      </c>
      <c r="D3029" s="2" t="s">
        <v>12013</v>
      </c>
      <c r="E3029" s="2" t="s">
        <v>12014</v>
      </c>
      <c r="F3029" s="2" t="b">
        <v>1</v>
      </c>
      <c r="G3029" s="2" t="b">
        <v>0</v>
      </c>
      <c r="H3029" s="2" t="s">
        <v>12015</v>
      </c>
      <c r="I3029" s="2" t="s">
        <v>22</v>
      </c>
      <c r="J3029" s="2" t="s">
        <v>123</v>
      </c>
      <c r="K3029" s="2" t="s">
        <v>376</v>
      </c>
      <c r="L3029" s="2" t="s">
        <v>391</v>
      </c>
      <c r="M3029" s="2" t="s">
        <v>26</v>
      </c>
      <c r="P3029" s="5" t="str">
        <f>IFERROR(__xludf.DUMMYFUNCTION("TEXTJOIN("" | "",TRUE,IF(OR(D3029="""",E3029="""",I3029="""",J3029="""",H3029=""""),""ফাঁকা ঘর"",""""),IF(AND(C3029&lt;&gt;"""",D3029&lt;&gt;"""",C3029=D3029),""gloss=figurative"",""""),IF(LEN(D3029)&lt;15,""figurative ছোট"",""""),IF(AND(I3029=""Positive"",REGEXMATCH(H3"&amp;"029,""মূর্খ|ভণ্ড|প্রতার|অলস|লোভ|স্বার্থ|অক্ষম|অযোগ্য|বোকা|কৃপণ|হিংস"")),""valence-target অমিল"",""""),IF(COUNTIF($B:$B,B3029)&gt;1,""ডুপ্লিকেট"",""""))"),"")</f>
        <v/>
      </c>
      <c r="Q3029" s="5" t="str">
        <f t="shared" si="1"/>
        <v>২ পরে</v>
      </c>
    </row>
    <row r="3030">
      <c r="A3030" s="4">
        <v>828.0</v>
      </c>
      <c r="B3030" s="2" t="s">
        <v>12016</v>
      </c>
      <c r="C3030" s="2" t="s">
        <v>12017</v>
      </c>
      <c r="D3030" s="2" t="s">
        <v>12018</v>
      </c>
      <c r="E3030" s="2" t="s">
        <v>12019</v>
      </c>
      <c r="F3030" s="2" t="b">
        <v>1</v>
      </c>
      <c r="G3030" s="2" t="b">
        <v>0</v>
      </c>
      <c r="H3030" s="2" t="s">
        <v>9359</v>
      </c>
      <c r="I3030" s="2" t="s">
        <v>22</v>
      </c>
      <c r="J3030" s="2" t="s">
        <v>123</v>
      </c>
      <c r="K3030" s="2" t="s">
        <v>376</v>
      </c>
      <c r="L3030" s="2" t="s">
        <v>391</v>
      </c>
      <c r="M3030" s="2" t="s">
        <v>26</v>
      </c>
      <c r="P3030" s="5" t="str">
        <f>IFERROR(__xludf.DUMMYFUNCTION("TEXTJOIN("" | "",TRUE,IF(OR(D3030="""",E3030="""",I3030="""",J3030="""",H3030=""""),""ফাঁকা ঘর"",""""),IF(AND(C3030&lt;&gt;"""",D3030&lt;&gt;"""",C3030=D3030),""gloss=figurative"",""""),IF(LEN(D3030)&lt;15,""figurative ছোট"",""""),IF(AND(I3030=""Positive"",REGEXMATCH(H3"&amp;"030,""মূর্খ|ভণ্ড|প্রতার|অলস|লোভ|স্বার্থ|অক্ষম|অযোগ্য|বোকা|কৃপণ|হিংস"")),""valence-target অমিল"",""""),IF(COUNTIF($B:$B,B3030)&gt;1,""ডুপ্লিকেট"",""""))"),"")</f>
        <v/>
      </c>
      <c r="Q3030" s="5" t="str">
        <f t="shared" si="1"/>
        <v>২ পরে</v>
      </c>
    </row>
    <row r="3031">
      <c r="A3031" s="4">
        <v>829.0</v>
      </c>
      <c r="B3031" s="2" t="s">
        <v>12020</v>
      </c>
      <c r="C3031" s="2" t="s">
        <v>12021</v>
      </c>
      <c r="D3031" s="2" t="s">
        <v>12022</v>
      </c>
      <c r="E3031" s="2" t="s">
        <v>12023</v>
      </c>
      <c r="F3031" s="2" t="b">
        <v>1</v>
      </c>
      <c r="G3031" s="2" t="b">
        <v>0</v>
      </c>
      <c r="H3031" s="2" t="s">
        <v>12024</v>
      </c>
      <c r="I3031" s="2" t="s">
        <v>22</v>
      </c>
      <c r="J3031" s="2" t="s">
        <v>59</v>
      </c>
      <c r="K3031" s="2" t="s">
        <v>376</v>
      </c>
      <c r="L3031" s="2" t="s">
        <v>391</v>
      </c>
      <c r="M3031" s="2" t="s">
        <v>26</v>
      </c>
      <c r="P3031" s="5" t="str">
        <f>IFERROR(__xludf.DUMMYFUNCTION("TEXTJOIN("" | "",TRUE,IF(OR(D3031="""",E3031="""",I3031="""",J3031="""",H3031=""""),""ফাঁকা ঘর"",""""),IF(AND(C3031&lt;&gt;"""",D3031&lt;&gt;"""",C3031=D3031),""gloss=figurative"",""""),IF(LEN(D3031)&lt;15,""figurative ছোট"",""""),IF(AND(I3031=""Positive"",REGEXMATCH(H3"&amp;"031,""মূর্খ|ভণ্ড|প্রতার|অলস|লোভ|স্বার্থ|অক্ষম|অযোগ্য|বোকা|কৃপণ|হিংস"")),""valence-target অমিল"",""""),IF(COUNTIF($B:$B,B3031)&gt;1,""ডুপ্লিকেট"",""""))"),"")</f>
        <v/>
      </c>
      <c r="Q3031" s="5" t="str">
        <f t="shared" si="1"/>
        <v>২ পরে</v>
      </c>
    </row>
    <row r="3032">
      <c r="A3032" s="4">
        <v>830.0</v>
      </c>
      <c r="B3032" s="2" t="s">
        <v>12025</v>
      </c>
      <c r="C3032" s="2" t="s">
        <v>12026</v>
      </c>
      <c r="D3032" s="2" t="s">
        <v>12027</v>
      </c>
      <c r="E3032" s="2" t="s">
        <v>12028</v>
      </c>
      <c r="F3032" s="2" t="b">
        <v>1</v>
      </c>
      <c r="G3032" s="2" t="b">
        <v>0</v>
      </c>
      <c r="H3032" s="2" t="s">
        <v>8760</v>
      </c>
      <c r="I3032" s="2" t="s">
        <v>22</v>
      </c>
      <c r="J3032" s="2" t="s">
        <v>59</v>
      </c>
      <c r="K3032" s="2" t="s">
        <v>376</v>
      </c>
      <c r="L3032" s="2" t="s">
        <v>391</v>
      </c>
      <c r="M3032" s="2" t="s">
        <v>26</v>
      </c>
      <c r="P3032" s="5" t="str">
        <f>IFERROR(__xludf.DUMMYFUNCTION("TEXTJOIN("" | "",TRUE,IF(OR(D3032="""",E3032="""",I3032="""",J3032="""",H3032=""""),""ফাঁকা ঘর"",""""),IF(AND(C3032&lt;&gt;"""",D3032&lt;&gt;"""",C3032=D3032),""gloss=figurative"",""""),IF(LEN(D3032)&lt;15,""figurative ছোট"",""""),IF(AND(I3032=""Positive"",REGEXMATCH(H3"&amp;"032,""মূর্খ|ভণ্ড|প্রতার|অলস|লোভ|স্বার্থ|অক্ষম|অযোগ্য|বোকা|কৃপণ|হিংস"")),""valence-target অমিল"",""""),IF(COUNTIF($B:$B,B3032)&gt;1,""ডুপ্লিকেট"",""""))"),"")</f>
        <v/>
      </c>
      <c r="Q3032" s="5" t="str">
        <f t="shared" si="1"/>
        <v>২ পরে</v>
      </c>
    </row>
    <row r="3033">
      <c r="A3033" s="4">
        <v>831.0</v>
      </c>
      <c r="B3033" s="2" t="s">
        <v>12029</v>
      </c>
      <c r="C3033" s="2" t="s">
        <v>12030</v>
      </c>
      <c r="D3033" s="2" t="s">
        <v>12031</v>
      </c>
      <c r="E3033" s="2" t="s">
        <v>12032</v>
      </c>
      <c r="F3033" s="2" t="b">
        <v>1</v>
      </c>
      <c r="G3033" s="2" t="b">
        <v>0</v>
      </c>
      <c r="H3033" s="2" t="s">
        <v>12033</v>
      </c>
      <c r="I3033" s="2" t="s">
        <v>32</v>
      </c>
      <c r="J3033" s="2" t="s">
        <v>1621</v>
      </c>
      <c r="K3033" s="2" t="s">
        <v>376</v>
      </c>
      <c r="L3033" s="2" t="s">
        <v>391</v>
      </c>
      <c r="M3033" s="2" t="s">
        <v>26</v>
      </c>
      <c r="P3033" s="5" t="str">
        <f>IFERROR(__xludf.DUMMYFUNCTION("TEXTJOIN("" | "",TRUE,IF(OR(D3033="""",E3033="""",I3033="""",J3033="""",H3033=""""),""ফাঁকা ঘর"",""""),IF(AND(C3033&lt;&gt;"""",D3033&lt;&gt;"""",C3033=D3033),""gloss=figurative"",""""),IF(LEN(D3033)&lt;15,""figurative ছোট"",""""),IF(AND(I3033=""Positive"",REGEXMATCH(H3"&amp;"033,""মূর্খ|ভণ্ড|প্রতার|অলস|লোভ|স্বার্থ|অক্ষম|অযোগ্য|বোকা|কৃপণ|হিংস"")),""valence-target অমিল"",""""),IF(COUNTIF($B:$B,B3033)&gt;1,""ডুপ্লিকেট"",""""))"),"")</f>
        <v/>
      </c>
      <c r="Q3033" s="5" t="str">
        <f t="shared" si="1"/>
        <v>২ পরে</v>
      </c>
    </row>
    <row r="3034">
      <c r="A3034" s="4">
        <v>832.0</v>
      </c>
      <c r="B3034" s="2" t="s">
        <v>12034</v>
      </c>
      <c r="C3034" s="2" t="s">
        <v>12035</v>
      </c>
      <c r="D3034" s="2" t="s">
        <v>12036</v>
      </c>
      <c r="E3034" s="2" t="s">
        <v>12037</v>
      </c>
      <c r="F3034" s="2" t="b">
        <v>1</v>
      </c>
      <c r="G3034" s="2" t="b">
        <v>0</v>
      </c>
      <c r="H3034" s="2" t="s">
        <v>189</v>
      </c>
      <c r="I3034" s="2" t="s">
        <v>22</v>
      </c>
      <c r="J3034" s="2" t="s">
        <v>59</v>
      </c>
      <c r="K3034" s="2" t="s">
        <v>376</v>
      </c>
      <c r="L3034" s="2" t="s">
        <v>391</v>
      </c>
      <c r="M3034" s="2" t="s">
        <v>26</v>
      </c>
      <c r="P3034" s="5" t="str">
        <f>IFERROR(__xludf.DUMMYFUNCTION("TEXTJOIN("" | "",TRUE,IF(OR(D3034="""",E3034="""",I3034="""",J3034="""",H3034=""""),""ফাঁকা ঘর"",""""),IF(AND(C3034&lt;&gt;"""",D3034&lt;&gt;"""",C3034=D3034),""gloss=figurative"",""""),IF(LEN(D3034)&lt;15,""figurative ছোট"",""""),IF(AND(I3034=""Positive"",REGEXMATCH(H3"&amp;"034,""মূর্খ|ভণ্ড|প্রতার|অলস|লোভ|স্বার্থ|অক্ষম|অযোগ্য|বোকা|কৃপণ|হিংস"")),""valence-target অমিল"",""""),IF(COUNTIF($B:$B,B3034)&gt;1,""ডুপ্লিকেট"",""""))"),"")</f>
        <v/>
      </c>
      <c r="Q3034" s="5" t="str">
        <f t="shared" si="1"/>
        <v>২ পরে</v>
      </c>
    </row>
    <row r="3035">
      <c r="A3035" s="4">
        <v>833.0</v>
      </c>
      <c r="B3035" s="2" t="s">
        <v>12038</v>
      </c>
      <c r="C3035" s="2" t="s">
        <v>12039</v>
      </c>
      <c r="D3035" s="2" t="s">
        <v>12040</v>
      </c>
      <c r="E3035" s="2" t="s">
        <v>12041</v>
      </c>
      <c r="F3035" s="2" t="b">
        <v>1</v>
      </c>
      <c r="G3035" s="2" t="b">
        <v>0</v>
      </c>
      <c r="H3035" s="2" t="s">
        <v>9320</v>
      </c>
      <c r="I3035" s="2" t="s">
        <v>32</v>
      </c>
      <c r="J3035" s="2" t="s">
        <v>447</v>
      </c>
      <c r="K3035" s="2" t="s">
        <v>376</v>
      </c>
      <c r="L3035" s="2" t="s">
        <v>391</v>
      </c>
      <c r="M3035" s="2" t="s">
        <v>26</v>
      </c>
      <c r="P3035" s="5" t="str">
        <f>IFERROR(__xludf.DUMMYFUNCTION("TEXTJOIN("" | "",TRUE,IF(OR(D3035="""",E3035="""",I3035="""",J3035="""",H3035=""""),""ফাঁকা ঘর"",""""),IF(AND(C3035&lt;&gt;"""",D3035&lt;&gt;"""",C3035=D3035),""gloss=figurative"",""""),IF(LEN(D3035)&lt;15,""figurative ছোট"",""""),IF(AND(I3035=""Positive"",REGEXMATCH(H3"&amp;"035,""মূর্খ|ভণ্ড|প্রতার|অলস|লোভ|স্বার্থ|অক্ষম|অযোগ্য|বোকা|কৃপণ|হিংস"")),""valence-target অমিল"",""""),IF(COUNTIF($B:$B,B3035)&gt;1,""ডুপ্লিকেট"",""""))"),"")</f>
        <v/>
      </c>
      <c r="Q3035" s="5" t="str">
        <f t="shared" si="1"/>
        <v>২ পরে</v>
      </c>
    </row>
    <row r="3036">
      <c r="A3036" s="4">
        <v>834.0</v>
      </c>
      <c r="B3036" s="2" t="s">
        <v>12042</v>
      </c>
      <c r="C3036" s="2" t="s">
        <v>11105</v>
      </c>
      <c r="D3036" s="2" t="s">
        <v>12043</v>
      </c>
      <c r="E3036" s="2" t="s">
        <v>12044</v>
      </c>
      <c r="F3036" s="2" t="b">
        <v>1</v>
      </c>
      <c r="G3036" s="2" t="b">
        <v>0</v>
      </c>
      <c r="H3036" s="2" t="s">
        <v>11108</v>
      </c>
      <c r="I3036" s="2" t="s">
        <v>22</v>
      </c>
      <c r="J3036" s="2" t="s">
        <v>169</v>
      </c>
      <c r="K3036" s="2" t="s">
        <v>376</v>
      </c>
      <c r="L3036" s="2" t="s">
        <v>391</v>
      </c>
      <c r="M3036" s="2" t="s">
        <v>26</v>
      </c>
      <c r="P3036" s="5" t="str">
        <f>IFERROR(__xludf.DUMMYFUNCTION("TEXTJOIN("" | "",TRUE,IF(OR(D3036="""",E3036="""",I3036="""",J3036="""",H3036=""""),""ফাঁকা ঘর"",""""),IF(AND(C3036&lt;&gt;"""",D3036&lt;&gt;"""",C3036=D3036),""gloss=figurative"",""""),IF(LEN(D3036)&lt;15,""figurative ছোট"",""""),IF(AND(I3036=""Positive"",REGEXMATCH(H3"&amp;"036,""মূর্খ|ভণ্ড|প্রতার|অলস|লোভ|স্বার্থ|অক্ষম|অযোগ্য|বোকা|কৃপণ|হিংস"")),""valence-target অমিল"",""""),IF(COUNTIF($B:$B,B3036)&gt;1,""ডুপ্লিকেট"",""""))"),"")</f>
        <v/>
      </c>
      <c r="Q3036" s="5" t="str">
        <f t="shared" si="1"/>
        <v>২ পরে</v>
      </c>
    </row>
    <row r="3037">
      <c r="A3037" s="4">
        <v>835.0</v>
      </c>
      <c r="B3037" s="2" t="s">
        <v>12045</v>
      </c>
      <c r="C3037" s="2" t="s">
        <v>12046</v>
      </c>
      <c r="D3037" s="2" t="s">
        <v>12047</v>
      </c>
      <c r="E3037" s="2" t="s">
        <v>12048</v>
      </c>
      <c r="F3037" s="2" t="b">
        <v>1</v>
      </c>
      <c r="G3037" s="2" t="b">
        <v>0</v>
      </c>
      <c r="H3037" s="2" t="s">
        <v>10435</v>
      </c>
      <c r="I3037" s="2" t="s">
        <v>49</v>
      </c>
      <c r="J3037" s="2" t="s">
        <v>565</v>
      </c>
      <c r="K3037" s="2" t="s">
        <v>376</v>
      </c>
      <c r="L3037" s="2" t="s">
        <v>391</v>
      </c>
      <c r="M3037" s="2" t="s">
        <v>26</v>
      </c>
      <c r="P3037" s="5" t="str">
        <f>IFERROR(__xludf.DUMMYFUNCTION("TEXTJOIN("" | "",TRUE,IF(OR(D3037="""",E3037="""",I3037="""",J3037="""",H3037=""""),""ফাঁকা ঘর"",""""),IF(AND(C3037&lt;&gt;"""",D3037&lt;&gt;"""",C3037=D3037),""gloss=figurative"",""""),IF(LEN(D3037)&lt;15,""figurative ছোট"",""""),IF(AND(I3037=""Positive"",REGEXMATCH(H3"&amp;"037,""মূর্খ|ভণ্ড|প্রতার|অলস|লোভ|স্বার্থ|অক্ষম|অযোগ্য|বোকা|কৃপণ|হিংস"")),""valence-target অমিল"",""""),IF(COUNTIF($B:$B,B3037)&gt;1,""ডুপ্লিকেট"",""""))"),"")</f>
        <v/>
      </c>
      <c r="Q3037" s="5" t="str">
        <f t="shared" si="1"/>
        <v>২ পরে</v>
      </c>
    </row>
    <row r="3038">
      <c r="A3038" s="4">
        <v>836.0</v>
      </c>
      <c r="B3038" s="2" t="s">
        <v>12049</v>
      </c>
      <c r="C3038" s="2" t="s">
        <v>12050</v>
      </c>
      <c r="D3038" s="2" t="s">
        <v>12051</v>
      </c>
      <c r="E3038" s="2" t="s">
        <v>12052</v>
      </c>
      <c r="F3038" s="2" t="b">
        <v>1</v>
      </c>
      <c r="G3038" s="2" t="b">
        <v>0</v>
      </c>
      <c r="H3038" s="2" t="s">
        <v>11255</v>
      </c>
      <c r="I3038" s="2" t="s">
        <v>22</v>
      </c>
      <c r="J3038" s="2" t="s">
        <v>123</v>
      </c>
      <c r="K3038" s="2" t="s">
        <v>376</v>
      </c>
      <c r="L3038" s="2" t="s">
        <v>391</v>
      </c>
      <c r="M3038" s="2" t="s">
        <v>26</v>
      </c>
      <c r="P3038" s="5" t="str">
        <f>IFERROR(__xludf.DUMMYFUNCTION("TEXTJOIN("" | "",TRUE,IF(OR(D3038="""",E3038="""",I3038="""",J3038="""",H3038=""""),""ফাঁকা ঘর"",""""),IF(AND(C3038&lt;&gt;"""",D3038&lt;&gt;"""",C3038=D3038),""gloss=figurative"",""""),IF(LEN(D3038)&lt;15,""figurative ছোট"",""""),IF(AND(I3038=""Positive"",REGEXMATCH(H3"&amp;"038,""মূর্খ|ভণ্ড|প্রতার|অলস|লোভ|স্বার্থ|অক্ষম|অযোগ্য|বোকা|কৃপণ|হিংস"")),""valence-target অমিল"",""""),IF(COUNTIF($B:$B,B3038)&gt;1,""ডুপ্লিকেট"",""""))"),"")</f>
        <v/>
      </c>
      <c r="Q3038" s="5" t="str">
        <f t="shared" si="1"/>
        <v>২ পরে</v>
      </c>
    </row>
    <row r="3039">
      <c r="A3039" s="4">
        <v>837.0</v>
      </c>
      <c r="B3039" s="2" t="s">
        <v>12053</v>
      </c>
      <c r="C3039" s="2" t="s">
        <v>12054</v>
      </c>
      <c r="D3039" s="2" t="s">
        <v>12055</v>
      </c>
      <c r="E3039" s="2" t="s">
        <v>12056</v>
      </c>
      <c r="F3039" s="2" t="b">
        <v>1</v>
      </c>
      <c r="G3039" s="2" t="b">
        <v>0</v>
      </c>
      <c r="H3039" s="2" t="s">
        <v>8760</v>
      </c>
      <c r="I3039" s="2" t="s">
        <v>22</v>
      </c>
      <c r="J3039" s="2" t="s">
        <v>59</v>
      </c>
      <c r="K3039" s="2" t="s">
        <v>376</v>
      </c>
      <c r="L3039" s="2" t="s">
        <v>391</v>
      </c>
      <c r="M3039" s="2" t="s">
        <v>26</v>
      </c>
      <c r="P3039" s="5" t="str">
        <f>IFERROR(__xludf.DUMMYFUNCTION("TEXTJOIN("" | "",TRUE,IF(OR(D3039="""",E3039="""",I3039="""",J3039="""",H3039=""""),""ফাঁকা ঘর"",""""),IF(AND(C3039&lt;&gt;"""",D3039&lt;&gt;"""",C3039=D3039),""gloss=figurative"",""""),IF(LEN(D3039)&lt;15,""figurative ছোট"",""""),IF(AND(I3039=""Positive"",REGEXMATCH(H3"&amp;"039,""মূর্খ|ভণ্ড|প্রতার|অলস|লোভ|স্বার্থ|অক্ষম|অযোগ্য|বোকা|কৃপণ|হিংস"")),""valence-target অমিল"",""""),IF(COUNTIF($B:$B,B3039)&gt;1,""ডুপ্লিকেট"",""""))"),"")</f>
        <v/>
      </c>
      <c r="Q3039" s="5" t="str">
        <f t="shared" si="1"/>
        <v>২ পরে</v>
      </c>
    </row>
    <row r="3040">
      <c r="A3040" s="4">
        <v>838.0</v>
      </c>
      <c r="B3040" s="2" t="s">
        <v>12057</v>
      </c>
      <c r="C3040" s="2" t="s">
        <v>12058</v>
      </c>
      <c r="D3040" s="2" t="s">
        <v>12059</v>
      </c>
      <c r="E3040" s="2" t="s">
        <v>12060</v>
      </c>
      <c r="F3040" s="2" t="b">
        <v>1</v>
      </c>
      <c r="G3040" s="2" t="b">
        <v>1</v>
      </c>
      <c r="H3040" s="2" t="s">
        <v>2229</v>
      </c>
      <c r="I3040" s="2" t="s">
        <v>49</v>
      </c>
      <c r="J3040" s="2" t="s">
        <v>12061</v>
      </c>
      <c r="K3040" s="2" t="s">
        <v>376</v>
      </c>
      <c r="L3040" s="2" t="s">
        <v>391</v>
      </c>
      <c r="M3040" s="2" t="s">
        <v>26</v>
      </c>
      <c r="P3040" s="5" t="str">
        <f>IFERROR(__xludf.DUMMYFUNCTION("TEXTJOIN("" | "",TRUE,IF(OR(D3040="""",E3040="""",I3040="""",J3040="""",H3040=""""),""ফাঁকা ঘর"",""""),IF(AND(C3040&lt;&gt;"""",D3040&lt;&gt;"""",C3040=D3040),""gloss=figurative"",""""),IF(LEN(D3040)&lt;15,""figurative ছোট"",""""),IF(AND(I3040=""Positive"",REGEXMATCH(H3"&amp;"040,""মূর্খ|ভণ্ড|প্রতার|অলস|লোভ|স্বার্থ|অক্ষম|অযোগ্য|বোকা|কৃপণ|হিংস"")),""valence-target অমিল"",""""),IF(COUNTIF($B:$B,B3040)&gt;1,""ডুপ্লিকেট"",""""))"),"")</f>
        <v/>
      </c>
      <c r="Q3040" s="5" t="str">
        <f t="shared" si="1"/>
        <v>২ পরে</v>
      </c>
    </row>
    <row r="3041">
      <c r="A3041" s="4">
        <v>839.0</v>
      </c>
      <c r="B3041" s="2" t="s">
        <v>12062</v>
      </c>
      <c r="C3041" s="2" t="s">
        <v>12062</v>
      </c>
      <c r="D3041" s="2" t="s">
        <v>12063</v>
      </c>
      <c r="E3041" s="2" t="s">
        <v>12064</v>
      </c>
      <c r="F3041" s="2" t="b">
        <v>1</v>
      </c>
      <c r="G3041" s="2" t="b">
        <v>0</v>
      </c>
      <c r="H3041" s="2" t="s">
        <v>21</v>
      </c>
      <c r="I3041" s="2" t="s">
        <v>22</v>
      </c>
      <c r="J3041" s="2" t="s">
        <v>59</v>
      </c>
      <c r="K3041" s="2" t="s">
        <v>376</v>
      </c>
      <c r="L3041" s="2" t="s">
        <v>391</v>
      </c>
      <c r="M3041" s="2" t="s">
        <v>26</v>
      </c>
      <c r="P3041" s="5" t="str">
        <f>IFERROR(__xludf.DUMMYFUNCTION("TEXTJOIN("" | "",TRUE,IF(OR(D3041="""",E3041="""",I3041="""",J3041="""",H3041=""""),""ফাঁকা ঘর"",""""),IF(AND(C3041&lt;&gt;"""",D3041&lt;&gt;"""",C3041=D3041),""gloss=figurative"",""""),IF(LEN(D3041)&lt;15,""figurative ছোট"",""""),IF(AND(I3041=""Positive"",REGEXMATCH(H3"&amp;"041,""মূর্খ|ভণ্ড|প্রতার|অলস|লোভ|স্বার্থ|অক্ষম|অযোগ্য|বোকা|কৃপণ|হিংস"")),""valence-target অমিল"",""""),IF(COUNTIF($B:$B,B3041)&gt;1,""ডুপ্লিকেট"",""""))"),"")</f>
        <v/>
      </c>
      <c r="Q3041" s="5" t="str">
        <f t="shared" si="1"/>
        <v>২ পরে</v>
      </c>
    </row>
    <row r="3042">
      <c r="A3042" s="4">
        <v>840.0</v>
      </c>
      <c r="B3042" s="2" t="s">
        <v>12065</v>
      </c>
      <c r="C3042" s="2" t="s">
        <v>12066</v>
      </c>
      <c r="D3042" s="2" t="s">
        <v>12067</v>
      </c>
      <c r="E3042" s="2" t="s">
        <v>12068</v>
      </c>
      <c r="F3042" s="2" t="b">
        <v>1</v>
      </c>
      <c r="G3042" s="2" t="b">
        <v>1</v>
      </c>
      <c r="H3042" s="2" t="s">
        <v>37</v>
      </c>
      <c r="I3042" s="2" t="s">
        <v>32</v>
      </c>
      <c r="J3042" s="2" t="s">
        <v>12069</v>
      </c>
      <c r="K3042" s="2" t="s">
        <v>376</v>
      </c>
      <c r="L3042" s="2" t="s">
        <v>391</v>
      </c>
      <c r="M3042" s="2" t="s">
        <v>26</v>
      </c>
      <c r="P3042" s="5" t="str">
        <f>IFERROR(__xludf.DUMMYFUNCTION("TEXTJOIN("" | "",TRUE,IF(OR(D3042="""",E3042="""",I3042="""",J3042="""",H3042=""""),""ফাঁকা ঘর"",""""),IF(AND(C3042&lt;&gt;"""",D3042&lt;&gt;"""",C3042=D3042),""gloss=figurative"",""""),IF(LEN(D3042)&lt;15,""figurative ছোট"",""""),IF(AND(I3042=""Positive"",REGEXMATCH(H3"&amp;"042,""মূর্খ|ভণ্ড|প্রতার|অলস|লোভ|স্বার্থ|অক্ষম|অযোগ্য|বোকা|কৃপণ|হিংস"")),""valence-target অমিল"",""""),IF(COUNTIF($B:$B,B3042)&gt;1,""ডুপ্লিকেট"",""""))"),"")</f>
        <v/>
      </c>
      <c r="Q3042" s="5" t="str">
        <f t="shared" si="1"/>
        <v>২ পরে</v>
      </c>
    </row>
    <row r="3043">
      <c r="A3043" s="4">
        <v>841.0</v>
      </c>
      <c r="B3043" s="2" t="s">
        <v>12070</v>
      </c>
      <c r="C3043" s="2" t="s">
        <v>12071</v>
      </c>
      <c r="D3043" s="2" t="s">
        <v>12072</v>
      </c>
      <c r="E3043" s="2" t="s">
        <v>12073</v>
      </c>
      <c r="F3043" s="2" t="b">
        <v>1</v>
      </c>
      <c r="G3043" s="2" t="b">
        <v>1</v>
      </c>
      <c r="H3043" s="2" t="s">
        <v>12074</v>
      </c>
      <c r="I3043" s="2" t="s">
        <v>22</v>
      </c>
      <c r="J3043" s="2" t="s">
        <v>59</v>
      </c>
      <c r="K3043" s="2" t="s">
        <v>376</v>
      </c>
      <c r="L3043" s="2" t="s">
        <v>391</v>
      </c>
      <c r="M3043" s="2" t="s">
        <v>26</v>
      </c>
      <c r="P3043" s="5" t="str">
        <f>IFERROR(__xludf.DUMMYFUNCTION("TEXTJOIN("" | "",TRUE,IF(OR(D3043="""",E3043="""",I3043="""",J3043="""",H3043=""""),""ফাঁকা ঘর"",""""),IF(AND(C3043&lt;&gt;"""",D3043&lt;&gt;"""",C3043=D3043),""gloss=figurative"",""""),IF(LEN(D3043)&lt;15,""figurative ছোট"",""""),IF(AND(I3043=""Positive"",REGEXMATCH(H3"&amp;"043,""মূর্খ|ভণ্ড|প্রতার|অলস|লোভ|স্বার্থ|অক্ষম|অযোগ্য|বোকা|কৃপণ|হিংস"")),""valence-target অমিল"",""""),IF(COUNTIF($B:$B,B3043)&gt;1,""ডুপ্লিকেট"",""""))"),"")</f>
        <v/>
      </c>
      <c r="Q3043" s="5" t="str">
        <f t="shared" si="1"/>
        <v>২ পরে</v>
      </c>
    </row>
    <row r="3044">
      <c r="A3044" s="4">
        <v>842.0</v>
      </c>
      <c r="B3044" s="2" t="s">
        <v>12075</v>
      </c>
      <c r="C3044" s="2" t="s">
        <v>12076</v>
      </c>
      <c r="D3044" s="2" t="s">
        <v>12077</v>
      </c>
      <c r="E3044" s="2" t="s">
        <v>12078</v>
      </c>
      <c r="F3044" s="2" t="b">
        <v>1</v>
      </c>
      <c r="G3044" s="2" t="b">
        <v>0</v>
      </c>
      <c r="H3044" s="2" t="s">
        <v>390</v>
      </c>
      <c r="I3044" s="2" t="s">
        <v>22</v>
      </c>
      <c r="J3044" s="2" t="s">
        <v>59</v>
      </c>
      <c r="K3044" s="2" t="s">
        <v>376</v>
      </c>
      <c r="L3044" s="2" t="s">
        <v>391</v>
      </c>
      <c r="M3044" s="2" t="s">
        <v>26</v>
      </c>
      <c r="P3044" s="5" t="str">
        <f>IFERROR(__xludf.DUMMYFUNCTION("TEXTJOIN("" | "",TRUE,IF(OR(D3044="""",E3044="""",I3044="""",J3044="""",H3044=""""),""ফাঁকা ঘর"",""""),IF(AND(C3044&lt;&gt;"""",D3044&lt;&gt;"""",C3044=D3044),""gloss=figurative"",""""),IF(LEN(D3044)&lt;15,""figurative ছোট"",""""),IF(AND(I3044=""Positive"",REGEXMATCH(H3"&amp;"044,""মূর্খ|ভণ্ড|প্রতার|অলস|লোভ|স্বার্থ|অক্ষম|অযোগ্য|বোকা|কৃপণ|হিংস"")),""valence-target অমিল"",""""),IF(COUNTIF($B:$B,B3044)&gt;1,""ডুপ্লিকেট"",""""))"),"")</f>
        <v/>
      </c>
      <c r="Q3044" s="5" t="str">
        <f t="shared" si="1"/>
        <v>২ পরে</v>
      </c>
    </row>
    <row r="3045">
      <c r="A3045" s="4">
        <v>843.0</v>
      </c>
      <c r="B3045" s="2" t="s">
        <v>12079</v>
      </c>
      <c r="C3045" s="2" t="s">
        <v>12080</v>
      </c>
      <c r="D3045" s="2" t="s">
        <v>12081</v>
      </c>
      <c r="E3045" s="2" t="s">
        <v>12082</v>
      </c>
      <c r="F3045" s="2" t="b">
        <v>1</v>
      </c>
      <c r="G3045" s="2" t="b">
        <v>0</v>
      </c>
      <c r="H3045" s="2" t="s">
        <v>12083</v>
      </c>
      <c r="I3045" s="2" t="s">
        <v>22</v>
      </c>
      <c r="J3045" s="2" t="s">
        <v>142</v>
      </c>
      <c r="K3045" s="2" t="s">
        <v>376</v>
      </c>
      <c r="L3045" s="2" t="s">
        <v>391</v>
      </c>
      <c r="M3045" s="2" t="s">
        <v>26</v>
      </c>
      <c r="P3045" s="5" t="str">
        <f>IFERROR(__xludf.DUMMYFUNCTION("TEXTJOIN("" | "",TRUE,IF(OR(D3045="""",E3045="""",I3045="""",J3045="""",H3045=""""),""ফাঁকা ঘর"",""""),IF(AND(C3045&lt;&gt;"""",D3045&lt;&gt;"""",C3045=D3045),""gloss=figurative"",""""),IF(LEN(D3045)&lt;15,""figurative ছোট"",""""),IF(AND(I3045=""Positive"",REGEXMATCH(H3"&amp;"045,""মূর্খ|ভণ্ড|প্রতার|অলস|লোভ|স্বার্থ|অক্ষম|অযোগ্য|বোকা|কৃপণ|হিংস"")),""valence-target অমিল"",""""),IF(COUNTIF($B:$B,B3045)&gt;1,""ডুপ্লিকেট"",""""))"),"")</f>
        <v/>
      </c>
      <c r="Q3045" s="5" t="str">
        <f t="shared" si="1"/>
        <v>২ পরে</v>
      </c>
    </row>
    <row r="3046">
      <c r="A3046" s="4">
        <v>844.0</v>
      </c>
      <c r="B3046" s="2" t="s">
        <v>12084</v>
      </c>
      <c r="C3046" s="2" t="s">
        <v>12085</v>
      </c>
      <c r="D3046" s="2" t="s">
        <v>12086</v>
      </c>
      <c r="E3046" s="2" t="s">
        <v>12087</v>
      </c>
      <c r="F3046" s="2" t="b">
        <v>1</v>
      </c>
      <c r="G3046" s="2" t="b">
        <v>0</v>
      </c>
      <c r="H3046" s="2" t="s">
        <v>390</v>
      </c>
      <c r="I3046" s="2" t="s">
        <v>22</v>
      </c>
      <c r="J3046" s="2" t="s">
        <v>59</v>
      </c>
      <c r="K3046" s="2" t="s">
        <v>376</v>
      </c>
      <c r="L3046" s="2" t="s">
        <v>391</v>
      </c>
      <c r="M3046" s="2" t="s">
        <v>26</v>
      </c>
      <c r="P3046" s="5" t="str">
        <f>IFERROR(__xludf.DUMMYFUNCTION("TEXTJOIN("" | "",TRUE,IF(OR(D3046="""",E3046="""",I3046="""",J3046="""",H3046=""""),""ফাঁকা ঘর"",""""),IF(AND(C3046&lt;&gt;"""",D3046&lt;&gt;"""",C3046=D3046),""gloss=figurative"",""""),IF(LEN(D3046)&lt;15,""figurative ছোট"",""""),IF(AND(I3046=""Positive"",REGEXMATCH(H3"&amp;"046,""মূর্খ|ভণ্ড|প্রতার|অলস|লোভ|স্বার্থ|অক্ষম|অযোগ্য|বোকা|কৃপণ|হিংস"")),""valence-target অমিল"",""""),IF(COUNTIF($B:$B,B3046)&gt;1,""ডুপ্লিকেট"",""""))"),"")</f>
        <v/>
      </c>
      <c r="Q3046" s="5" t="str">
        <f t="shared" si="1"/>
        <v>২ পরে</v>
      </c>
    </row>
    <row r="3047">
      <c r="A3047" s="4">
        <v>845.0</v>
      </c>
      <c r="B3047" s="2" t="s">
        <v>12088</v>
      </c>
      <c r="C3047" s="2" t="s">
        <v>12089</v>
      </c>
      <c r="D3047" s="2" t="s">
        <v>12090</v>
      </c>
      <c r="E3047" s="2" t="s">
        <v>12091</v>
      </c>
      <c r="F3047" s="2" t="b">
        <v>1</v>
      </c>
      <c r="G3047" s="2" t="b">
        <v>0</v>
      </c>
      <c r="H3047" s="2" t="s">
        <v>37</v>
      </c>
      <c r="I3047" s="2" t="s">
        <v>32</v>
      </c>
      <c r="J3047" s="2" t="s">
        <v>123</v>
      </c>
      <c r="K3047" s="2" t="s">
        <v>376</v>
      </c>
      <c r="L3047" s="2" t="s">
        <v>391</v>
      </c>
      <c r="M3047" s="2" t="s">
        <v>26</v>
      </c>
      <c r="P3047" s="5" t="str">
        <f>IFERROR(__xludf.DUMMYFUNCTION("TEXTJOIN("" | "",TRUE,IF(OR(D3047="""",E3047="""",I3047="""",J3047="""",H3047=""""),""ফাঁকা ঘর"",""""),IF(AND(C3047&lt;&gt;"""",D3047&lt;&gt;"""",C3047=D3047),""gloss=figurative"",""""),IF(LEN(D3047)&lt;15,""figurative ছোট"",""""),IF(AND(I3047=""Positive"",REGEXMATCH(H3"&amp;"047,""মূর্খ|ভণ্ড|প্রতার|অলস|লোভ|স্বার্থ|অক্ষম|অযোগ্য|বোকা|কৃপণ|হিংস"")),""valence-target অমিল"",""""),IF(COUNTIF($B:$B,B3047)&gt;1,""ডুপ্লিকেট"",""""))"),"")</f>
        <v/>
      </c>
      <c r="Q3047" s="5" t="str">
        <f t="shared" si="1"/>
        <v>২ পরে</v>
      </c>
    </row>
    <row r="3048">
      <c r="A3048" s="4">
        <v>846.0</v>
      </c>
      <c r="B3048" s="2" t="s">
        <v>12092</v>
      </c>
      <c r="C3048" s="2" t="s">
        <v>12093</v>
      </c>
      <c r="D3048" s="2" t="s">
        <v>12094</v>
      </c>
      <c r="E3048" s="2" t="s">
        <v>12095</v>
      </c>
      <c r="F3048" s="2" t="b">
        <v>1</v>
      </c>
      <c r="G3048" s="2" t="b">
        <v>0</v>
      </c>
      <c r="H3048" s="2" t="s">
        <v>37</v>
      </c>
      <c r="I3048" s="2" t="s">
        <v>32</v>
      </c>
      <c r="J3048" s="2" t="s">
        <v>9943</v>
      </c>
      <c r="K3048" s="2" t="s">
        <v>376</v>
      </c>
      <c r="L3048" s="2" t="s">
        <v>391</v>
      </c>
      <c r="M3048" s="2" t="s">
        <v>26</v>
      </c>
      <c r="P3048" s="5" t="str">
        <f>IFERROR(__xludf.DUMMYFUNCTION("TEXTJOIN("" | "",TRUE,IF(OR(D3048="""",E3048="""",I3048="""",J3048="""",H3048=""""),""ফাঁকা ঘর"",""""),IF(AND(C3048&lt;&gt;"""",D3048&lt;&gt;"""",C3048=D3048),""gloss=figurative"",""""),IF(LEN(D3048)&lt;15,""figurative ছোট"",""""),IF(AND(I3048=""Positive"",REGEXMATCH(H3"&amp;"048,""মূর্খ|ভণ্ড|প্রতার|অলস|লোভ|স্বার্থ|অক্ষম|অযোগ্য|বোকা|কৃপণ|হিংস"")),""valence-target অমিল"",""""),IF(COUNTIF($B:$B,B3048)&gt;1,""ডুপ্লিকেট"",""""))"),"")</f>
        <v/>
      </c>
      <c r="Q3048" s="5" t="str">
        <f t="shared" si="1"/>
        <v>২ পরে</v>
      </c>
    </row>
    <row r="3049">
      <c r="A3049" s="4">
        <v>847.0</v>
      </c>
      <c r="B3049" s="2" t="s">
        <v>12096</v>
      </c>
      <c r="C3049" s="2" t="s">
        <v>12097</v>
      </c>
      <c r="D3049" s="2" t="s">
        <v>12098</v>
      </c>
      <c r="E3049" s="2" t="s">
        <v>12099</v>
      </c>
      <c r="F3049" s="2" t="b">
        <v>1</v>
      </c>
      <c r="G3049" s="2" t="b">
        <v>0</v>
      </c>
      <c r="H3049" s="2" t="s">
        <v>12100</v>
      </c>
      <c r="I3049" s="2" t="s">
        <v>22</v>
      </c>
      <c r="J3049" s="2" t="s">
        <v>9301</v>
      </c>
      <c r="K3049" s="2" t="s">
        <v>376</v>
      </c>
      <c r="L3049" s="2" t="s">
        <v>391</v>
      </c>
      <c r="M3049" s="2" t="s">
        <v>26</v>
      </c>
      <c r="P3049" s="5" t="str">
        <f>IFERROR(__xludf.DUMMYFUNCTION("TEXTJOIN("" | "",TRUE,IF(OR(D3049="""",E3049="""",I3049="""",J3049="""",H3049=""""),""ফাঁকা ঘর"",""""),IF(AND(C3049&lt;&gt;"""",D3049&lt;&gt;"""",C3049=D3049),""gloss=figurative"",""""),IF(LEN(D3049)&lt;15,""figurative ছোট"",""""),IF(AND(I3049=""Positive"",REGEXMATCH(H3"&amp;"049,""মূর্খ|ভণ্ড|প্রতার|অলস|লোভ|স্বার্থ|অক্ষম|অযোগ্য|বোকা|কৃপণ|হিংস"")),""valence-target অমিল"",""""),IF(COUNTIF($B:$B,B3049)&gt;1,""ডুপ্লিকেট"",""""))"),"")</f>
        <v/>
      </c>
      <c r="Q3049" s="5" t="str">
        <f t="shared" si="1"/>
        <v>২ পরে</v>
      </c>
    </row>
    <row r="3050">
      <c r="A3050" s="4">
        <v>848.0</v>
      </c>
      <c r="B3050" s="2" t="s">
        <v>12101</v>
      </c>
      <c r="C3050" s="2" t="s">
        <v>12102</v>
      </c>
      <c r="D3050" s="2" t="s">
        <v>12103</v>
      </c>
      <c r="E3050" s="2" t="s">
        <v>12104</v>
      </c>
      <c r="F3050" s="2" t="b">
        <v>1</v>
      </c>
      <c r="G3050" s="2" t="b">
        <v>1</v>
      </c>
      <c r="H3050" s="2" t="s">
        <v>6269</v>
      </c>
      <c r="I3050" s="2" t="s">
        <v>22</v>
      </c>
      <c r="J3050" s="2" t="s">
        <v>123</v>
      </c>
      <c r="K3050" s="2" t="s">
        <v>376</v>
      </c>
      <c r="L3050" s="2" t="s">
        <v>391</v>
      </c>
      <c r="M3050" s="2" t="s">
        <v>26</v>
      </c>
      <c r="P3050" s="5" t="str">
        <f>IFERROR(__xludf.DUMMYFUNCTION("TEXTJOIN("" | "",TRUE,IF(OR(D3050="""",E3050="""",I3050="""",J3050="""",H3050=""""),""ফাঁকা ঘর"",""""),IF(AND(C3050&lt;&gt;"""",D3050&lt;&gt;"""",C3050=D3050),""gloss=figurative"",""""),IF(LEN(D3050)&lt;15,""figurative ছোট"",""""),IF(AND(I3050=""Positive"",REGEXMATCH(H3"&amp;"050,""মূর্খ|ভণ্ড|প্রতার|অলস|লোভ|স্বার্থ|অক্ষম|অযোগ্য|বোকা|কৃপণ|হিংস"")),""valence-target অমিল"",""""),IF(COUNTIF($B:$B,B3050)&gt;1,""ডুপ্লিকেট"",""""))"),"")</f>
        <v/>
      </c>
      <c r="Q3050" s="5" t="str">
        <f t="shared" si="1"/>
        <v>২ পরে</v>
      </c>
    </row>
    <row r="3051">
      <c r="A3051" s="4">
        <v>849.0</v>
      </c>
      <c r="B3051" s="2" t="s">
        <v>12105</v>
      </c>
      <c r="C3051" s="2" t="s">
        <v>12106</v>
      </c>
      <c r="D3051" s="2" t="s">
        <v>12107</v>
      </c>
      <c r="E3051" s="2" t="s">
        <v>12108</v>
      </c>
      <c r="F3051" s="2" t="b">
        <v>1</v>
      </c>
      <c r="G3051" s="2" t="b">
        <v>0</v>
      </c>
      <c r="H3051" s="2" t="s">
        <v>12109</v>
      </c>
      <c r="I3051" s="2" t="s">
        <v>22</v>
      </c>
      <c r="J3051" s="2" t="s">
        <v>59</v>
      </c>
      <c r="K3051" s="2" t="s">
        <v>376</v>
      </c>
      <c r="L3051" s="2" t="s">
        <v>391</v>
      </c>
      <c r="M3051" s="2" t="s">
        <v>26</v>
      </c>
      <c r="P3051" s="5" t="str">
        <f>IFERROR(__xludf.DUMMYFUNCTION("TEXTJOIN("" | "",TRUE,IF(OR(D3051="""",E3051="""",I3051="""",J3051="""",H3051=""""),""ফাঁকা ঘর"",""""),IF(AND(C3051&lt;&gt;"""",D3051&lt;&gt;"""",C3051=D3051),""gloss=figurative"",""""),IF(LEN(D3051)&lt;15,""figurative ছোট"",""""),IF(AND(I3051=""Positive"",REGEXMATCH(H3"&amp;"051,""মূর্খ|ভণ্ড|প্রতার|অলস|লোভ|স্বার্থ|অক্ষম|অযোগ্য|বোকা|কৃপণ|হিংস"")),""valence-target অমিল"",""""),IF(COUNTIF($B:$B,B3051)&gt;1,""ডুপ্লিকেট"",""""))"),"")</f>
        <v/>
      </c>
      <c r="Q3051" s="5" t="str">
        <f t="shared" si="1"/>
        <v>২ পরে</v>
      </c>
    </row>
    <row r="3052">
      <c r="A3052" s="4">
        <v>851.0</v>
      </c>
      <c r="B3052" s="2" t="s">
        <v>12110</v>
      </c>
      <c r="C3052" s="2" t="s">
        <v>12111</v>
      </c>
      <c r="D3052" s="2" t="s">
        <v>12112</v>
      </c>
      <c r="E3052" s="2" t="s">
        <v>12113</v>
      </c>
      <c r="F3052" s="2" t="b">
        <v>1</v>
      </c>
      <c r="G3052" s="2" t="b">
        <v>0</v>
      </c>
      <c r="H3052" s="2" t="s">
        <v>9359</v>
      </c>
      <c r="I3052" s="2" t="s">
        <v>22</v>
      </c>
      <c r="J3052" s="2" t="s">
        <v>123</v>
      </c>
      <c r="K3052" s="2" t="s">
        <v>376</v>
      </c>
      <c r="L3052" s="2" t="s">
        <v>391</v>
      </c>
      <c r="M3052" s="2" t="s">
        <v>26</v>
      </c>
      <c r="P3052" s="5" t="str">
        <f>IFERROR(__xludf.DUMMYFUNCTION("TEXTJOIN("" | "",TRUE,IF(OR(D3052="""",E3052="""",I3052="""",J3052="""",H3052=""""),""ফাঁকা ঘর"",""""),IF(AND(C3052&lt;&gt;"""",D3052&lt;&gt;"""",C3052=D3052),""gloss=figurative"",""""),IF(LEN(D3052)&lt;15,""figurative ছোট"",""""),IF(AND(I3052=""Positive"",REGEXMATCH(H3"&amp;"052,""মূর্খ|ভণ্ড|প্রতার|অলস|লোভ|স্বার্থ|অক্ষম|অযোগ্য|বোকা|কৃপণ|হিংস"")),""valence-target অমিল"",""""),IF(COUNTIF($B:$B,B3052)&gt;1,""ডুপ্লিকেট"",""""))"),"")</f>
        <v/>
      </c>
      <c r="Q3052" s="5" t="str">
        <f t="shared" si="1"/>
        <v>২ পরে</v>
      </c>
    </row>
    <row r="3053">
      <c r="A3053" s="4">
        <v>852.0</v>
      </c>
      <c r="B3053" s="2" t="s">
        <v>12114</v>
      </c>
      <c r="C3053" s="2" t="s">
        <v>12115</v>
      </c>
      <c r="D3053" s="2" t="s">
        <v>12116</v>
      </c>
      <c r="E3053" s="2" t="s">
        <v>12117</v>
      </c>
      <c r="F3053" s="2" t="b">
        <v>1</v>
      </c>
      <c r="G3053" s="2" t="b">
        <v>0</v>
      </c>
      <c r="H3053" s="2" t="s">
        <v>181</v>
      </c>
      <c r="I3053" s="2" t="s">
        <v>22</v>
      </c>
      <c r="J3053" s="2" t="s">
        <v>11964</v>
      </c>
      <c r="K3053" s="2" t="s">
        <v>376</v>
      </c>
      <c r="L3053" s="2" t="s">
        <v>391</v>
      </c>
      <c r="M3053" s="2" t="s">
        <v>26</v>
      </c>
      <c r="P3053" s="5" t="str">
        <f>IFERROR(__xludf.DUMMYFUNCTION("TEXTJOIN("" | "",TRUE,IF(OR(D3053="""",E3053="""",I3053="""",J3053="""",H3053=""""),""ফাঁকা ঘর"",""""),IF(AND(C3053&lt;&gt;"""",D3053&lt;&gt;"""",C3053=D3053),""gloss=figurative"",""""),IF(LEN(D3053)&lt;15,""figurative ছোট"",""""),IF(AND(I3053=""Positive"",REGEXMATCH(H3"&amp;"053,""মূর্খ|ভণ্ড|প্রতার|অলস|লোভ|স্বার্থ|অক্ষম|অযোগ্য|বোকা|কৃপণ|হিংস"")),""valence-target অমিল"",""""),IF(COUNTIF($B:$B,B3053)&gt;1,""ডুপ্লিকেট"",""""))"),"")</f>
        <v/>
      </c>
      <c r="Q3053" s="5" t="str">
        <f t="shared" si="1"/>
        <v>২ পরে</v>
      </c>
    </row>
    <row r="3054">
      <c r="A3054" s="4">
        <v>853.0</v>
      </c>
      <c r="B3054" s="2" t="s">
        <v>12118</v>
      </c>
      <c r="C3054" s="2" t="s">
        <v>12119</v>
      </c>
      <c r="D3054" s="2" t="s">
        <v>12120</v>
      </c>
      <c r="E3054" s="2" t="s">
        <v>12121</v>
      </c>
      <c r="F3054" s="2" t="b">
        <v>1</v>
      </c>
      <c r="G3054" s="2" t="b">
        <v>0</v>
      </c>
      <c r="H3054" s="2" t="s">
        <v>8837</v>
      </c>
      <c r="I3054" s="2" t="s">
        <v>22</v>
      </c>
      <c r="J3054" s="2" t="s">
        <v>59</v>
      </c>
      <c r="K3054" s="2" t="s">
        <v>376</v>
      </c>
      <c r="L3054" s="2" t="s">
        <v>391</v>
      </c>
      <c r="M3054" s="2" t="s">
        <v>26</v>
      </c>
      <c r="P3054" s="5" t="str">
        <f>IFERROR(__xludf.DUMMYFUNCTION("TEXTJOIN("" | "",TRUE,IF(OR(D3054="""",E3054="""",I3054="""",J3054="""",H3054=""""),""ফাঁকা ঘর"",""""),IF(AND(C3054&lt;&gt;"""",D3054&lt;&gt;"""",C3054=D3054),""gloss=figurative"",""""),IF(LEN(D3054)&lt;15,""figurative ছোট"",""""),IF(AND(I3054=""Positive"",REGEXMATCH(H3"&amp;"054,""মূর্খ|ভণ্ড|প্রতার|অলস|লোভ|স্বার্থ|অক্ষম|অযোগ্য|বোকা|কৃপণ|হিংস"")),""valence-target অমিল"",""""),IF(COUNTIF($B:$B,B3054)&gt;1,""ডুপ্লিকেট"",""""))"),"")</f>
        <v/>
      </c>
      <c r="Q3054" s="5" t="str">
        <f t="shared" si="1"/>
        <v>২ পরে</v>
      </c>
    </row>
    <row r="3055">
      <c r="A3055" s="4">
        <v>854.0</v>
      </c>
      <c r="B3055" s="2" t="s">
        <v>12122</v>
      </c>
      <c r="C3055" s="2" t="s">
        <v>12123</v>
      </c>
      <c r="D3055" s="2" t="s">
        <v>12124</v>
      </c>
      <c r="E3055" s="2" t="s">
        <v>12125</v>
      </c>
      <c r="F3055" s="2" t="b">
        <v>1</v>
      </c>
      <c r="G3055" s="2" t="b">
        <v>0</v>
      </c>
      <c r="H3055" s="2" t="s">
        <v>9359</v>
      </c>
      <c r="I3055" s="2" t="s">
        <v>22</v>
      </c>
      <c r="J3055" s="2" t="s">
        <v>123</v>
      </c>
      <c r="K3055" s="2" t="s">
        <v>376</v>
      </c>
      <c r="L3055" s="2" t="s">
        <v>391</v>
      </c>
      <c r="M3055" s="2" t="s">
        <v>26</v>
      </c>
      <c r="P3055" s="5" t="str">
        <f>IFERROR(__xludf.DUMMYFUNCTION("TEXTJOIN("" | "",TRUE,IF(OR(D3055="""",E3055="""",I3055="""",J3055="""",H3055=""""),""ফাঁকা ঘর"",""""),IF(AND(C3055&lt;&gt;"""",D3055&lt;&gt;"""",C3055=D3055),""gloss=figurative"",""""),IF(LEN(D3055)&lt;15,""figurative ছোট"",""""),IF(AND(I3055=""Positive"",REGEXMATCH(H3"&amp;"055,""মূর্খ|ভণ্ড|প্রতার|অলস|লোভ|স্বার্থ|অক্ষম|অযোগ্য|বোকা|কৃপণ|হিংস"")),""valence-target অমিল"",""""),IF(COUNTIF($B:$B,B3055)&gt;1,""ডুপ্লিকেট"",""""))"),"")</f>
        <v/>
      </c>
      <c r="Q3055" s="5" t="str">
        <f t="shared" si="1"/>
        <v>২ পরে</v>
      </c>
    </row>
    <row r="3056">
      <c r="A3056" s="4">
        <v>855.0</v>
      </c>
      <c r="B3056" s="2" t="s">
        <v>12126</v>
      </c>
      <c r="C3056" s="2" t="s">
        <v>12127</v>
      </c>
      <c r="D3056" s="2" t="s">
        <v>12128</v>
      </c>
      <c r="E3056" s="2" t="s">
        <v>12129</v>
      </c>
      <c r="F3056" s="2" t="b">
        <v>1</v>
      </c>
      <c r="G3056" s="2" t="b">
        <v>0</v>
      </c>
      <c r="H3056" s="2" t="s">
        <v>476</v>
      </c>
      <c r="I3056" s="2" t="s">
        <v>22</v>
      </c>
      <c r="J3056" s="2" t="s">
        <v>59</v>
      </c>
      <c r="K3056" s="2" t="s">
        <v>376</v>
      </c>
      <c r="L3056" s="2" t="s">
        <v>391</v>
      </c>
      <c r="M3056" s="2" t="s">
        <v>26</v>
      </c>
      <c r="P3056" s="5" t="str">
        <f>IFERROR(__xludf.DUMMYFUNCTION("TEXTJOIN("" | "",TRUE,IF(OR(D3056="""",E3056="""",I3056="""",J3056="""",H3056=""""),""ফাঁকা ঘর"",""""),IF(AND(C3056&lt;&gt;"""",D3056&lt;&gt;"""",C3056=D3056),""gloss=figurative"",""""),IF(LEN(D3056)&lt;15,""figurative ছোট"",""""),IF(AND(I3056=""Positive"",REGEXMATCH(H3"&amp;"056,""মূর্খ|ভণ্ড|প্রতার|অলস|লোভ|স্বার্থ|অক্ষম|অযোগ্য|বোকা|কৃপণ|হিংস"")),""valence-target অমিল"",""""),IF(COUNTIF($B:$B,B3056)&gt;1,""ডুপ্লিকেট"",""""))"),"")</f>
        <v/>
      </c>
      <c r="Q3056" s="5" t="str">
        <f t="shared" si="1"/>
        <v>২ পরে</v>
      </c>
    </row>
    <row r="3057">
      <c r="A3057" s="4">
        <v>856.0</v>
      </c>
      <c r="B3057" s="2" t="s">
        <v>12130</v>
      </c>
      <c r="C3057" s="2" t="s">
        <v>12131</v>
      </c>
      <c r="D3057" s="2" t="s">
        <v>12132</v>
      </c>
      <c r="E3057" s="2" t="s">
        <v>12133</v>
      </c>
      <c r="F3057" s="2" t="b">
        <v>1</v>
      </c>
      <c r="G3057" s="2" t="b">
        <v>0</v>
      </c>
      <c r="H3057" s="2" t="s">
        <v>12134</v>
      </c>
      <c r="I3057" s="2" t="s">
        <v>22</v>
      </c>
      <c r="J3057" s="2" t="s">
        <v>59</v>
      </c>
      <c r="K3057" s="2" t="s">
        <v>376</v>
      </c>
      <c r="L3057" s="2" t="s">
        <v>391</v>
      </c>
      <c r="M3057" s="2" t="s">
        <v>26</v>
      </c>
      <c r="P3057" s="5" t="str">
        <f>IFERROR(__xludf.DUMMYFUNCTION("TEXTJOIN("" | "",TRUE,IF(OR(D3057="""",E3057="""",I3057="""",J3057="""",H3057=""""),""ফাঁকা ঘর"",""""),IF(AND(C3057&lt;&gt;"""",D3057&lt;&gt;"""",C3057=D3057),""gloss=figurative"",""""),IF(LEN(D3057)&lt;15,""figurative ছোট"",""""),IF(AND(I3057=""Positive"",REGEXMATCH(H3"&amp;"057,""মূর্খ|ভণ্ড|প্রতার|অলস|লোভ|স্বার্থ|অক্ষম|অযোগ্য|বোকা|কৃপণ|হিংস"")),""valence-target অমিল"",""""),IF(COUNTIF($B:$B,B3057)&gt;1,""ডুপ্লিকেট"",""""))"),"")</f>
        <v/>
      </c>
      <c r="Q3057" s="5" t="str">
        <f t="shared" si="1"/>
        <v>২ পরে</v>
      </c>
    </row>
    <row r="3058">
      <c r="A3058" s="4">
        <v>857.0</v>
      </c>
      <c r="B3058" s="2" t="s">
        <v>12135</v>
      </c>
      <c r="C3058" s="2" t="s">
        <v>12136</v>
      </c>
      <c r="D3058" s="2" t="s">
        <v>12137</v>
      </c>
      <c r="E3058" s="2" t="s">
        <v>12138</v>
      </c>
      <c r="F3058" s="2" t="b">
        <v>1</v>
      </c>
      <c r="G3058" s="2" t="b">
        <v>1</v>
      </c>
      <c r="H3058" s="2" t="s">
        <v>3079</v>
      </c>
      <c r="I3058" s="2" t="s">
        <v>22</v>
      </c>
      <c r="J3058" s="2" t="s">
        <v>9301</v>
      </c>
      <c r="K3058" s="2" t="s">
        <v>376</v>
      </c>
      <c r="L3058" s="2" t="s">
        <v>391</v>
      </c>
      <c r="M3058" s="2" t="s">
        <v>26</v>
      </c>
      <c r="P3058" s="5" t="str">
        <f>IFERROR(__xludf.DUMMYFUNCTION("TEXTJOIN("" | "",TRUE,IF(OR(D3058="""",E3058="""",I3058="""",J3058="""",H3058=""""),""ফাঁকা ঘর"",""""),IF(AND(C3058&lt;&gt;"""",D3058&lt;&gt;"""",C3058=D3058),""gloss=figurative"",""""),IF(LEN(D3058)&lt;15,""figurative ছোট"",""""),IF(AND(I3058=""Positive"",REGEXMATCH(H3"&amp;"058,""মূর্খ|ভণ্ড|প্রতার|অলস|লোভ|স্বার্থ|অক্ষম|অযোগ্য|বোকা|কৃপণ|হিংস"")),""valence-target অমিল"",""""),IF(COUNTIF($B:$B,B3058)&gt;1,""ডুপ্লিকেট"",""""))"),"")</f>
        <v/>
      </c>
      <c r="Q3058" s="5" t="str">
        <f t="shared" si="1"/>
        <v>২ পরে</v>
      </c>
    </row>
    <row r="3059">
      <c r="A3059" s="4">
        <v>858.0</v>
      </c>
      <c r="B3059" s="2" t="s">
        <v>12139</v>
      </c>
      <c r="C3059" s="2" t="s">
        <v>12140</v>
      </c>
      <c r="D3059" s="2" t="s">
        <v>12141</v>
      </c>
      <c r="E3059" s="2" t="s">
        <v>12142</v>
      </c>
      <c r="F3059" s="2" t="b">
        <v>1</v>
      </c>
      <c r="G3059" s="2" t="b">
        <v>0</v>
      </c>
      <c r="H3059" s="2" t="s">
        <v>37</v>
      </c>
      <c r="I3059" s="2" t="s">
        <v>32</v>
      </c>
      <c r="J3059" s="2" t="s">
        <v>123</v>
      </c>
      <c r="K3059" s="2" t="s">
        <v>376</v>
      </c>
      <c r="L3059" s="2" t="s">
        <v>391</v>
      </c>
      <c r="M3059" s="2" t="s">
        <v>26</v>
      </c>
      <c r="P3059" s="5" t="str">
        <f>IFERROR(__xludf.DUMMYFUNCTION("TEXTJOIN("" | "",TRUE,IF(OR(D3059="""",E3059="""",I3059="""",J3059="""",H3059=""""),""ফাঁকা ঘর"",""""),IF(AND(C3059&lt;&gt;"""",D3059&lt;&gt;"""",C3059=D3059),""gloss=figurative"",""""),IF(LEN(D3059)&lt;15,""figurative ছোট"",""""),IF(AND(I3059=""Positive"",REGEXMATCH(H3"&amp;"059,""মূর্খ|ভণ্ড|প্রতার|অলস|লোভ|স্বার্থ|অক্ষম|অযোগ্য|বোকা|কৃপণ|হিংস"")),""valence-target অমিল"",""""),IF(COUNTIF($B:$B,B3059)&gt;1,""ডুপ্লিকেট"",""""))"),"")</f>
        <v/>
      </c>
      <c r="Q3059" s="5" t="str">
        <f t="shared" si="1"/>
        <v>২ পরে</v>
      </c>
    </row>
    <row r="3060">
      <c r="A3060" s="4">
        <v>859.0</v>
      </c>
      <c r="B3060" s="2" t="s">
        <v>12143</v>
      </c>
      <c r="C3060" s="2" t="s">
        <v>12144</v>
      </c>
      <c r="D3060" s="2" t="s">
        <v>12145</v>
      </c>
      <c r="E3060" s="2" t="s">
        <v>12146</v>
      </c>
      <c r="F3060" s="2" t="b">
        <v>1</v>
      </c>
      <c r="G3060" s="2" t="b">
        <v>1</v>
      </c>
      <c r="H3060" s="2" t="s">
        <v>37</v>
      </c>
      <c r="I3060" s="2" t="s">
        <v>32</v>
      </c>
      <c r="J3060" s="2" t="s">
        <v>12147</v>
      </c>
      <c r="K3060" s="2" t="s">
        <v>376</v>
      </c>
      <c r="L3060" s="2" t="s">
        <v>391</v>
      </c>
      <c r="M3060" s="2" t="s">
        <v>26</v>
      </c>
      <c r="P3060" s="5" t="str">
        <f>IFERROR(__xludf.DUMMYFUNCTION("TEXTJOIN("" | "",TRUE,IF(OR(D3060="""",E3060="""",I3060="""",J3060="""",H3060=""""),""ফাঁকা ঘর"",""""),IF(AND(C3060&lt;&gt;"""",D3060&lt;&gt;"""",C3060=D3060),""gloss=figurative"",""""),IF(LEN(D3060)&lt;15,""figurative ছোট"",""""),IF(AND(I3060=""Positive"",REGEXMATCH(H3"&amp;"060,""মূর্খ|ভণ্ড|প্রতার|অলস|লোভ|স্বার্থ|অক্ষম|অযোগ্য|বোকা|কৃপণ|হিংস"")),""valence-target অমিল"",""""),IF(COUNTIF($B:$B,B3060)&gt;1,""ডুপ্লিকেট"",""""))"),"")</f>
        <v/>
      </c>
      <c r="Q3060" s="5" t="str">
        <f t="shared" si="1"/>
        <v>২ পরে</v>
      </c>
    </row>
    <row r="3061">
      <c r="A3061" s="4">
        <v>860.0</v>
      </c>
      <c r="B3061" s="2" t="s">
        <v>12148</v>
      </c>
      <c r="C3061" s="2" t="s">
        <v>12149</v>
      </c>
      <c r="D3061" s="2" t="s">
        <v>12150</v>
      </c>
      <c r="E3061" s="2" t="s">
        <v>12151</v>
      </c>
      <c r="F3061" s="2" t="b">
        <v>1</v>
      </c>
      <c r="G3061" s="2" t="b">
        <v>0</v>
      </c>
      <c r="H3061" s="2" t="s">
        <v>37</v>
      </c>
      <c r="I3061" s="2" t="s">
        <v>49</v>
      </c>
      <c r="J3061" s="2" t="s">
        <v>123</v>
      </c>
      <c r="K3061" s="2" t="s">
        <v>376</v>
      </c>
      <c r="L3061" s="2" t="s">
        <v>391</v>
      </c>
      <c r="M3061" s="2" t="s">
        <v>26</v>
      </c>
      <c r="P3061" s="5" t="str">
        <f>IFERROR(__xludf.DUMMYFUNCTION("TEXTJOIN("" | "",TRUE,IF(OR(D3061="""",E3061="""",I3061="""",J3061="""",H3061=""""),""ফাঁকা ঘর"",""""),IF(AND(C3061&lt;&gt;"""",D3061&lt;&gt;"""",C3061=D3061),""gloss=figurative"",""""),IF(LEN(D3061)&lt;15,""figurative ছোট"",""""),IF(AND(I3061=""Positive"",REGEXMATCH(H3"&amp;"061,""মূর্খ|ভণ্ড|প্রতার|অলস|লোভ|স্বার্থ|অক্ষম|অযোগ্য|বোকা|কৃপণ|হিংস"")),""valence-target অমিল"",""""),IF(COUNTIF($B:$B,B3061)&gt;1,""ডুপ্লিকেট"",""""))"),"")</f>
        <v/>
      </c>
      <c r="Q3061" s="5" t="str">
        <f t="shared" si="1"/>
        <v>২ পরে</v>
      </c>
    </row>
    <row r="3062">
      <c r="A3062" s="4">
        <v>862.0</v>
      </c>
      <c r="B3062" s="2" t="s">
        <v>12152</v>
      </c>
      <c r="C3062" s="2" t="s">
        <v>12153</v>
      </c>
      <c r="D3062" s="2" t="s">
        <v>12154</v>
      </c>
      <c r="E3062" s="2" t="s">
        <v>12155</v>
      </c>
      <c r="F3062" s="2" t="b">
        <v>1</v>
      </c>
      <c r="G3062" s="2" t="b">
        <v>0</v>
      </c>
      <c r="H3062" s="2" t="s">
        <v>12156</v>
      </c>
      <c r="I3062" s="2" t="s">
        <v>22</v>
      </c>
      <c r="J3062" s="2" t="s">
        <v>9301</v>
      </c>
      <c r="K3062" s="2" t="s">
        <v>376</v>
      </c>
      <c r="L3062" s="2" t="s">
        <v>391</v>
      </c>
      <c r="M3062" s="2" t="s">
        <v>26</v>
      </c>
      <c r="P3062" s="5" t="str">
        <f>IFERROR(__xludf.DUMMYFUNCTION("TEXTJOIN("" | "",TRUE,IF(OR(D3062="""",E3062="""",I3062="""",J3062="""",H3062=""""),""ফাঁকা ঘর"",""""),IF(AND(C3062&lt;&gt;"""",D3062&lt;&gt;"""",C3062=D3062),""gloss=figurative"",""""),IF(LEN(D3062)&lt;15,""figurative ছোট"",""""),IF(AND(I3062=""Positive"",REGEXMATCH(H3"&amp;"062,""মূর্খ|ভণ্ড|প্রতার|অলস|লোভ|স্বার্থ|অক্ষম|অযোগ্য|বোকা|কৃপণ|হিংস"")),""valence-target অমিল"",""""),IF(COUNTIF($B:$B,B3062)&gt;1,""ডুপ্লিকেট"",""""))"),"")</f>
        <v/>
      </c>
      <c r="Q3062" s="5" t="str">
        <f t="shared" si="1"/>
        <v>২ পরে</v>
      </c>
    </row>
    <row r="3063">
      <c r="A3063" s="4">
        <v>863.0</v>
      </c>
      <c r="B3063" s="2" t="s">
        <v>12157</v>
      </c>
      <c r="C3063" s="2" t="s">
        <v>12158</v>
      </c>
      <c r="D3063" s="2" t="s">
        <v>12159</v>
      </c>
      <c r="E3063" s="2" t="s">
        <v>12160</v>
      </c>
      <c r="F3063" s="2" t="b">
        <v>1</v>
      </c>
      <c r="G3063" s="2" t="b">
        <v>0</v>
      </c>
      <c r="H3063" s="2" t="s">
        <v>9380</v>
      </c>
      <c r="I3063" s="2" t="s">
        <v>22</v>
      </c>
      <c r="J3063" s="2" t="s">
        <v>59</v>
      </c>
      <c r="K3063" s="2" t="s">
        <v>376</v>
      </c>
      <c r="L3063" s="2" t="s">
        <v>391</v>
      </c>
      <c r="M3063" s="2" t="s">
        <v>26</v>
      </c>
      <c r="P3063" s="5" t="str">
        <f>IFERROR(__xludf.DUMMYFUNCTION("TEXTJOIN("" | "",TRUE,IF(OR(D3063="""",E3063="""",I3063="""",J3063="""",H3063=""""),""ফাঁকা ঘর"",""""),IF(AND(C3063&lt;&gt;"""",D3063&lt;&gt;"""",C3063=D3063),""gloss=figurative"",""""),IF(LEN(D3063)&lt;15,""figurative ছোট"",""""),IF(AND(I3063=""Positive"",REGEXMATCH(H3"&amp;"063,""মূর্খ|ভণ্ড|প্রতার|অলস|লোভ|স্বার্থ|অক্ষম|অযোগ্য|বোকা|কৃপণ|হিংস"")),""valence-target অমিল"",""""),IF(COUNTIF($B:$B,B3063)&gt;1,""ডুপ্লিকেট"",""""))"),"")</f>
        <v/>
      </c>
      <c r="Q3063" s="5" t="str">
        <f t="shared" si="1"/>
        <v>২ পরে</v>
      </c>
    </row>
    <row r="3064">
      <c r="A3064" s="4">
        <v>864.0</v>
      </c>
      <c r="B3064" s="2" t="s">
        <v>12161</v>
      </c>
      <c r="C3064" s="2" t="s">
        <v>12162</v>
      </c>
      <c r="D3064" s="2" t="s">
        <v>12163</v>
      </c>
      <c r="E3064" s="2" t="s">
        <v>12164</v>
      </c>
      <c r="F3064" s="2" t="b">
        <v>1</v>
      </c>
      <c r="G3064" s="2" t="b">
        <v>0</v>
      </c>
      <c r="H3064" s="2" t="s">
        <v>37</v>
      </c>
      <c r="I3064" s="2" t="s">
        <v>32</v>
      </c>
      <c r="J3064" s="2" t="s">
        <v>1151</v>
      </c>
      <c r="K3064" s="2" t="s">
        <v>376</v>
      </c>
      <c r="L3064" s="2" t="s">
        <v>391</v>
      </c>
      <c r="M3064" s="2" t="s">
        <v>26</v>
      </c>
      <c r="P3064" s="5" t="str">
        <f>IFERROR(__xludf.DUMMYFUNCTION("TEXTJOIN("" | "",TRUE,IF(OR(D3064="""",E3064="""",I3064="""",J3064="""",H3064=""""),""ফাঁকা ঘর"",""""),IF(AND(C3064&lt;&gt;"""",D3064&lt;&gt;"""",C3064=D3064),""gloss=figurative"",""""),IF(LEN(D3064)&lt;15,""figurative ছোট"",""""),IF(AND(I3064=""Positive"",REGEXMATCH(H3"&amp;"064,""মূর্খ|ভণ্ড|প্রতার|অলস|লোভ|স্বার্থ|অক্ষম|অযোগ্য|বোকা|কৃপণ|হিংস"")),""valence-target অমিল"",""""),IF(COUNTIF($B:$B,B3064)&gt;1,""ডুপ্লিকেট"",""""))"),"")</f>
        <v/>
      </c>
      <c r="Q3064" s="5" t="str">
        <f t="shared" si="1"/>
        <v>২ পরে</v>
      </c>
    </row>
    <row r="3065">
      <c r="A3065" s="4">
        <v>865.0</v>
      </c>
      <c r="B3065" s="2" t="s">
        <v>12165</v>
      </c>
      <c r="C3065" s="2" t="s">
        <v>12166</v>
      </c>
      <c r="D3065" s="2" t="s">
        <v>12167</v>
      </c>
      <c r="E3065" s="2" t="s">
        <v>12168</v>
      </c>
      <c r="F3065" s="2" t="b">
        <v>1</v>
      </c>
      <c r="G3065" s="2" t="b">
        <v>0</v>
      </c>
      <c r="H3065" s="2" t="s">
        <v>37</v>
      </c>
      <c r="I3065" s="2" t="s">
        <v>32</v>
      </c>
      <c r="J3065" s="2" t="s">
        <v>12169</v>
      </c>
      <c r="K3065" s="2" t="s">
        <v>376</v>
      </c>
      <c r="L3065" s="2" t="s">
        <v>391</v>
      </c>
      <c r="M3065" s="2" t="s">
        <v>26</v>
      </c>
      <c r="P3065" s="5" t="str">
        <f>IFERROR(__xludf.DUMMYFUNCTION("TEXTJOIN("" | "",TRUE,IF(OR(D3065="""",E3065="""",I3065="""",J3065="""",H3065=""""),""ফাঁকা ঘর"",""""),IF(AND(C3065&lt;&gt;"""",D3065&lt;&gt;"""",C3065=D3065),""gloss=figurative"",""""),IF(LEN(D3065)&lt;15,""figurative ছোট"",""""),IF(AND(I3065=""Positive"",REGEXMATCH(H3"&amp;"065,""মূর্খ|ভণ্ড|প্রতার|অলস|লোভ|স্বার্থ|অক্ষম|অযোগ্য|বোকা|কৃপণ|হিংস"")),""valence-target অমিল"",""""),IF(COUNTIF($B:$B,B3065)&gt;1,""ডুপ্লিকেট"",""""))"),"")</f>
        <v/>
      </c>
      <c r="Q3065" s="5" t="str">
        <f t="shared" si="1"/>
        <v>২ পরে</v>
      </c>
    </row>
    <row r="3066">
      <c r="A3066" s="4">
        <v>866.0</v>
      </c>
      <c r="B3066" s="2" t="s">
        <v>12170</v>
      </c>
      <c r="C3066" s="2" t="s">
        <v>12171</v>
      </c>
      <c r="D3066" s="2" t="s">
        <v>12172</v>
      </c>
      <c r="E3066" s="2" t="s">
        <v>12173</v>
      </c>
      <c r="F3066" s="2" t="b">
        <v>1</v>
      </c>
      <c r="G3066" s="2" t="b">
        <v>0</v>
      </c>
      <c r="H3066" s="2" t="s">
        <v>37</v>
      </c>
      <c r="I3066" s="2" t="s">
        <v>49</v>
      </c>
      <c r="J3066" s="2" t="s">
        <v>6697</v>
      </c>
      <c r="K3066" s="2" t="s">
        <v>376</v>
      </c>
      <c r="L3066" s="2" t="s">
        <v>391</v>
      </c>
      <c r="M3066" s="2" t="s">
        <v>26</v>
      </c>
      <c r="P3066" s="5" t="str">
        <f>IFERROR(__xludf.DUMMYFUNCTION("TEXTJOIN("" | "",TRUE,IF(OR(D3066="""",E3066="""",I3066="""",J3066="""",H3066=""""),""ফাঁকা ঘর"",""""),IF(AND(C3066&lt;&gt;"""",D3066&lt;&gt;"""",C3066=D3066),""gloss=figurative"",""""),IF(LEN(D3066)&lt;15,""figurative ছোট"",""""),IF(AND(I3066=""Positive"",REGEXMATCH(H3"&amp;"066,""মূর্খ|ভণ্ড|প্রতার|অলস|লোভ|স্বার্থ|অক্ষম|অযোগ্য|বোকা|কৃপণ|হিংস"")),""valence-target অমিল"",""""),IF(COUNTIF($B:$B,B3066)&gt;1,""ডুপ্লিকেট"",""""))"),"")</f>
        <v/>
      </c>
      <c r="Q3066" s="5" t="str">
        <f t="shared" si="1"/>
        <v>২ পরে</v>
      </c>
    </row>
    <row r="3067">
      <c r="A3067" s="4">
        <v>867.0</v>
      </c>
      <c r="B3067" s="2" t="s">
        <v>12174</v>
      </c>
      <c r="C3067" s="2" t="s">
        <v>12175</v>
      </c>
      <c r="D3067" s="2" t="s">
        <v>12176</v>
      </c>
      <c r="E3067" s="2" t="s">
        <v>12177</v>
      </c>
      <c r="F3067" s="2" t="b">
        <v>1</v>
      </c>
      <c r="G3067" s="2" t="b">
        <v>0</v>
      </c>
      <c r="H3067" s="2" t="s">
        <v>37</v>
      </c>
      <c r="I3067" s="2" t="s">
        <v>32</v>
      </c>
      <c r="J3067" s="2" t="s">
        <v>162</v>
      </c>
      <c r="K3067" s="2" t="s">
        <v>376</v>
      </c>
      <c r="L3067" s="2" t="s">
        <v>391</v>
      </c>
      <c r="M3067" s="2" t="s">
        <v>26</v>
      </c>
      <c r="P3067" s="5" t="str">
        <f>IFERROR(__xludf.DUMMYFUNCTION("TEXTJOIN("" | "",TRUE,IF(OR(D3067="""",E3067="""",I3067="""",J3067="""",H3067=""""),""ফাঁকা ঘর"",""""),IF(AND(C3067&lt;&gt;"""",D3067&lt;&gt;"""",C3067=D3067),""gloss=figurative"",""""),IF(LEN(D3067)&lt;15,""figurative ছোট"",""""),IF(AND(I3067=""Positive"",REGEXMATCH(H3"&amp;"067,""মূর্খ|ভণ্ড|প্রতার|অলস|লোভ|স্বার্থ|অক্ষম|অযোগ্য|বোকা|কৃপণ|হিংস"")),""valence-target অমিল"",""""),IF(COUNTIF($B:$B,B3067)&gt;1,""ডুপ্লিকেট"",""""))"),"")</f>
        <v/>
      </c>
      <c r="Q3067" s="5" t="str">
        <f t="shared" si="1"/>
        <v>২ পরে</v>
      </c>
    </row>
    <row r="3068">
      <c r="A3068" s="4">
        <v>868.0</v>
      </c>
      <c r="B3068" s="2" t="s">
        <v>12178</v>
      </c>
      <c r="C3068" s="2" t="s">
        <v>12179</v>
      </c>
      <c r="D3068" s="2" t="s">
        <v>12180</v>
      </c>
      <c r="E3068" s="2" t="s">
        <v>12181</v>
      </c>
      <c r="F3068" s="2" t="b">
        <v>1</v>
      </c>
      <c r="G3068" s="2" t="b">
        <v>0</v>
      </c>
      <c r="H3068" s="2" t="s">
        <v>9737</v>
      </c>
      <c r="I3068" s="2" t="s">
        <v>22</v>
      </c>
      <c r="J3068" s="2" t="s">
        <v>424</v>
      </c>
      <c r="K3068" s="2" t="s">
        <v>376</v>
      </c>
      <c r="L3068" s="2" t="s">
        <v>391</v>
      </c>
      <c r="M3068" s="2" t="s">
        <v>26</v>
      </c>
      <c r="P3068" s="5" t="str">
        <f>IFERROR(__xludf.DUMMYFUNCTION("TEXTJOIN("" | "",TRUE,IF(OR(D3068="""",E3068="""",I3068="""",J3068="""",H3068=""""),""ফাঁকা ঘর"",""""),IF(AND(C3068&lt;&gt;"""",D3068&lt;&gt;"""",C3068=D3068),""gloss=figurative"",""""),IF(LEN(D3068)&lt;15,""figurative ছোট"",""""),IF(AND(I3068=""Positive"",REGEXMATCH(H3"&amp;"068,""মূর্খ|ভণ্ড|প্রতার|অলস|লোভ|স্বার্থ|অক্ষম|অযোগ্য|বোকা|কৃপণ|হিংস"")),""valence-target অমিল"",""""),IF(COUNTIF($B:$B,B3068)&gt;1,""ডুপ্লিকেট"",""""))"),"")</f>
        <v/>
      </c>
      <c r="Q3068" s="5" t="str">
        <f t="shared" si="1"/>
        <v>২ পরে</v>
      </c>
    </row>
    <row r="3069">
      <c r="A3069" s="4">
        <v>869.0</v>
      </c>
      <c r="B3069" s="2" t="s">
        <v>12182</v>
      </c>
      <c r="C3069" s="2" t="s">
        <v>12183</v>
      </c>
      <c r="D3069" s="2" t="s">
        <v>10369</v>
      </c>
      <c r="E3069" s="2" t="s">
        <v>12184</v>
      </c>
      <c r="F3069" s="2" t="b">
        <v>1</v>
      </c>
      <c r="G3069" s="2" t="b">
        <v>0</v>
      </c>
      <c r="H3069" s="2" t="s">
        <v>9580</v>
      </c>
      <c r="I3069" s="2" t="s">
        <v>49</v>
      </c>
      <c r="J3069" s="2" t="s">
        <v>1679</v>
      </c>
      <c r="K3069" s="2" t="s">
        <v>376</v>
      </c>
      <c r="L3069" s="2" t="s">
        <v>391</v>
      </c>
      <c r="M3069" s="2" t="s">
        <v>26</v>
      </c>
      <c r="P3069" s="5" t="str">
        <f>IFERROR(__xludf.DUMMYFUNCTION("TEXTJOIN("" | "",TRUE,IF(OR(D3069="""",E3069="""",I3069="""",J3069="""",H3069=""""),""ফাঁকা ঘর"",""""),IF(AND(C3069&lt;&gt;"""",D3069&lt;&gt;"""",C3069=D3069),""gloss=figurative"",""""),IF(LEN(D3069)&lt;15,""figurative ছোট"",""""),IF(AND(I3069=""Positive"",REGEXMATCH(H3"&amp;"069,""মূর্খ|ভণ্ড|প্রতার|অলস|লোভ|স্বার্থ|অক্ষম|অযোগ্য|বোকা|কৃপণ|হিংস"")),""valence-target অমিল"",""""),IF(COUNTIF($B:$B,B3069)&gt;1,""ডুপ্লিকেট"",""""))"),"")</f>
        <v/>
      </c>
      <c r="Q3069" s="5" t="str">
        <f t="shared" si="1"/>
        <v>২ পরে</v>
      </c>
    </row>
    <row r="3070">
      <c r="A3070" s="4">
        <v>870.0</v>
      </c>
      <c r="B3070" s="2" t="s">
        <v>12185</v>
      </c>
      <c r="C3070" s="2" t="s">
        <v>12186</v>
      </c>
      <c r="D3070" s="2" t="s">
        <v>12187</v>
      </c>
      <c r="E3070" s="2" t="s">
        <v>12188</v>
      </c>
      <c r="F3070" s="2" t="b">
        <v>1</v>
      </c>
      <c r="G3070" s="2" t="b">
        <v>0</v>
      </c>
      <c r="H3070" s="2" t="s">
        <v>8772</v>
      </c>
      <c r="I3070" s="2" t="s">
        <v>32</v>
      </c>
      <c r="J3070" s="2" t="s">
        <v>964</v>
      </c>
      <c r="K3070" s="2" t="s">
        <v>376</v>
      </c>
      <c r="L3070" s="2" t="s">
        <v>391</v>
      </c>
      <c r="M3070" s="2" t="s">
        <v>26</v>
      </c>
      <c r="P3070" s="5" t="str">
        <f>IFERROR(__xludf.DUMMYFUNCTION("TEXTJOIN("" | "",TRUE,IF(OR(D3070="""",E3070="""",I3070="""",J3070="""",H3070=""""),""ফাঁকা ঘর"",""""),IF(AND(C3070&lt;&gt;"""",D3070&lt;&gt;"""",C3070=D3070),""gloss=figurative"",""""),IF(LEN(D3070)&lt;15,""figurative ছোট"",""""),IF(AND(I3070=""Positive"",REGEXMATCH(H3"&amp;"070,""মূর্খ|ভণ্ড|প্রতার|অলস|লোভ|স্বার্থ|অক্ষম|অযোগ্য|বোকা|কৃপণ|হিংস"")),""valence-target অমিল"",""""),IF(COUNTIF($B:$B,B3070)&gt;1,""ডুপ্লিকেট"",""""))"),"")</f>
        <v/>
      </c>
      <c r="Q3070" s="5" t="str">
        <f t="shared" si="1"/>
        <v>২ পরে</v>
      </c>
    </row>
    <row r="3071">
      <c r="A3071" s="4">
        <v>871.0</v>
      </c>
      <c r="B3071" s="2" t="s">
        <v>12189</v>
      </c>
      <c r="C3071" s="2" t="s">
        <v>12189</v>
      </c>
      <c r="D3071" s="2" t="s">
        <v>12190</v>
      </c>
      <c r="E3071" s="2" t="s">
        <v>12191</v>
      </c>
      <c r="F3071" s="2" t="b">
        <v>1</v>
      </c>
      <c r="G3071" s="2" t="b">
        <v>0</v>
      </c>
      <c r="H3071" s="2" t="s">
        <v>11759</v>
      </c>
      <c r="I3071" s="2" t="s">
        <v>22</v>
      </c>
      <c r="J3071" s="2" t="s">
        <v>59</v>
      </c>
      <c r="K3071" s="2" t="s">
        <v>376</v>
      </c>
      <c r="L3071" s="2" t="s">
        <v>391</v>
      </c>
      <c r="M3071" s="2" t="s">
        <v>26</v>
      </c>
      <c r="P3071" s="5" t="str">
        <f>IFERROR(__xludf.DUMMYFUNCTION("TEXTJOIN("" | "",TRUE,IF(OR(D3071="""",E3071="""",I3071="""",J3071="""",H3071=""""),""ফাঁকা ঘর"",""""),IF(AND(C3071&lt;&gt;"""",D3071&lt;&gt;"""",C3071=D3071),""gloss=figurative"",""""),IF(LEN(D3071)&lt;15,""figurative ছোট"",""""),IF(AND(I3071=""Positive"",REGEXMATCH(H3"&amp;"071,""মূর্খ|ভণ্ড|প্রতার|অলস|লোভ|স্বার্থ|অক্ষম|অযোগ্য|বোকা|কৃপণ|হিংস"")),""valence-target অমিল"",""""),IF(COUNTIF($B:$B,B3071)&gt;1,""ডুপ্লিকেট"",""""))"),"")</f>
        <v/>
      </c>
      <c r="Q3071" s="5" t="str">
        <f t="shared" si="1"/>
        <v>২ পরে</v>
      </c>
    </row>
    <row r="3072">
      <c r="A3072" s="4">
        <v>872.0</v>
      </c>
      <c r="B3072" s="2" t="s">
        <v>12192</v>
      </c>
      <c r="C3072" s="2" t="s">
        <v>12192</v>
      </c>
      <c r="D3072" s="2" t="s">
        <v>12193</v>
      </c>
      <c r="E3072" s="2" t="s">
        <v>12194</v>
      </c>
      <c r="F3072" s="2" t="b">
        <v>1</v>
      </c>
      <c r="G3072" s="2" t="b">
        <v>0</v>
      </c>
      <c r="H3072" s="2" t="s">
        <v>37</v>
      </c>
      <c r="I3072" s="2" t="s">
        <v>32</v>
      </c>
      <c r="J3072" s="2" t="s">
        <v>202</v>
      </c>
      <c r="K3072" s="2" t="s">
        <v>376</v>
      </c>
      <c r="L3072" s="2" t="s">
        <v>391</v>
      </c>
      <c r="M3072" s="2" t="s">
        <v>26</v>
      </c>
      <c r="P3072" s="5" t="str">
        <f>IFERROR(__xludf.DUMMYFUNCTION("TEXTJOIN("" | "",TRUE,IF(OR(D3072="""",E3072="""",I3072="""",J3072="""",H3072=""""),""ফাঁকা ঘর"",""""),IF(AND(C3072&lt;&gt;"""",D3072&lt;&gt;"""",C3072=D3072),""gloss=figurative"",""""),IF(LEN(D3072)&lt;15,""figurative ছোট"",""""),IF(AND(I3072=""Positive"",REGEXMATCH(H3"&amp;"072,""মূর্খ|ভণ্ড|প্রতার|অলস|লোভ|স্বার্থ|অক্ষম|অযোগ্য|বোকা|কৃপণ|হিংস"")),""valence-target অমিল"",""""),IF(COUNTIF($B:$B,B3072)&gt;1,""ডুপ্লিকেট"",""""))"),"")</f>
        <v/>
      </c>
      <c r="Q3072" s="5" t="str">
        <f t="shared" si="1"/>
        <v>২ পরে</v>
      </c>
    </row>
    <row r="3073">
      <c r="A3073" s="4">
        <v>873.0</v>
      </c>
      <c r="B3073" s="2" t="s">
        <v>12195</v>
      </c>
      <c r="C3073" s="2" t="s">
        <v>12196</v>
      </c>
      <c r="D3073" s="2" t="s">
        <v>12197</v>
      </c>
      <c r="E3073" s="2" t="s">
        <v>12198</v>
      </c>
      <c r="F3073" s="2" t="b">
        <v>1</v>
      </c>
      <c r="G3073" s="2" t="b">
        <v>0</v>
      </c>
      <c r="H3073" s="2" t="s">
        <v>11759</v>
      </c>
      <c r="I3073" s="2" t="s">
        <v>22</v>
      </c>
      <c r="J3073" s="2" t="s">
        <v>59</v>
      </c>
      <c r="K3073" s="2" t="s">
        <v>376</v>
      </c>
      <c r="L3073" s="2" t="s">
        <v>391</v>
      </c>
      <c r="M3073" s="2" t="s">
        <v>26</v>
      </c>
      <c r="P3073" s="5" t="str">
        <f>IFERROR(__xludf.DUMMYFUNCTION("TEXTJOIN("" | "",TRUE,IF(OR(D3073="""",E3073="""",I3073="""",J3073="""",H3073=""""),""ফাঁকা ঘর"",""""),IF(AND(C3073&lt;&gt;"""",D3073&lt;&gt;"""",C3073=D3073),""gloss=figurative"",""""),IF(LEN(D3073)&lt;15,""figurative ছোট"",""""),IF(AND(I3073=""Positive"",REGEXMATCH(H3"&amp;"073,""মূর্খ|ভণ্ড|প্রতার|অলস|লোভ|স্বার্থ|অক্ষম|অযোগ্য|বোকা|কৃপণ|হিংস"")),""valence-target অমিল"",""""),IF(COUNTIF($B:$B,B3073)&gt;1,""ডুপ্লিকেট"",""""))"),"")</f>
        <v/>
      </c>
      <c r="Q3073" s="5" t="str">
        <f t="shared" si="1"/>
        <v>২ পরে</v>
      </c>
    </row>
    <row r="3074">
      <c r="A3074" s="4">
        <v>874.0</v>
      </c>
      <c r="B3074" s="2" t="s">
        <v>12199</v>
      </c>
      <c r="C3074" s="2" t="s">
        <v>12200</v>
      </c>
      <c r="D3074" s="2" t="s">
        <v>12201</v>
      </c>
      <c r="E3074" s="2" t="s">
        <v>12202</v>
      </c>
      <c r="F3074" s="2" t="b">
        <v>1</v>
      </c>
      <c r="G3074" s="2" t="b">
        <v>0</v>
      </c>
      <c r="H3074" s="2" t="s">
        <v>37</v>
      </c>
      <c r="I3074" s="2" t="s">
        <v>32</v>
      </c>
      <c r="J3074" s="2" t="s">
        <v>123</v>
      </c>
      <c r="K3074" s="2" t="s">
        <v>376</v>
      </c>
      <c r="L3074" s="2" t="s">
        <v>391</v>
      </c>
      <c r="M3074" s="2" t="s">
        <v>26</v>
      </c>
      <c r="P3074" s="5" t="str">
        <f>IFERROR(__xludf.DUMMYFUNCTION("TEXTJOIN("" | "",TRUE,IF(OR(D3074="""",E3074="""",I3074="""",J3074="""",H3074=""""),""ফাঁকা ঘর"",""""),IF(AND(C3074&lt;&gt;"""",D3074&lt;&gt;"""",C3074=D3074),""gloss=figurative"",""""),IF(LEN(D3074)&lt;15,""figurative ছোট"",""""),IF(AND(I3074=""Positive"",REGEXMATCH(H3"&amp;"074,""মূর্খ|ভণ্ড|প্রতার|অলস|লোভ|স্বার্থ|অক্ষম|অযোগ্য|বোকা|কৃপণ|হিংস"")),""valence-target অমিল"",""""),IF(COUNTIF($B:$B,B3074)&gt;1,""ডুপ্লিকেট"",""""))"),"")</f>
        <v/>
      </c>
      <c r="Q3074" s="5" t="str">
        <f t="shared" si="1"/>
        <v>২ পরে</v>
      </c>
    </row>
    <row r="3075">
      <c r="A3075" s="4">
        <v>875.0</v>
      </c>
      <c r="B3075" s="2" t="s">
        <v>12203</v>
      </c>
      <c r="C3075" s="2" t="s">
        <v>12204</v>
      </c>
      <c r="D3075" s="2" t="s">
        <v>12205</v>
      </c>
      <c r="E3075" s="2" t="s">
        <v>12206</v>
      </c>
      <c r="F3075" s="2" t="b">
        <v>1</v>
      </c>
      <c r="G3075" s="2" t="b">
        <v>0</v>
      </c>
      <c r="H3075" s="2" t="s">
        <v>12207</v>
      </c>
      <c r="I3075" s="2" t="s">
        <v>49</v>
      </c>
      <c r="J3075" s="2" t="s">
        <v>11358</v>
      </c>
      <c r="K3075" s="2" t="s">
        <v>376</v>
      </c>
      <c r="L3075" s="2" t="s">
        <v>391</v>
      </c>
      <c r="M3075" s="2" t="s">
        <v>26</v>
      </c>
      <c r="P3075" s="5" t="str">
        <f>IFERROR(__xludf.DUMMYFUNCTION("TEXTJOIN("" | "",TRUE,IF(OR(D3075="""",E3075="""",I3075="""",J3075="""",H3075=""""),""ফাঁকা ঘর"",""""),IF(AND(C3075&lt;&gt;"""",D3075&lt;&gt;"""",C3075=D3075),""gloss=figurative"",""""),IF(LEN(D3075)&lt;15,""figurative ছোট"",""""),IF(AND(I3075=""Positive"",REGEXMATCH(H3"&amp;"075,""মূর্খ|ভণ্ড|প্রতার|অলস|লোভ|স্বার্থ|অক্ষম|অযোগ্য|বোকা|কৃপণ|হিংস"")),""valence-target অমিল"",""""),IF(COUNTIF($B:$B,B3075)&gt;1,""ডুপ্লিকেট"",""""))"),"")</f>
        <v/>
      </c>
      <c r="Q3075" s="5" t="str">
        <f t="shared" si="1"/>
        <v>২ পরে</v>
      </c>
    </row>
    <row r="3076">
      <c r="A3076" s="4">
        <v>876.0</v>
      </c>
      <c r="B3076" s="2" t="s">
        <v>12208</v>
      </c>
      <c r="C3076" s="2" t="s">
        <v>12209</v>
      </c>
      <c r="D3076" s="2" t="s">
        <v>12210</v>
      </c>
      <c r="E3076" s="2" t="s">
        <v>12211</v>
      </c>
      <c r="F3076" s="2" t="b">
        <v>1</v>
      </c>
      <c r="G3076" s="2" t="b">
        <v>0</v>
      </c>
      <c r="H3076" s="2" t="s">
        <v>181</v>
      </c>
      <c r="I3076" s="2" t="s">
        <v>32</v>
      </c>
      <c r="J3076" s="2" t="s">
        <v>413</v>
      </c>
      <c r="K3076" s="2" t="s">
        <v>376</v>
      </c>
      <c r="L3076" s="2" t="s">
        <v>391</v>
      </c>
      <c r="M3076" s="2" t="s">
        <v>26</v>
      </c>
      <c r="P3076" s="5" t="str">
        <f>IFERROR(__xludf.DUMMYFUNCTION("TEXTJOIN("" | "",TRUE,IF(OR(D3076="""",E3076="""",I3076="""",J3076="""",H3076=""""),""ফাঁকা ঘর"",""""),IF(AND(C3076&lt;&gt;"""",D3076&lt;&gt;"""",C3076=D3076),""gloss=figurative"",""""),IF(LEN(D3076)&lt;15,""figurative ছোট"",""""),IF(AND(I3076=""Positive"",REGEXMATCH(H3"&amp;"076,""মূর্খ|ভণ্ড|প্রতার|অলস|লোভ|স্বার্থ|অক্ষম|অযোগ্য|বোকা|কৃপণ|হিংস"")),""valence-target অমিল"",""""),IF(COUNTIF($B:$B,B3076)&gt;1,""ডুপ্লিকেট"",""""))"),"")</f>
        <v/>
      </c>
      <c r="Q3076" s="5" t="str">
        <f t="shared" si="1"/>
        <v>২ পরে</v>
      </c>
    </row>
    <row r="3077">
      <c r="A3077" s="4">
        <v>877.0</v>
      </c>
      <c r="B3077" s="2" t="s">
        <v>12212</v>
      </c>
      <c r="C3077" s="2" t="s">
        <v>12213</v>
      </c>
      <c r="D3077" s="2" t="s">
        <v>12214</v>
      </c>
      <c r="E3077" s="2" t="s">
        <v>12215</v>
      </c>
      <c r="F3077" s="2" t="b">
        <v>1</v>
      </c>
      <c r="G3077" s="2" t="b">
        <v>0</v>
      </c>
      <c r="H3077" s="2" t="s">
        <v>11566</v>
      </c>
      <c r="I3077" s="2" t="s">
        <v>32</v>
      </c>
      <c r="J3077" s="2" t="s">
        <v>868</v>
      </c>
      <c r="K3077" s="2" t="s">
        <v>376</v>
      </c>
      <c r="L3077" s="2" t="s">
        <v>391</v>
      </c>
      <c r="M3077" s="2" t="s">
        <v>26</v>
      </c>
      <c r="P3077" s="5" t="str">
        <f>IFERROR(__xludf.DUMMYFUNCTION("TEXTJOIN("" | "",TRUE,IF(OR(D3077="""",E3077="""",I3077="""",J3077="""",H3077=""""),""ফাঁকা ঘর"",""""),IF(AND(C3077&lt;&gt;"""",D3077&lt;&gt;"""",C3077=D3077),""gloss=figurative"",""""),IF(LEN(D3077)&lt;15,""figurative ছোট"",""""),IF(AND(I3077=""Positive"",REGEXMATCH(H3"&amp;"077,""মূর্খ|ভণ্ড|প্রতার|অলস|লোভ|স্বার্থ|অক্ষম|অযোগ্য|বোকা|কৃপণ|হিংস"")),""valence-target অমিল"",""""),IF(COUNTIF($B:$B,B3077)&gt;1,""ডুপ্লিকেট"",""""))"),"")</f>
        <v/>
      </c>
      <c r="Q3077" s="5" t="str">
        <f t="shared" si="1"/>
        <v>২ পরে</v>
      </c>
    </row>
    <row r="3078">
      <c r="A3078" s="4">
        <v>878.0</v>
      </c>
      <c r="B3078" s="2" t="s">
        <v>12216</v>
      </c>
      <c r="C3078" s="2" t="s">
        <v>12217</v>
      </c>
      <c r="D3078" s="2" t="s">
        <v>12218</v>
      </c>
      <c r="E3078" s="2" t="s">
        <v>12219</v>
      </c>
      <c r="F3078" s="2" t="b">
        <v>1</v>
      </c>
      <c r="G3078" s="2" t="b">
        <v>0</v>
      </c>
      <c r="H3078" s="2" t="s">
        <v>12220</v>
      </c>
      <c r="I3078" s="2" t="s">
        <v>32</v>
      </c>
      <c r="J3078" s="2" t="s">
        <v>9988</v>
      </c>
      <c r="K3078" s="2" t="s">
        <v>376</v>
      </c>
      <c r="L3078" s="2" t="s">
        <v>391</v>
      </c>
      <c r="M3078" s="2" t="s">
        <v>26</v>
      </c>
      <c r="P3078" s="5" t="str">
        <f>IFERROR(__xludf.DUMMYFUNCTION("TEXTJOIN("" | "",TRUE,IF(OR(D3078="""",E3078="""",I3078="""",J3078="""",H3078=""""),""ফাঁকা ঘর"",""""),IF(AND(C3078&lt;&gt;"""",D3078&lt;&gt;"""",C3078=D3078),""gloss=figurative"",""""),IF(LEN(D3078)&lt;15,""figurative ছোট"",""""),IF(AND(I3078=""Positive"",REGEXMATCH(H3"&amp;"078,""মূর্খ|ভণ্ড|প্রতার|অলস|লোভ|স্বার্থ|অক্ষম|অযোগ্য|বোকা|কৃপণ|হিংস"")),""valence-target অমিল"",""""),IF(COUNTIF($B:$B,B3078)&gt;1,""ডুপ্লিকেট"",""""))"),"")</f>
        <v/>
      </c>
      <c r="Q3078" s="5" t="str">
        <f t="shared" si="1"/>
        <v>২ পরে</v>
      </c>
    </row>
    <row r="3079">
      <c r="A3079" s="4">
        <v>879.0</v>
      </c>
      <c r="B3079" s="2" t="s">
        <v>12221</v>
      </c>
      <c r="C3079" s="2" t="s">
        <v>12222</v>
      </c>
      <c r="D3079" s="2" t="s">
        <v>12223</v>
      </c>
      <c r="E3079" s="2" t="s">
        <v>12224</v>
      </c>
      <c r="F3079" s="2" t="b">
        <v>1</v>
      </c>
      <c r="G3079" s="2" t="b">
        <v>0</v>
      </c>
      <c r="H3079" s="2" t="s">
        <v>12225</v>
      </c>
      <c r="I3079" s="2" t="s">
        <v>32</v>
      </c>
      <c r="J3079" s="2" t="s">
        <v>12226</v>
      </c>
      <c r="K3079" s="2" t="s">
        <v>376</v>
      </c>
      <c r="L3079" s="2" t="s">
        <v>391</v>
      </c>
      <c r="M3079" s="2" t="s">
        <v>26</v>
      </c>
      <c r="P3079" s="5" t="str">
        <f>IFERROR(__xludf.DUMMYFUNCTION("TEXTJOIN("" | "",TRUE,IF(OR(D3079="""",E3079="""",I3079="""",J3079="""",H3079=""""),""ফাঁকা ঘর"",""""),IF(AND(C3079&lt;&gt;"""",D3079&lt;&gt;"""",C3079=D3079),""gloss=figurative"",""""),IF(LEN(D3079)&lt;15,""figurative ছোট"",""""),IF(AND(I3079=""Positive"",REGEXMATCH(H3"&amp;"079,""মূর্খ|ভণ্ড|প্রতার|অলস|লোভ|স্বার্থ|অক্ষম|অযোগ্য|বোকা|কৃপণ|হিংস"")),""valence-target অমিল"",""""),IF(COUNTIF($B:$B,B3079)&gt;1,""ডুপ্লিকেট"",""""))"),"")</f>
        <v/>
      </c>
      <c r="Q3079" s="5" t="str">
        <f t="shared" si="1"/>
        <v>২ পরে</v>
      </c>
    </row>
    <row r="3080">
      <c r="A3080" s="4">
        <v>880.0</v>
      </c>
      <c r="B3080" s="2" t="s">
        <v>12227</v>
      </c>
      <c r="C3080" s="2" t="s">
        <v>12228</v>
      </c>
      <c r="D3080" s="2" t="s">
        <v>12229</v>
      </c>
      <c r="E3080" s="2" t="s">
        <v>12230</v>
      </c>
      <c r="F3080" s="2" t="b">
        <v>1</v>
      </c>
      <c r="G3080" s="2" t="b">
        <v>0</v>
      </c>
      <c r="H3080" s="2" t="s">
        <v>189</v>
      </c>
      <c r="I3080" s="2" t="s">
        <v>22</v>
      </c>
      <c r="J3080" s="2" t="s">
        <v>59</v>
      </c>
      <c r="K3080" s="2" t="s">
        <v>376</v>
      </c>
      <c r="L3080" s="2" t="s">
        <v>391</v>
      </c>
      <c r="M3080" s="2" t="s">
        <v>26</v>
      </c>
      <c r="P3080" s="5" t="str">
        <f>IFERROR(__xludf.DUMMYFUNCTION("TEXTJOIN("" | "",TRUE,IF(OR(D3080="""",E3080="""",I3080="""",J3080="""",H3080=""""),""ফাঁকা ঘর"",""""),IF(AND(C3080&lt;&gt;"""",D3080&lt;&gt;"""",C3080=D3080),""gloss=figurative"",""""),IF(LEN(D3080)&lt;15,""figurative ছোট"",""""),IF(AND(I3080=""Positive"",REGEXMATCH(H3"&amp;"080,""মূর্খ|ভণ্ড|প্রতার|অলস|লোভ|স্বার্থ|অক্ষম|অযোগ্য|বোকা|কৃপণ|হিংস"")),""valence-target অমিল"",""""),IF(COUNTIF($B:$B,B3080)&gt;1,""ডুপ্লিকেট"",""""))"),"")</f>
        <v/>
      </c>
      <c r="Q3080" s="5" t="str">
        <f t="shared" si="1"/>
        <v>২ পরে</v>
      </c>
    </row>
    <row r="3081">
      <c r="A3081" s="4">
        <v>881.0</v>
      </c>
      <c r="B3081" s="2" t="s">
        <v>12231</v>
      </c>
      <c r="C3081" s="2" t="s">
        <v>12232</v>
      </c>
      <c r="D3081" s="2" t="s">
        <v>12233</v>
      </c>
      <c r="E3081" s="2" t="s">
        <v>12234</v>
      </c>
      <c r="F3081" s="2" t="b">
        <v>1</v>
      </c>
      <c r="G3081" s="2" t="b">
        <v>0</v>
      </c>
      <c r="H3081" s="2" t="s">
        <v>37</v>
      </c>
      <c r="I3081" s="2" t="s">
        <v>32</v>
      </c>
      <c r="J3081" s="2" t="s">
        <v>169</v>
      </c>
      <c r="K3081" s="2" t="s">
        <v>376</v>
      </c>
      <c r="L3081" s="2" t="s">
        <v>391</v>
      </c>
      <c r="M3081" s="2" t="s">
        <v>26</v>
      </c>
      <c r="P3081" s="5" t="str">
        <f>IFERROR(__xludf.DUMMYFUNCTION("TEXTJOIN("" | "",TRUE,IF(OR(D3081="""",E3081="""",I3081="""",J3081="""",H3081=""""),""ফাঁকা ঘর"",""""),IF(AND(C3081&lt;&gt;"""",D3081&lt;&gt;"""",C3081=D3081),""gloss=figurative"",""""),IF(LEN(D3081)&lt;15,""figurative ছোট"",""""),IF(AND(I3081=""Positive"",REGEXMATCH(H3"&amp;"081,""মূর্খ|ভণ্ড|প্রতার|অলস|লোভ|স্বার্থ|অক্ষম|অযোগ্য|বোকা|কৃপণ|হিংস"")),""valence-target অমিল"",""""),IF(COUNTIF($B:$B,B3081)&gt;1,""ডুপ্লিকেট"",""""))"),"")</f>
        <v/>
      </c>
      <c r="Q3081" s="5" t="str">
        <f t="shared" si="1"/>
        <v>২ পরে</v>
      </c>
    </row>
    <row r="3082">
      <c r="A3082" s="4">
        <v>882.0</v>
      </c>
      <c r="B3082" s="2" t="s">
        <v>12235</v>
      </c>
      <c r="C3082" s="2" t="s">
        <v>12236</v>
      </c>
      <c r="D3082" s="2" t="s">
        <v>12237</v>
      </c>
      <c r="E3082" s="2" t="s">
        <v>12238</v>
      </c>
      <c r="F3082" s="2" t="b">
        <v>1</v>
      </c>
      <c r="G3082" s="2" t="b">
        <v>0</v>
      </c>
      <c r="H3082" s="2" t="s">
        <v>9380</v>
      </c>
      <c r="I3082" s="2" t="s">
        <v>22</v>
      </c>
      <c r="J3082" s="2" t="s">
        <v>59</v>
      </c>
      <c r="K3082" s="2" t="s">
        <v>376</v>
      </c>
      <c r="L3082" s="2" t="s">
        <v>391</v>
      </c>
      <c r="M3082" s="2" t="s">
        <v>26</v>
      </c>
      <c r="P3082" s="5" t="str">
        <f>IFERROR(__xludf.DUMMYFUNCTION("TEXTJOIN("" | "",TRUE,IF(OR(D3082="""",E3082="""",I3082="""",J3082="""",H3082=""""),""ফাঁকা ঘর"",""""),IF(AND(C3082&lt;&gt;"""",D3082&lt;&gt;"""",C3082=D3082),""gloss=figurative"",""""),IF(LEN(D3082)&lt;15,""figurative ছোট"",""""),IF(AND(I3082=""Positive"",REGEXMATCH(H3"&amp;"082,""মূর্খ|ভণ্ড|প্রতার|অলস|লোভ|স্বার্থ|অক্ষম|অযোগ্য|বোকা|কৃপণ|হিংস"")),""valence-target অমিল"",""""),IF(COUNTIF($B:$B,B3082)&gt;1,""ডুপ্লিকেট"",""""))"),"")</f>
        <v/>
      </c>
      <c r="Q3082" s="5" t="str">
        <f t="shared" si="1"/>
        <v>২ পরে</v>
      </c>
    </row>
    <row r="3083">
      <c r="A3083" s="4">
        <v>883.0</v>
      </c>
      <c r="B3083" s="2" t="s">
        <v>12239</v>
      </c>
      <c r="C3083" s="2" t="s">
        <v>12240</v>
      </c>
      <c r="D3083" s="2" t="s">
        <v>12241</v>
      </c>
      <c r="E3083" s="2" t="s">
        <v>12242</v>
      </c>
      <c r="F3083" s="2" t="b">
        <v>1</v>
      </c>
      <c r="G3083" s="2" t="b">
        <v>0</v>
      </c>
      <c r="H3083" s="2" t="s">
        <v>8786</v>
      </c>
      <c r="I3083" s="2" t="s">
        <v>49</v>
      </c>
      <c r="J3083" s="2" t="s">
        <v>2732</v>
      </c>
      <c r="K3083" s="2" t="s">
        <v>376</v>
      </c>
      <c r="L3083" s="2" t="s">
        <v>391</v>
      </c>
      <c r="M3083" s="2" t="s">
        <v>26</v>
      </c>
      <c r="P3083" s="5" t="str">
        <f>IFERROR(__xludf.DUMMYFUNCTION("TEXTJOIN("" | "",TRUE,IF(OR(D3083="""",E3083="""",I3083="""",J3083="""",H3083=""""),""ফাঁকা ঘর"",""""),IF(AND(C3083&lt;&gt;"""",D3083&lt;&gt;"""",C3083=D3083),""gloss=figurative"",""""),IF(LEN(D3083)&lt;15,""figurative ছোট"",""""),IF(AND(I3083=""Positive"",REGEXMATCH(H3"&amp;"083,""মূর্খ|ভণ্ড|প্রতার|অলস|লোভ|স্বার্থ|অক্ষম|অযোগ্য|বোকা|কৃপণ|হিংস"")),""valence-target অমিল"",""""),IF(COUNTIF($B:$B,B3083)&gt;1,""ডুপ্লিকেট"",""""))"),"")</f>
        <v/>
      </c>
      <c r="Q3083" s="5" t="str">
        <f t="shared" si="1"/>
        <v>২ পরে</v>
      </c>
    </row>
    <row r="3084">
      <c r="A3084" s="4">
        <v>884.0</v>
      </c>
      <c r="B3084" s="2" t="s">
        <v>12243</v>
      </c>
      <c r="C3084" s="2" t="s">
        <v>12244</v>
      </c>
      <c r="D3084" s="2" t="s">
        <v>12245</v>
      </c>
      <c r="E3084" s="2" t="s">
        <v>12246</v>
      </c>
      <c r="F3084" s="2" t="b">
        <v>1</v>
      </c>
      <c r="G3084" s="2" t="b">
        <v>0</v>
      </c>
      <c r="H3084" s="2" t="s">
        <v>37</v>
      </c>
      <c r="I3084" s="2" t="s">
        <v>49</v>
      </c>
      <c r="J3084" s="2" t="s">
        <v>1244</v>
      </c>
      <c r="K3084" s="2" t="s">
        <v>376</v>
      </c>
      <c r="L3084" s="2" t="s">
        <v>391</v>
      </c>
      <c r="M3084" s="2" t="s">
        <v>26</v>
      </c>
      <c r="P3084" s="5" t="str">
        <f>IFERROR(__xludf.DUMMYFUNCTION("TEXTJOIN("" | "",TRUE,IF(OR(D3084="""",E3084="""",I3084="""",J3084="""",H3084=""""),""ফাঁকা ঘর"",""""),IF(AND(C3084&lt;&gt;"""",D3084&lt;&gt;"""",C3084=D3084),""gloss=figurative"",""""),IF(LEN(D3084)&lt;15,""figurative ছোট"",""""),IF(AND(I3084=""Positive"",REGEXMATCH(H3"&amp;"084,""মূর্খ|ভণ্ড|প্রতার|অলস|লোভ|স্বার্থ|অক্ষম|অযোগ্য|বোকা|কৃপণ|হিংস"")),""valence-target অমিল"",""""),IF(COUNTIF($B:$B,B3084)&gt;1,""ডুপ্লিকেট"",""""))"),"")</f>
        <v/>
      </c>
      <c r="Q3084" s="5" t="str">
        <f t="shared" si="1"/>
        <v>২ পরে</v>
      </c>
    </row>
    <row r="3085">
      <c r="A3085" s="4">
        <v>885.0</v>
      </c>
      <c r="B3085" s="2" t="s">
        <v>12247</v>
      </c>
      <c r="C3085" s="2" t="s">
        <v>12248</v>
      </c>
      <c r="D3085" s="2" t="s">
        <v>12249</v>
      </c>
      <c r="E3085" s="2" t="s">
        <v>12250</v>
      </c>
      <c r="F3085" s="2" t="b">
        <v>1</v>
      </c>
      <c r="G3085" s="2" t="b">
        <v>0</v>
      </c>
      <c r="H3085" s="2" t="s">
        <v>12251</v>
      </c>
      <c r="I3085" s="2" t="s">
        <v>22</v>
      </c>
      <c r="J3085" s="2" t="s">
        <v>59</v>
      </c>
      <c r="K3085" s="2" t="s">
        <v>376</v>
      </c>
      <c r="L3085" s="2" t="s">
        <v>391</v>
      </c>
      <c r="M3085" s="2" t="s">
        <v>26</v>
      </c>
      <c r="P3085" s="5" t="str">
        <f>IFERROR(__xludf.DUMMYFUNCTION("TEXTJOIN("" | "",TRUE,IF(OR(D3085="""",E3085="""",I3085="""",J3085="""",H3085=""""),""ফাঁকা ঘর"",""""),IF(AND(C3085&lt;&gt;"""",D3085&lt;&gt;"""",C3085=D3085),""gloss=figurative"",""""),IF(LEN(D3085)&lt;15,""figurative ছোট"",""""),IF(AND(I3085=""Positive"",REGEXMATCH(H3"&amp;"085,""মূর্খ|ভণ্ড|প্রতার|অলস|লোভ|স্বার্থ|অক্ষম|অযোগ্য|বোকা|কৃপণ|হিংস"")),""valence-target অমিল"",""""),IF(COUNTIF($B:$B,B3085)&gt;1,""ডুপ্লিকেট"",""""))"),"")</f>
        <v/>
      </c>
      <c r="Q3085" s="5" t="str">
        <f t="shared" si="1"/>
        <v>২ পরে</v>
      </c>
    </row>
    <row r="3086">
      <c r="A3086" s="4">
        <v>886.0</v>
      </c>
      <c r="B3086" s="2" t="s">
        <v>12252</v>
      </c>
      <c r="C3086" s="2" t="s">
        <v>12253</v>
      </c>
      <c r="D3086" s="2" t="s">
        <v>12254</v>
      </c>
      <c r="E3086" s="2" t="s">
        <v>12255</v>
      </c>
      <c r="F3086" s="2" t="b">
        <v>1</v>
      </c>
      <c r="G3086" s="2" t="b">
        <v>0</v>
      </c>
      <c r="H3086" s="2" t="s">
        <v>9486</v>
      </c>
      <c r="I3086" s="2" t="s">
        <v>49</v>
      </c>
      <c r="J3086" s="2" t="s">
        <v>190</v>
      </c>
      <c r="K3086" s="2" t="s">
        <v>376</v>
      </c>
      <c r="L3086" s="2" t="s">
        <v>391</v>
      </c>
      <c r="M3086" s="2" t="s">
        <v>26</v>
      </c>
      <c r="P3086" s="5" t="str">
        <f>IFERROR(__xludf.DUMMYFUNCTION("TEXTJOIN("" | "",TRUE,IF(OR(D3086="""",E3086="""",I3086="""",J3086="""",H3086=""""),""ফাঁকা ঘর"",""""),IF(AND(C3086&lt;&gt;"""",D3086&lt;&gt;"""",C3086=D3086),""gloss=figurative"",""""),IF(LEN(D3086)&lt;15,""figurative ছোট"",""""),IF(AND(I3086=""Positive"",REGEXMATCH(H3"&amp;"086,""মূর্খ|ভণ্ড|প্রতার|অলস|লোভ|স্বার্থ|অক্ষম|অযোগ্য|বোকা|কৃপণ|হিংস"")),""valence-target অমিল"",""""),IF(COUNTIF($B:$B,B3086)&gt;1,""ডুপ্লিকেট"",""""))"),"")</f>
        <v/>
      </c>
      <c r="Q3086" s="5" t="str">
        <f t="shared" si="1"/>
        <v>২ পরে</v>
      </c>
    </row>
    <row r="3087">
      <c r="A3087" s="4">
        <v>887.0</v>
      </c>
      <c r="B3087" s="2" t="s">
        <v>12256</v>
      </c>
      <c r="C3087" s="2" t="s">
        <v>12257</v>
      </c>
      <c r="D3087" s="2" t="s">
        <v>12258</v>
      </c>
      <c r="E3087" s="2" t="s">
        <v>12259</v>
      </c>
      <c r="F3087" s="2" t="b">
        <v>1</v>
      </c>
      <c r="G3087" s="2" t="b">
        <v>0</v>
      </c>
      <c r="H3087" s="2" t="s">
        <v>8713</v>
      </c>
      <c r="I3087" s="2" t="s">
        <v>22</v>
      </c>
      <c r="J3087" s="2" t="s">
        <v>59</v>
      </c>
      <c r="K3087" s="2" t="s">
        <v>376</v>
      </c>
      <c r="L3087" s="2" t="s">
        <v>391</v>
      </c>
      <c r="M3087" s="2" t="s">
        <v>26</v>
      </c>
      <c r="P3087" s="5" t="str">
        <f>IFERROR(__xludf.DUMMYFUNCTION("TEXTJOIN("" | "",TRUE,IF(OR(D3087="""",E3087="""",I3087="""",J3087="""",H3087=""""),""ফাঁকা ঘর"",""""),IF(AND(C3087&lt;&gt;"""",D3087&lt;&gt;"""",C3087=D3087),""gloss=figurative"",""""),IF(LEN(D3087)&lt;15,""figurative ছোট"",""""),IF(AND(I3087=""Positive"",REGEXMATCH(H3"&amp;"087,""মূর্খ|ভণ্ড|প্রতার|অলস|লোভ|স্বার্থ|অক্ষম|অযোগ্য|বোকা|কৃপণ|হিংস"")),""valence-target অমিল"",""""),IF(COUNTIF($B:$B,B3087)&gt;1,""ডুপ্লিকেট"",""""))"),"")</f>
        <v/>
      </c>
      <c r="Q3087" s="5" t="str">
        <f t="shared" si="1"/>
        <v>২ পরে</v>
      </c>
    </row>
    <row r="3088">
      <c r="A3088" s="4">
        <v>888.0</v>
      </c>
      <c r="B3088" s="2" t="s">
        <v>12260</v>
      </c>
      <c r="C3088" s="2" t="s">
        <v>12261</v>
      </c>
      <c r="D3088" s="2" t="s">
        <v>12262</v>
      </c>
      <c r="E3088" s="2" t="s">
        <v>12263</v>
      </c>
      <c r="F3088" s="2" t="b">
        <v>1</v>
      </c>
      <c r="G3088" s="2" t="b">
        <v>0</v>
      </c>
      <c r="H3088" s="2" t="s">
        <v>260</v>
      </c>
      <c r="I3088" s="2" t="s">
        <v>49</v>
      </c>
      <c r="J3088" s="2" t="s">
        <v>11670</v>
      </c>
      <c r="K3088" s="2" t="s">
        <v>376</v>
      </c>
      <c r="L3088" s="2" t="s">
        <v>391</v>
      </c>
      <c r="M3088" s="2" t="s">
        <v>26</v>
      </c>
      <c r="P3088" s="5" t="str">
        <f>IFERROR(__xludf.DUMMYFUNCTION("TEXTJOIN("" | "",TRUE,IF(OR(D3088="""",E3088="""",I3088="""",J3088="""",H3088=""""),""ফাঁকা ঘর"",""""),IF(AND(C3088&lt;&gt;"""",D3088&lt;&gt;"""",C3088=D3088),""gloss=figurative"",""""),IF(LEN(D3088)&lt;15,""figurative ছোট"",""""),IF(AND(I3088=""Positive"",REGEXMATCH(H3"&amp;"088,""মূর্খ|ভণ্ড|প্রতার|অলস|লোভ|স্বার্থ|অক্ষম|অযোগ্য|বোকা|কৃপণ|হিংস"")),""valence-target অমিল"",""""),IF(COUNTIF($B:$B,B3088)&gt;1,""ডুপ্লিকেট"",""""))"),"")</f>
        <v/>
      </c>
      <c r="Q3088" s="5" t="str">
        <f t="shared" si="1"/>
        <v>২ পরে</v>
      </c>
    </row>
    <row r="3089">
      <c r="A3089" s="4">
        <v>889.0</v>
      </c>
      <c r="B3089" s="2" t="s">
        <v>12264</v>
      </c>
      <c r="C3089" s="2" t="s">
        <v>12265</v>
      </c>
      <c r="D3089" s="2" t="s">
        <v>12266</v>
      </c>
      <c r="E3089" s="2" t="s">
        <v>12267</v>
      </c>
      <c r="F3089" s="2" t="b">
        <v>1</v>
      </c>
      <c r="G3089" s="2" t="b">
        <v>0</v>
      </c>
      <c r="H3089" s="2" t="s">
        <v>37</v>
      </c>
      <c r="I3089" s="2" t="s">
        <v>32</v>
      </c>
      <c r="J3089" s="2" t="s">
        <v>6697</v>
      </c>
      <c r="K3089" s="2" t="s">
        <v>376</v>
      </c>
      <c r="L3089" s="2" t="s">
        <v>391</v>
      </c>
      <c r="M3089" s="2" t="s">
        <v>26</v>
      </c>
      <c r="P3089" s="5" t="str">
        <f>IFERROR(__xludf.DUMMYFUNCTION("TEXTJOIN("" | "",TRUE,IF(OR(D3089="""",E3089="""",I3089="""",J3089="""",H3089=""""),""ফাঁকা ঘর"",""""),IF(AND(C3089&lt;&gt;"""",D3089&lt;&gt;"""",C3089=D3089),""gloss=figurative"",""""),IF(LEN(D3089)&lt;15,""figurative ছোট"",""""),IF(AND(I3089=""Positive"",REGEXMATCH(H3"&amp;"089,""মূর্খ|ভণ্ড|প্রতার|অলস|লোভ|স্বার্থ|অক্ষম|অযোগ্য|বোকা|কৃপণ|হিংস"")),""valence-target অমিল"",""""),IF(COUNTIF($B:$B,B3089)&gt;1,""ডুপ্লিকেট"",""""))"),"")</f>
        <v/>
      </c>
      <c r="Q3089" s="5" t="str">
        <f t="shared" si="1"/>
        <v>২ পরে</v>
      </c>
    </row>
    <row r="3090">
      <c r="A3090" s="4">
        <v>890.0</v>
      </c>
      <c r="B3090" s="2" t="s">
        <v>12268</v>
      </c>
      <c r="C3090" s="2" t="s">
        <v>12269</v>
      </c>
      <c r="D3090" s="2" t="s">
        <v>12270</v>
      </c>
      <c r="E3090" s="2" t="s">
        <v>12271</v>
      </c>
      <c r="F3090" s="2" t="b">
        <v>1</v>
      </c>
      <c r="G3090" s="2" t="b">
        <v>0</v>
      </c>
      <c r="H3090" s="2" t="s">
        <v>390</v>
      </c>
      <c r="I3090" s="2" t="s">
        <v>22</v>
      </c>
      <c r="J3090" s="2" t="s">
        <v>59</v>
      </c>
      <c r="K3090" s="2" t="s">
        <v>376</v>
      </c>
      <c r="L3090" s="2" t="s">
        <v>391</v>
      </c>
      <c r="M3090" s="2" t="s">
        <v>26</v>
      </c>
      <c r="P3090" s="5" t="str">
        <f>IFERROR(__xludf.DUMMYFUNCTION("TEXTJOIN("" | "",TRUE,IF(OR(D3090="""",E3090="""",I3090="""",J3090="""",H3090=""""),""ফাঁকা ঘর"",""""),IF(AND(C3090&lt;&gt;"""",D3090&lt;&gt;"""",C3090=D3090),""gloss=figurative"",""""),IF(LEN(D3090)&lt;15,""figurative ছোট"",""""),IF(AND(I3090=""Positive"",REGEXMATCH(H3"&amp;"090,""মূর্খ|ভণ্ড|প্রতার|অলস|লোভ|স্বার্থ|অক্ষম|অযোগ্য|বোকা|কৃপণ|হিংস"")),""valence-target অমিল"",""""),IF(COUNTIF($B:$B,B3090)&gt;1,""ডুপ্লিকেট"",""""))"),"")</f>
        <v/>
      </c>
      <c r="Q3090" s="5" t="str">
        <f t="shared" si="1"/>
        <v>২ পরে</v>
      </c>
    </row>
    <row r="3091">
      <c r="A3091" s="4">
        <v>891.0</v>
      </c>
      <c r="B3091" s="2" t="s">
        <v>12272</v>
      </c>
      <c r="C3091" s="2" t="s">
        <v>12273</v>
      </c>
      <c r="D3091" s="2" t="s">
        <v>12274</v>
      </c>
      <c r="E3091" s="2" t="s">
        <v>12275</v>
      </c>
      <c r="F3091" s="2" t="b">
        <v>1</v>
      </c>
      <c r="G3091" s="2" t="b">
        <v>0</v>
      </c>
      <c r="H3091" s="2" t="s">
        <v>37</v>
      </c>
      <c r="I3091" s="2" t="s">
        <v>32</v>
      </c>
      <c r="J3091" s="2" t="s">
        <v>202</v>
      </c>
      <c r="K3091" s="2" t="s">
        <v>376</v>
      </c>
      <c r="L3091" s="2" t="s">
        <v>391</v>
      </c>
      <c r="M3091" s="2" t="s">
        <v>26</v>
      </c>
      <c r="P3091" s="5" t="str">
        <f>IFERROR(__xludf.DUMMYFUNCTION("TEXTJOIN("" | "",TRUE,IF(OR(D3091="""",E3091="""",I3091="""",J3091="""",H3091=""""),""ফাঁকা ঘর"",""""),IF(AND(C3091&lt;&gt;"""",D3091&lt;&gt;"""",C3091=D3091),""gloss=figurative"",""""),IF(LEN(D3091)&lt;15,""figurative ছোট"",""""),IF(AND(I3091=""Positive"",REGEXMATCH(H3"&amp;"091,""মূর্খ|ভণ্ড|প্রতার|অলস|লোভ|স্বার্থ|অক্ষম|অযোগ্য|বোকা|কৃপণ|হিংস"")),""valence-target অমিল"",""""),IF(COUNTIF($B:$B,B3091)&gt;1,""ডুপ্লিকেট"",""""))"),"")</f>
        <v/>
      </c>
      <c r="Q3091" s="5" t="str">
        <f t="shared" si="1"/>
        <v>২ পরে</v>
      </c>
    </row>
    <row r="3092">
      <c r="A3092" s="4">
        <v>892.0</v>
      </c>
      <c r="B3092" s="2" t="s">
        <v>12276</v>
      </c>
      <c r="C3092" s="2" t="s">
        <v>12277</v>
      </c>
      <c r="D3092" s="2" t="s">
        <v>12278</v>
      </c>
      <c r="E3092" s="2" t="s">
        <v>12279</v>
      </c>
      <c r="F3092" s="2" t="b">
        <v>1</v>
      </c>
      <c r="G3092" s="2" t="b">
        <v>0</v>
      </c>
      <c r="H3092" s="2" t="s">
        <v>9452</v>
      </c>
      <c r="I3092" s="2" t="s">
        <v>22</v>
      </c>
      <c r="J3092" s="2" t="s">
        <v>169</v>
      </c>
      <c r="K3092" s="2" t="s">
        <v>376</v>
      </c>
      <c r="L3092" s="2" t="s">
        <v>391</v>
      </c>
      <c r="M3092" s="2" t="s">
        <v>26</v>
      </c>
      <c r="P3092" s="5" t="str">
        <f>IFERROR(__xludf.DUMMYFUNCTION("TEXTJOIN("" | "",TRUE,IF(OR(D3092="""",E3092="""",I3092="""",J3092="""",H3092=""""),""ফাঁকা ঘর"",""""),IF(AND(C3092&lt;&gt;"""",D3092&lt;&gt;"""",C3092=D3092),""gloss=figurative"",""""),IF(LEN(D3092)&lt;15,""figurative ছোট"",""""),IF(AND(I3092=""Positive"",REGEXMATCH(H3"&amp;"092,""মূর্খ|ভণ্ড|প্রতার|অলস|লোভ|স্বার্থ|অক্ষম|অযোগ্য|বোকা|কৃপণ|হিংস"")),""valence-target অমিল"",""""),IF(COUNTIF($B:$B,B3092)&gt;1,""ডুপ্লিকেট"",""""))"),"")</f>
        <v/>
      </c>
      <c r="Q3092" s="5" t="str">
        <f t="shared" si="1"/>
        <v>২ পরে</v>
      </c>
    </row>
    <row r="3093">
      <c r="A3093" s="4">
        <v>893.0</v>
      </c>
      <c r="B3093" s="2" t="s">
        <v>12280</v>
      </c>
      <c r="C3093" s="2" t="s">
        <v>12281</v>
      </c>
      <c r="D3093" s="2" t="s">
        <v>12282</v>
      </c>
      <c r="E3093" s="2" t="s">
        <v>12283</v>
      </c>
      <c r="F3093" s="2" t="b">
        <v>1</v>
      </c>
      <c r="G3093" s="2" t="b">
        <v>0</v>
      </c>
      <c r="H3093" s="2" t="s">
        <v>7382</v>
      </c>
      <c r="I3093" s="2" t="s">
        <v>32</v>
      </c>
      <c r="J3093" s="2" t="s">
        <v>913</v>
      </c>
      <c r="K3093" s="2" t="s">
        <v>376</v>
      </c>
      <c r="L3093" s="2" t="s">
        <v>391</v>
      </c>
      <c r="M3093" s="2" t="s">
        <v>26</v>
      </c>
      <c r="P3093" s="5" t="str">
        <f>IFERROR(__xludf.DUMMYFUNCTION("TEXTJOIN("" | "",TRUE,IF(OR(D3093="""",E3093="""",I3093="""",J3093="""",H3093=""""),""ফাঁকা ঘর"",""""),IF(AND(C3093&lt;&gt;"""",D3093&lt;&gt;"""",C3093=D3093),""gloss=figurative"",""""),IF(LEN(D3093)&lt;15,""figurative ছোট"",""""),IF(AND(I3093=""Positive"",REGEXMATCH(H3"&amp;"093,""মূর্খ|ভণ্ড|প্রতার|অলস|লোভ|স্বার্থ|অক্ষম|অযোগ্য|বোকা|কৃপণ|হিংস"")),""valence-target অমিল"",""""),IF(COUNTIF($B:$B,B3093)&gt;1,""ডুপ্লিকেট"",""""))"),"")</f>
        <v/>
      </c>
      <c r="Q3093" s="5" t="str">
        <f t="shared" si="1"/>
        <v>২ পরে</v>
      </c>
    </row>
    <row r="3094">
      <c r="A3094" s="4">
        <v>894.0</v>
      </c>
      <c r="B3094" s="2" t="s">
        <v>12284</v>
      </c>
      <c r="C3094" s="2" t="s">
        <v>12285</v>
      </c>
      <c r="D3094" s="2" t="s">
        <v>12286</v>
      </c>
      <c r="E3094" s="2" t="s">
        <v>12287</v>
      </c>
      <c r="F3094" s="2" t="b">
        <v>1</v>
      </c>
      <c r="G3094" s="2" t="b">
        <v>0</v>
      </c>
      <c r="H3094" s="2" t="s">
        <v>9380</v>
      </c>
      <c r="I3094" s="2" t="s">
        <v>22</v>
      </c>
      <c r="J3094" s="2" t="s">
        <v>59</v>
      </c>
      <c r="K3094" s="2" t="s">
        <v>376</v>
      </c>
      <c r="L3094" s="2" t="s">
        <v>391</v>
      </c>
      <c r="M3094" s="2" t="s">
        <v>26</v>
      </c>
      <c r="P3094" s="5" t="str">
        <f>IFERROR(__xludf.DUMMYFUNCTION("TEXTJOIN("" | "",TRUE,IF(OR(D3094="""",E3094="""",I3094="""",J3094="""",H3094=""""),""ফাঁকা ঘর"",""""),IF(AND(C3094&lt;&gt;"""",D3094&lt;&gt;"""",C3094=D3094),""gloss=figurative"",""""),IF(LEN(D3094)&lt;15,""figurative ছোট"",""""),IF(AND(I3094=""Positive"",REGEXMATCH(H3"&amp;"094,""মূর্খ|ভণ্ড|প্রতার|অলস|লোভ|স্বার্থ|অক্ষম|অযোগ্য|বোকা|কৃপণ|হিংস"")),""valence-target অমিল"",""""),IF(COUNTIF($B:$B,B3094)&gt;1,""ডুপ্লিকেট"",""""))"),"")</f>
        <v/>
      </c>
      <c r="Q3094" s="5" t="str">
        <f t="shared" si="1"/>
        <v>২ পরে</v>
      </c>
    </row>
    <row r="3095">
      <c r="A3095" s="4">
        <v>895.0</v>
      </c>
      <c r="B3095" s="2" t="s">
        <v>12288</v>
      </c>
      <c r="C3095" s="2" t="s">
        <v>12289</v>
      </c>
      <c r="D3095" s="2" t="s">
        <v>12290</v>
      </c>
      <c r="E3095" s="2" t="s">
        <v>12291</v>
      </c>
      <c r="F3095" s="2" t="b">
        <v>1</v>
      </c>
      <c r="G3095" s="2" t="b">
        <v>0</v>
      </c>
      <c r="H3095" s="2" t="s">
        <v>7382</v>
      </c>
      <c r="I3095" s="2" t="s">
        <v>49</v>
      </c>
      <c r="J3095" s="2" t="s">
        <v>913</v>
      </c>
      <c r="K3095" s="2" t="s">
        <v>376</v>
      </c>
      <c r="L3095" s="2" t="s">
        <v>391</v>
      </c>
      <c r="M3095" s="2" t="s">
        <v>26</v>
      </c>
      <c r="P3095" s="5" t="str">
        <f>IFERROR(__xludf.DUMMYFUNCTION("TEXTJOIN("" | "",TRUE,IF(OR(D3095="""",E3095="""",I3095="""",J3095="""",H3095=""""),""ফাঁকা ঘর"",""""),IF(AND(C3095&lt;&gt;"""",D3095&lt;&gt;"""",C3095=D3095),""gloss=figurative"",""""),IF(LEN(D3095)&lt;15,""figurative ছোট"",""""),IF(AND(I3095=""Positive"",REGEXMATCH(H3"&amp;"095,""মূর্খ|ভণ্ড|প্রতার|অলস|লোভ|স্বার্থ|অক্ষম|অযোগ্য|বোকা|কৃপণ|হিংস"")),""valence-target অমিল"",""""),IF(COUNTIF($B:$B,B3095)&gt;1,""ডুপ্লিকেট"",""""))"),"")</f>
        <v/>
      </c>
      <c r="Q3095" s="5" t="str">
        <f t="shared" si="1"/>
        <v>২ পরে</v>
      </c>
    </row>
    <row r="3096">
      <c r="A3096" s="4">
        <v>896.0</v>
      </c>
      <c r="B3096" s="2" t="s">
        <v>12292</v>
      </c>
      <c r="C3096" s="2" t="s">
        <v>12293</v>
      </c>
      <c r="D3096" s="2" t="s">
        <v>12294</v>
      </c>
      <c r="E3096" s="2" t="s">
        <v>12295</v>
      </c>
      <c r="F3096" s="2" t="b">
        <v>1</v>
      </c>
      <c r="G3096" s="2" t="b">
        <v>0</v>
      </c>
      <c r="H3096" s="2" t="s">
        <v>8837</v>
      </c>
      <c r="I3096" s="2" t="s">
        <v>22</v>
      </c>
      <c r="J3096" s="2" t="s">
        <v>59</v>
      </c>
      <c r="K3096" s="2" t="s">
        <v>376</v>
      </c>
      <c r="L3096" s="2" t="s">
        <v>391</v>
      </c>
      <c r="M3096" s="2" t="s">
        <v>26</v>
      </c>
      <c r="P3096" s="5" t="str">
        <f>IFERROR(__xludf.DUMMYFUNCTION("TEXTJOIN("" | "",TRUE,IF(OR(D3096="""",E3096="""",I3096="""",J3096="""",H3096=""""),""ফাঁকা ঘর"",""""),IF(AND(C3096&lt;&gt;"""",D3096&lt;&gt;"""",C3096=D3096),""gloss=figurative"",""""),IF(LEN(D3096)&lt;15,""figurative ছোট"",""""),IF(AND(I3096=""Positive"",REGEXMATCH(H3"&amp;"096,""মূর্খ|ভণ্ড|প্রতার|অলস|লোভ|স্বার্থ|অক্ষম|অযোগ্য|বোকা|কৃপণ|হিংস"")),""valence-target অমিল"",""""),IF(COUNTIF($B:$B,B3096)&gt;1,""ডুপ্লিকেট"",""""))"),"")</f>
        <v/>
      </c>
      <c r="Q3096" s="5" t="str">
        <f t="shared" si="1"/>
        <v>২ পরে</v>
      </c>
    </row>
    <row r="3097">
      <c r="A3097" s="4">
        <v>897.0</v>
      </c>
      <c r="B3097" s="2" t="s">
        <v>12296</v>
      </c>
      <c r="C3097" s="2" t="s">
        <v>12297</v>
      </c>
      <c r="D3097" s="2" t="s">
        <v>12298</v>
      </c>
      <c r="E3097" s="2" t="s">
        <v>12299</v>
      </c>
      <c r="F3097" s="2" t="b">
        <v>1</v>
      </c>
      <c r="G3097" s="2" t="b">
        <v>0</v>
      </c>
      <c r="H3097" s="2" t="s">
        <v>12300</v>
      </c>
      <c r="I3097" s="2" t="s">
        <v>22</v>
      </c>
      <c r="J3097" s="2" t="s">
        <v>10356</v>
      </c>
      <c r="K3097" s="2" t="s">
        <v>376</v>
      </c>
      <c r="L3097" s="2" t="s">
        <v>391</v>
      </c>
      <c r="M3097" s="2" t="s">
        <v>26</v>
      </c>
      <c r="P3097" s="5" t="str">
        <f>IFERROR(__xludf.DUMMYFUNCTION("TEXTJOIN("" | "",TRUE,IF(OR(D3097="""",E3097="""",I3097="""",J3097="""",H3097=""""),""ফাঁকা ঘর"",""""),IF(AND(C3097&lt;&gt;"""",D3097&lt;&gt;"""",C3097=D3097),""gloss=figurative"",""""),IF(LEN(D3097)&lt;15,""figurative ছোট"",""""),IF(AND(I3097=""Positive"",REGEXMATCH(H3"&amp;"097,""মূর্খ|ভণ্ড|প্রতার|অলস|লোভ|স্বার্থ|অক্ষম|অযোগ্য|বোকা|কৃপণ|হিংস"")),""valence-target অমিল"",""""),IF(COUNTIF($B:$B,B3097)&gt;1,""ডুপ্লিকেট"",""""))"),"")</f>
        <v/>
      </c>
      <c r="Q3097" s="5" t="str">
        <f t="shared" si="1"/>
        <v>২ পরে</v>
      </c>
    </row>
    <row r="3098">
      <c r="A3098" s="4">
        <v>898.0</v>
      </c>
      <c r="B3098" s="2" t="s">
        <v>12301</v>
      </c>
      <c r="C3098" s="2" t="s">
        <v>12302</v>
      </c>
      <c r="D3098" s="2" t="s">
        <v>12303</v>
      </c>
      <c r="E3098" s="2" t="s">
        <v>12304</v>
      </c>
      <c r="F3098" s="2" t="b">
        <v>1</v>
      </c>
      <c r="G3098" s="2" t="b">
        <v>0</v>
      </c>
      <c r="H3098" s="2" t="s">
        <v>12305</v>
      </c>
      <c r="I3098" s="2" t="s">
        <v>22</v>
      </c>
      <c r="J3098" s="2" t="s">
        <v>10356</v>
      </c>
      <c r="K3098" s="2" t="s">
        <v>376</v>
      </c>
      <c r="L3098" s="2" t="s">
        <v>391</v>
      </c>
      <c r="M3098" s="2" t="s">
        <v>26</v>
      </c>
      <c r="P3098" s="5" t="str">
        <f>IFERROR(__xludf.DUMMYFUNCTION("TEXTJOIN("" | "",TRUE,IF(OR(D3098="""",E3098="""",I3098="""",J3098="""",H3098=""""),""ফাঁকা ঘর"",""""),IF(AND(C3098&lt;&gt;"""",D3098&lt;&gt;"""",C3098=D3098),""gloss=figurative"",""""),IF(LEN(D3098)&lt;15,""figurative ছোট"",""""),IF(AND(I3098=""Positive"",REGEXMATCH(H3"&amp;"098,""মূর্খ|ভণ্ড|প্রতার|অলস|লোভ|স্বার্থ|অক্ষম|অযোগ্য|বোকা|কৃপণ|হিংস"")),""valence-target অমিল"",""""),IF(COUNTIF($B:$B,B3098)&gt;1,""ডুপ্লিকেট"",""""))"),"")</f>
        <v/>
      </c>
      <c r="Q3098" s="5" t="str">
        <f t="shared" si="1"/>
        <v>২ পরে</v>
      </c>
    </row>
    <row r="3099">
      <c r="A3099" s="4">
        <v>899.0</v>
      </c>
      <c r="B3099" s="2" t="s">
        <v>12306</v>
      </c>
      <c r="C3099" s="2" t="s">
        <v>12307</v>
      </c>
      <c r="D3099" s="2" t="s">
        <v>12197</v>
      </c>
      <c r="E3099" s="2" t="s">
        <v>12308</v>
      </c>
      <c r="F3099" s="2" t="b">
        <v>1</v>
      </c>
      <c r="G3099" s="2" t="b">
        <v>0</v>
      </c>
      <c r="H3099" s="2" t="s">
        <v>9359</v>
      </c>
      <c r="I3099" s="2" t="s">
        <v>22</v>
      </c>
      <c r="J3099" s="2" t="s">
        <v>123</v>
      </c>
      <c r="K3099" s="2" t="s">
        <v>376</v>
      </c>
      <c r="L3099" s="2" t="s">
        <v>391</v>
      </c>
      <c r="M3099" s="2" t="s">
        <v>26</v>
      </c>
      <c r="P3099" s="5" t="str">
        <f>IFERROR(__xludf.DUMMYFUNCTION("TEXTJOIN("" | "",TRUE,IF(OR(D3099="""",E3099="""",I3099="""",J3099="""",H3099=""""),""ফাঁকা ঘর"",""""),IF(AND(C3099&lt;&gt;"""",D3099&lt;&gt;"""",C3099=D3099),""gloss=figurative"",""""),IF(LEN(D3099)&lt;15,""figurative ছোট"",""""),IF(AND(I3099=""Positive"",REGEXMATCH(H3"&amp;"099,""মূর্খ|ভণ্ড|প্রতার|অলস|লোভ|স্বার্থ|অক্ষম|অযোগ্য|বোকা|কৃপণ|হিংস"")),""valence-target অমিল"",""""),IF(COUNTIF($B:$B,B3099)&gt;1,""ডুপ্লিকেট"",""""))"),"")</f>
        <v/>
      </c>
      <c r="Q3099" s="5" t="str">
        <f t="shared" si="1"/>
        <v>২ পরে</v>
      </c>
    </row>
    <row r="3100">
      <c r="A3100" s="4">
        <v>900.0</v>
      </c>
      <c r="B3100" s="2" t="s">
        <v>12309</v>
      </c>
      <c r="C3100" s="2" t="s">
        <v>12310</v>
      </c>
      <c r="D3100" s="2" t="s">
        <v>12311</v>
      </c>
      <c r="E3100" s="2" t="s">
        <v>12312</v>
      </c>
      <c r="F3100" s="2" t="b">
        <v>1</v>
      </c>
      <c r="G3100" s="2" t="b">
        <v>0</v>
      </c>
      <c r="H3100" s="2" t="s">
        <v>11823</v>
      </c>
      <c r="I3100" s="2" t="s">
        <v>22</v>
      </c>
      <c r="J3100" s="2" t="s">
        <v>59</v>
      </c>
      <c r="K3100" s="2" t="s">
        <v>376</v>
      </c>
      <c r="L3100" s="2" t="s">
        <v>391</v>
      </c>
      <c r="M3100" s="2" t="s">
        <v>26</v>
      </c>
      <c r="P3100" s="5" t="str">
        <f>IFERROR(__xludf.DUMMYFUNCTION("TEXTJOIN("" | "",TRUE,IF(OR(D3100="""",E3100="""",I3100="""",J3100="""",H3100=""""),""ফাঁকা ঘর"",""""),IF(AND(C3100&lt;&gt;"""",D3100&lt;&gt;"""",C3100=D3100),""gloss=figurative"",""""),IF(LEN(D3100)&lt;15,""figurative ছোট"",""""),IF(AND(I3100=""Positive"",REGEXMATCH(H3"&amp;"100,""মূর্খ|ভণ্ড|প্রতার|অলস|লোভ|স্বার্থ|অক্ষম|অযোগ্য|বোকা|কৃপণ|হিংস"")),""valence-target অমিল"",""""),IF(COUNTIF($B:$B,B3100)&gt;1,""ডুপ্লিকেট"",""""))"),"")</f>
        <v/>
      </c>
      <c r="Q3100" s="5" t="str">
        <f t="shared" si="1"/>
        <v>২ পরে</v>
      </c>
    </row>
    <row r="3101">
      <c r="A3101" s="4">
        <v>901.0</v>
      </c>
      <c r="B3101" s="2" t="s">
        <v>12313</v>
      </c>
      <c r="C3101" s="2" t="s">
        <v>12314</v>
      </c>
      <c r="D3101" s="2" t="s">
        <v>12315</v>
      </c>
      <c r="E3101" s="2" t="s">
        <v>12316</v>
      </c>
      <c r="F3101" s="2" t="b">
        <v>1</v>
      </c>
      <c r="G3101" s="2" t="b">
        <v>0</v>
      </c>
      <c r="H3101" s="2" t="s">
        <v>12317</v>
      </c>
      <c r="I3101" s="2" t="s">
        <v>32</v>
      </c>
      <c r="J3101" s="2" t="s">
        <v>59</v>
      </c>
      <c r="K3101" s="2" t="s">
        <v>376</v>
      </c>
      <c r="L3101" s="2" t="s">
        <v>391</v>
      </c>
      <c r="M3101" s="2" t="s">
        <v>26</v>
      </c>
      <c r="P3101" s="5" t="str">
        <f>IFERROR(__xludf.DUMMYFUNCTION("TEXTJOIN("" | "",TRUE,IF(OR(D3101="""",E3101="""",I3101="""",J3101="""",H3101=""""),""ফাঁকা ঘর"",""""),IF(AND(C3101&lt;&gt;"""",D3101&lt;&gt;"""",C3101=D3101),""gloss=figurative"",""""),IF(LEN(D3101)&lt;15,""figurative ছোট"",""""),IF(AND(I3101=""Positive"",REGEXMATCH(H3"&amp;"101,""মূর্খ|ভণ্ড|প্রতার|অলস|লোভ|স্বার্থ|অক্ষম|অযোগ্য|বোকা|কৃপণ|হিংস"")),""valence-target অমিল"",""""),IF(COUNTIF($B:$B,B3101)&gt;1,""ডুপ্লিকেট"",""""))"),"")</f>
        <v/>
      </c>
      <c r="Q3101" s="5" t="str">
        <f t="shared" si="1"/>
        <v>২ পরে</v>
      </c>
    </row>
    <row r="3102">
      <c r="A3102" s="4">
        <v>902.0</v>
      </c>
      <c r="B3102" s="2" t="s">
        <v>12318</v>
      </c>
      <c r="C3102" s="2" t="s">
        <v>12319</v>
      </c>
      <c r="D3102" s="2" t="s">
        <v>12320</v>
      </c>
      <c r="E3102" s="2" t="s">
        <v>12321</v>
      </c>
      <c r="F3102" s="2" t="b">
        <v>1</v>
      </c>
      <c r="G3102" s="2" t="b">
        <v>0</v>
      </c>
      <c r="H3102" s="2" t="s">
        <v>9359</v>
      </c>
      <c r="I3102" s="2" t="s">
        <v>22</v>
      </c>
      <c r="J3102" s="2" t="s">
        <v>59</v>
      </c>
      <c r="K3102" s="2" t="s">
        <v>376</v>
      </c>
      <c r="L3102" s="2" t="s">
        <v>391</v>
      </c>
      <c r="M3102" s="2" t="s">
        <v>26</v>
      </c>
      <c r="P3102" s="5" t="str">
        <f>IFERROR(__xludf.DUMMYFUNCTION("TEXTJOIN("" | "",TRUE,IF(OR(D3102="""",E3102="""",I3102="""",J3102="""",H3102=""""),""ফাঁকা ঘর"",""""),IF(AND(C3102&lt;&gt;"""",D3102&lt;&gt;"""",C3102=D3102),""gloss=figurative"",""""),IF(LEN(D3102)&lt;15,""figurative ছোট"",""""),IF(AND(I3102=""Positive"",REGEXMATCH(H3"&amp;"102,""মূর্খ|ভণ্ড|প্রতার|অলস|লোভ|স্বার্থ|অক্ষম|অযোগ্য|বোকা|কৃপণ|হিংস"")),""valence-target অমিল"",""""),IF(COUNTIF($B:$B,B3102)&gt;1,""ডুপ্লিকেট"",""""))"),"")</f>
        <v/>
      </c>
      <c r="Q3102" s="5" t="str">
        <f t="shared" si="1"/>
        <v>২ পরে</v>
      </c>
    </row>
    <row r="3103">
      <c r="A3103" s="4">
        <v>903.0</v>
      </c>
      <c r="B3103" s="2" t="s">
        <v>12322</v>
      </c>
      <c r="C3103" s="2" t="s">
        <v>12323</v>
      </c>
      <c r="D3103" s="2" t="s">
        <v>12324</v>
      </c>
      <c r="E3103" s="2" t="s">
        <v>12325</v>
      </c>
      <c r="F3103" s="2" t="b">
        <v>1</v>
      </c>
      <c r="G3103" s="2" t="b">
        <v>0</v>
      </c>
      <c r="H3103" s="2" t="s">
        <v>12305</v>
      </c>
      <c r="I3103" s="2" t="s">
        <v>22</v>
      </c>
      <c r="J3103" s="2" t="s">
        <v>10356</v>
      </c>
      <c r="K3103" s="2" t="s">
        <v>376</v>
      </c>
      <c r="L3103" s="2" t="s">
        <v>391</v>
      </c>
      <c r="M3103" s="2" t="s">
        <v>26</v>
      </c>
      <c r="P3103" s="5" t="str">
        <f>IFERROR(__xludf.DUMMYFUNCTION("TEXTJOIN("" | "",TRUE,IF(OR(D3103="""",E3103="""",I3103="""",J3103="""",H3103=""""),""ফাঁকা ঘর"",""""),IF(AND(C3103&lt;&gt;"""",D3103&lt;&gt;"""",C3103=D3103),""gloss=figurative"",""""),IF(LEN(D3103)&lt;15,""figurative ছোট"",""""),IF(AND(I3103=""Positive"",REGEXMATCH(H3"&amp;"103,""মূর্খ|ভণ্ড|প্রতার|অলস|লোভ|স্বার্থ|অক্ষম|অযোগ্য|বোকা|কৃপণ|হিংস"")),""valence-target অমিল"",""""),IF(COUNTIF($B:$B,B3103)&gt;1,""ডুপ্লিকেট"",""""))"),"")</f>
        <v/>
      </c>
      <c r="Q3103" s="5" t="str">
        <f t="shared" si="1"/>
        <v>২ পরে</v>
      </c>
    </row>
    <row r="3104">
      <c r="A3104" s="4">
        <v>904.0</v>
      </c>
      <c r="B3104" s="2" t="s">
        <v>12326</v>
      </c>
      <c r="C3104" s="2" t="s">
        <v>12327</v>
      </c>
      <c r="D3104" s="2" t="s">
        <v>12328</v>
      </c>
      <c r="E3104" s="2" t="s">
        <v>12329</v>
      </c>
      <c r="F3104" s="2" t="b">
        <v>1</v>
      </c>
      <c r="G3104" s="2" t="b">
        <v>1</v>
      </c>
      <c r="H3104" s="2" t="s">
        <v>2229</v>
      </c>
      <c r="I3104" s="2" t="s">
        <v>32</v>
      </c>
      <c r="J3104" s="2" t="s">
        <v>436</v>
      </c>
      <c r="K3104" s="2" t="s">
        <v>376</v>
      </c>
      <c r="L3104" s="2" t="s">
        <v>391</v>
      </c>
      <c r="M3104" s="2" t="s">
        <v>26</v>
      </c>
      <c r="P3104" s="5" t="str">
        <f>IFERROR(__xludf.DUMMYFUNCTION("TEXTJOIN("" | "",TRUE,IF(OR(D3104="""",E3104="""",I3104="""",J3104="""",H3104=""""),""ফাঁকা ঘর"",""""),IF(AND(C3104&lt;&gt;"""",D3104&lt;&gt;"""",C3104=D3104),""gloss=figurative"",""""),IF(LEN(D3104)&lt;15,""figurative ছোট"",""""),IF(AND(I3104=""Positive"",REGEXMATCH(H3"&amp;"104,""মূর্খ|ভণ্ড|প্রতার|অলস|লোভ|স্বার্থ|অক্ষম|অযোগ্য|বোকা|কৃপণ|হিংস"")),""valence-target অমিল"",""""),IF(COUNTIF($B:$B,B3104)&gt;1,""ডুপ্লিকেট"",""""))"),"")</f>
        <v/>
      </c>
      <c r="Q3104" s="5" t="str">
        <f t="shared" si="1"/>
        <v>২ পরে</v>
      </c>
    </row>
    <row r="3105">
      <c r="A3105" s="4">
        <v>905.0</v>
      </c>
      <c r="B3105" s="2" t="s">
        <v>12330</v>
      </c>
      <c r="C3105" s="2" t="s">
        <v>12331</v>
      </c>
      <c r="D3105" s="2" t="s">
        <v>12332</v>
      </c>
      <c r="E3105" s="2" t="s">
        <v>12333</v>
      </c>
      <c r="F3105" s="2" t="b">
        <v>1</v>
      </c>
      <c r="G3105" s="2" t="b">
        <v>0</v>
      </c>
      <c r="H3105" s="2" t="s">
        <v>8713</v>
      </c>
      <c r="I3105" s="2" t="s">
        <v>22</v>
      </c>
      <c r="J3105" s="2" t="s">
        <v>59</v>
      </c>
      <c r="K3105" s="2" t="s">
        <v>376</v>
      </c>
      <c r="L3105" s="2" t="s">
        <v>391</v>
      </c>
      <c r="M3105" s="2" t="s">
        <v>26</v>
      </c>
      <c r="P3105" s="5" t="str">
        <f>IFERROR(__xludf.DUMMYFUNCTION("TEXTJOIN("" | "",TRUE,IF(OR(D3105="""",E3105="""",I3105="""",J3105="""",H3105=""""),""ফাঁকা ঘর"",""""),IF(AND(C3105&lt;&gt;"""",D3105&lt;&gt;"""",C3105=D3105),""gloss=figurative"",""""),IF(LEN(D3105)&lt;15,""figurative ছোট"",""""),IF(AND(I3105=""Positive"",REGEXMATCH(H3"&amp;"105,""মূর্খ|ভণ্ড|প্রতার|অলস|লোভ|স্বার্থ|অক্ষম|অযোগ্য|বোকা|কৃপণ|হিংস"")),""valence-target অমিল"",""""),IF(COUNTIF($B:$B,B3105)&gt;1,""ডুপ্লিকেট"",""""))"),"")</f>
        <v/>
      </c>
      <c r="Q3105" s="5" t="str">
        <f t="shared" si="1"/>
        <v>২ পরে</v>
      </c>
    </row>
    <row r="3106">
      <c r="A3106" s="4">
        <v>906.0</v>
      </c>
      <c r="B3106" s="2" t="s">
        <v>12334</v>
      </c>
      <c r="C3106" s="2" t="s">
        <v>12335</v>
      </c>
      <c r="D3106" s="2" t="s">
        <v>12336</v>
      </c>
      <c r="E3106" s="2" t="s">
        <v>12337</v>
      </c>
      <c r="F3106" s="2" t="b">
        <v>1</v>
      </c>
      <c r="G3106" s="2" t="b">
        <v>0</v>
      </c>
      <c r="H3106" s="2" t="s">
        <v>12338</v>
      </c>
      <c r="I3106" s="2" t="s">
        <v>22</v>
      </c>
      <c r="J3106" s="2" t="s">
        <v>59</v>
      </c>
      <c r="K3106" s="2" t="s">
        <v>376</v>
      </c>
      <c r="L3106" s="2" t="s">
        <v>391</v>
      </c>
      <c r="M3106" s="2" t="s">
        <v>26</v>
      </c>
      <c r="P3106" s="5" t="str">
        <f>IFERROR(__xludf.DUMMYFUNCTION("TEXTJOIN("" | "",TRUE,IF(OR(D3106="""",E3106="""",I3106="""",J3106="""",H3106=""""),""ফাঁকা ঘর"",""""),IF(AND(C3106&lt;&gt;"""",D3106&lt;&gt;"""",C3106=D3106),""gloss=figurative"",""""),IF(LEN(D3106)&lt;15,""figurative ছোট"",""""),IF(AND(I3106=""Positive"",REGEXMATCH(H3"&amp;"106,""মূর্খ|ভণ্ড|প্রতার|অলস|লোভ|স্বার্থ|অক্ষম|অযোগ্য|বোকা|কৃপণ|হিংস"")),""valence-target অমিল"",""""),IF(COUNTIF($B:$B,B3106)&gt;1,""ডুপ্লিকেট"",""""))"),"")</f>
        <v/>
      </c>
      <c r="Q3106" s="5" t="str">
        <f t="shared" si="1"/>
        <v>২ পরে</v>
      </c>
    </row>
    <row r="3107">
      <c r="A3107" s="4">
        <v>907.0</v>
      </c>
      <c r="B3107" s="2" t="s">
        <v>12339</v>
      </c>
      <c r="C3107" s="2" t="s">
        <v>12340</v>
      </c>
      <c r="D3107" s="2" t="s">
        <v>12341</v>
      </c>
      <c r="E3107" s="2" t="s">
        <v>12342</v>
      </c>
      <c r="F3107" s="2" t="b">
        <v>1</v>
      </c>
      <c r="G3107" s="2" t="b">
        <v>0</v>
      </c>
      <c r="H3107" s="2" t="s">
        <v>10536</v>
      </c>
      <c r="I3107" s="2" t="s">
        <v>22</v>
      </c>
      <c r="J3107" s="2" t="s">
        <v>59</v>
      </c>
      <c r="K3107" s="2" t="s">
        <v>376</v>
      </c>
      <c r="L3107" s="2" t="s">
        <v>391</v>
      </c>
      <c r="M3107" s="2" t="s">
        <v>26</v>
      </c>
      <c r="P3107" s="5" t="str">
        <f>IFERROR(__xludf.DUMMYFUNCTION("TEXTJOIN("" | "",TRUE,IF(OR(D3107="""",E3107="""",I3107="""",J3107="""",H3107=""""),""ফাঁকা ঘর"",""""),IF(AND(C3107&lt;&gt;"""",D3107&lt;&gt;"""",C3107=D3107),""gloss=figurative"",""""),IF(LEN(D3107)&lt;15,""figurative ছোট"",""""),IF(AND(I3107=""Positive"",REGEXMATCH(H3"&amp;"107,""মূর্খ|ভণ্ড|প্রতার|অলস|লোভ|স্বার্থ|অক্ষম|অযোগ্য|বোকা|কৃপণ|হিংস"")),""valence-target অমিল"",""""),IF(COUNTIF($B:$B,B3107)&gt;1,""ডুপ্লিকেট"",""""))"),"")</f>
        <v/>
      </c>
      <c r="Q3107" s="5" t="str">
        <f t="shared" si="1"/>
        <v>২ পরে</v>
      </c>
    </row>
    <row r="3108">
      <c r="A3108" s="4">
        <v>908.0</v>
      </c>
      <c r="B3108" s="2" t="s">
        <v>12343</v>
      </c>
      <c r="C3108" s="2" t="s">
        <v>12344</v>
      </c>
      <c r="D3108" s="2" t="s">
        <v>12345</v>
      </c>
      <c r="E3108" s="2" t="s">
        <v>12346</v>
      </c>
      <c r="F3108" s="2" t="b">
        <v>1</v>
      </c>
      <c r="G3108" s="2" t="b">
        <v>0</v>
      </c>
      <c r="H3108" s="2" t="s">
        <v>819</v>
      </c>
      <c r="I3108" s="2" t="s">
        <v>22</v>
      </c>
      <c r="J3108" s="2" t="s">
        <v>59</v>
      </c>
      <c r="K3108" s="2" t="s">
        <v>376</v>
      </c>
      <c r="L3108" s="2" t="s">
        <v>391</v>
      </c>
      <c r="M3108" s="2" t="s">
        <v>26</v>
      </c>
      <c r="P3108" s="5" t="str">
        <f>IFERROR(__xludf.DUMMYFUNCTION("TEXTJOIN("" | "",TRUE,IF(OR(D3108="""",E3108="""",I3108="""",J3108="""",H3108=""""),""ফাঁকা ঘর"",""""),IF(AND(C3108&lt;&gt;"""",D3108&lt;&gt;"""",C3108=D3108),""gloss=figurative"",""""),IF(LEN(D3108)&lt;15,""figurative ছোট"",""""),IF(AND(I3108=""Positive"",REGEXMATCH(H3"&amp;"108,""মূর্খ|ভণ্ড|প্রতার|অলস|লোভ|স্বার্থ|অক্ষম|অযোগ্য|বোকা|কৃপণ|হিংস"")),""valence-target অমিল"",""""),IF(COUNTIF($B:$B,B3108)&gt;1,""ডুপ্লিকেট"",""""))"),"")</f>
        <v/>
      </c>
      <c r="Q3108" s="5" t="str">
        <f t="shared" si="1"/>
        <v>২ পরে</v>
      </c>
    </row>
    <row r="3109">
      <c r="A3109" s="4">
        <v>909.0</v>
      </c>
      <c r="B3109" s="2" t="s">
        <v>12347</v>
      </c>
      <c r="C3109" s="2" t="s">
        <v>12347</v>
      </c>
      <c r="D3109" s="2" t="s">
        <v>12348</v>
      </c>
      <c r="E3109" s="2" t="s">
        <v>12349</v>
      </c>
      <c r="F3109" s="2" t="b">
        <v>1</v>
      </c>
      <c r="G3109" s="2" t="b">
        <v>0</v>
      </c>
      <c r="H3109" s="2" t="s">
        <v>819</v>
      </c>
      <c r="I3109" s="2" t="s">
        <v>22</v>
      </c>
      <c r="J3109" s="2" t="s">
        <v>59</v>
      </c>
      <c r="K3109" s="2" t="s">
        <v>376</v>
      </c>
      <c r="L3109" s="2" t="s">
        <v>391</v>
      </c>
      <c r="M3109" s="2" t="s">
        <v>26</v>
      </c>
      <c r="P3109" s="5" t="str">
        <f>IFERROR(__xludf.DUMMYFUNCTION("TEXTJOIN("" | "",TRUE,IF(OR(D3109="""",E3109="""",I3109="""",J3109="""",H3109=""""),""ফাঁকা ঘর"",""""),IF(AND(C3109&lt;&gt;"""",D3109&lt;&gt;"""",C3109=D3109),""gloss=figurative"",""""),IF(LEN(D3109)&lt;15,""figurative ছোট"",""""),IF(AND(I3109=""Positive"",REGEXMATCH(H3"&amp;"109,""মূর্খ|ভণ্ড|প্রতার|অলস|লোভ|স্বার্থ|অক্ষম|অযোগ্য|বোকা|কৃপণ|হিংস"")),""valence-target অমিল"",""""),IF(COUNTIF($B:$B,B3109)&gt;1,""ডুপ্লিকেট"",""""))"),"")</f>
        <v/>
      </c>
      <c r="Q3109" s="5" t="str">
        <f t="shared" si="1"/>
        <v>২ পরে</v>
      </c>
    </row>
    <row r="3110">
      <c r="A3110" s="4">
        <v>910.0</v>
      </c>
      <c r="B3110" s="2" t="s">
        <v>12350</v>
      </c>
      <c r="C3110" s="2" t="s">
        <v>12351</v>
      </c>
      <c r="D3110" s="2" t="s">
        <v>12352</v>
      </c>
      <c r="E3110" s="2" t="s">
        <v>12353</v>
      </c>
      <c r="F3110" s="2" t="b">
        <v>1</v>
      </c>
      <c r="G3110" s="2" t="b">
        <v>0</v>
      </c>
      <c r="H3110" s="2" t="s">
        <v>819</v>
      </c>
      <c r="I3110" s="2" t="s">
        <v>22</v>
      </c>
      <c r="J3110" s="2" t="s">
        <v>59</v>
      </c>
      <c r="K3110" s="2" t="s">
        <v>376</v>
      </c>
      <c r="L3110" s="2" t="s">
        <v>391</v>
      </c>
      <c r="M3110" s="2" t="s">
        <v>26</v>
      </c>
      <c r="P3110" s="5" t="str">
        <f>IFERROR(__xludf.DUMMYFUNCTION("TEXTJOIN("" | "",TRUE,IF(OR(D3110="""",E3110="""",I3110="""",J3110="""",H3110=""""),""ফাঁকা ঘর"",""""),IF(AND(C3110&lt;&gt;"""",D3110&lt;&gt;"""",C3110=D3110),""gloss=figurative"",""""),IF(LEN(D3110)&lt;15,""figurative ছোট"",""""),IF(AND(I3110=""Positive"",REGEXMATCH(H3"&amp;"110,""মূর্খ|ভণ্ড|প্রতার|অলস|লোভ|স্বার্থ|অক্ষম|অযোগ্য|বোকা|কৃপণ|হিংস"")),""valence-target অমিল"",""""),IF(COUNTIF($B:$B,B3110)&gt;1,""ডুপ্লিকেট"",""""))"),"")</f>
        <v/>
      </c>
      <c r="Q3110" s="5" t="str">
        <f t="shared" si="1"/>
        <v>২ পরে</v>
      </c>
    </row>
    <row r="3111">
      <c r="A3111" s="4">
        <v>911.0</v>
      </c>
      <c r="B3111" s="2" t="s">
        <v>12354</v>
      </c>
      <c r="C3111" s="2" t="s">
        <v>12355</v>
      </c>
      <c r="D3111" s="2" t="s">
        <v>302</v>
      </c>
      <c r="E3111" s="2" t="s">
        <v>12356</v>
      </c>
      <c r="F3111" s="2" t="b">
        <v>1</v>
      </c>
      <c r="G3111" s="2" t="b">
        <v>0</v>
      </c>
      <c r="H3111" s="2" t="s">
        <v>58</v>
      </c>
      <c r="I3111" s="2" t="s">
        <v>22</v>
      </c>
      <c r="J3111" s="2" t="s">
        <v>59</v>
      </c>
      <c r="K3111" s="2" t="s">
        <v>376</v>
      </c>
      <c r="L3111" s="2" t="s">
        <v>391</v>
      </c>
      <c r="M3111" s="2" t="s">
        <v>26</v>
      </c>
      <c r="P3111" s="5" t="str">
        <f>IFERROR(__xludf.DUMMYFUNCTION("TEXTJOIN("" | "",TRUE,IF(OR(D3111="""",E3111="""",I3111="""",J3111="""",H3111=""""),""ফাঁকা ঘর"",""""),IF(AND(C3111&lt;&gt;"""",D3111&lt;&gt;"""",C3111=D3111),""gloss=figurative"",""""),IF(LEN(D3111)&lt;15,""figurative ছোট"",""""),IF(AND(I3111=""Positive"",REGEXMATCH(H3"&amp;"111,""মূর্খ|ভণ্ড|প্রতার|অলস|লোভ|স্বার্থ|অক্ষম|অযোগ্য|বোকা|কৃপণ|হিংস"")),""valence-target অমিল"",""""),IF(COUNTIF($B:$B,B3111)&gt;1,""ডুপ্লিকেট"",""""))"),"")</f>
        <v/>
      </c>
      <c r="Q3111" s="5" t="str">
        <f t="shared" si="1"/>
        <v>২ পরে</v>
      </c>
    </row>
    <row r="3112">
      <c r="A3112" s="4">
        <v>912.0</v>
      </c>
      <c r="B3112" s="2" t="s">
        <v>12357</v>
      </c>
      <c r="C3112" s="2" t="s">
        <v>12358</v>
      </c>
      <c r="D3112" s="2" t="s">
        <v>9252</v>
      </c>
      <c r="E3112" s="2" t="s">
        <v>12359</v>
      </c>
      <c r="F3112" s="2" t="b">
        <v>1</v>
      </c>
      <c r="G3112" s="2" t="b">
        <v>0</v>
      </c>
      <c r="H3112" s="2" t="s">
        <v>37</v>
      </c>
      <c r="I3112" s="2" t="s">
        <v>49</v>
      </c>
      <c r="J3112" s="2" t="s">
        <v>59</v>
      </c>
      <c r="K3112" s="2" t="s">
        <v>376</v>
      </c>
      <c r="L3112" s="2" t="s">
        <v>391</v>
      </c>
      <c r="M3112" s="2" t="s">
        <v>26</v>
      </c>
      <c r="P3112" s="5" t="str">
        <f>IFERROR(__xludf.DUMMYFUNCTION("TEXTJOIN("" | "",TRUE,IF(OR(D3112="""",E3112="""",I3112="""",J3112="""",H3112=""""),""ফাঁকা ঘর"",""""),IF(AND(C3112&lt;&gt;"""",D3112&lt;&gt;"""",C3112=D3112),""gloss=figurative"",""""),IF(LEN(D3112)&lt;15,""figurative ছোট"",""""),IF(AND(I3112=""Positive"",REGEXMATCH(H3"&amp;"112,""মূর্খ|ভণ্ড|প্রতার|অলস|লোভ|স্বার্থ|অক্ষম|অযোগ্য|বোকা|কৃপণ|হিংস"")),""valence-target অমিল"",""""),IF(COUNTIF($B:$B,B3112)&gt;1,""ডুপ্লিকেট"",""""))"),"")</f>
        <v/>
      </c>
      <c r="Q3112" s="5" t="str">
        <f t="shared" si="1"/>
        <v>২ পরে</v>
      </c>
    </row>
    <row r="3113">
      <c r="A3113" s="4">
        <v>913.0</v>
      </c>
      <c r="B3113" s="2" t="s">
        <v>12360</v>
      </c>
      <c r="C3113" s="2" t="s">
        <v>12361</v>
      </c>
      <c r="D3113" s="2" t="s">
        <v>12362</v>
      </c>
      <c r="E3113" s="2" t="s">
        <v>12363</v>
      </c>
      <c r="F3113" s="2" t="b">
        <v>1</v>
      </c>
      <c r="G3113" s="2" t="b">
        <v>0</v>
      </c>
      <c r="H3113" s="2" t="s">
        <v>819</v>
      </c>
      <c r="I3113" s="2" t="s">
        <v>22</v>
      </c>
      <c r="J3113" s="2" t="s">
        <v>59</v>
      </c>
      <c r="K3113" s="2" t="s">
        <v>376</v>
      </c>
      <c r="L3113" s="2" t="s">
        <v>391</v>
      </c>
      <c r="M3113" s="2" t="s">
        <v>26</v>
      </c>
      <c r="P3113" s="5" t="str">
        <f>IFERROR(__xludf.DUMMYFUNCTION("TEXTJOIN("" | "",TRUE,IF(OR(D3113="""",E3113="""",I3113="""",J3113="""",H3113=""""),""ফাঁকা ঘর"",""""),IF(AND(C3113&lt;&gt;"""",D3113&lt;&gt;"""",C3113=D3113),""gloss=figurative"",""""),IF(LEN(D3113)&lt;15,""figurative ছোট"",""""),IF(AND(I3113=""Positive"",REGEXMATCH(H3"&amp;"113,""মূর্খ|ভণ্ড|প্রতার|অলস|লোভ|স্বার্থ|অক্ষম|অযোগ্য|বোকা|কৃপণ|হিংস"")),""valence-target অমিল"",""""),IF(COUNTIF($B:$B,B3113)&gt;1,""ডুপ্লিকেট"",""""))"),"")</f>
        <v/>
      </c>
      <c r="Q3113" s="5" t="str">
        <f t="shared" si="1"/>
        <v>২ পরে</v>
      </c>
    </row>
    <row r="3114">
      <c r="A3114" s="4">
        <v>914.0</v>
      </c>
      <c r="B3114" s="2" t="s">
        <v>12364</v>
      </c>
      <c r="C3114" s="2" t="s">
        <v>12365</v>
      </c>
      <c r="D3114" s="2" t="s">
        <v>12366</v>
      </c>
      <c r="E3114" s="2" t="s">
        <v>12367</v>
      </c>
      <c r="F3114" s="2" t="b">
        <v>1</v>
      </c>
      <c r="G3114" s="2" t="b">
        <v>0</v>
      </c>
      <c r="H3114" s="2" t="s">
        <v>37</v>
      </c>
      <c r="I3114" s="2" t="s">
        <v>32</v>
      </c>
      <c r="J3114" s="2" t="s">
        <v>162</v>
      </c>
      <c r="K3114" s="2" t="s">
        <v>376</v>
      </c>
      <c r="L3114" s="2" t="s">
        <v>391</v>
      </c>
      <c r="M3114" s="2" t="s">
        <v>26</v>
      </c>
      <c r="P3114" s="5" t="str">
        <f>IFERROR(__xludf.DUMMYFUNCTION("TEXTJOIN("" | "",TRUE,IF(OR(D3114="""",E3114="""",I3114="""",J3114="""",H3114=""""),""ফাঁকা ঘর"",""""),IF(AND(C3114&lt;&gt;"""",D3114&lt;&gt;"""",C3114=D3114),""gloss=figurative"",""""),IF(LEN(D3114)&lt;15,""figurative ছোট"",""""),IF(AND(I3114=""Positive"",REGEXMATCH(H3"&amp;"114,""মূর্খ|ভণ্ড|প্রতার|অলস|লোভ|স্বার্থ|অক্ষম|অযোগ্য|বোকা|কৃপণ|হিংস"")),""valence-target অমিল"",""""),IF(COUNTIF($B:$B,B3114)&gt;1,""ডুপ্লিকেট"",""""))"),"")</f>
        <v/>
      </c>
      <c r="Q3114" s="5" t="str">
        <f t="shared" si="1"/>
        <v>২ পরে</v>
      </c>
    </row>
    <row r="3115">
      <c r="A3115" s="4">
        <v>915.0</v>
      </c>
      <c r="B3115" s="2" t="s">
        <v>12368</v>
      </c>
      <c r="C3115" s="2" t="s">
        <v>12369</v>
      </c>
      <c r="D3115" s="2" t="s">
        <v>12370</v>
      </c>
      <c r="E3115" s="2" t="s">
        <v>12371</v>
      </c>
      <c r="F3115" s="2" t="b">
        <v>1</v>
      </c>
      <c r="G3115" s="2" t="b">
        <v>0</v>
      </c>
      <c r="H3115" s="2" t="s">
        <v>390</v>
      </c>
      <c r="I3115" s="2" t="s">
        <v>22</v>
      </c>
      <c r="J3115" s="2" t="s">
        <v>59</v>
      </c>
      <c r="K3115" s="2" t="s">
        <v>376</v>
      </c>
      <c r="L3115" s="2" t="s">
        <v>391</v>
      </c>
      <c r="M3115" s="2" t="s">
        <v>26</v>
      </c>
      <c r="P3115" s="5" t="str">
        <f>IFERROR(__xludf.DUMMYFUNCTION("TEXTJOIN("" | "",TRUE,IF(OR(D3115="""",E3115="""",I3115="""",J3115="""",H3115=""""),""ফাঁকা ঘর"",""""),IF(AND(C3115&lt;&gt;"""",D3115&lt;&gt;"""",C3115=D3115),""gloss=figurative"",""""),IF(LEN(D3115)&lt;15,""figurative ছোট"",""""),IF(AND(I3115=""Positive"",REGEXMATCH(H3"&amp;"115,""মূর্খ|ভণ্ড|প্রতার|অলস|লোভ|স্বার্থ|অক্ষম|অযোগ্য|বোকা|কৃপণ|হিংস"")),""valence-target অমিল"",""""),IF(COUNTIF($B:$B,B3115)&gt;1,""ডুপ্লিকেট"",""""))"),"")</f>
        <v/>
      </c>
      <c r="Q3115" s="5" t="str">
        <f t="shared" si="1"/>
        <v>২ পরে</v>
      </c>
    </row>
    <row r="3116">
      <c r="A3116" s="4">
        <v>916.0</v>
      </c>
      <c r="B3116" s="2" t="s">
        <v>12372</v>
      </c>
      <c r="C3116" s="2" t="s">
        <v>12373</v>
      </c>
      <c r="D3116" s="2" t="s">
        <v>12374</v>
      </c>
      <c r="E3116" s="2" t="s">
        <v>12375</v>
      </c>
      <c r="F3116" s="2" t="b">
        <v>1</v>
      </c>
      <c r="G3116" s="2" t="b">
        <v>0</v>
      </c>
      <c r="H3116" s="2" t="s">
        <v>110</v>
      </c>
      <c r="I3116" s="2" t="s">
        <v>32</v>
      </c>
      <c r="J3116" s="2" t="s">
        <v>59</v>
      </c>
      <c r="K3116" s="2" t="s">
        <v>376</v>
      </c>
      <c r="L3116" s="2" t="s">
        <v>391</v>
      </c>
      <c r="M3116" s="2" t="s">
        <v>26</v>
      </c>
      <c r="P3116" s="5" t="str">
        <f>IFERROR(__xludf.DUMMYFUNCTION("TEXTJOIN("" | "",TRUE,IF(OR(D3116="""",E3116="""",I3116="""",J3116="""",H3116=""""),""ফাঁকা ঘর"",""""),IF(AND(C3116&lt;&gt;"""",D3116&lt;&gt;"""",C3116=D3116),""gloss=figurative"",""""),IF(LEN(D3116)&lt;15,""figurative ছোট"",""""),IF(AND(I3116=""Positive"",REGEXMATCH(H3"&amp;"116,""মূর্খ|ভণ্ড|প্রতার|অলস|লোভ|স্বার্থ|অক্ষম|অযোগ্য|বোকা|কৃপণ|হিংস"")),""valence-target অমিল"",""""),IF(COUNTIF($B:$B,B3116)&gt;1,""ডুপ্লিকেট"",""""))"),"")</f>
        <v/>
      </c>
      <c r="Q3116" s="5" t="str">
        <f t="shared" si="1"/>
        <v>২ পরে</v>
      </c>
    </row>
    <row r="3117">
      <c r="A3117" s="4">
        <v>917.0</v>
      </c>
      <c r="B3117" s="2" t="s">
        <v>12376</v>
      </c>
      <c r="C3117" s="2" t="s">
        <v>12377</v>
      </c>
      <c r="D3117" s="2" t="s">
        <v>12378</v>
      </c>
      <c r="E3117" s="2" t="s">
        <v>12379</v>
      </c>
      <c r="F3117" s="2" t="b">
        <v>1</v>
      </c>
      <c r="G3117" s="2" t="b">
        <v>0</v>
      </c>
      <c r="H3117" s="2" t="s">
        <v>37</v>
      </c>
      <c r="I3117" s="2" t="s">
        <v>32</v>
      </c>
      <c r="J3117" s="2" t="s">
        <v>59</v>
      </c>
      <c r="K3117" s="2" t="s">
        <v>376</v>
      </c>
      <c r="L3117" s="2" t="s">
        <v>391</v>
      </c>
      <c r="M3117" s="2" t="s">
        <v>26</v>
      </c>
      <c r="P3117" s="5" t="str">
        <f>IFERROR(__xludf.DUMMYFUNCTION("TEXTJOIN("" | "",TRUE,IF(OR(D3117="""",E3117="""",I3117="""",J3117="""",H3117=""""),""ফাঁকা ঘর"",""""),IF(AND(C3117&lt;&gt;"""",D3117&lt;&gt;"""",C3117=D3117),""gloss=figurative"",""""),IF(LEN(D3117)&lt;15,""figurative ছোট"",""""),IF(AND(I3117=""Positive"",REGEXMATCH(H3"&amp;"117,""মূর্খ|ভণ্ড|প্রতার|অলস|লোভ|স্বার্থ|অক্ষম|অযোগ্য|বোকা|কৃপণ|হিংস"")),""valence-target অমিল"",""""),IF(COUNTIF($B:$B,B3117)&gt;1,""ডুপ্লিকেট"",""""))"),"")</f>
        <v/>
      </c>
      <c r="Q3117" s="5" t="str">
        <f t="shared" si="1"/>
        <v>২ পরে</v>
      </c>
    </row>
    <row r="3118">
      <c r="A3118" s="4">
        <v>918.0</v>
      </c>
      <c r="B3118" s="2" t="s">
        <v>12380</v>
      </c>
      <c r="C3118" s="2" t="s">
        <v>12381</v>
      </c>
      <c r="D3118" s="2" t="s">
        <v>12382</v>
      </c>
      <c r="E3118" s="2" t="s">
        <v>12383</v>
      </c>
      <c r="F3118" s="2" t="b">
        <v>1</v>
      </c>
      <c r="G3118" s="2" t="b">
        <v>0</v>
      </c>
      <c r="H3118" s="2" t="s">
        <v>12384</v>
      </c>
      <c r="I3118" s="2" t="s">
        <v>32</v>
      </c>
      <c r="J3118" s="2" t="s">
        <v>9943</v>
      </c>
      <c r="K3118" s="2" t="s">
        <v>376</v>
      </c>
      <c r="L3118" s="2" t="s">
        <v>391</v>
      </c>
      <c r="M3118" s="2" t="s">
        <v>26</v>
      </c>
      <c r="P3118" s="5" t="str">
        <f>IFERROR(__xludf.DUMMYFUNCTION("TEXTJOIN("" | "",TRUE,IF(OR(D3118="""",E3118="""",I3118="""",J3118="""",H3118=""""),""ফাঁকা ঘর"",""""),IF(AND(C3118&lt;&gt;"""",D3118&lt;&gt;"""",C3118=D3118),""gloss=figurative"",""""),IF(LEN(D3118)&lt;15,""figurative ছোট"",""""),IF(AND(I3118=""Positive"",REGEXMATCH(H3"&amp;"118,""মূর্খ|ভণ্ড|প্রতার|অলস|লোভ|স্বার্থ|অক্ষম|অযোগ্য|বোকা|কৃপণ|হিংস"")),""valence-target অমিল"",""""),IF(COUNTIF($B:$B,B3118)&gt;1,""ডুপ্লিকেট"",""""))"),"")</f>
        <v/>
      </c>
      <c r="Q3118" s="5" t="str">
        <f t="shared" si="1"/>
        <v>২ পরে</v>
      </c>
    </row>
    <row r="3119">
      <c r="A3119" s="4">
        <v>919.0</v>
      </c>
      <c r="B3119" s="2" t="s">
        <v>12385</v>
      </c>
      <c r="C3119" s="2" t="s">
        <v>12386</v>
      </c>
      <c r="D3119" s="2" t="s">
        <v>12387</v>
      </c>
      <c r="E3119" s="2" t="s">
        <v>12388</v>
      </c>
      <c r="F3119" s="2" t="b">
        <v>1</v>
      </c>
      <c r="G3119" s="2" t="b">
        <v>0</v>
      </c>
      <c r="H3119" s="2" t="s">
        <v>37</v>
      </c>
      <c r="I3119" s="2" t="s">
        <v>22</v>
      </c>
      <c r="J3119" s="2" t="s">
        <v>162</v>
      </c>
      <c r="K3119" s="2" t="s">
        <v>376</v>
      </c>
      <c r="L3119" s="2" t="s">
        <v>391</v>
      </c>
      <c r="M3119" s="2" t="s">
        <v>26</v>
      </c>
      <c r="P3119" s="5" t="str">
        <f>IFERROR(__xludf.DUMMYFUNCTION("TEXTJOIN("" | "",TRUE,IF(OR(D3119="""",E3119="""",I3119="""",J3119="""",H3119=""""),""ফাঁকা ঘর"",""""),IF(AND(C3119&lt;&gt;"""",D3119&lt;&gt;"""",C3119=D3119),""gloss=figurative"",""""),IF(LEN(D3119)&lt;15,""figurative ছোট"",""""),IF(AND(I3119=""Positive"",REGEXMATCH(H3"&amp;"119,""মূর্খ|ভণ্ড|প্রতার|অলস|লোভ|স্বার্থ|অক্ষম|অযোগ্য|বোকা|কৃপণ|হিংস"")),""valence-target অমিল"",""""),IF(COUNTIF($B:$B,B3119)&gt;1,""ডুপ্লিকেট"",""""))"),"")</f>
        <v/>
      </c>
      <c r="Q3119" s="5" t="str">
        <f t="shared" si="1"/>
        <v>২ পরে</v>
      </c>
    </row>
    <row r="3120">
      <c r="A3120" s="4">
        <v>920.0</v>
      </c>
      <c r="B3120" s="2" t="s">
        <v>12389</v>
      </c>
      <c r="C3120" s="2" t="s">
        <v>12390</v>
      </c>
      <c r="D3120" s="2" t="s">
        <v>12391</v>
      </c>
      <c r="E3120" s="2" t="s">
        <v>12392</v>
      </c>
      <c r="F3120" s="2" t="b">
        <v>1</v>
      </c>
      <c r="G3120" s="2" t="b">
        <v>0</v>
      </c>
      <c r="H3120" s="2" t="s">
        <v>12393</v>
      </c>
      <c r="I3120" s="2" t="s">
        <v>22</v>
      </c>
      <c r="J3120" s="2" t="s">
        <v>59</v>
      </c>
      <c r="K3120" s="2" t="s">
        <v>376</v>
      </c>
      <c r="L3120" s="2" t="s">
        <v>391</v>
      </c>
      <c r="M3120" s="2" t="s">
        <v>26</v>
      </c>
      <c r="P3120" s="5" t="str">
        <f>IFERROR(__xludf.DUMMYFUNCTION("TEXTJOIN("" | "",TRUE,IF(OR(D3120="""",E3120="""",I3120="""",J3120="""",H3120=""""),""ফাঁকা ঘর"",""""),IF(AND(C3120&lt;&gt;"""",D3120&lt;&gt;"""",C3120=D3120),""gloss=figurative"",""""),IF(LEN(D3120)&lt;15,""figurative ছোট"",""""),IF(AND(I3120=""Positive"",REGEXMATCH(H3"&amp;"120,""মূর্খ|ভণ্ড|প্রতার|অলস|লোভ|স্বার্থ|অক্ষম|অযোগ্য|বোকা|কৃপণ|হিংস"")),""valence-target অমিল"",""""),IF(COUNTIF($B:$B,B3120)&gt;1,""ডুপ্লিকেট"",""""))"),"")</f>
        <v/>
      </c>
      <c r="Q3120" s="5" t="str">
        <f t="shared" si="1"/>
        <v>২ পরে</v>
      </c>
    </row>
    <row r="3121">
      <c r="A3121" s="4">
        <v>921.0</v>
      </c>
      <c r="B3121" s="2" t="s">
        <v>12394</v>
      </c>
      <c r="C3121" s="2" t="s">
        <v>12395</v>
      </c>
      <c r="D3121" s="2" t="s">
        <v>12396</v>
      </c>
      <c r="E3121" s="2" t="s">
        <v>12397</v>
      </c>
      <c r="F3121" s="2" t="b">
        <v>1</v>
      </c>
      <c r="G3121" s="2" t="b">
        <v>0</v>
      </c>
      <c r="H3121" s="2" t="s">
        <v>10921</v>
      </c>
      <c r="I3121" s="2" t="s">
        <v>22</v>
      </c>
      <c r="J3121" s="2" t="s">
        <v>59</v>
      </c>
      <c r="K3121" s="2" t="s">
        <v>376</v>
      </c>
      <c r="L3121" s="2" t="s">
        <v>391</v>
      </c>
      <c r="M3121" s="2" t="s">
        <v>26</v>
      </c>
      <c r="P3121" s="5" t="str">
        <f>IFERROR(__xludf.DUMMYFUNCTION("TEXTJOIN("" | "",TRUE,IF(OR(D3121="""",E3121="""",I3121="""",J3121="""",H3121=""""),""ফাঁকা ঘর"",""""),IF(AND(C3121&lt;&gt;"""",D3121&lt;&gt;"""",C3121=D3121),""gloss=figurative"",""""),IF(LEN(D3121)&lt;15,""figurative ছোট"",""""),IF(AND(I3121=""Positive"",REGEXMATCH(H3"&amp;"121,""মূর্খ|ভণ্ড|প্রতার|অলস|লোভ|স্বার্থ|অক্ষম|অযোগ্য|বোকা|কৃপণ|হিংস"")),""valence-target অমিল"",""""),IF(COUNTIF($B:$B,B3121)&gt;1,""ডুপ্লিকেট"",""""))"),"")</f>
        <v/>
      </c>
      <c r="Q3121" s="5" t="str">
        <f t="shared" si="1"/>
        <v>২ পরে</v>
      </c>
    </row>
    <row r="3122">
      <c r="A3122" s="4">
        <v>922.0</v>
      </c>
      <c r="B3122" s="2" t="s">
        <v>12398</v>
      </c>
      <c r="C3122" s="2" t="s">
        <v>12399</v>
      </c>
      <c r="D3122" s="2" t="s">
        <v>12400</v>
      </c>
      <c r="E3122" s="2" t="s">
        <v>12401</v>
      </c>
      <c r="F3122" s="2" t="b">
        <v>1</v>
      </c>
      <c r="G3122" s="2" t="b">
        <v>0</v>
      </c>
      <c r="H3122" s="2" t="s">
        <v>1994</v>
      </c>
      <c r="I3122" s="2" t="s">
        <v>22</v>
      </c>
      <c r="J3122" s="2" t="s">
        <v>59</v>
      </c>
      <c r="K3122" s="2" t="s">
        <v>376</v>
      </c>
      <c r="L3122" s="2" t="s">
        <v>391</v>
      </c>
      <c r="M3122" s="2" t="s">
        <v>26</v>
      </c>
      <c r="P3122" s="5" t="str">
        <f>IFERROR(__xludf.DUMMYFUNCTION("TEXTJOIN("" | "",TRUE,IF(OR(D3122="""",E3122="""",I3122="""",J3122="""",H3122=""""),""ফাঁকা ঘর"",""""),IF(AND(C3122&lt;&gt;"""",D3122&lt;&gt;"""",C3122=D3122),""gloss=figurative"",""""),IF(LEN(D3122)&lt;15,""figurative ছোট"",""""),IF(AND(I3122=""Positive"",REGEXMATCH(H3"&amp;"122,""মূর্খ|ভণ্ড|প্রতার|অলস|লোভ|স্বার্থ|অক্ষম|অযোগ্য|বোকা|কৃপণ|হিংস"")),""valence-target অমিল"",""""),IF(COUNTIF($B:$B,B3122)&gt;1,""ডুপ্লিকেট"",""""))"),"")</f>
        <v/>
      </c>
      <c r="Q3122" s="5" t="str">
        <f t="shared" si="1"/>
        <v>২ পরে</v>
      </c>
    </row>
    <row r="3123">
      <c r="A3123" s="4">
        <v>923.0</v>
      </c>
      <c r="B3123" s="2" t="s">
        <v>12402</v>
      </c>
      <c r="C3123" s="2" t="s">
        <v>12403</v>
      </c>
      <c r="D3123" s="2" t="s">
        <v>12404</v>
      </c>
      <c r="E3123" s="2" t="s">
        <v>12405</v>
      </c>
      <c r="F3123" s="2" t="b">
        <v>1</v>
      </c>
      <c r="G3123" s="2" t="b">
        <v>0</v>
      </c>
      <c r="H3123" s="2" t="s">
        <v>12406</v>
      </c>
      <c r="I3123" s="2" t="s">
        <v>32</v>
      </c>
      <c r="J3123" s="2" t="s">
        <v>10356</v>
      </c>
      <c r="K3123" s="2" t="s">
        <v>376</v>
      </c>
      <c r="L3123" s="2" t="s">
        <v>391</v>
      </c>
      <c r="M3123" s="2" t="s">
        <v>26</v>
      </c>
      <c r="P3123" s="5" t="str">
        <f>IFERROR(__xludf.DUMMYFUNCTION("TEXTJOIN("" | "",TRUE,IF(OR(D3123="""",E3123="""",I3123="""",J3123="""",H3123=""""),""ফাঁকা ঘর"",""""),IF(AND(C3123&lt;&gt;"""",D3123&lt;&gt;"""",C3123=D3123),""gloss=figurative"",""""),IF(LEN(D3123)&lt;15,""figurative ছোট"",""""),IF(AND(I3123=""Positive"",REGEXMATCH(H3"&amp;"123,""মূর্খ|ভণ্ড|প্রতার|অলস|লোভ|স্বার্থ|অক্ষম|অযোগ্য|বোকা|কৃপণ|হিংস"")),""valence-target অমিল"",""""),IF(COUNTIF($B:$B,B3123)&gt;1,""ডুপ্লিকেট"",""""))"),"")</f>
        <v/>
      </c>
      <c r="Q3123" s="5" t="str">
        <f t="shared" si="1"/>
        <v>২ পরে</v>
      </c>
    </row>
    <row r="3124">
      <c r="A3124" s="3">
        <v>925.0</v>
      </c>
      <c r="B3124" s="3" t="s">
        <v>12407</v>
      </c>
      <c r="C3124" s="3" t="s">
        <v>12407</v>
      </c>
      <c r="D3124" s="3" t="s">
        <v>12408</v>
      </c>
      <c r="E3124" s="3" t="s">
        <v>12409</v>
      </c>
      <c r="F3124" s="3" t="b">
        <v>1</v>
      </c>
      <c r="G3124" s="3" t="b">
        <v>0</v>
      </c>
      <c r="H3124" s="3" t="s">
        <v>37</v>
      </c>
      <c r="I3124" s="3" t="s">
        <v>32</v>
      </c>
      <c r="J3124" s="3" t="s">
        <v>12410</v>
      </c>
      <c r="K3124" s="3" t="s">
        <v>12411</v>
      </c>
      <c r="L3124" s="28" t="s">
        <v>12412</v>
      </c>
      <c r="M3124" s="3" t="s">
        <v>38</v>
      </c>
      <c r="P3124" s="5" t="str">
        <f>IFERROR(__xludf.DUMMYFUNCTION("TEXTJOIN("" | "",TRUE,IF(OR(D3124="""",E3124="""",I3124="""",J3124="""",H3124=""""),""ফাঁকা ঘর"",""""),IF(AND(C3124&lt;&gt;"""",D3124&lt;&gt;"""",C3124=D3124),""gloss=figurative"",""""),IF(LEN(D3124)&lt;15,""figurative ছোট"",""""),IF(AND(I3124=""Positive"",REGEXMATCH(H3"&amp;"124,""মূর্খ|ভণ্ড|প্রতার|অলস|লোভ|স্বার্থ|অক্ষম|অযোগ্য|বোকা|কৃপণ|হিংস"")),""valence-target অমিল"",""""),IF(COUNTIF($B:$B,B3124)&gt;1,""ডুপ্লিকেট"",""""))"),"")</f>
        <v/>
      </c>
      <c r="Q3124" s="5" t="str">
        <f t="shared" si="1"/>
        <v>২ পরে</v>
      </c>
    </row>
    <row r="3125">
      <c r="A3125" s="4">
        <v>928.0</v>
      </c>
      <c r="B3125" s="2" t="s">
        <v>12413</v>
      </c>
      <c r="C3125" s="2" t="s">
        <v>12414</v>
      </c>
      <c r="D3125" s="2" t="s">
        <v>12415</v>
      </c>
      <c r="E3125" s="2" t="s">
        <v>12416</v>
      </c>
      <c r="F3125" s="2" t="b">
        <v>1</v>
      </c>
      <c r="G3125" s="2" t="b">
        <v>0</v>
      </c>
      <c r="H3125" s="2" t="s">
        <v>9331</v>
      </c>
      <c r="I3125" s="2" t="s">
        <v>32</v>
      </c>
      <c r="J3125" s="2" t="s">
        <v>357</v>
      </c>
      <c r="K3125" s="2" t="s">
        <v>376</v>
      </c>
      <c r="L3125" s="2" t="s">
        <v>391</v>
      </c>
      <c r="M3125" s="2" t="s">
        <v>26</v>
      </c>
      <c r="N3125" s="29"/>
      <c r="O3125" s="29"/>
      <c r="P3125" s="5" t="str">
        <f>IFERROR(__xludf.DUMMYFUNCTION("TEXTJOIN("" | "",TRUE,IF(OR(D3125="""",E3125="""",I3125="""",J3125="""",H3125=""""),""ফাঁকা ঘর"",""""),IF(AND(C3125&lt;&gt;"""",D3125&lt;&gt;"""",C3125=D3125),""gloss=figurative"",""""),IF(LEN(D3125)&lt;15,""figurative ছোট"",""""),IF(AND(I3125=""Positive"",REGEXMATCH(H3"&amp;"125,""মূর্খ|ভণ্ড|প্রতার|অলস|লোভ|স্বার্থ|অক্ষম|অযোগ্য|বোকা|কৃপণ|হিংস"")),""valence-target অমিল"",""""),IF(COUNTIF($B:$B,B3125)&gt;1,""ডুপ্লিকেট"",""""))"),"")</f>
        <v/>
      </c>
      <c r="Q3125" s="5" t="str">
        <f t="shared" si="1"/>
        <v>২ পরে</v>
      </c>
    </row>
    <row r="3126">
      <c r="A3126" s="4">
        <v>929.0</v>
      </c>
      <c r="B3126" s="2" t="s">
        <v>12417</v>
      </c>
      <c r="C3126" s="2" t="s">
        <v>12418</v>
      </c>
      <c r="D3126" s="2" t="s">
        <v>12419</v>
      </c>
      <c r="E3126" s="2" t="s">
        <v>12420</v>
      </c>
      <c r="F3126" s="2" t="b">
        <v>1</v>
      </c>
      <c r="G3126" s="2" t="b">
        <v>1</v>
      </c>
      <c r="H3126" s="2" t="s">
        <v>12421</v>
      </c>
      <c r="I3126" s="2" t="s">
        <v>32</v>
      </c>
      <c r="J3126" s="2" t="s">
        <v>9301</v>
      </c>
      <c r="K3126" s="2" t="s">
        <v>376</v>
      </c>
      <c r="L3126" s="2" t="s">
        <v>391</v>
      </c>
      <c r="M3126" s="2" t="s">
        <v>26</v>
      </c>
      <c r="N3126" s="29"/>
      <c r="O3126" s="29"/>
      <c r="P3126" s="5" t="str">
        <f>IFERROR(__xludf.DUMMYFUNCTION("TEXTJOIN("" | "",TRUE,IF(OR(D3126="""",E3126="""",I3126="""",J3126="""",H3126=""""),""ফাঁকা ঘর"",""""),IF(AND(C3126&lt;&gt;"""",D3126&lt;&gt;"""",C3126=D3126),""gloss=figurative"",""""),IF(LEN(D3126)&lt;15,""figurative ছোট"",""""),IF(AND(I3126=""Positive"",REGEXMATCH(H3"&amp;"126,""মূর্খ|ভণ্ড|প্রতার|অলস|লোভ|স্বার্থ|অক্ষম|অযোগ্য|বোকা|কৃপণ|হিংস"")),""valence-target অমিল"",""""),IF(COUNTIF($B:$B,B3126)&gt;1,""ডুপ্লিকেট"",""""))"),"")</f>
        <v/>
      </c>
      <c r="Q3126" s="5" t="str">
        <f t="shared" si="1"/>
        <v>২ পরে</v>
      </c>
    </row>
    <row r="3127">
      <c r="A3127" s="4">
        <v>930.0</v>
      </c>
      <c r="B3127" s="2" t="s">
        <v>12422</v>
      </c>
      <c r="C3127" s="2" t="s">
        <v>12423</v>
      </c>
      <c r="D3127" s="2" t="s">
        <v>12424</v>
      </c>
      <c r="E3127" s="2" t="s">
        <v>12425</v>
      </c>
      <c r="F3127" s="2" t="b">
        <v>1</v>
      </c>
      <c r="G3127" s="2" t="b">
        <v>1</v>
      </c>
      <c r="H3127" s="2" t="s">
        <v>12426</v>
      </c>
      <c r="I3127" s="2" t="s">
        <v>32</v>
      </c>
      <c r="J3127" s="2" t="s">
        <v>9301</v>
      </c>
      <c r="K3127" s="2" t="s">
        <v>376</v>
      </c>
      <c r="L3127" s="2" t="s">
        <v>391</v>
      </c>
      <c r="M3127" s="2" t="s">
        <v>26</v>
      </c>
      <c r="N3127" s="29"/>
      <c r="O3127" s="29"/>
      <c r="P3127" s="5" t="str">
        <f>IFERROR(__xludf.DUMMYFUNCTION("TEXTJOIN("" | "",TRUE,IF(OR(D3127="""",E3127="""",I3127="""",J3127="""",H3127=""""),""ফাঁকা ঘর"",""""),IF(AND(C3127&lt;&gt;"""",D3127&lt;&gt;"""",C3127=D3127),""gloss=figurative"",""""),IF(LEN(D3127)&lt;15,""figurative ছোট"",""""),IF(AND(I3127=""Positive"",REGEXMATCH(H3"&amp;"127,""মূর্খ|ভণ্ড|প্রতার|অলস|লোভ|স্বার্থ|অক্ষম|অযোগ্য|বোকা|কৃপণ|হিংস"")),""valence-target অমিল"",""""),IF(COUNTIF($B:$B,B3127)&gt;1,""ডুপ্লিকেট"",""""))"),"")</f>
        <v/>
      </c>
      <c r="Q3127" s="5" t="str">
        <f t="shared" si="1"/>
        <v>২ পরে</v>
      </c>
    </row>
    <row r="3128">
      <c r="A3128" s="4">
        <v>931.0</v>
      </c>
      <c r="B3128" s="2" t="s">
        <v>12427</v>
      </c>
      <c r="C3128" s="2" t="s">
        <v>12428</v>
      </c>
      <c r="D3128" s="2" t="s">
        <v>12429</v>
      </c>
      <c r="E3128" s="2" t="s">
        <v>12430</v>
      </c>
      <c r="F3128" s="2" t="b">
        <v>1</v>
      </c>
      <c r="G3128" s="2" t="b">
        <v>0</v>
      </c>
      <c r="H3128" s="2" t="s">
        <v>12431</v>
      </c>
      <c r="I3128" s="2" t="s">
        <v>32</v>
      </c>
      <c r="J3128" s="2" t="s">
        <v>9389</v>
      </c>
      <c r="K3128" s="2" t="s">
        <v>376</v>
      </c>
      <c r="L3128" s="2" t="s">
        <v>391</v>
      </c>
      <c r="M3128" s="2" t="s">
        <v>26</v>
      </c>
      <c r="N3128" s="29"/>
      <c r="O3128" s="29"/>
      <c r="P3128" s="5" t="str">
        <f>IFERROR(__xludf.DUMMYFUNCTION("TEXTJOIN("" | "",TRUE,IF(OR(D3128="""",E3128="""",I3128="""",J3128="""",H3128=""""),""ফাঁকা ঘর"",""""),IF(AND(C3128&lt;&gt;"""",D3128&lt;&gt;"""",C3128=D3128),""gloss=figurative"",""""),IF(LEN(D3128)&lt;15,""figurative ছোট"",""""),IF(AND(I3128=""Positive"",REGEXMATCH(H3"&amp;"128,""মূর্খ|ভণ্ড|প্রতার|অলস|লোভ|স্বার্থ|অক্ষম|অযোগ্য|বোকা|কৃপণ|হিংস"")),""valence-target অমিল"",""""),IF(COUNTIF($B:$B,B3128)&gt;1,""ডুপ্লিকেট"",""""))"),"")</f>
        <v/>
      </c>
      <c r="Q3128" s="5" t="str">
        <f t="shared" si="1"/>
        <v>২ পরে</v>
      </c>
    </row>
    <row r="3129">
      <c r="A3129" s="4">
        <v>932.0</v>
      </c>
      <c r="B3129" s="2" t="s">
        <v>12432</v>
      </c>
      <c r="C3129" s="2" t="s">
        <v>12433</v>
      </c>
      <c r="D3129" s="2" t="s">
        <v>12434</v>
      </c>
      <c r="E3129" s="2" t="s">
        <v>12435</v>
      </c>
      <c r="F3129" s="2" t="b">
        <v>1</v>
      </c>
      <c r="G3129" s="2" t="b">
        <v>1</v>
      </c>
      <c r="H3129" s="2" t="s">
        <v>12426</v>
      </c>
      <c r="I3129" s="2" t="s">
        <v>22</v>
      </c>
      <c r="J3129" s="2" t="s">
        <v>9301</v>
      </c>
      <c r="K3129" s="2" t="s">
        <v>376</v>
      </c>
      <c r="L3129" s="2" t="s">
        <v>391</v>
      </c>
      <c r="M3129" s="2" t="s">
        <v>26</v>
      </c>
      <c r="N3129" s="29"/>
      <c r="O3129" s="29"/>
      <c r="P3129" s="5" t="str">
        <f>IFERROR(__xludf.DUMMYFUNCTION("TEXTJOIN("" | "",TRUE,IF(OR(D3129="""",E3129="""",I3129="""",J3129="""",H3129=""""),""ফাঁকা ঘর"",""""),IF(AND(C3129&lt;&gt;"""",D3129&lt;&gt;"""",C3129=D3129),""gloss=figurative"",""""),IF(LEN(D3129)&lt;15,""figurative ছোট"",""""),IF(AND(I3129=""Positive"",REGEXMATCH(H3"&amp;"129,""মূর্খ|ভণ্ড|প্রতার|অলস|লোভ|স্বার্থ|অক্ষম|অযোগ্য|বোকা|কৃপণ|হিংস"")),""valence-target অমিল"",""""),IF(COUNTIF($B:$B,B3129)&gt;1,""ডুপ্লিকেট"",""""))"),"")</f>
        <v/>
      </c>
      <c r="Q3129" s="5" t="str">
        <f t="shared" si="1"/>
        <v>২ পরে</v>
      </c>
    </row>
    <row r="3130">
      <c r="A3130" s="4">
        <v>933.0</v>
      </c>
      <c r="B3130" s="2" t="s">
        <v>12436</v>
      </c>
      <c r="C3130" s="2" t="s">
        <v>12437</v>
      </c>
      <c r="D3130" s="2" t="s">
        <v>12438</v>
      </c>
      <c r="E3130" s="2" t="s">
        <v>12439</v>
      </c>
      <c r="F3130" s="2" t="b">
        <v>1</v>
      </c>
      <c r="G3130" s="2" t="b">
        <v>0</v>
      </c>
      <c r="H3130" s="2" t="s">
        <v>12440</v>
      </c>
      <c r="I3130" s="2" t="s">
        <v>22</v>
      </c>
      <c r="J3130" s="2" t="s">
        <v>123</v>
      </c>
      <c r="K3130" s="2" t="s">
        <v>376</v>
      </c>
      <c r="L3130" s="2" t="s">
        <v>391</v>
      </c>
      <c r="M3130" s="2" t="s">
        <v>26</v>
      </c>
      <c r="N3130" s="29"/>
      <c r="O3130" s="29"/>
      <c r="P3130" s="5" t="str">
        <f>IFERROR(__xludf.DUMMYFUNCTION("TEXTJOIN("" | "",TRUE,IF(OR(D3130="""",E3130="""",I3130="""",J3130="""",H3130=""""),""ফাঁকা ঘর"",""""),IF(AND(C3130&lt;&gt;"""",D3130&lt;&gt;"""",C3130=D3130),""gloss=figurative"",""""),IF(LEN(D3130)&lt;15,""figurative ছোট"",""""),IF(AND(I3130=""Positive"",REGEXMATCH(H3"&amp;"130,""মূর্খ|ভণ্ড|প্রতার|অলস|লোভ|স্বার্থ|অক্ষম|অযোগ্য|বোকা|কৃপণ|হিংস"")),""valence-target অমিল"",""""),IF(COUNTIF($B:$B,B3130)&gt;1,""ডুপ্লিকেট"",""""))"),"")</f>
        <v/>
      </c>
      <c r="Q3130" s="5" t="str">
        <f t="shared" si="1"/>
        <v>২ পরে</v>
      </c>
    </row>
    <row r="3131">
      <c r="A3131" s="4">
        <v>934.0</v>
      </c>
      <c r="B3131" s="2" t="s">
        <v>12441</v>
      </c>
      <c r="C3131" s="2" t="s">
        <v>12442</v>
      </c>
      <c r="D3131" s="2" t="s">
        <v>12443</v>
      </c>
      <c r="E3131" s="2" t="s">
        <v>12444</v>
      </c>
      <c r="F3131" s="2" t="b">
        <v>1</v>
      </c>
      <c r="G3131" s="2" t="b">
        <v>0</v>
      </c>
      <c r="H3131" s="2" t="s">
        <v>12445</v>
      </c>
      <c r="I3131" s="2" t="s">
        <v>22</v>
      </c>
      <c r="J3131" s="2" t="s">
        <v>59</v>
      </c>
      <c r="K3131" s="2" t="s">
        <v>376</v>
      </c>
      <c r="L3131" s="2" t="s">
        <v>391</v>
      </c>
      <c r="M3131" s="2" t="s">
        <v>26</v>
      </c>
      <c r="N3131" s="29"/>
      <c r="O3131" s="29"/>
      <c r="P3131" s="5" t="str">
        <f>IFERROR(__xludf.DUMMYFUNCTION("TEXTJOIN("" | "",TRUE,IF(OR(D3131="""",E3131="""",I3131="""",J3131="""",H3131=""""),""ফাঁকা ঘর"",""""),IF(AND(C3131&lt;&gt;"""",D3131&lt;&gt;"""",C3131=D3131),""gloss=figurative"",""""),IF(LEN(D3131)&lt;15,""figurative ছোট"",""""),IF(AND(I3131=""Positive"",REGEXMATCH(H3"&amp;"131,""মূর্খ|ভণ্ড|প্রতার|অলস|লোভ|স্বার্থ|অক্ষম|অযোগ্য|বোকা|কৃপণ|হিংস"")),""valence-target অমিল"",""""),IF(COUNTIF($B:$B,B3131)&gt;1,""ডুপ্লিকেট"",""""))"),"")</f>
        <v/>
      </c>
      <c r="Q3131" s="5" t="str">
        <f t="shared" si="1"/>
        <v>২ পরে</v>
      </c>
    </row>
    <row r="3132">
      <c r="A3132" s="4">
        <v>935.0</v>
      </c>
      <c r="B3132" s="2" t="s">
        <v>12446</v>
      </c>
      <c r="C3132" s="2" t="s">
        <v>12447</v>
      </c>
      <c r="D3132" s="2" t="s">
        <v>12448</v>
      </c>
      <c r="E3132" s="2" t="s">
        <v>12449</v>
      </c>
      <c r="F3132" s="2" t="b">
        <v>1</v>
      </c>
      <c r="G3132" s="2" t="b">
        <v>0</v>
      </c>
      <c r="H3132" s="2" t="s">
        <v>181</v>
      </c>
      <c r="I3132" s="2" t="s">
        <v>22</v>
      </c>
      <c r="J3132" s="2" t="s">
        <v>59</v>
      </c>
      <c r="K3132" s="2" t="s">
        <v>376</v>
      </c>
      <c r="L3132" s="2" t="s">
        <v>391</v>
      </c>
      <c r="M3132" s="2" t="s">
        <v>26</v>
      </c>
      <c r="N3132" s="29"/>
      <c r="O3132" s="29"/>
      <c r="P3132" s="5" t="str">
        <f>IFERROR(__xludf.DUMMYFUNCTION("TEXTJOIN("" | "",TRUE,IF(OR(D3132="""",E3132="""",I3132="""",J3132="""",H3132=""""),""ফাঁকা ঘর"",""""),IF(AND(C3132&lt;&gt;"""",D3132&lt;&gt;"""",C3132=D3132),""gloss=figurative"",""""),IF(LEN(D3132)&lt;15,""figurative ছোট"",""""),IF(AND(I3132=""Positive"",REGEXMATCH(H3"&amp;"132,""মূর্খ|ভণ্ড|প্রতার|অলস|লোভ|স্বার্থ|অক্ষম|অযোগ্য|বোকা|কৃপণ|হিংস"")),""valence-target অমিল"",""""),IF(COUNTIF($B:$B,B3132)&gt;1,""ডুপ্লিকেট"",""""))"),"")</f>
        <v/>
      </c>
      <c r="Q3132" s="5" t="str">
        <f t="shared" si="1"/>
        <v>২ পরে</v>
      </c>
    </row>
    <row r="3133">
      <c r="A3133" s="4">
        <v>936.0</v>
      </c>
      <c r="B3133" s="2" t="s">
        <v>12450</v>
      </c>
      <c r="C3133" s="2" t="s">
        <v>12451</v>
      </c>
      <c r="D3133" s="2" t="s">
        <v>12452</v>
      </c>
      <c r="E3133" s="2" t="s">
        <v>12453</v>
      </c>
      <c r="F3133" s="2" t="b">
        <v>1</v>
      </c>
      <c r="G3133" s="2" t="b">
        <v>0</v>
      </c>
      <c r="H3133" s="2" t="s">
        <v>9486</v>
      </c>
      <c r="I3133" s="2" t="s">
        <v>49</v>
      </c>
      <c r="J3133" s="2" t="s">
        <v>190</v>
      </c>
      <c r="K3133" s="2" t="s">
        <v>376</v>
      </c>
      <c r="L3133" s="2" t="s">
        <v>391</v>
      </c>
      <c r="M3133" s="2" t="s">
        <v>26</v>
      </c>
      <c r="N3133" s="29"/>
      <c r="O3133" s="29"/>
      <c r="P3133" s="5" t="str">
        <f>IFERROR(__xludf.DUMMYFUNCTION("TEXTJOIN("" | "",TRUE,IF(OR(D3133="""",E3133="""",I3133="""",J3133="""",H3133=""""),""ফাঁকা ঘর"",""""),IF(AND(C3133&lt;&gt;"""",D3133&lt;&gt;"""",C3133=D3133),""gloss=figurative"",""""),IF(LEN(D3133)&lt;15,""figurative ছোট"",""""),IF(AND(I3133=""Positive"",REGEXMATCH(H3"&amp;"133,""মূর্খ|ভণ্ড|প্রতার|অলস|লোভ|স্বার্থ|অক্ষম|অযোগ্য|বোকা|কৃপণ|হিংস"")),""valence-target অমিল"",""""),IF(COUNTIF($B:$B,B3133)&gt;1,""ডুপ্লিকেট"",""""))"),"")</f>
        <v/>
      </c>
      <c r="Q3133" s="5" t="str">
        <f t="shared" si="1"/>
        <v>২ পরে</v>
      </c>
    </row>
    <row r="3134">
      <c r="A3134" s="4">
        <v>937.0</v>
      </c>
      <c r="B3134" s="2" t="s">
        <v>12454</v>
      </c>
      <c r="C3134" s="2" t="s">
        <v>12455</v>
      </c>
      <c r="D3134" s="2" t="s">
        <v>12456</v>
      </c>
      <c r="E3134" s="2" t="s">
        <v>12457</v>
      </c>
      <c r="F3134" s="2" t="b">
        <v>1</v>
      </c>
      <c r="G3134" s="2" t="b">
        <v>0</v>
      </c>
      <c r="H3134" s="2" t="s">
        <v>12458</v>
      </c>
      <c r="I3134" s="2" t="s">
        <v>32</v>
      </c>
      <c r="J3134" s="2" t="s">
        <v>59</v>
      </c>
      <c r="K3134" s="2" t="s">
        <v>376</v>
      </c>
      <c r="L3134" s="2" t="s">
        <v>391</v>
      </c>
      <c r="M3134" s="2" t="s">
        <v>26</v>
      </c>
      <c r="N3134" s="29"/>
      <c r="O3134" s="29"/>
      <c r="P3134" s="5" t="str">
        <f>IFERROR(__xludf.DUMMYFUNCTION("TEXTJOIN("" | "",TRUE,IF(OR(D3134="""",E3134="""",I3134="""",J3134="""",H3134=""""),""ফাঁকা ঘর"",""""),IF(AND(C3134&lt;&gt;"""",D3134&lt;&gt;"""",C3134=D3134),""gloss=figurative"",""""),IF(LEN(D3134)&lt;15,""figurative ছোট"",""""),IF(AND(I3134=""Positive"",REGEXMATCH(H3"&amp;"134,""মূর্খ|ভণ্ড|প্রতার|অলস|লোভ|স্বার্থ|অক্ষম|অযোগ্য|বোকা|কৃপণ|হিংস"")),""valence-target অমিল"",""""),IF(COUNTIF($B:$B,B3134)&gt;1,""ডুপ্লিকেট"",""""))"),"")</f>
        <v/>
      </c>
      <c r="Q3134" s="5" t="str">
        <f t="shared" si="1"/>
        <v>২ পরে</v>
      </c>
    </row>
    <row r="3135">
      <c r="A3135" s="4">
        <v>938.0</v>
      </c>
      <c r="B3135" s="2" t="s">
        <v>12459</v>
      </c>
      <c r="C3135" s="2" t="s">
        <v>12460</v>
      </c>
      <c r="D3135" s="2" t="s">
        <v>12461</v>
      </c>
      <c r="E3135" s="2" t="s">
        <v>12462</v>
      </c>
      <c r="F3135" s="2" t="b">
        <v>1</v>
      </c>
      <c r="G3135" s="2" t="b">
        <v>0</v>
      </c>
      <c r="H3135" s="2" t="s">
        <v>12463</v>
      </c>
      <c r="I3135" s="2" t="s">
        <v>32</v>
      </c>
      <c r="J3135" s="2" t="s">
        <v>59</v>
      </c>
      <c r="K3135" s="2" t="s">
        <v>376</v>
      </c>
      <c r="L3135" s="2" t="s">
        <v>391</v>
      </c>
      <c r="M3135" s="2" t="s">
        <v>26</v>
      </c>
      <c r="N3135" s="29"/>
      <c r="O3135" s="29"/>
      <c r="P3135" s="5" t="str">
        <f>IFERROR(__xludf.DUMMYFUNCTION("TEXTJOIN("" | "",TRUE,IF(OR(D3135="""",E3135="""",I3135="""",J3135="""",H3135=""""),""ফাঁকা ঘর"",""""),IF(AND(C3135&lt;&gt;"""",D3135&lt;&gt;"""",C3135=D3135),""gloss=figurative"",""""),IF(LEN(D3135)&lt;15,""figurative ছোট"",""""),IF(AND(I3135=""Positive"",REGEXMATCH(H3"&amp;"135,""মূর্খ|ভণ্ড|প্রতার|অলস|লোভ|স্বার্থ|অক্ষম|অযোগ্য|বোকা|কৃপণ|হিংস"")),""valence-target অমিল"",""""),IF(COUNTIF($B:$B,B3135)&gt;1,""ডুপ্লিকেট"",""""))"),"")</f>
        <v/>
      </c>
      <c r="Q3135" s="5" t="str">
        <f t="shared" si="1"/>
        <v>২ পরে</v>
      </c>
    </row>
    <row r="3136">
      <c r="A3136" s="4">
        <v>939.0</v>
      </c>
      <c r="B3136" s="2" t="s">
        <v>12464</v>
      </c>
      <c r="C3136" s="2" t="s">
        <v>12465</v>
      </c>
      <c r="D3136" s="2" t="s">
        <v>12466</v>
      </c>
      <c r="E3136" s="2" t="s">
        <v>12467</v>
      </c>
      <c r="F3136" s="2" t="b">
        <v>1</v>
      </c>
      <c r="G3136" s="2" t="b">
        <v>0</v>
      </c>
      <c r="H3136" s="2" t="s">
        <v>396</v>
      </c>
      <c r="I3136" s="2" t="s">
        <v>32</v>
      </c>
      <c r="J3136" s="2" t="s">
        <v>123</v>
      </c>
      <c r="K3136" s="2" t="s">
        <v>376</v>
      </c>
      <c r="L3136" s="2" t="s">
        <v>391</v>
      </c>
      <c r="M3136" s="2" t="s">
        <v>26</v>
      </c>
      <c r="N3136" s="29"/>
      <c r="O3136" s="29"/>
      <c r="P3136" s="5" t="str">
        <f>IFERROR(__xludf.DUMMYFUNCTION("TEXTJOIN("" | "",TRUE,IF(OR(D3136="""",E3136="""",I3136="""",J3136="""",H3136=""""),""ফাঁকা ঘর"",""""),IF(AND(C3136&lt;&gt;"""",D3136&lt;&gt;"""",C3136=D3136),""gloss=figurative"",""""),IF(LEN(D3136)&lt;15,""figurative ছোট"",""""),IF(AND(I3136=""Positive"",REGEXMATCH(H3"&amp;"136,""মূর্খ|ভণ্ড|প্রতার|অলস|লোভ|স্বার্থ|অক্ষম|অযোগ্য|বোকা|কৃপণ|হিংস"")),""valence-target অমিল"",""""),IF(COUNTIF($B:$B,B3136)&gt;1,""ডুপ্লিকেট"",""""))"),"")</f>
        <v/>
      </c>
      <c r="Q3136" s="5" t="str">
        <f t="shared" si="1"/>
        <v>২ পরে</v>
      </c>
    </row>
    <row r="3137">
      <c r="A3137" s="4">
        <v>940.0</v>
      </c>
      <c r="B3137" s="2" t="s">
        <v>12468</v>
      </c>
      <c r="C3137" s="2" t="s">
        <v>12469</v>
      </c>
      <c r="D3137" s="2" t="s">
        <v>9956</v>
      </c>
      <c r="E3137" s="2" t="s">
        <v>12470</v>
      </c>
      <c r="F3137" s="2" t="b">
        <v>1</v>
      </c>
      <c r="G3137" s="2" t="b">
        <v>0</v>
      </c>
      <c r="H3137" s="2" t="s">
        <v>308</v>
      </c>
      <c r="I3137" s="2" t="s">
        <v>22</v>
      </c>
      <c r="J3137" s="2" t="s">
        <v>59</v>
      </c>
      <c r="K3137" s="2" t="s">
        <v>376</v>
      </c>
      <c r="L3137" s="2" t="s">
        <v>391</v>
      </c>
      <c r="M3137" s="2" t="s">
        <v>26</v>
      </c>
      <c r="N3137" s="29"/>
      <c r="O3137" s="29"/>
      <c r="P3137" s="5" t="str">
        <f>IFERROR(__xludf.DUMMYFUNCTION("TEXTJOIN("" | "",TRUE,IF(OR(D3137="""",E3137="""",I3137="""",J3137="""",H3137=""""),""ফাঁকা ঘর"",""""),IF(AND(C3137&lt;&gt;"""",D3137&lt;&gt;"""",C3137=D3137),""gloss=figurative"",""""),IF(LEN(D3137)&lt;15,""figurative ছোট"",""""),IF(AND(I3137=""Positive"",REGEXMATCH(H3"&amp;"137,""মূর্খ|ভণ্ড|প্রতার|অলস|লোভ|স্বার্থ|অক্ষম|অযোগ্য|বোকা|কৃপণ|হিংস"")),""valence-target অমিল"",""""),IF(COUNTIF($B:$B,B3137)&gt;1,""ডুপ্লিকেট"",""""))"),"")</f>
        <v/>
      </c>
      <c r="Q3137" s="5" t="str">
        <f t="shared" si="1"/>
        <v>২ পরে</v>
      </c>
    </row>
    <row r="3138">
      <c r="A3138" s="4">
        <v>941.0</v>
      </c>
      <c r="B3138" s="2" t="s">
        <v>12471</v>
      </c>
      <c r="C3138" s="2" t="s">
        <v>12472</v>
      </c>
      <c r="D3138" s="2" t="s">
        <v>12473</v>
      </c>
      <c r="E3138" s="2" t="s">
        <v>12474</v>
      </c>
      <c r="F3138" s="2" t="b">
        <v>1</v>
      </c>
      <c r="G3138" s="2" t="b">
        <v>0</v>
      </c>
      <c r="H3138" s="2" t="s">
        <v>9359</v>
      </c>
      <c r="I3138" s="2" t="s">
        <v>22</v>
      </c>
      <c r="J3138" s="2" t="s">
        <v>123</v>
      </c>
      <c r="K3138" s="2" t="s">
        <v>376</v>
      </c>
      <c r="L3138" s="2" t="s">
        <v>391</v>
      </c>
      <c r="M3138" s="2" t="s">
        <v>26</v>
      </c>
      <c r="N3138" s="29"/>
      <c r="O3138" s="29"/>
      <c r="P3138" s="5" t="str">
        <f>IFERROR(__xludf.DUMMYFUNCTION("TEXTJOIN("" | "",TRUE,IF(OR(D3138="""",E3138="""",I3138="""",J3138="""",H3138=""""),""ফাঁকা ঘর"",""""),IF(AND(C3138&lt;&gt;"""",D3138&lt;&gt;"""",C3138=D3138),""gloss=figurative"",""""),IF(LEN(D3138)&lt;15,""figurative ছোট"",""""),IF(AND(I3138=""Positive"",REGEXMATCH(H3"&amp;"138,""মূর্খ|ভণ্ড|প্রতার|অলস|লোভ|স্বার্থ|অক্ষম|অযোগ্য|বোকা|কৃপণ|হিংস"")),""valence-target অমিল"",""""),IF(COUNTIF($B:$B,B3138)&gt;1,""ডুপ্লিকেট"",""""))"),"")</f>
        <v/>
      </c>
      <c r="Q3138" s="5" t="str">
        <f t="shared" si="1"/>
        <v>২ পরে</v>
      </c>
    </row>
    <row r="3139">
      <c r="A3139" s="4">
        <v>942.0</v>
      </c>
      <c r="B3139" s="2" t="s">
        <v>12475</v>
      </c>
      <c r="C3139" s="2" t="s">
        <v>12475</v>
      </c>
      <c r="D3139" s="2" t="s">
        <v>12476</v>
      </c>
      <c r="E3139" s="2" t="s">
        <v>12477</v>
      </c>
      <c r="F3139" s="2" t="b">
        <v>1</v>
      </c>
      <c r="G3139" s="2" t="b">
        <v>0</v>
      </c>
      <c r="H3139" s="2" t="s">
        <v>12478</v>
      </c>
      <c r="I3139" s="2" t="s">
        <v>32</v>
      </c>
      <c r="J3139" s="2" t="s">
        <v>162</v>
      </c>
      <c r="K3139" s="2" t="s">
        <v>376</v>
      </c>
      <c r="L3139" s="2" t="s">
        <v>391</v>
      </c>
      <c r="M3139" s="2" t="s">
        <v>26</v>
      </c>
      <c r="N3139" s="29"/>
      <c r="O3139" s="29"/>
      <c r="P3139" s="5" t="str">
        <f>IFERROR(__xludf.DUMMYFUNCTION("TEXTJOIN("" | "",TRUE,IF(OR(D3139="""",E3139="""",I3139="""",J3139="""",H3139=""""),""ফাঁকা ঘর"",""""),IF(AND(C3139&lt;&gt;"""",D3139&lt;&gt;"""",C3139=D3139),""gloss=figurative"",""""),IF(LEN(D3139)&lt;15,""figurative ছোট"",""""),IF(AND(I3139=""Positive"",REGEXMATCH(H3"&amp;"139,""মূর্খ|ভণ্ড|প্রতার|অলস|লোভ|স্বার্থ|অক্ষম|অযোগ্য|বোকা|কৃপণ|হিংস"")),""valence-target অমিল"",""""),IF(COUNTIF($B:$B,B3139)&gt;1,""ডুপ্লিকেট"",""""))"),"")</f>
        <v/>
      </c>
      <c r="Q3139" s="5" t="str">
        <f t="shared" si="1"/>
        <v>২ পরে</v>
      </c>
    </row>
    <row r="3140">
      <c r="A3140" s="4">
        <v>943.0</v>
      </c>
      <c r="B3140" s="2" t="s">
        <v>12479</v>
      </c>
      <c r="C3140" s="2" t="s">
        <v>12480</v>
      </c>
      <c r="D3140" s="2" t="s">
        <v>12481</v>
      </c>
      <c r="E3140" s="2" t="s">
        <v>12482</v>
      </c>
      <c r="F3140" s="2" t="b">
        <v>1</v>
      </c>
      <c r="G3140" s="2" t="b">
        <v>1</v>
      </c>
      <c r="H3140" s="2" t="s">
        <v>11796</v>
      </c>
      <c r="I3140" s="2" t="s">
        <v>32</v>
      </c>
      <c r="J3140" s="2" t="s">
        <v>9301</v>
      </c>
      <c r="K3140" s="2" t="s">
        <v>376</v>
      </c>
      <c r="L3140" s="2" t="s">
        <v>391</v>
      </c>
      <c r="M3140" s="2" t="s">
        <v>26</v>
      </c>
      <c r="N3140" s="29"/>
      <c r="O3140" s="29"/>
      <c r="P3140" s="5" t="str">
        <f>IFERROR(__xludf.DUMMYFUNCTION("TEXTJOIN("" | "",TRUE,IF(OR(D3140="""",E3140="""",I3140="""",J3140="""",H3140=""""),""ফাঁকা ঘর"",""""),IF(AND(C3140&lt;&gt;"""",D3140&lt;&gt;"""",C3140=D3140),""gloss=figurative"",""""),IF(LEN(D3140)&lt;15,""figurative ছোট"",""""),IF(AND(I3140=""Positive"",REGEXMATCH(H3"&amp;"140,""মূর্খ|ভণ্ড|প্রতার|অলস|লোভ|স্বার্থ|অক্ষম|অযোগ্য|বোকা|কৃপণ|হিংস"")),""valence-target অমিল"",""""),IF(COUNTIF($B:$B,B3140)&gt;1,""ডুপ্লিকেট"",""""))"),"")</f>
        <v/>
      </c>
      <c r="Q3140" s="5" t="str">
        <f t="shared" si="1"/>
        <v>২ পরে</v>
      </c>
    </row>
    <row r="3141">
      <c r="A3141" s="4">
        <v>944.0</v>
      </c>
      <c r="B3141" s="2" t="s">
        <v>12483</v>
      </c>
      <c r="C3141" s="2" t="s">
        <v>12484</v>
      </c>
      <c r="D3141" s="2" t="s">
        <v>12485</v>
      </c>
      <c r="E3141" s="2" t="s">
        <v>12486</v>
      </c>
      <c r="F3141" s="2" t="b">
        <v>1</v>
      </c>
      <c r="G3141" s="2" t="b">
        <v>0</v>
      </c>
      <c r="H3141" s="2" t="s">
        <v>10695</v>
      </c>
      <c r="I3141" s="2" t="s">
        <v>22</v>
      </c>
      <c r="J3141" s="2" t="s">
        <v>59</v>
      </c>
      <c r="K3141" s="2" t="s">
        <v>376</v>
      </c>
      <c r="L3141" s="2" t="s">
        <v>391</v>
      </c>
      <c r="M3141" s="2" t="s">
        <v>26</v>
      </c>
      <c r="N3141" s="29"/>
      <c r="O3141" s="29"/>
      <c r="P3141" s="5" t="str">
        <f>IFERROR(__xludf.DUMMYFUNCTION("TEXTJOIN("" | "",TRUE,IF(OR(D3141="""",E3141="""",I3141="""",J3141="""",H3141=""""),""ফাঁকা ঘর"",""""),IF(AND(C3141&lt;&gt;"""",D3141&lt;&gt;"""",C3141=D3141),""gloss=figurative"",""""),IF(LEN(D3141)&lt;15,""figurative ছোট"",""""),IF(AND(I3141=""Positive"",REGEXMATCH(H3"&amp;"141,""মূর্খ|ভণ্ড|প্রতার|অলস|লোভ|স্বার্থ|অক্ষম|অযোগ্য|বোকা|কৃপণ|হিংস"")),""valence-target অমিল"",""""),IF(COUNTIF($B:$B,B3141)&gt;1,""ডুপ্লিকেট"",""""))"),"")</f>
        <v/>
      </c>
      <c r="Q3141" s="5" t="str">
        <f t="shared" si="1"/>
        <v>২ পরে</v>
      </c>
    </row>
    <row r="3142">
      <c r="A3142" s="4">
        <v>945.0</v>
      </c>
      <c r="B3142" s="2" t="s">
        <v>12487</v>
      </c>
      <c r="C3142" s="2" t="s">
        <v>12488</v>
      </c>
      <c r="D3142" s="2" t="s">
        <v>12489</v>
      </c>
      <c r="E3142" s="2" t="s">
        <v>12490</v>
      </c>
      <c r="F3142" s="2" t="b">
        <v>1</v>
      </c>
      <c r="G3142" s="2" t="b">
        <v>0</v>
      </c>
      <c r="H3142" s="2" t="s">
        <v>260</v>
      </c>
      <c r="I3142" s="2" t="s">
        <v>49</v>
      </c>
      <c r="J3142" s="2" t="s">
        <v>11670</v>
      </c>
      <c r="K3142" s="2" t="s">
        <v>376</v>
      </c>
      <c r="L3142" s="2" t="s">
        <v>391</v>
      </c>
      <c r="M3142" s="2" t="s">
        <v>26</v>
      </c>
      <c r="N3142" s="29"/>
      <c r="O3142" s="29"/>
      <c r="P3142" s="5" t="str">
        <f>IFERROR(__xludf.DUMMYFUNCTION("TEXTJOIN("" | "",TRUE,IF(OR(D3142="""",E3142="""",I3142="""",J3142="""",H3142=""""),""ফাঁকা ঘর"",""""),IF(AND(C3142&lt;&gt;"""",D3142&lt;&gt;"""",C3142=D3142),""gloss=figurative"",""""),IF(LEN(D3142)&lt;15,""figurative ছোট"",""""),IF(AND(I3142=""Positive"",REGEXMATCH(H3"&amp;"142,""মূর্খ|ভণ্ড|প্রতার|অলস|লোভ|স্বার্থ|অক্ষম|অযোগ্য|বোকা|কৃপণ|হিংস"")),""valence-target অমিল"",""""),IF(COUNTIF($B:$B,B3142)&gt;1,""ডুপ্লিকেট"",""""))"),"")</f>
        <v/>
      </c>
      <c r="Q3142" s="5" t="str">
        <f t="shared" si="1"/>
        <v>২ পরে</v>
      </c>
    </row>
    <row r="3143">
      <c r="A3143" s="4">
        <v>946.0</v>
      </c>
      <c r="B3143" s="2" t="s">
        <v>12491</v>
      </c>
      <c r="C3143" s="2" t="s">
        <v>12492</v>
      </c>
      <c r="D3143" s="2" t="s">
        <v>12493</v>
      </c>
      <c r="E3143" s="2" t="s">
        <v>12494</v>
      </c>
      <c r="F3143" s="2" t="b">
        <v>1</v>
      </c>
      <c r="G3143" s="2" t="b">
        <v>0</v>
      </c>
      <c r="H3143" s="2" t="s">
        <v>9290</v>
      </c>
      <c r="I3143" s="2" t="s">
        <v>32</v>
      </c>
      <c r="J3143" s="2" t="s">
        <v>669</v>
      </c>
      <c r="K3143" s="2" t="s">
        <v>376</v>
      </c>
      <c r="L3143" s="2" t="s">
        <v>391</v>
      </c>
      <c r="M3143" s="2" t="s">
        <v>26</v>
      </c>
      <c r="N3143" s="29"/>
      <c r="O3143" s="29"/>
      <c r="P3143" s="5" t="str">
        <f>IFERROR(__xludf.DUMMYFUNCTION("TEXTJOIN("" | "",TRUE,IF(OR(D3143="""",E3143="""",I3143="""",J3143="""",H3143=""""),""ফাঁকা ঘর"",""""),IF(AND(C3143&lt;&gt;"""",D3143&lt;&gt;"""",C3143=D3143),""gloss=figurative"",""""),IF(LEN(D3143)&lt;15,""figurative ছোট"",""""),IF(AND(I3143=""Positive"",REGEXMATCH(H3"&amp;"143,""মূর্খ|ভণ্ড|প্রতার|অলস|লোভ|স্বার্থ|অক্ষম|অযোগ্য|বোকা|কৃপণ|হিংস"")),""valence-target অমিল"",""""),IF(COUNTIF($B:$B,B3143)&gt;1,""ডুপ্লিকেট"",""""))"),"")</f>
        <v/>
      </c>
      <c r="Q3143" s="5" t="str">
        <f t="shared" si="1"/>
        <v>২ পরে</v>
      </c>
    </row>
    <row r="3144">
      <c r="A3144" s="4">
        <v>947.0</v>
      </c>
      <c r="B3144" s="2" t="s">
        <v>12495</v>
      </c>
      <c r="C3144" s="2" t="s">
        <v>12496</v>
      </c>
      <c r="D3144" s="2" t="s">
        <v>12497</v>
      </c>
      <c r="E3144" s="2" t="s">
        <v>12498</v>
      </c>
      <c r="F3144" s="2" t="b">
        <v>1</v>
      </c>
      <c r="G3144" s="2" t="b">
        <v>0</v>
      </c>
      <c r="H3144" s="2" t="s">
        <v>12499</v>
      </c>
      <c r="I3144" s="2" t="s">
        <v>22</v>
      </c>
      <c r="J3144" s="2" t="s">
        <v>2550</v>
      </c>
      <c r="K3144" s="2" t="s">
        <v>376</v>
      </c>
      <c r="L3144" s="2" t="s">
        <v>391</v>
      </c>
      <c r="M3144" s="2" t="s">
        <v>26</v>
      </c>
      <c r="N3144" s="29"/>
      <c r="O3144" s="29"/>
      <c r="P3144" s="5" t="str">
        <f>IFERROR(__xludf.DUMMYFUNCTION("TEXTJOIN("" | "",TRUE,IF(OR(D3144="""",E3144="""",I3144="""",J3144="""",H3144=""""),""ফাঁকা ঘর"",""""),IF(AND(C3144&lt;&gt;"""",D3144&lt;&gt;"""",C3144=D3144),""gloss=figurative"",""""),IF(LEN(D3144)&lt;15,""figurative ছোট"",""""),IF(AND(I3144=""Positive"",REGEXMATCH(H3"&amp;"144,""মূর্খ|ভণ্ড|প্রতার|অলস|লোভ|স্বার্থ|অক্ষম|অযোগ্য|বোকা|কৃপণ|হিংস"")),""valence-target অমিল"",""""),IF(COUNTIF($B:$B,B3144)&gt;1,""ডুপ্লিকেট"",""""))"),"")</f>
        <v/>
      </c>
      <c r="Q3144" s="5" t="str">
        <f t="shared" si="1"/>
        <v>২ পরে</v>
      </c>
    </row>
    <row r="3145">
      <c r="A3145" s="4">
        <v>948.0</v>
      </c>
      <c r="B3145" s="2" t="s">
        <v>12500</v>
      </c>
      <c r="C3145" s="2" t="s">
        <v>12501</v>
      </c>
      <c r="D3145" s="2" t="s">
        <v>12502</v>
      </c>
      <c r="E3145" s="2" t="s">
        <v>12503</v>
      </c>
      <c r="F3145" s="2" t="b">
        <v>1</v>
      </c>
      <c r="G3145" s="2" t="b">
        <v>1</v>
      </c>
      <c r="H3145" s="2" t="s">
        <v>12504</v>
      </c>
      <c r="I3145" s="2" t="s">
        <v>22</v>
      </c>
      <c r="J3145" s="2" t="s">
        <v>9943</v>
      </c>
      <c r="K3145" s="2" t="s">
        <v>376</v>
      </c>
      <c r="L3145" s="2" t="s">
        <v>391</v>
      </c>
      <c r="M3145" s="2" t="s">
        <v>26</v>
      </c>
      <c r="N3145" s="29"/>
      <c r="O3145" s="29"/>
      <c r="P3145" s="5" t="str">
        <f>IFERROR(__xludf.DUMMYFUNCTION("TEXTJOIN("" | "",TRUE,IF(OR(D3145="""",E3145="""",I3145="""",J3145="""",H3145=""""),""ফাঁকা ঘর"",""""),IF(AND(C3145&lt;&gt;"""",D3145&lt;&gt;"""",C3145=D3145),""gloss=figurative"",""""),IF(LEN(D3145)&lt;15,""figurative ছোট"",""""),IF(AND(I3145=""Positive"",REGEXMATCH(H3"&amp;"145,""মূর্খ|ভণ্ড|প্রতার|অলস|লোভ|স্বার্থ|অক্ষম|অযোগ্য|বোকা|কৃপণ|হিংস"")),""valence-target অমিল"",""""),IF(COUNTIF($B:$B,B3145)&gt;1,""ডুপ্লিকেট"",""""))"),"")</f>
        <v/>
      </c>
      <c r="Q3145" s="5" t="str">
        <f t="shared" si="1"/>
        <v>২ পরে</v>
      </c>
    </row>
    <row r="3146">
      <c r="A3146" s="4">
        <v>949.0</v>
      </c>
      <c r="B3146" s="2" t="s">
        <v>12505</v>
      </c>
      <c r="C3146" s="2" t="s">
        <v>12505</v>
      </c>
      <c r="D3146" s="2" t="s">
        <v>12506</v>
      </c>
      <c r="E3146" s="2" t="s">
        <v>12507</v>
      </c>
      <c r="F3146" s="2" t="b">
        <v>1</v>
      </c>
      <c r="G3146" s="2" t="b">
        <v>1</v>
      </c>
      <c r="H3146" s="2" t="s">
        <v>11796</v>
      </c>
      <c r="I3146" s="2" t="s">
        <v>32</v>
      </c>
      <c r="J3146" s="2" t="s">
        <v>9301</v>
      </c>
      <c r="K3146" s="2" t="s">
        <v>376</v>
      </c>
      <c r="L3146" s="2" t="s">
        <v>391</v>
      </c>
      <c r="M3146" s="2" t="s">
        <v>26</v>
      </c>
      <c r="N3146" s="29"/>
      <c r="O3146" s="29"/>
      <c r="P3146" s="5" t="str">
        <f>IFERROR(__xludf.DUMMYFUNCTION("TEXTJOIN("" | "",TRUE,IF(OR(D3146="""",E3146="""",I3146="""",J3146="""",H3146=""""),""ফাঁকা ঘর"",""""),IF(AND(C3146&lt;&gt;"""",D3146&lt;&gt;"""",C3146=D3146),""gloss=figurative"",""""),IF(LEN(D3146)&lt;15,""figurative ছোট"",""""),IF(AND(I3146=""Positive"",REGEXMATCH(H3"&amp;"146,""মূর্খ|ভণ্ড|প্রতার|অলস|লোভ|স্বার্থ|অক্ষম|অযোগ্য|বোকা|কৃপণ|হিংস"")),""valence-target অমিল"",""""),IF(COUNTIF($B:$B,B3146)&gt;1,""ডুপ্লিকেট"",""""))"),"")</f>
        <v/>
      </c>
      <c r="Q3146" s="5" t="str">
        <f t="shared" si="1"/>
        <v>২ পরে</v>
      </c>
    </row>
    <row r="3147">
      <c r="A3147" s="4">
        <v>950.0</v>
      </c>
      <c r="B3147" s="2" t="s">
        <v>12508</v>
      </c>
      <c r="C3147" s="2" t="s">
        <v>12509</v>
      </c>
      <c r="D3147" s="2" t="s">
        <v>12510</v>
      </c>
      <c r="E3147" s="2" t="s">
        <v>12511</v>
      </c>
      <c r="F3147" s="2" t="b">
        <v>1</v>
      </c>
      <c r="G3147" s="2" t="b">
        <v>0</v>
      </c>
      <c r="H3147" s="2" t="s">
        <v>12512</v>
      </c>
      <c r="I3147" s="2" t="s">
        <v>22</v>
      </c>
      <c r="J3147" s="2" t="s">
        <v>142</v>
      </c>
      <c r="K3147" s="2" t="s">
        <v>376</v>
      </c>
      <c r="L3147" s="2" t="s">
        <v>12513</v>
      </c>
      <c r="M3147" s="2" t="s">
        <v>26</v>
      </c>
      <c r="N3147" s="29"/>
      <c r="O3147" s="29"/>
      <c r="P3147" s="5" t="str">
        <f>IFERROR(__xludf.DUMMYFUNCTION("TEXTJOIN("" | "",TRUE,IF(OR(D3147="""",E3147="""",I3147="""",J3147="""",H3147=""""),""ফাঁকা ঘর"",""""),IF(AND(C3147&lt;&gt;"""",D3147&lt;&gt;"""",C3147=D3147),""gloss=figurative"",""""),IF(LEN(D3147)&lt;15,""figurative ছোট"",""""),IF(AND(I3147=""Positive"",REGEXMATCH(H3"&amp;"147,""মূর্খ|ভণ্ড|প্রতার|অলস|লোভ|স্বার্থ|অক্ষম|অযোগ্য|বোকা|কৃপণ|হিংস"")),""valence-target অমিল"",""""),IF(COUNTIF($B:$B,B3147)&gt;1,""ডুপ্লিকেট"",""""))"),"")</f>
        <v/>
      </c>
      <c r="Q3147" s="5" t="str">
        <f t="shared" si="1"/>
        <v>২ পরে</v>
      </c>
    </row>
    <row r="3148">
      <c r="A3148" s="4">
        <v>951.0</v>
      </c>
      <c r="B3148" s="2" t="s">
        <v>12514</v>
      </c>
      <c r="C3148" s="2" t="s">
        <v>12515</v>
      </c>
      <c r="D3148" s="2" t="s">
        <v>12516</v>
      </c>
      <c r="E3148" s="2" t="s">
        <v>12517</v>
      </c>
      <c r="F3148" s="2" t="b">
        <v>1</v>
      </c>
      <c r="G3148" s="2" t="b">
        <v>1</v>
      </c>
      <c r="H3148" s="2" t="s">
        <v>12518</v>
      </c>
      <c r="I3148" s="2" t="s">
        <v>49</v>
      </c>
      <c r="J3148" s="2" t="s">
        <v>59</v>
      </c>
      <c r="K3148" s="2" t="s">
        <v>376</v>
      </c>
      <c r="L3148" s="2" t="s">
        <v>391</v>
      </c>
      <c r="M3148" s="2" t="s">
        <v>26</v>
      </c>
      <c r="N3148" s="29"/>
      <c r="O3148" s="29"/>
      <c r="P3148" s="5" t="str">
        <f>IFERROR(__xludf.DUMMYFUNCTION("TEXTJOIN("" | "",TRUE,IF(OR(D3148="""",E3148="""",I3148="""",J3148="""",H3148=""""),""ফাঁকা ঘর"",""""),IF(AND(C3148&lt;&gt;"""",D3148&lt;&gt;"""",C3148=D3148),""gloss=figurative"",""""),IF(LEN(D3148)&lt;15,""figurative ছোট"",""""),IF(AND(I3148=""Positive"",REGEXMATCH(H3"&amp;"148,""মূর্খ|ভণ্ড|প্রতার|অলস|লোভ|স্বার্থ|অক্ষম|অযোগ্য|বোকা|কৃপণ|হিংস"")),""valence-target অমিল"",""""),IF(COUNTIF($B:$B,B3148)&gt;1,""ডুপ্লিকেট"",""""))"),"")</f>
        <v/>
      </c>
      <c r="Q3148" s="5" t="str">
        <f t="shared" si="1"/>
        <v>২ পরে</v>
      </c>
    </row>
    <row r="3149">
      <c r="A3149" s="4">
        <v>952.0</v>
      </c>
      <c r="B3149" s="2" t="s">
        <v>12519</v>
      </c>
      <c r="C3149" s="2" t="s">
        <v>12520</v>
      </c>
      <c r="D3149" s="2" t="s">
        <v>12521</v>
      </c>
      <c r="E3149" s="2" t="s">
        <v>12522</v>
      </c>
      <c r="F3149" s="2" t="b">
        <v>1</v>
      </c>
      <c r="G3149" s="2" t="b">
        <v>0</v>
      </c>
      <c r="H3149" s="2" t="s">
        <v>9135</v>
      </c>
      <c r="I3149" s="2" t="s">
        <v>32</v>
      </c>
      <c r="J3149" s="2" t="s">
        <v>2386</v>
      </c>
      <c r="K3149" s="2" t="s">
        <v>376</v>
      </c>
      <c r="L3149" s="2" t="s">
        <v>391</v>
      </c>
      <c r="M3149" s="2" t="s">
        <v>26</v>
      </c>
      <c r="N3149" s="29"/>
      <c r="O3149" s="29"/>
      <c r="P3149" s="5" t="str">
        <f>IFERROR(__xludf.DUMMYFUNCTION("TEXTJOIN("" | "",TRUE,IF(OR(D3149="""",E3149="""",I3149="""",J3149="""",H3149=""""),""ফাঁকা ঘর"",""""),IF(AND(C3149&lt;&gt;"""",D3149&lt;&gt;"""",C3149=D3149),""gloss=figurative"",""""),IF(LEN(D3149)&lt;15,""figurative ছোট"",""""),IF(AND(I3149=""Positive"",REGEXMATCH(H3"&amp;"149,""মূর্খ|ভণ্ড|প্রতার|অলস|লোভ|স্বার্থ|অক্ষম|অযোগ্য|বোকা|কৃপণ|হিংস"")),""valence-target অমিল"",""""),IF(COUNTIF($B:$B,B3149)&gt;1,""ডুপ্লিকেট"",""""))"),"")</f>
        <v/>
      </c>
      <c r="Q3149" s="5" t="str">
        <f t="shared" si="1"/>
        <v>২ পরে</v>
      </c>
    </row>
    <row r="3150">
      <c r="A3150" s="4">
        <v>953.0</v>
      </c>
      <c r="B3150" s="2" t="s">
        <v>12523</v>
      </c>
      <c r="C3150" s="2" t="s">
        <v>12524</v>
      </c>
      <c r="D3150" s="2" t="s">
        <v>12525</v>
      </c>
      <c r="E3150" s="2" t="s">
        <v>12526</v>
      </c>
      <c r="F3150" s="2" t="b">
        <v>1</v>
      </c>
      <c r="G3150" s="2" t="b">
        <v>0</v>
      </c>
      <c r="H3150" s="2" t="s">
        <v>12527</v>
      </c>
      <c r="I3150" s="2" t="s">
        <v>22</v>
      </c>
      <c r="J3150" s="2" t="s">
        <v>1008</v>
      </c>
      <c r="K3150" s="2" t="s">
        <v>376</v>
      </c>
      <c r="L3150" s="2" t="s">
        <v>391</v>
      </c>
      <c r="M3150" s="2" t="s">
        <v>26</v>
      </c>
      <c r="N3150" s="29"/>
      <c r="O3150" s="29"/>
      <c r="P3150" s="5" t="str">
        <f>IFERROR(__xludf.DUMMYFUNCTION("TEXTJOIN("" | "",TRUE,IF(OR(D3150="""",E3150="""",I3150="""",J3150="""",H3150=""""),""ফাঁকা ঘর"",""""),IF(AND(C3150&lt;&gt;"""",D3150&lt;&gt;"""",C3150=D3150),""gloss=figurative"",""""),IF(LEN(D3150)&lt;15,""figurative ছোট"",""""),IF(AND(I3150=""Positive"",REGEXMATCH(H3"&amp;"150,""মূর্খ|ভণ্ড|প্রতার|অলস|লোভ|স্বার্থ|অক্ষম|অযোগ্য|বোকা|কৃপণ|হিংস"")),""valence-target অমিল"",""""),IF(COUNTIF($B:$B,B3150)&gt;1,""ডুপ্লিকেট"",""""))"),"")</f>
        <v/>
      </c>
      <c r="Q3150" s="5" t="str">
        <f t="shared" si="1"/>
        <v>২ পরে</v>
      </c>
    </row>
    <row r="3151">
      <c r="A3151" s="4">
        <v>954.0</v>
      </c>
      <c r="B3151" s="2" t="s">
        <v>12528</v>
      </c>
      <c r="C3151" s="2" t="s">
        <v>12529</v>
      </c>
      <c r="D3151" s="2" t="s">
        <v>12530</v>
      </c>
      <c r="E3151" s="2" t="s">
        <v>12531</v>
      </c>
      <c r="F3151" s="2" t="b">
        <v>1</v>
      </c>
      <c r="G3151" s="2" t="b">
        <v>0</v>
      </c>
      <c r="H3151" s="2" t="s">
        <v>10389</v>
      </c>
      <c r="I3151" s="2" t="s">
        <v>49</v>
      </c>
      <c r="J3151" s="2" t="s">
        <v>565</v>
      </c>
      <c r="K3151" s="2" t="s">
        <v>376</v>
      </c>
      <c r="L3151" s="2" t="s">
        <v>391</v>
      </c>
      <c r="M3151" s="2" t="s">
        <v>26</v>
      </c>
      <c r="N3151" s="29"/>
      <c r="O3151" s="29"/>
      <c r="P3151" s="5" t="str">
        <f>IFERROR(__xludf.DUMMYFUNCTION("TEXTJOIN("" | "",TRUE,IF(OR(D3151="""",E3151="""",I3151="""",J3151="""",H3151=""""),""ফাঁকা ঘর"",""""),IF(AND(C3151&lt;&gt;"""",D3151&lt;&gt;"""",C3151=D3151),""gloss=figurative"",""""),IF(LEN(D3151)&lt;15,""figurative ছোট"",""""),IF(AND(I3151=""Positive"",REGEXMATCH(H3"&amp;"151,""মূর্খ|ভণ্ড|প্রতার|অলস|লোভ|স্বার্থ|অক্ষম|অযোগ্য|বোকা|কৃপণ|হিংস"")),""valence-target অমিল"",""""),IF(COUNTIF($B:$B,B3151)&gt;1,""ডুপ্লিকেট"",""""))"),"")</f>
        <v/>
      </c>
      <c r="Q3151" s="5" t="str">
        <f t="shared" si="1"/>
        <v>২ পরে</v>
      </c>
    </row>
    <row r="3152">
      <c r="A3152" s="4">
        <v>955.0</v>
      </c>
      <c r="B3152" s="2" t="s">
        <v>12532</v>
      </c>
      <c r="C3152" s="2" t="s">
        <v>12533</v>
      </c>
      <c r="D3152" s="2" t="s">
        <v>12534</v>
      </c>
      <c r="E3152" s="2" t="s">
        <v>12535</v>
      </c>
      <c r="F3152" s="2" t="b">
        <v>1</v>
      </c>
      <c r="G3152" s="2" t="b">
        <v>0</v>
      </c>
      <c r="H3152" s="2" t="s">
        <v>260</v>
      </c>
      <c r="I3152" s="2" t="s">
        <v>49</v>
      </c>
      <c r="J3152" s="2" t="s">
        <v>162</v>
      </c>
      <c r="K3152" s="2" t="s">
        <v>376</v>
      </c>
      <c r="L3152" s="2" t="s">
        <v>391</v>
      </c>
      <c r="M3152" s="2" t="s">
        <v>26</v>
      </c>
      <c r="N3152" s="29"/>
      <c r="O3152" s="29"/>
      <c r="P3152" s="5" t="str">
        <f>IFERROR(__xludf.DUMMYFUNCTION("TEXTJOIN("" | "",TRUE,IF(OR(D3152="""",E3152="""",I3152="""",J3152="""",H3152=""""),""ফাঁকা ঘর"",""""),IF(AND(C3152&lt;&gt;"""",D3152&lt;&gt;"""",C3152=D3152),""gloss=figurative"",""""),IF(LEN(D3152)&lt;15,""figurative ছোট"",""""),IF(AND(I3152=""Positive"",REGEXMATCH(H3"&amp;"152,""মূর্খ|ভণ্ড|প্রতার|অলস|লোভ|স্বার্থ|অক্ষম|অযোগ্য|বোকা|কৃপণ|হিংস"")),""valence-target অমিল"",""""),IF(COUNTIF($B:$B,B3152)&gt;1,""ডুপ্লিকেট"",""""))"),"")</f>
        <v/>
      </c>
      <c r="Q3152" s="5" t="str">
        <f t="shared" si="1"/>
        <v>২ পরে</v>
      </c>
    </row>
    <row r="3153">
      <c r="A3153" s="4">
        <v>957.0</v>
      </c>
      <c r="B3153" s="2" t="s">
        <v>12536</v>
      </c>
      <c r="C3153" s="2" t="s">
        <v>12537</v>
      </c>
      <c r="D3153" s="2" t="s">
        <v>12538</v>
      </c>
      <c r="E3153" s="2" t="s">
        <v>12539</v>
      </c>
      <c r="F3153" s="2" t="b">
        <v>1</v>
      </c>
      <c r="G3153" s="2" t="b">
        <v>0</v>
      </c>
      <c r="H3153" s="2" t="s">
        <v>12393</v>
      </c>
      <c r="I3153" s="2" t="s">
        <v>22</v>
      </c>
      <c r="J3153" s="2" t="s">
        <v>59</v>
      </c>
      <c r="K3153" s="2" t="s">
        <v>376</v>
      </c>
      <c r="L3153" s="2" t="s">
        <v>391</v>
      </c>
      <c r="M3153" s="2" t="s">
        <v>26</v>
      </c>
      <c r="N3153" s="29"/>
      <c r="O3153" s="29"/>
      <c r="P3153" s="5" t="str">
        <f>IFERROR(__xludf.DUMMYFUNCTION("TEXTJOIN("" | "",TRUE,IF(OR(D3153="""",E3153="""",I3153="""",J3153="""",H3153=""""),""ফাঁকা ঘর"",""""),IF(AND(C3153&lt;&gt;"""",D3153&lt;&gt;"""",C3153=D3153),""gloss=figurative"",""""),IF(LEN(D3153)&lt;15,""figurative ছোট"",""""),IF(AND(I3153=""Positive"",REGEXMATCH(H3"&amp;"153,""মূর্খ|ভণ্ড|প্রতার|অলস|লোভ|স্বার্থ|অক্ষম|অযোগ্য|বোকা|কৃপণ|হিংস"")),""valence-target অমিল"",""""),IF(COUNTIF($B:$B,B3153)&gt;1,""ডুপ্লিকেট"",""""))"),"")</f>
        <v/>
      </c>
      <c r="Q3153" s="5" t="str">
        <f t="shared" si="1"/>
        <v>২ পরে</v>
      </c>
    </row>
    <row r="3154">
      <c r="A3154" s="4">
        <v>958.0</v>
      </c>
      <c r="B3154" s="2" t="s">
        <v>12540</v>
      </c>
      <c r="C3154" s="2" t="s">
        <v>12541</v>
      </c>
      <c r="D3154" s="2" t="s">
        <v>12542</v>
      </c>
      <c r="E3154" s="2" t="s">
        <v>12543</v>
      </c>
      <c r="F3154" s="2" t="b">
        <v>1</v>
      </c>
      <c r="G3154" s="2" t="b">
        <v>0</v>
      </c>
      <c r="H3154" s="2" t="s">
        <v>9452</v>
      </c>
      <c r="I3154" s="2" t="s">
        <v>22</v>
      </c>
      <c r="J3154" s="2" t="s">
        <v>197</v>
      </c>
      <c r="K3154" s="2" t="s">
        <v>376</v>
      </c>
      <c r="L3154" s="2" t="s">
        <v>391</v>
      </c>
      <c r="M3154" s="2" t="s">
        <v>26</v>
      </c>
      <c r="N3154" s="29"/>
      <c r="O3154" s="29"/>
      <c r="P3154" s="5" t="str">
        <f>IFERROR(__xludf.DUMMYFUNCTION("TEXTJOIN("" | "",TRUE,IF(OR(D3154="""",E3154="""",I3154="""",J3154="""",H3154=""""),""ফাঁকা ঘর"",""""),IF(AND(C3154&lt;&gt;"""",D3154&lt;&gt;"""",C3154=D3154),""gloss=figurative"",""""),IF(LEN(D3154)&lt;15,""figurative ছোট"",""""),IF(AND(I3154=""Positive"",REGEXMATCH(H3"&amp;"154,""মূর্খ|ভণ্ড|প্রতার|অলস|লোভ|স্বার্থ|অক্ষম|অযোগ্য|বোকা|কৃপণ|হিংস"")),""valence-target অমিল"",""""),IF(COUNTIF($B:$B,B3154)&gt;1,""ডুপ্লিকেট"",""""))"),"")</f>
        <v/>
      </c>
      <c r="Q3154" s="5" t="str">
        <f t="shared" si="1"/>
        <v>২ পরে</v>
      </c>
    </row>
    <row r="3155">
      <c r="A3155" s="4">
        <v>959.0</v>
      </c>
      <c r="B3155" s="2" t="s">
        <v>12544</v>
      </c>
      <c r="C3155" s="2" t="s">
        <v>12545</v>
      </c>
      <c r="D3155" s="2" t="s">
        <v>12546</v>
      </c>
      <c r="E3155" s="2" t="s">
        <v>12547</v>
      </c>
      <c r="F3155" s="2" t="b">
        <v>1</v>
      </c>
      <c r="G3155" s="2" t="b">
        <v>1</v>
      </c>
      <c r="H3155" s="2" t="s">
        <v>12548</v>
      </c>
      <c r="I3155" s="2" t="s">
        <v>22</v>
      </c>
      <c r="J3155" s="2" t="s">
        <v>9301</v>
      </c>
      <c r="K3155" s="2" t="s">
        <v>376</v>
      </c>
      <c r="L3155" s="2" t="s">
        <v>391</v>
      </c>
      <c r="M3155" s="2" t="s">
        <v>26</v>
      </c>
      <c r="N3155" s="29"/>
      <c r="O3155" s="29"/>
      <c r="P3155" s="5" t="str">
        <f>IFERROR(__xludf.DUMMYFUNCTION("TEXTJOIN("" | "",TRUE,IF(OR(D3155="""",E3155="""",I3155="""",J3155="""",H3155=""""),""ফাঁকা ঘর"",""""),IF(AND(C3155&lt;&gt;"""",D3155&lt;&gt;"""",C3155=D3155),""gloss=figurative"",""""),IF(LEN(D3155)&lt;15,""figurative ছোট"",""""),IF(AND(I3155=""Positive"",REGEXMATCH(H3"&amp;"155,""মূর্খ|ভণ্ড|প্রতার|অলস|লোভ|স্বার্থ|অক্ষম|অযোগ্য|বোকা|কৃপণ|হিংস"")),""valence-target অমিল"",""""),IF(COUNTIF($B:$B,B3155)&gt;1,""ডুপ্লিকেট"",""""))"),"")</f>
        <v/>
      </c>
      <c r="Q3155" s="5" t="str">
        <f t="shared" si="1"/>
        <v>২ পরে</v>
      </c>
    </row>
    <row r="3156">
      <c r="A3156" s="4">
        <v>960.0</v>
      </c>
      <c r="B3156" s="2" t="s">
        <v>12549</v>
      </c>
      <c r="C3156" s="2" t="s">
        <v>12550</v>
      </c>
      <c r="D3156" s="2" t="s">
        <v>12551</v>
      </c>
      <c r="E3156" s="2" t="s">
        <v>12552</v>
      </c>
      <c r="F3156" s="2" t="b">
        <v>1</v>
      </c>
      <c r="G3156" s="2" t="b">
        <v>0</v>
      </c>
      <c r="H3156" s="2" t="s">
        <v>9452</v>
      </c>
      <c r="I3156" s="2" t="s">
        <v>22</v>
      </c>
      <c r="J3156" s="2" t="s">
        <v>197</v>
      </c>
      <c r="K3156" s="2" t="s">
        <v>376</v>
      </c>
      <c r="L3156" s="2" t="s">
        <v>391</v>
      </c>
      <c r="M3156" s="2" t="s">
        <v>26</v>
      </c>
      <c r="N3156" s="29"/>
      <c r="O3156" s="29"/>
      <c r="P3156" s="5" t="str">
        <f>IFERROR(__xludf.DUMMYFUNCTION("TEXTJOIN("" | "",TRUE,IF(OR(D3156="""",E3156="""",I3156="""",J3156="""",H3156=""""),""ফাঁকা ঘর"",""""),IF(AND(C3156&lt;&gt;"""",D3156&lt;&gt;"""",C3156=D3156),""gloss=figurative"",""""),IF(LEN(D3156)&lt;15,""figurative ছোট"",""""),IF(AND(I3156=""Positive"",REGEXMATCH(H3"&amp;"156,""মূর্খ|ভণ্ড|প্রতার|অলস|লোভ|স্বার্থ|অক্ষম|অযোগ্য|বোকা|কৃপণ|হিংস"")),""valence-target অমিল"",""""),IF(COUNTIF($B:$B,B3156)&gt;1,""ডুপ্লিকেট"",""""))"),"")</f>
        <v/>
      </c>
      <c r="Q3156" s="5" t="str">
        <f t="shared" si="1"/>
        <v>২ পরে</v>
      </c>
    </row>
    <row r="3157">
      <c r="A3157" s="4">
        <v>961.0</v>
      </c>
      <c r="B3157" s="2" t="s">
        <v>12553</v>
      </c>
      <c r="C3157" s="2" t="s">
        <v>12554</v>
      </c>
      <c r="D3157" s="2" t="s">
        <v>12555</v>
      </c>
      <c r="E3157" s="2" t="s">
        <v>12556</v>
      </c>
      <c r="F3157" s="2" t="b">
        <v>1</v>
      </c>
      <c r="G3157" s="2" t="b">
        <v>1</v>
      </c>
      <c r="H3157" s="2" t="s">
        <v>12557</v>
      </c>
      <c r="I3157" s="2" t="s">
        <v>22</v>
      </c>
      <c r="J3157" s="2" t="s">
        <v>9301</v>
      </c>
      <c r="K3157" s="2" t="s">
        <v>376</v>
      </c>
      <c r="L3157" s="2" t="s">
        <v>391</v>
      </c>
      <c r="M3157" s="2" t="s">
        <v>26</v>
      </c>
      <c r="N3157" s="29"/>
      <c r="O3157" s="29"/>
      <c r="P3157" s="5" t="str">
        <f>IFERROR(__xludf.DUMMYFUNCTION("TEXTJOIN("" | "",TRUE,IF(OR(D3157="""",E3157="""",I3157="""",J3157="""",H3157=""""),""ফাঁকা ঘর"",""""),IF(AND(C3157&lt;&gt;"""",D3157&lt;&gt;"""",C3157=D3157),""gloss=figurative"",""""),IF(LEN(D3157)&lt;15,""figurative ছোট"",""""),IF(AND(I3157=""Positive"",REGEXMATCH(H3"&amp;"157,""মূর্খ|ভণ্ড|প্রতার|অলস|লোভ|স্বার্থ|অক্ষম|অযোগ্য|বোকা|কৃপণ|হিংস"")),""valence-target অমিল"",""""),IF(COUNTIF($B:$B,B3157)&gt;1,""ডুপ্লিকেট"",""""))"),"")</f>
        <v/>
      </c>
      <c r="Q3157" s="5" t="str">
        <f t="shared" si="1"/>
        <v>২ পরে</v>
      </c>
    </row>
    <row r="3158">
      <c r="A3158" s="4">
        <v>962.0</v>
      </c>
      <c r="B3158" s="2" t="s">
        <v>12558</v>
      </c>
      <c r="C3158" s="2" t="s">
        <v>12559</v>
      </c>
      <c r="D3158" s="2" t="s">
        <v>12560</v>
      </c>
      <c r="E3158" s="2" t="s">
        <v>12561</v>
      </c>
      <c r="F3158" s="2" t="b">
        <v>1</v>
      </c>
      <c r="G3158" s="2" t="b">
        <v>1</v>
      </c>
      <c r="H3158" s="2" t="s">
        <v>10046</v>
      </c>
      <c r="I3158" s="2" t="s">
        <v>22</v>
      </c>
      <c r="J3158" s="2" t="s">
        <v>9301</v>
      </c>
      <c r="K3158" s="2" t="s">
        <v>376</v>
      </c>
      <c r="L3158" s="2" t="s">
        <v>391</v>
      </c>
      <c r="M3158" s="2" t="s">
        <v>26</v>
      </c>
      <c r="N3158" s="29"/>
      <c r="O3158" s="29"/>
      <c r="P3158" s="5" t="str">
        <f>IFERROR(__xludf.DUMMYFUNCTION("TEXTJOIN("" | "",TRUE,IF(OR(D3158="""",E3158="""",I3158="""",J3158="""",H3158=""""),""ফাঁকা ঘর"",""""),IF(AND(C3158&lt;&gt;"""",D3158&lt;&gt;"""",C3158=D3158),""gloss=figurative"",""""),IF(LEN(D3158)&lt;15,""figurative ছোট"",""""),IF(AND(I3158=""Positive"",REGEXMATCH(H3"&amp;"158,""মূর্খ|ভণ্ড|প্রতার|অলস|লোভ|স্বার্থ|অক্ষম|অযোগ্য|বোকা|কৃপণ|হিংস"")),""valence-target অমিল"",""""),IF(COUNTIF($B:$B,B3158)&gt;1,""ডুপ্লিকেট"",""""))"),"")</f>
        <v/>
      </c>
      <c r="Q3158" s="5" t="str">
        <f t="shared" si="1"/>
        <v>২ পরে</v>
      </c>
    </row>
    <row r="3159">
      <c r="A3159" s="4">
        <v>963.0</v>
      </c>
      <c r="B3159" s="2" t="s">
        <v>12562</v>
      </c>
      <c r="C3159" s="2" t="s">
        <v>12563</v>
      </c>
      <c r="D3159" s="2" t="s">
        <v>12564</v>
      </c>
      <c r="E3159" s="2" t="s">
        <v>12565</v>
      </c>
      <c r="F3159" s="2" t="b">
        <v>1</v>
      </c>
      <c r="G3159" s="2" t="b">
        <v>0</v>
      </c>
      <c r="H3159" s="2" t="s">
        <v>65</v>
      </c>
      <c r="I3159" s="2" t="s">
        <v>22</v>
      </c>
      <c r="J3159" s="2" t="s">
        <v>123</v>
      </c>
      <c r="K3159" s="2" t="s">
        <v>376</v>
      </c>
      <c r="L3159" s="2" t="s">
        <v>391</v>
      </c>
      <c r="M3159" s="2" t="s">
        <v>26</v>
      </c>
      <c r="N3159" s="29"/>
      <c r="O3159" s="29"/>
      <c r="P3159" s="5" t="str">
        <f>IFERROR(__xludf.DUMMYFUNCTION("TEXTJOIN("" | "",TRUE,IF(OR(D3159="""",E3159="""",I3159="""",J3159="""",H3159=""""),""ফাঁকা ঘর"",""""),IF(AND(C3159&lt;&gt;"""",D3159&lt;&gt;"""",C3159=D3159),""gloss=figurative"",""""),IF(LEN(D3159)&lt;15,""figurative ছোট"",""""),IF(AND(I3159=""Positive"",REGEXMATCH(H3"&amp;"159,""মূর্খ|ভণ্ড|প্রতার|অলস|লোভ|স্বার্থ|অক্ষম|অযোগ্য|বোকা|কৃপণ|হিংস"")),""valence-target অমিল"",""""),IF(COUNTIF($B:$B,B3159)&gt;1,""ডুপ্লিকেট"",""""))"),"")</f>
        <v/>
      </c>
      <c r="Q3159" s="5" t="str">
        <f t="shared" si="1"/>
        <v>২ পরে</v>
      </c>
    </row>
    <row r="3160">
      <c r="A3160" s="4">
        <v>964.0</v>
      </c>
      <c r="B3160" s="2" t="s">
        <v>12566</v>
      </c>
      <c r="C3160" s="2" t="s">
        <v>12567</v>
      </c>
      <c r="D3160" s="2" t="s">
        <v>12568</v>
      </c>
      <c r="E3160" s="2" t="s">
        <v>12569</v>
      </c>
      <c r="F3160" s="2" t="b">
        <v>1</v>
      </c>
      <c r="G3160" s="2" t="b">
        <v>0</v>
      </c>
      <c r="H3160" s="2" t="s">
        <v>729</v>
      </c>
      <c r="I3160" s="2" t="s">
        <v>32</v>
      </c>
      <c r="J3160" s="2" t="s">
        <v>123</v>
      </c>
      <c r="K3160" s="2" t="s">
        <v>376</v>
      </c>
      <c r="L3160" s="2" t="s">
        <v>391</v>
      </c>
      <c r="M3160" s="2" t="s">
        <v>26</v>
      </c>
      <c r="N3160" s="29"/>
      <c r="O3160" s="29"/>
      <c r="P3160" s="5" t="str">
        <f>IFERROR(__xludf.DUMMYFUNCTION("TEXTJOIN("" | "",TRUE,IF(OR(D3160="""",E3160="""",I3160="""",J3160="""",H3160=""""),""ফাঁকা ঘর"",""""),IF(AND(C3160&lt;&gt;"""",D3160&lt;&gt;"""",C3160=D3160),""gloss=figurative"",""""),IF(LEN(D3160)&lt;15,""figurative ছোট"",""""),IF(AND(I3160=""Positive"",REGEXMATCH(H3"&amp;"160,""মূর্খ|ভণ্ড|প্রতার|অলস|লোভ|স্বার্থ|অক্ষম|অযোগ্য|বোকা|কৃপণ|হিংস"")),""valence-target অমিল"",""""),IF(COUNTIF($B:$B,B3160)&gt;1,""ডুপ্লিকেট"",""""))"),"")</f>
        <v/>
      </c>
      <c r="Q3160" s="5" t="str">
        <f t="shared" si="1"/>
        <v>২ পরে</v>
      </c>
    </row>
    <row r="3161">
      <c r="A3161" s="4">
        <v>965.0</v>
      </c>
      <c r="B3161" s="2" t="s">
        <v>12570</v>
      </c>
      <c r="C3161" s="2" t="s">
        <v>12571</v>
      </c>
      <c r="D3161" s="2" t="s">
        <v>12572</v>
      </c>
      <c r="E3161" s="2" t="s">
        <v>12573</v>
      </c>
      <c r="F3161" s="2" t="b">
        <v>1</v>
      </c>
      <c r="G3161" s="2" t="b">
        <v>0</v>
      </c>
      <c r="H3161" s="2" t="s">
        <v>9296</v>
      </c>
      <c r="I3161" s="2" t="s">
        <v>22</v>
      </c>
      <c r="J3161" s="2" t="s">
        <v>59</v>
      </c>
      <c r="K3161" s="2" t="s">
        <v>376</v>
      </c>
      <c r="L3161" s="2" t="s">
        <v>391</v>
      </c>
      <c r="M3161" s="2" t="s">
        <v>26</v>
      </c>
      <c r="N3161" s="29"/>
      <c r="O3161" s="29"/>
      <c r="P3161" s="5" t="str">
        <f>IFERROR(__xludf.DUMMYFUNCTION("TEXTJOIN("" | "",TRUE,IF(OR(D3161="""",E3161="""",I3161="""",J3161="""",H3161=""""),""ফাঁকা ঘর"",""""),IF(AND(C3161&lt;&gt;"""",D3161&lt;&gt;"""",C3161=D3161),""gloss=figurative"",""""),IF(LEN(D3161)&lt;15,""figurative ছোট"",""""),IF(AND(I3161=""Positive"",REGEXMATCH(H3"&amp;"161,""মূর্খ|ভণ্ড|প্রতার|অলস|লোভ|স্বার্থ|অক্ষম|অযোগ্য|বোকা|কৃপণ|হিংস"")),""valence-target অমিল"",""""),IF(COUNTIF($B:$B,B3161)&gt;1,""ডুপ্লিকেট"",""""))"),"")</f>
        <v/>
      </c>
      <c r="Q3161" s="5" t="str">
        <f t="shared" si="1"/>
        <v>২ পরে</v>
      </c>
    </row>
    <row r="3162">
      <c r="A3162" s="4">
        <v>966.0</v>
      </c>
      <c r="B3162" s="2" t="s">
        <v>12574</v>
      </c>
      <c r="C3162" s="2" t="s">
        <v>12575</v>
      </c>
      <c r="D3162" s="2" t="s">
        <v>12576</v>
      </c>
      <c r="E3162" s="2" t="s">
        <v>12577</v>
      </c>
      <c r="F3162" s="2" t="b">
        <v>1</v>
      </c>
      <c r="G3162" s="2" t="b">
        <v>0</v>
      </c>
      <c r="H3162" s="2" t="s">
        <v>12578</v>
      </c>
      <c r="I3162" s="2" t="s">
        <v>32</v>
      </c>
      <c r="J3162" s="2" t="s">
        <v>59</v>
      </c>
      <c r="K3162" s="2" t="s">
        <v>376</v>
      </c>
      <c r="L3162" s="2" t="s">
        <v>391</v>
      </c>
      <c r="M3162" s="2" t="s">
        <v>26</v>
      </c>
      <c r="N3162" s="29"/>
      <c r="O3162" s="29"/>
      <c r="P3162" s="5" t="str">
        <f>IFERROR(__xludf.DUMMYFUNCTION("TEXTJOIN("" | "",TRUE,IF(OR(D3162="""",E3162="""",I3162="""",J3162="""",H3162=""""),""ফাঁকা ঘর"",""""),IF(AND(C3162&lt;&gt;"""",D3162&lt;&gt;"""",C3162=D3162),""gloss=figurative"",""""),IF(LEN(D3162)&lt;15,""figurative ছোট"",""""),IF(AND(I3162=""Positive"",REGEXMATCH(H3"&amp;"162,""মূর্খ|ভণ্ড|প্রতার|অলস|লোভ|স্বার্থ|অক্ষম|অযোগ্য|বোকা|কৃপণ|হিংস"")),""valence-target অমিল"",""""),IF(COUNTIF($B:$B,B3162)&gt;1,""ডুপ্লিকেট"",""""))"),"")</f>
        <v/>
      </c>
      <c r="Q3162" s="5" t="str">
        <f t="shared" si="1"/>
        <v>২ পরে</v>
      </c>
    </row>
    <row r="3163">
      <c r="A3163" s="4">
        <v>967.0</v>
      </c>
      <c r="B3163" s="2" t="s">
        <v>12579</v>
      </c>
      <c r="C3163" s="2" t="s">
        <v>12580</v>
      </c>
      <c r="D3163" s="2" t="s">
        <v>12581</v>
      </c>
      <c r="E3163" s="2" t="s">
        <v>12582</v>
      </c>
      <c r="F3163" s="2" t="b">
        <v>1</v>
      </c>
      <c r="G3163" s="2" t="b">
        <v>0</v>
      </c>
      <c r="H3163" s="2" t="s">
        <v>12583</v>
      </c>
      <c r="I3163" s="2" t="s">
        <v>22</v>
      </c>
      <c r="J3163" s="2" t="s">
        <v>59</v>
      </c>
      <c r="K3163" s="2" t="s">
        <v>376</v>
      </c>
      <c r="L3163" s="2" t="s">
        <v>391</v>
      </c>
      <c r="M3163" s="2" t="s">
        <v>26</v>
      </c>
      <c r="N3163" s="29"/>
      <c r="O3163" s="29"/>
      <c r="P3163" s="5" t="str">
        <f>IFERROR(__xludf.DUMMYFUNCTION("TEXTJOIN("" | "",TRUE,IF(OR(D3163="""",E3163="""",I3163="""",J3163="""",H3163=""""),""ফাঁকা ঘর"",""""),IF(AND(C3163&lt;&gt;"""",D3163&lt;&gt;"""",C3163=D3163),""gloss=figurative"",""""),IF(LEN(D3163)&lt;15,""figurative ছোট"",""""),IF(AND(I3163=""Positive"",REGEXMATCH(H3"&amp;"163,""মূর্খ|ভণ্ড|প্রতার|অলস|লোভ|স্বার্থ|অক্ষম|অযোগ্য|বোকা|কৃপণ|হিংস"")),""valence-target অমিল"",""""),IF(COUNTIF($B:$B,B3163)&gt;1,""ডুপ্লিকেট"",""""))"),"")</f>
        <v/>
      </c>
      <c r="Q3163" s="5" t="str">
        <f t="shared" si="1"/>
        <v>২ পরে</v>
      </c>
    </row>
    <row r="3164">
      <c r="A3164" s="4">
        <v>968.0</v>
      </c>
      <c r="B3164" s="2" t="s">
        <v>12584</v>
      </c>
      <c r="C3164" s="2" t="s">
        <v>12585</v>
      </c>
      <c r="D3164" s="2" t="s">
        <v>12586</v>
      </c>
      <c r="E3164" s="2" t="s">
        <v>12587</v>
      </c>
      <c r="F3164" s="2" t="b">
        <v>1</v>
      </c>
      <c r="G3164" s="2" t="b">
        <v>0</v>
      </c>
      <c r="H3164" s="2" t="s">
        <v>9380</v>
      </c>
      <c r="I3164" s="2" t="s">
        <v>22</v>
      </c>
      <c r="J3164" s="2" t="s">
        <v>59</v>
      </c>
      <c r="K3164" s="2" t="s">
        <v>376</v>
      </c>
      <c r="L3164" s="2" t="s">
        <v>391</v>
      </c>
      <c r="M3164" s="2" t="s">
        <v>26</v>
      </c>
      <c r="N3164" s="29"/>
      <c r="O3164" s="29"/>
      <c r="P3164" s="5" t="str">
        <f>IFERROR(__xludf.DUMMYFUNCTION("TEXTJOIN("" | "",TRUE,IF(OR(D3164="""",E3164="""",I3164="""",J3164="""",H3164=""""),""ফাঁকা ঘর"",""""),IF(AND(C3164&lt;&gt;"""",D3164&lt;&gt;"""",C3164=D3164),""gloss=figurative"",""""),IF(LEN(D3164)&lt;15,""figurative ছোট"",""""),IF(AND(I3164=""Positive"",REGEXMATCH(H3"&amp;"164,""মূর্খ|ভণ্ড|প্রতার|অলস|লোভ|স্বার্থ|অক্ষম|অযোগ্য|বোকা|কৃপণ|হিংস"")),""valence-target অমিল"",""""),IF(COUNTIF($B:$B,B3164)&gt;1,""ডুপ্লিকেট"",""""))"),"")</f>
        <v/>
      </c>
      <c r="Q3164" s="5" t="str">
        <f t="shared" si="1"/>
        <v>২ পরে</v>
      </c>
    </row>
    <row r="3165">
      <c r="A3165" s="4">
        <v>969.0</v>
      </c>
      <c r="B3165" s="2" t="s">
        <v>12588</v>
      </c>
      <c r="C3165" s="2" t="s">
        <v>12589</v>
      </c>
      <c r="D3165" s="2" t="s">
        <v>12590</v>
      </c>
      <c r="E3165" s="2" t="s">
        <v>12591</v>
      </c>
      <c r="F3165" s="2" t="b">
        <v>1</v>
      </c>
      <c r="G3165" s="2" t="b">
        <v>0</v>
      </c>
      <c r="H3165" s="2" t="s">
        <v>12592</v>
      </c>
      <c r="I3165" s="2" t="s">
        <v>32</v>
      </c>
      <c r="J3165" s="2" t="s">
        <v>169</v>
      </c>
      <c r="K3165" s="2" t="s">
        <v>376</v>
      </c>
      <c r="L3165" s="2" t="s">
        <v>391</v>
      </c>
      <c r="M3165" s="2" t="s">
        <v>26</v>
      </c>
      <c r="N3165" s="29"/>
      <c r="O3165" s="29"/>
      <c r="P3165" s="5" t="str">
        <f>IFERROR(__xludf.DUMMYFUNCTION("TEXTJOIN("" | "",TRUE,IF(OR(D3165="""",E3165="""",I3165="""",J3165="""",H3165=""""),""ফাঁকা ঘর"",""""),IF(AND(C3165&lt;&gt;"""",D3165&lt;&gt;"""",C3165=D3165),""gloss=figurative"",""""),IF(LEN(D3165)&lt;15,""figurative ছোট"",""""),IF(AND(I3165=""Positive"",REGEXMATCH(H3"&amp;"165,""মূর্খ|ভণ্ড|প্রতার|অলস|লোভ|স্বার্থ|অক্ষম|অযোগ্য|বোকা|কৃপণ|হিংস"")),""valence-target অমিল"",""""),IF(COUNTIF($B:$B,B3165)&gt;1,""ডুপ্লিকেট"",""""))"),"")</f>
        <v/>
      </c>
      <c r="Q3165" s="5" t="str">
        <f t="shared" si="1"/>
        <v>২ পরে</v>
      </c>
    </row>
    <row r="3166">
      <c r="A3166" s="4">
        <v>970.0</v>
      </c>
      <c r="B3166" s="2" t="s">
        <v>12593</v>
      </c>
      <c r="C3166" s="2" t="s">
        <v>12594</v>
      </c>
      <c r="D3166" s="2" t="s">
        <v>12595</v>
      </c>
      <c r="E3166" s="2" t="s">
        <v>12596</v>
      </c>
      <c r="F3166" s="2" t="b">
        <v>1</v>
      </c>
      <c r="G3166" s="2" t="b">
        <v>0</v>
      </c>
      <c r="H3166" s="2" t="s">
        <v>5571</v>
      </c>
      <c r="I3166" s="2" t="s">
        <v>22</v>
      </c>
      <c r="J3166" s="2" t="s">
        <v>59</v>
      </c>
      <c r="K3166" s="2" t="s">
        <v>376</v>
      </c>
      <c r="L3166" s="2" t="s">
        <v>391</v>
      </c>
      <c r="M3166" s="2" t="s">
        <v>26</v>
      </c>
      <c r="N3166" s="29"/>
      <c r="O3166" s="29"/>
      <c r="P3166" s="5" t="str">
        <f>IFERROR(__xludf.DUMMYFUNCTION("TEXTJOIN("" | "",TRUE,IF(OR(D3166="""",E3166="""",I3166="""",J3166="""",H3166=""""),""ফাঁকা ঘর"",""""),IF(AND(C3166&lt;&gt;"""",D3166&lt;&gt;"""",C3166=D3166),""gloss=figurative"",""""),IF(LEN(D3166)&lt;15,""figurative ছোট"",""""),IF(AND(I3166=""Positive"",REGEXMATCH(H3"&amp;"166,""মূর্খ|ভণ্ড|প্রতার|অলস|লোভ|স্বার্থ|অক্ষম|অযোগ্য|বোকা|কৃপণ|হিংস"")),""valence-target অমিল"",""""),IF(COUNTIF($B:$B,B3166)&gt;1,""ডুপ্লিকেট"",""""))"),"")</f>
        <v/>
      </c>
      <c r="Q3166" s="5" t="str">
        <f t="shared" si="1"/>
        <v>২ পরে</v>
      </c>
    </row>
    <row r="3167">
      <c r="A3167" s="4">
        <v>971.0</v>
      </c>
      <c r="B3167" s="2" t="s">
        <v>12597</v>
      </c>
      <c r="C3167" s="2" t="s">
        <v>12598</v>
      </c>
      <c r="D3167" s="2" t="s">
        <v>12599</v>
      </c>
      <c r="E3167" s="2" t="s">
        <v>12600</v>
      </c>
      <c r="F3167" s="2" t="b">
        <v>1</v>
      </c>
      <c r="G3167" s="2" t="b">
        <v>0</v>
      </c>
      <c r="H3167" s="2" t="s">
        <v>12601</v>
      </c>
      <c r="I3167" s="2" t="s">
        <v>32</v>
      </c>
      <c r="J3167" s="2" t="s">
        <v>169</v>
      </c>
      <c r="K3167" s="2" t="s">
        <v>376</v>
      </c>
      <c r="L3167" s="2" t="s">
        <v>391</v>
      </c>
      <c r="M3167" s="2" t="s">
        <v>26</v>
      </c>
      <c r="N3167" s="29"/>
      <c r="O3167" s="29"/>
      <c r="P3167" s="5" t="str">
        <f>IFERROR(__xludf.DUMMYFUNCTION("TEXTJOIN("" | "",TRUE,IF(OR(D3167="""",E3167="""",I3167="""",J3167="""",H3167=""""),""ফাঁকা ঘর"",""""),IF(AND(C3167&lt;&gt;"""",D3167&lt;&gt;"""",C3167=D3167),""gloss=figurative"",""""),IF(LEN(D3167)&lt;15,""figurative ছোট"",""""),IF(AND(I3167=""Positive"",REGEXMATCH(H3"&amp;"167,""মূর্খ|ভণ্ড|প্রতার|অলস|লোভ|স্বার্থ|অক্ষম|অযোগ্য|বোকা|কৃপণ|হিংস"")),""valence-target অমিল"",""""),IF(COUNTIF($B:$B,B3167)&gt;1,""ডুপ্লিকেট"",""""))"),"")</f>
        <v/>
      </c>
      <c r="Q3167" s="5" t="str">
        <f t="shared" si="1"/>
        <v>২ পরে</v>
      </c>
    </row>
    <row r="3168">
      <c r="A3168" s="4">
        <v>972.0</v>
      </c>
      <c r="B3168" s="2" t="s">
        <v>12602</v>
      </c>
      <c r="C3168" s="2" t="s">
        <v>12603</v>
      </c>
      <c r="D3168" s="2" t="s">
        <v>12604</v>
      </c>
      <c r="E3168" s="2" t="s">
        <v>12605</v>
      </c>
      <c r="F3168" s="2" t="b">
        <v>1</v>
      </c>
      <c r="G3168" s="2" t="b">
        <v>0</v>
      </c>
      <c r="H3168" s="2" t="s">
        <v>7382</v>
      </c>
      <c r="I3168" s="2" t="s">
        <v>49</v>
      </c>
      <c r="J3168" s="2" t="s">
        <v>913</v>
      </c>
      <c r="K3168" s="2" t="s">
        <v>376</v>
      </c>
      <c r="L3168" s="2" t="s">
        <v>391</v>
      </c>
      <c r="M3168" s="2" t="s">
        <v>26</v>
      </c>
      <c r="N3168" s="29"/>
      <c r="O3168" s="29"/>
      <c r="P3168" s="5" t="str">
        <f>IFERROR(__xludf.DUMMYFUNCTION("TEXTJOIN("" | "",TRUE,IF(OR(D3168="""",E3168="""",I3168="""",J3168="""",H3168=""""),""ফাঁকা ঘর"",""""),IF(AND(C3168&lt;&gt;"""",D3168&lt;&gt;"""",C3168=D3168),""gloss=figurative"",""""),IF(LEN(D3168)&lt;15,""figurative ছোট"",""""),IF(AND(I3168=""Positive"",REGEXMATCH(H3"&amp;"168,""মূর্খ|ভণ্ড|প্রতার|অলস|লোভ|স্বার্থ|অক্ষম|অযোগ্য|বোকা|কৃপণ|হিংস"")),""valence-target অমিল"",""""),IF(COUNTIF($B:$B,B3168)&gt;1,""ডুপ্লিকেট"",""""))"),"")</f>
        <v/>
      </c>
      <c r="Q3168" s="5" t="str">
        <f t="shared" si="1"/>
        <v>২ পরে</v>
      </c>
    </row>
    <row r="3169">
      <c r="A3169" s="4">
        <v>973.0</v>
      </c>
      <c r="B3169" s="2" t="s">
        <v>12606</v>
      </c>
      <c r="C3169" s="2" t="s">
        <v>12607</v>
      </c>
      <c r="D3169" s="2" t="s">
        <v>12608</v>
      </c>
      <c r="E3169" s="2" t="s">
        <v>12609</v>
      </c>
      <c r="F3169" s="2" t="b">
        <v>1</v>
      </c>
      <c r="G3169" s="2" t="b">
        <v>0</v>
      </c>
      <c r="H3169" s="2" t="s">
        <v>12610</v>
      </c>
      <c r="I3169" s="2" t="s">
        <v>32</v>
      </c>
      <c r="J3169" s="2" t="s">
        <v>59</v>
      </c>
      <c r="K3169" s="2" t="s">
        <v>376</v>
      </c>
      <c r="L3169" s="2" t="s">
        <v>391</v>
      </c>
      <c r="M3169" s="2" t="s">
        <v>26</v>
      </c>
      <c r="N3169" s="29"/>
      <c r="O3169" s="29"/>
      <c r="P3169" s="5" t="str">
        <f>IFERROR(__xludf.DUMMYFUNCTION("TEXTJOIN("" | "",TRUE,IF(OR(D3169="""",E3169="""",I3169="""",J3169="""",H3169=""""),""ফাঁকা ঘর"",""""),IF(AND(C3169&lt;&gt;"""",D3169&lt;&gt;"""",C3169=D3169),""gloss=figurative"",""""),IF(LEN(D3169)&lt;15,""figurative ছোট"",""""),IF(AND(I3169=""Positive"",REGEXMATCH(H3"&amp;"169,""মূর্খ|ভণ্ড|প্রতার|অলস|লোভ|স্বার্থ|অক্ষম|অযোগ্য|বোকা|কৃপণ|হিংস"")),""valence-target অমিল"",""""),IF(COUNTIF($B:$B,B3169)&gt;1,""ডুপ্লিকেট"",""""))"),"")</f>
        <v/>
      </c>
      <c r="Q3169" s="5" t="str">
        <f t="shared" si="1"/>
        <v>২ পরে</v>
      </c>
    </row>
    <row r="3170">
      <c r="A3170" s="4">
        <v>974.0</v>
      </c>
      <c r="B3170" s="2" t="s">
        <v>12611</v>
      </c>
      <c r="C3170" s="2" t="s">
        <v>12612</v>
      </c>
      <c r="D3170" s="2" t="s">
        <v>12613</v>
      </c>
      <c r="E3170" s="2" t="s">
        <v>12614</v>
      </c>
      <c r="F3170" s="2" t="b">
        <v>1</v>
      </c>
      <c r="G3170" s="2" t="b">
        <v>0</v>
      </c>
      <c r="H3170" s="2" t="s">
        <v>12610</v>
      </c>
      <c r="I3170" s="2" t="s">
        <v>32</v>
      </c>
      <c r="J3170" s="2" t="s">
        <v>59</v>
      </c>
      <c r="K3170" s="2" t="s">
        <v>376</v>
      </c>
      <c r="L3170" s="2" t="s">
        <v>391</v>
      </c>
      <c r="M3170" s="2" t="s">
        <v>26</v>
      </c>
      <c r="N3170" s="29"/>
      <c r="O3170" s="29"/>
      <c r="P3170" s="5" t="str">
        <f>IFERROR(__xludf.DUMMYFUNCTION("TEXTJOIN("" | "",TRUE,IF(OR(D3170="""",E3170="""",I3170="""",J3170="""",H3170=""""),""ফাঁকা ঘর"",""""),IF(AND(C3170&lt;&gt;"""",D3170&lt;&gt;"""",C3170=D3170),""gloss=figurative"",""""),IF(LEN(D3170)&lt;15,""figurative ছোট"",""""),IF(AND(I3170=""Positive"",REGEXMATCH(H3"&amp;"170,""মূর্খ|ভণ্ড|প্রতার|অলস|লোভ|স্বার্থ|অক্ষম|অযোগ্য|বোকা|কৃপণ|হিংস"")),""valence-target অমিল"",""""),IF(COUNTIF($B:$B,B3170)&gt;1,""ডুপ্লিকেট"",""""))"),"")</f>
        <v/>
      </c>
      <c r="Q3170" s="5" t="str">
        <f t="shared" si="1"/>
        <v>২ পরে</v>
      </c>
    </row>
    <row r="3171">
      <c r="A3171" s="4">
        <v>975.0</v>
      </c>
      <c r="B3171" s="2" t="s">
        <v>12615</v>
      </c>
      <c r="C3171" s="2" t="s">
        <v>12616</v>
      </c>
      <c r="D3171" s="2" t="s">
        <v>12617</v>
      </c>
      <c r="E3171" s="2" t="s">
        <v>12618</v>
      </c>
      <c r="F3171" s="2" t="b">
        <v>1</v>
      </c>
      <c r="G3171" s="2" t="b">
        <v>0</v>
      </c>
      <c r="H3171" s="2" t="s">
        <v>9452</v>
      </c>
      <c r="I3171" s="2" t="s">
        <v>22</v>
      </c>
      <c r="J3171" s="2" t="s">
        <v>197</v>
      </c>
      <c r="K3171" s="2" t="s">
        <v>376</v>
      </c>
      <c r="L3171" s="2" t="s">
        <v>391</v>
      </c>
      <c r="M3171" s="2" t="s">
        <v>26</v>
      </c>
      <c r="N3171" s="29"/>
      <c r="O3171" s="29"/>
      <c r="P3171" s="5" t="str">
        <f>IFERROR(__xludf.DUMMYFUNCTION("TEXTJOIN("" | "",TRUE,IF(OR(D3171="""",E3171="""",I3171="""",J3171="""",H3171=""""),""ফাঁকা ঘর"",""""),IF(AND(C3171&lt;&gt;"""",D3171&lt;&gt;"""",C3171=D3171),""gloss=figurative"",""""),IF(LEN(D3171)&lt;15,""figurative ছোট"",""""),IF(AND(I3171=""Positive"",REGEXMATCH(H3"&amp;"171,""মূর্খ|ভণ্ড|প্রতার|অলস|লোভ|স্বার্থ|অক্ষম|অযোগ্য|বোকা|কৃপণ|হিংস"")),""valence-target অমিল"",""""),IF(COUNTIF($B:$B,B3171)&gt;1,""ডুপ্লিকেট"",""""))"),"")</f>
        <v/>
      </c>
      <c r="Q3171" s="5" t="str">
        <f t="shared" si="1"/>
        <v>২ পরে</v>
      </c>
    </row>
    <row r="3172">
      <c r="A3172" s="4">
        <v>976.0</v>
      </c>
      <c r="B3172" s="2" t="s">
        <v>12619</v>
      </c>
      <c r="C3172" s="2" t="s">
        <v>927</v>
      </c>
      <c r="D3172" s="2" t="s">
        <v>12620</v>
      </c>
      <c r="E3172" s="2" t="s">
        <v>12621</v>
      </c>
      <c r="F3172" s="2" t="b">
        <v>1</v>
      </c>
      <c r="G3172" s="2" t="b">
        <v>0</v>
      </c>
      <c r="H3172" s="2" t="s">
        <v>9737</v>
      </c>
      <c r="I3172" s="2" t="s">
        <v>32</v>
      </c>
      <c r="J3172" s="2" t="s">
        <v>424</v>
      </c>
      <c r="K3172" s="2" t="s">
        <v>376</v>
      </c>
      <c r="L3172" s="2" t="s">
        <v>391</v>
      </c>
      <c r="M3172" s="2" t="s">
        <v>26</v>
      </c>
      <c r="N3172" s="29"/>
      <c r="O3172" s="29"/>
      <c r="P3172" s="5" t="str">
        <f>IFERROR(__xludf.DUMMYFUNCTION("TEXTJOIN("" | "",TRUE,IF(OR(D3172="""",E3172="""",I3172="""",J3172="""",H3172=""""),""ফাঁকা ঘর"",""""),IF(AND(C3172&lt;&gt;"""",D3172&lt;&gt;"""",C3172=D3172),""gloss=figurative"",""""),IF(LEN(D3172)&lt;15,""figurative ছোট"",""""),IF(AND(I3172=""Positive"",REGEXMATCH(H3"&amp;"172,""মূর্খ|ভণ্ড|প্রতার|অলস|লোভ|স্বার্থ|অক্ষম|অযোগ্য|বোকা|কৃপণ|হিংস"")),""valence-target অমিল"",""""),IF(COUNTIF($B:$B,B3172)&gt;1,""ডুপ্লিকেট"",""""))"),"")</f>
        <v/>
      </c>
      <c r="Q3172" s="5" t="str">
        <f t="shared" si="1"/>
        <v>২ পরে</v>
      </c>
    </row>
    <row r="3173">
      <c r="A3173" s="4">
        <v>977.0</v>
      </c>
      <c r="B3173" s="2" t="s">
        <v>12622</v>
      </c>
      <c r="C3173" s="2" t="s">
        <v>12623</v>
      </c>
      <c r="D3173" s="2" t="s">
        <v>12624</v>
      </c>
      <c r="E3173" s="2" t="s">
        <v>12625</v>
      </c>
      <c r="F3173" s="2" t="b">
        <v>1</v>
      </c>
      <c r="G3173" s="2" t="b">
        <v>0</v>
      </c>
      <c r="H3173" s="2" t="s">
        <v>12626</v>
      </c>
      <c r="I3173" s="2" t="s">
        <v>49</v>
      </c>
      <c r="J3173" s="2" t="s">
        <v>169</v>
      </c>
      <c r="K3173" s="2" t="s">
        <v>376</v>
      </c>
      <c r="L3173" s="2" t="s">
        <v>391</v>
      </c>
      <c r="M3173" s="2" t="s">
        <v>26</v>
      </c>
      <c r="N3173" s="29"/>
      <c r="O3173" s="29"/>
      <c r="P3173" s="5" t="str">
        <f>IFERROR(__xludf.DUMMYFUNCTION("TEXTJOIN("" | "",TRUE,IF(OR(D3173="""",E3173="""",I3173="""",J3173="""",H3173=""""),""ফাঁকা ঘর"",""""),IF(AND(C3173&lt;&gt;"""",D3173&lt;&gt;"""",C3173=D3173),""gloss=figurative"",""""),IF(LEN(D3173)&lt;15,""figurative ছোট"",""""),IF(AND(I3173=""Positive"",REGEXMATCH(H3"&amp;"173,""মূর্খ|ভণ্ড|প্রতার|অলস|লোভ|স্বার্থ|অক্ষম|অযোগ্য|বোকা|কৃপণ|হিংস"")),""valence-target অমিল"",""""),IF(COUNTIF($B:$B,B3173)&gt;1,""ডুপ্লিকেট"",""""))"),"")</f>
        <v/>
      </c>
      <c r="Q3173" s="5" t="str">
        <f t="shared" si="1"/>
        <v>২ পরে</v>
      </c>
    </row>
    <row r="3174">
      <c r="A3174" s="4">
        <v>978.0</v>
      </c>
      <c r="B3174" s="2" t="s">
        <v>12627</v>
      </c>
      <c r="C3174" s="2" t="s">
        <v>12628</v>
      </c>
      <c r="D3174" s="2" t="s">
        <v>12629</v>
      </c>
      <c r="E3174" s="2" t="s">
        <v>12630</v>
      </c>
      <c r="F3174" s="2" t="b">
        <v>1</v>
      </c>
      <c r="G3174" s="2" t="b">
        <v>0</v>
      </c>
      <c r="H3174" s="2" t="s">
        <v>37</v>
      </c>
      <c r="I3174" s="2" t="s">
        <v>32</v>
      </c>
      <c r="J3174" s="2" t="s">
        <v>162</v>
      </c>
      <c r="K3174" s="2" t="s">
        <v>376</v>
      </c>
      <c r="L3174" s="2" t="s">
        <v>391</v>
      </c>
      <c r="M3174" s="2" t="s">
        <v>26</v>
      </c>
      <c r="N3174" s="29"/>
      <c r="O3174" s="29"/>
      <c r="P3174" s="5" t="str">
        <f>IFERROR(__xludf.DUMMYFUNCTION("TEXTJOIN("" | "",TRUE,IF(OR(D3174="""",E3174="""",I3174="""",J3174="""",H3174=""""),""ফাঁকা ঘর"",""""),IF(AND(C3174&lt;&gt;"""",D3174&lt;&gt;"""",C3174=D3174),""gloss=figurative"",""""),IF(LEN(D3174)&lt;15,""figurative ছোট"",""""),IF(AND(I3174=""Positive"",REGEXMATCH(H3"&amp;"174,""মূর্খ|ভণ্ড|প্রতার|অলস|লোভ|স্বার্থ|অক্ষম|অযোগ্য|বোকা|কৃপণ|হিংস"")),""valence-target অমিল"",""""),IF(COUNTIF($B:$B,B3174)&gt;1,""ডুপ্লিকেট"",""""))"),"")</f>
        <v/>
      </c>
      <c r="Q3174" s="5" t="str">
        <f t="shared" si="1"/>
        <v>২ পরে</v>
      </c>
    </row>
    <row r="3175">
      <c r="A3175" s="4">
        <v>979.0</v>
      </c>
      <c r="B3175" s="2" t="s">
        <v>12631</v>
      </c>
      <c r="C3175" s="2" t="s">
        <v>12632</v>
      </c>
      <c r="D3175" s="2" t="s">
        <v>12633</v>
      </c>
      <c r="E3175" s="2" t="s">
        <v>12634</v>
      </c>
      <c r="F3175" s="2" t="b">
        <v>1</v>
      </c>
      <c r="G3175" s="2" t="b">
        <v>0</v>
      </c>
      <c r="H3175" s="2" t="s">
        <v>37</v>
      </c>
      <c r="I3175" s="2" t="s">
        <v>32</v>
      </c>
      <c r="J3175" s="2" t="s">
        <v>123</v>
      </c>
      <c r="K3175" s="2" t="s">
        <v>376</v>
      </c>
      <c r="L3175" s="2" t="s">
        <v>391</v>
      </c>
      <c r="M3175" s="2" t="s">
        <v>26</v>
      </c>
      <c r="N3175" s="29"/>
      <c r="O3175" s="29"/>
      <c r="P3175" s="5" t="str">
        <f>IFERROR(__xludf.DUMMYFUNCTION("TEXTJOIN("" | "",TRUE,IF(OR(D3175="""",E3175="""",I3175="""",J3175="""",H3175=""""),""ফাঁকা ঘর"",""""),IF(AND(C3175&lt;&gt;"""",D3175&lt;&gt;"""",C3175=D3175),""gloss=figurative"",""""),IF(LEN(D3175)&lt;15,""figurative ছোট"",""""),IF(AND(I3175=""Positive"",REGEXMATCH(H3"&amp;"175,""মূর্খ|ভণ্ড|প্রতার|অলস|লোভ|স্বার্থ|অক্ষম|অযোগ্য|বোকা|কৃপণ|হিংস"")),""valence-target অমিল"",""""),IF(COUNTIF($B:$B,B3175)&gt;1,""ডুপ্লিকেট"",""""))"),"")</f>
        <v/>
      </c>
      <c r="Q3175" s="5" t="str">
        <f t="shared" si="1"/>
        <v>২ পরে</v>
      </c>
    </row>
    <row r="3176">
      <c r="A3176" s="4">
        <v>980.0</v>
      </c>
      <c r="B3176" s="2" t="s">
        <v>12635</v>
      </c>
      <c r="C3176" s="2" t="s">
        <v>12636</v>
      </c>
      <c r="D3176" s="2" t="s">
        <v>12637</v>
      </c>
      <c r="E3176" s="2" t="s">
        <v>12638</v>
      </c>
      <c r="F3176" s="2" t="b">
        <v>1</v>
      </c>
      <c r="G3176" s="2" t="b">
        <v>0</v>
      </c>
      <c r="H3176" s="2" t="s">
        <v>9359</v>
      </c>
      <c r="I3176" s="2" t="s">
        <v>22</v>
      </c>
      <c r="J3176" s="2" t="s">
        <v>123</v>
      </c>
      <c r="K3176" s="2" t="s">
        <v>376</v>
      </c>
      <c r="L3176" s="2" t="s">
        <v>391</v>
      </c>
      <c r="M3176" s="2" t="s">
        <v>26</v>
      </c>
      <c r="N3176" s="29"/>
      <c r="O3176" s="29"/>
      <c r="P3176" s="5" t="str">
        <f>IFERROR(__xludf.DUMMYFUNCTION("TEXTJOIN("" | "",TRUE,IF(OR(D3176="""",E3176="""",I3176="""",J3176="""",H3176=""""),""ফাঁকা ঘর"",""""),IF(AND(C3176&lt;&gt;"""",D3176&lt;&gt;"""",C3176=D3176),""gloss=figurative"",""""),IF(LEN(D3176)&lt;15,""figurative ছোট"",""""),IF(AND(I3176=""Positive"",REGEXMATCH(H3"&amp;"176,""মূর্খ|ভণ্ড|প্রতার|অলস|লোভ|স্বার্থ|অক্ষম|অযোগ্য|বোকা|কৃপণ|হিংস"")),""valence-target অমিল"",""""),IF(COUNTIF($B:$B,B3176)&gt;1,""ডুপ্লিকেট"",""""))"),"")</f>
        <v/>
      </c>
      <c r="Q3176" s="5" t="str">
        <f t="shared" si="1"/>
        <v>২ পরে</v>
      </c>
    </row>
    <row r="3177">
      <c r="A3177" s="4">
        <v>981.0</v>
      </c>
      <c r="B3177" s="2" t="s">
        <v>12639</v>
      </c>
      <c r="C3177" s="2" t="s">
        <v>12640</v>
      </c>
      <c r="D3177" s="2" t="s">
        <v>12641</v>
      </c>
      <c r="E3177" s="2" t="s">
        <v>12642</v>
      </c>
      <c r="F3177" s="2" t="b">
        <v>1</v>
      </c>
      <c r="G3177" s="2" t="b">
        <v>0</v>
      </c>
      <c r="H3177" s="2" t="s">
        <v>12643</v>
      </c>
      <c r="I3177" s="2" t="s">
        <v>32</v>
      </c>
      <c r="J3177" s="2" t="s">
        <v>9943</v>
      </c>
      <c r="K3177" s="2" t="s">
        <v>376</v>
      </c>
      <c r="L3177" s="2" t="s">
        <v>391</v>
      </c>
      <c r="M3177" s="2" t="s">
        <v>26</v>
      </c>
      <c r="N3177" s="29"/>
      <c r="O3177" s="29"/>
      <c r="P3177" s="5" t="str">
        <f>IFERROR(__xludf.DUMMYFUNCTION("TEXTJOIN("" | "",TRUE,IF(OR(D3177="""",E3177="""",I3177="""",J3177="""",H3177=""""),""ফাঁকা ঘর"",""""),IF(AND(C3177&lt;&gt;"""",D3177&lt;&gt;"""",C3177=D3177),""gloss=figurative"",""""),IF(LEN(D3177)&lt;15,""figurative ছোট"",""""),IF(AND(I3177=""Positive"",REGEXMATCH(H3"&amp;"177,""মূর্খ|ভণ্ড|প্রতার|অলস|লোভ|স্বার্থ|অক্ষম|অযোগ্য|বোকা|কৃপণ|হিংস"")),""valence-target অমিল"",""""),IF(COUNTIF($B:$B,B3177)&gt;1,""ডুপ্লিকেট"",""""))"),"")</f>
        <v/>
      </c>
      <c r="Q3177" s="5" t="str">
        <f t="shared" si="1"/>
        <v>২ পরে</v>
      </c>
    </row>
    <row r="3178">
      <c r="A3178" s="4">
        <v>982.0</v>
      </c>
      <c r="B3178" s="2" t="s">
        <v>12644</v>
      </c>
      <c r="C3178" s="2" t="s">
        <v>12645</v>
      </c>
      <c r="D3178" s="2" t="s">
        <v>12646</v>
      </c>
      <c r="E3178" s="2" t="s">
        <v>12647</v>
      </c>
      <c r="F3178" s="2" t="b">
        <v>1</v>
      </c>
      <c r="G3178" s="2" t="b">
        <v>0</v>
      </c>
      <c r="H3178" s="2" t="s">
        <v>12648</v>
      </c>
      <c r="I3178" s="2" t="s">
        <v>32</v>
      </c>
      <c r="J3178" s="2" t="s">
        <v>59</v>
      </c>
      <c r="K3178" s="2" t="s">
        <v>376</v>
      </c>
      <c r="L3178" s="2" t="s">
        <v>391</v>
      </c>
      <c r="M3178" s="2" t="s">
        <v>26</v>
      </c>
      <c r="N3178" s="29"/>
      <c r="O3178" s="29"/>
      <c r="P3178" s="5" t="str">
        <f>IFERROR(__xludf.DUMMYFUNCTION("TEXTJOIN("" | "",TRUE,IF(OR(D3178="""",E3178="""",I3178="""",J3178="""",H3178=""""),""ফাঁকা ঘর"",""""),IF(AND(C3178&lt;&gt;"""",D3178&lt;&gt;"""",C3178=D3178),""gloss=figurative"",""""),IF(LEN(D3178)&lt;15,""figurative ছোট"",""""),IF(AND(I3178=""Positive"",REGEXMATCH(H3"&amp;"178,""মূর্খ|ভণ্ড|প্রতার|অলস|লোভ|স্বার্থ|অক্ষম|অযোগ্য|বোকা|কৃপণ|হিংস"")),""valence-target অমিল"",""""),IF(COUNTIF($B:$B,B3178)&gt;1,""ডুপ্লিকেট"",""""))"),"")</f>
        <v/>
      </c>
      <c r="Q3178" s="5" t="str">
        <f t="shared" si="1"/>
        <v>২ পরে</v>
      </c>
    </row>
    <row r="3179">
      <c r="A3179" s="4">
        <v>983.0</v>
      </c>
      <c r="B3179" s="2" t="s">
        <v>12649</v>
      </c>
      <c r="C3179" s="2" t="s">
        <v>12650</v>
      </c>
      <c r="D3179" s="2" t="s">
        <v>12651</v>
      </c>
      <c r="E3179" s="2" t="s">
        <v>12652</v>
      </c>
      <c r="F3179" s="2" t="b">
        <v>1</v>
      </c>
      <c r="G3179" s="2" t="b">
        <v>0</v>
      </c>
      <c r="H3179" s="2" t="s">
        <v>189</v>
      </c>
      <c r="I3179" s="2" t="s">
        <v>22</v>
      </c>
      <c r="J3179" s="2" t="s">
        <v>59</v>
      </c>
      <c r="K3179" s="2" t="s">
        <v>376</v>
      </c>
      <c r="L3179" s="2" t="s">
        <v>391</v>
      </c>
      <c r="M3179" s="2" t="s">
        <v>26</v>
      </c>
      <c r="N3179" s="29"/>
      <c r="O3179" s="29"/>
      <c r="P3179" s="5" t="str">
        <f>IFERROR(__xludf.DUMMYFUNCTION("TEXTJOIN("" | "",TRUE,IF(OR(D3179="""",E3179="""",I3179="""",J3179="""",H3179=""""),""ফাঁকা ঘর"",""""),IF(AND(C3179&lt;&gt;"""",D3179&lt;&gt;"""",C3179=D3179),""gloss=figurative"",""""),IF(LEN(D3179)&lt;15,""figurative ছোট"",""""),IF(AND(I3179=""Positive"",REGEXMATCH(H3"&amp;"179,""মূর্খ|ভণ্ড|প্রতার|অলস|লোভ|স্বার্থ|অক্ষম|অযোগ্য|বোকা|কৃপণ|হিংস"")),""valence-target অমিল"",""""),IF(COUNTIF($B:$B,B3179)&gt;1,""ডুপ্লিকেট"",""""))"),"")</f>
        <v/>
      </c>
      <c r="Q3179" s="5" t="str">
        <f t="shared" si="1"/>
        <v>২ পরে</v>
      </c>
    </row>
    <row r="3180">
      <c r="A3180" s="4">
        <v>984.0</v>
      </c>
      <c r="B3180" s="2" t="s">
        <v>12653</v>
      </c>
      <c r="C3180" s="2" t="s">
        <v>12654</v>
      </c>
      <c r="D3180" s="2" t="s">
        <v>12655</v>
      </c>
      <c r="E3180" s="2" t="s">
        <v>12656</v>
      </c>
      <c r="F3180" s="2" t="b">
        <v>1</v>
      </c>
      <c r="G3180" s="2" t="b">
        <v>0</v>
      </c>
      <c r="H3180" s="2" t="s">
        <v>390</v>
      </c>
      <c r="I3180" s="2" t="s">
        <v>22</v>
      </c>
      <c r="J3180" s="2" t="s">
        <v>59</v>
      </c>
      <c r="K3180" s="2" t="s">
        <v>376</v>
      </c>
      <c r="L3180" s="2" t="s">
        <v>391</v>
      </c>
      <c r="M3180" s="2" t="s">
        <v>26</v>
      </c>
      <c r="N3180" s="29"/>
      <c r="O3180" s="29"/>
      <c r="P3180" s="5" t="str">
        <f>IFERROR(__xludf.DUMMYFUNCTION("TEXTJOIN("" | "",TRUE,IF(OR(D3180="""",E3180="""",I3180="""",J3180="""",H3180=""""),""ফাঁকা ঘর"",""""),IF(AND(C3180&lt;&gt;"""",D3180&lt;&gt;"""",C3180=D3180),""gloss=figurative"",""""),IF(LEN(D3180)&lt;15,""figurative ছোট"",""""),IF(AND(I3180=""Positive"",REGEXMATCH(H3"&amp;"180,""মূর্খ|ভণ্ড|প্রতার|অলস|লোভ|স্বার্থ|অক্ষম|অযোগ্য|বোকা|কৃপণ|হিংস"")),""valence-target অমিল"",""""),IF(COUNTIF($B:$B,B3180)&gt;1,""ডুপ্লিকেট"",""""))"),"")</f>
        <v/>
      </c>
      <c r="Q3180" s="5" t="str">
        <f t="shared" si="1"/>
        <v>২ পরে</v>
      </c>
    </row>
    <row r="3181">
      <c r="A3181" s="4">
        <v>985.0</v>
      </c>
      <c r="B3181" s="2" t="s">
        <v>12657</v>
      </c>
      <c r="C3181" s="2" t="s">
        <v>12658</v>
      </c>
      <c r="D3181" s="2" t="s">
        <v>12659</v>
      </c>
      <c r="E3181" s="2" t="s">
        <v>12660</v>
      </c>
      <c r="F3181" s="2" t="b">
        <v>1</v>
      </c>
      <c r="G3181" s="2" t="b">
        <v>0</v>
      </c>
      <c r="H3181" s="2" t="s">
        <v>12661</v>
      </c>
      <c r="I3181" s="2" t="s">
        <v>32</v>
      </c>
      <c r="J3181" s="2" t="s">
        <v>9321</v>
      </c>
      <c r="K3181" s="2" t="s">
        <v>376</v>
      </c>
      <c r="L3181" s="2" t="s">
        <v>391</v>
      </c>
      <c r="M3181" s="2" t="s">
        <v>26</v>
      </c>
      <c r="N3181" s="29"/>
      <c r="O3181" s="29"/>
      <c r="P3181" s="5" t="str">
        <f>IFERROR(__xludf.DUMMYFUNCTION("TEXTJOIN("" | "",TRUE,IF(OR(D3181="""",E3181="""",I3181="""",J3181="""",H3181=""""),""ফাঁকা ঘর"",""""),IF(AND(C3181&lt;&gt;"""",D3181&lt;&gt;"""",C3181=D3181),""gloss=figurative"",""""),IF(LEN(D3181)&lt;15,""figurative ছোট"",""""),IF(AND(I3181=""Positive"",REGEXMATCH(H3"&amp;"181,""মূর্খ|ভণ্ড|প্রতার|অলস|লোভ|স্বার্থ|অক্ষম|অযোগ্য|বোকা|কৃপণ|হিংস"")),""valence-target অমিল"",""""),IF(COUNTIF($B:$B,B3181)&gt;1,""ডুপ্লিকেট"",""""))"),"")</f>
        <v/>
      </c>
      <c r="Q3181" s="5" t="str">
        <f t="shared" si="1"/>
        <v>২ পরে</v>
      </c>
    </row>
    <row r="3182">
      <c r="A3182" s="4">
        <v>986.0</v>
      </c>
      <c r="B3182" s="2" t="s">
        <v>12662</v>
      </c>
      <c r="C3182" s="2" t="s">
        <v>12663</v>
      </c>
      <c r="D3182" s="2" t="s">
        <v>12664</v>
      </c>
      <c r="E3182" s="2" t="s">
        <v>12665</v>
      </c>
      <c r="F3182" s="2" t="b">
        <v>1</v>
      </c>
      <c r="G3182" s="2" t="b">
        <v>0</v>
      </c>
      <c r="H3182" s="2" t="s">
        <v>308</v>
      </c>
      <c r="I3182" s="2" t="s">
        <v>22</v>
      </c>
      <c r="J3182" s="2" t="s">
        <v>324</v>
      </c>
      <c r="K3182" s="2" t="s">
        <v>376</v>
      </c>
      <c r="L3182" s="2" t="s">
        <v>391</v>
      </c>
      <c r="M3182" s="2" t="s">
        <v>26</v>
      </c>
      <c r="N3182" s="29"/>
      <c r="O3182" s="29"/>
      <c r="P3182" s="5" t="str">
        <f>IFERROR(__xludf.DUMMYFUNCTION("TEXTJOIN("" | "",TRUE,IF(OR(D3182="""",E3182="""",I3182="""",J3182="""",H3182=""""),""ফাঁকা ঘর"",""""),IF(AND(C3182&lt;&gt;"""",D3182&lt;&gt;"""",C3182=D3182),""gloss=figurative"",""""),IF(LEN(D3182)&lt;15,""figurative ছোট"",""""),IF(AND(I3182=""Positive"",REGEXMATCH(H3"&amp;"182,""মূর্খ|ভণ্ড|প্রতার|অলস|লোভ|স্বার্থ|অক্ষম|অযোগ্য|বোকা|কৃপণ|হিংস"")),""valence-target অমিল"",""""),IF(COUNTIF($B:$B,B3182)&gt;1,""ডুপ্লিকেট"",""""))"),"")</f>
        <v/>
      </c>
      <c r="Q3182" s="5" t="str">
        <f t="shared" si="1"/>
        <v>২ পরে</v>
      </c>
    </row>
    <row r="3183">
      <c r="A3183" s="4">
        <v>987.0</v>
      </c>
      <c r="B3183" s="2" t="s">
        <v>12666</v>
      </c>
      <c r="C3183" s="2" t="s">
        <v>12667</v>
      </c>
      <c r="D3183" s="2" t="s">
        <v>12668</v>
      </c>
      <c r="E3183" s="2" t="s">
        <v>12669</v>
      </c>
      <c r="F3183" s="2" t="b">
        <v>1</v>
      </c>
      <c r="G3183" s="2" t="b">
        <v>0</v>
      </c>
      <c r="H3183" s="2" t="s">
        <v>1008</v>
      </c>
      <c r="I3183" s="2" t="s">
        <v>32</v>
      </c>
      <c r="J3183" s="2" t="s">
        <v>1008</v>
      </c>
      <c r="K3183" s="2" t="s">
        <v>376</v>
      </c>
      <c r="L3183" s="2" t="s">
        <v>391</v>
      </c>
      <c r="M3183" s="2" t="s">
        <v>26</v>
      </c>
      <c r="N3183" s="29"/>
      <c r="O3183" s="29"/>
      <c r="P3183" s="5" t="str">
        <f>IFERROR(__xludf.DUMMYFUNCTION("TEXTJOIN("" | "",TRUE,IF(OR(D3183="""",E3183="""",I3183="""",J3183="""",H3183=""""),""ফাঁকা ঘর"",""""),IF(AND(C3183&lt;&gt;"""",D3183&lt;&gt;"""",C3183=D3183),""gloss=figurative"",""""),IF(LEN(D3183)&lt;15,""figurative ছোট"",""""),IF(AND(I3183=""Positive"",REGEXMATCH(H3"&amp;"183,""মূর্খ|ভণ্ড|প্রতার|অলস|লোভ|স্বার্থ|অক্ষম|অযোগ্য|বোকা|কৃপণ|হিংস"")),""valence-target অমিল"",""""),IF(COUNTIF($B:$B,B3183)&gt;1,""ডুপ্লিকেট"",""""))"),"")</f>
        <v/>
      </c>
      <c r="Q3183" s="5" t="str">
        <f t="shared" si="1"/>
        <v>২ পরে</v>
      </c>
    </row>
    <row r="3184">
      <c r="A3184" s="4">
        <v>989.0</v>
      </c>
      <c r="B3184" s="2" t="s">
        <v>12670</v>
      </c>
      <c r="C3184" s="2" t="s">
        <v>12671</v>
      </c>
      <c r="D3184" s="2" t="s">
        <v>12672</v>
      </c>
      <c r="E3184" s="2" t="s">
        <v>12673</v>
      </c>
      <c r="F3184" s="2" t="b">
        <v>1</v>
      </c>
      <c r="G3184" s="2" t="b">
        <v>0</v>
      </c>
      <c r="H3184" s="2" t="s">
        <v>12674</v>
      </c>
      <c r="I3184" s="2" t="s">
        <v>32</v>
      </c>
      <c r="J3184" s="2" t="s">
        <v>59</v>
      </c>
      <c r="K3184" s="2" t="s">
        <v>376</v>
      </c>
      <c r="L3184" s="2" t="s">
        <v>391</v>
      </c>
      <c r="M3184" s="2" t="s">
        <v>26</v>
      </c>
      <c r="N3184" s="29"/>
      <c r="O3184" s="29"/>
      <c r="P3184" s="5" t="str">
        <f>IFERROR(__xludf.DUMMYFUNCTION("TEXTJOIN("" | "",TRUE,IF(OR(D3184="""",E3184="""",I3184="""",J3184="""",H3184=""""),""ফাঁকা ঘর"",""""),IF(AND(C3184&lt;&gt;"""",D3184&lt;&gt;"""",C3184=D3184),""gloss=figurative"",""""),IF(LEN(D3184)&lt;15,""figurative ছোট"",""""),IF(AND(I3184=""Positive"",REGEXMATCH(H3"&amp;"184,""মূর্খ|ভণ্ড|প্রতার|অলস|লোভ|স্বার্থ|অক্ষম|অযোগ্য|বোকা|কৃপণ|হিংস"")),""valence-target অমিল"",""""),IF(COUNTIF($B:$B,B3184)&gt;1,""ডুপ্লিকেট"",""""))"),"")</f>
        <v/>
      </c>
      <c r="Q3184" s="5" t="str">
        <f t="shared" si="1"/>
        <v>২ পরে</v>
      </c>
    </row>
    <row r="3185">
      <c r="A3185" s="4">
        <v>990.0</v>
      </c>
      <c r="B3185" s="2" t="s">
        <v>12675</v>
      </c>
      <c r="C3185" s="2" t="s">
        <v>12676</v>
      </c>
      <c r="D3185" s="2" t="s">
        <v>12677</v>
      </c>
      <c r="E3185" s="2" t="s">
        <v>12678</v>
      </c>
      <c r="F3185" s="2" t="b">
        <v>1</v>
      </c>
      <c r="G3185" s="2" t="b">
        <v>0</v>
      </c>
      <c r="H3185" s="2" t="s">
        <v>8837</v>
      </c>
      <c r="I3185" s="2" t="s">
        <v>32</v>
      </c>
      <c r="J3185" s="2" t="s">
        <v>59</v>
      </c>
      <c r="K3185" s="2" t="s">
        <v>376</v>
      </c>
      <c r="L3185" s="2" t="s">
        <v>391</v>
      </c>
      <c r="M3185" s="2" t="s">
        <v>26</v>
      </c>
      <c r="N3185" s="29"/>
      <c r="O3185" s="29"/>
      <c r="P3185" s="5" t="str">
        <f>IFERROR(__xludf.DUMMYFUNCTION("TEXTJOIN("" | "",TRUE,IF(OR(D3185="""",E3185="""",I3185="""",J3185="""",H3185=""""),""ফাঁকা ঘর"",""""),IF(AND(C3185&lt;&gt;"""",D3185&lt;&gt;"""",C3185=D3185),""gloss=figurative"",""""),IF(LEN(D3185)&lt;15,""figurative ছোট"",""""),IF(AND(I3185=""Positive"",REGEXMATCH(H3"&amp;"185,""মূর্খ|ভণ্ড|প্রতার|অলস|লোভ|স্বার্থ|অক্ষম|অযোগ্য|বোকা|কৃপণ|হিংস"")),""valence-target অমিল"",""""),IF(COUNTIF($B:$B,B3185)&gt;1,""ডুপ্লিকেট"",""""))"),"")</f>
        <v/>
      </c>
      <c r="Q3185" s="5" t="str">
        <f t="shared" si="1"/>
        <v>২ পরে</v>
      </c>
    </row>
    <row r="3186">
      <c r="A3186" s="4">
        <v>991.0</v>
      </c>
      <c r="B3186" s="2" t="s">
        <v>12679</v>
      </c>
      <c r="C3186" s="2" t="s">
        <v>12680</v>
      </c>
      <c r="D3186" s="2" t="s">
        <v>12681</v>
      </c>
      <c r="E3186" s="2" t="s">
        <v>12682</v>
      </c>
      <c r="F3186" s="2" t="b">
        <v>1</v>
      </c>
      <c r="G3186" s="2" t="b">
        <v>0</v>
      </c>
      <c r="H3186" s="2" t="s">
        <v>12683</v>
      </c>
      <c r="I3186" s="2" t="s">
        <v>32</v>
      </c>
      <c r="J3186" s="2" t="s">
        <v>357</v>
      </c>
      <c r="K3186" s="2" t="s">
        <v>376</v>
      </c>
      <c r="L3186" s="2" t="s">
        <v>391</v>
      </c>
      <c r="M3186" s="2" t="s">
        <v>26</v>
      </c>
      <c r="N3186" s="29"/>
      <c r="O3186" s="29"/>
      <c r="P3186" s="5" t="str">
        <f>IFERROR(__xludf.DUMMYFUNCTION("TEXTJOIN("" | "",TRUE,IF(OR(D3186="""",E3186="""",I3186="""",J3186="""",H3186=""""),""ফাঁকা ঘর"",""""),IF(AND(C3186&lt;&gt;"""",D3186&lt;&gt;"""",C3186=D3186),""gloss=figurative"",""""),IF(LEN(D3186)&lt;15,""figurative ছোট"",""""),IF(AND(I3186=""Positive"",REGEXMATCH(H3"&amp;"186,""মূর্খ|ভণ্ড|প্রতার|অলস|লোভ|স্বার্থ|অক্ষম|অযোগ্য|বোকা|কৃপণ|হিংস"")),""valence-target অমিল"",""""),IF(COUNTIF($B:$B,B3186)&gt;1,""ডুপ্লিকেট"",""""))"),"")</f>
        <v/>
      </c>
      <c r="Q3186" s="5" t="str">
        <f t="shared" si="1"/>
        <v>২ পরে</v>
      </c>
    </row>
    <row r="3187">
      <c r="A3187" s="4">
        <v>992.0</v>
      </c>
      <c r="B3187" s="2" t="s">
        <v>12684</v>
      </c>
      <c r="C3187" s="2" t="s">
        <v>12685</v>
      </c>
      <c r="D3187" s="2" t="s">
        <v>12686</v>
      </c>
      <c r="E3187" s="2" t="s">
        <v>12687</v>
      </c>
      <c r="F3187" s="2" t="b">
        <v>1</v>
      </c>
      <c r="G3187" s="2" t="b">
        <v>0</v>
      </c>
      <c r="H3187" s="2" t="s">
        <v>10170</v>
      </c>
      <c r="I3187" s="2" t="s">
        <v>49</v>
      </c>
      <c r="J3187" s="2" t="s">
        <v>162</v>
      </c>
      <c r="K3187" s="2" t="s">
        <v>376</v>
      </c>
      <c r="L3187" s="2" t="s">
        <v>391</v>
      </c>
      <c r="M3187" s="2" t="s">
        <v>26</v>
      </c>
      <c r="N3187" s="29"/>
      <c r="O3187" s="29"/>
      <c r="P3187" s="5" t="str">
        <f>IFERROR(__xludf.DUMMYFUNCTION("TEXTJOIN("" | "",TRUE,IF(OR(D3187="""",E3187="""",I3187="""",J3187="""",H3187=""""),""ফাঁকা ঘর"",""""),IF(AND(C3187&lt;&gt;"""",D3187&lt;&gt;"""",C3187=D3187),""gloss=figurative"",""""),IF(LEN(D3187)&lt;15,""figurative ছোট"",""""),IF(AND(I3187=""Positive"",REGEXMATCH(H3"&amp;"187,""মূর্খ|ভণ্ড|প্রতার|অলস|লোভ|স্বার্থ|অক্ষম|অযোগ্য|বোকা|কৃপণ|হিংস"")),""valence-target অমিল"",""""),IF(COUNTIF($B:$B,B3187)&gt;1,""ডুপ্লিকেট"",""""))"),"")</f>
        <v/>
      </c>
      <c r="Q3187" s="5" t="str">
        <f t="shared" si="1"/>
        <v>২ পরে</v>
      </c>
    </row>
    <row r="3188">
      <c r="A3188" s="4">
        <v>993.0</v>
      </c>
      <c r="B3188" s="2" t="s">
        <v>12688</v>
      </c>
      <c r="C3188" s="2" t="s">
        <v>12689</v>
      </c>
      <c r="D3188" s="2" t="s">
        <v>12690</v>
      </c>
      <c r="E3188" s="2" t="s">
        <v>12691</v>
      </c>
      <c r="F3188" s="2" t="b">
        <v>1</v>
      </c>
      <c r="G3188" s="2" t="b">
        <v>0</v>
      </c>
      <c r="H3188" s="2" t="s">
        <v>11260</v>
      </c>
      <c r="I3188" s="2" t="s">
        <v>22</v>
      </c>
      <c r="J3188" s="2" t="s">
        <v>123</v>
      </c>
      <c r="K3188" s="2" t="s">
        <v>376</v>
      </c>
      <c r="L3188" s="2" t="s">
        <v>391</v>
      </c>
      <c r="M3188" s="2" t="s">
        <v>26</v>
      </c>
      <c r="N3188" s="29"/>
      <c r="O3188" s="29"/>
      <c r="P3188" s="5" t="str">
        <f>IFERROR(__xludf.DUMMYFUNCTION("TEXTJOIN("" | "",TRUE,IF(OR(D3188="""",E3188="""",I3188="""",J3188="""",H3188=""""),""ফাঁকা ঘর"",""""),IF(AND(C3188&lt;&gt;"""",D3188&lt;&gt;"""",C3188=D3188),""gloss=figurative"",""""),IF(LEN(D3188)&lt;15,""figurative ছোট"",""""),IF(AND(I3188=""Positive"",REGEXMATCH(H3"&amp;"188,""মূর্খ|ভণ্ড|প্রতার|অলস|লোভ|স্বার্থ|অক্ষম|অযোগ্য|বোকা|কৃপণ|হিংস"")),""valence-target অমিল"",""""),IF(COUNTIF($B:$B,B3188)&gt;1,""ডুপ্লিকেট"",""""))"),"")</f>
        <v/>
      </c>
      <c r="Q3188" s="5" t="str">
        <f t="shared" si="1"/>
        <v>২ পরে</v>
      </c>
    </row>
    <row r="3189">
      <c r="A3189" s="4">
        <v>994.0</v>
      </c>
      <c r="B3189" s="2" t="s">
        <v>12692</v>
      </c>
      <c r="C3189" s="2" t="s">
        <v>12693</v>
      </c>
      <c r="D3189" s="2" t="s">
        <v>12694</v>
      </c>
      <c r="E3189" s="2" t="s">
        <v>12695</v>
      </c>
      <c r="F3189" s="2" t="b">
        <v>1</v>
      </c>
      <c r="G3189" s="2" t="b">
        <v>0</v>
      </c>
      <c r="H3189" s="2" t="s">
        <v>396</v>
      </c>
      <c r="I3189" s="2" t="s">
        <v>22</v>
      </c>
      <c r="J3189" s="2" t="s">
        <v>123</v>
      </c>
      <c r="K3189" s="2" t="s">
        <v>376</v>
      </c>
      <c r="L3189" s="2" t="s">
        <v>391</v>
      </c>
      <c r="M3189" s="2" t="s">
        <v>26</v>
      </c>
      <c r="N3189" s="29"/>
      <c r="O3189" s="29"/>
      <c r="P3189" s="5" t="str">
        <f>IFERROR(__xludf.DUMMYFUNCTION("TEXTJOIN("" | "",TRUE,IF(OR(D3189="""",E3189="""",I3189="""",J3189="""",H3189=""""),""ফাঁকা ঘর"",""""),IF(AND(C3189&lt;&gt;"""",D3189&lt;&gt;"""",C3189=D3189),""gloss=figurative"",""""),IF(LEN(D3189)&lt;15,""figurative ছোট"",""""),IF(AND(I3189=""Positive"",REGEXMATCH(H3"&amp;"189,""মূর্খ|ভণ্ড|প্রতার|অলস|লোভ|স্বার্থ|অক্ষম|অযোগ্য|বোকা|কৃপণ|হিংস"")),""valence-target অমিল"",""""),IF(COUNTIF($B:$B,B3189)&gt;1,""ডুপ্লিকেট"",""""))"),"")</f>
        <v/>
      </c>
      <c r="Q3189" s="5" t="str">
        <f t="shared" si="1"/>
        <v>২ পরে</v>
      </c>
    </row>
    <row r="3190">
      <c r="A3190" s="4">
        <v>995.0</v>
      </c>
      <c r="B3190" s="2" t="s">
        <v>12696</v>
      </c>
      <c r="C3190" s="2" t="s">
        <v>12697</v>
      </c>
      <c r="D3190" s="2" t="s">
        <v>12698</v>
      </c>
      <c r="E3190" s="2" t="s">
        <v>12699</v>
      </c>
      <c r="F3190" s="2" t="b">
        <v>1</v>
      </c>
      <c r="G3190" s="2" t="b">
        <v>0</v>
      </c>
      <c r="H3190" s="2" t="s">
        <v>11260</v>
      </c>
      <c r="I3190" s="2" t="s">
        <v>32</v>
      </c>
      <c r="J3190" s="2" t="s">
        <v>59</v>
      </c>
      <c r="K3190" s="2" t="s">
        <v>376</v>
      </c>
      <c r="L3190" s="2" t="s">
        <v>391</v>
      </c>
      <c r="M3190" s="2" t="s">
        <v>26</v>
      </c>
      <c r="N3190" s="29"/>
      <c r="O3190" s="29"/>
      <c r="P3190" s="5" t="str">
        <f>IFERROR(__xludf.DUMMYFUNCTION("TEXTJOIN("" | "",TRUE,IF(OR(D3190="""",E3190="""",I3190="""",J3190="""",H3190=""""),""ফাঁকা ঘর"",""""),IF(AND(C3190&lt;&gt;"""",D3190&lt;&gt;"""",C3190=D3190),""gloss=figurative"",""""),IF(LEN(D3190)&lt;15,""figurative ছোট"",""""),IF(AND(I3190=""Positive"",REGEXMATCH(H3"&amp;"190,""মূর্খ|ভণ্ড|প্রতার|অলস|লোভ|স্বার্থ|অক্ষম|অযোগ্য|বোকা|কৃপণ|হিংস"")),""valence-target অমিল"",""""),IF(COUNTIF($B:$B,B3190)&gt;1,""ডুপ্লিকেট"",""""))"),"")</f>
        <v/>
      </c>
      <c r="Q3190" s="5" t="str">
        <f t="shared" si="1"/>
        <v>২ পরে</v>
      </c>
    </row>
    <row r="3191">
      <c r="A3191" s="4">
        <v>996.0</v>
      </c>
      <c r="B3191" s="2" t="s">
        <v>12700</v>
      </c>
      <c r="C3191" s="2" t="s">
        <v>12701</v>
      </c>
      <c r="D3191" s="2" t="s">
        <v>12702</v>
      </c>
      <c r="E3191" s="2" t="s">
        <v>12703</v>
      </c>
      <c r="F3191" s="2" t="b">
        <v>1</v>
      </c>
      <c r="G3191" s="2" t="b">
        <v>0</v>
      </c>
      <c r="H3191" s="2" t="s">
        <v>10681</v>
      </c>
      <c r="I3191" s="2" t="s">
        <v>22</v>
      </c>
      <c r="J3191" s="2" t="s">
        <v>59</v>
      </c>
      <c r="K3191" s="2" t="s">
        <v>376</v>
      </c>
      <c r="L3191" s="2" t="s">
        <v>391</v>
      </c>
      <c r="M3191" s="2" t="s">
        <v>26</v>
      </c>
      <c r="N3191" s="29"/>
      <c r="O3191" s="29"/>
      <c r="P3191" s="5" t="str">
        <f>IFERROR(__xludf.DUMMYFUNCTION("TEXTJOIN("" | "",TRUE,IF(OR(D3191="""",E3191="""",I3191="""",J3191="""",H3191=""""),""ফাঁকা ঘর"",""""),IF(AND(C3191&lt;&gt;"""",D3191&lt;&gt;"""",C3191=D3191),""gloss=figurative"",""""),IF(LEN(D3191)&lt;15,""figurative ছোট"",""""),IF(AND(I3191=""Positive"",REGEXMATCH(H3"&amp;"191,""মূর্খ|ভণ্ড|প্রতার|অলস|লোভ|স্বার্থ|অক্ষম|অযোগ্য|বোকা|কৃপণ|হিংস"")),""valence-target অমিল"",""""),IF(COUNTIF($B:$B,B3191)&gt;1,""ডুপ্লিকেট"",""""))"),"")</f>
        <v/>
      </c>
      <c r="Q3191" s="5" t="str">
        <f t="shared" si="1"/>
        <v>২ পরে</v>
      </c>
    </row>
    <row r="3192">
      <c r="A3192" s="4">
        <v>997.0</v>
      </c>
      <c r="B3192" s="2" t="s">
        <v>12704</v>
      </c>
      <c r="C3192" s="2" t="s">
        <v>12705</v>
      </c>
      <c r="D3192" s="2" t="s">
        <v>12706</v>
      </c>
      <c r="E3192" s="2" t="s">
        <v>12707</v>
      </c>
      <c r="F3192" s="2" t="b">
        <v>1</v>
      </c>
      <c r="G3192" s="2" t="b">
        <v>0</v>
      </c>
      <c r="H3192" s="2" t="s">
        <v>37</v>
      </c>
      <c r="I3192" s="2" t="s">
        <v>32</v>
      </c>
      <c r="J3192" s="2" t="s">
        <v>9943</v>
      </c>
      <c r="K3192" s="2" t="s">
        <v>376</v>
      </c>
      <c r="L3192" s="2" t="s">
        <v>391</v>
      </c>
      <c r="M3192" s="2" t="s">
        <v>26</v>
      </c>
      <c r="N3192" s="29"/>
      <c r="O3192" s="29"/>
      <c r="P3192" s="5" t="str">
        <f>IFERROR(__xludf.DUMMYFUNCTION("TEXTJOIN("" | "",TRUE,IF(OR(D3192="""",E3192="""",I3192="""",J3192="""",H3192=""""),""ফাঁকা ঘর"",""""),IF(AND(C3192&lt;&gt;"""",D3192&lt;&gt;"""",C3192=D3192),""gloss=figurative"",""""),IF(LEN(D3192)&lt;15,""figurative ছোট"",""""),IF(AND(I3192=""Positive"",REGEXMATCH(H3"&amp;"192,""মূর্খ|ভণ্ড|প্রতার|অলস|লোভ|স্বার্থ|অক্ষম|অযোগ্য|বোকা|কৃপণ|হিংস"")),""valence-target অমিল"",""""),IF(COUNTIF($B:$B,B3192)&gt;1,""ডুপ্লিকেট"",""""))"),"")</f>
        <v/>
      </c>
      <c r="Q3192" s="5" t="str">
        <f t="shared" si="1"/>
        <v>২ পরে</v>
      </c>
    </row>
    <row r="3193">
      <c r="A3193" s="4">
        <v>998.0</v>
      </c>
      <c r="B3193" s="2" t="s">
        <v>12708</v>
      </c>
      <c r="C3193" s="2" t="s">
        <v>12709</v>
      </c>
      <c r="D3193" s="2" t="s">
        <v>12710</v>
      </c>
      <c r="E3193" s="2" t="s">
        <v>12711</v>
      </c>
      <c r="F3193" s="2" t="b">
        <v>1</v>
      </c>
      <c r="G3193" s="2" t="b">
        <v>0</v>
      </c>
      <c r="H3193" s="2" t="s">
        <v>37</v>
      </c>
      <c r="I3193" s="2" t="s">
        <v>32</v>
      </c>
      <c r="J3193" s="2" t="s">
        <v>123</v>
      </c>
      <c r="K3193" s="2" t="s">
        <v>376</v>
      </c>
      <c r="L3193" s="2" t="s">
        <v>391</v>
      </c>
      <c r="M3193" s="2" t="s">
        <v>26</v>
      </c>
      <c r="N3193" s="29"/>
      <c r="O3193" s="29"/>
      <c r="P3193" s="5" t="str">
        <f>IFERROR(__xludf.DUMMYFUNCTION("TEXTJOIN("" | "",TRUE,IF(OR(D3193="""",E3193="""",I3193="""",J3193="""",H3193=""""),""ফাঁকা ঘর"",""""),IF(AND(C3193&lt;&gt;"""",D3193&lt;&gt;"""",C3193=D3193),""gloss=figurative"",""""),IF(LEN(D3193)&lt;15,""figurative ছোট"",""""),IF(AND(I3193=""Positive"",REGEXMATCH(H3"&amp;"193,""মূর্খ|ভণ্ড|প্রতার|অলস|লোভ|স্বার্থ|অক্ষম|অযোগ্য|বোকা|কৃপণ|হিংস"")),""valence-target অমিল"",""""),IF(COUNTIF($B:$B,B3193)&gt;1,""ডুপ্লিকেট"",""""))"),"")</f>
        <v/>
      </c>
      <c r="Q3193" s="5" t="str">
        <f t="shared" si="1"/>
        <v>২ পরে</v>
      </c>
    </row>
    <row r="3194">
      <c r="A3194" s="4">
        <v>999.0</v>
      </c>
      <c r="B3194" s="2" t="s">
        <v>12712</v>
      </c>
      <c r="C3194" s="2" t="s">
        <v>12713</v>
      </c>
      <c r="D3194" s="2" t="s">
        <v>12714</v>
      </c>
      <c r="E3194" s="2" t="s">
        <v>12715</v>
      </c>
      <c r="F3194" s="2" t="b">
        <v>1</v>
      </c>
      <c r="G3194" s="2" t="b">
        <v>0</v>
      </c>
      <c r="H3194" s="2" t="s">
        <v>10120</v>
      </c>
      <c r="I3194" s="2" t="s">
        <v>49</v>
      </c>
      <c r="J3194" s="2" t="s">
        <v>142</v>
      </c>
      <c r="K3194" s="2" t="s">
        <v>376</v>
      </c>
      <c r="L3194" s="2" t="s">
        <v>391</v>
      </c>
      <c r="M3194" s="2" t="s">
        <v>26</v>
      </c>
      <c r="N3194" s="29"/>
      <c r="O3194" s="29"/>
      <c r="P3194" s="5" t="str">
        <f>IFERROR(__xludf.DUMMYFUNCTION("TEXTJOIN("" | "",TRUE,IF(OR(D3194="""",E3194="""",I3194="""",J3194="""",H3194=""""),""ফাঁকা ঘর"",""""),IF(AND(C3194&lt;&gt;"""",D3194&lt;&gt;"""",C3194=D3194),""gloss=figurative"",""""),IF(LEN(D3194)&lt;15,""figurative ছোট"",""""),IF(AND(I3194=""Positive"",REGEXMATCH(H3"&amp;"194,""মূর্খ|ভণ্ড|প্রতার|অলস|লোভ|স্বার্থ|অক্ষম|অযোগ্য|বোকা|কৃপণ|হিংস"")),""valence-target অমিল"",""""),IF(COUNTIF($B:$B,B3194)&gt;1,""ডুপ্লিকেট"",""""))"),"")</f>
        <v/>
      </c>
      <c r="Q3194" s="5" t="str">
        <f t="shared" si="1"/>
        <v>২ পরে</v>
      </c>
    </row>
    <row r="3195">
      <c r="A3195" s="4">
        <v>1000.0</v>
      </c>
      <c r="B3195" s="2" t="s">
        <v>12716</v>
      </c>
      <c r="C3195" s="2" t="s">
        <v>10113</v>
      </c>
      <c r="D3195" s="2" t="s">
        <v>10114</v>
      </c>
      <c r="E3195" s="2" t="s">
        <v>12717</v>
      </c>
      <c r="F3195" s="2" t="b">
        <v>1</v>
      </c>
      <c r="G3195" s="2" t="b">
        <v>0</v>
      </c>
      <c r="H3195" s="2" t="s">
        <v>37</v>
      </c>
      <c r="I3195" s="2" t="s">
        <v>32</v>
      </c>
      <c r="J3195" s="2" t="s">
        <v>4670</v>
      </c>
      <c r="K3195" s="2" t="s">
        <v>376</v>
      </c>
      <c r="L3195" s="2" t="s">
        <v>391</v>
      </c>
      <c r="M3195" s="2" t="s">
        <v>26</v>
      </c>
      <c r="N3195" s="29"/>
      <c r="O3195" s="29"/>
      <c r="P3195" s="5" t="str">
        <f>IFERROR(__xludf.DUMMYFUNCTION("TEXTJOIN("" | "",TRUE,IF(OR(D3195="""",E3195="""",I3195="""",J3195="""",H3195=""""),""ফাঁকা ঘর"",""""),IF(AND(C3195&lt;&gt;"""",D3195&lt;&gt;"""",C3195=D3195),""gloss=figurative"",""""),IF(LEN(D3195)&lt;15,""figurative ছোট"",""""),IF(AND(I3195=""Positive"",REGEXMATCH(H3"&amp;"195,""মূর্খ|ভণ্ড|প্রতার|অলস|লোভ|স্বার্থ|অক্ষম|অযোগ্য|বোকা|কৃপণ|হিংস"")),""valence-target অমিল"",""""),IF(COUNTIF($B:$B,B3195)&gt;1,""ডুপ্লিকেট"",""""))"),"")</f>
        <v/>
      </c>
      <c r="Q3195" s="5" t="str">
        <f t="shared" si="1"/>
        <v>২ পরে</v>
      </c>
    </row>
    <row r="3196">
      <c r="A3196" s="4">
        <v>1001.0</v>
      </c>
      <c r="B3196" s="2" t="s">
        <v>12718</v>
      </c>
      <c r="C3196" s="2" t="s">
        <v>12719</v>
      </c>
      <c r="D3196" s="2" t="s">
        <v>12720</v>
      </c>
      <c r="E3196" s="2" t="s">
        <v>12721</v>
      </c>
      <c r="F3196" s="2" t="b">
        <v>1</v>
      </c>
      <c r="G3196" s="2" t="b">
        <v>0</v>
      </c>
      <c r="H3196" s="2" t="s">
        <v>12722</v>
      </c>
      <c r="I3196" s="2" t="s">
        <v>22</v>
      </c>
      <c r="J3196" s="2" t="s">
        <v>59</v>
      </c>
      <c r="K3196" s="2" t="s">
        <v>376</v>
      </c>
      <c r="L3196" s="2" t="s">
        <v>391</v>
      </c>
      <c r="M3196" s="2" t="s">
        <v>26</v>
      </c>
      <c r="N3196" s="29"/>
      <c r="O3196" s="29"/>
      <c r="P3196" s="5" t="str">
        <f>IFERROR(__xludf.DUMMYFUNCTION("TEXTJOIN("" | "",TRUE,IF(OR(D3196="""",E3196="""",I3196="""",J3196="""",H3196=""""),""ফাঁকা ঘর"",""""),IF(AND(C3196&lt;&gt;"""",D3196&lt;&gt;"""",C3196=D3196),""gloss=figurative"",""""),IF(LEN(D3196)&lt;15,""figurative ছোট"",""""),IF(AND(I3196=""Positive"",REGEXMATCH(H3"&amp;"196,""মূর্খ|ভণ্ড|প্রতার|অলস|লোভ|স্বার্থ|অক্ষম|অযোগ্য|বোকা|কৃপণ|হিংস"")),""valence-target অমিল"",""""),IF(COUNTIF($B:$B,B3196)&gt;1,""ডুপ্লিকেট"",""""))"),"")</f>
        <v/>
      </c>
      <c r="Q3196" s="5" t="str">
        <f t="shared" si="1"/>
        <v>২ পরে</v>
      </c>
    </row>
    <row r="3197">
      <c r="A3197" s="4">
        <v>1002.0</v>
      </c>
      <c r="B3197" s="2" t="s">
        <v>12723</v>
      </c>
      <c r="C3197" s="2" t="s">
        <v>12724</v>
      </c>
      <c r="D3197" s="2" t="s">
        <v>12725</v>
      </c>
      <c r="E3197" s="2" t="s">
        <v>12726</v>
      </c>
      <c r="F3197" s="2" t="b">
        <v>1</v>
      </c>
      <c r="G3197" s="2" t="b">
        <v>0</v>
      </c>
      <c r="H3197" s="2" t="s">
        <v>396</v>
      </c>
      <c r="I3197" s="2" t="s">
        <v>22</v>
      </c>
      <c r="J3197" s="2" t="s">
        <v>123</v>
      </c>
      <c r="K3197" s="2" t="s">
        <v>376</v>
      </c>
      <c r="L3197" s="2" t="s">
        <v>391</v>
      </c>
      <c r="M3197" s="2" t="s">
        <v>26</v>
      </c>
      <c r="N3197" s="29"/>
      <c r="O3197" s="29"/>
      <c r="P3197" s="5" t="str">
        <f>IFERROR(__xludf.DUMMYFUNCTION("TEXTJOIN("" | "",TRUE,IF(OR(D3197="""",E3197="""",I3197="""",J3197="""",H3197=""""),""ফাঁকা ঘর"",""""),IF(AND(C3197&lt;&gt;"""",D3197&lt;&gt;"""",C3197=D3197),""gloss=figurative"",""""),IF(LEN(D3197)&lt;15,""figurative ছোট"",""""),IF(AND(I3197=""Positive"",REGEXMATCH(H3"&amp;"197,""মূর্খ|ভণ্ড|প্রতার|অলস|লোভ|স্বার্থ|অক্ষম|অযোগ্য|বোকা|কৃপণ|হিংস"")),""valence-target অমিল"",""""),IF(COUNTIF($B:$B,B3197)&gt;1,""ডুপ্লিকেট"",""""))"),"")</f>
        <v/>
      </c>
      <c r="Q3197" s="5" t="str">
        <f t="shared" si="1"/>
        <v>২ পরে</v>
      </c>
    </row>
    <row r="3198">
      <c r="A3198" s="4">
        <v>1003.0</v>
      </c>
      <c r="B3198" s="2" t="s">
        <v>12727</v>
      </c>
      <c r="C3198" s="2" t="s">
        <v>12728</v>
      </c>
      <c r="D3198" s="2" t="s">
        <v>12729</v>
      </c>
      <c r="E3198" s="2" t="s">
        <v>12730</v>
      </c>
      <c r="F3198" s="2" t="b">
        <v>1</v>
      </c>
      <c r="G3198" s="2" t="b">
        <v>0</v>
      </c>
      <c r="H3198" s="2" t="s">
        <v>156</v>
      </c>
      <c r="I3198" s="2" t="s">
        <v>49</v>
      </c>
      <c r="J3198" s="2" t="s">
        <v>300</v>
      </c>
      <c r="K3198" s="2" t="s">
        <v>376</v>
      </c>
      <c r="L3198" s="2" t="s">
        <v>391</v>
      </c>
      <c r="M3198" s="2" t="s">
        <v>26</v>
      </c>
      <c r="N3198" s="29"/>
      <c r="O3198" s="29"/>
      <c r="P3198" s="5" t="str">
        <f>IFERROR(__xludf.DUMMYFUNCTION("TEXTJOIN("" | "",TRUE,IF(OR(D3198="""",E3198="""",I3198="""",J3198="""",H3198=""""),""ফাঁকা ঘর"",""""),IF(AND(C3198&lt;&gt;"""",D3198&lt;&gt;"""",C3198=D3198),""gloss=figurative"",""""),IF(LEN(D3198)&lt;15,""figurative ছোট"",""""),IF(AND(I3198=""Positive"",REGEXMATCH(H3"&amp;"198,""মূর্খ|ভণ্ড|প্রতার|অলস|লোভ|স্বার্থ|অক্ষম|অযোগ্য|বোকা|কৃপণ|হিংস"")),""valence-target অমিল"",""""),IF(COUNTIF($B:$B,B3198)&gt;1,""ডুপ্লিকেট"",""""))"),"")</f>
        <v/>
      </c>
      <c r="Q3198" s="5" t="str">
        <f t="shared" si="1"/>
        <v>২ পরে</v>
      </c>
    </row>
    <row r="3199">
      <c r="A3199" s="4">
        <v>1004.0</v>
      </c>
      <c r="B3199" s="2" t="s">
        <v>12731</v>
      </c>
      <c r="C3199" s="2" t="s">
        <v>12732</v>
      </c>
      <c r="D3199" s="2" t="s">
        <v>12733</v>
      </c>
      <c r="E3199" s="2" t="s">
        <v>12734</v>
      </c>
      <c r="F3199" s="2" t="b">
        <v>1</v>
      </c>
      <c r="G3199" s="2" t="b">
        <v>0</v>
      </c>
      <c r="H3199" s="2" t="s">
        <v>12735</v>
      </c>
      <c r="I3199" s="2" t="s">
        <v>49</v>
      </c>
      <c r="J3199" s="2" t="s">
        <v>225</v>
      </c>
      <c r="K3199" s="2" t="s">
        <v>376</v>
      </c>
      <c r="L3199" s="2" t="s">
        <v>391</v>
      </c>
      <c r="M3199" s="2" t="s">
        <v>26</v>
      </c>
      <c r="N3199" s="29"/>
      <c r="O3199" s="29"/>
      <c r="P3199" s="5" t="str">
        <f>IFERROR(__xludf.DUMMYFUNCTION("TEXTJOIN("" | "",TRUE,IF(OR(D3199="""",E3199="""",I3199="""",J3199="""",H3199=""""),""ফাঁকা ঘর"",""""),IF(AND(C3199&lt;&gt;"""",D3199&lt;&gt;"""",C3199=D3199),""gloss=figurative"",""""),IF(LEN(D3199)&lt;15,""figurative ছোট"",""""),IF(AND(I3199=""Positive"",REGEXMATCH(H3"&amp;"199,""মূর্খ|ভণ্ড|প্রতার|অলস|লোভ|স্বার্থ|অক্ষম|অযোগ্য|বোকা|কৃপণ|হিংস"")),""valence-target অমিল"",""""),IF(COUNTIF($B:$B,B3199)&gt;1,""ডুপ্লিকেট"",""""))"),"")</f>
        <v/>
      </c>
      <c r="Q3199" s="5" t="str">
        <f t="shared" si="1"/>
        <v>২ পরে</v>
      </c>
    </row>
    <row r="3200">
      <c r="A3200" s="4">
        <v>1005.0</v>
      </c>
      <c r="B3200" s="2" t="s">
        <v>12736</v>
      </c>
      <c r="C3200" s="2" t="s">
        <v>12737</v>
      </c>
      <c r="D3200" s="2" t="s">
        <v>12738</v>
      </c>
      <c r="E3200" s="2" t="s">
        <v>12739</v>
      </c>
      <c r="F3200" s="2" t="b">
        <v>1</v>
      </c>
      <c r="G3200" s="2" t="b">
        <v>0</v>
      </c>
      <c r="H3200" s="2" t="s">
        <v>12740</v>
      </c>
      <c r="I3200" s="2" t="s">
        <v>22</v>
      </c>
      <c r="J3200" s="2" t="s">
        <v>59</v>
      </c>
      <c r="K3200" s="2" t="s">
        <v>376</v>
      </c>
      <c r="L3200" s="2" t="s">
        <v>391</v>
      </c>
      <c r="M3200" s="2" t="s">
        <v>26</v>
      </c>
      <c r="N3200" s="29"/>
      <c r="O3200" s="29"/>
      <c r="P3200" s="5" t="str">
        <f>IFERROR(__xludf.DUMMYFUNCTION("TEXTJOIN("" | "",TRUE,IF(OR(D3200="""",E3200="""",I3200="""",J3200="""",H3200=""""),""ফাঁকা ঘর"",""""),IF(AND(C3200&lt;&gt;"""",D3200&lt;&gt;"""",C3200=D3200),""gloss=figurative"",""""),IF(LEN(D3200)&lt;15,""figurative ছোট"",""""),IF(AND(I3200=""Positive"",REGEXMATCH(H3"&amp;"200,""মূর্খ|ভণ্ড|প্রতার|অলস|লোভ|স্বার্থ|অক্ষম|অযোগ্য|বোকা|কৃপণ|হিংস"")),""valence-target অমিল"",""""),IF(COUNTIF($B:$B,B3200)&gt;1,""ডুপ্লিকেট"",""""))"),"")</f>
        <v/>
      </c>
      <c r="Q3200" s="5" t="str">
        <f t="shared" si="1"/>
        <v>২ পরে</v>
      </c>
    </row>
    <row r="3201">
      <c r="A3201" s="4">
        <v>1006.0</v>
      </c>
      <c r="B3201" s="2" t="s">
        <v>12741</v>
      </c>
      <c r="C3201" s="2" t="s">
        <v>12742</v>
      </c>
      <c r="D3201" s="2" t="s">
        <v>10153</v>
      </c>
      <c r="E3201" s="2" t="s">
        <v>12743</v>
      </c>
      <c r="F3201" s="2" t="b">
        <v>1</v>
      </c>
      <c r="G3201" s="2" t="b">
        <v>0</v>
      </c>
      <c r="H3201" s="2" t="s">
        <v>9359</v>
      </c>
      <c r="I3201" s="2" t="s">
        <v>22</v>
      </c>
      <c r="J3201" s="2" t="s">
        <v>123</v>
      </c>
      <c r="K3201" s="2" t="s">
        <v>376</v>
      </c>
      <c r="L3201" s="2" t="s">
        <v>391</v>
      </c>
      <c r="M3201" s="2" t="s">
        <v>26</v>
      </c>
      <c r="N3201" s="29"/>
      <c r="O3201" s="29"/>
      <c r="P3201" s="5" t="str">
        <f>IFERROR(__xludf.DUMMYFUNCTION("TEXTJOIN("" | "",TRUE,IF(OR(D3201="""",E3201="""",I3201="""",J3201="""",H3201=""""),""ফাঁকা ঘর"",""""),IF(AND(C3201&lt;&gt;"""",D3201&lt;&gt;"""",C3201=D3201),""gloss=figurative"",""""),IF(LEN(D3201)&lt;15,""figurative ছোট"",""""),IF(AND(I3201=""Positive"",REGEXMATCH(H3"&amp;"201,""মূর্খ|ভণ্ড|প্রতার|অলস|লোভ|স্বার্থ|অক্ষম|অযোগ্য|বোকা|কৃপণ|হিংস"")),""valence-target অমিল"",""""),IF(COUNTIF($B:$B,B3201)&gt;1,""ডুপ্লিকেট"",""""))"),"")</f>
        <v/>
      </c>
      <c r="Q3201" s="5" t="str">
        <f t="shared" si="1"/>
        <v>২ পরে</v>
      </c>
    </row>
    <row r="3202">
      <c r="A3202" s="4">
        <v>1007.0</v>
      </c>
      <c r="B3202" s="2" t="s">
        <v>12744</v>
      </c>
      <c r="C3202" s="2" t="s">
        <v>12745</v>
      </c>
      <c r="D3202" s="2" t="s">
        <v>12746</v>
      </c>
      <c r="E3202" s="2" t="s">
        <v>12747</v>
      </c>
      <c r="F3202" s="2" t="b">
        <v>1</v>
      </c>
      <c r="G3202" s="2" t="b">
        <v>0</v>
      </c>
      <c r="H3202" s="2" t="s">
        <v>12748</v>
      </c>
      <c r="I3202" s="2" t="s">
        <v>32</v>
      </c>
      <c r="J3202" s="2" t="s">
        <v>528</v>
      </c>
      <c r="K3202" s="2" t="s">
        <v>376</v>
      </c>
      <c r="L3202" s="2" t="s">
        <v>391</v>
      </c>
      <c r="M3202" s="2" t="s">
        <v>26</v>
      </c>
      <c r="N3202" s="29"/>
      <c r="O3202" s="29"/>
      <c r="P3202" s="5" t="str">
        <f>IFERROR(__xludf.DUMMYFUNCTION("TEXTJOIN("" | "",TRUE,IF(OR(D3202="""",E3202="""",I3202="""",J3202="""",H3202=""""),""ফাঁকা ঘর"",""""),IF(AND(C3202&lt;&gt;"""",D3202&lt;&gt;"""",C3202=D3202),""gloss=figurative"",""""),IF(LEN(D3202)&lt;15,""figurative ছোট"",""""),IF(AND(I3202=""Positive"",REGEXMATCH(H3"&amp;"202,""মূর্খ|ভণ্ড|প্রতার|অলস|লোভ|স্বার্থ|অক্ষম|অযোগ্য|বোকা|কৃপণ|হিংস"")),""valence-target অমিল"",""""),IF(COUNTIF($B:$B,B3202)&gt;1,""ডুপ্লিকেট"",""""))"),"")</f>
        <v/>
      </c>
      <c r="Q3202" s="5" t="str">
        <f t="shared" si="1"/>
        <v>২ পরে</v>
      </c>
    </row>
    <row r="3203">
      <c r="A3203" s="4">
        <v>1009.0</v>
      </c>
      <c r="B3203" s="2" t="s">
        <v>12749</v>
      </c>
      <c r="C3203" s="2" t="s">
        <v>12750</v>
      </c>
      <c r="D3203" s="2" t="s">
        <v>12751</v>
      </c>
      <c r="E3203" s="2" t="s">
        <v>12752</v>
      </c>
      <c r="F3203" s="2" t="b">
        <v>1</v>
      </c>
      <c r="G3203" s="2" t="b">
        <v>0</v>
      </c>
      <c r="H3203" s="2" t="s">
        <v>11260</v>
      </c>
      <c r="I3203" s="2" t="s">
        <v>22</v>
      </c>
      <c r="J3203" s="2" t="s">
        <v>123</v>
      </c>
      <c r="K3203" s="2" t="s">
        <v>376</v>
      </c>
      <c r="L3203" s="2" t="s">
        <v>391</v>
      </c>
      <c r="M3203" s="2" t="s">
        <v>26</v>
      </c>
      <c r="N3203" s="29"/>
      <c r="O3203" s="29"/>
      <c r="P3203" s="5" t="str">
        <f>IFERROR(__xludf.DUMMYFUNCTION("TEXTJOIN("" | "",TRUE,IF(OR(D3203="""",E3203="""",I3203="""",J3203="""",H3203=""""),""ফাঁকা ঘর"",""""),IF(AND(C3203&lt;&gt;"""",D3203&lt;&gt;"""",C3203=D3203),""gloss=figurative"",""""),IF(LEN(D3203)&lt;15,""figurative ছোট"",""""),IF(AND(I3203=""Positive"",REGEXMATCH(H3"&amp;"203,""মূর্খ|ভণ্ড|প্রতার|অলস|লোভ|স্বার্থ|অক্ষম|অযোগ্য|বোকা|কৃপণ|হিংস"")),""valence-target অমিল"",""""),IF(COUNTIF($B:$B,B3203)&gt;1,""ডুপ্লিকেট"",""""))"),"")</f>
        <v/>
      </c>
      <c r="Q3203" s="5" t="str">
        <f t="shared" si="1"/>
        <v>২ পরে</v>
      </c>
    </row>
    <row r="3204">
      <c r="A3204" s="4">
        <v>1010.0</v>
      </c>
      <c r="B3204" s="2" t="s">
        <v>12753</v>
      </c>
      <c r="C3204" s="2" t="s">
        <v>12754</v>
      </c>
      <c r="D3204" s="2" t="s">
        <v>12755</v>
      </c>
      <c r="E3204" s="2" t="s">
        <v>12756</v>
      </c>
      <c r="F3204" s="2" t="b">
        <v>1</v>
      </c>
      <c r="G3204" s="2" t="b">
        <v>0</v>
      </c>
      <c r="H3204" s="2" t="s">
        <v>110</v>
      </c>
      <c r="I3204" s="2" t="s">
        <v>22</v>
      </c>
      <c r="J3204" s="2" t="s">
        <v>59</v>
      </c>
      <c r="K3204" s="2" t="s">
        <v>376</v>
      </c>
      <c r="L3204" s="2" t="s">
        <v>391</v>
      </c>
      <c r="M3204" s="2" t="s">
        <v>26</v>
      </c>
      <c r="N3204" s="29"/>
      <c r="O3204" s="29"/>
      <c r="P3204" s="5" t="str">
        <f>IFERROR(__xludf.DUMMYFUNCTION("TEXTJOIN("" | "",TRUE,IF(OR(D3204="""",E3204="""",I3204="""",J3204="""",H3204=""""),""ফাঁকা ঘর"",""""),IF(AND(C3204&lt;&gt;"""",D3204&lt;&gt;"""",C3204=D3204),""gloss=figurative"",""""),IF(LEN(D3204)&lt;15,""figurative ছোট"",""""),IF(AND(I3204=""Positive"",REGEXMATCH(H3"&amp;"204,""মূর্খ|ভণ্ড|প্রতার|অলস|লোভ|স্বার্থ|অক্ষম|অযোগ্য|বোকা|কৃপণ|হিংস"")),""valence-target অমিল"",""""),IF(COUNTIF($B:$B,B3204)&gt;1,""ডুপ্লিকেট"",""""))"),"")</f>
        <v/>
      </c>
      <c r="Q3204" s="5" t="str">
        <f t="shared" si="1"/>
        <v>২ পরে</v>
      </c>
    </row>
    <row r="3205">
      <c r="A3205" s="4">
        <v>1011.0</v>
      </c>
      <c r="B3205" s="2" t="s">
        <v>12757</v>
      </c>
      <c r="C3205" s="2" t="s">
        <v>12758</v>
      </c>
      <c r="D3205" s="2" t="s">
        <v>12759</v>
      </c>
      <c r="E3205" s="2" t="s">
        <v>12760</v>
      </c>
      <c r="F3205" s="2" t="b">
        <v>1</v>
      </c>
      <c r="G3205" s="2" t="b">
        <v>0</v>
      </c>
      <c r="H3205" s="2" t="s">
        <v>37</v>
      </c>
      <c r="I3205" s="2" t="s">
        <v>32</v>
      </c>
      <c r="J3205" s="2" t="s">
        <v>1151</v>
      </c>
      <c r="K3205" s="2" t="s">
        <v>376</v>
      </c>
      <c r="L3205" s="2" t="s">
        <v>391</v>
      </c>
      <c r="M3205" s="2" t="s">
        <v>26</v>
      </c>
      <c r="N3205" s="29"/>
      <c r="O3205" s="29"/>
      <c r="P3205" s="5" t="str">
        <f>IFERROR(__xludf.DUMMYFUNCTION("TEXTJOIN("" | "",TRUE,IF(OR(D3205="""",E3205="""",I3205="""",J3205="""",H3205=""""),""ফাঁকা ঘর"",""""),IF(AND(C3205&lt;&gt;"""",D3205&lt;&gt;"""",C3205=D3205),""gloss=figurative"",""""),IF(LEN(D3205)&lt;15,""figurative ছোট"",""""),IF(AND(I3205=""Positive"",REGEXMATCH(H3"&amp;"205,""মূর্খ|ভণ্ড|প্রতার|অলস|লোভ|স্বার্থ|অক্ষম|অযোগ্য|বোকা|কৃপণ|হিংস"")),""valence-target অমিল"",""""),IF(COUNTIF($B:$B,B3205)&gt;1,""ডুপ্লিকেট"",""""))"),"")</f>
        <v/>
      </c>
      <c r="Q3205" s="5" t="str">
        <f t="shared" si="1"/>
        <v>২ পরে</v>
      </c>
    </row>
    <row r="3206">
      <c r="A3206" s="4">
        <v>1012.0</v>
      </c>
      <c r="B3206" s="2" t="s">
        <v>12761</v>
      </c>
      <c r="C3206" s="2" t="s">
        <v>12762</v>
      </c>
      <c r="D3206" s="2" t="s">
        <v>12763</v>
      </c>
      <c r="E3206" s="2" t="s">
        <v>12764</v>
      </c>
      <c r="F3206" s="2" t="b">
        <v>1</v>
      </c>
      <c r="G3206" s="2" t="b">
        <v>0</v>
      </c>
      <c r="H3206" s="2" t="s">
        <v>37</v>
      </c>
      <c r="I3206" s="2" t="s">
        <v>32</v>
      </c>
      <c r="J3206" s="2" t="s">
        <v>197</v>
      </c>
      <c r="K3206" s="2" t="s">
        <v>376</v>
      </c>
      <c r="L3206" s="2" t="s">
        <v>391</v>
      </c>
      <c r="M3206" s="2" t="s">
        <v>26</v>
      </c>
      <c r="N3206" s="29"/>
      <c r="O3206" s="29"/>
      <c r="P3206" s="5" t="str">
        <f>IFERROR(__xludf.DUMMYFUNCTION("TEXTJOIN("" | "",TRUE,IF(OR(D3206="""",E3206="""",I3206="""",J3206="""",H3206=""""),""ফাঁকা ঘর"",""""),IF(AND(C3206&lt;&gt;"""",D3206&lt;&gt;"""",C3206=D3206),""gloss=figurative"",""""),IF(LEN(D3206)&lt;15,""figurative ছোট"",""""),IF(AND(I3206=""Positive"",REGEXMATCH(H3"&amp;"206,""মূর্খ|ভণ্ড|প্রতার|অলস|লোভ|স্বার্থ|অক্ষম|অযোগ্য|বোকা|কৃপণ|হিংস"")),""valence-target অমিল"",""""),IF(COUNTIF($B:$B,B3206)&gt;1,""ডুপ্লিকেট"",""""))"),"")</f>
        <v/>
      </c>
      <c r="Q3206" s="5" t="str">
        <f t="shared" si="1"/>
        <v>২ পরে</v>
      </c>
    </row>
    <row r="3207">
      <c r="A3207" s="4">
        <v>1013.0</v>
      </c>
      <c r="B3207" s="2" t="s">
        <v>12765</v>
      </c>
      <c r="C3207" s="2" t="s">
        <v>12766</v>
      </c>
      <c r="D3207" s="2" t="s">
        <v>12767</v>
      </c>
      <c r="E3207" s="2" t="s">
        <v>12768</v>
      </c>
      <c r="F3207" s="2" t="b">
        <v>1</v>
      </c>
      <c r="G3207" s="2" t="b">
        <v>0</v>
      </c>
      <c r="H3207" s="2" t="s">
        <v>37</v>
      </c>
      <c r="I3207" s="2" t="s">
        <v>32</v>
      </c>
      <c r="J3207" s="2" t="s">
        <v>162</v>
      </c>
      <c r="K3207" s="2" t="s">
        <v>376</v>
      </c>
      <c r="L3207" s="2" t="s">
        <v>391</v>
      </c>
      <c r="M3207" s="2" t="s">
        <v>26</v>
      </c>
      <c r="N3207" s="29"/>
      <c r="O3207" s="29"/>
      <c r="P3207" s="5" t="str">
        <f>IFERROR(__xludf.DUMMYFUNCTION("TEXTJOIN("" | "",TRUE,IF(OR(D3207="""",E3207="""",I3207="""",J3207="""",H3207=""""),""ফাঁকা ঘর"",""""),IF(AND(C3207&lt;&gt;"""",D3207&lt;&gt;"""",C3207=D3207),""gloss=figurative"",""""),IF(LEN(D3207)&lt;15,""figurative ছোট"",""""),IF(AND(I3207=""Positive"",REGEXMATCH(H3"&amp;"207,""মূর্খ|ভণ্ড|প্রতার|অলস|লোভ|স্বার্থ|অক্ষম|অযোগ্য|বোকা|কৃপণ|হিংস"")),""valence-target অমিল"",""""),IF(COUNTIF($B:$B,B3207)&gt;1,""ডুপ্লিকেট"",""""))"),"")</f>
        <v/>
      </c>
      <c r="Q3207" s="5" t="str">
        <f t="shared" si="1"/>
        <v>২ পরে</v>
      </c>
    </row>
    <row r="3208">
      <c r="A3208" s="4">
        <v>1014.0</v>
      </c>
      <c r="B3208" s="2" t="s">
        <v>12769</v>
      </c>
      <c r="C3208" s="2" t="s">
        <v>12770</v>
      </c>
      <c r="D3208" s="2" t="s">
        <v>12771</v>
      </c>
      <c r="E3208" s="2" t="s">
        <v>12772</v>
      </c>
      <c r="F3208" s="2" t="b">
        <v>1</v>
      </c>
      <c r="G3208" s="2" t="b">
        <v>0</v>
      </c>
      <c r="H3208" s="2" t="s">
        <v>11260</v>
      </c>
      <c r="I3208" s="2" t="s">
        <v>32</v>
      </c>
      <c r="J3208" s="2" t="s">
        <v>123</v>
      </c>
      <c r="K3208" s="2" t="s">
        <v>376</v>
      </c>
      <c r="L3208" s="2" t="s">
        <v>391</v>
      </c>
      <c r="M3208" s="2" t="s">
        <v>26</v>
      </c>
      <c r="N3208" s="29"/>
      <c r="O3208" s="29"/>
      <c r="P3208" s="5" t="str">
        <f>IFERROR(__xludf.DUMMYFUNCTION("TEXTJOIN("" | "",TRUE,IF(OR(D3208="""",E3208="""",I3208="""",J3208="""",H3208=""""),""ফাঁকা ঘর"",""""),IF(AND(C3208&lt;&gt;"""",D3208&lt;&gt;"""",C3208=D3208),""gloss=figurative"",""""),IF(LEN(D3208)&lt;15,""figurative ছোট"",""""),IF(AND(I3208=""Positive"",REGEXMATCH(H3"&amp;"208,""মূর্খ|ভণ্ড|প্রতার|অলস|লোভ|স্বার্থ|অক্ষম|অযোগ্য|বোকা|কৃপণ|হিংস"")),""valence-target অমিল"",""""),IF(COUNTIF($B:$B,B3208)&gt;1,""ডুপ্লিকেট"",""""))"),"")</f>
        <v/>
      </c>
      <c r="Q3208" s="5" t="str">
        <f t="shared" si="1"/>
        <v>২ পরে</v>
      </c>
    </row>
    <row r="3209">
      <c r="A3209" s="4">
        <v>1015.0</v>
      </c>
      <c r="B3209" s="2" t="s">
        <v>12773</v>
      </c>
      <c r="C3209" s="2" t="s">
        <v>12774</v>
      </c>
      <c r="D3209" s="2" t="s">
        <v>12775</v>
      </c>
      <c r="E3209" s="2" t="s">
        <v>12776</v>
      </c>
      <c r="F3209" s="2" t="b">
        <v>1</v>
      </c>
      <c r="G3209" s="2" t="b">
        <v>0</v>
      </c>
      <c r="H3209" s="2" t="s">
        <v>12777</v>
      </c>
      <c r="I3209" s="2" t="s">
        <v>32</v>
      </c>
      <c r="J3209" s="2" t="s">
        <v>7927</v>
      </c>
      <c r="K3209" s="2" t="s">
        <v>376</v>
      </c>
      <c r="L3209" s="2" t="s">
        <v>391</v>
      </c>
      <c r="M3209" s="2" t="s">
        <v>26</v>
      </c>
      <c r="N3209" s="29"/>
      <c r="O3209" s="29"/>
      <c r="P3209" s="5" t="str">
        <f>IFERROR(__xludf.DUMMYFUNCTION("TEXTJOIN("" | "",TRUE,IF(OR(D3209="""",E3209="""",I3209="""",J3209="""",H3209=""""),""ফাঁকা ঘর"",""""),IF(AND(C3209&lt;&gt;"""",D3209&lt;&gt;"""",C3209=D3209),""gloss=figurative"",""""),IF(LEN(D3209)&lt;15,""figurative ছোট"",""""),IF(AND(I3209=""Positive"",REGEXMATCH(H3"&amp;"209,""মূর্খ|ভণ্ড|প্রতার|অলস|লোভ|স্বার্থ|অক্ষম|অযোগ্য|বোকা|কৃপণ|হিংস"")),""valence-target অমিল"",""""),IF(COUNTIF($B:$B,B3209)&gt;1,""ডুপ্লিকেট"",""""))"),"")</f>
        <v/>
      </c>
      <c r="Q3209" s="5" t="str">
        <f t="shared" si="1"/>
        <v>২ পরে</v>
      </c>
    </row>
    <row r="3210">
      <c r="A3210" s="4">
        <v>1016.0</v>
      </c>
      <c r="B3210" s="2" t="s">
        <v>12778</v>
      </c>
      <c r="C3210" s="2" t="s">
        <v>12779</v>
      </c>
      <c r="D3210" s="2" t="s">
        <v>12780</v>
      </c>
      <c r="E3210" s="2" t="s">
        <v>12781</v>
      </c>
      <c r="F3210" s="2" t="b">
        <v>1</v>
      </c>
      <c r="G3210" s="2" t="b">
        <v>0</v>
      </c>
      <c r="H3210" s="2" t="s">
        <v>37</v>
      </c>
      <c r="I3210" s="2" t="s">
        <v>32</v>
      </c>
      <c r="J3210" s="2" t="s">
        <v>162</v>
      </c>
      <c r="K3210" s="2" t="s">
        <v>376</v>
      </c>
      <c r="L3210" s="2" t="s">
        <v>391</v>
      </c>
      <c r="M3210" s="2" t="s">
        <v>26</v>
      </c>
      <c r="N3210" s="29"/>
      <c r="O3210" s="29"/>
      <c r="P3210" s="5" t="str">
        <f>IFERROR(__xludf.DUMMYFUNCTION("TEXTJOIN("" | "",TRUE,IF(OR(D3210="""",E3210="""",I3210="""",J3210="""",H3210=""""),""ফাঁকা ঘর"",""""),IF(AND(C3210&lt;&gt;"""",D3210&lt;&gt;"""",C3210=D3210),""gloss=figurative"",""""),IF(LEN(D3210)&lt;15,""figurative ছোট"",""""),IF(AND(I3210=""Positive"",REGEXMATCH(H3"&amp;"210,""মূর্খ|ভণ্ড|প্রতার|অলস|লোভ|স্বার্থ|অক্ষম|অযোগ্য|বোকা|কৃপণ|হিংস"")),""valence-target অমিল"",""""),IF(COUNTIF($B:$B,B3210)&gt;1,""ডুপ্লিকেট"",""""))"),"")</f>
        <v/>
      </c>
      <c r="Q3210" s="5" t="str">
        <f t="shared" si="1"/>
        <v>২ পরে</v>
      </c>
    </row>
    <row r="3211">
      <c r="A3211" s="4">
        <v>1017.0</v>
      </c>
      <c r="B3211" s="2" t="s">
        <v>12782</v>
      </c>
      <c r="C3211" s="2" t="s">
        <v>12783</v>
      </c>
      <c r="D3211" s="2" t="s">
        <v>12784</v>
      </c>
      <c r="E3211" s="2" t="s">
        <v>12785</v>
      </c>
      <c r="F3211" s="2" t="b">
        <v>1</v>
      </c>
      <c r="G3211" s="2" t="b">
        <v>0</v>
      </c>
      <c r="H3211" s="2" t="s">
        <v>6577</v>
      </c>
      <c r="I3211" s="2" t="s">
        <v>32</v>
      </c>
      <c r="J3211" s="2" t="s">
        <v>59</v>
      </c>
      <c r="K3211" s="2" t="s">
        <v>376</v>
      </c>
      <c r="L3211" s="2" t="s">
        <v>391</v>
      </c>
      <c r="M3211" s="2" t="s">
        <v>26</v>
      </c>
      <c r="N3211" s="29"/>
      <c r="O3211" s="29"/>
      <c r="P3211" s="5" t="str">
        <f>IFERROR(__xludf.DUMMYFUNCTION("TEXTJOIN("" | "",TRUE,IF(OR(D3211="""",E3211="""",I3211="""",J3211="""",H3211=""""),""ফাঁকা ঘর"",""""),IF(AND(C3211&lt;&gt;"""",D3211&lt;&gt;"""",C3211=D3211),""gloss=figurative"",""""),IF(LEN(D3211)&lt;15,""figurative ছোট"",""""),IF(AND(I3211=""Positive"",REGEXMATCH(H3"&amp;"211,""মূর্খ|ভণ্ড|প্রতার|অলস|লোভ|স্বার্থ|অক্ষম|অযোগ্য|বোকা|কৃপণ|হিংস"")),""valence-target অমিল"",""""),IF(COUNTIF($B:$B,B3211)&gt;1,""ডুপ্লিকেট"",""""))"),"")</f>
        <v/>
      </c>
      <c r="Q3211" s="5" t="str">
        <f t="shared" si="1"/>
        <v>২ পরে</v>
      </c>
    </row>
    <row r="3212">
      <c r="A3212" s="4">
        <v>1018.0</v>
      </c>
      <c r="B3212" s="2" t="s">
        <v>12786</v>
      </c>
      <c r="C3212" s="2" t="s">
        <v>12787</v>
      </c>
      <c r="D3212" s="2" t="s">
        <v>12788</v>
      </c>
      <c r="E3212" s="2" t="s">
        <v>12789</v>
      </c>
      <c r="F3212" s="2" t="b">
        <v>1</v>
      </c>
      <c r="G3212" s="2" t="b">
        <v>0</v>
      </c>
      <c r="H3212" s="2" t="s">
        <v>37</v>
      </c>
      <c r="I3212" s="2" t="s">
        <v>32</v>
      </c>
      <c r="J3212" s="2" t="s">
        <v>3710</v>
      </c>
      <c r="K3212" s="2" t="s">
        <v>376</v>
      </c>
      <c r="L3212" s="2" t="s">
        <v>391</v>
      </c>
      <c r="M3212" s="2" t="s">
        <v>26</v>
      </c>
      <c r="N3212" s="29"/>
      <c r="O3212" s="29"/>
      <c r="P3212" s="5" t="str">
        <f>IFERROR(__xludf.DUMMYFUNCTION("TEXTJOIN("" | "",TRUE,IF(OR(D3212="""",E3212="""",I3212="""",J3212="""",H3212=""""),""ফাঁকা ঘর"",""""),IF(AND(C3212&lt;&gt;"""",D3212&lt;&gt;"""",C3212=D3212),""gloss=figurative"",""""),IF(LEN(D3212)&lt;15,""figurative ছোট"",""""),IF(AND(I3212=""Positive"",REGEXMATCH(H3"&amp;"212,""মূর্খ|ভণ্ড|প্রতার|অলস|লোভ|স্বার্থ|অক্ষম|অযোগ্য|বোকা|কৃপণ|হিংস"")),""valence-target অমিল"",""""),IF(COUNTIF($B:$B,B3212)&gt;1,""ডুপ্লিকেট"",""""))"),"")</f>
        <v/>
      </c>
      <c r="Q3212" s="5" t="str">
        <f t="shared" si="1"/>
        <v>২ পরে</v>
      </c>
    </row>
    <row r="3213">
      <c r="A3213" s="4">
        <v>1019.0</v>
      </c>
      <c r="B3213" s="2" t="s">
        <v>12790</v>
      </c>
      <c r="C3213" s="2" t="s">
        <v>12791</v>
      </c>
      <c r="D3213" s="2" t="s">
        <v>12792</v>
      </c>
      <c r="E3213" s="2" t="s">
        <v>12793</v>
      </c>
      <c r="F3213" s="2" t="b">
        <v>1</v>
      </c>
      <c r="G3213" s="2" t="b">
        <v>0</v>
      </c>
      <c r="H3213" s="2" t="s">
        <v>12794</v>
      </c>
      <c r="I3213" s="2" t="s">
        <v>49</v>
      </c>
      <c r="J3213" s="2" t="s">
        <v>123</v>
      </c>
      <c r="K3213" s="2" t="s">
        <v>376</v>
      </c>
      <c r="L3213" s="2" t="s">
        <v>391</v>
      </c>
      <c r="M3213" s="2" t="s">
        <v>26</v>
      </c>
      <c r="N3213" s="29"/>
      <c r="O3213" s="29"/>
      <c r="P3213" s="5" t="str">
        <f>IFERROR(__xludf.DUMMYFUNCTION("TEXTJOIN("" | "",TRUE,IF(OR(D3213="""",E3213="""",I3213="""",J3213="""",H3213=""""),""ফাঁকা ঘর"",""""),IF(AND(C3213&lt;&gt;"""",D3213&lt;&gt;"""",C3213=D3213),""gloss=figurative"",""""),IF(LEN(D3213)&lt;15,""figurative ছোট"",""""),IF(AND(I3213=""Positive"",REGEXMATCH(H3"&amp;"213,""মূর্খ|ভণ্ড|প্রতার|অলস|লোভ|স্বার্থ|অক্ষম|অযোগ্য|বোকা|কৃপণ|হিংস"")),""valence-target অমিল"",""""),IF(COUNTIF($B:$B,B3213)&gt;1,""ডুপ্লিকেট"",""""))"),"")</f>
        <v/>
      </c>
      <c r="Q3213" s="5" t="str">
        <f t="shared" si="1"/>
        <v>২ পরে</v>
      </c>
    </row>
    <row r="3214">
      <c r="A3214" s="4">
        <v>1020.0</v>
      </c>
      <c r="B3214" s="2" t="s">
        <v>12795</v>
      </c>
      <c r="C3214" s="2" t="s">
        <v>12796</v>
      </c>
      <c r="D3214" s="2" t="s">
        <v>12797</v>
      </c>
      <c r="E3214" s="2" t="s">
        <v>12798</v>
      </c>
      <c r="F3214" s="2" t="b">
        <v>1</v>
      </c>
      <c r="G3214" s="2" t="b">
        <v>0</v>
      </c>
      <c r="H3214" s="2" t="s">
        <v>37</v>
      </c>
      <c r="I3214" s="2" t="s">
        <v>32</v>
      </c>
      <c r="J3214" s="2" t="s">
        <v>12799</v>
      </c>
      <c r="K3214" s="2" t="s">
        <v>376</v>
      </c>
      <c r="L3214" s="2" t="s">
        <v>391</v>
      </c>
      <c r="M3214" s="2" t="s">
        <v>26</v>
      </c>
      <c r="N3214" s="29"/>
      <c r="O3214" s="29"/>
      <c r="P3214" s="5" t="str">
        <f>IFERROR(__xludf.DUMMYFUNCTION("TEXTJOIN("" | "",TRUE,IF(OR(D3214="""",E3214="""",I3214="""",J3214="""",H3214=""""),""ফাঁকা ঘর"",""""),IF(AND(C3214&lt;&gt;"""",D3214&lt;&gt;"""",C3214=D3214),""gloss=figurative"",""""),IF(LEN(D3214)&lt;15,""figurative ছোট"",""""),IF(AND(I3214=""Positive"",REGEXMATCH(H3"&amp;"214,""মূর্খ|ভণ্ড|প্রতার|অলস|লোভ|স্বার্থ|অক্ষম|অযোগ্য|বোকা|কৃপণ|হিংস"")),""valence-target অমিল"",""""),IF(COUNTIF($B:$B,B3214)&gt;1,""ডুপ্লিকেট"",""""))"),"")</f>
        <v/>
      </c>
      <c r="Q3214" s="5" t="str">
        <f t="shared" si="1"/>
        <v>২ পরে</v>
      </c>
    </row>
    <row r="3215">
      <c r="A3215" s="4">
        <v>1021.0</v>
      </c>
      <c r="B3215" s="2" t="s">
        <v>12800</v>
      </c>
      <c r="C3215" s="2" t="s">
        <v>12801</v>
      </c>
      <c r="D3215" s="2" t="s">
        <v>12802</v>
      </c>
      <c r="E3215" s="2" t="s">
        <v>12803</v>
      </c>
      <c r="F3215" s="2" t="b">
        <v>1</v>
      </c>
      <c r="G3215" s="2" t="b">
        <v>0</v>
      </c>
      <c r="H3215" s="2" t="s">
        <v>6697</v>
      </c>
      <c r="I3215" s="2" t="s">
        <v>32</v>
      </c>
      <c r="J3215" s="2" t="s">
        <v>1008</v>
      </c>
      <c r="K3215" s="2" t="s">
        <v>376</v>
      </c>
      <c r="L3215" s="2" t="s">
        <v>391</v>
      </c>
      <c r="M3215" s="2" t="s">
        <v>26</v>
      </c>
      <c r="N3215" s="29"/>
      <c r="O3215" s="29"/>
      <c r="P3215" s="5" t="str">
        <f>IFERROR(__xludf.DUMMYFUNCTION("TEXTJOIN("" | "",TRUE,IF(OR(D3215="""",E3215="""",I3215="""",J3215="""",H3215=""""),""ফাঁকা ঘর"",""""),IF(AND(C3215&lt;&gt;"""",D3215&lt;&gt;"""",C3215=D3215),""gloss=figurative"",""""),IF(LEN(D3215)&lt;15,""figurative ছোট"",""""),IF(AND(I3215=""Positive"",REGEXMATCH(H3"&amp;"215,""মূর্খ|ভণ্ড|প্রতার|অলস|লোভ|স্বার্থ|অক্ষম|অযোগ্য|বোকা|কৃপণ|হিংস"")),""valence-target অমিল"",""""),IF(COUNTIF($B:$B,B3215)&gt;1,""ডুপ্লিকেট"",""""))"),"")</f>
        <v/>
      </c>
      <c r="Q3215" s="5" t="str">
        <f t="shared" si="1"/>
        <v>২ পরে</v>
      </c>
    </row>
    <row r="3216">
      <c r="A3216" s="4">
        <v>1022.0</v>
      </c>
      <c r="B3216" s="2" t="s">
        <v>12804</v>
      </c>
      <c r="C3216" s="2" t="s">
        <v>12805</v>
      </c>
      <c r="D3216" s="2" t="s">
        <v>12806</v>
      </c>
      <c r="E3216" s="2" t="s">
        <v>12807</v>
      </c>
      <c r="F3216" s="2" t="b">
        <v>1</v>
      </c>
      <c r="G3216" s="2" t="b">
        <v>0</v>
      </c>
      <c r="H3216" s="2" t="s">
        <v>11737</v>
      </c>
      <c r="I3216" s="2" t="s">
        <v>49</v>
      </c>
      <c r="J3216" s="2" t="s">
        <v>1934</v>
      </c>
      <c r="K3216" s="2" t="s">
        <v>376</v>
      </c>
      <c r="L3216" s="2" t="s">
        <v>391</v>
      </c>
      <c r="M3216" s="2" t="s">
        <v>26</v>
      </c>
      <c r="N3216" s="29"/>
      <c r="O3216" s="29"/>
      <c r="P3216" s="5" t="str">
        <f>IFERROR(__xludf.DUMMYFUNCTION("TEXTJOIN("" | "",TRUE,IF(OR(D3216="""",E3216="""",I3216="""",J3216="""",H3216=""""),""ফাঁকা ঘর"",""""),IF(AND(C3216&lt;&gt;"""",D3216&lt;&gt;"""",C3216=D3216),""gloss=figurative"",""""),IF(LEN(D3216)&lt;15,""figurative ছোট"",""""),IF(AND(I3216=""Positive"",REGEXMATCH(H3"&amp;"216,""মূর্খ|ভণ্ড|প্রতার|অলস|লোভ|স্বার্থ|অক্ষম|অযোগ্য|বোকা|কৃপণ|হিংস"")),""valence-target অমিল"",""""),IF(COUNTIF($B:$B,B3216)&gt;1,""ডুপ্লিকেট"",""""))"),"")</f>
        <v/>
      </c>
      <c r="Q3216" s="5" t="str">
        <f t="shared" si="1"/>
        <v>২ পরে</v>
      </c>
    </row>
    <row r="3217">
      <c r="A3217" s="4">
        <v>1023.0</v>
      </c>
      <c r="B3217" s="2" t="s">
        <v>12808</v>
      </c>
      <c r="C3217" s="2" t="s">
        <v>12809</v>
      </c>
      <c r="D3217" s="2" t="s">
        <v>12810</v>
      </c>
      <c r="E3217" s="2" t="s">
        <v>12811</v>
      </c>
      <c r="F3217" s="2" t="b">
        <v>1</v>
      </c>
      <c r="G3217" s="2" t="b">
        <v>0</v>
      </c>
      <c r="H3217" s="2" t="s">
        <v>396</v>
      </c>
      <c r="I3217" s="2" t="s">
        <v>22</v>
      </c>
      <c r="J3217" s="2" t="s">
        <v>1008</v>
      </c>
      <c r="K3217" s="2" t="s">
        <v>376</v>
      </c>
      <c r="L3217" s="2" t="s">
        <v>391</v>
      </c>
      <c r="M3217" s="2" t="s">
        <v>26</v>
      </c>
      <c r="N3217" s="29"/>
      <c r="O3217" s="29"/>
      <c r="P3217" s="5" t="str">
        <f>IFERROR(__xludf.DUMMYFUNCTION("TEXTJOIN("" | "",TRUE,IF(OR(D3217="""",E3217="""",I3217="""",J3217="""",H3217=""""),""ফাঁকা ঘর"",""""),IF(AND(C3217&lt;&gt;"""",D3217&lt;&gt;"""",C3217=D3217),""gloss=figurative"",""""),IF(LEN(D3217)&lt;15,""figurative ছোট"",""""),IF(AND(I3217=""Positive"",REGEXMATCH(H3"&amp;"217,""মূর্খ|ভণ্ড|প্রতার|অলস|লোভ|স্বার্থ|অক্ষম|অযোগ্য|বোকা|কৃপণ|হিংস"")),""valence-target অমিল"",""""),IF(COUNTIF($B:$B,B3217)&gt;1,""ডুপ্লিকেট"",""""))"),"")</f>
        <v/>
      </c>
      <c r="Q3217" s="5" t="str">
        <f t="shared" si="1"/>
        <v>২ পরে</v>
      </c>
    </row>
    <row r="3218">
      <c r="A3218" s="4">
        <v>1024.0</v>
      </c>
      <c r="B3218" s="2" t="s">
        <v>12812</v>
      </c>
      <c r="C3218" s="2" t="s">
        <v>12813</v>
      </c>
      <c r="D3218" s="2" t="s">
        <v>12814</v>
      </c>
      <c r="E3218" s="2" t="s">
        <v>12815</v>
      </c>
      <c r="F3218" s="2" t="b">
        <v>1</v>
      </c>
      <c r="G3218" s="2" t="b">
        <v>0</v>
      </c>
      <c r="H3218" s="2" t="s">
        <v>37</v>
      </c>
      <c r="I3218" s="2" t="s">
        <v>32</v>
      </c>
      <c r="J3218" s="2" t="s">
        <v>3710</v>
      </c>
      <c r="K3218" s="2" t="s">
        <v>376</v>
      </c>
      <c r="L3218" s="2" t="s">
        <v>391</v>
      </c>
      <c r="M3218" s="2" t="s">
        <v>26</v>
      </c>
      <c r="N3218" s="29"/>
      <c r="O3218" s="29"/>
      <c r="P3218" s="5" t="str">
        <f>IFERROR(__xludf.DUMMYFUNCTION("TEXTJOIN("" | "",TRUE,IF(OR(D3218="""",E3218="""",I3218="""",J3218="""",H3218=""""),""ফাঁকা ঘর"",""""),IF(AND(C3218&lt;&gt;"""",D3218&lt;&gt;"""",C3218=D3218),""gloss=figurative"",""""),IF(LEN(D3218)&lt;15,""figurative ছোট"",""""),IF(AND(I3218=""Positive"",REGEXMATCH(H3"&amp;"218,""মূর্খ|ভণ্ড|প্রতার|অলস|লোভ|স্বার্থ|অক্ষম|অযোগ্য|বোকা|কৃপণ|হিংস"")),""valence-target অমিল"",""""),IF(COUNTIF($B:$B,B3218)&gt;1,""ডুপ্লিকেট"",""""))"),"")</f>
        <v/>
      </c>
      <c r="Q3218" s="5" t="str">
        <f t="shared" si="1"/>
        <v>২ পরে</v>
      </c>
    </row>
    <row r="3219">
      <c r="A3219" s="4">
        <v>1025.0</v>
      </c>
      <c r="B3219" s="2" t="s">
        <v>12816</v>
      </c>
      <c r="C3219" s="2" t="s">
        <v>12817</v>
      </c>
      <c r="D3219" s="2" t="s">
        <v>12818</v>
      </c>
      <c r="E3219" s="2" t="s">
        <v>12819</v>
      </c>
      <c r="F3219" s="2" t="b">
        <v>1</v>
      </c>
      <c r="G3219" s="2" t="b">
        <v>0</v>
      </c>
      <c r="H3219" s="2" t="s">
        <v>12820</v>
      </c>
      <c r="I3219" s="2" t="s">
        <v>32</v>
      </c>
      <c r="J3219" s="2" t="s">
        <v>123</v>
      </c>
      <c r="K3219" s="2" t="s">
        <v>376</v>
      </c>
      <c r="L3219" s="2" t="s">
        <v>391</v>
      </c>
      <c r="M3219" s="2" t="s">
        <v>26</v>
      </c>
      <c r="N3219" s="29"/>
      <c r="O3219" s="29"/>
      <c r="P3219" s="5" t="str">
        <f>IFERROR(__xludf.DUMMYFUNCTION("TEXTJOIN("" | "",TRUE,IF(OR(D3219="""",E3219="""",I3219="""",J3219="""",H3219=""""),""ফাঁকা ঘর"",""""),IF(AND(C3219&lt;&gt;"""",D3219&lt;&gt;"""",C3219=D3219),""gloss=figurative"",""""),IF(LEN(D3219)&lt;15,""figurative ছোট"",""""),IF(AND(I3219=""Positive"",REGEXMATCH(H3"&amp;"219,""মূর্খ|ভণ্ড|প্রতার|অলস|লোভ|স্বার্থ|অক্ষম|অযোগ্য|বোকা|কৃপণ|হিংস"")),""valence-target অমিল"",""""),IF(COUNTIF($B:$B,B3219)&gt;1,""ডুপ্লিকেট"",""""))"),"")</f>
        <v/>
      </c>
      <c r="Q3219" s="5" t="str">
        <f t="shared" si="1"/>
        <v>২ পরে</v>
      </c>
    </row>
    <row r="3220">
      <c r="A3220" s="4">
        <v>1026.0</v>
      </c>
      <c r="B3220" s="2" t="s">
        <v>12821</v>
      </c>
      <c r="C3220" s="2" t="s">
        <v>12822</v>
      </c>
      <c r="D3220" s="2" t="s">
        <v>12823</v>
      </c>
      <c r="E3220" s="2" t="s">
        <v>12824</v>
      </c>
      <c r="F3220" s="2" t="b">
        <v>1</v>
      </c>
      <c r="G3220" s="2" t="b">
        <v>1</v>
      </c>
      <c r="H3220" s="2" t="s">
        <v>12825</v>
      </c>
      <c r="I3220" s="2" t="s">
        <v>32</v>
      </c>
      <c r="J3220" s="2" t="s">
        <v>9301</v>
      </c>
      <c r="K3220" s="2" t="s">
        <v>376</v>
      </c>
      <c r="L3220" s="2" t="s">
        <v>391</v>
      </c>
      <c r="M3220" s="2" t="s">
        <v>26</v>
      </c>
      <c r="N3220" s="29"/>
      <c r="O3220" s="29"/>
      <c r="P3220" s="5" t="str">
        <f>IFERROR(__xludf.DUMMYFUNCTION("TEXTJOIN("" | "",TRUE,IF(OR(D3220="""",E3220="""",I3220="""",J3220="""",H3220=""""),""ফাঁকা ঘর"",""""),IF(AND(C3220&lt;&gt;"""",D3220&lt;&gt;"""",C3220=D3220),""gloss=figurative"",""""),IF(LEN(D3220)&lt;15,""figurative ছোট"",""""),IF(AND(I3220=""Positive"",REGEXMATCH(H3"&amp;"220,""মূর্খ|ভণ্ড|প্রতার|অলস|লোভ|স্বার্থ|অক্ষম|অযোগ্য|বোকা|কৃপণ|হিংস"")),""valence-target অমিল"",""""),IF(COUNTIF($B:$B,B3220)&gt;1,""ডুপ্লিকেট"",""""))"),"")</f>
        <v/>
      </c>
      <c r="Q3220" s="5" t="str">
        <f t="shared" si="1"/>
        <v>২ পরে</v>
      </c>
    </row>
    <row r="3221">
      <c r="A3221" s="4">
        <v>1027.0</v>
      </c>
      <c r="B3221" s="2" t="s">
        <v>12826</v>
      </c>
      <c r="C3221" s="2" t="s">
        <v>12827</v>
      </c>
      <c r="D3221" s="2" t="s">
        <v>12828</v>
      </c>
      <c r="E3221" s="2" t="s">
        <v>12829</v>
      </c>
      <c r="F3221" s="2" t="b">
        <v>1</v>
      </c>
      <c r="G3221" s="2" t="b">
        <v>0</v>
      </c>
      <c r="H3221" s="2" t="s">
        <v>37</v>
      </c>
      <c r="I3221" s="2" t="s">
        <v>32</v>
      </c>
      <c r="J3221" s="2" t="s">
        <v>7857</v>
      </c>
      <c r="K3221" s="2" t="s">
        <v>376</v>
      </c>
      <c r="L3221" s="2" t="s">
        <v>391</v>
      </c>
      <c r="M3221" s="2" t="s">
        <v>26</v>
      </c>
      <c r="N3221" s="29"/>
      <c r="O3221" s="29"/>
      <c r="P3221" s="5" t="str">
        <f>IFERROR(__xludf.DUMMYFUNCTION("TEXTJOIN("" | "",TRUE,IF(OR(D3221="""",E3221="""",I3221="""",J3221="""",H3221=""""),""ফাঁকা ঘর"",""""),IF(AND(C3221&lt;&gt;"""",D3221&lt;&gt;"""",C3221=D3221),""gloss=figurative"",""""),IF(LEN(D3221)&lt;15,""figurative ছোট"",""""),IF(AND(I3221=""Positive"",REGEXMATCH(H3"&amp;"221,""মূর্খ|ভণ্ড|প্রতার|অলস|লোভ|স্বার্থ|অক্ষম|অযোগ্য|বোকা|কৃপণ|হিংস"")),""valence-target অমিল"",""""),IF(COUNTIF($B:$B,B3221)&gt;1,""ডুপ্লিকেট"",""""))"),"")</f>
        <v/>
      </c>
      <c r="Q3221" s="5" t="str">
        <f t="shared" si="1"/>
        <v>২ পরে</v>
      </c>
    </row>
    <row r="3222">
      <c r="A3222" s="4">
        <v>1028.0</v>
      </c>
      <c r="B3222" s="2" t="s">
        <v>12830</v>
      </c>
      <c r="C3222" s="2" t="s">
        <v>12831</v>
      </c>
      <c r="D3222" s="2" t="s">
        <v>12832</v>
      </c>
      <c r="E3222" s="2" t="s">
        <v>12833</v>
      </c>
      <c r="F3222" s="2" t="b">
        <v>1</v>
      </c>
      <c r="G3222" s="2" t="b">
        <v>1</v>
      </c>
      <c r="H3222" s="2" t="s">
        <v>11665</v>
      </c>
      <c r="I3222" s="2" t="s">
        <v>32</v>
      </c>
      <c r="J3222" s="2" t="s">
        <v>436</v>
      </c>
      <c r="K3222" s="2" t="s">
        <v>376</v>
      </c>
      <c r="L3222" s="2" t="s">
        <v>391</v>
      </c>
      <c r="M3222" s="2" t="s">
        <v>26</v>
      </c>
      <c r="N3222" s="29"/>
      <c r="O3222" s="29"/>
      <c r="P3222" s="5" t="str">
        <f>IFERROR(__xludf.DUMMYFUNCTION("TEXTJOIN("" | "",TRUE,IF(OR(D3222="""",E3222="""",I3222="""",J3222="""",H3222=""""),""ফাঁকা ঘর"",""""),IF(AND(C3222&lt;&gt;"""",D3222&lt;&gt;"""",C3222=D3222),""gloss=figurative"",""""),IF(LEN(D3222)&lt;15,""figurative ছোট"",""""),IF(AND(I3222=""Positive"",REGEXMATCH(H3"&amp;"222,""মূর্খ|ভণ্ড|প্রতার|অলস|লোভ|স্বার্থ|অক্ষম|অযোগ্য|বোকা|কৃপণ|হিংস"")),""valence-target অমিল"",""""),IF(COUNTIF($B:$B,B3222)&gt;1,""ডুপ্লিকেট"",""""))"),"")</f>
        <v/>
      </c>
      <c r="Q3222" s="5" t="str">
        <f t="shared" si="1"/>
        <v>২ পরে</v>
      </c>
    </row>
    <row r="3223">
      <c r="A3223" s="4">
        <v>1029.0</v>
      </c>
      <c r="B3223" s="2" t="s">
        <v>12834</v>
      </c>
      <c r="C3223" s="2" t="s">
        <v>12835</v>
      </c>
      <c r="D3223" s="2" t="s">
        <v>12836</v>
      </c>
      <c r="E3223" s="2" t="s">
        <v>12837</v>
      </c>
      <c r="F3223" s="2" t="b">
        <v>1</v>
      </c>
      <c r="G3223" s="2" t="b">
        <v>0</v>
      </c>
      <c r="H3223" s="2" t="s">
        <v>37</v>
      </c>
      <c r="I3223" s="2" t="s">
        <v>22</v>
      </c>
      <c r="J3223" s="2" t="s">
        <v>11746</v>
      </c>
      <c r="K3223" s="2" t="s">
        <v>376</v>
      </c>
      <c r="L3223" s="2" t="s">
        <v>391</v>
      </c>
      <c r="M3223" s="2" t="s">
        <v>26</v>
      </c>
      <c r="N3223" s="29"/>
      <c r="O3223" s="29"/>
      <c r="P3223" s="5" t="str">
        <f>IFERROR(__xludf.DUMMYFUNCTION("TEXTJOIN("" | "",TRUE,IF(OR(D3223="""",E3223="""",I3223="""",J3223="""",H3223=""""),""ফাঁকা ঘর"",""""),IF(AND(C3223&lt;&gt;"""",D3223&lt;&gt;"""",C3223=D3223),""gloss=figurative"",""""),IF(LEN(D3223)&lt;15,""figurative ছোট"",""""),IF(AND(I3223=""Positive"",REGEXMATCH(H3"&amp;"223,""মূর্খ|ভণ্ড|প্রতার|অলস|লোভ|স্বার্থ|অক্ষম|অযোগ্য|বোকা|কৃপণ|হিংস"")),""valence-target অমিল"",""""),IF(COUNTIF($B:$B,B3223)&gt;1,""ডুপ্লিকেট"",""""))"),"")</f>
        <v/>
      </c>
      <c r="Q3223" s="5" t="str">
        <f t="shared" si="1"/>
        <v>২ পরে</v>
      </c>
    </row>
    <row r="3224">
      <c r="A3224" s="4">
        <v>1030.0</v>
      </c>
      <c r="B3224" s="2" t="s">
        <v>12838</v>
      </c>
      <c r="C3224" s="2" t="s">
        <v>12839</v>
      </c>
      <c r="D3224" s="2" t="s">
        <v>12840</v>
      </c>
      <c r="E3224" s="2" t="s">
        <v>12841</v>
      </c>
      <c r="F3224" s="2" t="b">
        <v>1</v>
      </c>
      <c r="G3224" s="2" t="b">
        <v>1</v>
      </c>
      <c r="H3224" s="2" t="s">
        <v>12842</v>
      </c>
      <c r="I3224" s="2" t="s">
        <v>32</v>
      </c>
      <c r="J3224" s="2" t="s">
        <v>123</v>
      </c>
      <c r="K3224" s="2" t="s">
        <v>376</v>
      </c>
      <c r="L3224" s="2" t="s">
        <v>391</v>
      </c>
      <c r="M3224" s="2" t="s">
        <v>26</v>
      </c>
      <c r="N3224" s="29"/>
      <c r="O3224" s="29"/>
      <c r="P3224" s="5" t="str">
        <f>IFERROR(__xludf.DUMMYFUNCTION("TEXTJOIN("" | "",TRUE,IF(OR(D3224="""",E3224="""",I3224="""",J3224="""",H3224=""""),""ফাঁকা ঘর"",""""),IF(AND(C3224&lt;&gt;"""",D3224&lt;&gt;"""",C3224=D3224),""gloss=figurative"",""""),IF(LEN(D3224)&lt;15,""figurative ছোট"",""""),IF(AND(I3224=""Positive"",REGEXMATCH(H3"&amp;"224,""মূর্খ|ভণ্ড|প্রতার|অলস|লোভ|স্বার্থ|অক্ষম|অযোগ্য|বোকা|কৃপণ|হিংস"")),""valence-target অমিল"",""""),IF(COUNTIF($B:$B,B3224)&gt;1,""ডুপ্লিকেট"",""""))"),"")</f>
        <v/>
      </c>
      <c r="Q3224" s="5" t="str">
        <f t="shared" si="1"/>
        <v>২ পরে</v>
      </c>
    </row>
    <row r="3225">
      <c r="A3225" s="4">
        <v>1031.0</v>
      </c>
      <c r="B3225" s="2" t="s">
        <v>12843</v>
      </c>
      <c r="C3225" s="2" t="s">
        <v>12844</v>
      </c>
      <c r="D3225" s="2" t="s">
        <v>12845</v>
      </c>
      <c r="E3225" s="2" t="s">
        <v>12846</v>
      </c>
      <c r="F3225" s="2" t="b">
        <v>1</v>
      </c>
      <c r="G3225" s="2" t="b">
        <v>0</v>
      </c>
      <c r="H3225" s="2" t="s">
        <v>12847</v>
      </c>
      <c r="I3225" s="2" t="s">
        <v>22</v>
      </c>
      <c r="J3225" s="2" t="s">
        <v>836</v>
      </c>
      <c r="K3225" s="2" t="s">
        <v>376</v>
      </c>
      <c r="L3225" s="2" t="s">
        <v>391</v>
      </c>
      <c r="M3225" s="2" t="s">
        <v>26</v>
      </c>
      <c r="N3225" s="29"/>
      <c r="O3225" s="29"/>
      <c r="P3225" s="5" t="str">
        <f>IFERROR(__xludf.DUMMYFUNCTION("TEXTJOIN("" | "",TRUE,IF(OR(D3225="""",E3225="""",I3225="""",J3225="""",H3225=""""),""ফাঁকা ঘর"",""""),IF(AND(C3225&lt;&gt;"""",D3225&lt;&gt;"""",C3225=D3225),""gloss=figurative"",""""),IF(LEN(D3225)&lt;15,""figurative ছোট"",""""),IF(AND(I3225=""Positive"",REGEXMATCH(H3"&amp;"225,""মূর্খ|ভণ্ড|প্রতার|অলস|লোভ|স্বার্থ|অক্ষম|অযোগ্য|বোকা|কৃপণ|হিংস"")),""valence-target অমিল"",""""),IF(COUNTIF($B:$B,B3225)&gt;1,""ডুপ্লিকেট"",""""))"),"")</f>
        <v/>
      </c>
      <c r="Q3225" s="5" t="str">
        <f t="shared" si="1"/>
        <v>২ পরে</v>
      </c>
    </row>
    <row r="3226">
      <c r="A3226" s="4">
        <v>1032.0</v>
      </c>
      <c r="B3226" s="2" t="s">
        <v>12848</v>
      </c>
      <c r="C3226" s="2" t="s">
        <v>12848</v>
      </c>
      <c r="D3226" s="2" t="s">
        <v>12849</v>
      </c>
      <c r="E3226" s="2" t="s">
        <v>12850</v>
      </c>
      <c r="F3226" s="2" t="b">
        <v>1</v>
      </c>
      <c r="G3226" s="2" t="b">
        <v>0</v>
      </c>
      <c r="H3226" s="2" t="s">
        <v>8809</v>
      </c>
      <c r="I3226" s="2" t="s">
        <v>32</v>
      </c>
      <c r="J3226" s="2" t="s">
        <v>123</v>
      </c>
      <c r="K3226" s="2" t="s">
        <v>376</v>
      </c>
      <c r="L3226" s="2" t="s">
        <v>391</v>
      </c>
      <c r="M3226" s="2" t="s">
        <v>26</v>
      </c>
      <c r="N3226" s="29"/>
      <c r="O3226" s="29"/>
      <c r="P3226" s="5" t="str">
        <f>IFERROR(__xludf.DUMMYFUNCTION("TEXTJOIN("" | "",TRUE,IF(OR(D3226="""",E3226="""",I3226="""",J3226="""",H3226=""""),""ফাঁকা ঘর"",""""),IF(AND(C3226&lt;&gt;"""",D3226&lt;&gt;"""",C3226=D3226),""gloss=figurative"",""""),IF(LEN(D3226)&lt;15,""figurative ছোট"",""""),IF(AND(I3226=""Positive"",REGEXMATCH(H3"&amp;"226,""মূর্খ|ভণ্ড|প্রতার|অলস|লোভ|স্বার্থ|অক্ষম|অযোগ্য|বোকা|কৃপণ|হিংস"")),""valence-target অমিল"",""""),IF(COUNTIF($B:$B,B3226)&gt;1,""ডুপ্লিকেট"",""""))"),"")</f>
        <v/>
      </c>
      <c r="Q3226" s="5" t="str">
        <f t="shared" si="1"/>
        <v>২ পরে</v>
      </c>
    </row>
    <row r="3227">
      <c r="A3227" s="4">
        <v>1033.0</v>
      </c>
      <c r="B3227" s="2" t="s">
        <v>12851</v>
      </c>
      <c r="C3227" s="2" t="s">
        <v>12852</v>
      </c>
      <c r="D3227" s="2" t="s">
        <v>12853</v>
      </c>
      <c r="E3227" s="2" t="s">
        <v>12854</v>
      </c>
      <c r="F3227" s="2" t="b">
        <v>1</v>
      </c>
      <c r="G3227" s="2" t="b">
        <v>0</v>
      </c>
      <c r="H3227" s="2" t="s">
        <v>12855</v>
      </c>
      <c r="I3227" s="2" t="s">
        <v>49</v>
      </c>
      <c r="J3227" s="2" t="s">
        <v>913</v>
      </c>
      <c r="K3227" s="2" t="s">
        <v>376</v>
      </c>
      <c r="L3227" s="2" t="s">
        <v>391</v>
      </c>
      <c r="M3227" s="2" t="s">
        <v>26</v>
      </c>
      <c r="N3227" s="29"/>
      <c r="O3227" s="29"/>
      <c r="P3227" s="5" t="str">
        <f>IFERROR(__xludf.DUMMYFUNCTION("TEXTJOIN("" | "",TRUE,IF(OR(D3227="""",E3227="""",I3227="""",J3227="""",H3227=""""),""ফাঁকা ঘর"",""""),IF(AND(C3227&lt;&gt;"""",D3227&lt;&gt;"""",C3227=D3227),""gloss=figurative"",""""),IF(LEN(D3227)&lt;15,""figurative ছোট"",""""),IF(AND(I3227=""Positive"",REGEXMATCH(H3"&amp;"227,""মূর্খ|ভণ্ড|প্রতার|অলস|লোভ|স্বার্থ|অক্ষম|অযোগ্য|বোকা|কৃপণ|হিংস"")),""valence-target অমিল"",""""),IF(COUNTIF($B:$B,B3227)&gt;1,""ডুপ্লিকেট"",""""))"),"")</f>
        <v/>
      </c>
      <c r="Q3227" s="5" t="str">
        <f t="shared" si="1"/>
        <v>২ পরে</v>
      </c>
    </row>
    <row r="3228">
      <c r="A3228" s="4">
        <v>1034.0</v>
      </c>
      <c r="B3228" s="2" t="s">
        <v>12856</v>
      </c>
      <c r="C3228" s="2" t="s">
        <v>12857</v>
      </c>
      <c r="D3228" s="2" t="s">
        <v>12858</v>
      </c>
      <c r="E3228" s="2" t="s">
        <v>12859</v>
      </c>
      <c r="F3228" s="2" t="b">
        <v>1</v>
      </c>
      <c r="G3228" s="2" t="b">
        <v>0</v>
      </c>
      <c r="H3228" s="2" t="s">
        <v>37</v>
      </c>
      <c r="I3228" s="2" t="s">
        <v>32</v>
      </c>
      <c r="J3228" s="2" t="s">
        <v>162</v>
      </c>
      <c r="K3228" s="2" t="s">
        <v>376</v>
      </c>
      <c r="L3228" s="2" t="s">
        <v>391</v>
      </c>
      <c r="M3228" s="2" t="s">
        <v>26</v>
      </c>
      <c r="N3228" s="29"/>
      <c r="O3228" s="29"/>
      <c r="P3228" s="5" t="str">
        <f>IFERROR(__xludf.DUMMYFUNCTION("TEXTJOIN("" | "",TRUE,IF(OR(D3228="""",E3228="""",I3228="""",J3228="""",H3228=""""),""ফাঁকা ঘর"",""""),IF(AND(C3228&lt;&gt;"""",D3228&lt;&gt;"""",C3228=D3228),""gloss=figurative"",""""),IF(LEN(D3228)&lt;15,""figurative ছোট"",""""),IF(AND(I3228=""Positive"",REGEXMATCH(H3"&amp;"228,""মূর্খ|ভণ্ড|প্রতার|অলস|লোভ|স্বার্থ|অক্ষম|অযোগ্য|বোকা|কৃপণ|হিংস"")),""valence-target অমিল"",""""),IF(COUNTIF($B:$B,B3228)&gt;1,""ডুপ্লিকেট"",""""))"),"")</f>
        <v/>
      </c>
      <c r="Q3228" s="5" t="str">
        <f t="shared" si="1"/>
        <v>২ পরে</v>
      </c>
    </row>
    <row r="3229">
      <c r="A3229" s="4">
        <v>1035.0</v>
      </c>
      <c r="B3229" s="2" t="s">
        <v>12860</v>
      </c>
      <c r="C3229" s="2" t="s">
        <v>12861</v>
      </c>
      <c r="D3229" s="2" t="s">
        <v>12862</v>
      </c>
      <c r="E3229" s="2" t="s">
        <v>12863</v>
      </c>
      <c r="F3229" s="2" t="b">
        <v>1</v>
      </c>
      <c r="G3229" s="2" t="b">
        <v>0</v>
      </c>
      <c r="H3229" s="2" t="s">
        <v>819</v>
      </c>
      <c r="I3229" s="2" t="s">
        <v>22</v>
      </c>
      <c r="J3229" s="2" t="s">
        <v>59</v>
      </c>
      <c r="K3229" s="2" t="s">
        <v>376</v>
      </c>
      <c r="L3229" s="2" t="s">
        <v>391</v>
      </c>
      <c r="M3229" s="2" t="s">
        <v>26</v>
      </c>
      <c r="N3229" s="29"/>
      <c r="O3229" s="29"/>
      <c r="P3229" s="5" t="str">
        <f>IFERROR(__xludf.DUMMYFUNCTION("TEXTJOIN("" | "",TRUE,IF(OR(D3229="""",E3229="""",I3229="""",J3229="""",H3229=""""),""ফাঁকা ঘর"",""""),IF(AND(C3229&lt;&gt;"""",D3229&lt;&gt;"""",C3229=D3229),""gloss=figurative"",""""),IF(LEN(D3229)&lt;15,""figurative ছোট"",""""),IF(AND(I3229=""Positive"",REGEXMATCH(H3"&amp;"229,""মূর্খ|ভণ্ড|প্রতার|অলস|লোভ|স্বার্থ|অক্ষম|অযোগ্য|বোকা|কৃপণ|হিংস"")),""valence-target অমিল"",""""),IF(COUNTIF($B:$B,B3229)&gt;1,""ডুপ্লিকেট"",""""))"),"")</f>
        <v/>
      </c>
      <c r="Q3229" s="5" t="str">
        <f t="shared" si="1"/>
        <v>২ পরে</v>
      </c>
    </row>
    <row r="3230">
      <c r="A3230" s="4">
        <v>1036.0</v>
      </c>
      <c r="B3230" s="2" t="s">
        <v>12864</v>
      </c>
      <c r="C3230" s="2" t="s">
        <v>12865</v>
      </c>
      <c r="D3230" s="2" t="s">
        <v>12866</v>
      </c>
      <c r="E3230" s="2" t="s">
        <v>12867</v>
      </c>
      <c r="F3230" s="2" t="b">
        <v>1</v>
      </c>
      <c r="G3230" s="2" t="b">
        <v>1</v>
      </c>
      <c r="H3230" s="2" t="s">
        <v>12868</v>
      </c>
      <c r="I3230" s="2" t="s">
        <v>32</v>
      </c>
      <c r="J3230" s="2" t="s">
        <v>59</v>
      </c>
      <c r="K3230" s="2" t="s">
        <v>376</v>
      </c>
      <c r="L3230" s="2" t="s">
        <v>391</v>
      </c>
      <c r="M3230" s="2" t="s">
        <v>26</v>
      </c>
      <c r="N3230" s="29"/>
      <c r="O3230" s="29"/>
      <c r="P3230" s="5" t="str">
        <f>IFERROR(__xludf.DUMMYFUNCTION("TEXTJOIN("" | "",TRUE,IF(OR(D3230="""",E3230="""",I3230="""",J3230="""",H3230=""""),""ফাঁকা ঘর"",""""),IF(AND(C3230&lt;&gt;"""",D3230&lt;&gt;"""",C3230=D3230),""gloss=figurative"",""""),IF(LEN(D3230)&lt;15,""figurative ছোট"",""""),IF(AND(I3230=""Positive"",REGEXMATCH(H3"&amp;"230,""মূর্খ|ভণ্ড|প্রতার|অলস|লোভ|স্বার্থ|অক্ষম|অযোগ্য|বোকা|কৃপণ|হিংস"")),""valence-target অমিল"",""""),IF(COUNTIF($B:$B,B3230)&gt;1,""ডুপ্লিকেট"",""""))"),"")</f>
        <v/>
      </c>
      <c r="Q3230" s="5" t="str">
        <f t="shared" si="1"/>
        <v>২ পরে</v>
      </c>
    </row>
    <row r="3231">
      <c r="A3231" s="4">
        <v>1037.0</v>
      </c>
      <c r="B3231" s="2" t="s">
        <v>12869</v>
      </c>
      <c r="C3231" s="2" t="s">
        <v>12870</v>
      </c>
      <c r="D3231" s="2" t="s">
        <v>12871</v>
      </c>
      <c r="E3231" s="2" t="s">
        <v>12872</v>
      </c>
      <c r="F3231" s="2" t="b">
        <v>1</v>
      </c>
      <c r="G3231" s="2" t="b">
        <v>0</v>
      </c>
      <c r="H3231" s="2" t="s">
        <v>10981</v>
      </c>
      <c r="I3231" s="2" t="s">
        <v>49</v>
      </c>
      <c r="J3231" s="2" t="s">
        <v>225</v>
      </c>
      <c r="K3231" s="2" t="s">
        <v>376</v>
      </c>
      <c r="L3231" s="2" t="s">
        <v>391</v>
      </c>
      <c r="M3231" s="2" t="s">
        <v>26</v>
      </c>
      <c r="N3231" s="29"/>
      <c r="O3231" s="29"/>
      <c r="P3231" s="5" t="str">
        <f>IFERROR(__xludf.DUMMYFUNCTION("TEXTJOIN("" | "",TRUE,IF(OR(D3231="""",E3231="""",I3231="""",J3231="""",H3231=""""),""ফাঁকা ঘর"",""""),IF(AND(C3231&lt;&gt;"""",D3231&lt;&gt;"""",C3231=D3231),""gloss=figurative"",""""),IF(LEN(D3231)&lt;15,""figurative ছোট"",""""),IF(AND(I3231=""Positive"",REGEXMATCH(H3"&amp;"231,""মূর্খ|ভণ্ড|প্রতার|অলস|লোভ|স্বার্থ|অক্ষম|অযোগ্য|বোকা|কৃপণ|হিংস"")),""valence-target অমিল"",""""),IF(COUNTIF($B:$B,B3231)&gt;1,""ডুপ্লিকেট"",""""))"),"")</f>
        <v/>
      </c>
      <c r="Q3231" s="5" t="str">
        <f t="shared" si="1"/>
        <v>২ পরে</v>
      </c>
    </row>
    <row r="3232">
      <c r="A3232" s="4">
        <v>1038.0</v>
      </c>
      <c r="B3232" s="2" t="s">
        <v>12873</v>
      </c>
      <c r="C3232" s="2" t="s">
        <v>12874</v>
      </c>
      <c r="D3232" s="2" t="s">
        <v>12875</v>
      </c>
      <c r="E3232" s="2" t="s">
        <v>12876</v>
      </c>
      <c r="F3232" s="2" t="b">
        <v>1</v>
      </c>
      <c r="G3232" s="2" t="b">
        <v>0</v>
      </c>
      <c r="H3232" s="2" t="s">
        <v>21</v>
      </c>
      <c r="I3232" s="2" t="s">
        <v>22</v>
      </c>
      <c r="J3232" s="2" t="s">
        <v>59</v>
      </c>
      <c r="K3232" s="2" t="s">
        <v>376</v>
      </c>
      <c r="L3232" s="2" t="s">
        <v>391</v>
      </c>
      <c r="M3232" s="2" t="s">
        <v>26</v>
      </c>
      <c r="N3232" s="29"/>
      <c r="O3232" s="29"/>
      <c r="P3232" s="5" t="str">
        <f>IFERROR(__xludf.DUMMYFUNCTION("TEXTJOIN("" | "",TRUE,IF(OR(D3232="""",E3232="""",I3232="""",J3232="""",H3232=""""),""ফাঁকা ঘর"",""""),IF(AND(C3232&lt;&gt;"""",D3232&lt;&gt;"""",C3232=D3232),""gloss=figurative"",""""),IF(LEN(D3232)&lt;15,""figurative ছোট"",""""),IF(AND(I3232=""Positive"",REGEXMATCH(H3"&amp;"232,""মূর্খ|ভণ্ড|প্রতার|অলস|লোভ|স্বার্থ|অক্ষম|অযোগ্য|বোকা|কৃপণ|হিংস"")),""valence-target অমিল"",""""),IF(COUNTIF($B:$B,B3232)&gt;1,""ডুপ্লিকেট"",""""))"),"")</f>
        <v/>
      </c>
      <c r="Q3232" s="5" t="str">
        <f t="shared" si="1"/>
        <v>২ পরে</v>
      </c>
    </row>
    <row r="3233">
      <c r="A3233" s="4">
        <v>1039.0</v>
      </c>
      <c r="B3233" s="2" t="s">
        <v>12877</v>
      </c>
      <c r="C3233" s="2" t="s">
        <v>12878</v>
      </c>
      <c r="D3233" s="2" t="s">
        <v>12879</v>
      </c>
      <c r="E3233" s="2" t="s">
        <v>12880</v>
      </c>
      <c r="F3233" s="2" t="b">
        <v>1</v>
      </c>
      <c r="G3233" s="2" t="b">
        <v>0</v>
      </c>
      <c r="H3233" s="2" t="s">
        <v>12881</v>
      </c>
      <c r="I3233" s="2" t="s">
        <v>22</v>
      </c>
      <c r="J3233" s="2" t="s">
        <v>123</v>
      </c>
      <c r="K3233" s="2" t="s">
        <v>376</v>
      </c>
      <c r="L3233" s="2" t="s">
        <v>391</v>
      </c>
      <c r="M3233" s="2" t="s">
        <v>26</v>
      </c>
      <c r="N3233" s="29"/>
      <c r="O3233" s="29"/>
      <c r="P3233" s="5" t="str">
        <f>IFERROR(__xludf.DUMMYFUNCTION("TEXTJOIN("" | "",TRUE,IF(OR(D3233="""",E3233="""",I3233="""",J3233="""",H3233=""""),""ফাঁকা ঘর"",""""),IF(AND(C3233&lt;&gt;"""",D3233&lt;&gt;"""",C3233=D3233),""gloss=figurative"",""""),IF(LEN(D3233)&lt;15,""figurative ছোট"",""""),IF(AND(I3233=""Positive"",REGEXMATCH(H3"&amp;"233,""মূর্খ|ভণ্ড|প্রতার|অলস|লোভ|স্বার্থ|অক্ষম|অযোগ্য|বোকা|কৃপণ|হিংস"")),""valence-target অমিল"",""""),IF(COUNTIF($B:$B,B3233)&gt;1,""ডুপ্লিকেট"",""""))"),"")</f>
        <v/>
      </c>
      <c r="Q3233" s="5" t="str">
        <f t="shared" si="1"/>
        <v>২ পরে</v>
      </c>
    </row>
    <row r="3234">
      <c r="A3234" s="4">
        <v>1040.0</v>
      </c>
      <c r="B3234" s="2" t="s">
        <v>12882</v>
      </c>
      <c r="C3234" s="2" t="s">
        <v>12883</v>
      </c>
      <c r="D3234" s="2" t="s">
        <v>12884</v>
      </c>
      <c r="E3234" s="2" t="s">
        <v>12885</v>
      </c>
      <c r="F3234" s="2" t="b">
        <v>1</v>
      </c>
      <c r="G3234" s="2" t="b">
        <v>0</v>
      </c>
      <c r="H3234" s="2" t="s">
        <v>37</v>
      </c>
      <c r="I3234" s="2" t="s">
        <v>32</v>
      </c>
      <c r="J3234" s="2" t="s">
        <v>162</v>
      </c>
      <c r="K3234" s="2" t="s">
        <v>376</v>
      </c>
      <c r="L3234" s="2" t="s">
        <v>391</v>
      </c>
      <c r="M3234" s="2" t="s">
        <v>26</v>
      </c>
      <c r="N3234" s="29"/>
      <c r="O3234" s="29"/>
      <c r="P3234" s="5" t="str">
        <f>IFERROR(__xludf.DUMMYFUNCTION("TEXTJOIN("" | "",TRUE,IF(OR(D3234="""",E3234="""",I3234="""",J3234="""",H3234=""""),""ফাঁকা ঘর"",""""),IF(AND(C3234&lt;&gt;"""",D3234&lt;&gt;"""",C3234=D3234),""gloss=figurative"",""""),IF(LEN(D3234)&lt;15,""figurative ছোট"",""""),IF(AND(I3234=""Positive"",REGEXMATCH(H3"&amp;"234,""মূর্খ|ভণ্ড|প্রতার|অলস|লোভ|স্বার্থ|অক্ষম|অযোগ্য|বোকা|কৃপণ|হিংস"")),""valence-target অমিল"",""""),IF(COUNTIF($B:$B,B3234)&gt;1,""ডুপ্লিকেট"",""""))"),"")</f>
        <v/>
      </c>
      <c r="Q3234" s="5" t="str">
        <f t="shared" si="1"/>
        <v>২ পরে</v>
      </c>
    </row>
    <row r="3235">
      <c r="A3235" s="4">
        <v>1041.0</v>
      </c>
      <c r="B3235" s="2" t="s">
        <v>12886</v>
      </c>
      <c r="C3235" s="2" t="s">
        <v>12887</v>
      </c>
      <c r="D3235" s="2" t="s">
        <v>12888</v>
      </c>
      <c r="E3235" s="2" t="s">
        <v>12889</v>
      </c>
      <c r="F3235" s="2" t="b">
        <v>1</v>
      </c>
      <c r="G3235" s="2" t="b">
        <v>0</v>
      </c>
      <c r="H3235" s="2" t="s">
        <v>8837</v>
      </c>
      <c r="I3235" s="2" t="s">
        <v>22</v>
      </c>
      <c r="J3235" s="2" t="s">
        <v>123</v>
      </c>
      <c r="K3235" s="2" t="s">
        <v>376</v>
      </c>
      <c r="L3235" s="2" t="s">
        <v>391</v>
      </c>
      <c r="M3235" s="2" t="s">
        <v>26</v>
      </c>
      <c r="N3235" s="29"/>
      <c r="O3235" s="29"/>
      <c r="P3235" s="5" t="str">
        <f>IFERROR(__xludf.DUMMYFUNCTION("TEXTJOIN("" | "",TRUE,IF(OR(D3235="""",E3235="""",I3235="""",J3235="""",H3235=""""),""ফাঁকা ঘর"",""""),IF(AND(C3235&lt;&gt;"""",D3235&lt;&gt;"""",C3235=D3235),""gloss=figurative"",""""),IF(LEN(D3235)&lt;15,""figurative ছোট"",""""),IF(AND(I3235=""Positive"",REGEXMATCH(H3"&amp;"235,""মূর্খ|ভণ্ড|প্রতার|অলস|লোভ|স্বার্থ|অক্ষম|অযোগ্য|বোকা|কৃপণ|হিংস"")),""valence-target অমিল"",""""),IF(COUNTIF($B:$B,B3235)&gt;1,""ডুপ্লিকেট"",""""))"),"")</f>
        <v/>
      </c>
      <c r="Q3235" s="5" t="str">
        <f t="shared" si="1"/>
        <v>২ পরে</v>
      </c>
    </row>
    <row r="3236">
      <c r="A3236" s="4">
        <v>1042.0</v>
      </c>
      <c r="B3236" s="2" t="s">
        <v>12890</v>
      </c>
      <c r="C3236" s="2" t="s">
        <v>12891</v>
      </c>
      <c r="D3236" s="2" t="s">
        <v>12892</v>
      </c>
      <c r="E3236" s="2" t="s">
        <v>12893</v>
      </c>
      <c r="F3236" s="2" t="b">
        <v>1</v>
      </c>
      <c r="G3236" s="2" t="b">
        <v>0</v>
      </c>
      <c r="H3236" s="2" t="s">
        <v>10981</v>
      </c>
      <c r="I3236" s="2" t="s">
        <v>49</v>
      </c>
      <c r="J3236" s="2" t="s">
        <v>447</v>
      </c>
      <c r="K3236" s="2" t="s">
        <v>376</v>
      </c>
      <c r="L3236" s="2" t="s">
        <v>391</v>
      </c>
      <c r="M3236" s="2" t="s">
        <v>26</v>
      </c>
      <c r="N3236" s="29"/>
      <c r="O3236" s="29"/>
      <c r="P3236" s="5" t="str">
        <f>IFERROR(__xludf.DUMMYFUNCTION("TEXTJOIN("" | "",TRUE,IF(OR(D3236="""",E3236="""",I3236="""",J3236="""",H3236=""""),""ফাঁকা ঘর"",""""),IF(AND(C3236&lt;&gt;"""",D3236&lt;&gt;"""",C3236=D3236),""gloss=figurative"",""""),IF(LEN(D3236)&lt;15,""figurative ছোট"",""""),IF(AND(I3236=""Positive"",REGEXMATCH(H3"&amp;"236,""মূর্খ|ভণ্ড|প্রতার|অলস|লোভ|স্বার্থ|অক্ষম|অযোগ্য|বোকা|কৃপণ|হিংস"")),""valence-target অমিল"",""""),IF(COUNTIF($B:$B,B3236)&gt;1,""ডুপ্লিকেট"",""""))"),"")</f>
        <v/>
      </c>
      <c r="Q3236" s="5" t="str">
        <f t="shared" si="1"/>
        <v>২ পরে</v>
      </c>
    </row>
    <row r="3237">
      <c r="A3237" s="4">
        <v>1043.0</v>
      </c>
      <c r="B3237" s="2" t="s">
        <v>12894</v>
      </c>
      <c r="C3237" s="2" t="s">
        <v>12895</v>
      </c>
      <c r="D3237" s="2" t="s">
        <v>12896</v>
      </c>
      <c r="E3237" s="2" t="s">
        <v>12897</v>
      </c>
      <c r="F3237" s="2" t="b">
        <v>1</v>
      </c>
      <c r="G3237" s="2" t="b">
        <v>0</v>
      </c>
      <c r="H3237" s="2" t="s">
        <v>37</v>
      </c>
      <c r="I3237" s="2" t="s">
        <v>32</v>
      </c>
      <c r="J3237" s="2" t="s">
        <v>162</v>
      </c>
      <c r="K3237" s="2" t="s">
        <v>376</v>
      </c>
      <c r="L3237" s="2" t="s">
        <v>391</v>
      </c>
      <c r="M3237" s="2" t="s">
        <v>26</v>
      </c>
      <c r="N3237" s="29"/>
      <c r="O3237" s="29"/>
      <c r="P3237" s="5" t="str">
        <f>IFERROR(__xludf.DUMMYFUNCTION("TEXTJOIN("" | "",TRUE,IF(OR(D3237="""",E3237="""",I3237="""",J3237="""",H3237=""""),""ফাঁকা ঘর"",""""),IF(AND(C3237&lt;&gt;"""",D3237&lt;&gt;"""",C3237=D3237),""gloss=figurative"",""""),IF(LEN(D3237)&lt;15,""figurative ছোট"",""""),IF(AND(I3237=""Positive"",REGEXMATCH(H3"&amp;"237,""মূর্খ|ভণ্ড|প্রতার|অলস|লোভ|স্বার্থ|অক্ষম|অযোগ্য|বোকা|কৃপণ|হিংস"")),""valence-target অমিল"",""""),IF(COUNTIF($B:$B,B3237)&gt;1,""ডুপ্লিকেট"",""""))"),"")</f>
        <v/>
      </c>
      <c r="Q3237" s="5" t="str">
        <f t="shared" si="1"/>
        <v>২ পরে</v>
      </c>
    </row>
    <row r="3238">
      <c r="A3238" s="4">
        <v>1044.0</v>
      </c>
      <c r="B3238" s="2" t="s">
        <v>12898</v>
      </c>
      <c r="C3238" s="2" t="s">
        <v>12899</v>
      </c>
      <c r="D3238" s="2" t="s">
        <v>12900</v>
      </c>
      <c r="E3238" s="2" t="s">
        <v>12901</v>
      </c>
      <c r="F3238" s="2" t="b">
        <v>1</v>
      </c>
      <c r="G3238" s="2" t="b">
        <v>0</v>
      </c>
      <c r="H3238" s="2" t="s">
        <v>913</v>
      </c>
      <c r="I3238" s="2" t="s">
        <v>32</v>
      </c>
      <c r="J3238" s="2" t="s">
        <v>12902</v>
      </c>
      <c r="K3238" s="2" t="s">
        <v>376</v>
      </c>
      <c r="L3238" s="2" t="s">
        <v>391</v>
      </c>
      <c r="M3238" s="2" t="s">
        <v>26</v>
      </c>
      <c r="N3238" s="29"/>
      <c r="O3238" s="29"/>
      <c r="P3238" s="5" t="str">
        <f>IFERROR(__xludf.DUMMYFUNCTION("TEXTJOIN("" | "",TRUE,IF(OR(D3238="""",E3238="""",I3238="""",J3238="""",H3238=""""),""ফাঁকা ঘর"",""""),IF(AND(C3238&lt;&gt;"""",D3238&lt;&gt;"""",C3238=D3238),""gloss=figurative"",""""),IF(LEN(D3238)&lt;15,""figurative ছোট"",""""),IF(AND(I3238=""Positive"",REGEXMATCH(H3"&amp;"238,""মূর্খ|ভণ্ড|প্রতার|অলস|লোভ|স্বার্থ|অক্ষম|অযোগ্য|বোকা|কৃপণ|হিংস"")),""valence-target অমিল"",""""),IF(COUNTIF($B:$B,B3238)&gt;1,""ডুপ্লিকেট"",""""))"),"")</f>
        <v/>
      </c>
      <c r="Q3238" s="5" t="str">
        <f t="shared" si="1"/>
        <v>২ পরে</v>
      </c>
    </row>
    <row r="3239">
      <c r="A3239" s="4">
        <v>1045.0</v>
      </c>
      <c r="B3239" s="2" t="s">
        <v>12903</v>
      </c>
      <c r="C3239" s="2" t="s">
        <v>12904</v>
      </c>
      <c r="D3239" s="2" t="s">
        <v>12905</v>
      </c>
      <c r="E3239" s="2" t="s">
        <v>12906</v>
      </c>
      <c r="F3239" s="2" t="b">
        <v>1</v>
      </c>
      <c r="G3239" s="2" t="b">
        <v>0</v>
      </c>
      <c r="H3239" s="2" t="s">
        <v>12907</v>
      </c>
      <c r="I3239" s="2" t="s">
        <v>49</v>
      </c>
      <c r="J3239" s="2" t="s">
        <v>123</v>
      </c>
      <c r="K3239" s="2" t="s">
        <v>376</v>
      </c>
      <c r="L3239" s="2" t="s">
        <v>391</v>
      </c>
      <c r="M3239" s="2" t="s">
        <v>26</v>
      </c>
      <c r="N3239" s="29"/>
      <c r="O3239" s="29"/>
      <c r="P3239" s="5" t="str">
        <f>IFERROR(__xludf.DUMMYFUNCTION("TEXTJOIN("" | "",TRUE,IF(OR(D3239="""",E3239="""",I3239="""",J3239="""",H3239=""""),""ফাঁকা ঘর"",""""),IF(AND(C3239&lt;&gt;"""",D3239&lt;&gt;"""",C3239=D3239),""gloss=figurative"",""""),IF(LEN(D3239)&lt;15,""figurative ছোট"",""""),IF(AND(I3239=""Positive"",REGEXMATCH(H3"&amp;"239,""মূর্খ|ভণ্ড|প্রতার|অলস|লোভ|স্বার্থ|অক্ষম|অযোগ্য|বোকা|কৃপণ|হিংস"")),""valence-target অমিল"",""""),IF(COUNTIF($B:$B,B3239)&gt;1,""ডুপ্লিকেট"",""""))"),"")</f>
        <v/>
      </c>
      <c r="Q3239" s="5" t="str">
        <f t="shared" si="1"/>
        <v>২ পরে</v>
      </c>
    </row>
    <row r="3240">
      <c r="A3240" s="4">
        <v>1046.0</v>
      </c>
      <c r="B3240" s="2" t="s">
        <v>12908</v>
      </c>
      <c r="C3240" s="2" t="s">
        <v>12909</v>
      </c>
      <c r="D3240" s="2" t="s">
        <v>12910</v>
      </c>
      <c r="E3240" s="2" t="s">
        <v>12911</v>
      </c>
      <c r="F3240" s="2" t="b">
        <v>1</v>
      </c>
      <c r="G3240" s="2" t="b">
        <v>0</v>
      </c>
      <c r="H3240" s="2" t="s">
        <v>8918</v>
      </c>
      <c r="I3240" s="2" t="s">
        <v>22</v>
      </c>
      <c r="J3240" s="2" t="s">
        <v>59</v>
      </c>
      <c r="K3240" s="2" t="s">
        <v>376</v>
      </c>
      <c r="L3240" s="2" t="s">
        <v>391</v>
      </c>
      <c r="M3240" s="2" t="s">
        <v>26</v>
      </c>
      <c r="N3240" s="29"/>
      <c r="O3240" s="29"/>
      <c r="P3240" s="5" t="str">
        <f>IFERROR(__xludf.DUMMYFUNCTION("TEXTJOIN("" | "",TRUE,IF(OR(D3240="""",E3240="""",I3240="""",J3240="""",H3240=""""),""ফাঁকা ঘর"",""""),IF(AND(C3240&lt;&gt;"""",D3240&lt;&gt;"""",C3240=D3240),""gloss=figurative"",""""),IF(LEN(D3240)&lt;15,""figurative ছোট"",""""),IF(AND(I3240=""Positive"",REGEXMATCH(H3"&amp;"240,""মূর্খ|ভণ্ড|প্রতার|অলস|লোভ|স্বার্থ|অক্ষম|অযোগ্য|বোকা|কৃপণ|হিংস"")),""valence-target অমিল"",""""),IF(COUNTIF($B:$B,B3240)&gt;1,""ডুপ্লিকেট"",""""))"),"")</f>
        <v/>
      </c>
      <c r="Q3240" s="5" t="str">
        <f t="shared" si="1"/>
        <v>২ পরে</v>
      </c>
    </row>
    <row r="3241">
      <c r="A3241" s="4">
        <v>1047.0</v>
      </c>
      <c r="B3241" s="2" t="s">
        <v>12912</v>
      </c>
      <c r="C3241" s="2" t="s">
        <v>12913</v>
      </c>
      <c r="D3241" s="2" t="s">
        <v>12914</v>
      </c>
      <c r="E3241" s="2" t="s">
        <v>12915</v>
      </c>
      <c r="F3241" s="2" t="b">
        <v>1</v>
      </c>
      <c r="G3241" s="2" t="b">
        <v>0</v>
      </c>
      <c r="H3241" s="2" t="s">
        <v>37</v>
      </c>
      <c r="I3241" s="2" t="s">
        <v>32</v>
      </c>
      <c r="J3241" s="2" t="s">
        <v>12916</v>
      </c>
      <c r="K3241" s="2" t="s">
        <v>376</v>
      </c>
      <c r="L3241" s="2" t="s">
        <v>391</v>
      </c>
      <c r="M3241" s="2" t="s">
        <v>26</v>
      </c>
      <c r="N3241" s="29"/>
      <c r="O3241" s="29"/>
      <c r="P3241" s="5" t="str">
        <f>IFERROR(__xludf.DUMMYFUNCTION("TEXTJOIN("" | "",TRUE,IF(OR(D3241="""",E3241="""",I3241="""",J3241="""",H3241=""""),""ফাঁকা ঘর"",""""),IF(AND(C3241&lt;&gt;"""",D3241&lt;&gt;"""",C3241=D3241),""gloss=figurative"",""""),IF(LEN(D3241)&lt;15,""figurative ছোট"",""""),IF(AND(I3241=""Positive"",REGEXMATCH(H3"&amp;"241,""মূর্খ|ভণ্ড|প্রতার|অলস|লোভ|স্বার্থ|অক্ষম|অযোগ্য|বোকা|কৃপণ|হিংস"")),""valence-target অমিল"",""""),IF(COUNTIF($B:$B,B3241)&gt;1,""ডুপ্লিকেট"",""""))"),"")</f>
        <v/>
      </c>
      <c r="Q3241" s="5" t="str">
        <f t="shared" si="1"/>
        <v>২ পরে</v>
      </c>
    </row>
    <row r="3242">
      <c r="A3242" s="4">
        <v>1049.0</v>
      </c>
      <c r="B3242" s="2" t="s">
        <v>12917</v>
      </c>
      <c r="C3242" s="2" t="s">
        <v>12918</v>
      </c>
      <c r="D3242" s="2" t="s">
        <v>12919</v>
      </c>
      <c r="E3242" s="2" t="s">
        <v>12920</v>
      </c>
      <c r="F3242" s="2" t="b">
        <v>1</v>
      </c>
      <c r="G3242" s="2" t="b">
        <v>0</v>
      </c>
      <c r="H3242" s="2" t="s">
        <v>37</v>
      </c>
      <c r="I3242" s="2" t="s">
        <v>32</v>
      </c>
      <c r="J3242" s="2" t="s">
        <v>590</v>
      </c>
      <c r="K3242" s="2" t="s">
        <v>376</v>
      </c>
      <c r="L3242" s="2" t="s">
        <v>391</v>
      </c>
      <c r="M3242" s="2" t="s">
        <v>26</v>
      </c>
      <c r="N3242" s="29"/>
      <c r="O3242" s="29"/>
      <c r="P3242" s="5" t="str">
        <f>IFERROR(__xludf.DUMMYFUNCTION("TEXTJOIN("" | "",TRUE,IF(OR(D3242="""",E3242="""",I3242="""",J3242="""",H3242=""""),""ফাঁকা ঘর"",""""),IF(AND(C3242&lt;&gt;"""",D3242&lt;&gt;"""",C3242=D3242),""gloss=figurative"",""""),IF(LEN(D3242)&lt;15,""figurative ছোট"",""""),IF(AND(I3242=""Positive"",REGEXMATCH(H3"&amp;"242,""মূর্খ|ভণ্ড|প্রতার|অলস|লোভ|স্বার্থ|অক্ষম|অযোগ্য|বোকা|কৃপণ|হিংস"")),""valence-target অমিল"",""""),IF(COUNTIF($B:$B,B3242)&gt;1,""ডুপ্লিকেট"",""""))"),"")</f>
        <v/>
      </c>
      <c r="Q3242" s="5" t="str">
        <f t="shared" si="1"/>
        <v>২ পরে</v>
      </c>
    </row>
    <row r="3243">
      <c r="A3243" s="4">
        <v>1050.0</v>
      </c>
      <c r="B3243" s="2" t="s">
        <v>12921</v>
      </c>
      <c r="C3243" s="2" t="s">
        <v>12922</v>
      </c>
      <c r="D3243" s="2" t="s">
        <v>12923</v>
      </c>
      <c r="E3243" s="2" t="s">
        <v>12924</v>
      </c>
      <c r="F3243" s="2" t="b">
        <v>1</v>
      </c>
      <c r="G3243" s="2" t="b">
        <v>0</v>
      </c>
      <c r="H3243" s="2" t="s">
        <v>37</v>
      </c>
      <c r="I3243" s="2" t="s">
        <v>32</v>
      </c>
      <c r="J3243" s="2" t="s">
        <v>162</v>
      </c>
      <c r="K3243" s="2" t="s">
        <v>376</v>
      </c>
      <c r="L3243" s="2" t="s">
        <v>391</v>
      </c>
      <c r="M3243" s="2" t="s">
        <v>26</v>
      </c>
      <c r="N3243" s="29"/>
      <c r="O3243" s="29"/>
      <c r="P3243" s="5" t="str">
        <f>IFERROR(__xludf.DUMMYFUNCTION("TEXTJOIN("" | "",TRUE,IF(OR(D3243="""",E3243="""",I3243="""",J3243="""",H3243=""""),""ফাঁকা ঘর"",""""),IF(AND(C3243&lt;&gt;"""",D3243&lt;&gt;"""",C3243=D3243),""gloss=figurative"",""""),IF(LEN(D3243)&lt;15,""figurative ছোট"",""""),IF(AND(I3243=""Positive"",REGEXMATCH(H3"&amp;"243,""মূর্খ|ভণ্ড|প্রতার|অলস|লোভ|স্বার্থ|অক্ষম|অযোগ্য|বোকা|কৃপণ|হিংস"")),""valence-target অমিল"",""""),IF(COUNTIF($B:$B,B3243)&gt;1,""ডুপ্লিকেট"",""""))"),"")</f>
        <v/>
      </c>
      <c r="Q3243" s="5" t="str">
        <f t="shared" si="1"/>
        <v>২ পরে</v>
      </c>
    </row>
    <row r="3244">
      <c r="A3244" s="4">
        <v>1051.0</v>
      </c>
      <c r="B3244" s="2" t="s">
        <v>12925</v>
      </c>
      <c r="C3244" s="2" t="s">
        <v>12926</v>
      </c>
      <c r="D3244" s="2" t="s">
        <v>12927</v>
      </c>
      <c r="E3244" s="2" t="s">
        <v>12928</v>
      </c>
      <c r="F3244" s="2" t="b">
        <v>1</v>
      </c>
      <c r="G3244" s="2" t="b">
        <v>0</v>
      </c>
      <c r="H3244" s="2" t="s">
        <v>37</v>
      </c>
      <c r="I3244" s="2" t="s">
        <v>32</v>
      </c>
      <c r="J3244" s="2" t="s">
        <v>162</v>
      </c>
      <c r="K3244" s="2" t="s">
        <v>376</v>
      </c>
      <c r="L3244" s="2" t="s">
        <v>391</v>
      </c>
      <c r="M3244" s="2" t="s">
        <v>26</v>
      </c>
      <c r="N3244" s="29"/>
      <c r="O3244" s="29"/>
      <c r="P3244" s="5" t="str">
        <f>IFERROR(__xludf.DUMMYFUNCTION("TEXTJOIN("" | "",TRUE,IF(OR(D3244="""",E3244="""",I3244="""",J3244="""",H3244=""""),""ফাঁকা ঘর"",""""),IF(AND(C3244&lt;&gt;"""",D3244&lt;&gt;"""",C3244=D3244),""gloss=figurative"",""""),IF(LEN(D3244)&lt;15,""figurative ছোট"",""""),IF(AND(I3244=""Positive"",REGEXMATCH(H3"&amp;"244,""মূর্খ|ভণ্ড|প্রতার|অলস|লোভ|স্বার্থ|অক্ষম|অযোগ্য|বোকা|কৃপণ|হিংস"")),""valence-target অমিল"",""""),IF(COUNTIF($B:$B,B3244)&gt;1,""ডুপ্লিকেট"",""""))"),"")</f>
        <v/>
      </c>
      <c r="Q3244" s="5" t="str">
        <f t="shared" si="1"/>
        <v>২ পরে</v>
      </c>
    </row>
    <row r="3245">
      <c r="A3245" s="4">
        <v>1052.0</v>
      </c>
      <c r="B3245" s="2" t="s">
        <v>12929</v>
      </c>
      <c r="C3245" s="2" t="s">
        <v>12930</v>
      </c>
      <c r="D3245" s="2" t="s">
        <v>12931</v>
      </c>
      <c r="E3245" s="2" t="s">
        <v>12932</v>
      </c>
      <c r="F3245" s="2" t="b">
        <v>1</v>
      </c>
      <c r="G3245" s="2" t="b">
        <v>0</v>
      </c>
      <c r="H3245" s="2" t="s">
        <v>37</v>
      </c>
      <c r="I3245" s="2" t="s">
        <v>32</v>
      </c>
      <c r="J3245" s="2" t="s">
        <v>162</v>
      </c>
      <c r="K3245" s="2" t="s">
        <v>376</v>
      </c>
      <c r="L3245" s="2" t="s">
        <v>391</v>
      </c>
      <c r="M3245" s="2" t="s">
        <v>26</v>
      </c>
      <c r="N3245" s="29"/>
      <c r="O3245" s="29"/>
      <c r="P3245" s="5" t="str">
        <f>IFERROR(__xludf.DUMMYFUNCTION("TEXTJOIN("" | "",TRUE,IF(OR(D3245="""",E3245="""",I3245="""",J3245="""",H3245=""""),""ফাঁকা ঘর"",""""),IF(AND(C3245&lt;&gt;"""",D3245&lt;&gt;"""",C3245=D3245),""gloss=figurative"",""""),IF(LEN(D3245)&lt;15,""figurative ছোট"",""""),IF(AND(I3245=""Positive"",REGEXMATCH(H3"&amp;"245,""মূর্খ|ভণ্ড|প্রতার|অলস|লোভ|স্বার্থ|অক্ষম|অযোগ্য|বোকা|কৃপণ|হিংস"")),""valence-target অমিল"",""""),IF(COUNTIF($B:$B,B3245)&gt;1,""ডুপ্লিকেট"",""""))"),"")</f>
        <v/>
      </c>
      <c r="Q3245" s="5" t="str">
        <f t="shared" si="1"/>
        <v>২ পরে</v>
      </c>
    </row>
    <row r="3246">
      <c r="A3246" s="4">
        <v>1053.0</v>
      </c>
      <c r="B3246" s="2" t="s">
        <v>12933</v>
      </c>
      <c r="C3246" s="2" t="s">
        <v>12934</v>
      </c>
      <c r="D3246" s="2" t="s">
        <v>12935</v>
      </c>
      <c r="E3246" s="2" t="s">
        <v>12936</v>
      </c>
      <c r="F3246" s="2" t="b">
        <v>1</v>
      </c>
      <c r="G3246" s="2" t="b">
        <v>1</v>
      </c>
      <c r="H3246" s="2" t="s">
        <v>1106</v>
      </c>
      <c r="I3246" s="2" t="s">
        <v>22</v>
      </c>
      <c r="J3246" s="2" t="s">
        <v>565</v>
      </c>
      <c r="K3246" s="2" t="s">
        <v>376</v>
      </c>
      <c r="L3246" s="2" t="s">
        <v>391</v>
      </c>
      <c r="M3246" s="2" t="s">
        <v>26</v>
      </c>
      <c r="N3246" s="29"/>
      <c r="O3246" s="29"/>
      <c r="P3246" s="5" t="str">
        <f>IFERROR(__xludf.DUMMYFUNCTION("TEXTJOIN("" | "",TRUE,IF(OR(D3246="""",E3246="""",I3246="""",J3246="""",H3246=""""),""ফাঁকা ঘর"",""""),IF(AND(C3246&lt;&gt;"""",D3246&lt;&gt;"""",C3246=D3246),""gloss=figurative"",""""),IF(LEN(D3246)&lt;15,""figurative ছোট"",""""),IF(AND(I3246=""Positive"",REGEXMATCH(H3"&amp;"246,""মূর্খ|ভণ্ড|প্রতার|অলস|লোভ|স্বার্থ|অক্ষম|অযোগ্য|বোকা|কৃপণ|হিংস"")),""valence-target অমিল"",""""),IF(COUNTIF($B:$B,B3246)&gt;1,""ডুপ্লিকেট"",""""))"),"")</f>
        <v/>
      </c>
      <c r="Q3246" s="5" t="str">
        <f t="shared" si="1"/>
        <v>২ পরে</v>
      </c>
    </row>
    <row r="3247">
      <c r="A3247" s="4">
        <v>1054.0</v>
      </c>
      <c r="B3247" s="2" t="s">
        <v>12937</v>
      </c>
      <c r="C3247" s="2" t="s">
        <v>12938</v>
      </c>
      <c r="D3247" s="2" t="s">
        <v>12939</v>
      </c>
      <c r="E3247" s="2" t="s">
        <v>12940</v>
      </c>
      <c r="F3247" s="2" t="b">
        <v>1</v>
      </c>
      <c r="G3247" s="2" t="b">
        <v>1</v>
      </c>
      <c r="H3247" s="2" t="s">
        <v>12941</v>
      </c>
      <c r="I3247" s="2" t="s">
        <v>32</v>
      </c>
      <c r="J3247" s="2" t="s">
        <v>10356</v>
      </c>
      <c r="K3247" s="2" t="s">
        <v>376</v>
      </c>
      <c r="L3247" s="2" t="s">
        <v>391</v>
      </c>
      <c r="M3247" s="2" t="s">
        <v>26</v>
      </c>
      <c r="N3247" s="29"/>
      <c r="O3247" s="29"/>
      <c r="P3247" s="5" t="str">
        <f>IFERROR(__xludf.DUMMYFUNCTION("TEXTJOIN("" | "",TRUE,IF(OR(D3247="""",E3247="""",I3247="""",J3247="""",H3247=""""),""ফাঁকা ঘর"",""""),IF(AND(C3247&lt;&gt;"""",D3247&lt;&gt;"""",C3247=D3247),""gloss=figurative"",""""),IF(LEN(D3247)&lt;15,""figurative ছোট"",""""),IF(AND(I3247=""Positive"",REGEXMATCH(H3"&amp;"247,""মূর্খ|ভণ্ড|প্রতার|অলস|লোভ|স্বার্থ|অক্ষম|অযোগ্য|বোকা|কৃপণ|হিংস"")),""valence-target অমিল"",""""),IF(COUNTIF($B:$B,B3247)&gt;1,""ডুপ্লিকেট"",""""))"),"")</f>
        <v/>
      </c>
      <c r="Q3247" s="5" t="str">
        <f t="shared" si="1"/>
        <v>২ পরে</v>
      </c>
    </row>
    <row r="3248">
      <c r="A3248" s="4">
        <v>1056.0</v>
      </c>
      <c r="B3248" s="2" t="s">
        <v>12942</v>
      </c>
      <c r="C3248" s="2" t="s">
        <v>12943</v>
      </c>
      <c r="D3248" s="2" t="s">
        <v>12944</v>
      </c>
      <c r="E3248" s="2" t="s">
        <v>12945</v>
      </c>
      <c r="F3248" s="2" t="b">
        <v>1</v>
      </c>
      <c r="G3248" s="2" t="b">
        <v>0</v>
      </c>
      <c r="H3248" s="2" t="s">
        <v>396</v>
      </c>
      <c r="I3248" s="2" t="s">
        <v>22</v>
      </c>
      <c r="J3248" s="2" t="s">
        <v>123</v>
      </c>
      <c r="K3248" s="2" t="s">
        <v>376</v>
      </c>
      <c r="L3248" s="2" t="s">
        <v>391</v>
      </c>
      <c r="M3248" s="2" t="s">
        <v>26</v>
      </c>
      <c r="N3248" s="29"/>
      <c r="O3248" s="29"/>
      <c r="P3248" s="5" t="str">
        <f>IFERROR(__xludf.DUMMYFUNCTION("TEXTJOIN("" | "",TRUE,IF(OR(D3248="""",E3248="""",I3248="""",J3248="""",H3248=""""),""ফাঁকা ঘর"",""""),IF(AND(C3248&lt;&gt;"""",D3248&lt;&gt;"""",C3248=D3248),""gloss=figurative"",""""),IF(LEN(D3248)&lt;15,""figurative ছোট"",""""),IF(AND(I3248=""Positive"",REGEXMATCH(H3"&amp;"248,""মূর্খ|ভণ্ড|প্রতার|অলস|লোভ|স্বার্থ|অক্ষম|অযোগ্য|বোকা|কৃপণ|হিংস"")),""valence-target অমিল"",""""),IF(COUNTIF($B:$B,B3248)&gt;1,""ডুপ্লিকেট"",""""))"),"")</f>
        <v/>
      </c>
      <c r="Q3248" s="5" t="str">
        <f t="shared" si="1"/>
        <v>২ পরে</v>
      </c>
    </row>
    <row r="3249">
      <c r="A3249" s="4">
        <v>1057.0</v>
      </c>
      <c r="B3249" s="2" t="s">
        <v>12946</v>
      </c>
      <c r="C3249" s="2" t="s">
        <v>12947</v>
      </c>
      <c r="D3249" s="2" t="s">
        <v>12948</v>
      </c>
      <c r="E3249" s="2" t="s">
        <v>12949</v>
      </c>
      <c r="F3249" s="2" t="b">
        <v>1</v>
      </c>
      <c r="G3249" s="2" t="b">
        <v>0</v>
      </c>
      <c r="H3249" s="2" t="s">
        <v>12950</v>
      </c>
      <c r="I3249" s="2" t="s">
        <v>32</v>
      </c>
      <c r="J3249" s="2" t="s">
        <v>59</v>
      </c>
      <c r="K3249" s="2" t="s">
        <v>376</v>
      </c>
      <c r="L3249" s="2" t="s">
        <v>391</v>
      </c>
      <c r="M3249" s="2" t="s">
        <v>26</v>
      </c>
      <c r="N3249" s="29"/>
      <c r="O3249" s="29"/>
      <c r="P3249" s="5" t="str">
        <f>IFERROR(__xludf.DUMMYFUNCTION("TEXTJOIN("" | "",TRUE,IF(OR(D3249="""",E3249="""",I3249="""",J3249="""",H3249=""""),""ফাঁকা ঘর"",""""),IF(AND(C3249&lt;&gt;"""",D3249&lt;&gt;"""",C3249=D3249),""gloss=figurative"",""""),IF(LEN(D3249)&lt;15,""figurative ছোট"",""""),IF(AND(I3249=""Positive"",REGEXMATCH(H3"&amp;"249,""মূর্খ|ভণ্ড|প্রতার|অলস|লোভ|স্বার্থ|অক্ষম|অযোগ্য|বোকা|কৃপণ|হিংস"")),""valence-target অমিল"",""""),IF(COUNTIF($B:$B,B3249)&gt;1,""ডুপ্লিকেট"",""""))"),"")</f>
        <v/>
      </c>
      <c r="Q3249" s="5" t="str">
        <f t="shared" si="1"/>
        <v>২ পরে</v>
      </c>
    </row>
    <row r="3250">
      <c r="A3250" s="4">
        <v>1058.0</v>
      </c>
      <c r="B3250" s="2" t="s">
        <v>12951</v>
      </c>
      <c r="C3250" s="2" t="s">
        <v>12952</v>
      </c>
      <c r="D3250" s="2" t="s">
        <v>12953</v>
      </c>
      <c r="E3250" s="2" t="s">
        <v>12954</v>
      </c>
      <c r="F3250" s="2" t="b">
        <v>1</v>
      </c>
      <c r="G3250" s="2" t="b">
        <v>0</v>
      </c>
      <c r="H3250" s="2" t="s">
        <v>37</v>
      </c>
      <c r="I3250" s="2" t="s">
        <v>32</v>
      </c>
      <c r="J3250" s="2" t="s">
        <v>59</v>
      </c>
      <c r="K3250" s="2" t="s">
        <v>376</v>
      </c>
      <c r="L3250" s="2" t="s">
        <v>391</v>
      </c>
      <c r="M3250" s="2" t="s">
        <v>26</v>
      </c>
      <c r="N3250" s="29"/>
      <c r="O3250" s="29"/>
      <c r="P3250" s="5" t="str">
        <f>IFERROR(__xludf.DUMMYFUNCTION("TEXTJOIN("" | "",TRUE,IF(OR(D3250="""",E3250="""",I3250="""",J3250="""",H3250=""""),""ফাঁকা ঘর"",""""),IF(AND(C3250&lt;&gt;"""",D3250&lt;&gt;"""",C3250=D3250),""gloss=figurative"",""""),IF(LEN(D3250)&lt;15,""figurative ছোট"",""""),IF(AND(I3250=""Positive"",REGEXMATCH(H3"&amp;"250,""মূর্খ|ভণ্ড|প্রতার|অলস|লোভ|স্বার্থ|অক্ষম|অযোগ্য|বোকা|কৃপণ|হিংস"")),""valence-target অমিল"",""""),IF(COUNTIF($B:$B,B3250)&gt;1,""ডুপ্লিকেট"",""""))"),"")</f>
        <v/>
      </c>
      <c r="Q3250" s="5" t="str">
        <f t="shared" si="1"/>
        <v>২ পরে</v>
      </c>
    </row>
    <row r="3251">
      <c r="A3251" s="4">
        <v>1059.0</v>
      </c>
      <c r="B3251" s="2" t="s">
        <v>12955</v>
      </c>
      <c r="C3251" s="2" t="s">
        <v>12956</v>
      </c>
      <c r="D3251" s="2" t="s">
        <v>12957</v>
      </c>
      <c r="E3251" s="2" t="s">
        <v>12958</v>
      </c>
      <c r="F3251" s="2" t="b">
        <v>1</v>
      </c>
      <c r="G3251" s="2" t="b">
        <v>0</v>
      </c>
      <c r="H3251" s="2" t="s">
        <v>308</v>
      </c>
      <c r="I3251" s="2" t="s">
        <v>22</v>
      </c>
      <c r="J3251" s="2" t="s">
        <v>59</v>
      </c>
      <c r="K3251" s="2" t="s">
        <v>376</v>
      </c>
      <c r="L3251" s="2" t="s">
        <v>391</v>
      </c>
      <c r="M3251" s="2" t="s">
        <v>26</v>
      </c>
      <c r="N3251" s="29"/>
      <c r="O3251" s="29"/>
      <c r="P3251" s="5" t="str">
        <f>IFERROR(__xludf.DUMMYFUNCTION("TEXTJOIN("" | "",TRUE,IF(OR(D3251="""",E3251="""",I3251="""",J3251="""",H3251=""""),""ফাঁকা ঘর"",""""),IF(AND(C3251&lt;&gt;"""",D3251&lt;&gt;"""",C3251=D3251),""gloss=figurative"",""""),IF(LEN(D3251)&lt;15,""figurative ছোট"",""""),IF(AND(I3251=""Positive"",REGEXMATCH(H3"&amp;"251,""মূর্খ|ভণ্ড|প্রতার|অলস|লোভ|স্বার্থ|অক্ষম|অযোগ্য|বোকা|কৃপণ|হিংস"")),""valence-target অমিল"",""""),IF(COUNTIF($B:$B,B3251)&gt;1,""ডুপ্লিকেট"",""""))"),"")</f>
        <v/>
      </c>
      <c r="Q3251" s="5" t="str">
        <f t="shared" si="1"/>
        <v>২ পরে</v>
      </c>
    </row>
    <row r="3252">
      <c r="A3252" s="4">
        <v>1060.0</v>
      </c>
      <c r="B3252" s="2" t="s">
        <v>12959</v>
      </c>
      <c r="C3252" s="2" t="s">
        <v>12960</v>
      </c>
      <c r="D3252" s="2" t="s">
        <v>12961</v>
      </c>
      <c r="E3252" s="2" t="s">
        <v>12962</v>
      </c>
      <c r="F3252" s="2" t="b">
        <v>1</v>
      </c>
      <c r="G3252" s="2" t="b">
        <v>0</v>
      </c>
      <c r="H3252" s="2" t="s">
        <v>396</v>
      </c>
      <c r="I3252" s="2" t="s">
        <v>22</v>
      </c>
      <c r="J3252" s="2" t="s">
        <v>123</v>
      </c>
      <c r="K3252" s="2" t="s">
        <v>376</v>
      </c>
      <c r="L3252" s="2" t="s">
        <v>391</v>
      </c>
      <c r="M3252" s="2" t="s">
        <v>26</v>
      </c>
      <c r="N3252" s="29"/>
      <c r="O3252" s="29"/>
      <c r="P3252" s="5" t="str">
        <f>IFERROR(__xludf.DUMMYFUNCTION("TEXTJOIN("" | "",TRUE,IF(OR(D3252="""",E3252="""",I3252="""",J3252="""",H3252=""""),""ফাঁকা ঘর"",""""),IF(AND(C3252&lt;&gt;"""",D3252&lt;&gt;"""",C3252=D3252),""gloss=figurative"",""""),IF(LEN(D3252)&lt;15,""figurative ছোট"",""""),IF(AND(I3252=""Positive"",REGEXMATCH(H3"&amp;"252,""মূর্খ|ভণ্ড|প্রতার|অলস|লোভ|স্বার্থ|অক্ষম|অযোগ্য|বোকা|কৃপণ|হিংস"")),""valence-target অমিল"",""""),IF(COUNTIF($B:$B,B3252)&gt;1,""ডুপ্লিকেট"",""""))"),"")</f>
        <v/>
      </c>
      <c r="Q3252" s="5" t="str">
        <f t="shared" si="1"/>
        <v>২ পরে</v>
      </c>
    </row>
    <row r="3253">
      <c r="A3253" s="4">
        <v>1061.0</v>
      </c>
      <c r="B3253" s="2" t="s">
        <v>12963</v>
      </c>
      <c r="C3253" s="2" t="s">
        <v>12964</v>
      </c>
      <c r="D3253" s="2" t="s">
        <v>12965</v>
      </c>
      <c r="E3253" s="2" t="s">
        <v>12966</v>
      </c>
      <c r="F3253" s="2" t="b">
        <v>1</v>
      </c>
      <c r="G3253" s="2" t="b">
        <v>0</v>
      </c>
      <c r="H3253" s="2" t="s">
        <v>12967</v>
      </c>
      <c r="I3253" s="2" t="s">
        <v>32</v>
      </c>
      <c r="J3253" s="2" t="s">
        <v>169</v>
      </c>
      <c r="K3253" s="2" t="s">
        <v>376</v>
      </c>
      <c r="L3253" s="2" t="s">
        <v>391</v>
      </c>
      <c r="M3253" s="2" t="s">
        <v>26</v>
      </c>
      <c r="N3253" s="29"/>
      <c r="O3253" s="29"/>
      <c r="P3253" s="5" t="str">
        <f>IFERROR(__xludf.DUMMYFUNCTION("TEXTJOIN("" | "",TRUE,IF(OR(D3253="""",E3253="""",I3253="""",J3253="""",H3253=""""),""ফাঁকা ঘর"",""""),IF(AND(C3253&lt;&gt;"""",D3253&lt;&gt;"""",C3253=D3253),""gloss=figurative"",""""),IF(LEN(D3253)&lt;15,""figurative ছোট"",""""),IF(AND(I3253=""Positive"",REGEXMATCH(H3"&amp;"253,""মূর্খ|ভণ্ড|প্রতার|অলস|লোভ|স্বার্থ|অক্ষম|অযোগ্য|বোকা|কৃপণ|হিংস"")),""valence-target অমিল"",""""),IF(COUNTIF($B:$B,B3253)&gt;1,""ডুপ্লিকেট"",""""))"),"")</f>
        <v/>
      </c>
      <c r="Q3253" s="5" t="str">
        <f t="shared" si="1"/>
        <v>২ পরে</v>
      </c>
    </row>
    <row r="3254">
      <c r="A3254" s="4">
        <v>1063.0</v>
      </c>
      <c r="B3254" s="2" t="s">
        <v>12968</v>
      </c>
      <c r="C3254" s="2" t="s">
        <v>12969</v>
      </c>
      <c r="D3254" s="2" t="s">
        <v>12970</v>
      </c>
      <c r="E3254" s="2" t="s">
        <v>12971</v>
      </c>
      <c r="F3254" s="2" t="b">
        <v>1</v>
      </c>
      <c r="G3254" s="2" t="b">
        <v>1</v>
      </c>
      <c r="H3254" s="2" t="s">
        <v>1106</v>
      </c>
      <c r="I3254" s="2" t="s">
        <v>32</v>
      </c>
      <c r="J3254" s="2" t="s">
        <v>565</v>
      </c>
      <c r="K3254" s="2" t="s">
        <v>376</v>
      </c>
      <c r="L3254" s="2" t="s">
        <v>391</v>
      </c>
      <c r="M3254" s="2" t="s">
        <v>26</v>
      </c>
      <c r="N3254" s="29"/>
      <c r="O3254" s="29"/>
      <c r="P3254" s="5" t="str">
        <f>IFERROR(__xludf.DUMMYFUNCTION("TEXTJOIN("" | "",TRUE,IF(OR(D3254="""",E3254="""",I3254="""",J3254="""",H3254=""""),""ফাঁকা ঘর"",""""),IF(AND(C3254&lt;&gt;"""",D3254&lt;&gt;"""",C3254=D3254),""gloss=figurative"",""""),IF(LEN(D3254)&lt;15,""figurative ছোট"",""""),IF(AND(I3254=""Positive"",REGEXMATCH(H3"&amp;"254,""মূর্খ|ভণ্ড|প্রতার|অলস|লোভ|স্বার্থ|অক্ষম|অযোগ্য|বোকা|কৃপণ|হিংস"")),""valence-target অমিল"",""""),IF(COUNTIF($B:$B,B3254)&gt;1,""ডুপ্লিকেট"",""""))"),"")</f>
        <v/>
      </c>
      <c r="Q3254" s="5" t="str">
        <f t="shared" si="1"/>
        <v>২ পরে</v>
      </c>
    </row>
    <row r="3255">
      <c r="A3255" s="4">
        <v>1064.0</v>
      </c>
      <c r="B3255" s="2" t="s">
        <v>12972</v>
      </c>
      <c r="C3255" s="2" t="s">
        <v>12973</v>
      </c>
      <c r="D3255" s="2" t="s">
        <v>12974</v>
      </c>
      <c r="E3255" s="2" t="s">
        <v>12975</v>
      </c>
      <c r="F3255" s="2" t="b">
        <v>1</v>
      </c>
      <c r="G3255" s="2" t="b">
        <v>0</v>
      </c>
      <c r="H3255" s="2" t="s">
        <v>12976</v>
      </c>
      <c r="I3255" s="2" t="s">
        <v>49</v>
      </c>
      <c r="J3255" s="2" t="s">
        <v>162</v>
      </c>
      <c r="K3255" s="2" t="s">
        <v>376</v>
      </c>
      <c r="L3255" s="2" t="s">
        <v>391</v>
      </c>
      <c r="M3255" s="2" t="s">
        <v>26</v>
      </c>
      <c r="N3255" s="29"/>
      <c r="O3255" s="29"/>
      <c r="P3255" s="5" t="str">
        <f>IFERROR(__xludf.DUMMYFUNCTION("TEXTJOIN("" | "",TRUE,IF(OR(D3255="""",E3255="""",I3255="""",J3255="""",H3255=""""),""ফাঁকা ঘর"",""""),IF(AND(C3255&lt;&gt;"""",D3255&lt;&gt;"""",C3255=D3255),""gloss=figurative"",""""),IF(LEN(D3255)&lt;15,""figurative ছোট"",""""),IF(AND(I3255=""Positive"",REGEXMATCH(H3"&amp;"255,""মূর্খ|ভণ্ড|প্রতার|অলস|লোভ|স্বার্থ|অক্ষম|অযোগ্য|বোকা|কৃপণ|হিংস"")),""valence-target অমিল"",""""),IF(COUNTIF($B:$B,B3255)&gt;1,""ডুপ্লিকেট"",""""))"),"")</f>
        <v/>
      </c>
      <c r="Q3255" s="5" t="str">
        <f t="shared" si="1"/>
        <v>২ পরে</v>
      </c>
    </row>
    <row r="3256">
      <c r="A3256" s="4">
        <v>1065.0</v>
      </c>
      <c r="B3256" s="2" t="s">
        <v>12977</v>
      </c>
      <c r="C3256" s="2" t="s">
        <v>12978</v>
      </c>
      <c r="D3256" s="2" t="s">
        <v>12979</v>
      </c>
      <c r="E3256" s="2" t="s">
        <v>12980</v>
      </c>
      <c r="F3256" s="2" t="b">
        <v>1</v>
      </c>
      <c r="G3256" s="2" t="b">
        <v>0</v>
      </c>
      <c r="H3256" s="2" t="s">
        <v>390</v>
      </c>
      <c r="I3256" s="2" t="s">
        <v>22</v>
      </c>
      <c r="J3256" s="2" t="s">
        <v>59</v>
      </c>
      <c r="K3256" s="2" t="s">
        <v>376</v>
      </c>
      <c r="L3256" s="2" t="s">
        <v>391</v>
      </c>
      <c r="M3256" s="2" t="s">
        <v>26</v>
      </c>
      <c r="N3256" s="29"/>
      <c r="O3256" s="29"/>
      <c r="P3256" s="5" t="str">
        <f>IFERROR(__xludf.DUMMYFUNCTION("TEXTJOIN("" | "",TRUE,IF(OR(D3256="""",E3256="""",I3256="""",J3256="""",H3256=""""),""ফাঁকা ঘর"",""""),IF(AND(C3256&lt;&gt;"""",D3256&lt;&gt;"""",C3256=D3256),""gloss=figurative"",""""),IF(LEN(D3256)&lt;15,""figurative ছোট"",""""),IF(AND(I3256=""Positive"",REGEXMATCH(H3"&amp;"256,""মূর্খ|ভণ্ড|প্রতার|অলস|লোভ|স্বার্থ|অক্ষম|অযোগ্য|বোকা|কৃপণ|হিংস"")),""valence-target অমিল"",""""),IF(COUNTIF($B:$B,B3256)&gt;1,""ডুপ্লিকেট"",""""))"),"")</f>
        <v/>
      </c>
      <c r="Q3256" s="5" t="str">
        <f t="shared" si="1"/>
        <v>২ পরে</v>
      </c>
    </row>
    <row r="3257">
      <c r="A3257" s="4">
        <v>1066.0</v>
      </c>
      <c r="B3257" s="2" t="s">
        <v>12981</v>
      </c>
      <c r="C3257" s="2" t="s">
        <v>12982</v>
      </c>
      <c r="D3257" s="2" t="s">
        <v>12983</v>
      </c>
      <c r="E3257" s="2" t="s">
        <v>12984</v>
      </c>
      <c r="F3257" s="2" t="b">
        <v>1</v>
      </c>
      <c r="G3257" s="2" t="b">
        <v>0</v>
      </c>
      <c r="H3257" s="2" t="s">
        <v>351</v>
      </c>
      <c r="I3257" s="2" t="s">
        <v>49</v>
      </c>
      <c r="J3257" s="2" t="s">
        <v>123</v>
      </c>
      <c r="K3257" s="2" t="s">
        <v>376</v>
      </c>
      <c r="L3257" s="2" t="s">
        <v>391</v>
      </c>
      <c r="M3257" s="2" t="s">
        <v>26</v>
      </c>
      <c r="N3257" s="29"/>
      <c r="O3257" s="29"/>
      <c r="P3257" s="5" t="str">
        <f>IFERROR(__xludf.DUMMYFUNCTION("TEXTJOIN("" | "",TRUE,IF(OR(D3257="""",E3257="""",I3257="""",J3257="""",H3257=""""),""ফাঁকা ঘর"",""""),IF(AND(C3257&lt;&gt;"""",D3257&lt;&gt;"""",C3257=D3257),""gloss=figurative"",""""),IF(LEN(D3257)&lt;15,""figurative ছোট"",""""),IF(AND(I3257=""Positive"",REGEXMATCH(H3"&amp;"257,""মূর্খ|ভণ্ড|প্রতার|অলস|লোভ|স্বার্থ|অক্ষম|অযোগ্য|বোকা|কৃপণ|হিংস"")),""valence-target অমিল"",""""),IF(COUNTIF($B:$B,B3257)&gt;1,""ডুপ্লিকেট"",""""))"),"")</f>
        <v/>
      </c>
      <c r="Q3257" s="5" t="str">
        <f t="shared" si="1"/>
        <v>২ পরে</v>
      </c>
    </row>
    <row r="3258">
      <c r="A3258" s="4">
        <v>1067.0</v>
      </c>
      <c r="B3258" s="2" t="s">
        <v>12985</v>
      </c>
      <c r="C3258" s="2" t="s">
        <v>12986</v>
      </c>
      <c r="D3258" s="2" t="s">
        <v>12987</v>
      </c>
      <c r="E3258" s="2" t="s">
        <v>12988</v>
      </c>
      <c r="F3258" s="2" t="b">
        <v>1</v>
      </c>
      <c r="G3258" s="2" t="b">
        <v>0</v>
      </c>
      <c r="H3258" s="2" t="s">
        <v>37</v>
      </c>
      <c r="I3258" s="2" t="s">
        <v>32</v>
      </c>
      <c r="J3258" s="2" t="s">
        <v>123</v>
      </c>
      <c r="K3258" s="2" t="s">
        <v>376</v>
      </c>
      <c r="L3258" s="2" t="s">
        <v>391</v>
      </c>
      <c r="M3258" s="2" t="s">
        <v>26</v>
      </c>
      <c r="N3258" s="29"/>
      <c r="O3258" s="29"/>
      <c r="P3258" s="5" t="str">
        <f>IFERROR(__xludf.DUMMYFUNCTION("TEXTJOIN("" | "",TRUE,IF(OR(D3258="""",E3258="""",I3258="""",J3258="""",H3258=""""),""ফাঁকা ঘর"",""""),IF(AND(C3258&lt;&gt;"""",D3258&lt;&gt;"""",C3258=D3258),""gloss=figurative"",""""),IF(LEN(D3258)&lt;15,""figurative ছোট"",""""),IF(AND(I3258=""Positive"",REGEXMATCH(H3"&amp;"258,""মূর্খ|ভণ্ড|প্রতার|অলস|লোভ|স্বার্থ|অক্ষম|অযোগ্য|বোকা|কৃপণ|হিংস"")),""valence-target অমিল"",""""),IF(COUNTIF($B:$B,B3258)&gt;1,""ডুপ্লিকেট"",""""))"),"")</f>
        <v/>
      </c>
      <c r="Q3258" s="5" t="str">
        <f t="shared" si="1"/>
        <v>২ পরে</v>
      </c>
    </row>
    <row r="3259">
      <c r="A3259" s="4">
        <v>1068.0</v>
      </c>
      <c r="B3259" s="2" t="s">
        <v>12989</v>
      </c>
      <c r="C3259" s="2" t="s">
        <v>12990</v>
      </c>
      <c r="D3259" s="2" t="s">
        <v>12991</v>
      </c>
      <c r="E3259" s="2" t="s">
        <v>12992</v>
      </c>
      <c r="F3259" s="2" t="b">
        <v>1</v>
      </c>
      <c r="G3259" s="2" t="b">
        <v>0</v>
      </c>
      <c r="H3259" s="2" t="s">
        <v>9380</v>
      </c>
      <c r="I3259" s="2" t="s">
        <v>22</v>
      </c>
      <c r="J3259" s="2" t="s">
        <v>59</v>
      </c>
      <c r="K3259" s="2" t="s">
        <v>376</v>
      </c>
      <c r="L3259" s="2" t="s">
        <v>391</v>
      </c>
      <c r="M3259" s="2" t="s">
        <v>26</v>
      </c>
      <c r="N3259" s="29"/>
      <c r="O3259" s="29"/>
      <c r="P3259" s="5" t="str">
        <f>IFERROR(__xludf.DUMMYFUNCTION("TEXTJOIN("" | "",TRUE,IF(OR(D3259="""",E3259="""",I3259="""",J3259="""",H3259=""""),""ফাঁকা ঘর"",""""),IF(AND(C3259&lt;&gt;"""",D3259&lt;&gt;"""",C3259=D3259),""gloss=figurative"",""""),IF(LEN(D3259)&lt;15,""figurative ছোট"",""""),IF(AND(I3259=""Positive"",REGEXMATCH(H3"&amp;"259,""মূর্খ|ভণ্ড|প্রতার|অলস|লোভ|স্বার্থ|অক্ষম|অযোগ্য|বোকা|কৃপণ|হিংস"")),""valence-target অমিল"",""""),IF(COUNTIF($B:$B,B3259)&gt;1,""ডুপ্লিকেট"",""""))"),"")</f>
        <v/>
      </c>
      <c r="Q3259" s="5" t="str">
        <f t="shared" si="1"/>
        <v>২ পরে</v>
      </c>
    </row>
    <row r="3260">
      <c r="A3260" s="4">
        <v>1069.0</v>
      </c>
      <c r="B3260" s="2" t="s">
        <v>12993</v>
      </c>
      <c r="C3260" s="2" t="s">
        <v>12994</v>
      </c>
      <c r="D3260" s="2" t="s">
        <v>12995</v>
      </c>
      <c r="E3260" s="2" t="s">
        <v>12996</v>
      </c>
      <c r="F3260" s="2" t="b">
        <v>1</v>
      </c>
      <c r="G3260" s="2" t="b">
        <v>1</v>
      </c>
      <c r="H3260" s="2" t="s">
        <v>12997</v>
      </c>
      <c r="I3260" s="2" t="s">
        <v>32</v>
      </c>
      <c r="J3260" s="2" t="s">
        <v>59</v>
      </c>
      <c r="K3260" s="2" t="s">
        <v>376</v>
      </c>
      <c r="L3260" s="2" t="s">
        <v>391</v>
      </c>
      <c r="M3260" s="2" t="s">
        <v>26</v>
      </c>
      <c r="N3260" s="29"/>
      <c r="O3260" s="29"/>
      <c r="P3260" s="5" t="str">
        <f>IFERROR(__xludf.DUMMYFUNCTION("TEXTJOIN("" | "",TRUE,IF(OR(D3260="""",E3260="""",I3260="""",J3260="""",H3260=""""),""ফাঁকা ঘর"",""""),IF(AND(C3260&lt;&gt;"""",D3260&lt;&gt;"""",C3260=D3260),""gloss=figurative"",""""),IF(LEN(D3260)&lt;15,""figurative ছোট"",""""),IF(AND(I3260=""Positive"",REGEXMATCH(H3"&amp;"260,""মূর্খ|ভণ্ড|প্রতার|অলস|লোভ|স্বার্থ|অক্ষম|অযোগ্য|বোকা|কৃপণ|হিংস"")),""valence-target অমিল"",""""),IF(COUNTIF($B:$B,B3260)&gt;1,""ডুপ্লিকেট"",""""))"),"")</f>
        <v/>
      </c>
      <c r="Q3260" s="5" t="str">
        <f t="shared" si="1"/>
        <v>২ পরে</v>
      </c>
    </row>
    <row r="3261">
      <c r="A3261" s="4">
        <v>1070.0</v>
      </c>
      <c r="B3261" s="2" t="s">
        <v>12998</v>
      </c>
      <c r="C3261" s="2" t="s">
        <v>12999</v>
      </c>
      <c r="D3261" s="2" t="s">
        <v>13000</v>
      </c>
      <c r="E3261" s="2" t="s">
        <v>13001</v>
      </c>
      <c r="F3261" s="2" t="b">
        <v>1</v>
      </c>
      <c r="G3261" s="2" t="b">
        <v>0</v>
      </c>
      <c r="H3261" s="2" t="s">
        <v>9452</v>
      </c>
      <c r="I3261" s="2" t="s">
        <v>22</v>
      </c>
      <c r="J3261" s="2" t="s">
        <v>197</v>
      </c>
      <c r="K3261" s="2" t="s">
        <v>376</v>
      </c>
      <c r="L3261" s="2" t="s">
        <v>391</v>
      </c>
      <c r="M3261" s="2" t="s">
        <v>26</v>
      </c>
      <c r="N3261" s="29"/>
      <c r="O3261" s="29"/>
      <c r="P3261" s="5" t="str">
        <f>IFERROR(__xludf.DUMMYFUNCTION("TEXTJOIN("" | "",TRUE,IF(OR(D3261="""",E3261="""",I3261="""",J3261="""",H3261=""""),""ফাঁকা ঘর"",""""),IF(AND(C3261&lt;&gt;"""",D3261&lt;&gt;"""",C3261=D3261),""gloss=figurative"",""""),IF(LEN(D3261)&lt;15,""figurative ছোট"",""""),IF(AND(I3261=""Positive"",REGEXMATCH(H3"&amp;"261,""মূর্খ|ভণ্ড|প্রতার|অলস|লোভ|স্বার্থ|অক্ষম|অযোগ্য|বোকা|কৃপণ|হিংস"")),""valence-target অমিল"",""""),IF(COUNTIF($B:$B,B3261)&gt;1,""ডুপ্লিকেট"",""""))"),"")</f>
        <v/>
      </c>
      <c r="Q3261" s="5" t="str">
        <f t="shared" si="1"/>
        <v>২ পরে</v>
      </c>
    </row>
    <row r="3262">
      <c r="A3262" s="4">
        <v>1071.0</v>
      </c>
      <c r="B3262" s="2" t="s">
        <v>13002</v>
      </c>
      <c r="C3262" s="2" t="s">
        <v>13002</v>
      </c>
      <c r="D3262" s="2" t="s">
        <v>13003</v>
      </c>
      <c r="E3262" s="2" t="s">
        <v>13004</v>
      </c>
      <c r="F3262" s="2" t="b">
        <v>1</v>
      </c>
      <c r="G3262" s="2" t="b">
        <v>1</v>
      </c>
      <c r="H3262" s="2" t="s">
        <v>13005</v>
      </c>
      <c r="I3262" s="2" t="s">
        <v>22</v>
      </c>
      <c r="J3262" s="2" t="s">
        <v>123</v>
      </c>
      <c r="K3262" s="2" t="s">
        <v>376</v>
      </c>
      <c r="L3262" s="2" t="s">
        <v>391</v>
      </c>
      <c r="M3262" s="2" t="s">
        <v>26</v>
      </c>
      <c r="N3262" s="29"/>
      <c r="O3262" s="29"/>
      <c r="P3262" s="5" t="str">
        <f>IFERROR(__xludf.DUMMYFUNCTION("TEXTJOIN("" | "",TRUE,IF(OR(D3262="""",E3262="""",I3262="""",J3262="""",H3262=""""),""ফাঁকা ঘর"",""""),IF(AND(C3262&lt;&gt;"""",D3262&lt;&gt;"""",C3262=D3262),""gloss=figurative"",""""),IF(LEN(D3262)&lt;15,""figurative ছোট"",""""),IF(AND(I3262=""Positive"",REGEXMATCH(H3"&amp;"262,""মূর্খ|ভণ্ড|প্রতার|অলস|লোভ|স্বার্থ|অক্ষম|অযোগ্য|বোকা|কৃপণ|হিংস"")),""valence-target অমিল"",""""),IF(COUNTIF($B:$B,B3262)&gt;1,""ডুপ্লিকেট"",""""))"),"")</f>
        <v/>
      </c>
      <c r="Q3262" s="5" t="str">
        <f t="shared" si="1"/>
        <v>২ পরে</v>
      </c>
    </row>
    <row r="3263">
      <c r="A3263" s="4">
        <v>1072.0</v>
      </c>
      <c r="B3263" s="2" t="s">
        <v>13006</v>
      </c>
      <c r="C3263" s="2" t="s">
        <v>13007</v>
      </c>
      <c r="D3263" s="2" t="s">
        <v>13008</v>
      </c>
      <c r="E3263" s="2" t="s">
        <v>13009</v>
      </c>
      <c r="F3263" s="2" t="b">
        <v>1</v>
      </c>
      <c r="G3263" s="2" t="b">
        <v>0</v>
      </c>
      <c r="H3263" s="2" t="s">
        <v>285</v>
      </c>
      <c r="I3263" s="2" t="s">
        <v>32</v>
      </c>
      <c r="J3263" s="2" t="s">
        <v>1008</v>
      </c>
      <c r="K3263" s="2" t="s">
        <v>376</v>
      </c>
      <c r="L3263" s="2" t="s">
        <v>391</v>
      </c>
      <c r="M3263" s="2" t="s">
        <v>26</v>
      </c>
      <c r="N3263" s="29"/>
      <c r="O3263" s="29"/>
      <c r="P3263" s="5" t="str">
        <f>IFERROR(__xludf.DUMMYFUNCTION("TEXTJOIN("" | "",TRUE,IF(OR(D3263="""",E3263="""",I3263="""",J3263="""",H3263=""""),""ফাঁকা ঘর"",""""),IF(AND(C3263&lt;&gt;"""",D3263&lt;&gt;"""",C3263=D3263),""gloss=figurative"",""""),IF(LEN(D3263)&lt;15,""figurative ছোট"",""""),IF(AND(I3263=""Positive"",REGEXMATCH(H3"&amp;"263,""মূর্খ|ভণ্ড|প্রতার|অলস|লোভ|স্বার্থ|অক্ষম|অযোগ্য|বোকা|কৃপণ|হিংস"")),""valence-target অমিল"",""""),IF(COUNTIF($B:$B,B3263)&gt;1,""ডুপ্লিকেট"",""""))"),"")</f>
        <v/>
      </c>
      <c r="Q3263" s="5" t="str">
        <f t="shared" si="1"/>
        <v>২ পরে</v>
      </c>
    </row>
    <row r="3264">
      <c r="A3264" s="4">
        <v>1073.0</v>
      </c>
      <c r="B3264" s="2" t="s">
        <v>13010</v>
      </c>
      <c r="C3264" s="2" t="s">
        <v>13011</v>
      </c>
      <c r="D3264" s="2" t="s">
        <v>13012</v>
      </c>
      <c r="E3264" s="2" t="s">
        <v>13013</v>
      </c>
      <c r="F3264" s="2" t="b">
        <v>1</v>
      </c>
      <c r="G3264" s="2" t="b">
        <v>1</v>
      </c>
      <c r="H3264" s="2" t="s">
        <v>13014</v>
      </c>
      <c r="I3264" s="2" t="s">
        <v>32</v>
      </c>
      <c r="J3264" s="2" t="s">
        <v>123</v>
      </c>
      <c r="K3264" s="2" t="s">
        <v>376</v>
      </c>
      <c r="L3264" s="2" t="s">
        <v>391</v>
      </c>
      <c r="M3264" s="2" t="s">
        <v>26</v>
      </c>
      <c r="N3264" s="29"/>
      <c r="O3264" s="29"/>
      <c r="P3264" s="5" t="str">
        <f>IFERROR(__xludf.DUMMYFUNCTION("TEXTJOIN("" | "",TRUE,IF(OR(D3264="""",E3264="""",I3264="""",J3264="""",H3264=""""),""ফাঁকা ঘর"",""""),IF(AND(C3264&lt;&gt;"""",D3264&lt;&gt;"""",C3264=D3264),""gloss=figurative"",""""),IF(LEN(D3264)&lt;15,""figurative ছোট"",""""),IF(AND(I3264=""Positive"",REGEXMATCH(H3"&amp;"264,""মূর্খ|ভণ্ড|প্রতার|অলস|লোভ|স্বার্থ|অক্ষম|অযোগ্য|বোকা|কৃপণ|হিংস"")),""valence-target অমিল"",""""),IF(COUNTIF($B:$B,B3264)&gt;1,""ডুপ্লিকেট"",""""))"),"")</f>
        <v/>
      </c>
      <c r="Q3264" s="5" t="str">
        <f t="shared" si="1"/>
        <v>২ পরে</v>
      </c>
    </row>
    <row r="3265">
      <c r="A3265" s="4">
        <v>1075.0</v>
      </c>
      <c r="B3265" s="2" t="s">
        <v>13015</v>
      </c>
      <c r="C3265" s="2" t="s">
        <v>13016</v>
      </c>
      <c r="D3265" s="2" t="s">
        <v>13017</v>
      </c>
      <c r="E3265" s="2" t="s">
        <v>13018</v>
      </c>
      <c r="F3265" s="2" t="b">
        <v>1</v>
      </c>
      <c r="G3265" s="2" t="b">
        <v>0</v>
      </c>
      <c r="H3265" s="2" t="s">
        <v>13019</v>
      </c>
      <c r="I3265" s="2" t="s">
        <v>22</v>
      </c>
      <c r="J3265" s="2" t="s">
        <v>59</v>
      </c>
      <c r="K3265" s="2" t="s">
        <v>376</v>
      </c>
      <c r="L3265" s="2" t="s">
        <v>391</v>
      </c>
      <c r="M3265" s="2" t="s">
        <v>26</v>
      </c>
      <c r="N3265" s="29"/>
      <c r="O3265" s="29"/>
      <c r="P3265" s="5" t="str">
        <f>IFERROR(__xludf.DUMMYFUNCTION("TEXTJOIN("" | "",TRUE,IF(OR(D3265="""",E3265="""",I3265="""",J3265="""",H3265=""""),""ফাঁকা ঘর"",""""),IF(AND(C3265&lt;&gt;"""",D3265&lt;&gt;"""",C3265=D3265),""gloss=figurative"",""""),IF(LEN(D3265)&lt;15,""figurative ছোট"",""""),IF(AND(I3265=""Positive"",REGEXMATCH(H3"&amp;"265,""মূর্খ|ভণ্ড|প্রতার|অলস|লোভ|স্বার্থ|অক্ষম|অযোগ্য|বোকা|কৃপণ|হিংস"")),""valence-target অমিল"",""""),IF(COUNTIF($B:$B,B3265)&gt;1,""ডুপ্লিকেট"",""""))"),"")</f>
        <v/>
      </c>
      <c r="Q3265" s="5" t="str">
        <f t="shared" si="1"/>
        <v>২ পরে</v>
      </c>
    </row>
    <row r="3266">
      <c r="A3266" s="4">
        <v>1076.0</v>
      </c>
      <c r="B3266" s="2" t="s">
        <v>13020</v>
      </c>
      <c r="C3266" s="2" t="s">
        <v>13021</v>
      </c>
      <c r="D3266" s="2" t="s">
        <v>13022</v>
      </c>
      <c r="E3266" s="2" t="s">
        <v>13023</v>
      </c>
      <c r="F3266" s="2" t="b">
        <v>1</v>
      </c>
      <c r="G3266" s="2" t="b">
        <v>1</v>
      </c>
      <c r="H3266" s="2" t="s">
        <v>13024</v>
      </c>
      <c r="I3266" s="2" t="s">
        <v>22</v>
      </c>
      <c r="J3266" s="2" t="s">
        <v>1934</v>
      </c>
      <c r="K3266" s="2" t="s">
        <v>376</v>
      </c>
      <c r="L3266" s="2" t="s">
        <v>391</v>
      </c>
      <c r="M3266" s="2" t="s">
        <v>26</v>
      </c>
      <c r="N3266" s="29"/>
      <c r="O3266" s="29"/>
      <c r="P3266" s="5" t="str">
        <f>IFERROR(__xludf.DUMMYFUNCTION("TEXTJOIN("" | "",TRUE,IF(OR(D3266="""",E3266="""",I3266="""",J3266="""",H3266=""""),""ফাঁকা ঘর"",""""),IF(AND(C3266&lt;&gt;"""",D3266&lt;&gt;"""",C3266=D3266),""gloss=figurative"",""""),IF(LEN(D3266)&lt;15,""figurative ছোট"",""""),IF(AND(I3266=""Positive"",REGEXMATCH(H3"&amp;"266,""মূর্খ|ভণ্ড|প্রতার|অলস|লোভ|স্বার্থ|অক্ষম|অযোগ্য|বোকা|কৃপণ|হিংস"")),""valence-target অমিল"",""""),IF(COUNTIF($B:$B,B3266)&gt;1,""ডুপ্লিকেট"",""""))"),"")</f>
        <v/>
      </c>
      <c r="Q3266" s="5" t="str">
        <f t="shared" si="1"/>
        <v>২ পরে</v>
      </c>
    </row>
    <row r="3267">
      <c r="A3267" s="4">
        <v>1077.0</v>
      </c>
      <c r="B3267" s="2" t="s">
        <v>13025</v>
      </c>
      <c r="C3267" s="2" t="s">
        <v>13026</v>
      </c>
      <c r="D3267" s="2" t="s">
        <v>13027</v>
      </c>
      <c r="E3267" s="2" t="s">
        <v>13028</v>
      </c>
      <c r="F3267" s="2" t="b">
        <v>1</v>
      </c>
      <c r="G3267" s="2" t="b">
        <v>0</v>
      </c>
      <c r="H3267" s="2" t="s">
        <v>13029</v>
      </c>
      <c r="I3267" s="2" t="s">
        <v>22</v>
      </c>
      <c r="J3267" s="2" t="s">
        <v>59</v>
      </c>
      <c r="K3267" s="2" t="s">
        <v>376</v>
      </c>
      <c r="L3267" s="2" t="s">
        <v>391</v>
      </c>
      <c r="M3267" s="2" t="s">
        <v>26</v>
      </c>
      <c r="N3267" s="29"/>
      <c r="O3267" s="29"/>
      <c r="P3267" s="5" t="str">
        <f>IFERROR(__xludf.DUMMYFUNCTION("TEXTJOIN("" | "",TRUE,IF(OR(D3267="""",E3267="""",I3267="""",J3267="""",H3267=""""),""ফাঁকা ঘর"",""""),IF(AND(C3267&lt;&gt;"""",D3267&lt;&gt;"""",C3267=D3267),""gloss=figurative"",""""),IF(LEN(D3267)&lt;15,""figurative ছোট"",""""),IF(AND(I3267=""Positive"",REGEXMATCH(H3"&amp;"267,""মূর্খ|ভণ্ড|প্রতার|অলস|লোভ|স্বার্থ|অক্ষম|অযোগ্য|বোকা|কৃপণ|হিংস"")),""valence-target অমিল"",""""),IF(COUNTIF($B:$B,B3267)&gt;1,""ডুপ্লিকেট"",""""))"),"")</f>
        <v/>
      </c>
      <c r="Q3267" s="5" t="str">
        <f t="shared" si="1"/>
        <v>২ পরে</v>
      </c>
    </row>
    <row r="3268">
      <c r="A3268" s="4">
        <v>1078.0</v>
      </c>
      <c r="B3268" s="2" t="s">
        <v>13030</v>
      </c>
      <c r="C3268" s="2" t="s">
        <v>13031</v>
      </c>
      <c r="D3268" s="2" t="s">
        <v>13032</v>
      </c>
      <c r="E3268" s="2" t="s">
        <v>13033</v>
      </c>
      <c r="F3268" s="2" t="b">
        <v>1</v>
      </c>
      <c r="G3268" s="2" t="b">
        <v>0</v>
      </c>
      <c r="H3268" s="2" t="s">
        <v>13034</v>
      </c>
      <c r="I3268" s="2" t="s">
        <v>22</v>
      </c>
      <c r="J3268" s="2" t="s">
        <v>59</v>
      </c>
      <c r="K3268" s="2" t="s">
        <v>376</v>
      </c>
      <c r="L3268" s="2" t="s">
        <v>391</v>
      </c>
      <c r="M3268" s="2" t="s">
        <v>26</v>
      </c>
      <c r="N3268" s="29"/>
      <c r="O3268" s="29"/>
      <c r="P3268" s="5" t="str">
        <f>IFERROR(__xludf.DUMMYFUNCTION("TEXTJOIN("" | "",TRUE,IF(OR(D3268="""",E3268="""",I3268="""",J3268="""",H3268=""""),""ফাঁকা ঘর"",""""),IF(AND(C3268&lt;&gt;"""",D3268&lt;&gt;"""",C3268=D3268),""gloss=figurative"",""""),IF(LEN(D3268)&lt;15,""figurative ছোট"",""""),IF(AND(I3268=""Positive"",REGEXMATCH(H3"&amp;"268,""মূর্খ|ভণ্ড|প্রতার|অলস|লোভ|স্বার্থ|অক্ষম|অযোগ্য|বোকা|কৃপণ|হিংস"")),""valence-target অমিল"",""""),IF(COUNTIF($B:$B,B3268)&gt;1,""ডুপ্লিকেট"",""""))"),"")</f>
        <v/>
      </c>
      <c r="Q3268" s="5" t="str">
        <f t="shared" si="1"/>
        <v>২ পরে</v>
      </c>
    </row>
    <row r="3269">
      <c r="A3269" s="4">
        <v>1079.0</v>
      </c>
      <c r="B3269" s="2" t="s">
        <v>13035</v>
      </c>
      <c r="C3269" s="2" t="s">
        <v>13036</v>
      </c>
      <c r="D3269" s="2" t="s">
        <v>13037</v>
      </c>
      <c r="E3269" s="2" t="s">
        <v>13038</v>
      </c>
      <c r="F3269" s="2" t="b">
        <v>1</v>
      </c>
      <c r="G3269" s="2" t="b">
        <v>0</v>
      </c>
      <c r="H3269" s="2" t="s">
        <v>110</v>
      </c>
      <c r="I3269" s="2" t="s">
        <v>32</v>
      </c>
      <c r="J3269" s="2" t="s">
        <v>59</v>
      </c>
      <c r="K3269" s="2" t="s">
        <v>376</v>
      </c>
      <c r="L3269" s="2" t="s">
        <v>391</v>
      </c>
      <c r="M3269" s="2" t="s">
        <v>26</v>
      </c>
      <c r="N3269" s="29"/>
      <c r="O3269" s="29"/>
      <c r="P3269" s="5" t="str">
        <f>IFERROR(__xludf.DUMMYFUNCTION("TEXTJOIN("" | "",TRUE,IF(OR(D3269="""",E3269="""",I3269="""",J3269="""",H3269=""""),""ফাঁকা ঘর"",""""),IF(AND(C3269&lt;&gt;"""",D3269&lt;&gt;"""",C3269=D3269),""gloss=figurative"",""""),IF(LEN(D3269)&lt;15,""figurative ছোট"",""""),IF(AND(I3269=""Positive"",REGEXMATCH(H3"&amp;"269,""মূর্খ|ভণ্ড|প্রতার|অলস|লোভ|স্বার্থ|অক্ষম|অযোগ্য|বোকা|কৃপণ|হিংস"")),""valence-target অমিল"",""""),IF(COUNTIF($B:$B,B3269)&gt;1,""ডুপ্লিকেট"",""""))"),"")</f>
        <v/>
      </c>
      <c r="Q3269" s="5" t="str">
        <f t="shared" si="1"/>
        <v>২ পরে</v>
      </c>
    </row>
    <row r="3270">
      <c r="A3270" s="4">
        <v>1080.0</v>
      </c>
      <c r="B3270" s="2" t="s">
        <v>13039</v>
      </c>
      <c r="C3270" s="2" t="s">
        <v>13040</v>
      </c>
      <c r="D3270" s="2" t="s">
        <v>13041</v>
      </c>
      <c r="E3270" s="2" t="s">
        <v>13042</v>
      </c>
      <c r="F3270" s="2" t="b">
        <v>1</v>
      </c>
      <c r="G3270" s="2" t="b">
        <v>0</v>
      </c>
      <c r="H3270" s="2" t="s">
        <v>12207</v>
      </c>
      <c r="I3270" s="2" t="s">
        <v>49</v>
      </c>
      <c r="J3270" s="2" t="s">
        <v>11358</v>
      </c>
      <c r="K3270" s="2" t="s">
        <v>376</v>
      </c>
      <c r="L3270" s="2" t="s">
        <v>391</v>
      </c>
      <c r="M3270" s="2" t="s">
        <v>26</v>
      </c>
      <c r="N3270" s="29"/>
      <c r="O3270" s="29"/>
      <c r="P3270" s="5" t="str">
        <f>IFERROR(__xludf.DUMMYFUNCTION("TEXTJOIN("" | "",TRUE,IF(OR(D3270="""",E3270="""",I3270="""",J3270="""",H3270=""""),""ফাঁকা ঘর"",""""),IF(AND(C3270&lt;&gt;"""",D3270&lt;&gt;"""",C3270=D3270),""gloss=figurative"",""""),IF(LEN(D3270)&lt;15,""figurative ছোট"",""""),IF(AND(I3270=""Positive"",REGEXMATCH(H3"&amp;"270,""মূর্খ|ভণ্ড|প্রতার|অলস|লোভ|স্বার্থ|অক্ষম|অযোগ্য|বোকা|কৃপণ|হিংস"")),""valence-target অমিল"",""""),IF(COUNTIF($B:$B,B3270)&gt;1,""ডুপ্লিকেট"",""""))"),"")</f>
        <v/>
      </c>
      <c r="Q3270" s="5" t="str">
        <f t="shared" si="1"/>
        <v>২ পরে</v>
      </c>
    </row>
    <row r="3271">
      <c r="A3271" s="4">
        <v>1081.0</v>
      </c>
      <c r="B3271" s="2" t="s">
        <v>13043</v>
      </c>
      <c r="C3271" s="2" t="s">
        <v>13044</v>
      </c>
      <c r="D3271" s="2" t="s">
        <v>13045</v>
      </c>
      <c r="E3271" s="2" t="s">
        <v>13046</v>
      </c>
      <c r="F3271" s="2" t="b">
        <v>1</v>
      </c>
      <c r="G3271" s="2" t="b">
        <v>1</v>
      </c>
      <c r="H3271" s="2" t="s">
        <v>1106</v>
      </c>
      <c r="I3271" s="2" t="s">
        <v>22</v>
      </c>
      <c r="J3271" s="2" t="s">
        <v>59</v>
      </c>
      <c r="K3271" s="2" t="s">
        <v>376</v>
      </c>
      <c r="L3271" s="2" t="s">
        <v>391</v>
      </c>
      <c r="M3271" s="2" t="s">
        <v>26</v>
      </c>
      <c r="N3271" s="29"/>
      <c r="O3271" s="29"/>
      <c r="P3271" s="5" t="str">
        <f>IFERROR(__xludf.DUMMYFUNCTION("TEXTJOIN("" | "",TRUE,IF(OR(D3271="""",E3271="""",I3271="""",J3271="""",H3271=""""),""ফাঁকা ঘর"",""""),IF(AND(C3271&lt;&gt;"""",D3271&lt;&gt;"""",C3271=D3271),""gloss=figurative"",""""),IF(LEN(D3271)&lt;15,""figurative ছোট"",""""),IF(AND(I3271=""Positive"",REGEXMATCH(H3"&amp;"271,""মূর্খ|ভণ্ড|প্রতার|অলস|লোভ|স্বার্থ|অক্ষম|অযোগ্য|বোকা|কৃপণ|হিংস"")),""valence-target অমিল"",""""),IF(COUNTIF($B:$B,B3271)&gt;1,""ডুপ্লিকেট"",""""))"),"")</f>
        <v/>
      </c>
      <c r="Q3271" s="5" t="str">
        <f t="shared" si="1"/>
        <v>২ পরে</v>
      </c>
    </row>
    <row r="3272">
      <c r="A3272" s="4">
        <v>1082.0</v>
      </c>
      <c r="B3272" s="2" t="s">
        <v>13047</v>
      </c>
      <c r="C3272" s="2" t="s">
        <v>13048</v>
      </c>
      <c r="D3272" s="2" t="s">
        <v>13049</v>
      </c>
      <c r="E3272" s="2" t="s">
        <v>13050</v>
      </c>
      <c r="F3272" s="2" t="b">
        <v>1</v>
      </c>
      <c r="G3272" s="2" t="b">
        <v>0</v>
      </c>
      <c r="H3272" s="2" t="s">
        <v>527</v>
      </c>
      <c r="I3272" s="2" t="s">
        <v>22</v>
      </c>
      <c r="J3272" s="2" t="s">
        <v>9943</v>
      </c>
      <c r="K3272" s="2" t="s">
        <v>376</v>
      </c>
      <c r="L3272" s="2" t="s">
        <v>391</v>
      </c>
      <c r="M3272" s="2" t="s">
        <v>26</v>
      </c>
      <c r="N3272" s="29"/>
      <c r="O3272" s="29"/>
      <c r="P3272" s="5" t="str">
        <f>IFERROR(__xludf.DUMMYFUNCTION("TEXTJOIN("" | "",TRUE,IF(OR(D3272="""",E3272="""",I3272="""",J3272="""",H3272=""""),""ফাঁকা ঘর"",""""),IF(AND(C3272&lt;&gt;"""",D3272&lt;&gt;"""",C3272=D3272),""gloss=figurative"",""""),IF(LEN(D3272)&lt;15,""figurative ছোট"",""""),IF(AND(I3272=""Positive"",REGEXMATCH(H3"&amp;"272,""মূর্খ|ভণ্ড|প্রতার|অলস|লোভ|স্বার্থ|অক্ষম|অযোগ্য|বোকা|কৃপণ|হিংস"")),""valence-target অমিল"",""""),IF(COUNTIF($B:$B,B3272)&gt;1,""ডুপ্লিকেট"",""""))"),"")</f>
        <v/>
      </c>
      <c r="Q3272" s="5" t="str">
        <f t="shared" si="1"/>
        <v>২ পরে</v>
      </c>
    </row>
    <row r="3273">
      <c r="A3273" s="4">
        <v>1083.0</v>
      </c>
      <c r="B3273" s="2" t="s">
        <v>13051</v>
      </c>
      <c r="C3273" s="2" t="s">
        <v>13052</v>
      </c>
      <c r="D3273" s="2" t="s">
        <v>13053</v>
      </c>
      <c r="E3273" s="2" t="s">
        <v>13054</v>
      </c>
      <c r="F3273" s="2" t="b">
        <v>1</v>
      </c>
      <c r="G3273" s="2" t="b">
        <v>0</v>
      </c>
      <c r="H3273" s="2" t="s">
        <v>13055</v>
      </c>
      <c r="I3273" s="2" t="s">
        <v>32</v>
      </c>
      <c r="J3273" s="2" t="s">
        <v>169</v>
      </c>
      <c r="K3273" s="2" t="s">
        <v>376</v>
      </c>
      <c r="L3273" s="2" t="s">
        <v>391</v>
      </c>
      <c r="M3273" s="2" t="s">
        <v>26</v>
      </c>
      <c r="N3273" s="29"/>
      <c r="O3273" s="29"/>
      <c r="P3273" s="5" t="str">
        <f>IFERROR(__xludf.DUMMYFUNCTION("TEXTJOIN("" | "",TRUE,IF(OR(D3273="""",E3273="""",I3273="""",J3273="""",H3273=""""),""ফাঁকা ঘর"",""""),IF(AND(C3273&lt;&gt;"""",D3273&lt;&gt;"""",C3273=D3273),""gloss=figurative"",""""),IF(LEN(D3273)&lt;15,""figurative ছোট"",""""),IF(AND(I3273=""Positive"",REGEXMATCH(H3"&amp;"273,""মূর্খ|ভণ্ড|প্রতার|অলস|লোভ|স্বার্থ|অক্ষম|অযোগ্য|বোকা|কৃপণ|হিংস"")),""valence-target অমিল"",""""),IF(COUNTIF($B:$B,B3273)&gt;1,""ডুপ্লিকেট"",""""))"),"")</f>
        <v/>
      </c>
      <c r="Q3273" s="5" t="str">
        <f t="shared" si="1"/>
        <v>২ পরে</v>
      </c>
    </row>
    <row r="3274">
      <c r="A3274" s="4">
        <v>1084.0</v>
      </c>
      <c r="B3274" s="2" t="s">
        <v>13056</v>
      </c>
      <c r="C3274" s="2" t="s">
        <v>13057</v>
      </c>
      <c r="D3274" s="2" t="s">
        <v>13058</v>
      </c>
      <c r="E3274" s="2" t="s">
        <v>13059</v>
      </c>
      <c r="F3274" s="2" t="b">
        <v>1</v>
      </c>
      <c r="G3274" s="2" t="b">
        <v>0</v>
      </c>
      <c r="H3274" s="2" t="s">
        <v>37</v>
      </c>
      <c r="I3274" s="2" t="s">
        <v>32</v>
      </c>
      <c r="J3274" s="2" t="s">
        <v>13060</v>
      </c>
      <c r="K3274" s="2" t="s">
        <v>376</v>
      </c>
      <c r="L3274" s="2" t="s">
        <v>391</v>
      </c>
      <c r="M3274" s="2" t="s">
        <v>26</v>
      </c>
      <c r="N3274" s="29"/>
      <c r="O3274" s="29"/>
      <c r="P3274" s="5" t="str">
        <f>IFERROR(__xludf.DUMMYFUNCTION("TEXTJOIN("" | "",TRUE,IF(OR(D3274="""",E3274="""",I3274="""",J3274="""",H3274=""""),""ফাঁকা ঘর"",""""),IF(AND(C3274&lt;&gt;"""",D3274&lt;&gt;"""",C3274=D3274),""gloss=figurative"",""""),IF(LEN(D3274)&lt;15,""figurative ছোট"",""""),IF(AND(I3274=""Positive"",REGEXMATCH(H3"&amp;"274,""মূর্খ|ভণ্ড|প্রতার|অলস|লোভ|স্বার্থ|অক্ষম|অযোগ্য|বোকা|কৃপণ|হিংস"")),""valence-target অমিল"",""""),IF(COUNTIF($B:$B,B3274)&gt;1,""ডুপ্লিকেট"",""""))"),"")</f>
        <v/>
      </c>
      <c r="Q3274" s="5" t="str">
        <f t="shared" si="1"/>
        <v>২ পরে</v>
      </c>
    </row>
    <row r="3275">
      <c r="A3275" s="4">
        <v>1085.0</v>
      </c>
      <c r="B3275" s="2" t="s">
        <v>13061</v>
      </c>
      <c r="C3275" s="2" t="s">
        <v>13062</v>
      </c>
      <c r="D3275" s="2" t="s">
        <v>13063</v>
      </c>
      <c r="E3275" s="2" t="s">
        <v>13064</v>
      </c>
      <c r="F3275" s="2" t="b">
        <v>1</v>
      </c>
      <c r="G3275" s="2" t="b">
        <v>0</v>
      </c>
      <c r="H3275" s="2" t="s">
        <v>8837</v>
      </c>
      <c r="I3275" s="2" t="s">
        <v>22</v>
      </c>
      <c r="J3275" s="2" t="s">
        <v>59</v>
      </c>
      <c r="K3275" s="2" t="s">
        <v>376</v>
      </c>
      <c r="L3275" s="2" t="s">
        <v>391</v>
      </c>
      <c r="M3275" s="2" t="s">
        <v>26</v>
      </c>
      <c r="N3275" s="29"/>
      <c r="O3275" s="29"/>
      <c r="P3275" s="5" t="str">
        <f>IFERROR(__xludf.DUMMYFUNCTION("TEXTJOIN("" | "",TRUE,IF(OR(D3275="""",E3275="""",I3275="""",J3275="""",H3275=""""),""ফাঁকা ঘর"",""""),IF(AND(C3275&lt;&gt;"""",D3275&lt;&gt;"""",C3275=D3275),""gloss=figurative"",""""),IF(LEN(D3275)&lt;15,""figurative ছোট"",""""),IF(AND(I3275=""Positive"",REGEXMATCH(H3"&amp;"275,""মূর্খ|ভণ্ড|প্রতার|অলস|লোভ|স্বার্থ|অক্ষম|অযোগ্য|বোকা|কৃপণ|হিংস"")),""valence-target অমিল"",""""),IF(COUNTIF($B:$B,B3275)&gt;1,""ডুপ্লিকেট"",""""))"),"")</f>
        <v/>
      </c>
      <c r="Q3275" s="5" t="str">
        <f t="shared" si="1"/>
        <v>২ পরে</v>
      </c>
    </row>
    <row r="3276">
      <c r="A3276" s="4">
        <v>1086.0</v>
      </c>
      <c r="B3276" s="2" t="s">
        <v>13065</v>
      </c>
      <c r="C3276" s="2" t="s">
        <v>13065</v>
      </c>
      <c r="D3276" s="2" t="s">
        <v>13066</v>
      </c>
      <c r="E3276" s="2" t="s">
        <v>13067</v>
      </c>
      <c r="F3276" s="2" t="b">
        <v>1</v>
      </c>
      <c r="G3276" s="2" t="b">
        <v>0</v>
      </c>
      <c r="H3276" s="2" t="s">
        <v>13068</v>
      </c>
      <c r="I3276" s="2" t="s">
        <v>32</v>
      </c>
      <c r="J3276" s="2" t="s">
        <v>59</v>
      </c>
      <c r="K3276" s="2" t="s">
        <v>376</v>
      </c>
      <c r="L3276" s="2" t="s">
        <v>391</v>
      </c>
      <c r="M3276" s="2" t="s">
        <v>26</v>
      </c>
      <c r="N3276" s="29"/>
      <c r="O3276" s="29"/>
      <c r="P3276" s="5" t="str">
        <f>IFERROR(__xludf.DUMMYFUNCTION("TEXTJOIN("" | "",TRUE,IF(OR(D3276="""",E3276="""",I3276="""",J3276="""",H3276=""""),""ফাঁকা ঘর"",""""),IF(AND(C3276&lt;&gt;"""",D3276&lt;&gt;"""",C3276=D3276),""gloss=figurative"",""""),IF(LEN(D3276)&lt;15,""figurative ছোট"",""""),IF(AND(I3276=""Positive"",REGEXMATCH(H3"&amp;"276,""মূর্খ|ভণ্ড|প্রতার|অলস|লোভ|স্বার্থ|অক্ষম|অযোগ্য|বোকা|কৃপণ|হিংস"")),""valence-target অমিল"",""""),IF(COUNTIF($B:$B,B3276)&gt;1,""ডুপ্লিকেট"",""""))"),"")</f>
        <v/>
      </c>
      <c r="Q3276" s="5" t="str">
        <f t="shared" si="1"/>
        <v>২ পরে</v>
      </c>
    </row>
    <row r="3277">
      <c r="A3277" s="4">
        <v>1087.0</v>
      </c>
      <c r="B3277" s="2" t="s">
        <v>13069</v>
      </c>
      <c r="C3277" s="2" t="s">
        <v>13070</v>
      </c>
      <c r="D3277" s="2" t="s">
        <v>13071</v>
      </c>
      <c r="E3277" s="2" t="s">
        <v>13072</v>
      </c>
      <c r="F3277" s="2" t="b">
        <v>1</v>
      </c>
      <c r="G3277" s="2" t="b">
        <v>0</v>
      </c>
      <c r="H3277" s="2" t="s">
        <v>6577</v>
      </c>
      <c r="I3277" s="2" t="s">
        <v>22</v>
      </c>
      <c r="J3277" s="2" t="s">
        <v>59</v>
      </c>
      <c r="K3277" s="2" t="s">
        <v>376</v>
      </c>
      <c r="L3277" s="2" t="s">
        <v>391</v>
      </c>
      <c r="M3277" s="2" t="s">
        <v>26</v>
      </c>
      <c r="N3277" s="29"/>
      <c r="O3277" s="29"/>
      <c r="P3277" s="5" t="str">
        <f>IFERROR(__xludf.DUMMYFUNCTION("TEXTJOIN("" | "",TRUE,IF(OR(D3277="""",E3277="""",I3277="""",J3277="""",H3277=""""),""ফাঁকা ঘর"",""""),IF(AND(C3277&lt;&gt;"""",D3277&lt;&gt;"""",C3277=D3277),""gloss=figurative"",""""),IF(LEN(D3277)&lt;15,""figurative ছোট"",""""),IF(AND(I3277=""Positive"",REGEXMATCH(H3"&amp;"277,""মূর্খ|ভণ্ড|প্রতার|অলস|লোভ|স্বার্থ|অক্ষম|অযোগ্য|বোকা|কৃপণ|হিংস"")),""valence-target অমিল"",""""),IF(COUNTIF($B:$B,B3277)&gt;1,""ডুপ্লিকেট"",""""))"),"")</f>
        <v/>
      </c>
      <c r="Q3277" s="5" t="str">
        <f t="shared" si="1"/>
        <v>২ পরে</v>
      </c>
    </row>
    <row r="3278">
      <c r="A3278" s="4">
        <v>1088.0</v>
      </c>
      <c r="B3278" s="2" t="s">
        <v>13073</v>
      </c>
      <c r="C3278" s="2" t="s">
        <v>13074</v>
      </c>
      <c r="D3278" s="2" t="s">
        <v>13075</v>
      </c>
      <c r="E3278" s="2" t="s">
        <v>13076</v>
      </c>
      <c r="F3278" s="2" t="b">
        <v>1</v>
      </c>
      <c r="G3278" s="2" t="b">
        <v>0</v>
      </c>
      <c r="H3278" s="2" t="s">
        <v>37</v>
      </c>
      <c r="I3278" s="2" t="s">
        <v>32</v>
      </c>
      <c r="J3278" s="2" t="s">
        <v>59</v>
      </c>
      <c r="K3278" s="2" t="s">
        <v>376</v>
      </c>
      <c r="L3278" s="2" t="s">
        <v>391</v>
      </c>
      <c r="M3278" s="2" t="s">
        <v>26</v>
      </c>
      <c r="N3278" s="29"/>
      <c r="O3278" s="29"/>
      <c r="P3278" s="5" t="str">
        <f>IFERROR(__xludf.DUMMYFUNCTION("TEXTJOIN("" | "",TRUE,IF(OR(D3278="""",E3278="""",I3278="""",J3278="""",H3278=""""),""ফাঁকা ঘর"",""""),IF(AND(C3278&lt;&gt;"""",D3278&lt;&gt;"""",C3278=D3278),""gloss=figurative"",""""),IF(LEN(D3278)&lt;15,""figurative ছোট"",""""),IF(AND(I3278=""Positive"",REGEXMATCH(H3"&amp;"278,""মূর্খ|ভণ্ড|প্রতার|অলস|লোভ|স্বার্থ|অক্ষম|অযোগ্য|বোকা|কৃপণ|হিংস"")),""valence-target অমিল"",""""),IF(COUNTIF($B:$B,B3278)&gt;1,""ডুপ্লিকেট"",""""))"),"")</f>
        <v/>
      </c>
      <c r="Q3278" s="5" t="str">
        <f t="shared" si="1"/>
        <v>২ পরে</v>
      </c>
    </row>
    <row r="3279">
      <c r="A3279" s="4">
        <v>1089.0</v>
      </c>
      <c r="B3279" s="2" t="s">
        <v>13077</v>
      </c>
      <c r="C3279" s="2" t="s">
        <v>13078</v>
      </c>
      <c r="D3279" s="2" t="s">
        <v>13079</v>
      </c>
      <c r="E3279" s="2" t="s">
        <v>13080</v>
      </c>
      <c r="F3279" s="2" t="b">
        <v>1</v>
      </c>
      <c r="G3279" s="2" t="b">
        <v>0</v>
      </c>
      <c r="H3279" s="2" t="s">
        <v>10002</v>
      </c>
      <c r="I3279" s="2" t="s">
        <v>49</v>
      </c>
      <c r="J3279" s="2" t="s">
        <v>59</v>
      </c>
      <c r="K3279" s="2" t="s">
        <v>376</v>
      </c>
      <c r="L3279" s="2" t="s">
        <v>391</v>
      </c>
      <c r="M3279" s="2" t="s">
        <v>26</v>
      </c>
      <c r="N3279" s="29"/>
      <c r="O3279" s="29"/>
      <c r="P3279" s="5" t="str">
        <f>IFERROR(__xludf.DUMMYFUNCTION("TEXTJOIN("" | "",TRUE,IF(OR(D3279="""",E3279="""",I3279="""",J3279="""",H3279=""""),""ফাঁকা ঘর"",""""),IF(AND(C3279&lt;&gt;"""",D3279&lt;&gt;"""",C3279=D3279),""gloss=figurative"",""""),IF(LEN(D3279)&lt;15,""figurative ছোট"",""""),IF(AND(I3279=""Positive"",REGEXMATCH(H3"&amp;"279,""মূর্খ|ভণ্ড|প্রতার|অলস|লোভ|স্বার্থ|অক্ষম|অযোগ্য|বোকা|কৃপণ|হিংস"")),""valence-target অমিল"",""""),IF(COUNTIF($B:$B,B3279)&gt;1,""ডুপ্লিকেট"",""""))"),"")</f>
        <v/>
      </c>
      <c r="Q3279" s="5" t="str">
        <f t="shared" si="1"/>
        <v>২ পরে</v>
      </c>
    </row>
    <row r="3280">
      <c r="A3280" s="4">
        <v>1090.0</v>
      </c>
      <c r="B3280" s="2" t="s">
        <v>13081</v>
      </c>
      <c r="C3280" s="2" t="s">
        <v>13082</v>
      </c>
      <c r="D3280" s="2" t="s">
        <v>13083</v>
      </c>
      <c r="E3280" s="2" t="s">
        <v>13084</v>
      </c>
      <c r="F3280" s="2" t="b">
        <v>1</v>
      </c>
      <c r="G3280" s="2" t="b">
        <v>0</v>
      </c>
      <c r="H3280" s="2" t="s">
        <v>37</v>
      </c>
      <c r="I3280" s="2" t="s">
        <v>32</v>
      </c>
      <c r="J3280" s="2" t="s">
        <v>162</v>
      </c>
      <c r="K3280" s="2" t="s">
        <v>376</v>
      </c>
      <c r="L3280" s="2" t="s">
        <v>391</v>
      </c>
      <c r="M3280" s="2" t="s">
        <v>26</v>
      </c>
      <c r="N3280" s="29"/>
      <c r="O3280" s="29"/>
      <c r="P3280" s="5" t="str">
        <f>IFERROR(__xludf.DUMMYFUNCTION("TEXTJOIN("" | "",TRUE,IF(OR(D3280="""",E3280="""",I3280="""",J3280="""",H3280=""""),""ফাঁকা ঘর"",""""),IF(AND(C3280&lt;&gt;"""",D3280&lt;&gt;"""",C3280=D3280),""gloss=figurative"",""""),IF(LEN(D3280)&lt;15,""figurative ছোট"",""""),IF(AND(I3280=""Positive"",REGEXMATCH(H3"&amp;"280,""মূর্খ|ভণ্ড|প্রতার|অলস|লোভ|স্বার্থ|অক্ষম|অযোগ্য|বোকা|কৃপণ|হিংস"")),""valence-target অমিল"",""""),IF(COUNTIF($B:$B,B3280)&gt;1,""ডুপ্লিকেট"",""""))"),"")</f>
        <v/>
      </c>
      <c r="Q3280" s="5" t="str">
        <f t="shared" si="1"/>
        <v>২ পরে</v>
      </c>
    </row>
    <row r="3281">
      <c r="A3281" s="4">
        <v>1091.0</v>
      </c>
      <c r="B3281" s="2" t="s">
        <v>13085</v>
      </c>
      <c r="C3281" s="2" t="s">
        <v>13086</v>
      </c>
      <c r="D3281" s="2" t="s">
        <v>13087</v>
      </c>
      <c r="E3281" s="2" t="s">
        <v>13088</v>
      </c>
      <c r="F3281" s="2" t="b">
        <v>1</v>
      </c>
      <c r="G3281" s="2" t="b">
        <v>0</v>
      </c>
      <c r="H3281" s="2" t="s">
        <v>9380</v>
      </c>
      <c r="I3281" s="2" t="s">
        <v>22</v>
      </c>
      <c r="J3281" s="2" t="s">
        <v>123</v>
      </c>
      <c r="K3281" s="2" t="s">
        <v>376</v>
      </c>
      <c r="L3281" s="2" t="s">
        <v>391</v>
      </c>
      <c r="M3281" s="2" t="s">
        <v>26</v>
      </c>
      <c r="N3281" s="29"/>
      <c r="O3281" s="29"/>
      <c r="P3281" s="5" t="str">
        <f>IFERROR(__xludf.DUMMYFUNCTION("TEXTJOIN("" | "",TRUE,IF(OR(D3281="""",E3281="""",I3281="""",J3281="""",H3281=""""),""ফাঁকা ঘর"",""""),IF(AND(C3281&lt;&gt;"""",D3281&lt;&gt;"""",C3281=D3281),""gloss=figurative"",""""),IF(LEN(D3281)&lt;15,""figurative ছোট"",""""),IF(AND(I3281=""Positive"",REGEXMATCH(H3"&amp;"281,""মূর্খ|ভণ্ড|প্রতার|অলস|লোভ|স্বার্থ|অক্ষম|অযোগ্য|বোকা|কৃপণ|হিংস"")),""valence-target অমিল"",""""),IF(COUNTIF($B:$B,B3281)&gt;1,""ডুপ্লিকেট"",""""))"),"")</f>
        <v/>
      </c>
      <c r="Q3281" s="5" t="str">
        <f t="shared" si="1"/>
        <v>২ পরে</v>
      </c>
    </row>
    <row r="3282">
      <c r="A3282" s="4">
        <v>1092.0</v>
      </c>
      <c r="B3282" s="2" t="s">
        <v>13089</v>
      </c>
      <c r="C3282" s="2" t="s">
        <v>13090</v>
      </c>
      <c r="D3282" s="2" t="s">
        <v>13091</v>
      </c>
      <c r="E3282" s="2" t="s">
        <v>13092</v>
      </c>
      <c r="F3282" s="2" t="b">
        <v>1</v>
      </c>
      <c r="G3282" s="2" t="b">
        <v>0</v>
      </c>
      <c r="H3282" s="2" t="s">
        <v>89</v>
      </c>
      <c r="I3282" s="2" t="s">
        <v>22</v>
      </c>
      <c r="J3282" s="2" t="s">
        <v>59</v>
      </c>
      <c r="K3282" s="2" t="s">
        <v>376</v>
      </c>
      <c r="L3282" s="2" t="s">
        <v>391</v>
      </c>
      <c r="M3282" s="2" t="s">
        <v>26</v>
      </c>
      <c r="N3282" s="29"/>
      <c r="O3282" s="29"/>
      <c r="P3282" s="5" t="str">
        <f>IFERROR(__xludf.DUMMYFUNCTION("TEXTJOIN("" | "",TRUE,IF(OR(D3282="""",E3282="""",I3282="""",J3282="""",H3282=""""),""ফাঁকা ঘর"",""""),IF(AND(C3282&lt;&gt;"""",D3282&lt;&gt;"""",C3282=D3282),""gloss=figurative"",""""),IF(LEN(D3282)&lt;15,""figurative ছোট"",""""),IF(AND(I3282=""Positive"",REGEXMATCH(H3"&amp;"282,""মূর্খ|ভণ্ড|প্রতার|অলস|লোভ|স্বার্থ|অক্ষম|অযোগ্য|বোকা|কৃপণ|হিংস"")),""valence-target অমিল"",""""),IF(COUNTIF($B:$B,B3282)&gt;1,""ডুপ্লিকেট"",""""))"),"")</f>
        <v/>
      </c>
      <c r="Q3282" s="5" t="str">
        <f t="shared" si="1"/>
        <v>২ পরে</v>
      </c>
    </row>
    <row r="3283">
      <c r="A3283" s="4">
        <v>1093.0</v>
      </c>
      <c r="B3283" s="2" t="s">
        <v>13093</v>
      </c>
      <c r="C3283" s="2" t="s">
        <v>13094</v>
      </c>
      <c r="D3283" s="2" t="s">
        <v>13095</v>
      </c>
      <c r="E3283" s="2" t="s">
        <v>13096</v>
      </c>
      <c r="F3283" s="2" t="b">
        <v>1</v>
      </c>
      <c r="G3283" s="2" t="b">
        <v>0</v>
      </c>
      <c r="H3283" s="2" t="s">
        <v>10217</v>
      </c>
      <c r="I3283" s="2" t="s">
        <v>49</v>
      </c>
      <c r="J3283" s="2" t="s">
        <v>59</v>
      </c>
      <c r="K3283" s="2" t="s">
        <v>376</v>
      </c>
      <c r="L3283" s="2" t="s">
        <v>391</v>
      </c>
      <c r="M3283" s="2" t="s">
        <v>26</v>
      </c>
      <c r="N3283" s="29"/>
      <c r="O3283" s="29"/>
      <c r="P3283" s="5" t="str">
        <f>IFERROR(__xludf.DUMMYFUNCTION("TEXTJOIN("" | "",TRUE,IF(OR(D3283="""",E3283="""",I3283="""",J3283="""",H3283=""""),""ফাঁকা ঘর"",""""),IF(AND(C3283&lt;&gt;"""",D3283&lt;&gt;"""",C3283=D3283),""gloss=figurative"",""""),IF(LEN(D3283)&lt;15,""figurative ছোট"",""""),IF(AND(I3283=""Positive"",REGEXMATCH(H3"&amp;"283,""মূর্খ|ভণ্ড|প্রতার|অলস|লোভ|স্বার্থ|অক্ষম|অযোগ্য|বোকা|কৃপণ|হিংস"")),""valence-target অমিল"",""""),IF(COUNTIF($B:$B,B3283)&gt;1,""ডুপ্লিকেট"",""""))"),"")</f>
        <v/>
      </c>
      <c r="Q3283" s="5" t="str">
        <f t="shared" si="1"/>
        <v>২ পরে</v>
      </c>
    </row>
    <row r="3284">
      <c r="A3284" s="4">
        <v>1094.0</v>
      </c>
      <c r="B3284" s="2" t="s">
        <v>13097</v>
      </c>
      <c r="C3284" s="2" t="s">
        <v>13098</v>
      </c>
      <c r="D3284" s="2" t="s">
        <v>13099</v>
      </c>
      <c r="E3284" s="2" t="s">
        <v>13100</v>
      </c>
      <c r="F3284" s="2" t="b">
        <v>1</v>
      </c>
      <c r="G3284" s="2" t="b">
        <v>0</v>
      </c>
      <c r="H3284" s="2" t="s">
        <v>8772</v>
      </c>
      <c r="I3284" s="2" t="s">
        <v>32</v>
      </c>
      <c r="J3284" s="2" t="s">
        <v>59</v>
      </c>
      <c r="K3284" s="2" t="s">
        <v>376</v>
      </c>
      <c r="L3284" s="2" t="s">
        <v>391</v>
      </c>
      <c r="M3284" s="2" t="s">
        <v>26</v>
      </c>
      <c r="N3284" s="29"/>
      <c r="O3284" s="29"/>
      <c r="P3284" s="5" t="str">
        <f>IFERROR(__xludf.DUMMYFUNCTION("TEXTJOIN("" | "",TRUE,IF(OR(D3284="""",E3284="""",I3284="""",J3284="""",H3284=""""),""ফাঁকা ঘর"",""""),IF(AND(C3284&lt;&gt;"""",D3284&lt;&gt;"""",C3284=D3284),""gloss=figurative"",""""),IF(LEN(D3284)&lt;15,""figurative ছোট"",""""),IF(AND(I3284=""Positive"",REGEXMATCH(H3"&amp;"284,""মূর্খ|ভণ্ড|প্রতার|অলস|লোভ|স্বার্থ|অক্ষম|অযোগ্য|বোকা|কৃপণ|হিংস"")),""valence-target অমিল"",""""),IF(COUNTIF($B:$B,B3284)&gt;1,""ডুপ্লিকেট"",""""))"),"")</f>
        <v/>
      </c>
      <c r="Q3284" s="5" t="str">
        <f t="shared" si="1"/>
        <v>২ পরে</v>
      </c>
    </row>
    <row r="3285">
      <c r="A3285" s="4">
        <v>1095.0</v>
      </c>
      <c r="B3285" s="2" t="s">
        <v>13101</v>
      </c>
      <c r="C3285" s="2" t="s">
        <v>13101</v>
      </c>
      <c r="D3285" s="2" t="s">
        <v>13102</v>
      </c>
      <c r="E3285" s="2" t="s">
        <v>13103</v>
      </c>
      <c r="F3285" s="2" t="b">
        <v>1</v>
      </c>
      <c r="G3285" s="2" t="b">
        <v>0</v>
      </c>
      <c r="H3285" s="2" t="s">
        <v>9359</v>
      </c>
      <c r="I3285" s="2" t="s">
        <v>22</v>
      </c>
      <c r="J3285" s="2" t="s">
        <v>123</v>
      </c>
      <c r="K3285" s="2" t="s">
        <v>376</v>
      </c>
      <c r="L3285" s="2" t="s">
        <v>391</v>
      </c>
      <c r="M3285" s="2" t="s">
        <v>26</v>
      </c>
      <c r="N3285" s="29"/>
      <c r="O3285" s="29"/>
      <c r="P3285" s="5" t="str">
        <f>IFERROR(__xludf.DUMMYFUNCTION("TEXTJOIN("" | "",TRUE,IF(OR(D3285="""",E3285="""",I3285="""",J3285="""",H3285=""""),""ফাঁকা ঘর"",""""),IF(AND(C3285&lt;&gt;"""",D3285&lt;&gt;"""",C3285=D3285),""gloss=figurative"",""""),IF(LEN(D3285)&lt;15,""figurative ছোট"",""""),IF(AND(I3285=""Positive"",REGEXMATCH(H3"&amp;"285,""মূর্খ|ভণ্ড|প্রতার|অলস|লোভ|স্বার্থ|অক্ষম|অযোগ্য|বোকা|কৃপণ|হিংস"")),""valence-target অমিল"",""""),IF(COUNTIF($B:$B,B3285)&gt;1,""ডুপ্লিকেট"",""""))"),"")</f>
        <v/>
      </c>
      <c r="Q3285" s="5" t="str">
        <f t="shared" si="1"/>
        <v>২ পরে</v>
      </c>
    </row>
    <row r="3286">
      <c r="A3286" s="4">
        <v>1096.0</v>
      </c>
      <c r="B3286" s="2" t="s">
        <v>13104</v>
      </c>
      <c r="C3286" s="2" t="s">
        <v>13105</v>
      </c>
      <c r="D3286" s="2" t="s">
        <v>13106</v>
      </c>
      <c r="E3286" s="2" t="s">
        <v>13107</v>
      </c>
      <c r="F3286" s="2" t="b">
        <v>1</v>
      </c>
      <c r="G3286" s="2" t="b">
        <v>0</v>
      </c>
      <c r="H3286" s="2" t="s">
        <v>13108</v>
      </c>
      <c r="I3286" s="2" t="s">
        <v>22</v>
      </c>
      <c r="J3286" s="2" t="s">
        <v>59</v>
      </c>
      <c r="K3286" s="2" t="s">
        <v>376</v>
      </c>
      <c r="L3286" s="2" t="s">
        <v>391</v>
      </c>
      <c r="M3286" s="2" t="s">
        <v>26</v>
      </c>
      <c r="N3286" s="29"/>
      <c r="O3286" s="29"/>
      <c r="P3286" s="5" t="str">
        <f>IFERROR(__xludf.DUMMYFUNCTION("TEXTJOIN("" | "",TRUE,IF(OR(D3286="""",E3286="""",I3286="""",J3286="""",H3286=""""),""ফাঁকা ঘর"",""""),IF(AND(C3286&lt;&gt;"""",D3286&lt;&gt;"""",C3286=D3286),""gloss=figurative"",""""),IF(LEN(D3286)&lt;15,""figurative ছোট"",""""),IF(AND(I3286=""Positive"",REGEXMATCH(H3"&amp;"286,""মূর্খ|ভণ্ড|প্রতার|অলস|লোভ|স্বার্থ|অক্ষম|অযোগ্য|বোকা|কৃপণ|হিংস"")),""valence-target অমিল"",""""),IF(COUNTIF($B:$B,B3286)&gt;1,""ডুপ্লিকেট"",""""))"),"")</f>
        <v/>
      </c>
      <c r="Q3286" s="5" t="str">
        <f t="shared" si="1"/>
        <v>২ পরে</v>
      </c>
    </row>
    <row r="3287">
      <c r="A3287" s="4">
        <v>1097.0</v>
      </c>
      <c r="B3287" s="2" t="s">
        <v>13109</v>
      </c>
      <c r="C3287" s="2" t="s">
        <v>13110</v>
      </c>
      <c r="D3287" s="2" t="s">
        <v>13111</v>
      </c>
      <c r="E3287" s="2" t="s">
        <v>13112</v>
      </c>
      <c r="F3287" s="2" t="b">
        <v>1</v>
      </c>
      <c r="G3287" s="2" t="b">
        <v>0</v>
      </c>
      <c r="H3287" s="2" t="s">
        <v>13113</v>
      </c>
      <c r="I3287" s="2" t="s">
        <v>22</v>
      </c>
      <c r="J3287" s="2" t="s">
        <v>10356</v>
      </c>
      <c r="K3287" s="2" t="s">
        <v>376</v>
      </c>
      <c r="L3287" s="2" t="s">
        <v>391</v>
      </c>
      <c r="M3287" s="2" t="s">
        <v>26</v>
      </c>
      <c r="N3287" s="29"/>
      <c r="O3287" s="29"/>
      <c r="P3287" s="5" t="str">
        <f>IFERROR(__xludf.DUMMYFUNCTION("TEXTJOIN("" | "",TRUE,IF(OR(D3287="""",E3287="""",I3287="""",J3287="""",H3287=""""),""ফাঁকা ঘর"",""""),IF(AND(C3287&lt;&gt;"""",D3287&lt;&gt;"""",C3287=D3287),""gloss=figurative"",""""),IF(LEN(D3287)&lt;15,""figurative ছোট"",""""),IF(AND(I3287=""Positive"",REGEXMATCH(H3"&amp;"287,""মূর্খ|ভণ্ড|প্রতার|অলস|লোভ|স্বার্থ|অক্ষম|অযোগ্য|বোকা|কৃপণ|হিংস"")),""valence-target অমিল"",""""),IF(COUNTIF($B:$B,B3287)&gt;1,""ডুপ্লিকেট"",""""))"),"")</f>
        <v/>
      </c>
      <c r="Q3287" s="5" t="str">
        <f t="shared" si="1"/>
        <v>২ পরে</v>
      </c>
    </row>
    <row r="3288">
      <c r="A3288" s="4">
        <v>1098.0</v>
      </c>
      <c r="B3288" s="2" t="s">
        <v>13114</v>
      </c>
      <c r="C3288" s="2" t="s">
        <v>13115</v>
      </c>
      <c r="D3288" s="2" t="s">
        <v>13116</v>
      </c>
      <c r="E3288" s="2" t="s">
        <v>13117</v>
      </c>
      <c r="F3288" s="2" t="b">
        <v>1</v>
      </c>
      <c r="G3288" s="2" t="b">
        <v>0</v>
      </c>
      <c r="H3288" s="2" t="s">
        <v>251</v>
      </c>
      <c r="I3288" s="2" t="s">
        <v>22</v>
      </c>
      <c r="J3288" s="2" t="s">
        <v>197</v>
      </c>
      <c r="K3288" s="2" t="s">
        <v>376</v>
      </c>
      <c r="L3288" s="2" t="s">
        <v>391</v>
      </c>
      <c r="M3288" s="2" t="s">
        <v>26</v>
      </c>
      <c r="N3288" s="29"/>
      <c r="O3288" s="29"/>
      <c r="P3288" s="5" t="str">
        <f>IFERROR(__xludf.DUMMYFUNCTION("TEXTJOIN("" | "",TRUE,IF(OR(D3288="""",E3288="""",I3288="""",J3288="""",H3288=""""),""ফাঁকা ঘর"",""""),IF(AND(C3288&lt;&gt;"""",D3288&lt;&gt;"""",C3288=D3288),""gloss=figurative"",""""),IF(LEN(D3288)&lt;15,""figurative ছোট"",""""),IF(AND(I3288=""Positive"",REGEXMATCH(H3"&amp;"288,""মূর্খ|ভণ্ড|প্রতার|অলস|লোভ|স্বার্থ|অক্ষম|অযোগ্য|বোকা|কৃপণ|হিংস"")),""valence-target অমিল"",""""),IF(COUNTIF($B:$B,B3288)&gt;1,""ডুপ্লিকেট"",""""))"),"")</f>
        <v/>
      </c>
      <c r="Q3288" s="5" t="str">
        <f t="shared" si="1"/>
        <v>২ পরে</v>
      </c>
    </row>
    <row r="3289">
      <c r="A3289" s="4">
        <v>1099.0</v>
      </c>
      <c r="B3289" s="2" t="s">
        <v>13118</v>
      </c>
      <c r="C3289" s="2" t="s">
        <v>13119</v>
      </c>
      <c r="D3289" s="2" t="s">
        <v>13120</v>
      </c>
      <c r="E3289" s="2" t="s">
        <v>13121</v>
      </c>
      <c r="F3289" s="2" t="b">
        <v>1</v>
      </c>
      <c r="G3289" s="2" t="b">
        <v>0</v>
      </c>
      <c r="H3289" s="2" t="s">
        <v>37</v>
      </c>
      <c r="I3289" s="2" t="s">
        <v>32</v>
      </c>
      <c r="J3289" s="2" t="s">
        <v>4711</v>
      </c>
      <c r="K3289" s="2" t="s">
        <v>376</v>
      </c>
      <c r="L3289" s="2" t="s">
        <v>391</v>
      </c>
      <c r="M3289" s="2" t="s">
        <v>26</v>
      </c>
      <c r="N3289" s="29"/>
      <c r="O3289" s="29"/>
      <c r="P3289" s="5" t="str">
        <f>IFERROR(__xludf.DUMMYFUNCTION("TEXTJOIN("" | "",TRUE,IF(OR(D3289="""",E3289="""",I3289="""",J3289="""",H3289=""""),""ফাঁকা ঘর"",""""),IF(AND(C3289&lt;&gt;"""",D3289&lt;&gt;"""",C3289=D3289),""gloss=figurative"",""""),IF(LEN(D3289)&lt;15,""figurative ছোট"",""""),IF(AND(I3289=""Positive"",REGEXMATCH(H3"&amp;"289,""মূর্খ|ভণ্ড|প্রতার|অলস|লোভ|স্বার্থ|অক্ষম|অযোগ্য|বোকা|কৃপণ|হিংস"")),""valence-target অমিল"",""""),IF(COUNTIF($B:$B,B3289)&gt;1,""ডুপ্লিকেট"",""""))"),"")</f>
        <v/>
      </c>
      <c r="Q3289" s="5" t="str">
        <f t="shared" si="1"/>
        <v>২ পরে</v>
      </c>
    </row>
    <row r="3290">
      <c r="A3290" s="4">
        <v>1100.0</v>
      </c>
      <c r="B3290" s="2" t="s">
        <v>13122</v>
      </c>
      <c r="C3290" s="2" t="s">
        <v>13123</v>
      </c>
      <c r="D3290" s="2" t="s">
        <v>13124</v>
      </c>
      <c r="E3290" s="2" t="s">
        <v>13125</v>
      </c>
      <c r="F3290" s="2" t="b">
        <v>1</v>
      </c>
      <c r="G3290" s="2" t="b">
        <v>0</v>
      </c>
      <c r="H3290" s="2" t="s">
        <v>9486</v>
      </c>
      <c r="I3290" s="2" t="s">
        <v>49</v>
      </c>
      <c r="J3290" s="2" t="s">
        <v>190</v>
      </c>
      <c r="K3290" s="2" t="s">
        <v>376</v>
      </c>
      <c r="L3290" s="2" t="s">
        <v>391</v>
      </c>
      <c r="M3290" s="2" t="s">
        <v>26</v>
      </c>
      <c r="N3290" s="29"/>
      <c r="O3290" s="29"/>
      <c r="P3290" s="5" t="str">
        <f>IFERROR(__xludf.DUMMYFUNCTION("TEXTJOIN("" | "",TRUE,IF(OR(D3290="""",E3290="""",I3290="""",J3290="""",H3290=""""),""ফাঁকা ঘর"",""""),IF(AND(C3290&lt;&gt;"""",D3290&lt;&gt;"""",C3290=D3290),""gloss=figurative"",""""),IF(LEN(D3290)&lt;15,""figurative ছোট"",""""),IF(AND(I3290=""Positive"",REGEXMATCH(H3"&amp;"290,""মূর্খ|ভণ্ড|প্রতার|অলস|লোভ|স্বার্থ|অক্ষম|অযোগ্য|বোকা|কৃপণ|হিংস"")),""valence-target অমিল"",""""),IF(COUNTIF($B:$B,B3290)&gt;1,""ডুপ্লিকেট"",""""))"),"")</f>
        <v/>
      </c>
      <c r="Q3290" s="5" t="str">
        <f t="shared" si="1"/>
        <v>২ পরে</v>
      </c>
    </row>
    <row r="3291">
      <c r="A3291" s="4">
        <v>1101.0</v>
      </c>
      <c r="B3291" s="2" t="s">
        <v>13126</v>
      </c>
      <c r="C3291" s="2" t="s">
        <v>13127</v>
      </c>
      <c r="D3291" s="2" t="s">
        <v>13128</v>
      </c>
      <c r="E3291" s="2" t="s">
        <v>13129</v>
      </c>
      <c r="F3291" s="2" t="b">
        <v>1</v>
      </c>
      <c r="G3291" s="2" t="b">
        <v>0</v>
      </c>
      <c r="H3291" s="2" t="s">
        <v>37</v>
      </c>
      <c r="I3291" s="2" t="s">
        <v>32</v>
      </c>
      <c r="J3291" s="2" t="s">
        <v>528</v>
      </c>
      <c r="K3291" s="2" t="s">
        <v>376</v>
      </c>
      <c r="L3291" s="2" t="s">
        <v>391</v>
      </c>
      <c r="M3291" s="2" t="s">
        <v>26</v>
      </c>
      <c r="N3291" s="29"/>
      <c r="O3291" s="29"/>
      <c r="P3291" s="5" t="str">
        <f>IFERROR(__xludf.DUMMYFUNCTION("TEXTJOIN("" | "",TRUE,IF(OR(D3291="""",E3291="""",I3291="""",J3291="""",H3291=""""),""ফাঁকা ঘর"",""""),IF(AND(C3291&lt;&gt;"""",D3291&lt;&gt;"""",C3291=D3291),""gloss=figurative"",""""),IF(LEN(D3291)&lt;15,""figurative ছোট"",""""),IF(AND(I3291=""Positive"",REGEXMATCH(H3"&amp;"291,""মূর্খ|ভণ্ড|প্রতার|অলস|লোভ|স্বার্থ|অক্ষম|অযোগ্য|বোকা|কৃপণ|হিংস"")),""valence-target অমিল"",""""),IF(COUNTIF($B:$B,B3291)&gt;1,""ডুপ্লিকেট"",""""))"),"")</f>
        <v/>
      </c>
      <c r="Q3291" s="5" t="str">
        <f t="shared" si="1"/>
        <v>২ পরে</v>
      </c>
    </row>
    <row r="3292">
      <c r="A3292" s="4">
        <v>1102.0</v>
      </c>
      <c r="B3292" s="2" t="s">
        <v>13130</v>
      </c>
      <c r="C3292" s="2" t="s">
        <v>13130</v>
      </c>
      <c r="D3292" s="2" t="s">
        <v>13131</v>
      </c>
      <c r="E3292" s="2" t="s">
        <v>13132</v>
      </c>
      <c r="F3292" s="2" t="b">
        <v>1</v>
      </c>
      <c r="G3292" s="2" t="b">
        <v>0</v>
      </c>
      <c r="H3292" s="2" t="s">
        <v>8837</v>
      </c>
      <c r="I3292" s="2" t="s">
        <v>22</v>
      </c>
      <c r="J3292" s="2" t="s">
        <v>690</v>
      </c>
      <c r="K3292" s="2" t="s">
        <v>376</v>
      </c>
      <c r="L3292" s="2" t="s">
        <v>391</v>
      </c>
      <c r="M3292" s="2" t="s">
        <v>26</v>
      </c>
      <c r="N3292" s="29"/>
      <c r="O3292" s="29"/>
      <c r="P3292" s="5" t="str">
        <f>IFERROR(__xludf.DUMMYFUNCTION("TEXTJOIN("" | "",TRUE,IF(OR(D3292="""",E3292="""",I3292="""",J3292="""",H3292=""""),""ফাঁকা ঘর"",""""),IF(AND(C3292&lt;&gt;"""",D3292&lt;&gt;"""",C3292=D3292),""gloss=figurative"",""""),IF(LEN(D3292)&lt;15,""figurative ছোট"",""""),IF(AND(I3292=""Positive"",REGEXMATCH(H3"&amp;"292,""মূর্খ|ভণ্ড|প্রতার|অলস|লোভ|স্বার্থ|অক্ষম|অযোগ্য|বোকা|কৃপণ|হিংস"")),""valence-target অমিল"",""""),IF(COUNTIF($B:$B,B3292)&gt;1,""ডুপ্লিকেট"",""""))"),"")</f>
        <v/>
      </c>
      <c r="Q3292" s="5" t="str">
        <f t="shared" si="1"/>
        <v>২ পরে</v>
      </c>
    </row>
    <row r="3293">
      <c r="A3293" s="4">
        <v>1103.0</v>
      </c>
      <c r="B3293" s="2" t="s">
        <v>13133</v>
      </c>
      <c r="C3293" s="2" t="s">
        <v>13134</v>
      </c>
      <c r="D3293" s="2" t="s">
        <v>13135</v>
      </c>
      <c r="E3293" s="2" t="s">
        <v>13136</v>
      </c>
      <c r="F3293" s="2" t="b">
        <v>1</v>
      </c>
      <c r="G3293" s="2" t="b">
        <v>0</v>
      </c>
      <c r="H3293" s="2" t="s">
        <v>9380</v>
      </c>
      <c r="I3293" s="2" t="s">
        <v>22</v>
      </c>
      <c r="J3293" s="2" t="s">
        <v>59</v>
      </c>
      <c r="K3293" s="2" t="s">
        <v>376</v>
      </c>
      <c r="L3293" s="2" t="s">
        <v>391</v>
      </c>
      <c r="M3293" s="2" t="s">
        <v>26</v>
      </c>
      <c r="N3293" s="29"/>
      <c r="O3293" s="29"/>
      <c r="P3293" s="5" t="str">
        <f>IFERROR(__xludf.DUMMYFUNCTION("TEXTJOIN("" | "",TRUE,IF(OR(D3293="""",E3293="""",I3293="""",J3293="""",H3293=""""),""ফাঁকা ঘর"",""""),IF(AND(C3293&lt;&gt;"""",D3293&lt;&gt;"""",C3293=D3293),""gloss=figurative"",""""),IF(LEN(D3293)&lt;15,""figurative ছোট"",""""),IF(AND(I3293=""Positive"",REGEXMATCH(H3"&amp;"293,""মূর্খ|ভণ্ড|প্রতার|অলস|লোভ|স্বার্থ|অক্ষম|অযোগ্য|বোকা|কৃপণ|হিংস"")),""valence-target অমিল"",""""),IF(COUNTIF($B:$B,B3293)&gt;1,""ডুপ্লিকেট"",""""))"),"")</f>
        <v/>
      </c>
      <c r="Q3293" s="5" t="str">
        <f t="shared" si="1"/>
        <v>২ পরে</v>
      </c>
    </row>
    <row r="3294">
      <c r="A3294" s="4">
        <v>1104.0</v>
      </c>
      <c r="B3294" s="2" t="s">
        <v>13137</v>
      </c>
      <c r="C3294" s="2" t="s">
        <v>13138</v>
      </c>
      <c r="D3294" s="2" t="s">
        <v>13139</v>
      </c>
      <c r="E3294" s="2" t="s">
        <v>13140</v>
      </c>
      <c r="F3294" s="2" t="b">
        <v>1</v>
      </c>
      <c r="G3294" s="2" t="b">
        <v>0</v>
      </c>
      <c r="H3294" s="2" t="s">
        <v>37</v>
      </c>
      <c r="I3294" s="2" t="s">
        <v>32</v>
      </c>
      <c r="J3294" s="2" t="s">
        <v>590</v>
      </c>
      <c r="K3294" s="2" t="s">
        <v>376</v>
      </c>
      <c r="L3294" s="2" t="s">
        <v>391</v>
      </c>
      <c r="M3294" s="2" t="s">
        <v>26</v>
      </c>
      <c r="N3294" s="29"/>
      <c r="O3294" s="29"/>
      <c r="P3294" s="5" t="str">
        <f>IFERROR(__xludf.DUMMYFUNCTION("TEXTJOIN("" | "",TRUE,IF(OR(D3294="""",E3294="""",I3294="""",J3294="""",H3294=""""),""ফাঁকা ঘর"",""""),IF(AND(C3294&lt;&gt;"""",D3294&lt;&gt;"""",C3294=D3294),""gloss=figurative"",""""),IF(LEN(D3294)&lt;15,""figurative ছোট"",""""),IF(AND(I3294=""Positive"",REGEXMATCH(H3"&amp;"294,""মূর্খ|ভণ্ড|প্রতার|অলস|লোভ|স্বার্থ|অক্ষম|অযোগ্য|বোকা|কৃপণ|হিংস"")),""valence-target অমিল"",""""),IF(COUNTIF($B:$B,B3294)&gt;1,""ডুপ্লিকেট"",""""))"),"")</f>
        <v/>
      </c>
      <c r="Q3294" s="5" t="str">
        <f t="shared" si="1"/>
        <v>২ পরে</v>
      </c>
    </row>
    <row r="3295">
      <c r="A3295" s="4">
        <v>1105.0</v>
      </c>
      <c r="B3295" s="2" t="s">
        <v>13141</v>
      </c>
      <c r="C3295" s="2" t="s">
        <v>13142</v>
      </c>
      <c r="D3295" s="2" t="s">
        <v>13143</v>
      </c>
      <c r="E3295" s="2" t="s">
        <v>13144</v>
      </c>
      <c r="F3295" s="2" t="b">
        <v>1</v>
      </c>
      <c r="G3295" s="2" t="b">
        <v>0</v>
      </c>
      <c r="H3295" s="2" t="s">
        <v>37</v>
      </c>
      <c r="I3295" s="2" t="s">
        <v>32</v>
      </c>
      <c r="J3295" s="2" t="s">
        <v>59</v>
      </c>
      <c r="K3295" s="2" t="s">
        <v>376</v>
      </c>
      <c r="L3295" s="2" t="s">
        <v>391</v>
      </c>
      <c r="M3295" s="2" t="s">
        <v>26</v>
      </c>
      <c r="N3295" s="29"/>
      <c r="O3295" s="29"/>
      <c r="P3295" s="5" t="str">
        <f>IFERROR(__xludf.DUMMYFUNCTION("TEXTJOIN("" | "",TRUE,IF(OR(D3295="""",E3295="""",I3295="""",J3295="""",H3295=""""),""ফাঁকা ঘর"",""""),IF(AND(C3295&lt;&gt;"""",D3295&lt;&gt;"""",C3295=D3295),""gloss=figurative"",""""),IF(LEN(D3295)&lt;15,""figurative ছোট"",""""),IF(AND(I3295=""Positive"",REGEXMATCH(H3"&amp;"295,""মূর্খ|ভণ্ড|প্রতার|অলস|লোভ|স্বার্থ|অক্ষম|অযোগ্য|বোকা|কৃপণ|হিংস"")),""valence-target অমিল"",""""),IF(COUNTIF($B:$B,B3295)&gt;1,""ডুপ্লিকেট"",""""))"),"")</f>
        <v/>
      </c>
      <c r="Q3295" s="5" t="str">
        <f t="shared" si="1"/>
        <v>২ পরে</v>
      </c>
    </row>
    <row r="3296">
      <c r="A3296" s="4">
        <v>1106.0</v>
      </c>
      <c r="B3296" s="2" t="s">
        <v>13145</v>
      </c>
      <c r="C3296" s="2" t="s">
        <v>13146</v>
      </c>
      <c r="D3296" s="2" t="s">
        <v>13147</v>
      </c>
      <c r="E3296" s="2" t="s">
        <v>13148</v>
      </c>
      <c r="F3296" s="2" t="b">
        <v>1</v>
      </c>
      <c r="G3296" s="2" t="b">
        <v>0</v>
      </c>
      <c r="H3296" s="2" t="s">
        <v>37</v>
      </c>
      <c r="I3296" s="2" t="s">
        <v>32</v>
      </c>
      <c r="J3296" s="2" t="s">
        <v>6697</v>
      </c>
      <c r="K3296" s="2" t="s">
        <v>376</v>
      </c>
      <c r="L3296" s="2" t="s">
        <v>391</v>
      </c>
      <c r="M3296" s="2" t="s">
        <v>26</v>
      </c>
      <c r="N3296" s="29"/>
      <c r="O3296" s="29"/>
      <c r="P3296" s="5" t="str">
        <f>IFERROR(__xludf.DUMMYFUNCTION("TEXTJOIN("" | "",TRUE,IF(OR(D3296="""",E3296="""",I3296="""",J3296="""",H3296=""""),""ফাঁকা ঘর"",""""),IF(AND(C3296&lt;&gt;"""",D3296&lt;&gt;"""",C3296=D3296),""gloss=figurative"",""""),IF(LEN(D3296)&lt;15,""figurative ছোট"",""""),IF(AND(I3296=""Positive"",REGEXMATCH(H3"&amp;"296,""মূর্খ|ভণ্ড|প্রতার|অলস|লোভ|স্বার্থ|অক্ষম|অযোগ্য|বোকা|কৃপণ|হিংস"")),""valence-target অমিল"",""""),IF(COUNTIF($B:$B,B3296)&gt;1,""ডুপ্লিকেট"",""""))"),"")</f>
        <v/>
      </c>
      <c r="Q3296" s="5" t="str">
        <f t="shared" si="1"/>
        <v>২ পরে</v>
      </c>
    </row>
    <row r="3297">
      <c r="A3297" s="4">
        <v>1107.0</v>
      </c>
      <c r="B3297" s="2" t="s">
        <v>13149</v>
      </c>
      <c r="C3297" s="2" t="s">
        <v>13150</v>
      </c>
      <c r="D3297" s="2" t="s">
        <v>13151</v>
      </c>
      <c r="E3297" s="2" t="s">
        <v>13152</v>
      </c>
      <c r="F3297" s="2" t="b">
        <v>1</v>
      </c>
      <c r="G3297" s="2" t="b">
        <v>0</v>
      </c>
      <c r="H3297" s="2" t="s">
        <v>37</v>
      </c>
      <c r="I3297" s="2" t="s">
        <v>32</v>
      </c>
      <c r="J3297" s="2" t="s">
        <v>162</v>
      </c>
      <c r="K3297" s="2" t="s">
        <v>376</v>
      </c>
      <c r="L3297" s="2" t="s">
        <v>391</v>
      </c>
      <c r="M3297" s="2" t="s">
        <v>26</v>
      </c>
      <c r="N3297" s="29"/>
      <c r="O3297" s="29"/>
      <c r="P3297" s="5" t="str">
        <f>IFERROR(__xludf.DUMMYFUNCTION("TEXTJOIN("" | "",TRUE,IF(OR(D3297="""",E3297="""",I3297="""",J3297="""",H3297=""""),""ফাঁকা ঘর"",""""),IF(AND(C3297&lt;&gt;"""",D3297&lt;&gt;"""",C3297=D3297),""gloss=figurative"",""""),IF(LEN(D3297)&lt;15,""figurative ছোট"",""""),IF(AND(I3297=""Positive"",REGEXMATCH(H3"&amp;"297,""মূর্খ|ভণ্ড|প্রতার|অলস|লোভ|স্বার্থ|অক্ষম|অযোগ্য|বোকা|কৃপণ|হিংস"")),""valence-target অমিল"",""""),IF(COUNTIF($B:$B,B3297)&gt;1,""ডুপ্লিকেট"",""""))"),"")</f>
        <v/>
      </c>
      <c r="Q3297" s="5" t="str">
        <f t="shared" si="1"/>
        <v>২ পরে</v>
      </c>
    </row>
    <row r="3298">
      <c r="A3298" s="4">
        <v>1108.0</v>
      </c>
      <c r="B3298" s="2" t="s">
        <v>13153</v>
      </c>
      <c r="C3298" s="2" t="s">
        <v>13154</v>
      </c>
      <c r="D3298" s="2" t="s">
        <v>13155</v>
      </c>
      <c r="E3298" s="2" t="s">
        <v>13156</v>
      </c>
      <c r="F3298" s="2" t="b">
        <v>1</v>
      </c>
      <c r="G3298" s="2" t="b">
        <v>0</v>
      </c>
      <c r="H3298" s="2" t="s">
        <v>13157</v>
      </c>
      <c r="I3298" s="2" t="s">
        <v>22</v>
      </c>
      <c r="J3298" s="2" t="s">
        <v>13158</v>
      </c>
      <c r="K3298" s="2" t="s">
        <v>376</v>
      </c>
      <c r="L3298" s="2" t="s">
        <v>391</v>
      </c>
      <c r="M3298" s="2" t="s">
        <v>26</v>
      </c>
      <c r="N3298" s="29"/>
      <c r="O3298" s="29"/>
      <c r="P3298" s="5" t="str">
        <f>IFERROR(__xludf.DUMMYFUNCTION("TEXTJOIN("" | "",TRUE,IF(OR(D3298="""",E3298="""",I3298="""",J3298="""",H3298=""""),""ফাঁকা ঘর"",""""),IF(AND(C3298&lt;&gt;"""",D3298&lt;&gt;"""",C3298=D3298),""gloss=figurative"",""""),IF(LEN(D3298)&lt;15,""figurative ছোট"",""""),IF(AND(I3298=""Positive"",REGEXMATCH(H3"&amp;"298,""মূর্খ|ভণ্ড|প্রতার|অলস|লোভ|স্বার্থ|অক্ষম|অযোগ্য|বোকা|কৃপণ|হিংস"")),""valence-target অমিল"",""""),IF(COUNTIF($B:$B,B3298)&gt;1,""ডুপ্লিকেট"",""""))"),"")</f>
        <v/>
      </c>
      <c r="Q3298" s="5" t="str">
        <f t="shared" si="1"/>
        <v>২ পরে</v>
      </c>
    </row>
    <row r="3299">
      <c r="A3299" s="4">
        <v>1109.0</v>
      </c>
      <c r="B3299" s="2" t="s">
        <v>13159</v>
      </c>
      <c r="C3299" s="2" t="s">
        <v>13160</v>
      </c>
      <c r="D3299" s="2" t="s">
        <v>13161</v>
      </c>
      <c r="E3299" s="2" t="s">
        <v>13162</v>
      </c>
      <c r="F3299" s="2" t="b">
        <v>1</v>
      </c>
      <c r="G3299" s="2" t="b">
        <v>0</v>
      </c>
      <c r="H3299" s="2" t="s">
        <v>10522</v>
      </c>
      <c r="I3299" s="2" t="s">
        <v>22</v>
      </c>
      <c r="J3299" s="2" t="s">
        <v>59</v>
      </c>
      <c r="K3299" s="2" t="s">
        <v>376</v>
      </c>
      <c r="L3299" s="2" t="s">
        <v>391</v>
      </c>
      <c r="M3299" s="2" t="s">
        <v>26</v>
      </c>
      <c r="N3299" s="29"/>
      <c r="O3299" s="29"/>
      <c r="P3299" s="5" t="str">
        <f>IFERROR(__xludf.DUMMYFUNCTION("TEXTJOIN("" | "",TRUE,IF(OR(D3299="""",E3299="""",I3299="""",J3299="""",H3299=""""),""ফাঁকা ঘর"",""""),IF(AND(C3299&lt;&gt;"""",D3299&lt;&gt;"""",C3299=D3299),""gloss=figurative"",""""),IF(LEN(D3299)&lt;15,""figurative ছোট"",""""),IF(AND(I3299=""Positive"",REGEXMATCH(H3"&amp;"299,""মূর্খ|ভণ্ড|প্রতার|অলস|লোভ|স্বার্থ|অক্ষম|অযোগ্য|বোকা|কৃপণ|হিংস"")),""valence-target অমিল"",""""),IF(COUNTIF($B:$B,B3299)&gt;1,""ডুপ্লিকেট"",""""))"),"")</f>
        <v/>
      </c>
      <c r="Q3299" s="5" t="str">
        <f t="shared" si="1"/>
        <v>২ পরে</v>
      </c>
    </row>
    <row r="3300">
      <c r="A3300" s="4">
        <v>1110.0</v>
      </c>
      <c r="B3300" s="2" t="s">
        <v>13163</v>
      </c>
      <c r="C3300" s="2" t="s">
        <v>13164</v>
      </c>
      <c r="D3300" s="2" t="s">
        <v>13165</v>
      </c>
      <c r="E3300" s="2" t="s">
        <v>13166</v>
      </c>
      <c r="F3300" s="2" t="b">
        <v>1</v>
      </c>
      <c r="G3300" s="2" t="b">
        <v>0</v>
      </c>
      <c r="H3300" s="2" t="s">
        <v>224</v>
      </c>
      <c r="I3300" s="2" t="s">
        <v>22</v>
      </c>
      <c r="J3300" s="2" t="s">
        <v>225</v>
      </c>
      <c r="K3300" s="2" t="s">
        <v>376</v>
      </c>
      <c r="L3300" s="2" t="s">
        <v>391</v>
      </c>
      <c r="M3300" s="2" t="s">
        <v>26</v>
      </c>
      <c r="N3300" s="29"/>
      <c r="O3300" s="29"/>
      <c r="P3300" s="5" t="str">
        <f>IFERROR(__xludf.DUMMYFUNCTION("TEXTJOIN("" | "",TRUE,IF(OR(D3300="""",E3300="""",I3300="""",J3300="""",H3300=""""),""ফাঁকা ঘর"",""""),IF(AND(C3300&lt;&gt;"""",D3300&lt;&gt;"""",C3300=D3300),""gloss=figurative"",""""),IF(LEN(D3300)&lt;15,""figurative ছোট"",""""),IF(AND(I3300=""Positive"",REGEXMATCH(H3"&amp;"300,""মূর্খ|ভণ্ড|প্রতার|অলস|লোভ|স্বার্থ|অক্ষম|অযোগ্য|বোকা|কৃপণ|হিংস"")),""valence-target অমিল"",""""),IF(COUNTIF($B:$B,B3300)&gt;1,""ডুপ্লিকেট"",""""))"),"")</f>
        <v/>
      </c>
      <c r="Q3300" s="5" t="str">
        <f t="shared" si="1"/>
        <v>২ পরে</v>
      </c>
    </row>
    <row r="3301">
      <c r="A3301" s="4">
        <v>1111.0</v>
      </c>
      <c r="B3301" s="2" t="s">
        <v>13167</v>
      </c>
      <c r="C3301" s="2" t="s">
        <v>13168</v>
      </c>
      <c r="D3301" s="2" t="s">
        <v>13169</v>
      </c>
      <c r="E3301" s="2" t="s">
        <v>13170</v>
      </c>
      <c r="F3301" s="2" t="b">
        <v>1</v>
      </c>
      <c r="G3301" s="2" t="b">
        <v>0</v>
      </c>
      <c r="H3301" s="2" t="s">
        <v>9661</v>
      </c>
      <c r="I3301" s="2" t="s">
        <v>22</v>
      </c>
      <c r="J3301" s="2" t="s">
        <v>59</v>
      </c>
      <c r="K3301" s="2" t="s">
        <v>376</v>
      </c>
      <c r="L3301" s="2" t="s">
        <v>391</v>
      </c>
      <c r="M3301" s="2" t="s">
        <v>26</v>
      </c>
      <c r="N3301" s="29"/>
      <c r="O3301" s="29"/>
      <c r="P3301" s="5" t="str">
        <f>IFERROR(__xludf.DUMMYFUNCTION("TEXTJOIN("" | "",TRUE,IF(OR(D3301="""",E3301="""",I3301="""",J3301="""",H3301=""""),""ফাঁকা ঘর"",""""),IF(AND(C3301&lt;&gt;"""",D3301&lt;&gt;"""",C3301=D3301),""gloss=figurative"",""""),IF(LEN(D3301)&lt;15,""figurative ছোট"",""""),IF(AND(I3301=""Positive"",REGEXMATCH(H3"&amp;"301,""মূর্খ|ভণ্ড|প্রতার|অলস|লোভ|স্বার্থ|অক্ষম|অযোগ্য|বোকা|কৃপণ|হিংস"")),""valence-target অমিল"",""""),IF(COUNTIF($B:$B,B3301)&gt;1,""ডুপ্লিকেট"",""""))"),"")</f>
        <v/>
      </c>
      <c r="Q3301" s="5" t="str">
        <f t="shared" si="1"/>
        <v>২ পরে</v>
      </c>
    </row>
    <row r="3302">
      <c r="A3302" s="4">
        <v>1112.0</v>
      </c>
      <c r="B3302" s="2" t="s">
        <v>13171</v>
      </c>
      <c r="C3302" s="2" t="s">
        <v>13172</v>
      </c>
      <c r="D3302" s="2" t="s">
        <v>13173</v>
      </c>
      <c r="E3302" s="2" t="s">
        <v>13174</v>
      </c>
      <c r="F3302" s="2" t="b">
        <v>1</v>
      </c>
      <c r="G3302" s="2" t="b">
        <v>0</v>
      </c>
      <c r="H3302" s="2" t="s">
        <v>37</v>
      </c>
      <c r="I3302" s="2" t="s">
        <v>32</v>
      </c>
      <c r="J3302" s="2" t="s">
        <v>50</v>
      </c>
      <c r="K3302" s="2" t="s">
        <v>376</v>
      </c>
      <c r="L3302" s="2" t="s">
        <v>391</v>
      </c>
      <c r="M3302" s="2" t="s">
        <v>26</v>
      </c>
      <c r="N3302" s="29"/>
      <c r="O3302" s="29"/>
      <c r="P3302" s="5" t="str">
        <f>IFERROR(__xludf.DUMMYFUNCTION("TEXTJOIN("" | "",TRUE,IF(OR(D3302="""",E3302="""",I3302="""",J3302="""",H3302=""""),""ফাঁকা ঘর"",""""),IF(AND(C3302&lt;&gt;"""",D3302&lt;&gt;"""",C3302=D3302),""gloss=figurative"",""""),IF(LEN(D3302)&lt;15,""figurative ছোট"",""""),IF(AND(I3302=""Positive"",REGEXMATCH(H3"&amp;"302,""মূর্খ|ভণ্ড|প্রতার|অলস|লোভ|স্বার্থ|অক্ষম|অযোগ্য|বোকা|কৃপণ|হিংস"")),""valence-target অমিল"",""""),IF(COUNTIF($B:$B,B3302)&gt;1,""ডুপ্লিকেট"",""""))"),"")</f>
        <v/>
      </c>
      <c r="Q3302" s="5" t="str">
        <f t="shared" si="1"/>
        <v>২ পরে</v>
      </c>
    </row>
    <row r="3303">
      <c r="A3303" s="4">
        <v>1113.0</v>
      </c>
      <c r="B3303" s="2" t="s">
        <v>13175</v>
      </c>
      <c r="C3303" s="2" t="s">
        <v>13176</v>
      </c>
      <c r="D3303" s="2" t="s">
        <v>13177</v>
      </c>
      <c r="E3303" s="2" t="s">
        <v>13178</v>
      </c>
      <c r="F3303" s="2" t="b">
        <v>1</v>
      </c>
      <c r="G3303" s="2" t="b">
        <v>0</v>
      </c>
      <c r="H3303" s="2" t="s">
        <v>224</v>
      </c>
      <c r="I3303" s="2" t="s">
        <v>22</v>
      </c>
      <c r="J3303" s="2" t="s">
        <v>225</v>
      </c>
      <c r="K3303" s="2" t="s">
        <v>376</v>
      </c>
      <c r="L3303" s="2" t="s">
        <v>391</v>
      </c>
      <c r="M3303" s="2" t="s">
        <v>26</v>
      </c>
      <c r="N3303" s="29"/>
      <c r="O3303" s="29"/>
      <c r="P3303" s="5" t="str">
        <f>IFERROR(__xludf.DUMMYFUNCTION("TEXTJOIN("" | "",TRUE,IF(OR(D3303="""",E3303="""",I3303="""",J3303="""",H3303=""""),""ফাঁকা ঘর"",""""),IF(AND(C3303&lt;&gt;"""",D3303&lt;&gt;"""",C3303=D3303),""gloss=figurative"",""""),IF(LEN(D3303)&lt;15,""figurative ছোট"",""""),IF(AND(I3303=""Positive"",REGEXMATCH(H3"&amp;"303,""মূর্খ|ভণ্ড|প্রতার|অলস|লোভ|স্বার্থ|অক্ষম|অযোগ্য|বোকা|কৃপণ|হিংস"")),""valence-target অমিল"",""""),IF(COUNTIF($B:$B,B3303)&gt;1,""ডুপ্লিকেট"",""""))"),"")</f>
        <v/>
      </c>
      <c r="Q3303" s="5" t="str">
        <f t="shared" si="1"/>
        <v>২ পরে</v>
      </c>
    </row>
    <row r="3304">
      <c r="A3304" s="4">
        <v>1114.0</v>
      </c>
      <c r="B3304" s="2" t="s">
        <v>13179</v>
      </c>
      <c r="C3304" s="2" t="s">
        <v>13180</v>
      </c>
      <c r="D3304" s="2" t="s">
        <v>13181</v>
      </c>
      <c r="E3304" s="2" t="s">
        <v>13182</v>
      </c>
      <c r="F3304" s="2" t="b">
        <v>1</v>
      </c>
      <c r="G3304" s="2" t="b">
        <v>0</v>
      </c>
      <c r="H3304" s="2" t="s">
        <v>37</v>
      </c>
      <c r="I3304" s="2" t="s">
        <v>32</v>
      </c>
      <c r="J3304" s="2" t="s">
        <v>6697</v>
      </c>
      <c r="K3304" s="2" t="s">
        <v>376</v>
      </c>
      <c r="L3304" s="2" t="s">
        <v>391</v>
      </c>
      <c r="M3304" s="2" t="s">
        <v>26</v>
      </c>
      <c r="N3304" s="29"/>
      <c r="O3304" s="29"/>
      <c r="P3304" s="5" t="str">
        <f>IFERROR(__xludf.DUMMYFUNCTION("TEXTJOIN("" | "",TRUE,IF(OR(D3304="""",E3304="""",I3304="""",J3304="""",H3304=""""),""ফাঁকা ঘর"",""""),IF(AND(C3304&lt;&gt;"""",D3304&lt;&gt;"""",C3304=D3304),""gloss=figurative"",""""),IF(LEN(D3304)&lt;15,""figurative ছোট"",""""),IF(AND(I3304=""Positive"",REGEXMATCH(H3"&amp;"304,""মূর্খ|ভণ্ড|প্রতার|অলস|লোভ|স্বার্থ|অক্ষম|অযোগ্য|বোকা|কৃপণ|হিংস"")),""valence-target অমিল"",""""),IF(COUNTIF($B:$B,B3304)&gt;1,""ডুপ্লিকেট"",""""))"),"")</f>
        <v/>
      </c>
      <c r="Q3304" s="5" t="str">
        <f t="shared" si="1"/>
        <v>২ পরে</v>
      </c>
    </row>
    <row r="3305">
      <c r="A3305" s="4">
        <v>1115.0</v>
      </c>
      <c r="B3305" s="2" t="s">
        <v>13183</v>
      </c>
      <c r="C3305" s="2" t="s">
        <v>13184</v>
      </c>
      <c r="D3305" s="2" t="s">
        <v>13185</v>
      </c>
      <c r="E3305" s="2" t="s">
        <v>13186</v>
      </c>
      <c r="F3305" s="2" t="b">
        <v>1</v>
      </c>
      <c r="G3305" s="2" t="b">
        <v>0</v>
      </c>
      <c r="H3305" s="2" t="s">
        <v>37</v>
      </c>
      <c r="I3305" s="2" t="s">
        <v>32</v>
      </c>
      <c r="J3305" s="2" t="s">
        <v>169</v>
      </c>
      <c r="K3305" s="2" t="s">
        <v>376</v>
      </c>
      <c r="L3305" s="2" t="s">
        <v>391</v>
      </c>
      <c r="M3305" s="2" t="s">
        <v>26</v>
      </c>
      <c r="N3305" s="29"/>
      <c r="O3305" s="29"/>
      <c r="P3305" s="5" t="str">
        <f>IFERROR(__xludf.DUMMYFUNCTION("TEXTJOIN("" | "",TRUE,IF(OR(D3305="""",E3305="""",I3305="""",J3305="""",H3305=""""),""ফাঁকা ঘর"",""""),IF(AND(C3305&lt;&gt;"""",D3305&lt;&gt;"""",C3305=D3305),""gloss=figurative"",""""),IF(LEN(D3305)&lt;15,""figurative ছোট"",""""),IF(AND(I3305=""Positive"",REGEXMATCH(H3"&amp;"305,""মূর্খ|ভণ্ড|প্রতার|অলস|লোভ|স্বার্থ|অক্ষম|অযোগ্য|বোকা|কৃপণ|হিংস"")),""valence-target অমিল"",""""),IF(COUNTIF($B:$B,B3305)&gt;1,""ডুপ্লিকেট"",""""))"),"")</f>
        <v/>
      </c>
      <c r="Q3305" s="5" t="str">
        <f t="shared" si="1"/>
        <v>২ পরে</v>
      </c>
    </row>
    <row r="3306">
      <c r="A3306" s="4">
        <v>1116.0</v>
      </c>
      <c r="B3306" s="2" t="s">
        <v>13187</v>
      </c>
      <c r="C3306" s="2" t="s">
        <v>13188</v>
      </c>
      <c r="D3306" s="2" t="s">
        <v>13189</v>
      </c>
      <c r="E3306" s="2" t="s">
        <v>13190</v>
      </c>
      <c r="F3306" s="2" t="b">
        <v>1</v>
      </c>
      <c r="G3306" s="2" t="b">
        <v>0</v>
      </c>
      <c r="H3306" s="2" t="s">
        <v>37</v>
      </c>
      <c r="I3306" s="2" t="s">
        <v>32</v>
      </c>
      <c r="J3306" s="2" t="s">
        <v>162</v>
      </c>
      <c r="K3306" s="2" t="s">
        <v>376</v>
      </c>
      <c r="L3306" s="2" t="s">
        <v>391</v>
      </c>
      <c r="M3306" s="2" t="s">
        <v>26</v>
      </c>
      <c r="N3306" s="29"/>
      <c r="O3306" s="29"/>
      <c r="P3306" s="5" t="str">
        <f>IFERROR(__xludf.DUMMYFUNCTION("TEXTJOIN("" | "",TRUE,IF(OR(D3306="""",E3306="""",I3306="""",J3306="""",H3306=""""),""ফাঁকা ঘর"",""""),IF(AND(C3306&lt;&gt;"""",D3306&lt;&gt;"""",C3306=D3306),""gloss=figurative"",""""),IF(LEN(D3306)&lt;15,""figurative ছোট"",""""),IF(AND(I3306=""Positive"",REGEXMATCH(H3"&amp;"306,""মূর্খ|ভণ্ড|প্রতার|অলস|লোভ|স্বার্থ|অক্ষম|অযোগ্য|বোকা|কৃপণ|হিংস"")),""valence-target অমিল"",""""),IF(COUNTIF($B:$B,B3306)&gt;1,""ডুপ্লিকেট"",""""))"),"")</f>
        <v/>
      </c>
      <c r="Q3306" s="5" t="str">
        <f t="shared" si="1"/>
        <v>২ পরে</v>
      </c>
    </row>
    <row r="3307">
      <c r="A3307" s="4">
        <v>1117.0</v>
      </c>
      <c r="B3307" s="2" t="s">
        <v>13191</v>
      </c>
      <c r="C3307" s="2" t="s">
        <v>13192</v>
      </c>
      <c r="D3307" s="2" t="s">
        <v>13193</v>
      </c>
      <c r="E3307" s="2" t="s">
        <v>13194</v>
      </c>
      <c r="F3307" s="2" t="b">
        <v>1</v>
      </c>
      <c r="G3307" s="2" t="b">
        <v>0</v>
      </c>
      <c r="H3307" s="2" t="s">
        <v>13195</v>
      </c>
      <c r="I3307" s="2" t="s">
        <v>32</v>
      </c>
      <c r="J3307" s="2" t="s">
        <v>13060</v>
      </c>
      <c r="K3307" s="2" t="s">
        <v>376</v>
      </c>
      <c r="L3307" s="2" t="s">
        <v>391</v>
      </c>
      <c r="M3307" s="2" t="s">
        <v>26</v>
      </c>
      <c r="N3307" s="29"/>
      <c r="O3307" s="29"/>
      <c r="P3307" s="5" t="str">
        <f>IFERROR(__xludf.DUMMYFUNCTION("TEXTJOIN("" | "",TRUE,IF(OR(D3307="""",E3307="""",I3307="""",J3307="""",H3307=""""),""ফাঁকা ঘর"",""""),IF(AND(C3307&lt;&gt;"""",D3307&lt;&gt;"""",C3307=D3307),""gloss=figurative"",""""),IF(LEN(D3307)&lt;15,""figurative ছোট"",""""),IF(AND(I3307=""Positive"",REGEXMATCH(H3"&amp;"307,""মূর্খ|ভণ্ড|প্রতার|অলস|লোভ|স্বার্থ|অক্ষম|অযোগ্য|বোকা|কৃপণ|হিংস"")),""valence-target অমিল"",""""),IF(COUNTIF($B:$B,B3307)&gt;1,""ডুপ্লিকেট"",""""))"),"")</f>
        <v/>
      </c>
      <c r="Q3307" s="5" t="str">
        <f t="shared" si="1"/>
        <v>২ পরে</v>
      </c>
    </row>
    <row r="3308">
      <c r="A3308" s="4">
        <v>1118.0</v>
      </c>
      <c r="B3308" s="2" t="s">
        <v>13196</v>
      </c>
      <c r="C3308" s="2" t="s">
        <v>13197</v>
      </c>
      <c r="D3308" s="2" t="s">
        <v>13198</v>
      </c>
      <c r="E3308" s="2" t="s">
        <v>13199</v>
      </c>
      <c r="F3308" s="2" t="b">
        <v>1</v>
      </c>
      <c r="G3308" s="2" t="b">
        <v>1</v>
      </c>
      <c r="H3308" s="2" t="s">
        <v>1982</v>
      </c>
      <c r="I3308" s="2" t="s">
        <v>32</v>
      </c>
      <c r="J3308" s="2" t="s">
        <v>436</v>
      </c>
      <c r="K3308" s="2" t="s">
        <v>376</v>
      </c>
      <c r="L3308" s="2" t="s">
        <v>391</v>
      </c>
      <c r="M3308" s="2" t="s">
        <v>26</v>
      </c>
      <c r="N3308" s="29"/>
      <c r="O3308" s="29"/>
      <c r="P3308" s="5" t="str">
        <f>IFERROR(__xludf.DUMMYFUNCTION("TEXTJOIN("" | "",TRUE,IF(OR(D3308="""",E3308="""",I3308="""",J3308="""",H3308=""""),""ফাঁকা ঘর"",""""),IF(AND(C3308&lt;&gt;"""",D3308&lt;&gt;"""",C3308=D3308),""gloss=figurative"",""""),IF(LEN(D3308)&lt;15,""figurative ছোট"",""""),IF(AND(I3308=""Positive"",REGEXMATCH(H3"&amp;"308,""মূর্খ|ভণ্ড|প্রতার|অলস|লোভ|স্বার্থ|অক্ষম|অযোগ্য|বোকা|কৃপণ|হিংস"")),""valence-target অমিল"",""""),IF(COUNTIF($B:$B,B3308)&gt;1,""ডুপ্লিকেট"",""""))"),"")</f>
        <v/>
      </c>
      <c r="Q3308" s="5" t="str">
        <f t="shared" si="1"/>
        <v>২ পরে</v>
      </c>
    </row>
    <row r="3309">
      <c r="A3309" s="4">
        <v>1119.0</v>
      </c>
      <c r="B3309" s="2" t="s">
        <v>13200</v>
      </c>
      <c r="C3309" s="2" t="s">
        <v>13201</v>
      </c>
      <c r="D3309" s="2" t="s">
        <v>13202</v>
      </c>
      <c r="E3309" s="2" t="s">
        <v>13203</v>
      </c>
      <c r="F3309" s="2" t="b">
        <v>1</v>
      </c>
      <c r="G3309" s="2" t="b">
        <v>0</v>
      </c>
      <c r="H3309" s="2" t="s">
        <v>37</v>
      </c>
      <c r="I3309" s="2" t="s">
        <v>32</v>
      </c>
      <c r="J3309" s="2" t="s">
        <v>123</v>
      </c>
      <c r="K3309" s="2" t="s">
        <v>376</v>
      </c>
      <c r="L3309" s="2" t="s">
        <v>391</v>
      </c>
      <c r="M3309" s="2" t="s">
        <v>26</v>
      </c>
      <c r="N3309" s="29"/>
      <c r="O3309" s="29"/>
      <c r="P3309" s="5" t="str">
        <f>IFERROR(__xludf.DUMMYFUNCTION("TEXTJOIN("" | "",TRUE,IF(OR(D3309="""",E3309="""",I3309="""",J3309="""",H3309=""""),""ফাঁকা ঘর"",""""),IF(AND(C3309&lt;&gt;"""",D3309&lt;&gt;"""",C3309=D3309),""gloss=figurative"",""""),IF(LEN(D3309)&lt;15,""figurative ছোট"",""""),IF(AND(I3309=""Positive"",REGEXMATCH(H3"&amp;"309,""মূর্খ|ভণ্ড|প্রতার|অলস|লোভ|স্বার্থ|অক্ষম|অযোগ্য|বোকা|কৃপণ|হিংস"")),""valence-target অমিল"",""""),IF(COUNTIF($B:$B,B3309)&gt;1,""ডুপ্লিকেট"",""""))"),"")</f>
        <v/>
      </c>
      <c r="Q3309" s="5" t="str">
        <f t="shared" si="1"/>
        <v>২ পরে</v>
      </c>
    </row>
    <row r="3310">
      <c r="A3310" s="4">
        <v>1120.0</v>
      </c>
      <c r="B3310" s="2" t="s">
        <v>13204</v>
      </c>
      <c r="C3310" s="2" t="s">
        <v>13205</v>
      </c>
      <c r="D3310" s="2" t="s">
        <v>13206</v>
      </c>
      <c r="E3310" s="2" t="s">
        <v>13207</v>
      </c>
      <c r="F3310" s="2" t="b">
        <v>1</v>
      </c>
      <c r="G3310" s="2" t="b">
        <v>0</v>
      </c>
      <c r="H3310" s="2" t="s">
        <v>37</v>
      </c>
      <c r="I3310" s="2" t="s">
        <v>32</v>
      </c>
      <c r="J3310" s="2" t="s">
        <v>13060</v>
      </c>
      <c r="K3310" s="2" t="s">
        <v>376</v>
      </c>
      <c r="L3310" s="2" t="s">
        <v>391</v>
      </c>
      <c r="M3310" s="2" t="s">
        <v>26</v>
      </c>
      <c r="N3310" s="29"/>
      <c r="O3310" s="29"/>
      <c r="P3310" s="5" t="str">
        <f>IFERROR(__xludf.DUMMYFUNCTION("TEXTJOIN("" | "",TRUE,IF(OR(D3310="""",E3310="""",I3310="""",J3310="""",H3310=""""),""ফাঁকা ঘর"",""""),IF(AND(C3310&lt;&gt;"""",D3310&lt;&gt;"""",C3310=D3310),""gloss=figurative"",""""),IF(LEN(D3310)&lt;15,""figurative ছোট"",""""),IF(AND(I3310=""Positive"",REGEXMATCH(H3"&amp;"310,""মূর্খ|ভণ্ড|প্রতার|অলস|লোভ|স্বার্থ|অক্ষম|অযোগ্য|বোকা|কৃপণ|হিংস"")),""valence-target অমিল"",""""),IF(COUNTIF($B:$B,B3310)&gt;1,""ডুপ্লিকেট"",""""))"),"")</f>
        <v/>
      </c>
      <c r="Q3310" s="5" t="str">
        <f t="shared" si="1"/>
        <v>২ পরে</v>
      </c>
    </row>
    <row r="3311">
      <c r="A3311" s="4">
        <v>1121.0</v>
      </c>
      <c r="B3311" s="2" t="s">
        <v>13208</v>
      </c>
      <c r="C3311" s="2" t="s">
        <v>13209</v>
      </c>
      <c r="D3311" s="2" t="s">
        <v>13210</v>
      </c>
      <c r="E3311" s="2" t="s">
        <v>13211</v>
      </c>
      <c r="F3311" s="2" t="b">
        <v>1</v>
      </c>
      <c r="G3311" s="2" t="b">
        <v>0</v>
      </c>
      <c r="H3311" s="2" t="s">
        <v>37</v>
      </c>
      <c r="I3311" s="2" t="s">
        <v>32</v>
      </c>
      <c r="J3311" s="2" t="s">
        <v>162</v>
      </c>
      <c r="K3311" s="2" t="s">
        <v>376</v>
      </c>
      <c r="L3311" s="2" t="s">
        <v>391</v>
      </c>
      <c r="M3311" s="2" t="s">
        <v>26</v>
      </c>
      <c r="N3311" s="29"/>
      <c r="O3311" s="29"/>
      <c r="P3311" s="5" t="str">
        <f>IFERROR(__xludf.DUMMYFUNCTION("TEXTJOIN("" | "",TRUE,IF(OR(D3311="""",E3311="""",I3311="""",J3311="""",H3311=""""),""ফাঁকা ঘর"",""""),IF(AND(C3311&lt;&gt;"""",D3311&lt;&gt;"""",C3311=D3311),""gloss=figurative"",""""),IF(LEN(D3311)&lt;15,""figurative ছোট"",""""),IF(AND(I3311=""Positive"",REGEXMATCH(H3"&amp;"311,""মূর্খ|ভণ্ড|প্রতার|অলস|লোভ|স্বার্থ|অক্ষম|অযোগ্য|বোকা|কৃপণ|হিংস"")),""valence-target অমিল"",""""),IF(COUNTIF($B:$B,B3311)&gt;1,""ডুপ্লিকেট"",""""))"),"")</f>
        <v/>
      </c>
      <c r="Q3311" s="5" t="str">
        <f t="shared" si="1"/>
        <v>২ পরে</v>
      </c>
    </row>
    <row r="3312">
      <c r="A3312" s="4">
        <v>1122.0</v>
      </c>
      <c r="B3312" s="2" t="s">
        <v>13212</v>
      </c>
      <c r="C3312" s="2" t="s">
        <v>13213</v>
      </c>
      <c r="D3312" s="2" t="s">
        <v>13214</v>
      </c>
      <c r="E3312" s="2" t="s">
        <v>13215</v>
      </c>
      <c r="F3312" s="2" t="b">
        <v>1</v>
      </c>
      <c r="G3312" s="2" t="b">
        <v>0</v>
      </c>
      <c r="H3312" s="2" t="s">
        <v>37</v>
      </c>
      <c r="I3312" s="2" t="s">
        <v>32</v>
      </c>
      <c r="J3312" s="2" t="s">
        <v>1151</v>
      </c>
      <c r="K3312" s="2" t="s">
        <v>376</v>
      </c>
      <c r="L3312" s="2" t="s">
        <v>391</v>
      </c>
      <c r="M3312" s="2" t="s">
        <v>26</v>
      </c>
      <c r="N3312" s="29"/>
      <c r="O3312" s="29"/>
      <c r="P3312" s="5" t="str">
        <f>IFERROR(__xludf.DUMMYFUNCTION("TEXTJOIN("" | "",TRUE,IF(OR(D3312="""",E3312="""",I3312="""",J3312="""",H3312=""""),""ফাঁকা ঘর"",""""),IF(AND(C3312&lt;&gt;"""",D3312&lt;&gt;"""",C3312=D3312),""gloss=figurative"",""""),IF(LEN(D3312)&lt;15,""figurative ছোট"",""""),IF(AND(I3312=""Positive"",REGEXMATCH(H3"&amp;"312,""মূর্খ|ভণ্ড|প্রতার|অলস|লোভ|স্বার্থ|অক্ষম|অযোগ্য|বোকা|কৃপণ|হিংস"")),""valence-target অমিল"",""""),IF(COUNTIF($B:$B,B3312)&gt;1,""ডুপ্লিকেট"",""""))"),"")</f>
        <v/>
      </c>
      <c r="Q3312" s="5" t="str">
        <f t="shared" si="1"/>
        <v>২ পরে</v>
      </c>
    </row>
    <row r="3313">
      <c r="A3313" s="4">
        <v>1123.0</v>
      </c>
      <c r="B3313" s="2" t="s">
        <v>13216</v>
      </c>
      <c r="C3313" s="2" t="s">
        <v>13217</v>
      </c>
      <c r="D3313" s="2" t="s">
        <v>13218</v>
      </c>
      <c r="E3313" s="2" t="s">
        <v>13219</v>
      </c>
      <c r="F3313" s="2" t="b">
        <v>1</v>
      </c>
      <c r="G3313" s="2" t="b">
        <v>0</v>
      </c>
      <c r="H3313" s="2" t="s">
        <v>11892</v>
      </c>
      <c r="I3313" s="2" t="s">
        <v>22</v>
      </c>
      <c r="J3313" s="2" t="s">
        <v>9301</v>
      </c>
      <c r="K3313" s="2" t="s">
        <v>376</v>
      </c>
      <c r="L3313" s="2" t="s">
        <v>391</v>
      </c>
      <c r="M3313" s="2" t="s">
        <v>26</v>
      </c>
      <c r="N3313" s="29"/>
      <c r="O3313" s="29"/>
      <c r="P3313" s="5" t="str">
        <f>IFERROR(__xludf.DUMMYFUNCTION("TEXTJOIN("" | "",TRUE,IF(OR(D3313="""",E3313="""",I3313="""",J3313="""",H3313=""""),""ফাঁকা ঘর"",""""),IF(AND(C3313&lt;&gt;"""",D3313&lt;&gt;"""",C3313=D3313),""gloss=figurative"",""""),IF(LEN(D3313)&lt;15,""figurative ছোট"",""""),IF(AND(I3313=""Positive"",REGEXMATCH(H3"&amp;"313,""মূর্খ|ভণ্ড|প্রতার|অলস|লোভ|স্বার্থ|অক্ষম|অযোগ্য|বোকা|কৃপণ|হিংস"")),""valence-target অমিল"",""""),IF(COUNTIF($B:$B,B3313)&gt;1,""ডুপ্লিকেট"",""""))"),"")</f>
        <v/>
      </c>
      <c r="Q3313" s="5" t="str">
        <f t="shared" si="1"/>
        <v>২ পরে</v>
      </c>
    </row>
    <row r="3314">
      <c r="A3314" s="4">
        <v>1124.0</v>
      </c>
      <c r="B3314" s="2" t="s">
        <v>13220</v>
      </c>
      <c r="C3314" s="2" t="s">
        <v>13221</v>
      </c>
      <c r="D3314" s="2" t="s">
        <v>13222</v>
      </c>
      <c r="E3314" s="2" t="s">
        <v>13223</v>
      </c>
      <c r="F3314" s="2" t="b">
        <v>1</v>
      </c>
      <c r="G3314" s="2" t="b">
        <v>1</v>
      </c>
      <c r="H3314" s="2" t="s">
        <v>12842</v>
      </c>
      <c r="I3314" s="2" t="s">
        <v>49</v>
      </c>
      <c r="J3314" s="2" t="s">
        <v>9301</v>
      </c>
      <c r="K3314" s="2" t="s">
        <v>376</v>
      </c>
      <c r="L3314" s="2" t="s">
        <v>391</v>
      </c>
      <c r="M3314" s="2" t="s">
        <v>26</v>
      </c>
      <c r="N3314" s="29"/>
      <c r="O3314" s="29"/>
      <c r="P3314" s="5" t="str">
        <f>IFERROR(__xludf.DUMMYFUNCTION("TEXTJOIN("" | "",TRUE,IF(OR(D3314="""",E3314="""",I3314="""",J3314="""",H3314=""""),""ফাঁকা ঘর"",""""),IF(AND(C3314&lt;&gt;"""",D3314&lt;&gt;"""",C3314=D3314),""gloss=figurative"",""""),IF(LEN(D3314)&lt;15,""figurative ছোট"",""""),IF(AND(I3314=""Positive"",REGEXMATCH(H3"&amp;"314,""মূর্খ|ভণ্ড|প্রতার|অলস|লোভ|স্বার্থ|অক্ষম|অযোগ্য|বোকা|কৃপণ|হিংস"")),""valence-target অমিল"",""""),IF(COUNTIF($B:$B,B3314)&gt;1,""ডুপ্লিকেট"",""""))"),"")</f>
        <v/>
      </c>
      <c r="Q3314" s="5" t="str">
        <f t="shared" si="1"/>
        <v>২ পরে</v>
      </c>
    </row>
    <row r="3315">
      <c r="A3315" s="4">
        <v>1125.0</v>
      </c>
      <c r="B3315" s="2" t="s">
        <v>13224</v>
      </c>
      <c r="C3315" s="2" t="s">
        <v>13225</v>
      </c>
      <c r="D3315" s="2" t="s">
        <v>13226</v>
      </c>
      <c r="E3315" s="2" t="s">
        <v>13227</v>
      </c>
      <c r="F3315" s="2" t="b">
        <v>1</v>
      </c>
      <c r="G3315" s="2" t="b">
        <v>1</v>
      </c>
      <c r="H3315" s="2" t="s">
        <v>1982</v>
      </c>
      <c r="I3315" s="2" t="s">
        <v>32</v>
      </c>
      <c r="J3315" s="2" t="s">
        <v>162</v>
      </c>
      <c r="K3315" s="2" t="s">
        <v>376</v>
      </c>
      <c r="L3315" s="2" t="s">
        <v>391</v>
      </c>
      <c r="M3315" s="2" t="s">
        <v>26</v>
      </c>
      <c r="N3315" s="29"/>
      <c r="O3315" s="29"/>
      <c r="P3315" s="5" t="str">
        <f>IFERROR(__xludf.DUMMYFUNCTION("TEXTJOIN("" | "",TRUE,IF(OR(D3315="""",E3315="""",I3315="""",J3315="""",H3315=""""),""ফাঁকা ঘর"",""""),IF(AND(C3315&lt;&gt;"""",D3315&lt;&gt;"""",C3315=D3315),""gloss=figurative"",""""),IF(LEN(D3315)&lt;15,""figurative ছোট"",""""),IF(AND(I3315=""Positive"",REGEXMATCH(H3"&amp;"315,""মূর্খ|ভণ্ড|প্রতার|অলস|লোভ|স্বার্থ|অক্ষম|অযোগ্য|বোকা|কৃপণ|হিংস"")),""valence-target অমিল"",""""),IF(COUNTIF($B:$B,B3315)&gt;1,""ডুপ্লিকেট"",""""))"),"")</f>
        <v/>
      </c>
      <c r="Q3315" s="5" t="str">
        <f t="shared" si="1"/>
        <v>২ পরে</v>
      </c>
    </row>
    <row r="3316">
      <c r="A3316" s="4">
        <v>1126.0</v>
      </c>
      <c r="B3316" s="2" t="s">
        <v>13228</v>
      </c>
      <c r="C3316" s="2" t="s">
        <v>9090</v>
      </c>
      <c r="D3316" s="2" t="s">
        <v>13229</v>
      </c>
      <c r="E3316" s="2" t="s">
        <v>13230</v>
      </c>
      <c r="F3316" s="2" t="b">
        <v>1</v>
      </c>
      <c r="G3316" s="2" t="b">
        <v>0</v>
      </c>
      <c r="H3316" s="2" t="s">
        <v>37</v>
      </c>
      <c r="I3316" s="2" t="s">
        <v>32</v>
      </c>
      <c r="J3316" s="2" t="s">
        <v>162</v>
      </c>
      <c r="K3316" s="2" t="s">
        <v>376</v>
      </c>
      <c r="L3316" s="2" t="s">
        <v>391</v>
      </c>
      <c r="M3316" s="2" t="s">
        <v>26</v>
      </c>
      <c r="N3316" s="29"/>
      <c r="O3316" s="29"/>
      <c r="P3316" s="5" t="str">
        <f>IFERROR(__xludf.DUMMYFUNCTION("TEXTJOIN("" | "",TRUE,IF(OR(D3316="""",E3316="""",I3316="""",J3316="""",H3316=""""),""ফাঁকা ঘর"",""""),IF(AND(C3316&lt;&gt;"""",D3316&lt;&gt;"""",C3316=D3316),""gloss=figurative"",""""),IF(LEN(D3316)&lt;15,""figurative ছোট"",""""),IF(AND(I3316=""Positive"",REGEXMATCH(H3"&amp;"316,""মূর্খ|ভণ্ড|প্রতার|অলস|লোভ|স্বার্থ|অক্ষম|অযোগ্য|বোকা|কৃপণ|হিংস"")),""valence-target অমিল"",""""),IF(COUNTIF($B:$B,B3316)&gt;1,""ডুপ্লিকেট"",""""))"),"")</f>
        <v/>
      </c>
      <c r="Q3316" s="5" t="str">
        <f t="shared" si="1"/>
        <v>২ পরে</v>
      </c>
    </row>
    <row r="3317">
      <c r="A3317" s="4">
        <v>1127.0</v>
      </c>
      <c r="B3317" s="2" t="s">
        <v>13231</v>
      </c>
      <c r="C3317" s="2" t="s">
        <v>13232</v>
      </c>
      <c r="D3317" s="2" t="s">
        <v>13233</v>
      </c>
      <c r="E3317" s="2" t="s">
        <v>13234</v>
      </c>
      <c r="F3317" s="2" t="b">
        <v>1</v>
      </c>
      <c r="G3317" s="2" t="b">
        <v>0</v>
      </c>
      <c r="H3317" s="2" t="s">
        <v>9486</v>
      </c>
      <c r="I3317" s="2" t="s">
        <v>32</v>
      </c>
      <c r="J3317" s="2" t="s">
        <v>162</v>
      </c>
      <c r="K3317" s="2" t="s">
        <v>376</v>
      </c>
      <c r="L3317" s="2" t="s">
        <v>391</v>
      </c>
      <c r="M3317" s="2" t="s">
        <v>26</v>
      </c>
      <c r="N3317" s="29"/>
      <c r="O3317" s="29"/>
      <c r="P3317" s="5" t="str">
        <f>IFERROR(__xludf.DUMMYFUNCTION("TEXTJOIN("" | "",TRUE,IF(OR(D3317="""",E3317="""",I3317="""",J3317="""",H3317=""""),""ফাঁকা ঘর"",""""),IF(AND(C3317&lt;&gt;"""",D3317&lt;&gt;"""",C3317=D3317),""gloss=figurative"",""""),IF(LEN(D3317)&lt;15,""figurative ছোট"",""""),IF(AND(I3317=""Positive"",REGEXMATCH(H3"&amp;"317,""মূর্খ|ভণ্ড|প্রতার|অলস|লোভ|স্বার্থ|অক্ষম|অযোগ্য|বোকা|কৃপণ|হিংস"")),""valence-target অমিল"",""""),IF(COUNTIF($B:$B,B3317)&gt;1,""ডুপ্লিকেট"",""""))"),"")</f>
        <v/>
      </c>
      <c r="Q3317" s="5" t="str">
        <f t="shared" si="1"/>
        <v>২ পরে</v>
      </c>
    </row>
    <row r="3318">
      <c r="A3318" s="4">
        <v>1128.0</v>
      </c>
      <c r="B3318" s="2" t="s">
        <v>13235</v>
      </c>
      <c r="C3318" s="2" t="s">
        <v>13236</v>
      </c>
      <c r="D3318" s="2" t="s">
        <v>13237</v>
      </c>
      <c r="E3318" s="2" t="s">
        <v>13238</v>
      </c>
      <c r="F3318" s="2" t="b">
        <v>1</v>
      </c>
      <c r="G3318" s="2" t="b">
        <v>0</v>
      </c>
      <c r="H3318" s="2" t="s">
        <v>37</v>
      </c>
      <c r="I3318" s="2" t="s">
        <v>32</v>
      </c>
      <c r="J3318" s="2" t="s">
        <v>162</v>
      </c>
      <c r="K3318" s="2" t="s">
        <v>376</v>
      </c>
      <c r="L3318" s="2" t="s">
        <v>391</v>
      </c>
      <c r="M3318" s="2" t="s">
        <v>26</v>
      </c>
      <c r="N3318" s="29"/>
      <c r="O3318" s="29"/>
      <c r="P3318" s="5" t="str">
        <f>IFERROR(__xludf.DUMMYFUNCTION("TEXTJOIN("" | "",TRUE,IF(OR(D3318="""",E3318="""",I3318="""",J3318="""",H3318=""""),""ফাঁকা ঘর"",""""),IF(AND(C3318&lt;&gt;"""",D3318&lt;&gt;"""",C3318=D3318),""gloss=figurative"",""""),IF(LEN(D3318)&lt;15,""figurative ছোট"",""""),IF(AND(I3318=""Positive"",REGEXMATCH(H3"&amp;"318,""মূর্খ|ভণ্ড|প্রতার|অলস|লোভ|স্বার্থ|অক্ষম|অযোগ্য|বোকা|কৃপণ|হিংস"")),""valence-target অমিল"",""""),IF(COUNTIF($B:$B,B3318)&gt;1,""ডুপ্লিকেট"",""""))"),"")</f>
        <v/>
      </c>
      <c r="Q3318" s="5" t="str">
        <f t="shared" si="1"/>
        <v>২ পরে</v>
      </c>
    </row>
    <row r="3319">
      <c r="A3319" s="4">
        <v>1129.0</v>
      </c>
      <c r="B3319" s="2" t="s">
        <v>13239</v>
      </c>
      <c r="C3319" s="2" t="s">
        <v>13240</v>
      </c>
      <c r="D3319" s="2" t="s">
        <v>13241</v>
      </c>
      <c r="E3319" s="2" t="s">
        <v>13242</v>
      </c>
      <c r="F3319" s="2" t="b">
        <v>1</v>
      </c>
      <c r="G3319" s="2" t="b">
        <v>0</v>
      </c>
      <c r="H3319" s="2" t="s">
        <v>37</v>
      </c>
      <c r="I3319" s="2" t="s">
        <v>32</v>
      </c>
      <c r="J3319" s="2" t="s">
        <v>590</v>
      </c>
      <c r="K3319" s="2" t="s">
        <v>376</v>
      </c>
      <c r="L3319" s="2" t="s">
        <v>391</v>
      </c>
      <c r="M3319" s="2" t="s">
        <v>26</v>
      </c>
      <c r="N3319" s="29"/>
      <c r="O3319" s="29"/>
      <c r="P3319" s="5" t="str">
        <f>IFERROR(__xludf.DUMMYFUNCTION("TEXTJOIN("" | "",TRUE,IF(OR(D3319="""",E3319="""",I3319="""",J3319="""",H3319=""""),""ফাঁকা ঘর"",""""),IF(AND(C3319&lt;&gt;"""",D3319&lt;&gt;"""",C3319=D3319),""gloss=figurative"",""""),IF(LEN(D3319)&lt;15,""figurative ছোট"",""""),IF(AND(I3319=""Positive"",REGEXMATCH(H3"&amp;"319,""মূর্খ|ভণ্ড|প্রতার|অলস|লোভ|স্বার্থ|অক্ষম|অযোগ্য|বোকা|কৃপণ|হিংস"")),""valence-target অমিল"",""""),IF(COUNTIF($B:$B,B3319)&gt;1,""ডুপ্লিকেট"",""""))"),"")</f>
        <v/>
      </c>
      <c r="Q3319" s="5" t="str">
        <f t="shared" si="1"/>
        <v>২ পরে</v>
      </c>
    </row>
    <row r="3320">
      <c r="A3320" s="4">
        <v>1130.0</v>
      </c>
      <c r="B3320" s="2" t="s">
        <v>13243</v>
      </c>
      <c r="C3320" s="2" t="s">
        <v>13244</v>
      </c>
      <c r="D3320" s="2" t="s">
        <v>13245</v>
      </c>
      <c r="E3320" s="2" t="s">
        <v>13246</v>
      </c>
      <c r="F3320" s="2" t="b">
        <v>1</v>
      </c>
      <c r="G3320" s="2" t="b">
        <v>0</v>
      </c>
      <c r="H3320" s="2" t="s">
        <v>5571</v>
      </c>
      <c r="I3320" s="2" t="s">
        <v>22</v>
      </c>
      <c r="J3320" s="2" t="s">
        <v>59</v>
      </c>
      <c r="K3320" s="2" t="s">
        <v>376</v>
      </c>
      <c r="L3320" s="2" t="s">
        <v>391</v>
      </c>
      <c r="M3320" s="2" t="s">
        <v>26</v>
      </c>
      <c r="N3320" s="29"/>
      <c r="O3320" s="29"/>
      <c r="P3320" s="5" t="str">
        <f>IFERROR(__xludf.DUMMYFUNCTION("TEXTJOIN("" | "",TRUE,IF(OR(D3320="""",E3320="""",I3320="""",J3320="""",H3320=""""),""ফাঁকা ঘর"",""""),IF(AND(C3320&lt;&gt;"""",D3320&lt;&gt;"""",C3320=D3320),""gloss=figurative"",""""),IF(LEN(D3320)&lt;15,""figurative ছোট"",""""),IF(AND(I3320=""Positive"",REGEXMATCH(H3"&amp;"320,""মূর্খ|ভণ্ড|প্রতার|অলস|লোভ|স্বার্থ|অক্ষম|অযোগ্য|বোকা|কৃপণ|হিংস"")),""valence-target অমিল"",""""),IF(COUNTIF($B:$B,B3320)&gt;1,""ডুপ্লিকেট"",""""))"),"")</f>
        <v/>
      </c>
      <c r="Q3320" s="5" t="str">
        <f t="shared" si="1"/>
        <v>২ পরে</v>
      </c>
    </row>
    <row r="3321">
      <c r="A3321" s="4">
        <v>1131.0</v>
      </c>
      <c r="B3321" s="2" t="s">
        <v>13247</v>
      </c>
      <c r="C3321" s="2" t="s">
        <v>13248</v>
      </c>
      <c r="D3321" s="2" t="s">
        <v>13249</v>
      </c>
      <c r="E3321" s="2" t="s">
        <v>13250</v>
      </c>
      <c r="F3321" s="2" t="b">
        <v>1</v>
      </c>
      <c r="G3321" s="2" t="b">
        <v>0</v>
      </c>
      <c r="H3321" s="2" t="s">
        <v>104</v>
      </c>
      <c r="I3321" s="2" t="s">
        <v>22</v>
      </c>
      <c r="J3321" s="2" t="s">
        <v>59</v>
      </c>
      <c r="K3321" s="2" t="s">
        <v>376</v>
      </c>
      <c r="L3321" s="2" t="s">
        <v>391</v>
      </c>
      <c r="M3321" s="2" t="s">
        <v>26</v>
      </c>
      <c r="N3321" s="29"/>
      <c r="O3321" s="29"/>
      <c r="P3321" s="5" t="str">
        <f>IFERROR(__xludf.DUMMYFUNCTION("TEXTJOIN("" | "",TRUE,IF(OR(D3321="""",E3321="""",I3321="""",J3321="""",H3321=""""),""ফাঁকা ঘর"",""""),IF(AND(C3321&lt;&gt;"""",D3321&lt;&gt;"""",C3321=D3321),""gloss=figurative"",""""),IF(LEN(D3321)&lt;15,""figurative ছোট"",""""),IF(AND(I3321=""Positive"",REGEXMATCH(H3"&amp;"321,""মূর্খ|ভণ্ড|প্রতার|অলস|লোভ|স্বার্থ|অক্ষম|অযোগ্য|বোকা|কৃপণ|হিংস"")),""valence-target অমিল"",""""),IF(COUNTIF($B:$B,B3321)&gt;1,""ডুপ্লিকেট"",""""))"),"")</f>
        <v/>
      </c>
      <c r="Q3321" s="5" t="str">
        <f t="shared" si="1"/>
        <v>২ পরে</v>
      </c>
    </row>
    <row r="3322">
      <c r="A3322" s="4">
        <v>1132.0</v>
      </c>
      <c r="B3322" s="2" t="s">
        <v>13251</v>
      </c>
      <c r="C3322" s="2" t="s">
        <v>13252</v>
      </c>
      <c r="D3322" s="2" t="s">
        <v>13253</v>
      </c>
      <c r="E3322" s="2" t="s">
        <v>13254</v>
      </c>
      <c r="F3322" s="2" t="b">
        <v>1</v>
      </c>
      <c r="G3322" s="2" t="b">
        <v>0</v>
      </c>
      <c r="H3322" s="2" t="s">
        <v>37</v>
      </c>
      <c r="I3322" s="2" t="s">
        <v>32</v>
      </c>
      <c r="J3322" s="2" t="s">
        <v>436</v>
      </c>
      <c r="K3322" s="2" t="s">
        <v>376</v>
      </c>
      <c r="L3322" s="2" t="s">
        <v>391</v>
      </c>
      <c r="M3322" s="2" t="s">
        <v>26</v>
      </c>
      <c r="N3322" s="29"/>
      <c r="O3322" s="29"/>
      <c r="P3322" s="5" t="str">
        <f>IFERROR(__xludf.DUMMYFUNCTION("TEXTJOIN("" | "",TRUE,IF(OR(D3322="""",E3322="""",I3322="""",J3322="""",H3322=""""),""ফাঁকা ঘর"",""""),IF(AND(C3322&lt;&gt;"""",D3322&lt;&gt;"""",C3322=D3322),""gloss=figurative"",""""),IF(LEN(D3322)&lt;15,""figurative ছোট"",""""),IF(AND(I3322=""Positive"",REGEXMATCH(H3"&amp;"322,""মূর্খ|ভণ্ড|প্রতার|অলস|লোভ|স্বার্থ|অক্ষম|অযোগ্য|বোকা|কৃপণ|হিংস"")),""valence-target অমিল"",""""),IF(COUNTIF($B:$B,B3322)&gt;1,""ডুপ্লিকেট"",""""))"),"")</f>
        <v/>
      </c>
      <c r="Q3322" s="5" t="str">
        <f t="shared" si="1"/>
        <v>২ পরে</v>
      </c>
    </row>
    <row r="3323">
      <c r="A3323" s="4">
        <v>1133.0</v>
      </c>
      <c r="B3323" s="2" t="s">
        <v>13255</v>
      </c>
      <c r="C3323" s="2" t="s">
        <v>13256</v>
      </c>
      <c r="D3323" s="2" t="s">
        <v>13257</v>
      </c>
      <c r="E3323" s="2" t="s">
        <v>13258</v>
      </c>
      <c r="F3323" s="2" t="b">
        <v>1</v>
      </c>
      <c r="G3323" s="2" t="b">
        <v>0</v>
      </c>
      <c r="H3323" s="2" t="s">
        <v>9135</v>
      </c>
      <c r="I3323" s="2" t="s">
        <v>22</v>
      </c>
      <c r="J3323" s="2" t="s">
        <v>9389</v>
      </c>
      <c r="K3323" s="2" t="s">
        <v>376</v>
      </c>
      <c r="L3323" s="2" t="s">
        <v>391</v>
      </c>
      <c r="M3323" s="2" t="s">
        <v>26</v>
      </c>
      <c r="N3323" s="29"/>
      <c r="O3323" s="29"/>
      <c r="P3323" s="5" t="str">
        <f>IFERROR(__xludf.DUMMYFUNCTION("TEXTJOIN("" | "",TRUE,IF(OR(D3323="""",E3323="""",I3323="""",J3323="""",H3323=""""),""ফাঁকা ঘর"",""""),IF(AND(C3323&lt;&gt;"""",D3323&lt;&gt;"""",C3323=D3323),""gloss=figurative"",""""),IF(LEN(D3323)&lt;15,""figurative ছোট"",""""),IF(AND(I3323=""Positive"",REGEXMATCH(H3"&amp;"323,""মূর্খ|ভণ্ড|প্রতার|অলস|লোভ|স্বার্থ|অক্ষম|অযোগ্য|বোকা|কৃপণ|হিংস"")),""valence-target অমিল"",""""),IF(COUNTIF($B:$B,B3323)&gt;1,""ডুপ্লিকেট"",""""))"),"")</f>
        <v/>
      </c>
      <c r="Q3323" s="5" t="str">
        <f t="shared" si="1"/>
        <v>২ পরে</v>
      </c>
    </row>
    <row r="3324">
      <c r="A3324" s="4">
        <v>1134.0</v>
      </c>
      <c r="B3324" s="2" t="s">
        <v>13259</v>
      </c>
      <c r="C3324" s="2" t="s">
        <v>13260</v>
      </c>
      <c r="D3324" s="2" t="s">
        <v>13261</v>
      </c>
      <c r="E3324" s="2" t="s">
        <v>13262</v>
      </c>
      <c r="F3324" s="2" t="b">
        <v>1</v>
      </c>
      <c r="G3324" s="2" t="b">
        <v>0</v>
      </c>
      <c r="H3324" s="2" t="s">
        <v>37</v>
      </c>
      <c r="I3324" s="2" t="s">
        <v>32</v>
      </c>
      <c r="J3324" s="2" t="s">
        <v>436</v>
      </c>
      <c r="K3324" s="2" t="s">
        <v>376</v>
      </c>
      <c r="L3324" s="2" t="s">
        <v>391</v>
      </c>
      <c r="M3324" s="2" t="s">
        <v>26</v>
      </c>
      <c r="N3324" s="29"/>
      <c r="O3324" s="29"/>
      <c r="P3324" s="5" t="str">
        <f>IFERROR(__xludf.DUMMYFUNCTION("TEXTJOIN("" | "",TRUE,IF(OR(D3324="""",E3324="""",I3324="""",J3324="""",H3324=""""),""ফাঁকা ঘর"",""""),IF(AND(C3324&lt;&gt;"""",D3324&lt;&gt;"""",C3324=D3324),""gloss=figurative"",""""),IF(LEN(D3324)&lt;15,""figurative ছোট"",""""),IF(AND(I3324=""Positive"",REGEXMATCH(H3"&amp;"324,""মূর্খ|ভণ্ড|প্রতার|অলস|লোভ|স্বার্থ|অক্ষম|অযোগ্য|বোকা|কৃপণ|হিংস"")),""valence-target অমিল"",""""),IF(COUNTIF($B:$B,B3324)&gt;1,""ডুপ্লিকেট"",""""))"),"")</f>
        <v/>
      </c>
      <c r="Q3324" s="5" t="str">
        <f t="shared" si="1"/>
        <v>২ পরে</v>
      </c>
    </row>
    <row r="3325">
      <c r="A3325" s="4">
        <v>1135.0</v>
      </c>
      <c r="B3325" s="2" t="s">
        <v>13263</v>
      </c>
      <c r="C3325" s="2" t="s">
        <v>13264</v>
      </c>
      <c r="D3325" s="2" t="s">
        <v>13265</v>
      </c>
      <c r="E3325" s="2" t="s">
        <v>13266</v>
      </c>
      <c r="F3325" s="2" t="b">
        <v>1</v>
      </c>
      <c r="G3325" s="2" t="b">
        <v>0</v>
      </c>
      <c r="H3325" s="2" t="s">
        <v>9380</v>
      </c>
      <c r="I3325" s="2" t="s">
        <v>22</v>
      </c>
      <c r="J3325" s="2" t="s">
        <v>59</v>
      </c>
      <c r="K3325" s="2" t="s">
        <v>376</v>
      </c>
      <c r="L3325" s="2" t="s">
        <v>391</v>
      </c>
      <c r="M3325" s="2" t="s">
        <v>26</v>
      </c>
      <c r="N3325" s="29"/>
      <c r="O3325" s="29"/>
      <c r="P3325" s="5" t="str">
        <f>IFERROR(__xludf.DUMMYFUNCTION("TEXTJOIN("" | "",TRUE,IF(OR(D3325="""",E3325="""",I3325="""",J3325="""",H3325=""""),""ফাঁকা ঘর"",""""),IF(AND(C3325&lt;&gt;"""",D3325&lt;&gt;"""",C3325=D3325),""gloss=figurative"",""""),IF(LEN(D3325)&lt;15,""figurative ছোট"",""""),IF(AND(I3325=""Positive"",REGEXMATCH(H3"&amp;"325,""মূর্খ|ভণ্ড|প্রতার|অলস|লোভ|স্বার্থ|অক্ষম|অযোগ্য|বোকা|কৃপণ|হিংস"")),""valence-target অমিল"",""""),IF(COUNTIF($B:$B,B3325)&gt;1,""ডুপ্লিকেট"",""""))"),"")</f>
        <v/>
      </c>
      <c r="Q3325" s="5" t="str">
        <f t="shared" si="1"/>
        <v>২ পরে</v>
      </c>
    </row>
    <row r="3326">
      <c r="A3326" s="4">
        <v>1136.0</v>
      </c>
      <c r="B3326" s="2" t="s">
        <v>13267</v>
      </c>
      <c r="C3326" s="2" t="s">
        <v>13268</v>
      </c>
      <c r="D3326" s="2" t="s">
        <v>13269</v>
      </c>
      <c r="E3326" s="2" t="s">
        <v>13270</v>
      </c>
      <c r="F3326" s="2" t="b">
        <v>1</v>
      </c>
      <c r="G3326" s="2" t="b">
        <v>0</v>
      </c>
      <c r="H3326" s="2" t="s">
        <v>37</v>
      </c>
      <c r="I3326" s="2" t="s">
        <v>32</v>
      </c>
      <c r="J3326" s="2" t="s">
        <v>286</v>
      </c>
      <c r="K3326" s="2" t="s">
        <v>376</v>
      </c>
      <c r="L3326" s="2" t="s">
        <v>391</v>
      </c>
      <c r="M3326" s="2" t="s">
        <v>26</v>
      </c>
      <c r="N3326" s="29"/>
      <c r="O3326" s="29"/>
      <c r="P3326" s="5" t="str">
        <f>IFERROR(__xludf.DUMMYFUNCTION("TEXTJOIN("" | "",TRUE,IF(OR(D3326="""",E3326="""",I3326="""",J3326="""",H3326=""""),""ফাঁকা ঘর"",""""),IF(AND(C3326&lt;&gt;"""",D3326&lt;&gt;"""",C3326=D3326),""gloss=figurative"",""""),IF(LEN(D3326)&lt;15,""figurative ছোট"",""""),IF(AND(I3326=""Positive"",REGEXMATCH(H3"&amp;"326,""মূর্খ|ভণ্ড|প্রতার|অলস|লোভ|স্বার্থ|অক্ষম|অযোগ্য|বোকা|কৃপণ|হিংস"")),""valence-target অমিল"",""""),IF(COUNTIF($B:$B,B3326)&gt;1,""ডুপ্লিকেট"",""""))"),"")</f>
        <v/>
      </c>
      <c r="Q3326" s="5" t="str">
        <f t="shared" si="1"/>
        <v>২ পরে</v>
      </c>
    </row>
    <row r="3327">
      <c r="A3327" s="4">
        <v>1137.0</v>
      </c>
      <c r="B3327" s="2" t="s">
        <v>13271</v>
      </c>
      <c r="C3327" s="2" t="s">
        <v>13272</v>
      </c>
      <c r="D3327" s="2" t="s">
        <v>13273</v>
      </c>
      <c r="E3327" s="2" t="s">
        <v>13274</v>
      </c>
      <c r="F3327" s="2" t="b">
        <v>1</v>
      </c>
      <c r="G3327" s="2" t="b">
        <v>0</v>
      </c>
      <c r="H3327" s="2" t="s">
        <v>37</v>
      </c>
      <c r="I3327" s="2" t="s">
        <v>22</v>
      </c>
      <c r="J3327" s="2" t="s">
        <v>169</v>
      </c>
      <c r="K3327" s="2" t="s">
        <v>376</v>
      </c>
      <c r="L3327" s="2" t="s">
        <v>391</v>
      </c>
      <c r="M3327" s="2" t="s">
        <v>26</v>
      </c>
      <c r="N3327" s="29"/>
      <c r="O3327" s="29"/>
      <c r="P3327" s="5" t="str">
        <f>IFERROR(__xludf.DUMMYFUNCTION("TEXTJOIN("" | "",TRUE,IF(OR(D3327="""",E3327="""",I3327="""",J3327="""",H3327=""""),""ফাঁকা ঘর"",""""),IF(AND(C3327&lt;&gt;"""",D3327&lt;&gt;"""",C3327=D3327),""gloss=figurative"",""""),IF(LEN(D3327)&lt;15,""figurative ছোট"",""""),IF(AND(I3327=""Positive"",REGEXMATCH(H3"&amp;"327,""মূর্খ|ভণ্ড|প্রতার|অলস|লোভ|স্বার্থ|অক্ষম|অযোগ্য|বোকা|কৃপণ|হিংস"")),""valence-target অমিল"",""""),IF(COUNTIF($B:$B,B3327)&gt;1,""ডুপ্লিকেট"",""""))"),"")</f>
        <v/>
      </c>
      <c r="Q3327" s="5" t="str">
        <f t="shared" si="1"/>
        <v>২ পরে</v>
      </c>
    </row>
    <row r="3328">
      <c r="A3328" s="4">
        <v>1138.0</v>
      </c>
      <c r="B3328" s="2" t="s">
        <v>13275</v>
      </c>
      <c r="C3328" s="2" t="s">
        <v>13276</v>
      </c>
      <c r="D3328" s="2" t="s">
        <v>13277</v>
      </c>
      <c r="E3328" s="2" t="s">
        <v>13278</v>
      </c>
      <c r="F3328" s="2" t="b">
        <v>1</v>
      </c>
      <c r="G3328" s="2" t="b">
        <v>0</v>
      </c>
      <c r="H3328" s="2" t="s">
        <v>12134</v>
      </c>
      <c r="I3328" s="2" t="s">
        <v>32</v>
      </c>
      <c r="J3328" s="2" t="s">
        <v>1934</v>
      </c>
      <c r="K3328" s="2" t="s">
        <v>376</v>
      </c>
      <c r="L3328" s="2" t="s">
        <v>391</v>
      </c>
      <c r="M3328" s="2" t="s">
        <v>26</v>
      </c>
      <c r="N3328" s="29"/>
      <c r="O3328" s="29"/>
      <c r="P3328" s="5" t="str">
        <f>IFERROR(__xludf.DUMMYFUNCTION("TEXTJOIN("" | "",TRUE,IF(OR(D3328="""",E3328="""",I3328="""",J3328="""",H3328=""""),""ফাঁকা ঘর"",""""),IF(AND(C3328&lt;&gt;"""",D3328&lt;&gt;"""",C3328=D3328),""gloss=figurative"",""""),IF(LEN(D3328)&lt;15,""figurative ছোট"",""""),IF(AND(I3328=""Positive"",REGEXMATCH(H3"&amp;"328,""মূর্খ|ভণ্ড|প্রতার|অলস|লোভ|স্বার্থ|অক্ষম|অযোগ্য|বোকা|কৃপণ|হিংস"")),""valence-target অমিল"",""""),IF(COUNTIF($B:$B,B3328)&gt;1,""ডুপ্লিকেট"",""""))"),"")</f>
        <v/>
      </c>
      <c r="Q3328" s="5" t="str">
        <f t="shared" si="1"/>
        <v>২ পরে</v>
      </c>
    </row>
    <row r="3329">
      <c r="A3329" s="4">
        <v>1139.0</v>
      </c>
      <c r="B3329" s="2" t="s">
        <v>13279</v>
      </c>
      <c r="C3329" s="2" t="s">
        <v>13280</v>
      </c>
      <c r="D3329" s="2" t="s">
        <v>13281</v>
      </c>
      <c r="E3329" s="2" t="s">
        <v>13282</v>
      </c>
      <c r="F3329" s="2" t="b">
        <v>1</v>
      </c>
      <c r="G3329" s="2" t="b">
        <v>0</v>
      </c>
      <c r="H3329" s="2" t="s">
        <v>13283</v>
      </c>
      <c r="I3329" s="2" t="s">
        <v>49</v>
      </c>
      <c r="J3329" s="2" t="s">
        <v>1221</v>
      </c>
      <c r="K3329" s="2" t="s">
        <v>376</v>
      </c>
      <c r="L3329" s="2" t="s">
        <v>391</v>
      </c>
      <c r="M3329" s="2" t="s">
        <v>26</v>
      </c>
      <c r="N3329" s="29"/>
      <c r="O3329" s="29"/>
      <c r="P3329" s="5" t="str">
        <f>IFERROR(__xludf.DUMMYFUNCTION("TEXTJOIN("" | "",TRUE,IF(OR(D3329="""",E3329="""",I3329="""",J3329="""",H3329=""""),""ফাঁকা ঘর"",""""),IF(AND(C3329&lt;&gt;"""",D3329&lt;&gt;"""",C3329=D3329),""gloss=figurative"",""""),IF(LEN(D3329)&lt;15,""figurative ছোট"",""""),IF(AND(I3329=""Positive"",REGEXMATCH(H3"&amp;"329,""মূর্খ|ভণ্ড|প্রতার|অলস|লোভ|স্বার্থ|অক্ষম|অযোগ্য|বোকা|কৃপণ|হিংস"")),""valence-target অমিল"",""""),IF(COUNTIF($B:$B,B3329)&gt;1,""ডুপ্লিকেট"",""""))"),"")</f>
        <v/>
      </c>
      <c r="Q3329" s="5" t="str">
        <f t="shared" si="1"/>
        <v>২ পরে</v>
      </c>
    </row>
    <row r="3330">
      <c r="A3330" s="4">
        <v>1140.0</v>
      </c>
      <c r="B3330" s="2" t="s">
        <v>13284</v>
      </c>
      <c r="C3330" s="2" t="s">
        <v>13285</v>
      </c>
      <c r="D3330" s="2" t="s">
        <v>13286</v>
      </c>
      <c r="E3330" s="2" t="s">
        <v>13287</v>
      </c>
      <c r="F3330" s="2" t="b">
        <v>1</v>
      </c>
      <c r="G3330" s="2" t="b">
        <v>0</v>
      </c>
      <c r="H3330" s="2" t="s">
        <v>10217</v>
      </c>
      <c r="I3330" s="2" t="s">
        <v>49</v>
      </c>
      <c r="J3330" s="2" t="s">
        <v>1259</v>
      </c>
      <c r="K3330" s="2" t="s">
        <v>376</v>
      </c>
      <c r="L3330" s="2" t="s">
        <v>391</v>
      </c>
      <c r="M3330" s="2" t="s">
        <v>26</v>
      </c>
      <c r="N3330" s="29"/>
      <c r="O3330" s="29"/>
      <c r="P3330" s="5" t="str">
        <f>IFERROR(__xludf.DUMMYFUNCTION("TEXTJOIN("" | "",TRUE,IF(OR(D3330="""",E3330="""",I3330="""",J3330="""",H3330=""""),""ফাঁকা ঘর"",""""),IF(AND(C3330&lt;&gt;"""",D3330&lt;&gt;"""",C3330=D3330),""gloss=figurative"",""""),IF(LEN(D3330)&lt;15,""figurative ছোট"",""""),IF(AND(I3330=""Positive"",REGEXMATCH(H3"&amp;"330,""মূর্খ|ভণ্ড|প্রতার|অলস|লোভ|স্বার্থ|অক্ষম|অযোগ্য|বোকা|কৃপণ|হিংস"")),""valence-target অমিল"",""""),IF(COUNTIF($B:$B,B3330)&gt;1,""ডুপ্লিকেট"",""""))"),"")</f>
        <v/>
      </c>
      <c r="Q3330" s="5" t="str">
        <f t="shared" si="1"/>
        <v>২ পরে</v>
      </c>
    </row>
    <row r="3331">
      <c r="A3331" s="4">
        <v>1141.0</v>
      </c>
      <c r="B3331" s="2" t="s">
        <v>13288</v>
      </c>
      <c r="C3331" s="2" t="s">
        <v>13289</v>
      </c>
      <c r="D3331" s="2" t="s">
        <v>13290</v>
      </c>
      <c r="E3331" s="2" t="s">
        <v>13291</v>
      </c>
      <c r="F3331" s="2" t="b">
        <v>1</v>
      </c>
      <c r="G3331" s="2" t="b">
        <v>0</v>
      </c>
      <c r="H3331" s="2" t="s">
        <v>37</v>
      </c>
      <c r="I3331" s="2" t="s">
        <v>32</v>
      </c>
      <c r="J3331" s="2" t="s">
        <v>2732</v>
      </c>
      <c r="K3331" s="2" t="s">
        <v>376</v>
      </c>
      <c r="L3331" s="2" t="s">
        <v>391</v>
      </c>
      <c r="M3331" s="2" t="s">
        <v>26</v>
      </c>
      <c r="N3331" s="29"/>
      <c r="O3331" s="29"/>
      <c r="P3331" s="5" t="str">
        <f>IFERROR(__xludf.DUMMYFUNCTION("TEXTJOIN("" | "",TRUE,IF(OR(D3331="""",E3331="""",I3331="""",J3331="""",H3331=""""),""ফাঁকা ঘর"",""""),IF(AND(C3331&lt;&gt;"""",D3331&lt;&gt;"""",C3331=D3331),""gloss=figurative"",""""),IF(LEN(D3331)&lt;15,""figurative ছোট"",""""),IF(AND(I3331=""Positive"",REGEXMATCH(H3"&amp;"331,""মূর্খ|ভণ্ড|প্রতার|অলস|লোভ|স্বার্থ|অক্ষম|অযোগ্য|বোকা|কৃপণ|হিংস"")),""valence-target অমিল"",""""),IF(COUNTIF($B:$B,B3331)&gt;1,""ডুপ্লিকেট"",""""))"),"")</f>
        <v/>
      </c>
      <c r="Q3331" s="5" t="str">
        <f t="shared" si="1"/>
        <v>২ পরে</v>
      </c>
    </row>
    <row r="3332">
      <c r="A3332" s="4">
        <v>1142.0</v>
      </c>
      <c r="B3332" s="2" t="s">
        <v>13292</v>
      </c>
      <c r="C3332" s="2" t="s">
        <v>13293</v>
      </c>
      <c r="D3332" s="2" t="s">
        <v>373</v>
      </c>
      <c r="E3332" s="2" t="s">
        <v>374</v>
      </c>
      <c r="F3332" s="2" t="b">
        <v>1</v>
      </c>
      <c r="G3332" s="2" t="b">
        <v>0</v>
      </c>
      <c r="H3332" s="2" t="s">
        <v>13294</v>
      </c>
      <c r="I3332" s="2" t="s">
        <v>22</v>
      </c>
      <c r="J3332" s="2" t="s">
        <v>59</v>
      </c>
      <c r="K3332" s="2" t="s">
        <v>376</v>
      </c>
      <c r="L3332" s="2" t="s">
        <v>391</v>
      </c>
      <c r="M3332" s="2" t="s">
        <v>26</v>
      </c>
      <c r="N3332" s="29"/>
      <c r="O3332" s="29"/>
      <c r="P3332" s="5" t="str">
        <f>IFERROR(__xludf.DUMMYFUNCTION("TEXTJOIN("" | "",TRUE,IF(OR(D3332="""",E3332="""",I3332="""",J3332="""",H3332=""""),""ফাঁকা ঘর"",""""),IF(AND(C3332&lt;&gt;"""",D3332&lt;&gt;"""",C3332=D3332),""gloss=figurative"",""""),IF(LEN(D3332)&lt;15,""figurative ছোট"",""""),IF(AND(I3332=""Positive"",REGEXMATCH(H3"&amp;"332,""মূর্খ|ভণ্ড|প্রতার|অলস|লোভ|স্বার্থ|অক্ষম|অযোগ্য|বোকা|কৃপণ|হিংস"")),""valence-target অমিল"",""""),IF(COUNTIF($B:$B,B3332)&gt;1,""ডুপ্লিকেট"",""""))"),"")</f>
        <v/>
      </c>
      <c r="Q3332" s="5" t="str">
        <f t="shared" si="1"/>
        <v>২ পরে</v>
      </c>
    </row>
    <row r="3333">
      <c r="A3333" s="4">
        <v>1143.0</v>
      </c>
      <c r="B3333" s="2" t="s">
        <v>13295</v>
      </c>
      <c r="C3333" s="2" t="s">
        <v>13296</v>
      </c>
      <c r="D3333" s="2" t="s">
        <v>13139</v>
      </c>
      <c r="E3333" s="2" t="s">
        <v>13297</v>
      </c>
      <c r="F3333" s="2" t="b">
        <v>1</v>
      </c>
      <c r="G3333" s="2" t="b">
        <v>0</v>
      </c>
      <c r="H3333" s="2" t="s">
        <v>37</v>
      </c>
      <c r="I3333" s="2" t="s">
        <v>32</v>
      </c>
      <c r="J3333" s="2" t="s">
        <v>590</v>
      </c>
      <c r="K3333" s="2" t="s">
        <v>376</v>
      </c>
      <c r="L3333" s="2" t="s">
        <v>391</v>
      </c>
      <c r="M3333" s="2" t="s">
        <v>26</v>
      </c>
      <c r="N3333" s="29"/>
      <c r="O3333" s="29"/>
      <c r="P3333" s="5" t="str">
        <f>IFERROR(__xludf.DUMMYFUNCTION("TEXTJOIN("" | "",TRUE,IF(OR(D3333="""",E3333="""",I3333="""",J3333="""",H3333=""""),""ফাঁকা ঘর"",""""),IF(AND(C3333&lt;&gt;"""",D3333&lt;&gt;"""",C3333=D3333),""gloss=figurative"",""""),IF(LEN(D3333)&lt;15,""figurative ছোট"",""""),IF(AND(I3333=""Positive"",REGEXMATCH(H3"&amp;"333,""মূর্খ|ভণ্ড|প্রতার|অলস|লোভ|স্বার্থ|অক্ষম|অযোগ্য|বোকা|কৃপণ|হিংস"")),""valence-target অমিল"",""""),IF(COUNTIF($B:$B,B3333)&gt;1,""ডুপ্লিকেট"",""""))"),"")</f>
        <v/>
      </c>
      <c r="Q3333" s="5" t="str">
        <f t="shared" si="1"/>
        <v>২ পরে</v>
      </c>
    </row>
    <row r="3334">
      <c r="A3334" s="4">
        <v>1144.0</v>
      </c>
      <c r="B3334" s="2" t="s">
        <v>13298</v>
      </c>
      <c r="C3334" s="2" t="s">
        <v>13299</v>
      </c>
      <c r="D3334" s="2" t="s">
        <v>13300</v>
      </c>
      <c r="E3334" s="2" t="s">
        <v>13301</v>
      </c>
      <c r="F3334" s="2" t="b">
        <v>1</v>
      </c>
      <c r="G3334" s="2" t="b">
        <v>1</v>
      </c>
      <c r="H3334" s="2" t="s">
        <v>13302</v>
      </c>
      <c r="I3334" s="2" t="s">
        <v>49</v>
      </c>
      <c r="J3334" s="2" t="s">
        <v>1621</v>
      </c>
      <c r="K3334" s="2" t="s">
        <v>376</v>
      </c>
      <c r="L3334" s="2" t="s">
        <v>391</v>
      </c>
      <c r="M3334" s="2" t="s">
        <v>26</v>
      </c>
      <c r="N3334" s="29"/>
      <c r="O3334" s="29"/>
      <c r="P3334" s="5" t="str">
        <f>IFERROR(__xludf.DUMMYFUNCTION("TEXTJOIN("" | "",TRUE,IF(OR(D3334="""",E3334="""",I3334="""",J3334="""",H3334=""""),""ফাঁকা ঘর"",""""),IF(AND(C3334&lt;&gt;"""",D3334&lt;&gt;"""",C3334=D3334),""gloss=figurative"",""""),IF(LEN(D3334)&lt;15,""figurative ছোট"",""""),IF(AND(I3334=""Positive"",REGEXMATCH(H3"&amp;"334,""মূর্খ|ভণ্ড|প্রতার|অলস|লোভ|স্বার্থ|অক্ষম|অযোগ্য|বোকা|কৃপণ|হিংস"")),""valence-target অমিল"",""""),IF(COUNTIF($B:$B,B3334)&gt;1,""ডুপ্লিকেট"",""""))"),"")</f>
        <v/>
      </c>
      <c r="Q3334" s="5" t="str">
        <f t="shared" si="1"/>
        <v>২ পরে</v>
      </c>
    </row>
    <row r="3335">
      <c r="A3335" s="4">
        <v>1145.0</v>
      </c>
      <c r="B3335" s="2" t="s">
        <v>13303</v>
      </c>
      <c r="C3335" s="2" t="s">
        <v>13304</v>
      </c>
      <c r="D3335" s="2" t="s">
        <v>13305</v>
      </c>
      <c r="E3335" s="2" t="s">
        <v>13306</v>
      </c>
      <c r="F3335" s="2" t="b">
        <v>1</v>
      </c>
      <c r="G3335" s="2" t="b">
        <v>0</v>
      </c>
      <c r="H3335" s="2" t="s">
        <v>13307</v>
      </c>
      <c r="I3335" s="2" t="s">
        <v>32</v>
      </c>
      <c r="J3335" s="2" t="s">
        <v>1925</v>
      </c>
      <c r="K3335" s="2" t="s">
        <v>376</v>
      </c>
      <c r="L3335" s="2" t="s">
        <v>391</v>
      </c>
      <c r="M3335" s="2" t="s">
        <v>26</v>
      </c>
      <c r="N3335" s="29"/>
      <c r="O3335" s="29"/>
      <c r="P3335" s="5" t="str">
        <f>IFERROR(__xludf.DUMMYFUNCTION("TEXTJOIN("" | "",TRUE,IF(OR(D3335="""",E3335="""",I3335="""",J3335="""",H3335=""""),""ফাঁকা ঘর"",""""),IF(AND(C3335&lt;&gt;"""",D3335&lt;&gt;"""",C3335=D3335),""gloss=figurative"",""""),IF(LEN(D3335)&lt;15,""figurative ছোট"",""""),IF(AND(I3335=""Positive"",REGEXMATCH(H3"&amp;"335,""মূর্খ|ভণ্ড|প্রতার|অলস|লোভ|স্বার্থ|অক্ষম|অযোগ্য|বোকা|কৃপণ|হিংস"")),""valence-target অমিল"",""""),IF(COUNTIF($B:$B,B3335)&gt;1,""ডুপ্লিকেট"",""""))"),"")</f>
        <v/>
      </c>
      <c r="Q3335" s="5" t="str">
        <f t="shared" si="1"/>
        <v>২ পরে</v>
      </c>
    </row>
    <row r="3336">
      <c r="A3336" s="4">
        <v>1146.0</v>
      </c>
      <c r="B3336" s="2" t="s">
        <v>13308</v>
      </c>
      <c r="C3336" s="2" t="s">
        <v>13309</v>
      </c>
      <c r="D3336" s="2" t="s">
        <v>13310</v>
      </c>
      <c r="E3336" s="2" t="s">
        <v>13311</v>
      </c>
      <c r="F3336" s="2" t="b">
        <v>1</v>
      </c>
      <c r="G3336" s="2" t="b">
        <v>0</v>
      </c>
      <c r="H3336" s="2" t="s">
        <v>260</v>
      </c>
      <c r="I3336" s="2" t="s">
        <v>49</v>
      </c>
      <c r="J3336" s="2" t="s">
        <v>11358</v>
      </c>
      <c r="K3336" s="2" t="s">
        <v>376</v>
      </c>
      <c r="L3336" s="2" t="s">
        <v>391</v>
      </c>
      <c r="M3336" s="2" t="s">
        <v>26</v>
      </c>
      <c r="N3336" s="29"/>
      <c r="O3336" s="29"/>
      <c r="P3336" s="5" t="str">
        <f>IFERROR(__xludf.DUMMYFUNCTION("TEXTJOIN("" | "",TRUE,IF(OR(D3336="""",E3336="""",I3336="""",J3336="""",H3336=""""),""ফাঁকা ঘর"",""""),IF(AND(C3336&lt;&gt;"""",D3336&lt;&gt;"""",C3336=D3336),""gloss=figurative"",""""),IF(LEN(D3336)&lt;15,""figurative ছোট"",""""),IF(AND(I3336=""Positive"",REGEXMATCH(H3"&amp;"336,""মূর্খ|ভণ্ড|প্রতার|অলস|লোভ|স্বার্থ|অক্ষম|অযোগ্য|বোকা|কৃপণ|হিংস"")),""valence-target অমিল"",""""),IF(COUNTIF($B:$B,B3336)&gt;1,""ডুপ্লিকেট"",""""))"),"")</f>
        <v/>
      </c>
      <c r="Q3336" s="5" t="str">
        <f t="shared" si="1"/>
        <v>২ পরে</v>
      </c>
    </row>
    <row r="3337">
      <c r="A3337" s="4">
        <v>1147.0</v>
      </c>
      <c r="B3337" s="2" t="s">
        <v>13312</v>
      </c>
      <c r="C3337" s="2" t="s">
        <v>13313</v>
      </c>
      <c r="D3337" s="2" t="s">
        <v>13314</v>
      </c>
      <c r="E3337" s="2" t="s">
        <v>13315</v>
      </c>
      <c r="F3337" s="2" t="b">
        <v>1</v>
      </c>
      <c r="G3337" s="2" t="b">
        <v>0</v>
      </c>
      <c r="H3337" s="2" t="s">
        <v>13316</v>
      </c>
      <c r="I3337" s="2" t="s">
        <v>32</v>
      </c>
      <c r="J3337" s="2" t="s">
        <v>10356</v>
      </c>
      <c r="K3337" s="2" t="s">
        <v>376</v>
      </c>
      <c r="L3337" s="2" t="s">
        <v>391</v>
      </c>
      <c r="M3337" s="2" t="s">
        <v>26</v>
      </c>
      <c r="N3337" s="29"/>
      <c r="O3337" s="29"/>
      <c r="P3337" s="5" t="str">
        <f>IFERROR(__xludf.DUMMYFUNCTION("TEXTJOIN("" | "",TRUE,IF(OR(D3337="""",E3337="""",I3337="""",J3337="""",H3337=""""),""ফাঁকা ঘর"",""""),IF(AND(C3337&lt;&gt;"""",D3337&lt;&gt;"""",C3337=D3337),""gloss=figurative"",""""),IF(LEN(D3337)&lt;15,""figurative ছোট"",""""),IF(AND(I3337=""Positive"",REGEXMATCH(H3"&amp;"337,""মূর্খ|ভণ্ড|প্রতার|অলস|লোভ|স্বার্থ|অক্ষম|অযোগ্য|বোকা|কৃপণ|হিংস"")),""valence-target অমিল"",""""),IF(COUNTIF($B:$B,B3337)&gt;1,""ডুপ্লিকেট"",""""))"),"")</f>
        <v/>
      </c>
      <c r="Q3337" s="5" t="str">
        <f t="shared" si="1"/>
        <v>২ পরে</v>
      </c>
    </row>
    <row r="3338">
      <c r="A3338" s="4">
        <v>1148.0</v>
      </c>
      <c r="B3338" s="2" t="s">
        <v>13317</v>
      </c>
      <c r="C3338" s="2" t="s">
        <v>13318</v>
      </c>
      <c r="D3338" s="2" t="s">
        <v>13319</v>
      </c>
      <c r="E3338" s="2" t="s">
        <v>13320</v>
      </c>
      <c r="F3338" s="2" t="b">
        <v>1</v>
      </c>
      <c r="G3338" s="2" t="b">
        <v>0</v>
      </c>
      <c r="H3338" s="2" t="s">
        <v>356</v>
      </c>
      <c r="I3338" s="2" t="s">
        <v>22</v>
      </c>
      <c r="J3338" s="2" t="s">
        <v>59</v>
      </c>
      <c r="K3338" s="2" t="s">
        <v>376</v>
      </c>
      <c r="L3338" s="2" t="s">
        <v>391</v>
      </c>
      <c r="M3338" s="2" t="s">
        <v>26</v>
      </c>
      <c r="N3338" s="29"/>
      <c r="O3338" s="29"/>
      <c r="P3338" s="5" t="str">
        <f>IFERROR(__xludf.DUMMYFUNCTION("TEXTJOIN("" | "",TRUE,IF(OR(D3338="""",E3338="""",I3338="""",J3338="""",H3338=""""),""ফাঁকা ঘর"",""""),IF(AND(C3338&lt;&gt;"""",D3338&lt;&gt;"""",C3338=D3338),""gloss=figurative"",""""),IF(LEN(D3338)&lt;15,""figurative ছোট"",""""),IF(AND(I3338=""Positive"",REGEXMATCH(H3"&amp;"338,""মূর্খ|ভণ্ড|প্রতার|অলস|লোভ|স্বার্থ|অক্ষম|অযোগ্য|বোকা|কৃপণ|হিংস"")),""valence-target অমিল"",""""),IF(COUNTIF($B:$B,B3338)&gt;1,""ডুপ্লিকেট"",""""))"),"")</f>
        <v/>
      </c>
      <c r="Q3338" s="5" t="str">
        <f t="shared" si="1"/>
        <v>২ পরে</v>
      </c>
    </row>
    <row r="3339">
      <c r="A3339" s="4">
        <v>1149.0</v>
      </c>
      <c r="B3339" s="2" t="s">
        <v>13321</v>
      </c>
      <c r="C3339" s="2" t="s">
        <v>13322</v>
      </c>
      <c r="D3339" s="2" t="s">
        <v>13323</v>
      </c>
      <c r="E3339" s="2" t="s">
        <v>13324</v>
      </c>
      <c r="F3339" s="2" t="b">
        <v>1</v>
      </c>
      <c r="G3339" s="2" t="b">
        <v>0</v>
      </c>
      <c r="H3339" s="2" t="s">
        <v>189</v>
      </c>
      <c r="I3339" s="2" t="s">
        <v>22</v>
      </c>
      <c r="J3339" s="2" t="s">
        <v>59</v>
      </c>
      <c r="K3339" s="2" t="s">
        <v>376</v>
      </c>
      <c r="L3339" s="2" t="s">
        <v>391</v>
      </c>
      <c r="M3339" s="2" t="s">
        <v>26</v>
      </c>
      <c r="N3339" s="29"/>
      <c r="O3339" s="29"/>
      <c r="P3339" s="5" t="str">
        <f>IFERROR(__xludf.DUMMYFUNCTION("TEXTJOIN("" | "",TRUE,IF(OR(D3339="""",E3339="""",I3339="""",J3339="""",H3339=""""),""ফাঁকা ঘর"",""""),IF(AND(C3339&lt;&gt;"""",D3339&lt;&gt;"""",C3339=D3339),""gloss=figurative"",""""),IF(LEN(D3339)&lt;15,""figurative ছোট"",""""),IF(AND(I3339=""Positive"",REGEXMATCH(H3"&amp;"339,""মূর্খ|ভণ্ড|প্রতার|অলস|লোভ|স্বার্থ|অক্ষম|অযোগ্য|বোকা|কৃপণ|হিংস"")),""valence-target অমিল"",""""),IF(COUNTIF($B:$B,B3339)&gt;1,""ডুপ্লিকেট"",""""))"),"")</f>
        <v/>
      </c>
      <c r="Q3339" s="5" t="str">
        <f t="shared" si="1"/>
        <v>২ পরে</v>
      </c>
    </row>
    <row r="3340">
      <c r="A3340" s="4">
        <v>1150.0</v>
      </c>
      <c r="B3340" s="2" t="s">
        <v>13325</v>
      </c>
      <c r="C3340" s="2" t="s">
        <v>13326</v>
      </c>
      <c r="D3340" s="2" t="s">
        <v>13327</v>
      </c>
      <c r="E3340" s="2" t="s">
        <v>13328</v>
      </c>
      <c r="F3340" s="2" t="b">
        <v>1</v>
      </c>
      <c r="G3340" s="2" t="b">
        <v>0</v>
      </c>
      <c r="H3340" s="2" t="s">
        <v>10217</v>
      </c>
      <c r="I3340" s="2" t="s">
        <v>49</v>
      </c>
      <c r="J3340" s="2" t="s">
        <v>1259</v>
      </c>
      <c r="K3340" s="2" t="s">
        <v>376</v>
      </c>
      <c r="L3340" s="2" t="s">
        <v>391</v>
      </c>
      <c r="M3340" s="2" t="s">
        <v>26</v>
      </c>
      <c r="N3340" s="29"/>
      <c r="O3340" s="29"/>
      <c r="P3340" s="5" t="str">
        <f>IFERROR(__xludf.DUMMYFUNCTION("TEXTJOIN("" | "",TRUE,IF(OR(D3340="""",E3340="""",I3340="""",J3340="""",H3340=""""),""ফাঁকা ঘর"",""""),IF(AND(C3340&lt;&gt;"""",D3340&lt;&gt;"""",C3340=D3340),""gloss=figurative"",""""),IF(LEN(D3340)&lt;15,""figurative ছোট"",""""),IF(AND(I3340=""Positive"",REGEXMATCH(H3"&amp;"340,""মূর্খ|ভণ্ড|প্রতার|অলস|লোভ|স্বার্থ|অক্ষম|অযোগ্য|বোকা|কৃপণ|হিংস"")),""valence-target অমিল"",""""),IF(COUNTIF($B:$B,B3340)&gt;1,""ডুপ্লিকেট"",""""))"),"")</f>
        <v/>
      </c>
      <c r="Q3340" s="5" t="str">
        <f t="shared" si="1"/>
        <v>২ পরে</v>
      </c>
    </row>
    <row r="3341">
      <c r="A3341" s="4">
        <v>1151.0</v>
      </c>
      <c r="B3341" s="2" t="s">
        <v>13329</v>
      </c>
      <c r="C3341" s="2" t="s">
        <v>13330</v>
      </c>
      <c r="D3341" s="2" t="s">
        <v>13331</v>
      </c>
      <c r="E3341" s="2" t="s">
        <v>13332</v>
      </c>
      <c r="F3341" s="2" t="b">
        <v>1</v>
      </c>
      <c r="G3341" s="2" t="b">
        <v>0</v>
      </c>
      <c r="H3341" s="2" t="s">
        <v>37</v>
      </c>
      <c r="I3341" s="2" t="s">
        <v>32</v>
      </c>
      <c r="J3341" s="2" t="s">
        <v>162</v>
      </c>
      <c r="K3341" s="2" t="s">
        <v>376</v>
      </c>
      <c r="L3341" s="2" t="s">
        <v>391</v>
      </c>
      <c r="M3341" s="2" t="s">
        <v>26</v>
      </c>
      <c r="N3341" s="29"/>
      <c r="O3341" s="29"/>
      <c r="P3341" s="5" t="str">
        <f>IFERROR(__xludf.DUMMYFUNCTION("TEXTJOIN("" | "",TRUE,IF(OR(D3341="""",E3341="""",I3341="""",J3341="""",H3341=""""),""ফাঁকা ঘর"",""""),IF(AND(C3341&lt;&gt;"""",D3341&lt;&gt;"""",C3341=D3341),""gloss=figurative"",""""),IF(LEN(D3341)&lt;15,""figurative ছোট"",""""),IF(AND(I3341=""Positive"",REGEXMATCH(H3"&amp;"341,""মূর্খ|ভণ্ড|প্রতার|অলস|লোভ|স্বার্থ|অক্ষম|অযোগ্য|বোকা|কৃপণ|হিংস"")),""valence-target অমিল"",""""),IF(COUNTIF($B:$B,B3341)&gt;1,""ডুপ্লিকেট"",""""))"),"")</f>
        <v/>
      </c>
      <c r="Q3341" s="5" t="str">
        <f t="shared" si="1"/>
        <v>২ পরে</v>
      </c>
    </row>
    <row r="3342">
      <c r="A3342" s="4">
        <v>1152.0</v>
      </c>
      <c r="B3342" s="2" t="s">
        <v>13333</v>
      </c>
      <c r="C3342" s="2" t="s">
        <v>13334</v>
      </c>
      <c r="D3342" s="2" t="s">
        <v>13335</v>
      </c>
      <c r="E3342" s="2" t="s">
        <v>13336</v>
      </c>
      <c r="F3342" s="2" t="b">
        <v>1</v>
      </c>
      <c r="G3342" s="2" t="b">
        <v>0</v>
      </c>
      <c r="H3342" s="2" t="s">
        <v>37</v>
      </c>
      <c r="I3342" s="2" t="s">
        <v>32</v>
      </c>
      <c r="J3342" s="2" t="s">
        <v>646</v>
      </c>
      <c r="K3342" s="2" t="s">
        <v>376</v>
      </c>
      <c r="L3342" s="2" t="s">
        <v>391</v>
      </c>
      <c r="M3342" s="2" t="s">
        <v>26</v>
      </c>
      <c r="N3342" s="29"/>
      <c r="O3342" s="29"/>
      <c r="P3342" s="5" t="str">
        <f>IFERROR(__xludf.DUMMYFUNCTION("TEXTJOIN("" | "",TRUE,IF(OR(D3342="""",E3342="""",I3342="""",J3342="""",H3342=""""),""ফাঁকা ঘর"",""""),IF(AND(C3342&lt;&gt;"""",D3342&lt;&gt;"""",C3342=D3342),""gloss=figurative"",""""),IF(LEN(D3342)&lt;15,""figurative ছোট"",""""),IF(AND(I3342=""Positive"",REGEXMATCH(H3"&amp;"342,""মূর্খ|ভণ্ড|প্রতার|অলস|লোভ|স্বার্থ|অক্ষম|অযোগ্য|বোকা|কৃপণ|হিংস"")),""valence-target অমিল"",""""),IF(COUNTIF($B:$B,B3342)&gt;1,""ডুপ্লিকেট"",""""))"),"")</f>
        <v/>
      </c>
      <c r="Q3342" s="5" t="str">
        <f t="shared" si="1"/>
        <v>২ পরে</v>
      </c>
    </row>
    <row r="3343">
      <c r="A3343" s="4">
        <v>1153.0</v>
      </c>
      <c r="B3343" s="2" t="s">
        <v>13337</v>
      </c>
      <c r="C3343" s="2" t="s">
        <v>13338</v>
      </c>
      <c r="D3343" s="2" t="s">
        <v>13339</v>
      </c>
      <c r="E3343" s="2" t="s">
        <v>13340</v>
      </c>
      <c r="F3343" s="2" t="b">
        <v>1</v>
      </c>
      <c r="G3343" s="2" t="b">
        <v>0</v>
      </c>
      <c r="H3343" s="2" t="s">
        <v>189</v>
      </c>
      <c r="I3343" s="2" t="s">
        <v>22</v>
      </c>
      <c r="J3343" s="2" t="s">
        <v>59</v>
      </c>
      <c r="K3343" s="2" t="s">
        <v>376</v>
      </c>
      <c r="L3343" s="2" t="s">
        <v>391</v>
      </c>
      <c r="M3343" s="2" t="s">
        <v>26</v>
      </c>
      <c r="N3343" s="29"/>
      <c r="O3343" s="29"/>
      <c r="P3343" s="5" t="str">
        <f>IFERROR(__xludf.DUMMYFUNCTION("TEXTJOIN("" | "",TRUE,IF(OR(D3343="""",E3343="""",I3343="""",J3343="""",H3343=""""),""ফাঁকা ঘর"",""""),IF(AND(C3343&lt;&gt;"""",D3343&lt;&gt;"""",C3343=D3343),""gloss=figurative"",""""),IF(LEN(D3343)&lt;15,""figurative ছোট"",""""),IF(AND(I3343=""Positive"",REGEXMATCH(H3"&amp;"343,""মূর্খ|ভণ্ড|প্রতার|অলস|লোভ|স্বার্থ|অক্ষম|অযোগ্য|বোকা|কৃপণ|হিংস"")),""valence-target অমিল"",""""),IF(COUNTIF($B:$B,B3343)&gt;1,""ডুপ্লিকেট"",""""))"),"")</f>
        <v/>
      </c>
      <c r="Q3343" s="5" t="str">
        <f t="shared" si="1"/>
        <v>২ পরে</v>
      </c>
    </row>
    <row r="3344">
      <c r="A3344" s="4">
        <v>1154.0</v>
      </c>
      <c r="B3344" s="2" t="s">
        <v>13341</v>
      </c>
      <c r="C3344" s="2" t="s">
        <v>13342</v>
      </c>
      <c r="D3344" s="2" t="s">
        <v>13343</v>
      </c>
      <c r="E3344" s="2" t="s">
        <v>13344</v>
      </c>
      <c r="F3344" s="2" t="b">
        <v>1</v>
      </c>
      <c r="G3344" s="2" t="b">
        <v>0</v>
      </c>
      <c r="H3344" s="2" t="s">
        <v>356</v>
      </c>
      <c r="I3344" s="2" t="s">
        <v>22</v>
      </c>
      <c r="J3344" s="2" t="s">
        <v>59</v>
      </c>
      <c r="K3344" s="2" t="s">
        <v>376</v>
      </c>
      <c r="L3344" s="2" t="s">
        <v>391</v>
      </c>
      <c r="M3344" s="2" t="s">
        <v>26</v>
      </c>
      <c r="N3344" s="29"/>
      <c r="O3344" s="29"/>
      <c r="P3344" s="5" t="str">
        <f>IFERROR(__xludf.DUMMYFUNCTION("TEXTJOIN("" | "",TRUE,IF(OR(D3344="""",E3344="""",I3344="""",J3344="""",H3344=""""),""ফাঁকা ঘর"",""""),IF(AND(C3344&lt;&gt;"""",D3344&lt;&gt;"""",C3344=D3344),""gloss=figurative"",""""),IF(LEN(D3344)&lt;15,""figurative ছোট"",""""),IF(AND(I3344=""Positive"",REGEXMATCH(H3"&amp;"344,""মূর্খ|ভণ্ড|প্রতার|অলস|লোভ|স্বার্থ|অক্ষম|অযোগ্য|বোকা|কৃপণ|হিংস"")),""valence-target অমিল"",""""),IF(COUNTIF($B:$B,B3344)&gt;1,""ডুপ্লিকেট"",""""))"),"")</f>
        <v/>
      </c>
      <c r="Q3344" s="5" t="str">
        <f t="shared" si="1"/>
        <v>২ পরে</v>
      </c>
    </row>
    <row r="3345">
      <c r="A3345" s="4">
        <v>1155.0</v>
      </c>
      <c r="B3345" s="2" t="s">
        <v>13345</v>
      </c>
      <c r="C3345" s="2" t="s">
        <v>13346</v>
      </c>
      <c r="D3345" s="2" t="s">
        <v>13347</v>
      </c>
      <c r="E3345" s="2" t="s">
        <v>13348</v>
      </c>
      <c r="F3345" s="2" t="b">
        <v>1</v>
      </c>
      <c r="G3345" s="2" t="b">
        <v>0</v>
      </c>
      <c r="H3345" s="2" t="s">
        <v>37</v>
      </c>
      <c r="I3345" s="2" t="s">
        <v>49</v>
      </c>
      <c r="J3345" s="2" t="s">
        <v>9301</v>
      </c>
      <c r="K3345" s="2" t="s">
        <v>376</v>
      </c>
      <c r="L3345" s="2" t="s">
        <v>391</v>
      </c>
      <c r="M3345" s="2" t="s">
        <v>26</v>
      </c>
      <c r="N3345" s="29"/>
      <c r="O3345" s="29"/>
      <c r="P3345" s="5" t="str">
        <f>IFERROR(__xludf.DUMMYFUNCTION("TEXTJOIN("" | "",TRUE,IF(OR(D3345="""",E3345="""",I3345="""",J3345="""",H3345=""""),""ফাঁকা ঘর"",""""),IF(AND(C3345&lt;&gt;"""",D3345&lt;&gt;"""",C3345=D3345),""gloss=figurative"",""""),IF(LEN(D3345)&lt;15,""figurative ছোট"",""""),IF(AND(I3345=""Positive"",REGEXMATCH(H3"&amp;"345,""মূর্খ|ভণ্ড|প্রতার|অলস|লোভ|স্বার্থ|অক্ষম|অযোগ্য|বোকা|কৃপণ|হিংস"")),""valence-target অমিল"",""""),IF(COUNTIF($B:$B,B3345)&gt;1,""ডুপ্লিকেট"",""""))"),"")</f>
        <v/>
      </c>
      <c r="Q3345" s="5" t="str">
        <f t="shared" si="1"/>
        <v>২ পরে</v>
      </c>
    </row>
    <row r="3346">
      <c r="A3346" s="4">
        <v>1156.0</v>
      </c>
      <c r="B3346" s="2" t="s">
        <v>13349</v>
      </c>
      <c r="C3346" s="2" t="s">
        <v>13350</v>
      </c>
      <c r="D3346" s="2" t="s">
        <v>13351</v>
      </c>
      <c r="E3346" s="2" t="s">
        <v>13352</v>
      </c>
      <c r="F3346" s="2" t="b">
        <v>1</v>
      </c>
      <c r="G3346" s="2" t="b">
        <v>1</v>
      </c>
      <c r="H3346" s="2" t="s">
        <v>12997</v>
      </c>
      <c r="I3346" s="2" t="s">
        <v>32</v>
      </c>
      <c r="J3346" s="2" t="s">
        <v>59</v>
      </c>
      <c r="K3346" s="2" t="s">
        <v>376</v>
      </c>
      <c r="L3346" s="2" t="s">
        <v>391</v>
      </c>
      <c r="M3346" s="2" t="s">
        <v>26</v>
      </c>
      <c r="N3346" s="29"/>
      <c r="O3346" s="29"/>
      <c r="P3346" s="5" t="str">
        <f>IFERROR(__xludf.DUMMYFUNCTION("TEXTJOIN("" | "",TRUE,IF(OR(D3346="""",E3346="""",I3346="""",J3346="""",H3346=""""),""ফাঁকা ঘর"",""""),IF(AND(C3346&lt;&gt;"""",D3346&lt;&gt;"""",C3346=D3346),""gloss=figurative"",""""),IF(LEN(D3346)&lt;15,""figurative ছোট"",""""),IF(AND(I3346=""Positive"",REGEXMATCH(H3"&amp;"346,""মূর্খ|ভণ্ড|প্রতার|অলস|লোভ|স্বার্থ|অক্ষম|অযোগ্য|বোকা|কৃপণ|হিংস"")),""valence-target অমিল"",""""),IF(COUNTIF($B:$B,B3346)&gt;1,""ডুপ্লিকেট"",""""))"),"")</f>
        <v/>
      </c>
      <c r="Q3346" s="5" t="str">
        <f t="shared" si="1"/>
        <v>২ পরে</v>
      </c>
    </row>
    <row r="3347">
      <c r="A3347" s="4">
        <v>1157.0</v>
      </c>
      <c r="B3347" s="2" t="s">
        <v>13353</v>
      </c>
      <c r="C3347" s="2" t="s">
        <v>13354</v>
      </c>
      <c r="D3347" s="2" t="s">
        <v>13355</v>
      </c>
      <c r="E3347" s="2" t="s">
        <v>13356</v>
      </c>
      <c r="F3347" s="2" t="b">
        <v>1</v>
      </c>
      <c r="G3347" s="2" t="b">
        <v>0</v>
      </c>
      <c r="H3347" s="2" t="s">
        <v>65</v>
      </c>
      <c r="I3347" s="2" t="s">
        <v>22</v>
      </c>
      <c r="J3347" s="2" t="s">
        <v>59</v>
      </c>
      <c r="K3347" s="2" t="s">
        <v>376</v>
      </c>
      <c r="L3347" s="2" t="s">
        <v>391</v>
      </c>
      <c r="M3347" s="2" t="s">
        <v>26</v>
      </c>
      <c r="N3347" s="29"/>
      <c r="O3347" s="29"/>
      <c r="P3347" s="5" t="str">
        <f>IFERROR(__xludf.DUMMYFUNCTION("TEXTJOIN("" | "",TRUE,IF(OR(D3347="""",E3347="""",I3347="""",J3347="""",H3347=""""),""ফাঁকা ঘর"",""""),IF(AND(C3347&lt;&gt;"""",D3347&lt;&gt;"""",C3347=D3347),""gloss=figurative"",""""),IF(LEN(D3347)&lt;15,""figurative ছোট"",""""),IF(AND(I3347=""Positive"",REGEXMATCH(H3"&amp;"347,""মূর্খ|ভণ্ড|প্রতার|অলস|লোভ|স্বার্থ|অক্ষম|অযোগ্য|বোকা|কৃপণ|হিংস"")),""valence-target অমিল"",""""),IF(COUNTIF($B:$B,B3347)&gt;1,""ডুপ্লিকেট"",""""))"),"")</f>
        <v/>
      </c>
      <c r="Q3347" s="5" t="str">
        <f t="shared" si="1"/>
        <v>২ পরে</v>
      </c>
    </row>
    <row r="3348">
      <c r="A3348" s="4">
        <v>1158.0</v>
      </c>
      <c r="B3348" s="2" t="s">
        <v>13357</v>
      </c>
      <c r="C3348" s="2" t="s">
        <v>13358</v>
      </c>
      <c r="D3348" s="2" t="s">
        <v>13359</v>
      </c>
      <c r="E3348" s="2" t="s">
        <v>13360</v>
      </c>
      <c r="F3348" s="2" t="b">
        <v>1</v>
      </c>
      <c r="G3348" s="2" t="b">
        <v>0</v>
      </c>
      <c r="H3348" s="2" t="s">
        <v>37</v>
      </c>
      <c r="I3348" s="2" t="s">
        <v>32</v>
      </c>
      <c r="J3348" s="2" t="s">
        <v>286</v>
      </c>
      <c r="K3348" s="2" t="s">
        <v>376</v>
      </c>
      <c r="L3348" s="2" t="s">
        <v>391</v>
      </c>
      <c r="M3348" s="2" t="s">
        <v>26</v>
      </c>
      <c r="N3348" s="29"/>
      <c r="O3348" s="29"/>
      <c r="P3348" s="5" t="str">
        <f>IFERROR(__xludf.DUMMYFUNCTION("TEXTJOIN("" | "",TRUE,IF(OR(D3348="""",E3348="""",I3348="""",J3348="""",H3348=""""),""ফাঁকা ঘর"",""""),IF(AND(C3348&lt;&gt;"""",D3348&lt;&gt;"""",C3348=D3348),""gloss=figurative"",""""),IF(LEN(D3348)&lt;15,""figurative ছোট"",""""),IF(AND(I3348=""Positive"",REGEXMATCH(H3"&amp;"348,""মূর্খ|ভণ্ড|প্রতার|অলস|লোভ|স্বার্থ|অক্ষম|অযোগ্য|বোকা|কৃপণ|হিংস"")),""valence-target অমিল"",""""),IF(COUNTIF($B:$B,B3348)&gt;1,""ডুপ্লিকেট"",""""))"),"")</f>
        <v/>
      </c>
      <c r="Q3348" s="5" t="str">
        <f t="shared" si="1"/>
        <v>২ পরে</v>
      </c>
    </row>
    <row r="3349">
      <c r="A3349" s="4">
        <v>1159.0</v>
      </c>
      <c r="B3349" s="2" t="s">
        <v>13361</v>
      </c>
      <c r="C3349" s="2" t="s">
        <v>13362</v>
      </c>
      <c r="D3349" s="2" t="s">
        <v>13363</v>
      </c>
      <c r="E3349" s="2" t="s">
        <v>13364</v>
      </c>
      <c r="F3349" s="2" t="b">
        <v>1</v>
      </c>
      <c r="G3349" s="2" t="b">
        <v>0</v>
      </c>
      <c r="H3349" s="2" t="s">
        <v>11566</v>
      </c>
      <c r="I3349" s="2" t="s">
        <v>22</v>
      </c>
      <c r="J3349" s="2" t="s">
        <v>59</v>
      </c>
      <c r="K3349" s="2" t="s">
        <v>376</v>
      </c>
      <c r="L3349" s="2" t="s">
        <v>391</v>
      </c>
      <c r="M3349" s="2" t="s">
        <v>26</v>
      </c>
      <c r="N3349" s="29"/>
      <c r="O3349" s="29"/>
      <c r="P3349" s="5" t="str">
        <f>IFERROR(__xludf.DUMMYFUNCTION("TEXTJOIN("" | "",TRUE,IF(OR(D3349="""",E3349="""",I3349="""",J3349="""",H3349=""""),""ফাঁকা ঘর"",""""),IF(AND(C3349&lt;&gt;"""",D3349&lt;&gt;"""",C3349=D3349),""gloss=figurative"",""""),IF(LEN(D3349)&lt;15,""figurative ছোট"",""""),IF(AND(I3349=""Positive"",REGEXMATCH(H3"&amp;"349,""মূর্খ|ভণ্ড|প্রতার|অলস|লোভ|স্বার্থ|অক্ষম|অযোগ্য|বোকা|কৃপণ|হিংস"")),""valence-target অমিল"",""""),IF(COUNTIF($B:$B,B3349)&gt;1,""ডুপ্লিকেট"",""""))"),"")</f>
        <v/>
      </c>
      <c r="Q3349" s="5" t="str">
        <f t="shared" si="1"/>
        <v>২ পরে</v>
      </c>
    </row>
    <row r="3350">
      <c r="A3350" s="4">
        <v>1160.0</v>
      </c>
      <c r="B3350" s="2" t="s">
        <v>13365</v>
      </c>
      <c r="C3350" s="2" t="s">
        <v>13365</v>
      </c>
      <c r="D3350" s="2" t="s">
        <v>13366</v>
      </c>
      <c r="E3350" s="2" t="s">
        <v>13367</v>
      </c>
      <c r="F3350" s="2" t="b">
        <v>1</v>
      </c>
      <c r="G3350" s="2" t="b">
        <v>0</v>
      </c>
      <c r="H3350" s="2" t="s">
        <v>476</v>
      </c>
      <c r="I3350" s="2" t="s">
        <v>22</v>
      </c>
      <c r="J3350" s="2" t="s">
        <v>59</v>
      </c>
      <c r="K3350" s="2" t="s">
        <v>376</v>
      </c>
      <c r="L3350" s="2" t="s">
        <v>391</v>
      </c>
      <c r="M3350" s="2" t="s">
        <v>26</v>
      </c>
      <c r="N3350" s="29"/>
      <c r="O3350" s="29"/>
      <c r="P3350" s="5" t="str">
        <f>IFERROR(__xludf.DUMMYFUNCTION("TEXTJOIN("" | "",TRUE,IF(OR(D3350="""",E3350="""",I3350="""",J3350="""",H3350=""""),""ফাঁকা ঘর"",""""),IF(AND(C3350&lt;&gt;"""",D3350&lt;&gt;"""",C3350=D3350),""gloss=figurative"",""""),IF(LEN(D3350)&lt;15,""figurative ছোট"",""""),IF(AND(I3350=""Positive"",REGEXMATCH(H3"&amp;"350,""মূর্খ|ভণ্ড|প্রতার|অলস|লোভ|স্বার্থ|অক্ষম|অযোগ্য|বোকা|কৃপণ|হিংস"")),""valence-target অমিল"",""""),IF(COUNTIF($B:$B,B3350)&gt;1,""ডুপ্লিকেট"",""""))"),"")</f>
        <v/>
      </c>
      <c r="Q3350" s="5" t="str">
        <f t="shared" si="1"/>
        <v>২ পরে</v>
      </c>
    </row>
    <row r="3351">
      <c r="A3351" s="4">
        <v>1161.0</v>
      </c>
      <c r="B3351" s="2" t="s">
        <v>13368</v>
      </c>
      <c r="C3351" s="2" t="s">
        <v>13369</v>
      </c>
      <c r="D3351" s="2" t="s">
        <v>13370</v>
      </c>
      <c r="E3351" s="2" t="s">
        <v>13371</v>
      </c>
      <c r="F3351" s="2" t="b">
        <v>1</v>
      </c>
      <c r="G3351" s="2" t="b">
        <v>0</v>
      </c>
      <c r="H3351" s="2" t="s">
        <v>842</v>
      </c>
      <c r="I3351" s="2" t="s">
        <v>22</v>
      </c>
      <c r="J3351" s="2" t="s">
        <v>202</v>
      </c>
      <c r="K3351" s="2" t="s">
        <v>376</v>
      </c>
      <c r="L3351" s="2" t="s">
        <v>391</v>
      </c>
      <c r="M3351" s="2" t="s">
        <v>26</v>
      </c>
      <c r="N3351" s="29"/>
      <c r="O3351" s="29"/>
      <c r="P3351" s="5" t="str">
        <f>IFERROR(__xludf.DUMMYFUNCTION("TEXTJOIN("" | "",TRUE,IF(OR(D3351="""",E3351="""",I3351="""",J3351="""",H3351=""""),""ফাঁকা ঘর"",""""),IF(AND(C3351&lt;&gt;"""",D3351&lt;&gt;"""",C3351=D3351),""gloss=figurative"",""""),IF(LEN(D3351)&lt;15,""figurative ছোট"",""""),IF(AND(I3351=""Positive"",REGEXMATCH(H3"&amp;"351,""মূর্খ|ভণ্ড|প্রতার|অলস|লোভ|স্বার্থ|অক্ষম|অযোগ্য|বোকা|কৃপণ|হিংস"")),""valence-target অমিল"",""""),IF(COUNTIF($B:$B,B3351)&gt;1,""ডুপ্লিকেট"",""""))"),"")</f>
        <v/>
      </c>
      <c r="Q3351" s="5" t="str">
        <f t="shared" si="1"/>
        <v>২ পরে</v>
      </c>
    </row>
    <row r="3352">
      <c r="A3352" s="4">
        <v>1162.0</v>
      </c>
      <c r="B3352" s="2" t="s">
        <v>13372</v>
      </c>
      <c r="C3352" s="2" t="s">
        <v>13373</v>
      </c>
      <c r="D3352" s="2" t="s">
        <v>13374</v>
      </c>
      <c r="E3352" s="2" t="s">
        <v>13375</v>
      </c>
      <c r="F3352" s="2" t="b">
        <v>1</v>
      </c>
      <c r="G3352" s="2" t="b">
        <v>0</v>
      </c>
      <c r="H3352" s="2" t="s">
        <v>8772</v>
      </c>
      <c r="I3352" s="2" t="s">
        <v>32</v>
      </c>
      <c r="J3352" s="2" t="s">
        <v>59</v>
      </c>
      <c r="K3352" s="2" t="s">
        <v>376</v>
      </c>
      <c r="L3352" s="2" t="s">
        <v>391</v>
      </c>
      <c r="M3352" s="2" t="s">
        <v>26</v>
      </c>
      <c r="N3352" s="29"/>
      <c r="O3352" s="29"/>
      <c r="P3352" s="5" t="str">
        <f>IFERROR(__xludf.DUMMYFUNCTION("TEXTJOIN("" | "",TRUE,IF(OR(D3352="""",E3352="""",I3352="""",J3352="""",H3352=""""),""ফাঁকা ঘর"",""""),IF(AND(C3352&lt;&gt;"""",D3352&lt;&gt;"""",C3352=D3352),""gloss=figurative"",""""),IF(LEN(D3352)&lt;15,""figurative ছোট"",""""),IF(AND(I3352=""Positive"",REGEXMATCH(H3"&amp;"352,""মূর্খ|ভণ্ড|প্রতার|অলস|লোভ|স্বার্থ|অক্ষম|অযোগ্য|বোকা|কৃপণ|হিংস"")),""valence-target অমিল"",""""),IF(COUNTIF($B:$B,B3352)&gt;1,""ডুপ্লিকেট"",""""))"),"")</f>
        <v/>
      </c>
      <c r="Q3352" s="5" t="str">
        <f t="shared" si="1"/>
        <v>২ পরে</v>
      </c>
    </row>
    <row r="3353">
      <c r="A3353" s="4">
        <v>1163.0</v>
      </c>
      <c r="B3353" s="2" t="s">
        <v>13376</v>
      </c>
      <c r="C3353" s="2" t="s">
        <v>13377</v>
      </c>
      <c r="D3353" s="2" t="s">
        <v>9553</v>
      </c>
      <c r="E3353" s="2" t="s">
        <v>13378</v>
      </c>
      <c r="F3353" s="2" t="b">
        <v>1</v>
      </c>
      <c r="G3353" s="2" t="b">
        <v>0</v>
      </c>
      <c r="H3353" s="2" t="s">
        <v>13379</v>
      </c>
      <c r="I3353" s="2" t="s">
        <v>32</v>
      </c>
      <c r="J3353" s="2" t="s">
        <v>436</v>
      </c>
      <c r="K3353" s="2" t="s">
        <v>376</v>
      </c>
      <c r="L3353" s="2" t="s">
        <v>391</v>
      </c>
      <c r="M3353" s="2" t="s">
        <v>26</v>
      </c>
      <c r="N3353" s="29"/>
      <c r="O3353" s="29"/>
      <c r="P3353" s="5" t="str">
        <f>IFERROR(__xludf.DUMMYFUNCTION("TEXTJOIN("" | "",TRUE,IF(OR(D3353="""",E3353="""",I3353="""",J3353="""",H3353=""""),""ফাঁকা ঘর"",""""),IF(AND(C3353&lt;&gt;"""",D3353&lt;&gt;"""",C3353=D3353),""gloss=figurative"",""""),IF(LEN(D3353)&lt;15,""figurative ছোট"",""""),IF(AND(I3353=""Positive"",REGEXMATCH(H3"&amp;"353,""মূর্খ|ভণ্ড|প্রতার|অলস|লোভ|স্বার্থ|অক্ষম|অযোগ্য|বোকা|কৃপণ|হিংস"")),""valence-target অমিল"",""""),IF(COUNTIF($B:$B,B3353)&gt;1,""ডুপ্লিকেট"",""""))"),"")</f>
        <v/>
      </c>
      <c r="Q3353" s="5" t="str">
        <f t="shared" si="1"/>
        <v>২ পরে</v>
      </c>
    </row>
    <row r="3354">
      <c r="A3354" s="4">
        <v>1164.0</v>
      </c>
      <c r="B3354" s="2" t="s">
        <v>13380</v>
      </c>
      <c r="C3354" s="2" t="s">
        <v>13381</v>
      </c>
      <c r="D3354" s="2" t="s">
        <v>13382</v>
      </c>
      <c r="E3354" s="2" t="s">
        <v>13383</v>
      </c>
      <c r="F3354" s="2" t="b">
        <v>1</v>
      </c>
      <c r="G3354" s="2" t="b">
        <v>0</v>
      </c>
      <c r="H3354" s="2" t="s">
        <v>37</v>
      </c>
      <c r="I3354" s="2" t="s">
        <v>32</v>
      </c>
      <c r="J3354" s="2" t="s">
        <v>441</v>
      </c>
      <c r="K3354" s="2" t="s">
        <v>376</v>
      </c>
      <c r="L3354" s="2" t="s">
        <v>391</v>
      </c>
      <c r="M3354" s="2" t="s">
        <v>26</v>
      </c>
      <c r="N3354" s="29"/>
      <c r="O3354" s="29"/>
      <c r="P3354" s="5" t="str">
        <f>IFERROR(__xludf.DUMMYFUNCTION("TEXTJOIN("" | "",TRUE,IF(OR(D3354="""",E3354="""",I3354="""",J3354="""",H3354=""""),""ফাঁকা ঘর"",""""),IF(AND(C3354&lt;&gt;"""",D3354&lt;&gt;"""",C3354=D3354),""gloss=figurative"",""""),IF(LEN(D3354)&lt;15,""figurative ছোট"",""""),IF(AND(I3354=""Positive"",REGEXMATCH(H3"&amp;"354,""মূর্খ|ভণ্ড|প্রতার|অলস|লোভ|স্বার্থ|অক্ষম|অযোগ্য|বোকা|কৃপণ|হিংস"")),""valence-target অমিল"",""""),IF(COUNTIF($B:$B,B3354)&gt;1,""ডুপ্লিকেট"",""""))"),"")</f>
        <v/>
      </c>
      <c r="Q3354" s="5" t="str">
        <f t="shared" si="1"/>
        <v>২ পরে</v>
      </c>
    </row>
    <row r="3355">
      <c r="A3355" s="4">
        <v>1165.0</v>
      </c>
      <c r="B3355" s="2" t="s">
        <v>13384</v>
      </c>
      <c r="C3355" s="2" t="s">
        <v>13385</v>
      </c>
      <c r="D3355" s="2" t="s">
        <v>13386</v>
      </c>
      <c r="E3355" s="2" t="s">
        <v>13387</v>
      </c>
      <c r="F3355" s="2" t="b">
        <v>1</v>
      </c>
      <c r="G3355" s="2" t="b">
        <v>1</v>
      </c>
      <c r="H3355" s="2" t="s">
        <v>10046</v>
      </c>
      <c r="I3355" s="2" t="s">
        <v>32</v>
      </c>
      <c r="J3355" s="2" t="s">
        <v>123</v>
      </c>
      <c r="K3355" s="2" t="s">
        <v>376</v>
      </c>
      <c r="L3355" s="2" t="s">
        <v>391</v>
      </c>
      <c r="M3355" s="2" t="s">
        <v>26</v>
      </c>
      <c r="N3355" s="29"/>
      <c r="O3355" s="29"/>
      <c r="P3355" s="5" t="str">
        <f>IFERROR(__xludf.DUMMYFUNCTION("TEXTJOIN("" | "",TRUE,IF(OR(D3355="""",E3355="""",I3355="""",J3355="""",H3355=""""),""ফাঁকা ঘর"",""""),IF(AND(C3355&lt;&gt;"""",D3355&lt;&gt;"""",C3355=D3355),""gloss=figurative"",""""),IF(LEN(D3355)&lt;15,""figurative ছোট"",""""),IF(AND(I3355=""Positive"",REGEXMATCH(H3"&amp;"355,""মূর্খ|ভণ্ড|প্রতার|অলস|লোভ|স্বার্থ|অক্ষম|অযোগ্য|বোকা|কৃপণ|হিংস"")),""valence-target অমিল"",""""),IF(COUNTIF($B:$B,B3355)&gt;1,""ডুপ্লিকেট"",""""))"),"")</f>
        <v/>
      </c>
      <c r="Q3355" s="5" t="str">
        <f t="shared" si="1"/>
        <v>২ পরে</v>
      </c>
    </row>
    <row r="3356">
      <c r="A3356" s="4">
        <v>1166.0</v>
      </c>
      <c r="B3356" s="2" t="s">
        <v>13388</v>
      </c>
      <c r="C3356" s="2" t="s">
        <v>13389</v>
      </c>
      <c r="D3356" s="2" t="s">
        <v>13390</v>
      </c>
      <c r="E3356" s="2" t="s">
        <v>13391</v>
      </c>
      <c r="F3356" s="2" t="b">
        <v>1</v>
      </c>
      <c r="G3356" s="2" t="b">
        <v>1</v>
      </c>
      <c r="H3356" s="2" t="s">
        <v>10046</v>
      </c>
      <c r="I3356" s="2" t="s">
        <v>32</v>
      </c>
      <c r="J3356" s="2" t="s">
        <v>9301</v>
      </c>
      <c r="K3356" s="2" t="s">
        <v>376</v>
      </c>
      <c r="L3356" s="2" t="s">
        <v>391</v>
      </c>
      <c r="M3356" s="2" t="s">
        <v>26</v>
      </c>
      <c r="N3356" s="29"/>
      <c r="O3356" s="29"/>
      <c r="P3356" s="5" t="str">
        <f>IFERROR(__xludf.DUMMYFUNCTION("TEXTJOIN("" | "",TRUE,IF(OR(D3356="""",E3356="""",I3356="""",J3356="""",H3356=""""),""ফাঁকা ঘর"",""""),IF(AND(C3356&lt;&gt;"""",D3356&lt;&gt;"""",C3356=D3356),""gloss=figurative"",""""),IF(LEN(D3356)&lt;15,""figurative ছোট"",""""),IF(AND(I3356=""Positive"",REGEXMATCH(H3"&amp;"356,""মূর্খ|ভণ্ড|প্রতার|অলস|লোভ|স্বার্থ|অক্ষম|অযোগ্য|বোকা|কৃপণ|হিংস"")),""valence-target অমিল"",""""),IF(COUNTIF($B:$B,B3356)&gt;1,""ডুপ্লিকেট"",""""))"),"")</f>
        <v/>
      </c>
      <c r="Q3356" s="5" t="str">
        <f t="shared" si="1"/>
        <v>২ পরে</v>
      </c>
    </row>
    <row r="3357">
      <c r="A3357" s="4">
        <v>1167.0</v>
      </c>
      <c r="B3357" s="2" t="s">
        <v>13392</v>
      </c>
      <c r="C3357" s="2" t="s">
        <v>13393</v>
      </c>
      <c r="D3357" s="2" t="s">
        <v>13394</v>
      </c>
      <c r="E3357" s="2" t="s">
        <v>13395</v>
      </c>
      <c r="F3357" s="2" t="b">
        <v>1</v>
      </c>
      <c r="G3357" s="2" t="b">
        <v>0</v>
      </c>
      <c r="H3357" s="2" t="s">
        <v>13396</v>
      </c>
      <c r="I3357" s="2" t="s">
        <v>22</v>
      </c>
      <c r="J3357" s="2" t="s">
        <v>59</v>
      </c>
      <c r="K3357" s="2" t="s">
        <v>376</v>
      </c>
      <c r="L3357" s="2" t="s">
        <v>391</v>
      </c>
      <c r="M3357" s="2" t="s">
        <v>26</v>
      </c>
      <c r="N3357" s="29"/>
      <c r="O3357" s="29"/>
      <c r="P3357" s="5" t="str">
        <f>IFERROR(__xludf.DUMMYFUNCTION("TEXTJOIN("" | "",TRUE,IF(OR(D3357="""",E3357="""",I3357="""",J3357="""",H3357=""""),""ফাঁকা ঘর"",""""),IF(AND(C3357&lt;&gt;"""",D3357&lt;&gt;"""",C3357=D3357),""gloss=figurative"",""""),IF(LEN(D3357)&lt;15,""figurative ছোট"",""""),IF(AND(I3357=""Positive"",REGEXMATCH(H3"&amp;"357,""মূর্খ|ভণ্ড|প্রতার|অলস|লোভ|স্বার্থ|অক্ষম|অযোগ্য|বোকা|কৃপণ|হিংস"")),""valence-target অমিল"",""""),IF(COUNTIF($B:$B,B3357)&gt;1,""ডুপ্লিকেট"",""""))"),"")</f>
        <v/>
      </c>
      <c r="Q3357" s="5" t="str">
        <f t="shared" si="1"/>
        <v>২ পরে</v>
      </c>
    </row>
    <row r="3358">
      <c r="A3358" s="4">
        <v>1168.0</v>
      </c>
      <c r="B3358" s="2" t="s">
        <v>13397</v>
      </c>
      <c r="C3358" s="2" t="s">
        <v>13398</v>
      </c>
      <c r="D3358" s="2" t="s">
        <v>13399</v>
      </c>
      <c r="E3358" s="2" t="s">
        <v>13400</v>
      </c>
      <c r="F3358" s="2" t="b">
        <v>1</v>
      </c>
      <c r="G3358" s="2" t="b">
        <v>0</v>
      </c>
      <c r="H3358" s="2" t="s">
        <v>21</v>
      </c>
      <c r="I3358" s="2" t="s">
        <v>22</v>
      </c>
      <c r="J3358" s="2" t="s">
        <v>59</v>
      </c>
      <c r="K3358" s="2" t="s">
        <v>376</v>
      </c>
      <c r="L3358" s="2" t="s">
        <v>391</v>
      </c>
      <c r="M3358" s="2" t="s">
        <v>26</v>
      </c>
      <c r="N3358" s="29"/>
      <c r="O3358" s="29"/>
      <c r="P3358" s="5" t="str">
        <f>IFERROR(__xludf.DUMMYFUNCTION("TEXTJOIN("" | "",TRUE,IF(OR(D3358="""",E3358="""",I3358="""",J3358="""",H3358=""""),""ফাঁকা ঘর"",""""),IF(AND(C3358&lt;&gt;"""",D3358&lt;&gt;"""",C3358=D3358),""gloss=figurative"",""""),IF(LEN(D3358)&lt;15,""figurative ছোট"",""""),IF(AND(I3358=""Positive"",REGEXMATCH(H3"&amp;"358,""মূর্খ|ভণ্ড|প্রতার|অলস|লোভ|স্বার্থ|অক্ষম|অযোগ্য|বোকা|কৃপণ|হিংস"")),""valence-target অমিল"",""""),IF(COUNTIF($B:$B,B3358)&gt;1,""ডুপ্লিকেট"",""""))"),"")</f>
        <v/>
      </c>
      <c r="Q3358" s="5" t="str">
        <f t="shared" si="1"/>
        <v>২ পরে</v>
      </c>
    </row>
    <row r="3359">
      <c r="A3359" s="4">
        <v>1169.0</v>
      </c>
      <c r="B3359" s="2" t="s">
        <v>13401</v>
      </c>
      <c r="C3359" s="2" t="s">
        <v>13402</v>
      </c>
      <c r="D3359" s="2" t="s">
        <v>13403</v>
      </c>
      <c r="E3359" s="2" t="s">
        <v>13404</v>
      </c>
      <c r="F3359" s="2" t="b">
        <v>1</v>
      </c>
      <c r="G3359" s="2" t="b">
        <v>0</v>
      </c>
      <c r="H3359" s="2" t="s">
        <v>12881</v>
      </c>
      <c r="I3359" s="2" t="s">
        <v>32</v>
      </c>
      <c r="J3359" s="2" t="s">
        <v>123</v>
      </c>
      <c r="K3359" s="2" t="s">
        <v>376</v>
      </c>
      <c r="L3359" s="2" t="s">
        <v>391</v>
      </c>
      <c r="M3359" s="2" t="s">
        <v>26</v>
      </c>
      <c r="N3359" s="29"/>
      <c r="O3359" s="29"/>
      <c r="P3359" s="5" t="str">
        <f>IFERROR(__xludf.DUMMYFUNCTION("TEXTJOIN("" | "",TRUE,IF(OR(D3359="""",E3359="""",I3359="""",J3359="""",H3359=""""),""ফাঁকা ঘর"",""""),IF(AND(C3359&lt;&gt;"""",D3359&lt;&gt;"""",C3359=D3359),""gloss=figurative"",""""),IF(LEN(D3359)&lt;15,""figurative ছোট"",""""),IF(AND(I3359=""Positive"",REGEXMATCH(H3"&amp;"359,""মূর্খ|ভণ্ড|প্রতার|অলস|লোভ|স্বার্থ|অক্ষম|অযোগ্য|বোকা|কৃপণ|হিংস"")),""valence-target অমিল"",""""),IF(COUNTIF($B:$B,B3359)&gt;1,""ডুপ্লিকেট"",""""))"),"")</f>
        <v/>
      </c>
      <c r="Q3359" s="5" t="str">
        <f t="shared" si="1"/>
        <v>২ পরে</v>
      </c>
    </row>
    <row r="3360">
      <c r="A3360" s="4">
        <v>1170.0</v>
      </c>
      <c r="B3360" s="2" t="s">
        <v>13405</v>
      </c>
      <c r="C3360" s="2" t="s">
        <v>13406</v>
      </c>
      <c r="D3360" s="2" t="s">
        <v>13407</v>
      </c>
      <c r="E3360" s="2" t="s">
        <v>13408</v>
      </c>
      <c r="F3360" s="2" t="b">
        <v>1</v>
      </c>
      <c r="G3360" s="2" t="b">
        <v>0</v>
      </c>
      <c r="H3360" s="2" t="s">
        <v>181</v>
      </c>
      <c r="I3360" s="2" t="s">
        <v>32</v>
      </c>
      <c r="J3360" s="2" t="s">
        <v>413</v>
      </c>
      <c r="K3360" s="2" t="s">
        <v>376</v>
      </c>
      <c r="L3360" s="2" t="s">
        <v>391</v>
      </c>
      <c r="M3360" s="2" t="s">
        <v>26</v>
      </c>
      <c r="N3360" s="29"/>
      <c r="O3360" s="29"/>
      <c r="P3360" s="5" t="str">
        <f>IFERROR(__xludf.DUMMYFUNCTION("TEXTJOIN("" | "",TRUE,IF(OR(D3360="""",E3360="""",I3360="""",J3360="""",H3360=""""),""ফাঁকা ঘর"",""""),IF(AND(C3360&lt;&gt;"""",D3360&lt;&gt;"""",C3360=D3360),""gloss=figurative"",""""),IF(LEN(D3360)&lt;15,""figurative ছোট"",""""),IF(AND(I3360=""Positive"",REGEXMATCH(H3"&amp;"360,""মূর্খ|ভণ্ড|প্রতার|অলস|লোভ|স্বার্থ|অক্ষম|অযোগ্য|বোকা|কৃপণ|হিংস"")),""valence-target অমিল"",""""),IF(COUNTIF($B:$B,B3360)&gt;1,""ডুপ্লিকেট"",""""))"),"")</f>
        <v/>
      </c>
      <c r="Q3360" s="5" t="str">
        <f t="shared" si="1"/>
        <v>২ পরে</v>
      </c>
    </row>
    <row r="3361">
      <c r="A3361" s="4">
        <v>1171.0</v>
      </c>
      <c r="B3361" s="2" t="s">
        <v>13409</v>
      </c>
      <c r="C3361" s="2" t="s">
        <v>13410</v>
      </c>
      <c r="D3361" s="2" t="s">
        <v>13411</v>
      </c>
      <c r="E3361" s="2" t="s">
        <v>13412</v>
      </c>
      <c r="F3361" s="2" t="b">
        <v>1</v>
      </c>
      <c r="G3361" s="2" t="b">
        <v>0</v>
      </c>
      <c r="H3361" s="2" t="s">
        <v>9290</v>
      </c>
      <c r="I3361" s="2" t="s">
        <v>22</v>
      </c>
      <c r="J3361" s="2" t="s">
        <v>669</v>
      </c>
      <c r="K3361" s="2" t="s">
        <v>376</v>
      </c>
      <c r="L3361" s="2" t="s">
        <v>391</v>
      </c>
      <c r="M3361" s="2" t="s">
        <v>26</v>
      </c>
      <c r="N3361" s="29"/>
      <c r="O3361" s="29"/>
      <c r="P3361" s="5" t="str">
        <f>IFERROR(__xludf.DUMMYFUNCTION("TEXTJOIN("" | "",TRUE,IF(OR(D3361="""",E3361="""",I3361="""",J3361="""",H3361=""""),""ফাঁকা ঘর"",""""),IF(AND(C3361&lt;&gt;"""",D3361&lt;&gt;"""",C3361=D3361),""gloss=figurative"",""""),IF(LEN(D3361)&lt;15,""figurative ছোট"",""""),IF(AND(I3361=""Positive"",REGEXMATCH(H3"&amp;"361,""মূর্খ|ভণ্ড|প্রতার|অলস|লোভ|স্বার্থ|অক্ষম|অযোগ্য|বোকা|কৃপণ|হিংস"")),""valence-target অমিল"",""""),IF(COUNTIF($B:$B,B3361)&gt;1,""ডুপ্লিকেট"",""""))"),"")</f>
        <v/>
      </c>
      <c r="Q3361" s="5" t="str">
        <f t="shared" si="1"/>
        <v>২ পরে</v>
      </c>
    </row>
    <row r="3362">
      <c r="A3362" s="4">
        <v>1172.0</v>
      </c>
      <c r="B3362" s="2" t="s">
        <v>13413</v>
      </c>
      <c r="C3362" s="2" t="s">
        <v>13414</v>
      </c>
      <c r="D3362" s="2" t="s">
        <v>13415</v>
      </c>
      <c r="E3362" s="2" t="s">
        <v>13416</v>
      </c>
      <c r="F3362" s="2" t="b">
        <v>1</v>
      </c>
      <c r="G3362" s="2" t="b">
        <v>0</v>
      </c>
      <c r="H3362" s="2" t="s">
        <v>13417</v>
      </c>
      <c r="I3362" s="2" t="s">
        <v>49</v>
      </c>
      <c r="J3362" s="2" t="s">
        <v>10356</v>
      </c>
      <c r="K3362" s="2" t="s">
        <v>376</v>
      </c>
      <c r="L3362" s="2" t="s">
        <v>391</v>
      </c>
      <c r="M3362" s="2" t="s">
        <v>26</v>
      </c>
      <c r="N3362" s="29"/>
      <c r="O3362" s="29"/>
      <c r="P3362" s="5" t="str">
        <f>IFERROR(__xludf.DUMMYFUNCTION("TEXTJOIN("" | "",TRUE,IF(OR(D3362="""",E3362="""",I3362="""",J3362="""",H3362=""""),""ফাঁকা ঘর"",""""),IF(AND(C3362&lt;&gt;"""",D3362&lt;&gt;"""",C3362=D3362),""gloss=figurative"",""""),IF(LEN(D3362)&lt;15,""figurative ছোট"",""""),IF(AND(I3362=""Positive"",REGEXMATCH(H3"&amp;"362,""মূর্খ|ভণ্ড|প্রতার|অলস|লোভ|স্বার্থ|অক্ষম|অযোগ্য|বোকা|কৃপণ|হিংস"")),""valence-target অমিল"",""""),IF(COUNTIF($B:$B,B3362)&gt;1,""ডুপ্লিকেট"",""""))"),"")</f>
        <v/>
      </c>
      <c r="Q3362" s="5" t="str">
        <f t="shared" si="1"/>
        <v>২ পরে</v>
      </c>
    </row>
    <row r="3363">
      <c r="A3363" s="4">
        <v>1173.0</v>
      </c>
      <c r="B3363" s="2" t="s">
        <v>13418</v>
      </c>
      <c r="C3363" s="2" t="s">
        <v>13419</v>
      </c>
      <c r="D3363" s="2" t="s">
        <v>13420</v>
      </c>
      <c r="E3363" s="2" t="s">
        <v>13421</v>
      </c>
      <c r="F3363" s="2" t="b">
        <v>1</v>
      </c>
      <c r="G3363" s="2" t="b">
        <v>0</v>
      </c>
      <c r="H3363" s="2" t="s">
        <v>37</v>
      </c>
      <c r="I3363" s="2" t="s">
        <v>22</v>
      </c>
      <c r="J3363" s="2" t="s">
        <v>13422</v>
      </c>
      <c r="K3363" s="2" t="s">
        <v>376</v>
      </c>
      <c r="L3363" s="2" t="s">
        <v>391</v>
      </c>
      <c r="M3363" s="2" t="s">
        <v>26</v>
      </c>
      <c r="N3363" s="29"/>
      <c r="O3363" s="29"/>
      <c r="P3363" s="5" t="str">
        <f>IFERROR(__xludf.DUMMYFUNCTION("TEXTJOIN("" | "",TRUE,IF(OR(D3363="""",E3363="""",I3363="""",J3363="""",H3363=""""),""ফাঁকা ঘর"",""""),IF(AND(C3363&lt;&gt;"""",D3363&lt;&gt;"""",C3363=D3363),""gloss=figurative"",""""),IF(LEN(D3363)&lt;15,""figurative ছোট"",""""),IF(AND(I3363=""Positive"",REGEXMATCH(H3"&amp;"363,""মূর্খ|ভণ্ড|প্রতার|অলস|লোভ|স্বার্থ|অক্ষম|অযোগ্য|বোকা|কৃপণ|হিংস"")),""valence-target অমিল"",""""),IF(COUNTIF($B:$B,B3363)&gt;1,""ডুপ্লিকেট"",""""))"),"")</f>
        <v/>
      </c>
      <c r="Q3363" s="5" t="str">
        <f t="shared" si="1"/>
        <v>২ পরে</v>
      </c>
    </row>
    <row r="3364">
      <c r="A3364" s="4">
        <v>1174.0</v>
      </c>
      <c r="B3364" s="2" t="s">
        <v>13423</v>
      </c>
      <c r="C3364" s="2" t="s">
        <v>13424</v>
      </c>
      <c r="D3364" s="2" t="s">
        <v>13425</v>
      </c>
      <c r="E3364" s="2" t="s">
        <v>13426</v>
      </c>
      <c r="F3364" s="2" t="b">
        <v>1</v>
      </c>
      <c r="G3364" s="2" t="b">
        <v>1</v>
      </c>
      <c r="H3364" s="2" t="s">
        <v>10046</v>
      </c>
      <c r="I3364" s="2" t="s">
        <v>22</v>
      </c>
      <c r="J3364" s="2" t="s">
        <v>9301</v>
      </c>
      <c r="K3364" s="2" t="s">
        <v>376</v>
      </c>
      <c r="L3364" s="2" t="s">
        <v>391</v>
      </c>
      <c r="M3364" s="2" t="s">
        <v>26</v>
      </c>
      <c r="N3364" s="29"/>
      <c r="O3364" s="29"/>
      <c r="P3364" s="5" t="str">
        <f>IFERROR(__xludf.DUMMYFUNCTION("TEXTJOIN("" | "",TRUE,IF(OR(D3364="""",E3364="""",I3364="""",J3364="""",H3364=""""),""ফাঁকা ঘর"",""""),IF(AND(C3364&lt;&gt;"""",D3364&lt;&gt;"""",C3364=D3364),""gloss=figurative"",""""),IF(LEN(D3364)&lt;15,""figurative ছোট"",""""),IF(AND(I3364=""Positive"",REGEXMATCH(H3"&amp;"364,""মূর্খ|ভণ্ড|প্রতার|অলস|লোভ|স্বার্থ|অক্ষম|অযোগ্য|বোকা|কৃপণ|হিংস"")),""valence-target অমিল"",""""),IF(COUNTIF($B:$B,B3364)&gt;1,""ডুপ্লিকেট"",""""))"),"")</f>
        <v/>
      </c>
      <c r="Q3364" s="5" t="str">
        <f t="shared" si="1"/>
        <v>২ পরে</v>
      </c>
    </row>
    <row r="3365">
      <c r="A3365" s="4">
        <v>1175.0</v>
      </c>
      <c r="B3365" s="2" t="s">
        <v>13427</v>
      </c>
      <c r="C3365" s="2" t="s">
        <v>13428</v>
      </c>
      <c r="D3365" s="2" t="s">
        <v>13429</v>
      </c>
      <c r="E3365" s="2" t="s">
        <v>13430</v>
      </c>
      <c r="F3365" s="2" t="b">
        <v>1</v>
      </c>
      <c r="G3365" s="2" t="b">
        <v>0</v>
      </c>
      <c r="H3365" s="2" t="s">
        <v>13431</v>
      </c>
      <c r="I3365" s="2" t="s">
        <v>32</v>
      </c>
      <c r="J3365" s="2" t="s">
        <v>117</v>
      </c>
      <c r="K3365" s="2" t="s">
        <v>376</v>
      </c>
      <c r="L3365" s="2" t="s">
        <v>391</v>
      </c>
      <c r="M3365" s="2" t="s">
        <v>26</v>
      </c>
      <c r="N3365" s="29"/>
      <c r="O3365" s="29"/>
      <c r="P3365" s="5" t="str">
        <f>IFERROR(__xludf.DUMMYFUNCTION("TEXTJOIN("" | "",TRUE,IF(OR(D3365="""",E3365="""",I3365="""",J3365="""",H3365=""""),""ফাঁকা ঘর"",""""),IF(AND(C3365&lt;&gt;"""",D3365&lt;&gt;"""",C3365=D3365),""gloss=figurative"",""""),IF(LEN(D3365)&lt;15,""figurative ছোট"",""""),IF(AND(I3365=""Positive"",REGEXMATCH(H3"&amp;"365,""মূর্খ|ভণ্ড|প্রতার|অলস|লোভ|স্বার্থ|অক্ষম|অযোগ্য|বোকা|কৃপণ|হিংস"")),""valence-target অমিল"",""""),IF(COUNTIF($B:$B,B3365)&gt;1,""ডুপ্লিকেট"",""""))"),"")</f>
        <v/>
      </c>
      <c r="Q3365" s="5" t="str">
        <f t="shared" si="1"/>
        <v>২ পরে</v>
      </c>
    </row>
    <row r="3366">
      <c r="A3366" s="4">
        <v>1176.0</v>
      </c>
      <c r="B3366" s="2" t="s">
        <v>13432</v>
      </c>
      <c r="C3366" s="2" t="s">
        <v>13433</v>
      </c>
      <c r="D3366" s="2" t="s">
        <v>13434</v>
      </c>
      <c r="E3366" s="2" t="s">
        <v>13435</v>
      </c>
      <c r="F3366" s="2" t="b">
        <v>1</v>
      </c>
      <c r="G3366" s="2" t="b">
        <v>0</v>
      </c>
      <c r="H3366" s="2" t="s">
        <v>37</v>
      </c>
      <c r="I3366" s="2" t="s">
        <v>32</v>
      </c>
      <c r="J3366" s="2" t="s">
        <v>162</v>
      </c>
      <c r="K3366" s="2" t="s">
        <v>376</v>
      </c>
      <c r="L3366" s="2" t="s">
        <v>391</v>
      </c>
      <c r="M3366" s="2" t="s">
        <v>26</v>
      </c>
      <c r="N3366" s="29"/>
      <c r="O3366" s="29"/>
      <c r="P3366" s="5" t="str">
        <f>IFERROR(__xludf.DUMMYFUNCTION("TEXTJOIN("" | "",TRUE,IF(OR(D3366="""",E3366="""",I3366="""",J3366="""",H3366=""""),""ফাঁকা ঘর"",""""),IF(AND(C3366&lt;&gt;"""",D3366&lt;&gt;"""",C3366=D3366),""gloss=figurative"",""""),IF(LEN(D3366)&lt;15,""figurative ছোট"",""""),IF(AND(I3366=""Positive"",REGEXMATCH(H3"&amp;"366,""মূর্খ|ভণ্ড|প্রতার|অলস|লোভ|স্বার্থ|অক্ষম|অযোগ্য|বোকা|কৃপণ|হিংস"")),""valence-target অমিল"",""""),IF(COUNTIF($B:$B,B3366)&gt;1,""ডুপ্লিকেট"",""""))"),"")</f>
        <v/>
      </c>
      <c r="Q3366" s="5" t="str">
        <f t="shared" si="1"/>
        <v>২ পরে</v>
      </c>
    </row>
    <row r="3367">
      <c r="A3367" s="4">
        <v>1177.0</v>
      </c>
      <c r="B3367" s="2" t="s">
        <v>13436</v>
      </c>
      <c r="C3367" s="2" t="s">
        <v>13437</v>
      </c>
      <c r="D3367" s="2" t="s">
        <v>13438</v>
      </c>
      <c r="E3367" s="2" t="s">
        <v>13439</v>
      </c>
      <c r="F3367" s="2" t="b">
        <v>1</v>
      </c>
      <c r="G3367" s="2" t="b">
        <v>0</v>
      </c>
      <c r="H3367" s="2" t="s">
        <v>527</v>
      </c>
      <c r="I3367" s="2" t="s">
        <v>22</v>
      </c>
      <c r="J3367" s="2" t="s">
        <v>59</v>
      </c>
      <c r="K3367" s="2" t="s">
        <v>376</v>
      </c>
      <c r="L3367" s="2" t="s">
        <v>391</v>
      </c>
      <c r="M3367" s="2" t="s">
        <v>26</v>
      </c>
      <c r="N3367" s="29"/>
      <c r="O3367" s="29"/>
      <c r="P3367" s="5" t="str">
        <f>IFERROR(__xludf.DUMMYFUNCTION("TEXTJOIN("" | "",TRUE,IF(OR(D3367="""",E3367="""",I3367="""",J3367="""",H3367=""""),""ফাঁকা ঘর"",""""),IF(AND(C3367&lt;&gt;"""",D3367&lt;&gt;"""",C3367=D3367),""gloss=figurative"",""""),IF(LEN(D3367)&lt;15,""figurative ছোট"",""""),IF(AND(I3367=""Positive"",REGEXMATCH(H3"&amp;"367,""মূর্খ|ভণ্ড|প্রতার|অলস|লোভ|স্বার্থ|অক্ষম|অযোগ্য|বোকা|কৃপণ|হিংস"")),""valence-target অমিল"",""""),IF(COUNTIF($B:$B,B3367)&gt;1,""ডুপ্লিকেট"",""""))"),"")</f>
        <v/>
      </c>
      <c r="Q3367" s="5" t="str">
        <f t="shared" si="1"/>
        <v>২ পরে</v>
      </c>
    </row>
    <row r="3368">
      <c r="A3368" s="4">
        <v>1178.0</v>
      </c>
      <c r="B3368" s="2" t="s">
        <v>13440</v>
      </c>
      <c r="C3368" s="2" t="s">
        <v>13441</v>
      </c>
      <c r="D3368" s="2" t="s">
        <v>13442</v>
      </c>
      <c r="E3368" s="2" t="s">
        <v>13443</v>
      </c>
      <c r="F3368" s="2" t="b">
        <v>1</v>
      </c>
      <c r="G3368" s="2" t="b">
        <v>1</v>
      </c>
      <c r="H3368" s="2" t="s">
        <v>10046</v>
      </c>
      <c r="I3368" s="2" t="s">
        <v>32</v>
      </c>
      <c r="J3368" s="2" t="s">
        <v>9301</v>
      </c>
      <c r="K3368" s="2" t="s">
        <v>376</v>
      </c>
      <c r="L3368" s="2" t="s">
        <v>391</v>
      </c>
      <c r="M3368" s="2" t="s">
        <v>26</v>
      </c>
      <c r="N3368" s="29"/>
      <c r="O3368" s="29"/>
      <c r="P3368" s="5" t="str">
        <f>IFERROR(__xludf.DUMMYFUNCTION("TEXTJOIN("" | "",TRUE,IF(OR(D3368="""",E3368="""",I3368="""",J3368="""",H3368=""""),""ফাঁকা ঘর"",""""),IF(AND(C3368&lt;&gt;"""",D3368&lt;&gt;"""",C3368=D3368),""gloss=figurative"",""""),IF(LEN(D3368)&lt;15,""figurative ছোট"",""""),IF(AND(I3368=""Positive"",REGEXMATCH(H3"&amp;"368,""মূর্খ|ভণ্ড|প্রতার|অলস|লোভ|স্বার্থ|অক্ষম|অযোগ্য|বোকা|কৃপণ|হিংস"")),""valence-target অমিল"",""""),IF(COUNTIF($B:$B,B3368)&gt;1,""ডুপ্লিকেট"",""""))"),"")</f>
        <v/>
      </c>
      <c r="Q3368" s="5" t="str">
        <f t="shared" si="1"/>
        <v>২ পরে</v>
      </c>
    </row>
    <row r="3369">
      <c r="A3369" s="4">
        <v>1179.0</v>
      </c>
      <c r="B3369" s="2" t="s">
        <v>13444</v>
      </c>
      <c r="C3369" s="2" t="s">
        <v>13445</v>
      </c>
      <c r="D3369" s="2" t="s">
        <v>13446</v>
      </c>
      <c r="E3369" s="2" t="s">
        <v>13447</v>
      </c>
      <c r="F3369" s="2" t="b">
        <v>1</v>
      </c>
      <c r="G3369" s="2" t="b">
        <v>0</v>
      </c>
      <c r="H3369" s="2" t="s">
        <v>10046</v>
      </c>
      <c r="I3369" s="2" t="s">
        <v>22</v>
      </c>
      <c r="J3369" s="2" t="s">
        <v>9301</v>
      </c>
      <c r="K3369" s="2" t="s">
        <v>376</v>
      </c>
      <c r="L3369" s="2" t="s">
        <v>391</v>
      </c>
      <c r="M3369" s="2" t="s">
        <v>26</v>
      </c>
      <c r="N3369" s="29"/>
      <c r="O3369" s="29"/>
      <c r="P3369" s="5" t="str">
        <f>IFERROR(__xludf.DUMMYFUNCTION("TEXTJOIN("" | "",TRUE,IF(OR(D3369="""",E3369="""",I3369="""",J3369="""",H3369=""""),""ফাঁকা ঘর"",""""),IF(AND(C3369&lt;&gt;"""",D3369&lt;&gt;"""",C3369=D3369),""gloss=figurative"",""""),IF(LEN(D3369)&lt;15,""figurative ছোট"",""""),IF(AND(I3369=""Positive"",REGEXMATCH(H3"&amp;"369,""মূর্খ|ভণ্ড|প্রতার|অলস|লোভ|স্বার্থ|অক্ষম|অযোগ্য|বোকা|কৃপণ|হিংস"")),""valence-target অমিল"",""""),IF(COUNTIF($B:$B,B3369)&gt;1,""ডুপ্লিকেট"",""""))"),"")</f>
        <v/>
      </c>
      <c r="Q3369" s="5" t="str">
        <f t="shared" si="1"/>
        <v>২ পরে</v>
      </c>
    </row>
    <row r="3370">
      <c r="A3370" s="4">
        <v>1180.0</v>
      </c>
      <c r="B3370" s="2" t="s">
        <v>13448</v>
      </c>
      <c r="C3370" s="2" t="s">
        <v>13449</v>
      </c>
      <c r="D3370" s="2" t="s">
        <v>13450</v>
      </c>
      <c r="E3370" s="2" t="s">
        <v>13451</v>
      </c>
      <c r="F3370" s="2" t="b">
        <v>1</v>
      </c>
      <c r="G3370" s="2" t="b">
        <v>0</v>
      </c>
      <c r="H3370" s="2" t="s">
        <v>37</v>
      </c>
      <c r="I3370" s="2" t="s">
        <v>32</v>
      </c>
      <c r="J3370" s="2" t="s">
        <v>13452</v>
      </c>
      <c r="K3370" s="2" t="s">
        <v>376</v>
      </c>
      <c r="L3370" s="2" t="s">
        <v>391</v>
      </c>
      <c r="M3370" s="2" t="s">
        <v>26</v>
      </c>
      <c r="N3370" s="29"/>
      <c r="O3370" s="29"/>
      <c r="P3370" s="5" t="str">
        <f>IFERROR(__xludf.DUMMYFUNCTION("TEXTJOIN("" | "",TRUE,IF(OR(D3370="""",E3370="""",I3370="""",J3370="""",H3370=""""),""ফাঁকা ঘর"",""""),IF(AND(C3370&lt;&gt;"""",D3370&lt;&gt;"""",C3370=D3370),""gloss=figurative"",""""),IF(LEN(D3370)&lt;15,""figurative ছোট"",""""),IF(AND(I3370=""Positive"",REGEXMATCH(H3"&amp;"370,""মূর্খ|ভণ্ড|প্রতার|অলস|লোভ|স্বার্থ|অক্ষম|অযোগ্য|বোকা|কৃপণ|হিংস"")),""valence-target অমিল"",""""),IF(COUNTIF($B:$B,B3370)&gt;1,""ডুপ্লিকেট"",""""))"),"")</f>
        <v/>
      </c>
      <c r="Q3370" s="5" t="str">
        <f t="shared" si="1"/>
        <v>২ পরে</v>
      </c>
    </row>
    <row r="3371">
      <c r="A3371" s="4">
        <v>1181.0</v>
      </c>
      <c r="B3371" s="2" t="s">
        <v>13453</v>
      </c>
      <c r="C3371" s="2" t="s">
        <v>13454</v>
      </c>
      <c r="D3371" s="2" t="s">
        <v>13455</v>
      </c>
      <c r="E3371" s="2" t="s">
        <v>13456</v>
      </c>
      <c r="F3371" s="2" t="b">
        <v>1</v>
      </c>
      <c r="G3371" s="2" t="b">
        <v>0</v>
      </c>
      <c r="H3371" s="2" t="s">
        <v>13457</v>
      </c>
      <c r="I3371" s="2" t="s">
        <v>32</v>
      </c>
      <c r="J3371" s="2" t="s">
        <v>59</v>
      </c>
      <c r="K3371" s="2" t="s">
        <v>376</v>
      </c>
      <c r="L3371" s="2" t="s">
        <v>391</v>
      </c>
      <c r="M3371" s="2" t="s">
        <v>26</v>
      </c>
      <c r="N3371" s="29"/>
      <c r="O3371" s="29"/>
      <c r="P3371" s="5" t="str">
        <f>IFERROR(__xludf.DUMMYFUNCTION("TEXTJOIN("" | "",TRUE,IF(OR(D3371="""",E3371="""",I3371="""",J3371="""",H3371=""""),""ফাঁকা ঘর"",""""),IF(AND(C3371&lt;&gt;"""",D3371&lt;&gt;"""",C3371=D3371),""gloss=figurative"",""""),IF(LEN(D3371)&lt;15,""figurative ছোট"",""""),IF(AND(I3371=""Positive"",REGEXMATCH(H3"&amp;"371,""মূর্খ|ভণ্ড|প্রতার|অলস|লোভ|স্বার্থ|অক্ষম|অযোগ্য|বোকা|কৃপণ|হিংস"")),""valence-target অমিল"",""""),IF(COUNTIF($B:$B,B3371)&gt;1,""ডুপ্লিকেট"",""""))"),"")</f>
        <v/>
      </c>
      <c r="Q3371" s="5" t="str">
        <f t="shared" si="1"/>
        <v>২ পরে</v>
      </c>
    </row>
    <row r="3372">
      <c r="A3372" s="4">
        <v>1182.0</v>
      </c>
      <c r="B3372" s="2" t="s">
        <v>13458</v>
      </c>
      <c r="C3372" s="2" t="s">
        <v>13459</v>
      </c>
      <c r="D3372" s="2" t="s">
        <v>13460</v>
      </c>
      <c r="E3372" s="2" t="s">
        <v>13461</v>
      </c>
      <c r="F3372" s="2" t="b">
        <v>1</v>
      </c>
      <c r="G3372" s="2" t="b">
        <v>0</v>
      </c>
      <c r="H3372" s="2" t="s">
        <v>842</v>
      </c>
      <c r="I3372" s="2" t="s">
        <v>22</v>
      </c>
      <c r="J3372" s="2" t="s">
        <v>162</v>
      </c>
      <c r="K3372" s="2" t="s">
        <v>376</v>
      </c>
      <c r="L3372" s="2" t="s">
        <v>391</v>
      </c>
      <c r="M3372" s="2" t="s">
        <v>26</v>
      </c>
      <c r="N3372" s="29"/>
      <c r="O3372" s="29"/>
      <c r="P3372" s="5" t="str">
        <f>IFERROR(__xludf.DUMMYFUNCTION("TEXTJOIN("" | "",TRUE,IF(OR(D3372="""",E3372="""",I3372="""",J3372="""",H3372=""""),""ফাঁকা ঘর"",""""),IF(AND(C3372&lt;&gt;"""",D3372&lt;&gt;"""",C3372=D3372),""gloss=figurative"",""""),IF(LEN(D3372)&lt;15,""figurative ছোট"",""""),IF(AND(I3372=""Positive"",REGEXMATCH(H3"&amp;"372,""মূর্খ|ভণ্ড|প্রতার|অলস|লোভ|স্বার্থ|অক্ষম|অযোগ্য|বোকা|কৃপণ|হিংস"")),""valence-target অমিল"",""""),IF(COUNTIF($B:$B,B3372)&gt;1,""ডুপ্লিকেট"",""""))"),"")</f>
        <v/>
      </c>
      <c r="Q3372" s="5" t="str">
        <f t="shared" si="1"/>
        <v>২ পরে</v>
      </c>
    </row>
    <row r="3373">
      <c r="A3373" s="4">
        <v>1183.0</v>
      </c>
      <c r="B3373" s="2" t="s">
        <v>13462</v>
      </c>
      <c r="C3373" s="2" t="s">
        <v>13463</v>
      </c>
      <c r="D3373" s="2" t="s">
        <v>13464</v>
      </c>
      <c r="E3373" s="2" t="s">
        <v>13465</v>
      </c>
      <c r="F3373" s="2" t="b">
        <v>1</v>
      </c>
      <c r="G3373" s="2" t="b">
        <v>1</v>
      </c>
      <c r="H3373" s="2" t="s">
        <v>11665</v>
      </c>
      <c r="I3373" s="2" t="s">
        <v>32</v>
      </c>
      <c r="J3373" s="2" t="s">
        <v>12061</v>
      </c>
      <c r="K3373" s="2" t="s">
        <v>376</v>
      </c>
      <c r="L3373" s="2" t="s">
        <v>391</v>
      </c>
      <c r="M3373" s="2" t="s">
        <v>26</v>
      </c>
      <c r="N3373" s="29"/>
      <c r="O3373" s="29"/>
      <c r="P3373" s="5" t="str">
        <f>IFERROR(__xludf.DUMMYFUNCTION("TEXTJOIN("" | "",TRUE,IF(OR(D3373="""",E3373="""",I3373="""",J3373="""",H3373=""""),""ফাঁকা ঘর"",""""),IF(AND(C3373&lt;&gt;"""",D3373&lt;&gt;"""",C3373=D3373),""gloss=figurative"",""""),IF(LEN(D3373)&lt;15,""figurative ছোট"",""""),IF(AND(I3373=""Positive"",REGEXMATCH(H3"&amp;"373,""মূর্খ|ভণ্ড|প্রতার|অলস|লোভ|স্বার্থ|অক্ষম|অযোগ্য|বোকা|কৃপণ|হিংস"")),""valence-target অমিল"",""""),IF(COUNTIF($B:$B,B3373)&gt;1,""ডুপ্লিকেট"",""""))"),"")</f>
        <v/>
      </c>
      <c r="Q3373" s="5" t="str">
        <f t="shared" si="1"/>
        <v>২ পরে</v>
      </c>
    </row>
    <row r="3374">
      <c r="A3374" s="4">
        <v>1184.0</v>
      </c>
      <c r="B3374" s="2" t="s">
        <v>13466</v>
      </c>
      <c r="C3374" s="2" t="s">
        <v>13467</v>
      </c>
      <c r="D3374" s="2" t="s">
        <v>13468</v>
      </c>
      <c r="E3374" s="2" t="s">
        <v>13469</v>
      </c>
      <c r="F3374" s="2" t="b">
        <v>1</v>
      </c>
      <c r="G3374" s="2" t="b">
        <v>1</v>
      </c>
      <c r="H3374" s="2" t="s">
        <v>2482</v>
      </c>
      <c r="I3374" s="2" t="s">
        <v>32</v>
      </c>
      <c r="J3374" s="2" t="s">
        <v>8895</v>
      </c>
      <c r="K3374" s="2" t="s">
        <v>376</v>
      </c>
      <c r="L3374" s="2" t="s">
        <v>391</v>
      </c>
      <c r="M3374" s="2" t="s">
        <v>26</v>
      </c>
      <c r="N3374" s="29"/>
      <c r="O3374" s="29"/>
      <c r="P3374" s="5" t="str">
        <f>IFERROR(__xludf.DUMMYFUNCTION("TEXTJOIN("" | "",TRUE,IF(OR(D3374="""",E3374="""",I3374="""",J3374="""",H3374=""""),""ফাঁকা ঘর"",""""),IF(AND(C3374&lt;&gt;"""",D3374&lt;&gt;"""",C3374=D3374),""gloss=figurative"",""""),IF(LEN(D3374)&lt;15,""figurative ছোট"",""""),IF(AND(I3374=""Positive"",REGEXMATCH(H3"&amp;"374,""মূর্খ|ভণ্ড|প্রতার|অলস|লোভ|স্বার্থ|অক্ষম|অযোগ্য|বোকা|কৃপণ|হিংস"")),""valence-target অমিল"",""""),IF(COUNTIF($B:$B,B3374)&gt;1,""ডুপ্লিকেট"",""""))"),"")</f>
        <v/>
      </c>
      <c r="Q3374" s="5" t="str">
        <f t="shared" si="1"/>
        <v>২ পরে</v>
      </c>
    </row>
    <row r="3375">
      <c r="A3375" s="4">
        <v>1185.0</v>
      </c>
      <c r="B3375" s="2" t="s">
        <v>13470</v>
      </c>
      <c r="C3375" s="2" t="s">
        <v>13471</v>
      </c>
      <c r="D3375" s="2" t="s">
        <v>13472</v>
      </c>
      <c r="E3375" s="2" t="s">
        <v>13473</v>
      </c>
      <c r="F3375" s="2" t="b">
        <v>1</v>
      </c>
      <c r="G3375" s="2" t="b">
        <v>1</v>
      </c>
      <c r="H3375" s="2" t="s">
        <v>11665</v>
      </c>
      <c r="I3375" s="2" t="s">
        <v>32</v>
      </c>
      <c r="J3375" s="2" t="s">
        <v>13474</v>
      </c>
      <c r="K3375" s="2" t="s">
        <v>376</v>
      </c>
      <c r="L3375" s="2" t="s">
        <v>391</v>
      </c>
      <c r="M3375" s="2" t="s">
        <v>26</v>
      </c>
      <c r="N3375" s="29"/>
      <c r="O3375" s="29"/>
      <c r="P3375" s="5" t="str">
        <f>IFERROR(__xludf.DUMMYFUNCTION("TEXTJOIN("" | "",TRUE,IF(OR(D3375="""",E3375="""",I3375="""",J3375="""",H3375=""""),""ফাঁকা ঘর"",""""),IF(AND(C3375&lt;&gt;"""",D3375&lt;&gt;"""",C3375=D3375),""gloss=figurative"",""""),IF(LEN(D3375)&lt;15,""figurative ছোট"",""""),IF(AND(I3375=""Positive"",REGEXMATCH(H3"&amp;"375,""মূর্খ|ভণ্ড|প্রতার|অলস|লোভ|স্বার্থ|অক্ষম|অযোগ্য|বোকা|কৃপণ|হিংস"")),""valence-target অমিল"",""""),IF(COUNTIF($B:$B,B3375)&gt;1,""ডুপ্লিকেট"",""""))"),"")</f>
        <v/>
      </c>
      <c r="Q3375" s="5" t="str">
        <f t="shared" si="1"/>
        <v>২ পরে</v>
      </c>
    </row>
    <row r="3376">
      <c r="A3376" s="4">
        <v>1186.0</v>
      </c>
      <c r="B3376" s="2" t="s">
        <v>13475</v>
      </c>
      <c r="C3376" s="2" t="s">
        <v>13476</v>
      </c>
      <c r="D3376" s="2" t="s">
        <v>13477</v>
      </c>
      <c r="E3376" s="2" t="s">
        <v>13478</v>
      </c>
      <c r="F3376" s="2" t="b">
        <v>1</v>
      </c>
      <c r="G3376" s="2" t="b">
        <v>0</v>
      </c>
      <c r="H3376" s="2" t="s">
        <v>13479</v>
      </c>
      <c r="I3376" s="2" t="s">
        <v>32</v>
      </c>
      <c r="J3376" s="2" t="s">
        <v>13452</v>
      </c>
      <c r="K3376" s="2" t="s">
        <v>376</v>
      </c>
      <c r="L3376" s="2" t="s">
        <v>391</v>
      </c>
      <c r="M3376" s="2" t="s">
        <v>26</v>
      </c>
      <c r="N3376" s="29"/>
      <c r="O3376" s="29"/>
      <c r="P3376" s="5" t="str">
        <f>IFERROR(__xludf.DUMMYFUNCTION("TEXTJOIN("" | "",TRUE,IF(OR(D3376="""",E3376="""",I3376="""",J3376="""",H3376=""""),""ফাঁকা ঘর"",""""),IF(AND(C3376&lt;&gt;"""",D3376&lt;&gt;"""",C3376=D3376),""gloss=figurative"",""""),IF(LEN(D3376)&lt;15,""figurative ছোট"",""""),IF(AND(I3376=""Positive"",REGEXMATCH(H3"&amp;"376,""মূর্খ|ভণ্ড|প্রতার|অলস|লোভ|স্বার্থ|অক্ষম|অযোগ্য|বোকা|কৃপণ|হিংস"")),""valence-target অমিল"",""""),IF(COUNTIF($B:$B,B3376)&gt;1,""ডুপ্লিকেট"",""""))"),"")</f>
        <v/>
      </c>
      <c r="Q3376" s="5" t="str">
        <f t="shared" si="1"/>
        <v>২ পরে</v>
      </c>
    </row>
    <row r="3377">
      <c r="A3377" s="4">
        <v>1187.0</v>
      </c>
      <c r="B3377" s="2" t="s">
        <v>13480</v>
      </c>
      <c r="C3377" s="2" t="s">
        <v>13481</v>
      </c>
      <c r="D3377" s="2" t="s">
        <v>13482</v>
      </c>
      <c r="E3377" s="2" t="s">
        <v>13483</v>
      </c>
      <c r="F3377" s="2" t="b">
        <v>1</v>
      </c>
      <c r="G3377" s="2" t="b">
        <v>0</v>
      </c>
      <c r="H3377" s="2" t="s">
        <v>13484</v>
      </c>
      <c r="I3377" s="2" t="s">
        <v>49</v>
      </c>
      <c r="J3377" s="2" t="s">
        <v>10356</v>
      </c>
      <c r="K3377" s="2" t="s">
        <v>376</v>
      </c>
      <c r="L3377" s="2" t="s">
        <v>391</v>
      </c>
      <c r="M3377" s="2" t="s">
        <v>26</v>
      </c>
      <c r="N3377" s="29"/>
      <c r="O3377" s="29"/>
      <c r="P3377" s="5" t="str">
        <f>IFERROR(__xludf.DUMMYFUNCTION("TEXTJOIN("" | "",TRUE,IF(OR(D3377="""",E3377="""",I3377="""",J3377="""",H3377=""""),""ফাঁকা ঘর"",""""),IF(AND(C3377&lt;&gt;"""",D3377&lt;&gt;"""",C3377=D3377),""gloss=figurative"",""""),IF(LEN(D3377)&lt;15,""figurative ছোট"",""""),IF(AND(I3377=""Positive"",REGEXMATCH(H3"&amp;"377,""মূর্খ|ভণ্ড|প্রতার|অলস|লোভ|স্বার্থ|অক্ষম|অযোগ্য|বোকা|কৃপণ|হিংস"")),""valence-target অমিল"",""""),IF(COUNTIF($B:$B,B3377)&gt;1,""ডুপ্লিকেট"",""""))"),"")</f>
        <v/>
      </c>
      <c r="Q3377" s="5" t="str">
        <f t="shared" si="1"/>
        <v>২ পরে</v>
      </c>
    </row>
    <row r="3378">
      <c r="A3378" s="4">
        <v>1188.0</v>
      </c>
      <c r="B3378" s="2" t="s">
        <v>13485</v>
      </c>
      <c r="C3378" s="2" t="s">
        <v>13486</v>
      </c>
      <c r="D3378" s="2" t="s">
        <v>10760</v>
      </c>
      <c r="E3378" s="2" t="s">
        <v>13487</v>
      </c>
      <c r="F3378" s="2" t="b">
        <v>1</v>
      </c>
      <c r="G3378" s="2" t="b">
        <v>0</v>
      </c>
      <c r="H3378" s="2" t="s">
        <v>8837</v>
      </c>
      <c r="I3378" s="2" t="s">
        <v>22</v>
      </c>
      <c r="J3378" s="2" t="s">
        <v>59</v>
      </c>
      <c r="K3378" s="2" t="s">
        <v>376</v>
      </c>
      <c r="L3378" s="2" t="s">
        <v>391</v>
      </c>
      <c r="M3378" s="2" t="s">
        <v>26</v>
      </c>
      <c r="N3378" s="29"/>
      <c r="O3378" s="29"/>
      <c r="P3378" s="5" t="str">
        <f>IFERROR(__xludf.DUMMYFUNCTION("TEXTJOIN("" | "",TRUE,IF(OR(D3378="""",E3378="""",I3378="""",J3378="""",H3378=""""),""ফাঁকা ঘর"",""""),IF(AND(C3378&lt;&gt;"""",D3378&lt;&gt;"""",C3378=D3378),""gloss=figurative"",""""),IF(LEN(D3378)&lt;15,""figurative ছোট"",""""),IF(AND(I3378=""Positive"",REGEXMATCH(H3"&amp;"378,""মূর্খ|ভণ্ড|প্রতার|অলস|লোভ|স্বার্থ|অক্ষম|অযোগ্য|বোকা|কৃপণ|হিংস"")),""valence-target অমিল"",""""),IF(COUNTIF($B:$B,B3378)&gt;1,""ডুপ্লিকেট"",""""))"),"")</f>
        <v/>
      </c>
      <c r="Q3378" s="5" t="str">
        <f t="shared" si="1"/>
        <v>২ পরে</v>
      </c>
    </row>
    <row r="3379">
      <c r="A3379" s="4">
        <v>1190.0</v>
      </c>
      <c r="B3379" s="2" t="s">
        <v>13488</v>
      </c>
      <c r="C3379" s="2" t="s">
        <v>13489</v>
      </c>
      <c r="D3379" s="2" t="s">
        <v>13490</v>
      </c>
      <c r="E3379" s="2" t="s">
        <v>13491</v>
      </c>
      <c r="F3379" s="2" t="b">
        <v>1</v>
      </c>
      <c r="G3379" s="2" t="b">
        <v>0</v>
      </c>
      <c r="H3379" s="2" t="s">
        <v>156</v>
      </c>
      <c r="I3379" s="2" t="s">
        <v>49</v>
      </c>
      <c r="J3379" s="2" t="s">
        <v>1621</v>
      </c>
      <c r="K3379" s="2" t="s">
        <v>376</v>
      </c>
      <c r="L3379" s="2" t="s">
        <v>391</v>
      </c>
      <c r="M3379" s="2" t="s">
        <v>26</v>
      </c>
      <c r="N3379" s="29"/>
      <c r="O3379" s="29"/>
      <c r="P3379" s="5" t="str">
        <f>IFERROR(__xludf.DUMMYFUNCTION("TEXTJOIN("" | "",TRUE,IF(OR(D3379="""",E3379="""",I3379="""",J3379="""",H3379=""""),""ফাঁকা ঘর"",""""),IF(AND(C3379&lt;&gt;"""",D3379&lt;&gt;"""",C3379=D3379),""gloss=figurative"",""""),IF(LEN(D3379)&lt;15,""figurative ছোট"",""""),IF(AND(I3379=""Positive"",REGEXMATCH(H3"&amp;"379,""মূর্খ|ভণ্ড|প্রতার|অলস|লোভ|স্বার্থ|অক্ষম|অযোগ্য|বোকা|কৃপণ|হিংস"")),""valence-target অমিল"",""""),IF(COUNTIF($B:$B,B3379)&gt;1,""ডুপ্লিকেট"",""""))"),"")</f>
        <v/>
      </c>
      <c r="Q3379" s="5" t="str">
        <f t="shared" si="1"/>
        <v>২ পরে</v>
      </c>
    </row>
    <row r="3380">
      <c r="A3380" s="4">
        <v>1191.0</v>
      </c>
      <c r="B3380" s="2" t="s">
        <v>13492</v>
      </c>
      <c r="C3380" s="2" t="s">
        <v>13493</v>
      </c>
      <c r="D3380" s="2" t="s">
        <v>13494</v>
      </c>
      <c r="E3380" s="2" t="s">
        <v>13495</v>
      </c>
      <c r="F3380" s="2" t="b">
        <v>1</v>
      </c>
      <c r="G3380" s="2" t="b">
        <v>0</v>
      </c>
      <c r="H3380" s="2" t="s">
        <v>13496</v>
      </c>
      <c r="I3380" s="2" t="s">
        <v>32</v>
      </c>
      <c r="J3380" s="2" t="s">
        <v>13497</v>
      </c>
      <c r="K3380" s="2" t="s">
        <v>376</v>
      </c>
      <c r="L3380" s="2" t="s">
        <v>391</v>
      </c>
      <c r="M3380" s="2" t="s">
        <v>26</v>
      </c>
      <c r="N3380" s="29"/>
      <c r="O3380" s="29"/>
      <c r="P3380" s="5" t="str">
        <f>IFERROR(__xludf.DUMMYFUNCTION("TEXTJOIN("" | "",TRUE,IF(OR(D3380="""",E3380="""",I3380="""",J3380="""",H3380=""""),""ফাঁকা ঘর"",""""),IF(AND(C3380&lt;&gt;"""",D3380&lt;&gt;"""",C3380=D3380),""gloss=figurative"",""""),IF(LEN(D3380)&lt;15,""figurative ছোট"",""""),IF(AND(I3380=""Positive"",REGEXMATCH(H3"&amp;"380,""মূর্খ|ভণ্ড|প্রতার|অলস|লোভ|স্বার্থ|অক্ষম|অযোগ্য|বোকা|কৃপণ|হিংস"")),""valence-target অমিল"",""""),IF(COUNTIF($B:$B,B3380)&gt;1,""ডুপ্লিকেট"",""""))"),"")</f>
        <v/>
      </c>
      <c r="Q3380" s="5" t="str">
        <f t="shared" si="1"/>
        <v>২ পরে</v>
      </c>
    </row>
    <row r="3381">
      <c r="A3381" s="4">
        <v>1192.0</v>
      </c>
      <c r="B3381" s="2" t="s">
        <v>13498</v>
      </c>
      <c r="C3381" s="2" t="s">
        <v>13499</v>
      </c>
      <c r="D3381" s="2" t="s">
        <v>13500</v>
      </c>
      <c r="E3381" s="2" t="s">
        <v>13501</v>
      </c>
      <c r="F3381" s="2" t="b">
        <v>1</v>
      </c>
      <c r="G3381" s="2" t="b">
        <v>0</v>
      </c>
      <c r="H3381" s="2" t="s">
        <v>13502</v>
      </c>
      <c r="I3381" s="2" t="s">
        <v>49</v>
      </c>
      <c r="J3381" s="2" t="s">
        <v>762</v>
      </c>
      <c r="K3381" s="2" t="s">
        <v>376</v>
      </c>
      <c r="L3381" s="2" t="s">
        <v>391</v>
      </c>
      <c r="M3381" s="2" t="s">
        <v>26</v>
      </c>
      <c r="N3381" s="29"/>
      <c r="O3381" s="29"/>
      <c r="P3381" s="5" t="str">
        <f>IFERROR(__xludf.DUMMYFUNCTION("TEXTJOIN("" | "",TRUE,IF(OR(D3381="""",E3381="""",I3381="""",J3381="""",H3381=""""),""ফাঁকা ঘর"",""""),IF(AND(C3381&lt;&gt;"""",D3381&lt;&gt;"""",C3381=D3381),""gloss=figurative"",""""),IF(LEN(D3381)&lt;15,""figurative ছোট"",""""),IF(AND(I3381=""Positive"",REGEXMATCH(H3"&amp;"381,""মূর্খ|ভণ্ড|প্রতার|অলস|লোভ|স্বার্থ|অক্ষম|অযোগ্য|বোকা|কৃপণ|হিংস"")),""valence-target অমিল"",""""),IF(COUNTIF($B:$B,B3381)&gt;1,""ডুপ্লিকেট"",""""))"),"")</f>
        <v/>
      </c>
      <c r="Q3381" s="5" t="str">
        <f t="shared" si="1"/>
        <v>২ পরে</v>
      </c>
    </row>
    <row r="3382">
      <c r="A3382" s="4">
        <v>1193.0</v>
      </c>
      <c r="B3382" s="2" t="s">
        <v>13503</v>
      </c>
      <c r="C3382" s="2" t="s">
        <v>13504</v>
      </c>
      <c r="D3382" s="2" t="s">
        <v>13505</v>
      </c>
      <c r="E3382" s="2" t="s">
        <v>13506</v>
      </c>
      <c r="F3382" s="2" t="b">
        <v>1</v>
      </c>
      <c r="G3382" s="2" t="b">
        <v>1</v>
      </c>
      <c r="H3382" s="2" t="s">
        <v>13507</v>
      </c>
      <c r="I3382" s="2" t="s">
        <v>22</v>
      </c>
      <c r="J3382" s="2" t="s">
        <v>9301</v>
      </c>
      <c r="K3382" s="2" t="s">
        <v>376</v>
      </c>
      <c r="L3382" s="2" t="s">
        <v>391</v>
      </c>
      <c r="M3382" s="2" t="s">
        <v>26</v>
      </c>
      <c r="N3382" s="29"/>
      <c r="O3382" s="29"/>
      <c r="P3382" s="5" t="str">
        <f>IFERROR(__xludf.DUMMYFUNCTION("TEXTJOIN("" | "",TRUE,IF(OR(D3382="""",E3382="""",I3382="""",J3382="""",H3382=""""),""ফাঁকা ঘর"",""""),IF(AND(C3382&lt;&gt;"""",D3382&lt;&gt;"""",C3382=D3382),""gloss=figurative"",""""),IF(LEN(D3382)&lt;15,""figurative ছোট"",""""),IF(AND(I3382=""Positive"",REGEXMATCH(H3"&amp;"382,""মূর্খ|ভণ্ড|প্রতার|অলস|লোভ|স্বার্থ|অক্ষম|অযোগ্য|বোকা|কৃপণ|হিংস"")),""valence-target অমিল"",""""),IF(COUNTIF($B:$B,B3382)&gt;1,""ডুপ্লিকেট"",""""))"),"")</f>
        <v/>
      </c>
      <c r="Q3382" s="5" t="str">
        <f t="shared" si="1"/>
        <v>২ পরে</v>
      </c>
    </row>
    <row r="3383">
      <c r="A3383" s="4">
        <v>1194.0</v>
      </c>
      <c r="B3383" s="2" t="s">
        <v>13508</v>
      </c>
      <c r="C3383" s="2" t="s">
        <v>13509</v>
      </c>
      <c r="D3383" s="2" t="s">
        <v>13510</v>
      </c>
      <c r="E3383" s="2" t="s">
        <v>13511</v>
      </c>
      <c r="F3383" s="2" t="b">
        <v>1</v>
      </c>
      <c r="G3383" s="2" t="b">
        <v>1</v>
      </c>
      <c r="H3383" s="2" t="s">
        <v>11665</v>
      </c>
      <c r="I3383" s="2" t="s">
        <v>22</v>
      </c>
      <c r="J3383" s="2" t="s">
        <v>1621</v>
      </c>
      <c r="K3383" s="2" t="s">
        <v>376</v>
      </c>
      <c r="L3383" s="2" t="s">
        <v>391</v>
      </c>
      <c r="M3383" s="2" t="s">
        <v>26</v>
      </c>
      <c r="N3383" s="29"/>
      <c r="O3383" s="29"/>
      <c r="P3383" s="5" t="str">
        <f>IFERROR(__xludf.DUMMYFUNCTION("TEXTJOIN("" | "",TRUE,IF(OR(D3383="""",E3383="""",I3383="""",J3383="""",H3383=""""),""ফাঁকা ঘর"",""""),IF(AND(C3383&lt;&gt;"""",D3383&lt;&gt;"""",C3383=D3383),""gloss=figurative"",""""),IF(LEN(D3383)&lt;15,""figurative ছোট"",""""),IF(AND(I3383=""Positive"",REGEXMATCH(H3"&amp;"383,""মূর্খ|ভণ্ড|প্রতার|অলস|লোভ|স্বার্থ|অক্ষম|অযোগ্য|বোকা|কৃপণ|হিংস"")),""valence-target অমিল"",""""),IF(COUNTIF($B:$B,B3383)&gt;1,""ডুপ্লিকেট"",""""))"),"")</f>
        <v/>
      </c>
      <c r="Q3383" s="5" t="str">
        <f t="shared" si="1"/>
        <v>২ পরে</v>
      </c>
    </row>
    <row r="3384">
      <c r="A3384" s="4">
        <v>1195.0</v>
      </c>
      <c r="B3384" s="2" t="s">
        <v>13512</v>
      </c>
      <c r="C3384" s="2" t="s">
        <v>13513</v>
      </c>
      <c r="D3384" s="2" t="s">
        <v>13514</v>
      </c>
      <c r="E3384" s="2" t="s">
        <v>13515</v>
      </c>
      <c r="F3384" s="2" t="b">
        <v>1</v>
      </c>
      <c r="G3384" s="2" t="b">
        <v>0</v>
      </c>
      <c r="H3384" s="2" t="s">
        <v>37</v>
      </c>
      <c r="I3384" s="2" t="s">
        <v>32</v>
      </c>
      <c r="J3384" s="2" t="s">
        <v>169</v>
      </c>
      <c r="K3384" s="2" t="s">
        <v>376</v>
      </c>
      <c r="L3384" s="2" t="s">
        <v>391</v>
      </c>
      <c r="M3384" s="2" t="s">
        <v>26</v>
      </c>
      <c r="N3384" s="29"/>
      <c r="O3384" s="29"/>
      <c r="P3384" s="5" t="str">
        <f>IFERROR(__xludf.DUMMYFUNCTION("TEXTJOIN("" | "",TRUE,IF(OR(D3384="""",E3384="""",I3384="""",J3384="""",H3384=""""),""ফাঁকা ঘর"",""""),IF(AND(C3384&lt;&gt;"""",D3384&lt;&gt;"""",C3384=D3384),""gloss=figurative"",""""),IF(LEN(D3384)&lt;15,""figurative ছোট"",""""),IF(AND(I3384=""Positive"",REGEXMATCH(H3"&amp;"384,""মূর্খ|ভণ্ড|প্রতার|অলস|লোভ|স্বার্থ|অক্ষম|অযোগ্য|বোকা|কৃপণ|হিংস"")),""valence-target অমিল"",""""),IF(COUNTIF($B:$B,B3384)&gt;1,""ডুপ্লিকেট"",""""))"),"")</f>
        <v/>
      </c>
      <c r="Q3384" s="5" t="str">
        <f t="shared" si="1"/>
        <v>২ পরে</v>
      </c>
    </row>
    <row r="3385">
      <c r="A3385" s="4">
        <v>1196.0</v>
      </c>
      <c r="B3385" s="2" t="s">
        <v>13516</v>
      </c>
      <c r="C3385" s="2" t="s">
        <v>13517</v>
      </c>
      <c r="D3385" s="2" t="s">
        <v>13518</v>
      </c>
      <c r="E3385" s="2" t="s">
        <v>13519</v>
      </c>
      <c r="F3385" s="2" t="b">
        <v>1</v>
      </c>
      <c r="G3385" s="2" t="b">
        <v>0</v>
      </c>
      <c r="H3385" s="2" t="s">
        <v>13520</v>
      </c>
      <c r="I3385" s="2" t="s">
        <v>49</v>
      </c>
      <c r="J3385" s="2" t="s">
        <v>357</v>
      </c>
      <c r="K3385" s="2" t="s">
        <v>376</v>
      </c>
      <c r="L3385" s="2" t="s">
        <v>391</v>
      </c>
      <c r="M3385" s="2" t="s">
        <v>26</v>
      </c>
      <c r="N3385" s="29"/>
      <c r="O3385" s="29"/>
      <c r="P3385" s="5" t="str">
        <f>IFERROR(__xludf.DUMMYFUNCTION("TEXTJOIN("" | "",TRUE,IF(OR(D3385="""",E3385="""",I3385="""",J3385="""",H3385=""""),""ফাঁকা ঘর"",""""),IF(AND(C3385&lt;&gt;"""",D3385&lt;&gt;"""",C3385=D3385),""gloss=figurative"",""""),IF(LEN(D3385)&lt;15,""figurative ছোট"",""""),IF(AND(I3385=""Positive"",REGEXMATCH(H3"&amp;"385,""মূর্খ|ভণ্ড|প্রতার|অলস|লোভ|স্বার্থ|অক্ষম|অযোগ্য|বোকা|কৃপণ|হিংস"")),""valence-target অমিল"",""""),IF(COUNTIF($B:$B,B3385)&gt;1,""ডুপ্লিকেট"",""""))"),"")</f>
        <v/>
      </c>
      <c r="Q3385" s="5" t="str">
        <f t="shared" si="1"/>
        <v>২ পরে</v>
      </c>
    </row>
    <row r="3386">
      <c r="A3386" s="4">
        <v>1197.0</v>
      </c>
      <c r="B3386" s="2" t="s">
        <v>13521</v>
      </c>
      <c r="C3386" s="2" t="s">
        <v>13521</v>
      </c>
      <c r="D3386" s="2" t="s">
        <v>13522</v>
      </c>
      <c r="E3386" s="2" t="s">
        <v>13523</v>
      </c>
      <c r="F3386" s="2" t="b">
        <v>1</v>
      </c>
      <c r="G3386" s="2" t="b">
        <v>0</v>
      </c>
      <c r="H3386" s="2" t="s">
        <v>10217</v>
      </c>
      <c r="I3386" s="2" t="s">
        <v>49</v>
      </c>
      <c r="J3386" s="2" t="s">
        <v>1259</v>
      </c>
      <c r="K3386" s="2" t="s">
        <v>376</v>
      </c>
      <c r="L3386" s="2" t="s">
        <v>391</v>
      </c>
      <c r="M3386" s="2" t="s">
        <v>26</v>
      </c>
      <c r="N3386" s="29"/>
      <c r="O3386" s="29"/>
      <c r="P3386" s="5" t="str">
        <f>IFERROR(__xludf.DUMMYFUNCTION("TEXTJOIN("" | "",TRUE,IF(OR(D3386="""",E3386="""",I3386="""",J3386="""",H3386=""""),""ফাঁকা ঘর"",""""),IF(AND(C3386&lt;&gt;"""",D3386&lt;&gt;"""",C3386=D3386),""gloss=figurative"",""""),IF(LEN(D3386)&lt;15,""figurative ছোট"",""""),IF(AND(I3386=""Positive"",REGEXMATCH(H3"&amp;"386,""মূর্খ|ভণ্ড|প্রতার|অলস|লোভ|স্বার্থ|অক্ষম|অযোগ্য|বোকা|কৃপণ|হিংস"")),""valence-target অমিল"",""""),IF(COUNTIF($B:$B,B3386)&gt;1,""ডুপ্লিকেট"",""""))"),"")</f>
        <v/>
      </c>
      <c r="Q3386" s="5" t="str">
        <f t="shared" si="1"/>
        <v>২ পরে</v>
      </c>
    </row>
    <row r="3387">
      <c r="A3387" s="4">
        <v>1198.0</v>
      </c>
      <c r="B3387" s="2" t="s">
        <v>13524</v>
      </c>
      <c r="C3387" s="2" t="s">
        <v>13525</v>
      </c>
      <c r="D3387" s="2" t="s">
        <v>13526</v>
      </c>
      <c r="E3387" s="2" t="s">
        <v>13527</v>
      </c>
      <c r="F3387" s="2" t="b">
        <v>1</v>
      </c>
      <c r="G3387" s="2" t="b">
        <v>0</v>
      </c>
      <c r="H3387" s="2" t="s">
        <v>1669</v>
      </c>
      <c r="I3387" s="2" t="s">
        <v>49</v>
      </c>
      <c r="J3387" s="2" t="s">
        <v>739</v>
      </c>
      <c r="K3387" s="2" t="s">
        <v>376</v>
      </c>
      <c r="L3387" s="2" t="s">
        <v>391</v>
      </c>
      <c r="M3387" s="2" t="s">
        <v>26</v>
      </c>
      <c r="N3387" s="29"/>
      <c r="O3387" s="29"/>
      <c r="P3387" s="5" t="str">
        <f>IFERROR(__xludf.DUMMYFUNCTION("TEXTJOIN("" | "",TRUE,IF(OR(D3387="""",E3387="""",I3387="""",J3387="""",H3387=""""),""ফাঁকা ঘর"",""""),IF(AND(C3387&lt;&gt;"""",D3387&lt;&gt;"""",C3387=D3387),""gloss=figurative"",""""),IF(LEN(D3387)&lt;15,""figurative ছোট"",""""),IF(AND(I3387=""Positive"",REGEXMATCH(H3"&amp;"387,""মূর্খ|ভণ্ড|প্রতার|অলস|লোভ|স্বার্থ|অক্ষম|অযোগ্য|বোকা|কৃপণ|হিংস"")),""valence-target অমিল"",""""),IF(COUNTIF($B:$B,B3387)&gt;1,""ডুপ্লিকেট"",""""))"),"")</f>
        <v/>
      </c>
      <c r="Q3387" s="5" t="str">
        <f t="shared" si="1"/>
        <v>২ পরে</v>
      </c>
    </row>
    <row r="3388">
      <c r="A3388" s="4">
        <v>1199.0</v>
      </c>
      <c r="B3388" s="2" t="s">
        <v>13528</v>
      </c>
      <c r="C3388" s="2" t="s">
        <v>13529</v>
      </c>
      <c r="D3388" s="2" t="s">
        <v>13530</v>
      </c>
      <c r="E3388" s="2" t="s">
        <v>13531</v>
      </c>
      <c r="F3388" s="2" t="b">
        <v>1</v>
      </c>
      <c r="G3388" s="2" t="b">
        <v>0</v>
      </c>
      <c r="H3388" s="2" t="s">
        <v>37</v>
      </c>
      <c r="I3388" s="2" t="s">
        <v>32</v>
      </c>
      <c r="J3388" s="2" t="s">
        <v>2002</v>
      </c>
      <c r="K3388" s="2" t="s">
        <v>376</v>
      </c>
      <c r="L3388" s="2" t="s">
        <v>391</v>
      </c>
      <c r="M3388" s="2" t="s">
        <v>26</v>
      </c>
      <c r="N3388" s="29"/>
      <c r="O3388" s="29"/>
      <c r="P3388" s="5" t="str">
        <f>IFERROR(__xludf.DUMMYFUNCTION("TEXTJOIN("" | "",TRUE,IF(OR(D3388="""",E3388="""",I3388="""",J3388="""",H3388=""""),""ফাঁকা ঘর"",""""),IF(AND(C3388&lt;&gt;"""",D3388&lt;&gt;"""",C3388=D3388),""gloss=figurative"",""""),IF(LEN(D3388)&lt;15,""figurative ছোট"",""""),IF(AND(I3388=""Positive"",REGEXMATCH(H3"&amp;"388,""মূর্খ|ভণ্ড|প্রতার|অলস|লোভ|স্বার্থ|অক্ষম|অযোগ্য|বোকা|কৃপণ|হিংস"")),""valence-target অমিল"",""""),IF(COUNTIF($B:$B,B3388)&gt;1,""ডুপ্লিকেট"",""""))"),"")</f>
        <v/>
      </c>
      <c r="Q3388" s="5" t="str">
        <f t="shared" si="1"/>
        <v>২ পরে</v>
      </c>
    </row>
    <row r="3389">
      <c r="A3389" s="4">
        <v>1200.0</v>
      </c>
      <c r="B3389" s="2" t="s">
        <v>13532</v>
      </c>
      <c r="C3389" s="2" t="s">
        <v>13532</v>
      </c>
      <c r="D3389" s="2" t="s">
        <v>13533</v>
      </c>
      <c r="E3389" s="2" t="s">
        <v>13534</v>
      </c>
      <c r="F3389" s="2" t="b">
        <v>1</v>
      </c>
      <c r="G3389" s="2" t="b">
        <v>0</v>
      </c>
      <c r="H3389" s="2" t="s">
        <v>37</v>
      </c>
      <c r="I3389" s="2" t="s">
        <v>32</v>
      </c>
      <c r="J3389" s="2" t="s">
        <v>162</v>
      </c>
      <c r="K3389" s="2" t="s">
        <v>376</v>
      </c>
      <c r="L3389" s="2" t="s">
        <v>391</v>
      </c>
      <c r="M3389" s="2" t="s">
        <v>26</v>
      </c>
      <c r="N3389" s="29"/>
      <c r="O3389" s="29"/>
      <c r="P3389" s="5" t="str">
        <f>IFERROR(__xludf.DUMMYFUNCTION("TEXTJOIN("" | "",TRUE,IF(OR(D3389="""",E3389="""",I3389="""",J3389="""",H3389=""""),""ফাঁকা ঘর"",""""),IF(AND(C3389&lt;&gt;"""",D3389&lt;&gt;"""",C3389=D3389),""gloss=figurative"",""""),IF(LEN(D3389)&lt;15,""figurative ছোট"",""""),IF(AND(I3389=""Positive"",REGEXMATCH(H3"&amp;"389,""মূর্খ|ভণ্ড|প্রতার|অলস|লোভ|স্বার্থ|অক্ষম|অযোগ্য|বোকা|কৃপণ|হিংস"")),""valence-target অমিল"",""""),IF(COUNTIF($B:$B,B3389)&gt;1,""ডুপ্লিকেট"",""""))"),"")</f>
        <v/>
      </c>
      <c r="Q3389" s="5" t="str">
        <f t="shared" si="1"/>
        <v>২ পরে</v>
      </c>
    </row>
    <row r="3390">
      <c r="A3390" s="4">
        <v>1201.0</v>
      </c>
      <c r="B3390" s="2" t="s">
        <v>13535</v>
      </c>
      <c r="C3390" s="2" t="s">
        <v>13536</v>
      </c>
      <c r="D3390" s="2" t="s">
        <v>13537</v>
      </c>
      <c r="E3390" s="2" t="s">
        <v>13538</v>
      </c>
      <c r="F3390" s="2" t="b">
        <v>1</v>
      </c>
      <c r="G3390" s="2" t="b">
        <v>0</v>
      </c>
      <c r="H3390" s="2" t="s">
        <v>11823</v>
      </c>
      <c r="I3390" s="2" t="s">
        <v>22</v>
      </c>
      <c r="J3390" s="2" t="s">
        <v>59</v>
      </c>
      <c r="K3390" s="2" t="s">
        <v>376</v>
      </c>
      <c r="L3390" s="2" t="s">
        <v>391</v>
      </c>
      <c r="M3390" s="2" t="s">
        <v>26</v>
      </c>
      <c r="N3390" s="29"/>
      <c r="O3390" s="29"/>
      <c r="P3390" s="5" t="str">
        <f>IFERROR(__xludf.DUMMYFUNCTION("TEXTJOIN("" | "",TRUE,IF(OR(D3390="""",E3390="""",I3390="""",J3390="""",H3390=""""),""ফাঁকা ঘর"",""""),IF(AND(C3390&lt;&gt;"""",D3390&lt;&gt;"""",C3390=D3390),""gloss=figurative"",""""),IF(LEN(D3390)&lt;15,""figurative ছোট"",""""),IF(AND(I3390=""Positive"",REGEXMATCH(H3"&amp;"390,""মূর্খ|ভণ্ড|প্রতার|অলস|লোভ|স্বার্থ|অক্ষম|অযোগ্য|বোকা|কৃপণ|হিংস"")),""valence-target অমিল"",""""),IF(COUNTIF($B:$B,B3390)&gt;1,""ডুপ্লিকেট"",""""))"),"")</f>
        <v/>
      </c>
      <c r="Q3390" s="5" t="str">
        <f t="shared" si="1"/>
        <v>২ পরে</v>
      </c>
    </row>
    <row r="3391">
      <c r="A3391" s="4">
        <v>1202.0</v>
      </c>
      <c r="B3391" s="2" t="s">
        <v>13539</v>
      </c>
      <c r="C3391" s="2" t="s">
        <v>13540</v>
      </c>
      <c r="D3391" s="2" t="s">
        <v>13541</v>
      </c>
      <c r="E3391" s="2" t="s">
        <v>13542</v>
      </c>
      <c r="F3391" s="2" t="b">
        <v>1</v>
      </c>
      <c r="G3391" s="2" t="b">
        <v>0</v>
      </c>
      <c r="H3391" s="2" t="s">
        <v>13417</v>
      </c>
      <c r="I3391" s="2" t="s">
        <v>49</v>
      </c>
      <c r="J3391" s="2" t="s">
        <v>10356</v>
      </c>
      <c r="K3391" s="2" t="s">
        <v>376</v>
      </c>
      <c r="L3391" s="2" t="s">
        <v>391</v>
      </c>
      <c r="M3391" s="2" t="s">
        <v>26</v>
      </c>
      <c r="N3391" s="29"/>
      <c r="O3391" s="29"/>
      <c r="P3391" s="5" t="str">
        <f>IFERROR(__xludf.DUMMYFUNCTION("TEXTJOIN("" | "",TRUE,IF(OR(D3391="""",E3391="""",I3391="""",J3391="""",H3391=""""),""ফাঁকা ঘর"",""""),IF(AND(C3391&lt;&gt;"""",D3391&lt;&gt;"""",C3391=D3391),""gloss=figurative"",""""),IF(LEN(D3391)&lt;15,""figurative ছোট"",""""),IF(AND(I3391=""Positive"",REGEXMATCH(H3"&amp;"391,""মূর্খ|ভণ্ড|প্রতার|অলস|লোভ|স্বার্থ|অক্ষম|অযোগ্য|বোকা|কৃপণ|হিংস"")),""valence-target অমিল"",""""),IF(COUNTIF($B:$B,B3391)&gt;1,""ডুপ্লিকেট"",""""))"),"")</f>
        <v/>
      </c>
      <c r="Q3391" s="5" t="str">
        <f t="shared" si="1"/>
        <v>২ পরে</v>
      </c>
    </row>
    <row r="3392">
      <c r="A3392" s="4">
        <v>1203.0</v>
      </c>
      <c r="B3392" s="2" t="s">
        <v>13543</v>
      </c>
      <c r="C3392" s="2" t="s">
        <v>13544</v>
      </c>
      <c r="D3392" s="2" t="s">
        <v>13545</v>
      </c>
      <c r="E3392" s="2" t="s">
        <v>13546</v>
      </c>
      <c r="F3392" s="2" t="b">
        <v>1</v>
      </c>
      <c r="G3392" s="2" t="b">
        <v>0</v>
      </c>
      <c r="H3392" s="2" t="s">
        <v>37</v>
      </c>
      <c r="I3392" s="2" t="s">
        <v>22</v>
      </c>
      <c r="J3392" s="2" t="s">
        <v>59</v>
      </c>
      <c r="K3392" s="2" t="s">
        <v>376</v>
      </c>
      <c r="L3392" s="2" t="s">
        <v>391</v>
      </c>
      <c r="M3392" s="2" t="s">
        <v>26</v>
      </c>
      <c r="N3392" s="29"/>
      <c r="O3392" s="29"/>
      <c r="P3392" s="5" t="str">
        <f>IFERROR(__xludf.DUMMYFUNCTION("TEXTJOIN("" | "",TRUE,IF(OR(D3392="""",E3392="""",I3392="""",J3392="""",H3392=""""),""ফাঁকা ঘর"",""""),IF(AND(C3392&lt;&gt;"""",D3392&lt;&gt;"""",C3392=D3392),""gloss=figurative"",""""),IF(LEN(D3392)&lt;15,""figurative ছোট"",""""),IF(AND(I3392=""Positive"",REGEXMATCH(H3"&amp;"392,""মূর্খ|ভণ্ড|প্রতার|অলস|লোভ|স্বার্থ|অক্ষম|অযোগ্য|বোকা|কৃপণ|হিংস"")),""valence-target অমিল"",""""),IF(COUNTIF($B:$B,B3392)&gt;1,""ডুপ্লিকেট"",""""))"),"")</f>
        <v/>
      </c>
      <c r="Q3392" s="5" t="str">
        <f t="shared" si="1"/>
        <v>২ পরে</v>
      </c>
    </row>
    <row r="3393">
      <c r="A3393" s="4">
        <v>1204.0</v>
      </c>
      <c r="B3393" s="2" t="s">
        <v>13547</v>
      </c>
      <c r="C3393" s="2" t="s">
        <v>13548</v>
      </c>
      <c r="D3393" s="2" t="s">
        <v>13549</v>
      </c>
      <c r="E3393" s="2" t="s">
        <v>13550</v>
      </c>
      <c r="F3393" s="2" t="b">
        <v>1</v>
      </c>
      <c r="G3393" s="2" t="b">
        <v>0</v>
      </c>
      <c r="H3393" s="2" t="s">
        <v>37</v>
      </c>
      <c r="I3393" s="2" t="s">
        <v>22</v>
      </c>
      <c r="J3393" s="2" t="s">
        <v>10356</v>
      </c>
      <c r="K3393" s="2" t="s">
        <v>376</v>
      </c>
      <c r="L3393" s="2" t="s">
        <v>391</v>
      </c>
      <c r="M3393" s="2" t="s">
        <v>26</v>
      </c>
      <c r="N3393" s="29"/>
      <c r="O3393" s="29"/>
      <c r="P3393" s="5" t="str">
        <f>IFERROR(__xludf.DUMMYFUNCTION("TEXTJOIN("" | "",TRUE,IF(OR(D3393="""",E3393="""",I3393="""",J3393="""",H3393=""""),""ফাঁকা ঘর"",""""),IF(AND(C3393&lt;&gt;"""",D3393&lt;&gt;"""",C3393=D3393),""gloss=figurative"",""""),IF(LEN(D3393)&lt;15,""figurative ছোট"",""""),IF(AND(I3393=""Positive"",REGEXMATCH(H3"&amp;"393,""মূর্খ|ভণ্ড|প্রতার|অলস|লোভ|স্বার্থ|অক্ষম|অযোগ্য|বোকা|কৃপণ|হিংস"")),""valence-target অমিল"",""""),IF(COUNTIF($B:$B,B3393)&gt;1,""ডুপ্লিকেট"",""""))"),"")</f>
        <v/>
      </c>
      <c r="Q3393" s="5" t="str">
        <f t="shared" si="1"/>
        <v>২ পরে</v>
      </c>
    </row>
    <row r="3394">
      <c r="A3394" s="4">
        <v>1205.0</v>
      </c>
      <c r="B3394" s="2" t="s">
        <v>13551</v>
      </c>
      <c r="C3394" s="2" t="s">
        <v>13552</v>
      </c>
      <c r="D3394" s="2" t="s">
        <v>13553</v>
      </c>
      <c r="E3394" s="2" t="s">
        <v>13554</v>
      </c>
      <c r="F3394" s="2" t="b">
        <v>1</v>
      </c>
      <c r="G3394" s="2" t="b">
        <v>0</v>
      </c>
      <c r="H3394" s="2" t="s">
        <v>13417</v>
      </c>
      <c r="I3394" s="2" t="s">
        <v>32</v>
      </c>
      <c r="J3394" s="2" t="s">
        <v>123</v>
      </c>
      <c r="K3394" s="2" t="s">
        <v>376</v>
      </c>
      <c r="L3394" s="2" t="s">
        <v>391</v>
      </c>
      <c r="M3394" s="2" t="s">
        <v>26</v>
      </c>
      <c r="N3394" s="29"/>
      <c r="O3394" s="29"/>
      <c r="P3394" s="5" t="str">
        <f>IFERROR(__xludf.DUMMYFUNCTION("TEXTJOIN("" | "",TRUE,IF(OR(D3394="""",E3394="""",I3394="""",J3394="""",H3394=""""),""ফাঁকা ঘর"",""""),IF(AND(C3394&lt;&gt;"""",D3394&lt;&gt;"""",C3394=D3394),""gloss=figurative"",""""),IF(LEN(D3394)&lt;15,""figurative ছোট"",""""),IF(AND(I3394=""Positive"",REGEXMATCH(H3"&amp;"394,""মূর্খ|ভণ্ড|প্রতার|অলস|লোভ|স্বার্থ|অক্ষম|অযোগ্য|বোকা|কৃপণ|হিংস"")),""valence-target অমিল"",""""),IF(COUNTIF($B:$B,B3394)&gt;1,""ডুপ্লিকেট"",""""))"),"")</f>
        <v/>
      </c>
      <c r="Q3394" s="5" t="str">
        <f t="shared" si="1"/>
        <v>২ পরে</v>
      </c>
    </row>
    <row r="3395">
      <c r="A3395" s="4">
        <v>1206.0</v>
      </c>
      <c r="B3395" s="2" t="s">
        <v>13555</v>
      </c>
      <c r="C3395" s="2" t="s">
        <v>13556</v>
      </c>
      <c r="D3395" s="2" t="s">
        <v>13557</v>
      </c>
      <c r="E3395" s="2" t="s">
        <v>13558</v>
      </c>
      <c r="F3395" s="2" t="b">
        <v>1</v>
      </c>
      <c r="G3395" s="2" t="b">
        <v>0</v>
      </c>
      <c r="H3395" s="2" t="s">
        <v>37</v>
      </c>
      <c r="I3395" s="2" t="s">
        <v>32</v>
      </c>
      <c r="J3395" s="2" t="s">
        <v>162</v>
      </c>
      <c r="K3395" s="2" t="s">
        <v>376</v>
      </c>
      <c r="L3395" s="2" t="s">
        <v>391</v>
      </c>
      <c r="M3395" s="2" t="s">
        <v>26</v>
      </c>
      <c r="N3395" s="29"/>
      <c r="O3395" s="29"/>
      <c r="P3395" s="5" t="str">
        <f>IFERROR(__xludf.DUMMYFUNCTION("TEXTJOIN("" | "",TRUE,IF(OR(D3395="""",E3395="""",I3395="""",J3395="""",H3395=""""),""ফাঁকা ঘর"",""""),IF(AND(C3395&lt;&gt;"""",D3395&lt;&gt;"""",C3395=D3395),""gloss=figurative"",""""),IF(LEN(D3395)&lt;15,""figurative ছোট"",""""),IF(AND(I3395=""Positive"",REGEXMATCH(H3"&amp;"395,""মূর্খ|ভণ্ড|প্রতার|অলস|লোভ|স্বার্থ|অক্ষম|অযোগ্য|বোকা|কৃপণ|হিংস"")),""valence-target অমিল"",""""),IF(COUNTIF($B:$B,B3395)&gt;1,""ডুপ্লিকেট"",""""))"),"")</f>
        <v/>
      </c>
      <c r="Q3395" s="5" t="str">
        <f t="shared" si="1"/>
        <v>২ পরে</v>
      </c>
    </row>
    <row r="3396">
      <c r="A3396" s="4">
        <v>1207.0</v>
      </c>
      <c r="B3396" s="2" t="s">
        <v>13559</v>
      </c>
      <c r="C3396" s="2" t="s">
        <v>13560</v>
      </c>
      <c r="D3396" s="2" t="s">
        <v>13561</v>
      </c>
      <c r="E3396" s="2" t="s">
        <v>13562</v>
      </c>
      <c r="F3396" s="2" t="b">
        <v>1</v>
      </c>
      <c r="G3396" s="2" t="b">
        <v>0</v>
      </c>
      <c r="H3396" s="2" t="s">
        <v>13563</v>
      </c>
      <c r="I3396" s="2" t="s">
        <v>32</v>
      </c>
      <c r="J3396" s="2" t="s">
        <v>286</v>
      </c>
      <c r="K3396" s="2" t="s">
        <v>376</v>
      </c>
      <c r="L3396" s="2" t="s">
        <v>391</v>
      </c>
      <c r="M3396" s="2" t="s">
        <v>26</v>
      </c>
      <c r="N3396" s="29"/>
      <c r="O3396" s="29"/>
      <c r="P3396" s="5" t="str">
        <f>IFERROR(__xludf.DUMMYFUNCTION("TEXTJOIN("" | "",TRUE,IF(OR(D3396="""",E3396="""",I3396="""",J3396="""",H3396=""""),""ফাঁকা ঘর"",""""),IF(AND(C3396&lt;&gt;"""",D3396&lt;&gt;"""",C3396=D3396),""gloss=figurative"",""""),IF(LEN(D3396)&lt;15,""figurative ছোট"",""""),IF(AND(I3396=""Positive"",REGEXMATCH(H3"&amp;"396,""মূর্খ|ভণ্ড|প্রতার|অলস|লোভ|স্বার্থ|অক্ষম|অযোগ্য|বোকা|কৃপণ|হিংস"")),""valence-target অমিল"",""""),IF(COUNTIF($B:$B,B3396)&gt;1,""ডুপ্লিকেট"",""""))"),"")</f>
        <v/>
      </c>
      <c r="Q3396" s="5" t="str">
        <f t="shared" si="1"/>
        <v>২ পরে</v>
      </c>
    </row>
    <row r="3397">
      <c r="A3397" s="4">
        <v>1208.0</v>
      </c>
      <c r="B3397" s="2" t="s">
        <v>13564</v>
      </c>
      <c r="C3397" s="2" t="s">
        <v>13565</v>
      </c>
      <c r="D3397" s="2" t="s">
        <v>13566</v>
      </c>
      <c r="E3397" s="2" t="s">
        <v>13567</v>
      </c>
      <c r="F3397" s="2" t="b">
        <v>1</v>
      </c>
      <c r="G3397" s="2" t="b">
        <v>0</v>
      </c>
      <c r="H3397" s="2" t="s">
        <v>13568</v>
      </c>
      <c r="I3397" s="2" t="s">
        <v>32</v>
      </c>
      <c r="J3397" s="2" t="s">
        <v>169</v>
      </c>
      <c r="K3397" s="2" t="s">
        <v>376</v>
      </c>
      <c r="L3397" s="2" t="s">
        <v>391</v>
      </c>
      <c r="M3397" s="2" t="s">
        <v>26</v>
      </c>
      <c r="N3397" s="29"/>
      <c r="O3397" s="29"/>
      <c r="P3397" s="5" t="str">
        <f>IFERROR(__xludf.DUMMYFUNCTION("TEXTJOIN("" | "",TRUE,IF(OR(D3397="""",E3397="""",I3397="""",J3397="""",H3397=""""),""ফাঁকা ঘর"",""""),IF(AND(C3397&lt;&gt;"""",D3397&lt;&gt;"""",C3397=D3397),""gloss=figurative"",""""),IF(LEN(D3397)&lt;15,""figurative ছোট"",""""),IF(AND(I3397=""Positive"",REGEXMATCH(H3"&amp;"397,""মূর্খ|ভণ্ড|প্রতার|অলস|লোভ|স্বার্থ|অক্ষম|অযোগ্য|বোকা|কৃপণ|হিংস"")),""valence-target অমিল"",""""),IF(COUNTIF($B:$B,B3397)&gt;1,""ডুপ্লিকেট"",""""))"),"")</f>
        <v/>
      </c>
      <c r="Q3397" s="5" t="str">
        <f t="shared" si="1"/>
        <v>২ পরে</v>
      </c>
    </row>
    <row r="3398">
      <c r="A3398" s="4">
        <v>1209.0</v>
      </c>
      <c r="B3398" s="2" t="s">
        <v>13569</v>
      </c>
      <c r="C3398" s="2" t="s">
        <v>13570</v>
      </c>
      <c r="D3398" s="2" t="s">
        <v>13571</v>
      </c>
      <c r="E3398" s="2" t="s">
        <v>13572</v>
      </c>
      <c r="F3398" s="2" t="b">
        <v>1</v>
      </c>
      <c r="G3398" s="2" t="b">
        <v>0</v>
      </c>
      <c r="H3398" s="2" t="s">
        <v>37</v>
      </c>
      <c r="I3398" s="2" t="s">
        <v>32</v>
      </c>
      <c r="J3398" s="2" t="s">
        <v>13060</v>
      </c>
      <c r="K3398" s="2" t="s">
        <v>376</v>
      </c>
      <c r="L3398" s="2" t="s">
        <v>391</v>
      </c>
      <c r="M3398" s="2" t="s">
        <v>26</v>
      </c>
      <c r="N3398" s="29"/>
      <c r="O3398" s="29"/>
      <c r="P3398" s="5" t="str">
        <f>IFERROR(__xludf.DUMMYFUNCTION("TEXTJOIN("" | "",TRUE,IF(OR(D3398="""",E3398="""",I3398="""",J3398="""",H3398=""""),""ফাঁকা ঘর"",""""),IF(AND(C3398&lt;&gt;"""",D3398&lt;&gt;"""",C3398=D3398),""gloss=figurative"",""""),IF(LEN(D3398)&lt;15,""figurative ছোট"",""""),IF(AND(I3398=""Positive"",REGEXMATCH(H3"&amp;"398,""মূর্খ|ভণ্ড|প্রতার|অলস|লোভ|স্বার্থ|অক্ষম|অযোগ্য|বোকা|কৃপণ|হিংস"")),""valence-target অমিল"",""""),IF(COUNTIF($B:$B,B3398)&gt;1,""ডুপ্লিকেট"",""""))"),"")</f>
        <v/>
      </c>
      <c r="Q3398" s="5" t="str">
        <f t="shared" si="1"/>
        <v>২ পরে</v>
      </c>
    </row>
    <row r="3399">
      <c r="A3399" s="4">
        <v>1210.0</v>
      </c>
      <c r="B3399" s="2" t="s">
        <v>13573</v>
      </c>
      <c r="C3399" s="2" t="s">
        <v>13574</v>
      </c>
      <c r="D3399" s="2" t="s">
        <v>13575</v>
      </c>
      <c r="E3399" s="2" t="s">
        <v>13576</v>
      </c>
      <c r="F3399" s="2" t="b">
        <v>1</v>
      </c>
      <c r="G3399" s="2" t="b">
        <v>1</v>
      </c>
      <c r="H3399" s="2" t="s">
        <v>12997</v>
      </c>
      <c r="I3399" s="2" t="s">
        <v>22</v>
      </c>
      <c r="J3399" s="2" t="s">
        <v>9301</v>
      </c>
      <c r="K3399" s="2" t="s">
        <v>376</v>
      </c>
      <c r="L3399" s="2" t="s">
        <v>391</v>
      </c>
      <c r="M3399" s="2" t="s">
        <v>26</v>
      </c>
      <c r="N3399" s="29"/>
      <c r="O3399" s="29"/>
      <c r="P3399" s="5" t="str">
        <f>IFERROR(__xludf.DUMMYFUNCTION("TEXTJOIN("" | "",TRUE,IF(OR(D3399="""",E3399="""",I3399="""",J3399="""",H3399=""""),""ফাঁকা ঘর"",""""),IF(AND(C3399&lt;&gt;"""",D3399&lt;&gt;"""",C3399=D3399),""gloss=figurative"",""""),IF(LEN(D3399)&lt;15,""figurative ছোট"",""""),IF(AND(I3399=""Positive"",REGEXMATCH(H3"&amp;"399,""মূর্খ|ভণ্ড|প্রতার|অলস|লোভ|স্বার্থ|অক্ষম|অযোগ্য|বোকা|কৃপণ|হিংস"")),""valence-target অমিল"",""""),IF(COUNTIF($B:$B,B3399)&gt;1,""ডুপ্লিকেট"",""""))"),"")</f>
        <v/>
      </c>
      <c r="Q3399" s="5" t="str">
        <f t="shared" si="1"/>
        <v>২ পরে</v>
      </c>
    </row>
    <row r="3400">
      <c r="A3400" s="4">
        <v>1211.0</v>
      </c>
      <c r="B3400" s="2" t="s">
        <v>13577</v>
      </c>
      <c r="C3400" s="2" t="s">
        <v>13578</v>
      </c>
      <c r="D3400" s="2" t="s">
        <v>13579</v>
      </c>
      <c r="E3400" s="2" t="s">
        <v>13580</v>
      </c>
      <c r="F3400" s="2" t="b">
        <v>1</v>
      </c>
      <c r="G3400" s="2" t="b">
        <v>1</v>
      </c>
      <c r="H3400" s="2" t="s">
        <v>13581</v>
      </c>
      <c r="I3400" s="2" t="s">
        <v>22</v>
      </c>
      <c r="J3400" s="2" t="s">
        <v>9943</v>
      </c>
      <c r="K3400" s="2" t="s">
        <v>376</v>
      </c>
      <c r="L3400" s="2" t="s">
        <v>391</v>
      </c>
      <c r="M3400" s="2" t="s">
        <v>26</v>
      </c>
      <c r="N3400" s="29"/>
      <c r="O3400" s="29"/>
      <c r="P3400" s="5" t="str">
        <f>IFERROR(__xludf.DUMMYFUNCTION("TEXTJOIN("" | "",TRUE,IF(OR(D3400="""",E3400="""",I3400="""",J3400="""",H3400=""""),""ফাঁকা ঘর"",""""),IF(AND(C3400&lt;&gt;"""",D3400&lt;&gt;"""",C3400=D3400),""gloss=figurative"",""""),IF(LEN(D3400)&lt;15,""figurative ছোট"",""""),IF(AND(I3400=""Positive"",REGEXMATCH(H3"&amp;"400,""মূর্খ|ভণ্ড|প্রতার|অলস|লোভ|স্বার্থ|অক্ষম|অযোগ্য|বোকা|কৃপণ|হিংস"")),""valence-target অমিল"",""""),IF(COUNTIF($B:$B,B3400)&gt;1,""ডুপ্লিকেট"",""""))"),"")</f>
        <v/>
      </c>
      <c r="Q3400" s="5" t="str">
        <f t="shared" si="1"/>
        <v>২ পরে</v>
      </c>
    </row>
    <row r="3401">
      <c r="A3401" s="4">
        <v>1212.0</v>
      </c>
      <c r="B3401" s="2" t="s">
        <v>13582</v>
      </c>
      <c r="C3401" s="2" t="s">
        <v>13583</v>
      </c>
      <c r="D3401" s="2" t="s">
        <v>13584</v>
      </c>
      <c r="E3401" s="2" t="s">
        <v>13585</v>
      </c>
      <c r="F3401" s="2" t="b">
        <v>1</v>
      </c>
      <c r="G3401" s="2" t="b">
        <v>0</v>
      </c>
      <c r="H3401" s="2" t="s">
        <v>37</v>
      </c>
      <c r="I3401" s="2" t="s">
        <v>32</v>
      </c>
      <c r="J3401" s="2" t="s">
        <v>286</v>
      </c>
      <c r="K3401" s="2" t="s">
        <v>376</v>
      </c>
      <c r="L3401" s="2" t="s">
        <v>391</v>
      </c>
      <c r="M3401" s="2" t="s">
        <v>26</v>
      </c>
      <c r="N3401" s="29"/>
      <c r="O3401" s="29"/>
      <c r="P3401" s="5" t="str">
        <f>IFERROR(__xludf.DUMMYFUNCTION("TEXTJOIN("" | "",TRUE,IF(OR(D3401="""",E3401="""",I3401="""",J3401="""",H3401=""""),""ফাঁকা ঘর"",""""),IF(AND(C3401&lt;&gt;"""",D3401&lt;&gt;"""",C3401=D3401),""gloss=figurative"",""""),IF(LEN(D3401)&lt;15,""figurative ছোট"",""""),IF(AND(I3401=""Positive"",REGEXMATCH(H3"&amp;"401,""মূর্খ|ভণ্ড|প্রতার|অলস|লোভ|স্বার্থ|অক্ষম|অযোগ্য|বোকা|কৃপণ|হিংস"")),""valence-target অমিল"",""""),IF(COUNTIF($B:$B,B3401)&gt;1,""ডুপ্লিকেট"",""""))"),"")</f>
        <v/>
      </c>
      <c r="Q3401" s="5" t="str">
        <f t="shared" si="1"/>
        <v>২ পরে</v>
      </c>
    </row>
    <row r="3402">
      <c r="A3402" s="4">
        <v>1213.0</v>
      </c>
      <c r="B3402" s="2" t="s">
        <v>13586</v>
      </c>
      <c r="C3402" s="2" t="s">
        <v>13587</v>
      </c>
      <c r="D3402" s="2" t="s">
        <v>13588</v>
      </c>
      <c r="E3402" s="2" t="s">
        <v>13589</v>
      </c>
      <c r="F3402" s="2" t="b">
        <v>1</v>
      </c>
      <c r="G3402" s="2" t="b">
        <v>0</v>
      </c>
      <c r="H3402" s="2" t="s">
        <v>13590</v>
      </c>
      <c r="I3402" s="2" t="s">
        <v>49</v>
      </c>
      <c r="J3402" s="2" t="s">
        <v>169</v>
      </c>
      <c r="K3402" s="2" t="s">
        <v>376</v>
      </c>
      <c r="L3402" s="2" t="s">
        <v>391</v>
      </c>
      <c r="M3402" s="2" t="s">
        <v>26</v>
      </c>
      <c r="N3402" s="29"/>
      <c r="O3402" s="29"/>
      <c r="P3402" s="5" t="str">
        <f>IFERROR(__xludf.DUMMYFUNCTION("TEXTJOIN("" | "",TRUE,IF(OR(D3402="""",E3402="""",I3402="""",J3402="""",H3402=""""),""ফাঁকা ঘর"",""""),IF(AND(C3402&lt;&gt;"""",D3402&lt;&gt;"""",C3402=D3402),""gloss=figurative"",""""),IF(LEN(D3402)&lt;15,""figurative ছোট"",""""),IF(AND(I3402=""Positive"",REGEXMATCH(H3"&amp;"402,""মূর্খ|ভণ্ড|প্রতার|অলস|লোভ|স্বার্থ|অক্ষম|অযোগ্য|বোকা|কৃপণ|হিংস"")),""valence-target অমিল"",""""),IF(COUNTIF($B:$B,B3402)&gt;1,""ডুপ্লিকেট"",""""))"),"")</f>
        <v/>
      </c>
      <c r="Q3402" s="5" t="str">
        <f t="shared" si="1"/>
        <v>২ পরে</v>
      </c>
    </row>
    <row r="3403">
      <c r="A3403" s="4">
        <v>1214.0</v>
      </c>
      <c r="B3403" s="2" t="s">
        <v>13591</v>
      </c>
      <c r="C3403" s="2" t="s">
        <v>13592</v>
      </c>
      <c r="D3403" s="2" t="s">
        <v>13593</v>
      </c>
      <c r="E3403" s="2" t="s">
        <v>13594</v>
      </c>
      <c r="F3403" s="2" t="b">
        <v>1</v>
      </c>
      <c r="G3403" s="2" t="b">
        <v>0</v>
      </c>
      <c r="H3403" s="2" t="s">
        <v>6161</v>
      </c>
      <c r="I3403" s="2" t="s">
        <v>49</v>
      </c>
      <c r="J3403" s="2" t="s">
        <v>169</v>
      </c>
      <c r="K3403" s="2" t="s">
        <v>376</v>
      </c>
      <c r="L3403" s="2" t="s">
        <v>391</v>
      </c>
      <c r="M3403" s="2" t="s">
        <v>26</v>
      </c>
      <c r="N3403" s="29"/>
      <c r="O3403" s="29"/>
      <c r="P3403" s="5" t="str">
        <f>IFERROR(__xludf.DUMMYFUNCTION("TEXTJOIN("" | "",TRUE,IF(OR(D3403="""",E3403="""",I3403="""",J3403="""",H3403=""""),""ফাঁকা ঘর"",""""),IF(AND(C3403&lt;&gt;"""",D3403&lt;&gt;"""",C3403=D3403),""gloss=figurative"",""""),IF(LEN(D3403)&lt;15,""figurative ছোট"",""""),IF(AND(I3403=""Positive"",REGEXMATCH(H3"&amp;"403,""মূর্খ|ভণ্ড|প্রতার|অলস|লোভ|স্বার্থ|অক্ষম|অযোগ্য|বোকা|কৃপণ|হিংস"")),""valence-target অমিল"",""""),IF(COUNTIF($B:$B,B3403)&gt;1,""ডুপ্লিকেট"",""""))"),"")</f>
        <v/>
      </c>
      <c r="Q3403" s="5" t="str">
        <f t="shared" si="1"/>
        <v>২ পরে</v>
      </c>
    </row>
    <row r="3404">
      <c r="A3404" s="4">
        <v>1215.0</v>
      </c>
      <c r="B3404" s="2" t="s">
        <v>13595</v>
      </c>
      <c r="C3404" s="2" t="s">
        <v>13596</v>
      </c>
      <c r="D3404" s="2" t="s">
        <v>13597</v>
      </c>
      <c r="E3404" s="2" t="s">
        <v>13598</v>
      </c>
      <c r="F3404" s="2" t="b">
        <v>1</v>
      </c>
      <c r="G3404" s="2" t="b">
        <v>0</v>
      </c>
      <c r="H3404" s="2" t="s">
        <v>9359</v>
      </c>
      <c r="I3404" s="2" t="s">
        <v>32</v>
      </c>
      <c r="J3404" s="2" t="s">
        <v>123</v>
      </c>
      <c r="K3404" s="2" t="s">
        <v>376</v>
      </c>
      <c r="L3404" s="2" t="s">
        <v>391</v>
      </c>
      <c r="M3404" s="2" t="s">
        <v>26</v>
      </c>
      <c r="N3404" s="29"/>
      <c r="O3404" s="29"/>
      <c r="P3404" s="5" t="str">
        <f>IFERROR(__xludf.DUMMYFUNCTION("TEXTJOIN("" | "",TRUE,IF(OR(D3404="""",E3404="""",I3404="""",J3404="""",H3404=""""),""ফাঁকা ঘর"",""""),IF(AND(C3404&lt;&gt;"""",D3404&lt;&gt;"""",C3404=D3404),""gloss=figurative"",""""),IF(LEN(D3404)&lt;15,""figurative ছোট"",""""),IF(AND(I3404=""Positive"",REGEXMATCH(H3"&amp;"404,""মূর্খ|ভণ্ড|প্রতার|অলস|লোভ|স্বার্থ|অক্ষম|অযোগ্য|বোকা|কৃপণ|হিংস"")),""valence-target অমিল"",""""),IF(COUNTIF($B:$B,B3404)&gt;1,""ডুপ্লিকেট"",""""))"),"")</f>
        <v/>
      </c>
      <c r="Q3404" s="5" t="str">
        <f t="shared" si="1"/>
        <v>২ পরে</v>
      </c>
    </row>
    <row r="3405">
      <c r="A3405" s="4">
        <v>1216.0</v>
      </c>
      <c r="B3405" s="2" t="s">
        <v>13599</v>
      </c>
      <c r="C3405" s="2" t="s">
        <v>13600</v>
      </c>
      <c r="D3405" s="2" t="s">
        <v>13601</v>
      </c>
      <c r="E3405" s="2" t="s">
        <v>13602</v>
      </c>
      <c r="F3405" s="2" t="b">
        <v>1</v>
      </c>
      <c r="G3405" s="2" t="b">
        <v>0</v>
      </c>
      <c r="H3405" s="2" t="s">
        <v>37</v>
      </c>
      <c r="I3405" s="2" t="s">
        <v>32</v>
      </c>
      <c r="J3405" s="2" t="s">
        <v>6697</v>
      </c>
      <c r="K3405" s="2" t="s">
        <v>376</v>
      </c>
      <c r="L3405" s="2" t="s">
        <v>391</v>
      </c>
      <c r="M3405" s="2" t="s">
        <v>26</v>
      </c>
      <c r="N3405" s="29"/>
      <c r="O3405" s="29"/>
      <c r="P3405" s="5" t="str">
        <f>IFERROR(__xludf.DUMMYFUNCTION("TEXTJOIN("" | "",TRUE,IF(OR(D3405="""",E3405="""",I3405="""",J3405="""",H3405=""""),""ফাঁকা ঘর"",""""),IF(AND(C3405&lt;&gt;"""",D3405&lt;&gt;"""",C3405=D3405),""gloss=figurative"",""""),IF(LEN(D3405)&lt;15,""figurative ছোট"",""""),IF(AND(I3405=""Positive"",REGEXMATCH(H3"&amp;"405,""মূর্খ|ভণ্ড|প্রতার|অলস|লোভ|স্বার্থ|অক্ষম|অযোগ্য|বোকা|কৃপণ|হিংস"")),""valence-target অমিল"",""""),IF(COUNTIF($B:$B,B3405)&gt;1,""ডুপ্লিকেট"",""""))"),"")</f>
        <v/>
      </c>
      <c r="Q3405" s="5" t="str">
        <f t="shared" si="1"/>
        <v>২ পরে</v>
      </c>
    </row>
    <row r="3406">
      <c r="A3406" s="4">
        <v>1217.0</v>
      </c>
      <c r="B3406" s="2" t="s">
        <v>13603</v>
      </c>
      <c r="C3406" s="2" t="s">
        <v>13604</v>
      </c>
      <c r="D3406" s="2" t="s">
        <v>13605</v>
      </c>
      <c r="E3406" s="2" t="s">
        <v>13606</v>
      </c>
      <c r="F3406" s="2" t="b">
        <v>1</v>
      </c>
      <c r="G3406" s="2" t="b">
        <v>0</v>
      </c>
      <c r="H3406" s="2" t="s">
        <v>37</v>
      </c>
      <c r="I3406" s="2" t="s">
        <v>32</v>
      </c>
      <c r="J3406" s="2" t="s">
        <v>6697</v>
      </c>
      <c r="K3406" s="2" t="s">
        <v>376</v>
      </c>
      <c r="L3406" s="2" t="s">
        <v>391</v>
      </c>
      <c r="M3406" s="2" t="s">
        <v>26</v>
      </c>
      <c r="N3406" s="29"/>
      <c r="O3406" s="29"/>
      <c r="P3406" s="5" t="str">
        <f>IFERROR(__xludf.DUMMYFUNCTION("TEXTJOIN("" | "",TRUE,IF(OR(D3406="""",E3406="""",I3406="""",J3406="""",H3406=""""),""ফাঁকা ঘর"",""""),IF(AND(C3406&lt;&gt;"""",D3406&lt;&gt;"""",C3406=D3406),""gloss=figurative"",""""),IF(LEN(D3406)&lt;15,""figurative ছোট"",""""),IF(AND(I3406=""Positive"",REGEXMATCH(H3"&amp;"406,""মূর্খ|ভণ্ড|প্রতার|অলস|লোভ|স্বার্থ|অক্ষম|অযোগ্য|বোকা|কৃপণ|হিংস"")),""valence-target অমিল"",""""),IF(COUNTIF($B:$B,B3406)&gt;1,""ডুপ্লিকেট"",""""))"),"")</f>
        <v/>
      </c>
      <c r="Q3406" s="5" t="str">
        <f t="shared" si="1"/>
        <v>২ পরে</v>
      </c>
    </row>
    <row r="3407">
      <c r="A3407" s="4">
        <v>1218.0</v>
      </c>
      <c r="B3407" s="2" t="s">
        <v>13607</v>
      </c>
      <c r="C3407" s="2" t="s">
        <v>13608</v>
      </c>
      <c r="D3407" s="2" t="s">
        <v>13609</v>
      </c>
      <c r="E3407" s="2" t="s">
        <v>13610</v>
      </c>
      <c r="F3407" s="2" t="b">
        <v>1</v>
      </c>
      <c r="G3407" s="2" t="b">
        <v>0</v>
      </c>
      <c r="H3407" s="2" t="s">
        <v>37</v>
      </c>
      <c r="I3407" s="2" t="s">
        <v>32</v>
      </c>
      <c r="J3407" s="2" t="s">
        <v>162</v>
      </c>
      <c r="K3407" s="2" t="s">
        <v>376</v>
      </c>
      <c r="L3407" s="2" t="s">
        <v>391</v>
      </c>
      <c r="M3407" s="2" t="s">
        <v>26</v>
      </c>
      <c r="N3407" s="29"/>
      <c r="O3407" s="29"/>
      <c r="P3407" s="5" t="str">
        <f>IFERROR(__xludf.DUMMYFUNCTION("TEXTJOIN("" | "",TRUE,IF(OR(D3407="""",E3407="""",I3407="""",J3407="""",H3407=""""),""ফাঁকা ঘর"",""""),IF(AND(C3407&lt;&gt;"""",D3407&lt;&gt;"""",C3407=D3407),""gloss=figurative"",""""),IF(LEN(D3407)&lt;15,""figurative ছোট"",""""),IF(AND(I3407=""Positive"",REGEXMATCH(H3"&amp;"407,""মূর্খ|ভণ্ড|প্রতার|অলস|লোভ|স্বার্থ|অক্ষম|অযোগ্য|বোকা|কৃপণ|হিংস"")),""valence-target অমিল"",""""),IF(COUNTIF($B:$B,B3407)&gt;1,""ডুপ্লিকেট"",""""))"),"")</f>
        <v/>
      </c>
      <c r="Q3407" s="5" t="str">
        <f t="shared" si="1"/>
        <v>২ পরে</v>
      </c>
    </row>
    <row r="3408">
      <c r="A3408" s="4">
        <v>1219.0</v>
      </c>
      <c r="B3408" s="2" t="s">
        <v>13611</v>
      </c>
      <c r="C3408" s="2" t="s">
        <v>13612</v>
      </c>
      <c r="D3408" s="2" t="s">
        <v>13613</v>
      </c>
      <c r="E3408" s="2" t="s">
        <v>13614</v>
      </c>
      <c r="F3408" s="2" t="b">
        <v>1</v>
      </c>
      <c r="G3408" s="2" t="b">
        <v>0</v>
      </c>
      <c r="H3408" s="2" t="s">
        <v>251</v>
      </c>
      <c r="I3408" s="2" t="s">
        <v>22</v>
      </c>
      <c r="J3408" s="2" t="s">
        <v>357</v>
      </c>
      <c r="K3408" s="2" t="s">
        <v>376</v>
      </c>
      <c r="L3408" s="2" t="s">
        <v>391</v>
      </c>
      <c r="M3408" s="2" t="s">
        <v>26</v>
      </c>
      <c r="N3408" s="29"/>
      <c r="O3408" s="29"/>
      <c r="P3408" s="5" t="str">
        <f>IFERROR(__xludf.DUMMYFUNCTION("TEXTJOIN("" | "",TRUE,IF(OR(D3408="""",E3408="""",I3408="""",J3408="""",H3408=""""),""ফাঁকা ঘর"",""""),IF(AND(C3408&lt;&gt;"""",D3408&lt;&gt;"""",C3408=D3408),""gloss=figurative"",""""),IF(LEN(D3408)&lt;15,""figurative ছোট"",""""),IF(AND(I3408=""Positive"",REGEXMATCH(H3"&amp;"408,""মূর্খ|ভণ্ড|প্রতার|অলস|লোভ|স্বার্থ|অক্ষম|অযোগ্য|বোকা|কৃপণ|হিংস"")),""valence-target অমিল"",""""),IF(COUNTIF($B:$B,B3408)&gt;1,""ডুপ্লিকেট"",""""))"),"")</f>
        <v/>
      </c>
      <c r="Q3408" s="5" t="str">
        <f t="shared" si="1"/>
        <v>২ পরে</v>
      </c>
    </row>
    <row r="3409">
      <c r="A3409" s="4">
        <v>1220.0</v>
      </c>
      <c r="B3409" s="2" t="s">
        <v>13615</v>
      </c>
      <c r="C3409" s="2" t="s">
        <v>13616</v>
      </c>
      <c r="D3409" s="2" t="s">
        <v>13617</v>
      </c>
      <c r="E3409" s="2" t="s">
        <v>13618</v>
      </c>
      <c r="F3409" s="2" t="b">
        <v>1</v>
      </c>
      <c r="G3409" s="2" t="b">
        <v>0</v>
      </c>
      <c r="H3409" s="2" t="s">
        <v>13619</v>
      </c>
      <c r="I3409" s="2" t="s">
        <v>32</v>
      </c>
      <c r="J3409" s="2" t="s">
        <v>9301</v>
      </c>
      <c r="K3409" s="2" t="s">
        <v>376</v>
      </c>
      <c r="L3409" s="2" t="s">
        <v>391</v>
      </c>
      <c r="M3409" s="2" t="s">
        <v>26</v>
      </c>
      <c r="N3409" s="29"/>
      <c r="O3409" s="29"/>
      <c r="P3409" s="5" t="str">
        <f>IFERROR(__xludf.DUMMYFUNCTION("TEXTJOIN("" | "",TRUE,IF(OR(D3409="""",E3409="""",I3409="""",J3409="""",H3409=""""),""ফাঁকা ঘর"",""""),IF(AND(C3409&lt;&gt;"""",D3409&lt;&gt;"""",C3409=D3409),""gloss=figurative"",""""),IF(LEN(D3409)&lt;15,""figurative ছোট"",""""),IF(AND(I3409=""Positive"",REGEXMATCH(H3"&amp;"409,""মূর্খ|ভণ্ড|প্রতার|অলস|লোভ|স্বার্থ|অক্ষম|অযোগ্য|বোকা|কৃপণ|হিংস"")),""valence-target অমিল"",""""),IF(COUNTIF($B:$B,B3409)&gt;1,""ডুপ্লিকেট"",""""))"),"")</f>
        <v/>
      </c>
      <c r="Q3409" s="5" t="str">
        <f t="shared" si="1"/>
        <v>২ পরে</v>
      </c>
    </row>
    <row r="3410">
      <c r="A3410" s="4">
        <v>1221.0</v>
      </c>
      <c r="B3410" s="2" t="s">
        <v>13620</v>
      </c>
      <c r="C3410" s="2" t="s">
        <v>13621</v>
      </c>
      <c r="D3410" s="2" t="s">
        <v>13622</v>
      </c>
      <c r="E3410" s="2" t="s">
        <v>13623</v>
      </c>
      <c r="F3410" s="2" t="b">
        <v>1</v>
      </c>
      <c r="G3410" s="2" t="b">
        <v>0</v>
      </c>
      <c r="H3410" s="2" t="s">
        <v>37</v>
      </c>
      <c r="I3410" s="2" t="s">
        <v>32</v>
      </c>
      <c r="J3410" s="2" t="s">
        <v>197</v>
      </c>
      <c r="K3410" s="2" t="s">
        <v>376</v>
      </c>
      <c r="L3410" s="2" t="s">
        <v>391</v>
      </c>
      <c r="M3410" s="2" t="s">
        <v>26</v>
      </c>
      <c r="N3410" s="29"/>
      <c r="O3410" s="29"/>
      <c r="P3410" s="5" t="str">
        <f>IFERROR(__xludf.DUMMYFUNCTION("TEXTJOIN("" | "",TRUE,IF(OR(D3410="""",E3410="""",I3410="""",J3410="""",H3410=""""),""ফাঁকা ঘর"",""""),IF(AND(C3410&lt;&gt;"""",D3410&lt;&gt;"""",C3410=D3410),""gloss=figurative"",""""),IF(LEN(D3410)&lt;15,""figurative ছোট"",""""),IF(AND(I3410=""Positive"",REGEXMATCH(H3"&amp;"410,""মূর্খ|ভণ্ড|প্রতার|অলস|লোভ|স্বার্থ|অক্ষম|অযোগ্য|বোকা|কৃপণ|হিংস"")),""valence-target অমিল"",""""),IF(COUNTIF($B:$B,B3410)&gt;1,""ডুপ্লিকেট"",""""))"),"")</f>
        <v/>
      </c>
      <c r="Q3410" s="5" t="str">
        <f t="shared" si="1"/>
        <v>২ পরে</v>
      </c>
    </row>
    <row r="3411">
      <c r="A3411" s="4">
        <v>1222.0</v>
      </c>
      <c r="B3411" s="2" t="s">
        <v>13624</v>
      </c>
      <c r="C3411" s="2" t="s">
        <v>13625</v>
      </c>
      <c r="D3411" s="2" t="s">
        <v>13626</v>
      </c>
      <c r="E3411" s="2" t="s">
        <v>13627</v>
      </c>
      <c r="F3411" s="2" t="b">
        <v>1</v>
      </c>
      <c r="G3411" s="2" t="b">
        <v>0</v>
      </c>
      <c r="H3411" s="2" t="s">
        <v>37</v>
      </c>
      <c r="I3411" s="2" t="s">
        <v>32</v>
      </c>
      <c r="J3411" s="2" t="s">
        <v>162</v>
      </c>
      <c r="K3411" s="2" t="s">
        <v>376</v>
      </c>
      <c r="L3411" s="2" t="s">
        <v>391</v>
      </c>
      <c r="M3411" s="2" t="s">
        <v>26</v>
      </c>
      <c r="N3411" s="29"/>
      <c r="O3411" s="29"/>
      <c r="P3411" s="5" t="str">
        <f>IFERROR(__xludf.DUMMYFUNCTION("TEXTJOIN("" | "",TRUE,IF(OR(D3411="""",E3411="""",I3411="""",J3411="""",H3411=""""),""ফাঁকা ঘর"",""""),IF(AND(C3411&lt;&gt;"""",D3411&lt;&gt;"""",C3411=D3411),""gloss=figurative"",""""),IF(LEN(D3411)&lt;15,""figurative ছোট"",""""),IF(AND(I3411=""Positive"",REGEXMATCH(H3"&amp;"411,""মূর্খ|ভণ্ড|প্রতার|অলস|লোভ|স্বার্থ|অক্ষম|অযোগ্য|বোকা|কৃপণ|হিংস"")),""valence-target অমিল"",""""),IF(COUNTIF($B:$B,B3411)&gt;1,""ডুপ্লিকেট"",""""))"),"")</f>
        <v/>
      </c>
      <c r="Q3411" s="5" t="str">
        <f t="shared" si="1"/>
        <v>২ পরে</v>
      </c>
    </row>
    <row r="3412">
      <c r="A3412" s="4">
        <v>1223.0</v>
      </c>
      <c r="B3412" s="2" t="s">
        <v>13628</v>
      </c>
      <c r="C3412" s="2" t="s">
        <v>13629</v>
      </c>
      <c r="D3412" s="2" t="s">
        <v>13630</v>
      </c>
      <c r="E3412" s="2" t="s">
        <v>13631</v>
      </c>
      <c r="F3412" s="2" t="b">
        <v>1</v>
      </c>
      <c r="G3412" s="2" t="b">
        <v>0</v>
      </c>
      <c r="H3412" s="2" t="s">
        <v>4226</v>
      </c>
      <c r="I3412" s="2" t="s">
        <v>32</v>
      </c>
      <c r="J3412" s="2" t="s">
        <v>9301</v>
      </c>
      <c r="K3412" s="2" t="s">
        <v>376</v>
      </c>
      <c r="L3412" s="2" t="s">
        <v>391</v>
      </c>
      <c r="M3412" s="2" t="s">
        <v>26</v>
      </c>
      <c r="N3412" s="29"/>
      <c r="O3412" s="29"/>
      <c r="P3412" s="5" t="str">
        <f>IFERROR(__xludf.DUMMYFUNCTION("TEXTJOIN("" | "",TRUE,IF(OR(D3412="""",E3412="""",I3412="""",J3412="""",H3412=""""),""ফাঁকা ঘর"",""""),IF(AND(C3412&lt;&gt;"""",D3412&lt;&gt;"""",C3412=D3412),""gloss=figurative"",""""),IF(LEN(D3412)&lt;15,""figurative ছোট"",""""),IF(AND(I3412=""Positive"",REGEXMATCH(H3"&amp;"412,""মূর্খ|ভণ্ড|প্রতার|অলস|লোভ|স্বার্থ|অক্ষম|অযোগ্য|বোকা|কৃপণ|হিংস"")),""valence-target অমিল"",""""),IF(COUNTIF($B:$B,B3412)&gt;1,""ডুপ্লিকেট"",""""))"),"")</f>
        <v/>
      </c>
      <c r="Q3412" s="5" t="str">
        <f t="shared" si="1"/>
        <v>২ পরে</v>
      </c>
    </row>
    <row r="3413">
      <c r="A3413" s="4">
        <v>1224.0</v>
      </c>
      <c r="B3413" s="2" t="s">
        <v>13632</v>
      </c>
      <c r="C3413" s="2" t="s">
        <v>13633</v>
      </c>
      <c r="D3413" s="2" t="s">
        <v>13634</v>
      </c>
      <c r="E3413" s="2" t="s">
        <v>13635</v>
      </c>
      <c r="F3413" s="2" t="b">
        <v>1</v>
      </c>
      <c r="G3413" s="2" t="b">
        <v>0</v>
      </c>
      <c r="H3413" s="2" t="s">
        <v>4226</v>
      </c>
      <c r="I3413" s="2" t="s">
        <v>32</v>
      </c>
      <c r="J3413" s="2" t="s">
        <v>9301</v>
      </c>
      <c r="K3413" s="2" t="s">
        <v>376</v>
      </c>
      <c r="L3413" s="2" t="s">
        <v>391</v>
      </c>
      <c r="M3413" s="2" t="s">
        <v>26</v>
      </c>
      <c r="N3413" s="29"/>
      <c r="O3413" s="29"/>
      <c r="P3413" s="5" t="str">
        <f>IFERROR(__xludf.DUMMYFUNCTION("TEXTJOIN("" | "",TRUE,IF(OR(D3413="""",E3413="""",I3413="""",J3413="""",H3413=""""),""ফাঁকা ঘর"",""""),IF(AND(C3413&lt;&gt;"""",D3413&lt;&gt;"""",C3413=D3413),""gloss=figurative"",""""),IF(LEN(D3413)&lt;15,""figurative ছোট"",""""),IF(AND(I3413=""Positive"",REGEXMATCH(H3"&amp;"413,""মূর্খ|ভণ্ড|প্রতার|অলস|লোভ|স্বার্থ|অক্ষম|অযোগ্য|বোকা|কৃপণ|হিংস"")),""valence-target অমিল"",""""),IF(COUNTIF($B:$B,B3413)&gt;1,""ডুপ্লিকেট"",""""))"),"")</f>
        <v/>
      </c>
      <c r="Q3413" s="5" t="str">
        <f t="shared" si="1"/>
        <v>২ পরে</v>
      </c>
    </row>
    <row r="3414">
      <c r="A3414" s="4">
        <v>1225.0</v>
      </c>
      <c r="B3414" s="2" t="s">
        <v>13636</v>
      </c>
      <c r="C3414" s="2" t="s">
        <v>13637</v>
      </c>
      <c r="D3414" s="2" t="s">
        <v>13638</v>
      </c>
      <c r="E3414" s="2" t="s">
        <v>13639</v>
      </c>
      <c r="F3414" s="2" t="b">
        <v>1</v>
      </c>
      <c r="G3414" s="2" t="b">
        <v>0</v>
      </c>
      <c r="H3414" s="2" t="s">
        <v>37</v>
      </c>
      <c r="I3414" s="2" t="s">
        <v>32</v>
      </c>
      <c r="J3414" s="2" t="s">
        <v>162</v>
      </c>
      <c r="K3414" s="2" t="s">
        <v>376</v>
      </c>
      <c r="L3414" s="2" t="s">
        <v>391</v>
      </c>
      <c r="M3414" s="2" t="s">
        <v>26</v>
      </c>
      <c r="N3414" s="29"/>
      <c r="O3414" s="29"/>
      <c r="P3414" s="5" t="str">
        <f>IFERROR(__xludf.DUMMYFUNCTION("TEXTJOIN("" | "",TRUE,IF(OR(D3414="""",E3414="""",I3414="""",J3414="""",H3414=""""),""ফাঁকা ঘর"",""""),IF(AND(C3414&lt;&gt;"""",D3414&lt;&gt;"""",C3414=D3414),""gloss=figurative"",""""),IF(LEN(D3414)&lt;15,""figurative ছোট"",""""),IF(AND(I3414=""Positive"",REGEXMATCH(H3"&amp;"414,""মূর্খ|ভণ্ড|প্রতার|অলস|লোভ|স্বার্থ|অক্ষম|অযোগ্য|বোকা|কৃপণ|হিংস"")),""valence-target অমিল"",""""),IF(COUNTIF($B:$B,B3414)&gt;1,""ডুপ্লিকেট"",""""))"),"")</f>
        <v/>
      </c>
      <c r="Q3414" s="5" t="str">
        <f t="shared" si="1"/>
        <v>২ পরে</v>
      </c>
    </row>
    <row r="3415">
      <c r="A3415" s="4">
        <v>1226.0</v>
      </c>
      <c r="B3415" s="2" t="s">
        <v>13640</v>
      </c>
      <c r="C3415" s="2" t="s">
        <v>13641</v>
      </c>
      <c r="D3415" s="2" t="s">
        <v>13642</v>
      </c>
      <c r="E3415" s="2" t="s">
        <v>13643</v>
      </c>
      <c r="F3415" s="2" t="b">
        <v>1</v>
      </c>
      <c r="G3415" s="2" t="b">
        <v>0</v>
      </c>
      <c r="H3415" s="2" t="s">
        <v>13644</v>
      </c>
      <c r="I3415" s="2" t="s">
        <v>22</v>
      </c>
      <c r="J3415" s="2" t="s">
        <v>13645</v>
      </c>
      <c r="K3415" s="2" t="s">
        <v>376</v>
      </c>
      <c r="L3415" s="2" t="s">
        <v>391</v>
      </c>
      <c r="M3415" s="2" t="s">
        <v>26</v>
      </c>
      <c r="N3415" s="29"/>
      <c r="O3415" s="29"/>
      <c r="P3415" s="5" t="str">
        <f>IFERROR(__xludf.DUMMYFUNCTION("TEXTJOIN("" | "",TRUE,IF(OR(D3415="""",E3415="""",I3415="""",J3415="""",H3415=""""),""ফাঁকা ঘর"",""""),IF(AND(C3415&lt;&gt;"""",D3415&lt;&gt;"""",C3415=D3415),""gloss=figurative"",""""),IF(LEN(D3415)&lt;15,""figurative ছোট"",""""),IF(AND(I3415=""Positive"",REGEXMATCH(H3"&amp;"415,""মূর্খ|ভণ্ড|প্রতার|অলস|লোভ|স্বার্থ|অক্ষম|অযোগ্য|বোকা|কৃপণ|হিংস"")),""valence-target অমিল"",""""),IF(COUNTIF($B:$B,B3415)&gt;1,""ডুপ্লিকেট"",""""))"),"")</f>
        <v/>
      </c>
      <c r="Q3415" s="5" t="str">
        <f t="shared" si="1"/>
        <v>২ পরে</v>
      </c>
    </row>
    <row r="3416">
      <c r="A3416" s="4">
        <v>1228.0</v>
      </c>
      <c r="B3416" s="2" t="s">
        <v>13646</v>
      </c>
      <c r="C3416" s="2" t="s">
        <v>13647</v>
      </c>
      <c r="D3416" s="2" t="s">
        <v>13648</v>
      </c>
      <c r="E3416" s="2" t="s">
        <v>13649</v>
      </c>
      <c r="F3416" s="2" t="b">
        <v>1</v>
      </c>
      <c r="G3416" s="2" t="b">
        <v>0</v>
      </c>
      <c r="H3416" s="2" t="s">
        <v>308</v>
      </c>
      <c r="I3416" s="2" t="s">
        <v>22</v>
      </c>
      <c r="J3416" s="2" t="s">
        <v>59</v>
      </c>
      <c r="K3416" s="2" t="s">
        <v>376</v>
      </c>
      <c r="L3416" s="2" t="s">
        <v>391</v>
      </c>
      <c r="M3416" s="2" t="s">
        <v>26</v>
      </c>
      <c r="N3416" s="29"/>
      <c r="O3416" s="29"/>
      <c r="P3416" s="5" t="str">
        <f>IFERROR(__xludf.DUMMYFUNCTION("TEXTJOIN("" | "",TRUE,IF(OR(D3416="""",E3416="""",I3416="""",J3416="""",H3416=""""),""ফাঁকা ঘর"",""""),IF(AND(C3416&lt;&gt;"""",D3416&lt;&gt;"""",C3416=D3416),""gloss=figurative"",""""),IF(LEN(D3416)&lt;15,""figurative ছোট"",""""),IF(AND(I3416=""Positive"",REGEXMATCH(H3"&amp;"416,""মূর্খ|ভণ্ড|প্রতার|অলস|লোভ|স্বার্থ|অক্ষম|অযোগ্য|বোকা|কৃপণ|হিংস"")),""valence-target অমিল"",""""),IF(COUNTIF($B:$B,B3416)&gt;1,""ডুপ্লিকেট"",""""))"),"")</f>
        <v/>
      </c>
      <c r="Q3416" s="5" t="str">
        <f t="shared" si="1"/>
        <v>২ পরে</v>
      </c>
    </row>
    <row r="3417">
      <c r="A3417" s="4">
        <v>1229.0</v>
      </c>
      <c r="B3417" s="2" t="s">
        <v>13650</v>
      </c>
      <c r="C3417" s="2" t="s">
        <v>13651</v>
      </c>
      <c r="D3417" s="2" t="s">
        <v>13652</v>
      </c>
      <c r="E3417" s="2" t="s">
        <v>13653</v>
      </c>
      <c r="F3417" s="2" t="b">
        <v>1</v>
      </c>
      <c r="G3417" s="2" t="b">
        <v>0</v>
      </c>
      <c r="H3417" s="2" t="s">
        <v>37</v>
      </c>
      <c r="I3417" s="2" t="s">
        <v>32</v>
      </c>
      <c r="J3417" s="2" t="s">
        <v>162</v>
      </c>
      <c r="K3417" s="2" t="s">
        <v>376</v>
      </c>
      <c r="L3417" s="2" t="s">
        <v>391</v>
      </c>
      <c r="M3417" s="2" t="s">
        <v>26</v>
      </c>
      <c r="N3417" s="29"/>
      <c r="O3417" s="29"/>
      <c r="P3417" s="5" t="str">
        <f>IFERROR(__xludf.DUMMYFUNCTION("TEXTJOIN("" | "",TRUE,IF(OR(D3417="""",E3417="""",I3417="""",J3417="""",H3417=""""),""ফাঁকা ঘর"",""""),IF(AND(C3417&lt;&gt;"""",D3417&lt;&gt;"""",C3417=D3417),""gloss=figurative"",""""),IF(LEN(D3417)&lt;15,""figurative ছোট"",""""),IF(AND(I3417=""Positive"",REGEXMATCH(H3"&amp;"417,""মূর্খ|ভণ্ড|প্রতার|অলস|লোভ|স্বার্থ|অক্ষম|অযোগ্য|বোকা|কৃপণ|হিংস"")),""valence-target অমিল"",""""),IF(COUNTIF($B:$B,B3417)&gt;1,""ডুপ্লিকেট"",""""))"),"")</f>
        <v/>
      </c>
      <c r="Q3417" s="5" t="str">
        <f t="shared" si="1"/>
        <v>২ পরে</v>
      </c>
    </row>
    <row r="3418">
      <c r="A3418" s="4">
        <v>1230.0</v>
      </c>
      <c r="B3418" s="2" t="s">
        <v>13654</v>
      </c>
      <c r="C3418" s="2" t="s">
        <v>13655</v>
      </c>
      <c r="D3418" s="2" t="s">
        <v>13656</v>
      </c>
      <c r="E3418" s="2" t="s">
        <v>13657</v>
      </c>
      <c r="F3418" s="2" t="b">
        <v>1</v>
      </c>
      <c r="G3418" s="2" t="b">
        <v>0</v>
      </c>
      <c r="H3418" s="2" t="s">
        <v>739</v>
      </c>
      <c r="I3418" s="2" t="s">
        <v>32</v>
      </c>
      <c r="J3418" s="2" t="s">
        <v>739</v>
      </c>
      <c r="K3418" s="2" t="s">
        <v>376</v>
      </c>
      <c r="L3418" s="2" t="s">
        <v>391</v>
      </c>
      <c r="M3418" s="2" t="s">
        <v>26</v>
      </c>
      <c r="N3418" s="29"/>
      <c r="O3418" s="29"/>
      <c r="P3418" s="5" t="str">
        <f>IFERROR(__xludf.DUMMYFUNCTION("TEXTJOIN("" | "",TRUE,IF(OR(D3418="""",E3418="""",I3418="""",J3418="""",H3418=""""),""ফাঁকা ঘর"",""""),IF(AND(C3418&lt;&gt;"""",D3418&lt;&gt;"""",C3418=D3418),""gloss=figurative"",""""),IF(LEN(D3418)&lt;15,""figurative ছোট"",""""),IF(AND(I3418=""Positive"",REGEXMATCH(H3"&amp;"418,""মূর্খ|ভণ্ড|প্রতার|অলস|লোভ|স্বার্থ|অক্ষম|অযোগ্য|বোকা|কৃপণ|হিংস"")),""valence-target অমিল"",""""),IF(COUNTIF($B:$B,B3418)&gt;1,""ডুপ্লিকেট"",""""))"),"")</f>
        <v/>
      </c>
      <c r="Q3418" s="5" t="str">
        <f t="shared" si="1"/>
        <v>২ পরে</v>
      </c>
    </row>
    <row r="3419">
      <c r="A3419" s="4">
        <v>1231.0</v>
      </c>
      <c r="B3419" s="2" t="s">
        <v>13658</v>
      </c>
      <c r="C3419" s="2" t="s">
        <v>13659</v>
      </c>
      <c r="D3419" s="2" t="s">
        <v>13660</v>
      </c>
      <c r="E3419" s="2" t="s">
        <v>13661</v>
      </c>
      <c r="F3419" s="2" t="b">
        <v>1</v>
      </c>
      <c r="G3419" s="2" t="b">
        <v>0</v>
      </c>
      <c r="H3419" s="2" t="s">
        <v>13108</v>
      </c>
      <c r="I3419" s="2" t="s">
        <v>22</v>
      </c>
      <c r="J3419" s="2" t="s">
        <v>59</v>
      </c>
      <c r="K3419" s="2" t="s">
        <v>376</v>
      </c>
      <c r="L3419" s="2" t="s">
        <v>391</v>
      </c>
      <c r="M3419" s="2" t="s">
        <v>26</v>
      </c>
      <c r="N3419" s="29"/>
      <c r="O3419" s="29"/>
      <c r="P3419" s="5" t="str">
        <f>IFERROR(__xludf.DUMMYFUNCTION("TEXTJOIN("" | "",TRUE,IF(OR(D3419="""",E3419="""",I3419="""",J3419="""",H3419=""""),""ফাঁকা ঘর"",""""),IF(AND(C3419&lt;&gt;"""",D3419&lt;&gt;"""",C3419=D3419),""gloss=figurative"",""""),IF(LEN(D3419)&lt;15,""figurative ছোট"",""""),IF(AND(I3419=""Positive"",REGEXMATCH(H3"&amp;"419,""মূর্খ|ভণ্ড|প্রতার|অলস|লোভ|স্বার্থ|অক্ষম|অযোগ্য|বোকা|কৃপণ|হিংস"")),""valence-target অমিল"",""""),IF(COUNTIF($B:$B,B3419)&gt;1,""ডুপ্লিকেট"",""""))"),"")</f>
        <v/>
      </c>
      <c r="Q3419" s="5" t="str">
        <f t="shared" si="1"/>
        <v>২ পরে</v>
      </c>
    </row>
    <row r="3420">
      <c r="A3420" s="4">
        <v>1232.0</v>
      </c>
      <c r="B3420" s="2" t="s">
        <v>13662</v>
      </c>
      <c r="C3420" s="2" t="s">
        <v>13663</v>
      </c>
      <c r="D3420" s="2" t="s">
        <v>13664</v>
      </c>
      <c r="E3420" s="2" t="s">
        <v>13665</v>
      </c>
      <c r="F3420" s="2" t="b">
        <v>1</v>
      </c>
      <c r="G3420" s="2" t="b">
        <v>0</v>
      </c>
      <c r="H3420" s="2" t="s">
        <v>110</v>
      </c>
      <c r="I3420" s="2" t="s">
        <v>22</v>
      </c>
      <c r="J3420" s="2" t="s">
        <v>142</v>
      </c>
      <c r="K3420" s="2" t="s">
        <v>376</v>
      </c>
      <c r="L3420" s="2" t="s">
        <v>391</v>
      </c>
      <c r="M3420" s="2" t="s">
        <v>26</v>
      </c>
      <c r="N3420" s="29"/>
      <c r="O3420" s="29"/>
      <c r="P3420" s="5" t="str">
        <f>IFERROR(__xludf.DUMMYFUNCTION("TEXTJOIN("" | "",TRUE,IF(OR(D3420="""",E3420="""",I3420="""",J3420="""",H3420=""""),""ফাঁকা ঘর"",""""),IF(AND(C3420&lt;&gt;"""",D3420&lt;&gt;"""",C3420=D3420),""gloss=figurative"",""""),IF(LEN(D3420)&lt;15,""figurative ছোট"",""""),IF(AND(I3420=""Positive"",REGEXMATCH(H3"&amp;"420,""মূর্খ|ভণ্ড|প্রতার|অলস|লোভ|স্বার্থ|অক্ষম|অযোগ্য|বোকা|কৃপণ|হিংস"")),""valence-target অমিল"",""""),IF(COUNTIF($B:$B,B3420)&gt;1,""ডুপ্লিকেট"",""""))"),"")</f>
        <v/>
      </c>
      <c r="Q3420" s="5" t="str">
        <f t="shared" si="1"/>
        <v>২ পরে</v>
      </c>
    </row>
    <row r="3421">
      <c r="A3421" s="4">
        <v>1233.0</v>
      </c>
      <c r="B3421" s="2" t="s">
        <v>13666</v>
      </c>
      <c r="C3421" s="2" t="s">
        <v>13667</v>
      </c>
      <c r="D3421" s="2" t="s">
        <v>13668</v>
      </c>
      <c r="E3421" s="2" t="s">
        <v>13669</v>
      </c>
      <c r="F3421" s="2" t="b">
        <v>1</v>
      </c>
      <c r="G3421" s="2" t="b">
        <v>0</v>
      </c>
      <c r="H3421" s="2" t="s">
        <v>13670</v>
      </c>
      <c r="I3421" s="2" t="s">
        <v>22</v>
      </c>
      <c r="J3421" s="2" t="s">
        <v>123</v>
      </c>
      <c r="K3421" s="2" t="s">
        <v>376</v>
      </c>
      <c r="L3421" s="2" t="s">
        <v>391</v>
      </c>
      <c r="M3421" s="2" t="s">
        <v>26</v>
      </c>
      <c r="N3421" s="29"/>
      <c r="O3421" s="29"/>
      <c r="P3421" s="5" t="str">
        <f>IFERROR(__xludf.DUMMYFUNCTION("TEXTJOIN("" | "",TRUE,IF(OR(D3421="""",E3421="""",I3421="""",J3421="""",H3421=""""),""ফাঁকা ঘর"",""""),IF(AND(C3421&lt;&gt;"""",D3421&lt;&gt;"""",C3421=D3421),""gloss=figurative"",""""),IF(LEN(D3421)&lt;15,""figurative ছোট"",""""),IF(AND(I3421=""Positive"",REGEXMATCH(H3"&amp;"421,""মূর্খ|ভণ্ড|প্রতার|অলস|লোভ|স্বার্থ|অক্ষম|অযোগ্য|বোকা|কৃপণ|হিংস"")),""valence-target অমিল"",""""),IF(COUNTIF($B:$B,B3421)&gt;1,""ডুপ্লিকেট"",""""))"),"")</f>
        <v/>
      </c>
      <c r="Q3421" s="5" t="str">
        <f t="shared" si="1"/>
        <v>২ পরে</v>
      </c>
    </row>
    <row r="3422">
      <c r="A3422" s="4">
        <v>1234.0</v>
      </c>
      <c r="B3422" s="2" t="s">
        <v>13671</v>
      </c>
      <c r="C3422" s="2" t="s">
        <v>13672</v>
      </c>
      <c r="D3422" s="2" t="s">
        <v>13673</v>
      </c>
      <c r="E3422" s="2" t="s">
        <v>13674</v>
      </c>
      <c r="F3422" s="2" t="b">
        <v>1</v>
      </c>
      <c r="G3422" s="2" t="b">
        <v>0</v>
      </c>
      <c r="H3422" s="2" t="s">
        <v>37</v>
      </c>
      <c r="I3422" s="2" t="s">
        <v>32</v>
      </c>
      <c r="J3422" s="2" t="s">
        <v>59</v>
      </c>
      <c r="K3422" s="2" t="s">
        <v>376</v>
      </c>
      <c r="L3422" s="2" t="s">
        <v>391</v>
      </c>
      <c r="M3422" s="2" t="s">
        <v>26</v>
      </c>
      <c r="N3422" s="29"/>
      <c r="O3422" s="29"/>
      <c r="P3422" s="5" t="str">
        <f>IFERROR(__xludf.DUMMYFUNCTION("TEXTJOIN("" | "",TRUE,IF(OR(D3422="""",E3422="""",I3422="""",J3422="""",H3422=""""),""ফাঁকা ঘর"",""""),IF(AND(C3422&lt;&gt;"""",D3422&lt;&gt;"""",C3422=D3422),""gloss=figurative"",""""),IF(LEN(D3422)&lt;15,""figurative ছোট"",""""),IF(AND(I3422=""Positive"",REGEXMATCH(H3"&amp;"422,""মূর্খ|ভণ্ড|প্রতার|অলস|লোভ|স্বার্থ|অক্ষম|অযোগ্য|বোকা|কৃপণ|হিংস"")),""valence-target অমিল"",""""),IF(COUNTIF($B:$B,B3422)&gt;1,""ডুপ্লিকেট"",""""))"),"")</f>
        <v/>
      </c>
      <c r="Q3422" s="5" t="str">
        <f t="shared" si="1"/>
        <v>২ পরে</v>
      </c>
    </row>
    <row r="3423">
      <c r="A3423" s="4">
        <v>1235.0</v>
      </c>
      <c r="B3423" s="2" t="s">
        <v>13675</v>
      </c>
      <c r="C3423" s="2" t="s">
        <v>13676</v>
      </c>
      <c r="D3423" s="2" t="s">
        <v>13677</v>
      </c>
      <c r="E3423" s="2" t="s">
        <v>13678</v>
      </c>
      <c r="F3423" s="2" t="b">
        <v>1</v>
      </c>
      <c r="G3423" s="2" t="b">
        <v>0</v>
      </c>
      <c r="H3423" s="2" t="s">
        <v>37</v>
      </c>
      <c r="I3423" s="2" t="s">
        <v>32</v>
      </c>
      <c r="J3423" s="2" t="s">
        <v>590</v>
      </c>
      <c r="K3423" s="2" t="s">
        <v>376</v>
      </c>
      <c r="L3423" s="2" t="s">
        <v>391</v>
      </c>
      <c r="M3423" s="2" t="s">
        <v>26</v>
      </c>
      <c r="N3423" s="29"/>
      <c r="O3423" s="29"/>
      <c r="P3423" s="5" t="str">
        <f>IFERROR(__xludf.DUMMYFUNCTION("TEXTJOIN("" | "",TRUE,IF(OR(D3423="""",E3423="""",I3423="""",J3423="""",H3423=""""),""ফাঁকা ঘর"",""""),IF(AND(C3423&lt;&gt;"""",D3423&lt;&gt;"""",C3423=D3423),""gloss=figurative"",""""),IF(LEN(D3423)&lt;15,""figurative ছোট"",""""),IF(AND(I3423=""Positive"",REGEXMATCH(H3"&amp;"423,""মূর্খ|ভণ্ড|প্রতার|অলস|লোভ|স্বার্থ|অক্ষম|অযোগ্য|বোকা|কৃপণ|হিংস"")),""valence-target অমিল"",""""),IF(COUNTIF($B:$B,B3423)&gt;1,""ডুপ্লিকেট"",""""))"),"")</f>
        <v/>
      </c>
      <c r="Q3423" s="5" t="str">
        <f t="shared" si="1"/>
        <v>২ পরে</v>
      </c>
    </row>
    <row r="3424">
      <c r="A3424" s="4">
        <v>1236.0</v>
      </c>
      <c r="B3424" s="2" t="s">
        <v>13679</v>
      </c>
      <c r="C3424" s="2" t="s">
        <v>13680</v>
      </c>
      <c r="D3424" s="2" t="s">
        <v>13681</v>
      </c>
      <c r="E3424" s="2" t="s">
        <v>13682</v>
      </c>
      <c r="F3424" s="2" t="b">
        <v>1</v>
      </c>
      <c r="G3424" s="2" t="b">
        <v>0</v>
      </c>
      <c r="H3424" s="2" t="s">
        <v>21</v>
      </c>
      <c r="I3424" s="2" t="s">
        <v>22</v>
      </c>
      <c r="J3424" s="2" t="s">
        <v>59</v>
      </c>
      <c r="K3424" s="2" t="s">
        <v>376</v>
      </c>
      <c r="L3424" s="2" t="s">
        <v>391</v>
      </c>
      <c r="M3424" s="2" t="s">
        <v>26</v>
      </c>
      <c r="N3424" s="29"/>
      <c r="O3424" s="29"/>
      <c r="P3424" s="5" t="str">
        <f>IFERROR(__xludf.DUMMYFUNCTION("TEXTJOIN("" | "",TRUE,IF(OR(D3424="""",E3424="""",I3424="""",J3424="""",H3424=""""),""ফাঁকা ঘর"",""""),IF(AND(C3424&lt;&gt;"""",D3424&lt;&gt;"""",C3424=D3424),""gloss=figurative"",""""),IF(LEN(D3424)&lt;15,""figurative ছোট"",""""),IF(AND(I3424=""Positive"",REGEXMATCH(H3"&amp;"424,""মূর্খ|ভণ্ড|প্রতার|অলস|লোভ|স্বার্থ|অক্ষম|অযোগ্য|বোকা|কৃপণ|হিংস"")),""valence-target অমিল"",""""),IF(COUNTIF($B:$B,B3424)&gt;1,""ডুপ্লিকেট"",""""))"),"")</f>
        <v/>
      </c>
      <c r="Q3424" s="5" t="str">
        <f t="shared" si="1"/>
        <v>২ পরে</v>
      </c>
    </row>
    <row r="3425">
      <c r="A3425" s="4">
        <v>1237.0</v>
      </c>
      <c r="B3425" s="2" t="s">
        <v>13683</v>
      </c>
      <c r="C3425" s="2" t="s">
        <v>13684</v>
      </c>
      <c r="D3425" s="2" t="s">
        <v>13685</v>
      </c>
      <c r="E3425" s="2" t="s">
        <v>13686</v>
      </c>
      <c r="F3425" s="2" t="b">
        <v>1</v>
      </c>
      <c r="G3425" s="2" t="b">
        <v>0</v>
      </c>
      <c r="H3425" s="2" t="s">
        <v>13687</v>
      </c>
      <c r="I3425" s="2" t="s">
        <v>22</v>
      </c>
      <c r="J3425" s="2" t="s">
        <v>169</v>
      </c>
      <c r="K3425" s="2" t="s">
        <v>376</v>
      </c>
      <c r="L3425" s="2" t="s">
        <v>391</v>
      </c>
      <c r="M3425" s="2" t="s">
        <v>26</v>
      </c>
      <c r="N3425" s="29"/>
      <c r="O3425" s="29"/>
      <c r="P3425" s="5" t="str">
        <f>IFERROR(__xludf.DUMMYFUNCTION("TEXTJOIN("" | "",TRUE,IF(OR(D3425="""",E3425="""",I3425="""",J3425="""",H3425=""""),""ফাঁকা ঘর"",""""),IF(AND(C3425&lt;&gt;"""",D3425&lt;&gt;"""",C3425=D3425),""gloss=figurative"",""""),IF(LEN(D3425)&lt;15,""figurative ছোট"",""""),IF(AND(I3425=""Positive"",REGEXMATCH(H3"&amp;"425,""মূর্খ|ভণ্ড|প্রতার|অলস|লোভ|স্বার্থ|অক্ষম|অযোগ্য|বোকা|কৃপণ|হিংস"")),""valence-target অমিল"",""""),IF(COUNTIF($B:$B,B3425)&gt;1,""ডুপ্লিকেট"",""""))"),"")</f>
        <v/>
      </c>
      <c r="Q3425" s="5" t="str">
        <f t="shared" si="1"/>
        <v>২ পরে</v>
      </c>
    </row>
    <row r="3426">
      <c r="A3426" s="4">
        <v>1238.0</v>
      </c>
      <c r="B3426" s="2" t="s">
        <v>13688</v>
      </c>
      <c r="C3426" s="2" t="s">
        <v>13689</v>
      </c>
      <c r="D3426" s="2" t="s">
        <v>13690</v>
      </c>
      <c r="E3426" s="2" t="s">
        <v>13691</v>
      </c>
      <c r="F3426" s="2" t="b">
        <v>1</v>
      </c>
      <c r="G3426" s="2" t="b">
        <v>0</v>
      </c>
      <c r="H3426" s="2" t="s">
        <v>13670</v>
      </c>
      <c r="I3426" s="2" t="s">
        <v>22</v>
      </c>
      <c r="J3426" s="2" t="s">
        <v>123</v>
      </c>
      <c r="K3426" s="2" t="s">
        <v>376</v>
      </c>
      <c r="L3426" s="2" t="s">
        <v>391</v>
      </c>
      <c r="M3426" s="2" t="s">
        <v>26</v>
      </c>
      <c r="N3426" s="29"/>
      <c r="O3426" s="29"/>
      <c r="P3426" s="5" t="str">
        <f>IFERROR(__xludf.DUMMYFUNCTION("TEXTJOIN("" | "",TRUE,IF(OR(D3426="""",E3426="""",I3426="""",J3426="""",H3426=""""),""ফাঁকা ঘর"",""""),IF(AND(C3426&lt;&gt;"""",D3426&lt;&gt;"""",C3426=D3426),""gloss=figurative"",""""),IF(LEN(D3426)&lt;15,""figurative ছোট"",""""),IF(AND(I3426=""Positive"",REGEXMATCH(H3"&amp;"426,""মূর্খ|ভণ্ড|প্রতার|অলস|লোভ|স্বার্থ|অক্ষম|অযোগ্য|বোকা|কৃপণ|হিংস"")),""valence-target অমিল"",""""),IF(COUNTIF($B:$B,B3426)&gt;1,""ডুপ্লিকেট"",""""))"),"")</f>
        <v/>
      </c>
      <c r="Q3426" s="5" t="str">
        <f t="shared" si="1"/>
        <v>২ পরে</v>
      </c>
    </row>
    <row r="3427">
      <c r="A3427" s="4">
        <v>1239.0</v>
      </c>
      <c r="B3427" s="2" t="s">
        <v>13692</v>
      </c>
      <c r="C3427" s="2" t="s">
        <v>13693</v>
      </c>
      <c r="D3427" s="2" t="s">
        <v>13694</v>
      </c>
      <c r="E3427" s="2" t="s">
        <v>13695</v>
      </c>
      <c r="F3427" s="2" t="b">
        <v>1</v>
      </c>
      <c r="G3427" s="2" t="b">
        <v>1</v>
      </c>
      <c r="H3427" s="2" t="s">
        <v>13696</v>
      </c>
      <c r="I3427" s="2" t="s">
        <v>22</v>
      </c>
      <c r="J3427" s="2" t="s">
        <v>123</v>
      </c>
      <c r="K3427" s="2" t="s">
        <v>376</v>
      </c>
      <c r="L3427" s="2" t="s">
        <v>391</v>
      </c>
      <c r="M3427" s="2" t="s">
        <v>26</v>
      </c>
      <c r="N3427" s="29"/>
      <c r="O3427" s="29"/>
      <c r="P3427" s="5" t="str">
        <f>IFERROR(__xludf.DUMMYFUNCTION("TEXTJOIN("" | "",TRUE,IF(OR(D3427="""",E3427="""",I3427="""",J3427="""",H3427=""""),""ফাঁকা ঘর"",""""),IF(AND(C3427&lt;&gt;"""",D3427&lt;&gt;"""",C3427=D3427),""gloss=figurative"",""""),IF(LEN(D3427)&lt;15,""figurative ছোট"",""""),IF(AND(I3427=""Positive"",REGEXMATCH(H3"&amp;"427,""মূর্খ|ভণ্ড|প্রতার|অলস|লোভ|স্বার্থ|অক্ষম|অযোগ্য|বোকা|কৃপণ|হিংস"")),""valence-target অমিল"",""""),IF(COUNTIF($B:$B,B3427)&gt;1,""ডুপ্লিকেট"",""""))"),"")</f>
        <v/>
      </c>
      <c r="Q3427" s="5" t="str">
        <f t="shared" si="1"/>
        <v>২ পরে</v>
      </c>
    </row>
    <row r="3428">
      <c r="A3428" s="4">
        <v>1240.0</v>
      </c>
      <c r="B3428" s="2" t="s">
        <v>13697</v>
      </c>
      <c r="C3428" s="2" t="s">
        <v>13698</v>
      </c>
      <c r="D3428" s="2" t="s">
        <v>13699</v>
      </c>
      <c r="E3428" s="2" t="s">
        <v>13700</v>
      </c>
      <c r="F3428" s="2" t="b">
        <v>1</v>
      </c>
      <c r="G3428" s="2" t="b">
        <v>0</v>
      </c>
      <c r="H3428" s="2" t="s">
        <v>8772</v>
      </c>
      <c r="I3428" s="2" t="s">
        <v>32</v>
      </c>
      <c r="J3428" s="2" t="s">
        <v>59</v>
      </c>
      <c r="K3428" s="2" t="s">
        <v>376</v>
      </c>
      <c r="L3428" s="2" t="s">
        <v>391</v>
      </c>
      <c r="M3428" s="2" t="s">
        <v>26</v>
      </c>
      <c r="N3428" s="29"/>
      <c r="O3428" s="29"/>
      <c r="P3428" s="5" t="str">
        <f>IFERROR(__xludf.DUMMYFUNCTION("TEXTJOIN("" | "",TRUE,IF(OR(D3428="""",E3428="""",I3428="""",J3428="""",H3428=""""),""ফাঁকা ঘর"",""""),IF(AND(C3428&lt;&gt;"""",D3428&lt;&gt;"""",C3428=D3428),""gloss=figurative"",""""),IF(LEN(D3428)&lt;15,""figurative ছোট"",""""),IF(AND(I3428=""Positive"",REGEXMATCH(H3"&amp;"428,""মূর্খ|ভণ্ড|প্রতার|অলস|লোভ|স্বার্থ|অক্ষম|অযোগ্য|বোকা|কৃপণ|হিংস"")),""valence-target অমিল"",""""),IF(COUNTIF($B:$B,B3428)&gt;1,""ডুপ্লিকেট"",""""))"),"")</f>
        <v/>
      </c>
      <c r="Q3428" s="5" t="str">
        <f t="shared" si="1"/>
        <v>২ পরে</v>
      </c>
    </row>
    <row r="3429">
      <c r="A3429" s="4">
        <v>1241.0</v>
      </c>
      <c r="B3429" s="2" t="s">
        <v>13701</v>
      </c>
      <c r="C3429" s="2" t="s">
        <v>13702</v>
      </c>
      <c r="D3429" s="2" t="s">
        <v>13703</v>
      </c>
      <c r="E3429" s="2" t="s">
        <v>13704</v>
      </c>
      <c r="F3429" s="2" t="b">
        <v>1</v>
      </c>
      <c r="G3429" s="2" t="b">
        <v>0</v>
      </c>
      <c r="H3429" s="2" t="s">
        <v>37</v>
      </c>
      <c r="I3429" s="2" t="s">
        <v>32</v>
      </c>
      <c r="J3429" s="2" t="s">
        <v>357</v>
      </c>
      <c r="K3429" s="2" t="s">
        <v>376</v>
      </c>
      <c r="L3429" s="2" t="s">
        <v>391</v>
      </c>
      <c r="M3429" s="2" t="s">
        <v>26</v>
      </c>
      <c r="N3429" s="29"/>
      <c r="O3429" s="29"/>
      <c r="P3429" s="5" t="str">
        <f>IFERROR(__xludf.DUMMYFUNCTION("TEXTJOIN("" | "",TRUE,IF(OR(D3429="""",E3429="""",I3429="""",J3429="""",H3429=""""),""ফাঁকা ঘর"",""""),IF(AND(C3429&lt;&gt;"""",D3429&lt;&gt;"""",C3429=D3429),""gloss=figurative"",""""),IF(LEN(D3429)&lt;15,""figurative ছোট"",""""),IF(AND(I3429=""Positive"",REGEXMATCH(H3"&amp;"429,""মূর্খ|ভণ্ড|প্রতার|অলস|লোভ|স্বার্থ|অক্ষম|অযোগ্য|বোকা|কৃপণ|হিংস"")),""valence-target অমিল"",""""),IF(COUNTIF($B:$B,B3429)&gt;1,""ডুপ্লিকেট"",""""))"),"")</f>
        <v/>
      </c>
      <c r="Q3429" s="5" t="str">
        <f t="shared" si="1"/>
        <v>২ পরে</v>
      </c>
    </row>
    <row r="3430">
      <c r="A3430" s="4">
        <v>1243.0</v>
      </c>
      <c r="B3430" s="2" t="s">
        <v>13705</v>
      </c>
      <c r="C3430" s="2" t="s">
        <v>13706</v>
      </c>
      <c r="D3430" s="2" t="s">
        <v>13707</v>
      </c>
      <c r="E3430" s="2" t="s">
        <v>13708</v>
      </c>
      <c r="F3430" s="2" t="b">
        <v>1</v>
      </c>
      <c r="G3430" s="2" t="b">
        <v>0</v>
      </c>
      <c r="H3430" s="2" t="s">
        <v>13709</v>
      </c>
      <c r="I3430" s="2" t="s">
        <v>32</v>
      </c>
      <c r="J3430" s="2" t="s">
        <v>59</v>
      </c>
      <c r="K3430" s="2" t="s">
        <v>376</v>
      </c>
      <c r="L3430" s="2" t="s">
        <v>391</v>
      </c>
      <c r="M3430" s="2" t="s">
        <v>26</v>
      </c>
      <c r="N3430" s="29"/>
      <c r="O3430" s="29"/>
      <c r="P3430" s="5" t="str">
        <f>IFERROR(__xludf.DUMMYFUNCTION("TEXTJOIN("" | "",TRUE,IF(OR(D3430="""",E3430="""",I3430="""",J3430="""",H3430=""""),""ফাঁকা ঘর"",""""),IF(AND(C3430&lt;&gt;"""",D3430&lt;&gt;"""",C3430=D3430),""gloss=figurative"",""""),IF(LEN(D3430)&lt;15,""figurative ছোট"",""""),IF(AND(I3430=""Positive"",REGEXMATCH(H3"&amp;"430,""মূর্খ|ভণ্ড|প্রতার|অলস|লোভ|স্বার্থ|অক্ষম|অযোগ্য|বোকা|কৃপণ|হিংস"")),""valence-target অমিল"",""""),IF(COUNTIF($B:$B,B3430)&gt;1,""ডুপ্লিকেট"",""""))"),"")</f>
        <v/>
      </c>
      <c r="Q3430" s="5" t="str">
        <f t="shared" si="1"/>
        <v>২ পরে</v>
      </c>
    </row>
    <row r="3431">
      <c r="A3431" s="4">
        <v>1244.0</v>
      </c>
      <c r="B3431" s="2" t="s">
        <v>13710</v>
      </c>
      <c r="C3431" s="2" t="s">
        <v>13711</v>
      </c>
      <c r="D3431" s="2" t="s">
        <v>13712</v>
      </c>
      <c r="E3431" s="2" t="s">
        <v>13713</v>
      </c>
      <c r="F3431" s="2" t="b">
        <v>1</v>
      </c>
      <c r="G3431" s="2" t="b">
        <v>0</v>
      </c>
      <c r="H3431" s="2" t="s">
        <v>37</v>
      </c>
      <c r="I3431" s="2" t="s">
        <v>32</v>
      </c>
      <c r="J3431" s="2" t="s">
        <v>162</v>
      </c>
      <c r="K3431" s="2" t="s">
        <v>376</v>
      </c>
      <c r="L3431" s="2" t="s">
        <v>391</v>
      </c>
      <c r="M3431" s="2" t="s">
        <v>26</v>
      </c>
      <c r="N3431" s="29"/>
      <c r="O3431" s="29"/>
      <c r="P3431" s="5" t="str">
        <f>IFERROR(__xludf.DUMMYFUNCTION("TEXTJOIN("" | "",TRUE,IF(OR(D3431="""",E3431="""",I3431="""",J3431="""",H3431=""""),""ফাঁকা ঘর"",""""),IF(AND(C3431&lt;&gt;"""",D3431&lt;&gt;"""",C3431=D3431),""gloss=figurative"",""""),IF(LEN(D3431)&lt;15,""figurative ছোট"",""""),IF(AND(I3431=""Positive"",REGEXMATCH(H3"&amp;"431,""মূর্খ|ভণ্ড|প্রতার|অলস|লোভ|স্বার্থ|অক্ষম|অযোগ্য|বোকা|কৃপণ|হিংস"")),""valence-target অমিল"",""""),IF(COUNTIF($B:$B,B3431)&gt;1,""ডুপ্লিকেট"",""""))"),"")</f>
        <v/>
      </c>
      <c r="Q3431" s="5" t="str">
        <f t="shared" si="1"/>
        <v>২ পরে</v>
      </c>
    </row>
    <row r="3432">
      <c r="A3432" s="4">
        <v>1245.0</v>
      </c>
      <c r="B3432" s="2" t="s">
        <v>13714</v>
      </c>
      <c r="C3432" s="2" t="s">
        <v>13715</v>
      </c>
      <c r="D3432" s="2" t="s">
        <v>13716</v>
      </c>
      <c r="E3432" s="2" t="s">
        <v>13717</v>
      </c>
      <c r="F3432" s="2" t="b">
        <v>1</v>
      </c>
      <c r="G3432" s="2" t="b">
        <v>0</v>
      </c>
      <c r="H3432" s="2" t="s">
        <v>37</v>
      </c>
      <c r="I3432" s="2" t="s">
        <v>32</v>
      </c>
      <c r="J3432" s="2" t="s">
        <v>1151</v>
      </c>
      <c r="K3432" s="2" t="s">
        <v>376</v>
      </c>
      <c r="L3432" s="2" t="s">
        <v>391</v>
      </c>
      <c r="M3432" s="2" t="s">
        <v>26</v>
      </c>
      <c r="N3432" s="29"/>
      <c r="O3432" s="29"/>
      <c r="P3432" s="5" t="str">
        <f>IFERROR(__xludf.DUMMYFUNCTION("TEXTJOIN("" | "",TRUE,IF(OR(D3432="""",E3432="""",I3432="""",J3432="""",H3432=""""),""ফাঁকা ঘর"",""""),IF(AND(C3432&lt;&gt;"""",D3432&lt;&gt;"""",C3432=D3432),""gloss=figurative"",""""),IF(LEN(D3432)&lt;15,""figurative ছোট"",""""),IF(AND(I3432=""Positive"",REGEXMATCH(H3"&amp;"432,""মূর্খ|ভণ্ড|প্রতার|অলস|লোভ|স্বার্থ|অক্ষম|অযোগ্য|বোকা|কৃপণ|হিংস"")),""valence-target অমিল"",""""),IF(COUNTIF($B:$B,B3432)&gt;1,""ডুপ্লিকেট"",""""))"),"")</f>
        <v/>
      </c>
      <c r="Q3432" s="5" t="str">
        <f t="shared" si="1"/>
        <v>২ পরে</v>
      </c>
    </row>
    <row r="3433">
      <c r="A3433" s="4">
        <v>1246.0</v>
      </c>
      <c r="B3433" s="2" t="s">
        <v>13718</v>
      </c>
      <c r="C3433" s="2" t="s">
        <v>13719</v>
      </c>
      <c r="D3433" s="2" t="s">
        <v>13720</v>
      </c>
      <c r="E3433" s="2" t="s">
        <v>13721</v>
      </c>
      <c r="F3433" s="2" t="b">
        <v>1</v>
      </c>
      <c r="G3433" s="2" t="b">
        <v>0</v>
      </c>
      <c r="H3433" s="2" t="s">
        <v>13722</v>
      </c>
      <c r="I3433" s="2" t="s">
        <v>22</v>
      </c>
      <c r="J3433" s="2" t="s">
        <v>59</v>
      </c>
      <c r="K3433" s="2" t="s">
        <v>376</v>
      </c>
      <c r="L3433" s="2" t="s">
        <v>391</v>
      </c>
      <c r="M3433" s="2" t="s">
        <v>26</v>
      </c>
      <c r="N3433" s="29"/>
      <c r="O3433" s="29"/>
      <c r="P3433" s="5" t="str">
        <f>IFERROR(__xludf.DUMMYFUNCTION("TEXTJOIN("" | "",TRUE,IF(OR(D3433="""",E3433="""",I3433="""",J3433="""",H3433=""""),""ফাঁকা ঘর"",""""),IF(AND(C3433&lt;&gt;"""",D3433&lt;&gt;"""",C3433=D3433),""gloss=figurative"",""""),IF(LEN(D3433)&lt;15,""figurative ছোট"",""""),IF(AND(I3433=""Positive"",REGEXMATCH(H3"&amp;"433,""মূর্খ|ভণ্ড|প্রতার|অলস|লোভ|স্বার্থ|অক্ষম|অযোগ্য|বোকা|কৃপণ|হিংস"")),""valence-target অমিল"",""""),IF(COUNTIF($B:$B,B3433)&gt;1,""ডুপ্লিকেট"",""""))"),"")</f>
        <v/>
      </c>
      <c r="Q3433" s="5" t="str">
        <f t="shared" si="1"/>
        <v>২ পরে</v>
      </c>
    </row>
    <row r="3434">
      <c r="A3434" s="4">
        <v>1247.0</v>
      </c>
      <c r="B3434" s="2" t="s">
        <v>13723</v>
      </c>
      <c r="C3434" s="2" t="s">
        <v>13724</v>
      </c>
      <c r="D3434" s="2" t="s">
        <v>13725</v>
      </c>
      <c r="E3434" s="2" t="s">
        <v>13726</v>
      </c>
      <c r="F3434" s="2" t="b">
        <v>1</v>
      </c>
      <c r="G3434" s="2" t="b">
        <v>1</v>
      </c>
      <c r="H3434" s="2" t="s">
        <v>800</v>
      </c>
      <c r="I3434" s="2" t="s">
        <v>32</v>
      </c>
      <c r="J3434" s="2" t="s">
        <v>9007</v>
      </c>
      <c r="K3434" s="2" t="s">
        <v>376</v>
      </c>
      <c r="L3434" s="2" t="s">
        <v>391</v>
      </c>
      <c r="M3434" s="2" t="s">
        <v>26</v>
      </c>
      <c r="N3434" s="29"/>
      <c r="O3434" s="29"/>
      <c r="P3434" s="5" t="str">
        <f>IFERROR(__xludf.DUMMYFUNCTION("TEXTJOIN("" | "",TRUE,IF(OR(D3434="""",E3434="""",I3434="""",J3434="""",H3434=""""),""ফাঁকা ঘর"",""""),IF(AND(C3434&lt;&gt;"""",D3434&lt;&gt;"""",C3434=D3434),""gloss=figurative"",""""),IF(LEN(D3434)&lt;15,""figurative ছোট"",""""),IF(AND(I3434=""Positive"",REGEXMATCH(H3"&amp;"434,""মূর্খ|ভণ্ড|প্রতার|অলস|লোভ|স্বার্থ|অক্ষম|অযোগ্য|বোকা|কৃপণ|হিংস"")),""valence-target অমিল"",""""),IF(COUNTIF($B:$B,B3434)&gt;1,""ডুপ্লিকেট"",""""))"),"")</f>
        <v/>
      </c>
      <c r="Q3434" s="5" t="str">
        <f t="shared" si="1"/>
        <v>২ পরে</v>
      </c>
    </row>
    <row r="3435">
      <c r="A3435" s="4">
        <v>1248.0</v>
      </c>
      <c r="B3435" s="2" t="s">
        <v>13727</v>
      </c>
      <c r="C3435" s="2" t="s">
        <v>13728</v>
      </c>
      <c r="D3435" s="2" t="s">
        <v>13729</v>
      </c>
      <c r="E3435" s="2" t="s">
        <v>13730</v>
      </c>
      <c r="F3435" s="2" t="b">
        <v>1</v>
      </c>
      <c r="G3435" s="2" t="b">
        <v>0</v>
      </c>
      <c r="H3435" s="2" t="s">
        <v>37</v>
      </c>
      <c r="I3435" s="2" t="s">
        <v>32</v>
      </c>
      <c r="J3435" s="2" t="s">
        <v>357</v>
      </c>
      <c r="K3435" s="2" t="s">
        <v>376</v>
      </c>
      <c r="L3435" s="2" t="s">
        <v>391</v>
      </c>
      <c r="M3435" s="2" t="s">
        <v>26</v>
      </c>
      <c r="N3435" s="29"/>
      <c r="O3435" s="29"/>
      <c r="P3435" s="5" t="str">
        <f>IFERROR(__xludf.DUMMYFUNCTION("TEXTJOIN("" | "",TRUE,IF(OR(D3435="""",E3435="""",I3435="""",J3435="""",H3435=""""),""ফাঁকা ঘর"",""""),IF(AND(C3435&lt;&gt;"""",D3435&lt;&gt;"""",C3435=D3435),""gloss=figurative"",""""),IF(LEN(D3435)&lt;15,""figurative ছোট"",""""),IF(AND(I3435=""Positive"",REGEXMATCH(H3"&amp;"435,""মূর্খ|ভণ্ড|প্রতার|অলস|লোভ|স্বার্থ|অক্ষম|অযোগ্য|বোকা|কৃপণ|হিংস"")),""valence-target অমিল"",""""),IF(COUNTIF($B:$B,B3435)&gt;1,""ডুপ্লিকেট"",""""))"),"")</f>
        <v/>
      </c>
      <c r="Q3435" s="5" t="str">
        <f t="shared" si="1"/>
        <v>২ পরে</v>
      </c>
    </row>
    <row r="3436">
      <c r="A3436" s="4">
        <v>1249.0</v>
      </c>
      <c r="B3436" s="2" t="s">
        <v>13731</v>
      </c>
      <c r="C3436" s="2" t="s">
        <v>13732</v>
      </c>
      <c r="D3436" s="2" t="s">
        <v>13733</v>
      </c>
      <c r="E3436" s="2" t="s">
        <v>13734</v>
      </c>
      <c r="F3436" s="2" t="b">
        <v>1</v>
      </c>
      <c r="G3436" s="2" t="b">
        <v>0</v>
      </c>
      <c r="H3436" s="2" t="s">
        <v>37</v>
      </c>
      <c r="I3436" s="2" t="s">
        <v>32</v>
      </c>
      <c r="J3436" s="2" t="s">
        <v>590</v>
      </c>
      <c r="K3436" s="2" t="s">
        <v>376</v>
      </c>
      <c r="L3436" s="2" t="s">
        <v>391</v>
      </c>
      <c r="M3436" s="2" t="s">
        <v>26</v>
      </c>
      <c r="N3436" s="29"/>
      <c r="O3436" s="29"/>
      <c r="P3436" s="5" t="str">
        <f>IFERROR(__xludf.DUMMYFUNCTION("TEXTJOIN("" | "",TRUE,IF(OR(D3436="""",E3436="""",I3436="""",J3436="""",H3436=""""),""ফাঁকা ঘর"",""""),IF(AND(C3436&lt;&gt;"""",D3436&lt;&gt;"""",C3436=D3436),""gloss=figurative"",""""),IF(LEN(D3436)&lt;15,""figurative ছোট"",""""),IF(AND(I3436=""Positive"",REGEXMATCH(H3"&amp;"436,""মূর্খ|ভণ্ড|প্রতার|অলস|লোভ|স্বার্থ|অক্ষম|অযোগ্য|বোকা|কৃপণ|হিংস"")),""valence-target অমিল"",""""),IF(COUNTIF($B:$B,B3436)&gt;1,""ডুপ্লিকেট"",""""))"),"")</f>
        <v/>
      </c>
      <c r="Q3436" s="5" t="str">
        <f t="shared" si="1"/>
        <v>২ পরে</v>
      </c>
    </row>
    <row r="3437">
      <c r="A3437" s="4">
        <v>1250.0</v>
      </c>
      <c r="B3437" s="2" t="s">
        <v>13735</v>
      </c>
      <c r="C3437" s="2" t="s">
        <v>3809</v>
      </c>
      <c r="D3437" s="2" t="s">
        <v>10620</v>
      </c>
      <c r="E3437" s="2" t="s">
        <v>13736</v>
      </c>
      <c r="F3437" s="2" t="b">
        <v>1</v>
      </c>
      <c r="G3437" s="2" t="b">
        <v>0</v>
      </c>
      <c r="H3437" s="2" t="s">
        <v>37</v>
      </c>
      <c r="I3437" s="2" t="s">
        <v>49</v>
      </c>
      <c r="J3437" s="2" t="s">
        <v>3506</v>
      </c>
      <c r="K3437" s="2" t="s">
        <v>376</v>
      </c>
      <c r="L3437" s="2" t="s">
        <v>391</v>
      </c>
      <c r="M3437" s="2" t="s">
        <v>26</v>
      </c>
      <c r="N3437" s="29"/>
      <c r="O3437" s="29"/>
      <c r="P3437" s="5" t="str">
        <f>IFERROR(__xludf.DUMMYFUNCTION("TEXTJOIN("" | "",TRUE,IF(OR(D3437="""",E3437="""",I3437="""",J3437="""",H3437=""""),""ফাঁকা ঘর"",""""),IF(AND(C3437&lt;&gt;"""",D3437&lt;&gt;"""",C3437=D3437),""gloss=figurative"",""""),IF(LEN(D3437)&lt;15,""figurative ছোট"",""""),IF(AND(I3437=""Positive"",REGEXMATCH(H3"&amp;"437,""মূর্খ|ভণ্ড|প্রতার|অলস|লোভ|স্বার্থ|অক্ষম|অযোগ্য|বোকা|কৃপণ|হিংস"")),""valence-target অমিল"",""""),IF(COUNTIF($B:$B,B3437)&gt;1,""ডুপ্লিকেট"",""""))"),"")</f>
        <v/>
      </c>
      <c r="Q3437" s="5" t="str">
        <f t="shared" si="1"/>
        <v>২ পরে</v>
      </c>
    </row>
    <row r="3438">
      <c r="A3438" s="4">
        <v>1251.0</v>
      </c>
      <c r="B3438" s="2" t="s">
        <v>13737</v>
      </c>
      <c r="C3438" s="2" t="s">
        <v>13738</v>
      </c>
      <c r="D3438" s="2" t="s">
        <v>13739</v>
      </c>
      <c r="E3438" s="2" t="s">
        <v>13740</v>
      </c>
      <c r="F3438" s="2" t="b">
        <v>1</v>
      </c>
      <c r="G3438" s="2" t="b">
        <v>0</v>
      </c>
      <c r="H3438" s="2" t="s">
        <v>37</v>
      </c>
      <c r="I3438" s="2" t="s">
        <v>32</v>
      </c>
      <c r="J3438" s="2" t="s">
        <v>162</v>
      </c>
      <c r="K3438" s="2" t="s">
        <v>376</v>
      </c>
      <c r="L3438" s="2" t="s">
        <v>391</v>
      </c>
      <c r="M3438" s="2" t="s">
        <v>26</v>
      </c>
      <c r="N3438" s="29"/>
      <c r="O3438" s="29"/>
      <c r="P3438" s="5" t="str">
        <f>IFERROR(__xludf.DUMMYFUNCTION("TEXTJOIN("" | "",TRUE,IF(OR(D3438="""",E3438="""",I3438="""",J3438="""",H3438=""""),""ফাঁকা ঘর"",""""),IF(AND(C3438&lt;&gt;"""",D3438&lt;&gt;"""",C3438=D3438),""gloss=figurative"",""""),IF(LEN(D3438)&lt;15,""figurative ছোট"",""""),IF(AND(I3438=""Positive"",REGEXMATCH(H3"&amp;"438,""মূর্খ|ভণ্ড|প্রতার|অলস|লোভ|স্বার্থ|অক্ষম|অযোগ্য|বোকা|কৃপণ|হিংস"")),""valence-target অমিল"",""""),IF(COUNTIF($B:$B,B3438)&gt;1,""ডুপ্লিকেট"",""""))"),"")</f>
        <v/>
      </c>
      <c r="Q3438" s="5" t="str">
        <f t="shared" si="1"/>
        <v>২ পরে</v>
      </c>
    </row>
    <row r="3439">
      <c r="A3439" s="4">
        <v>1252.0</v>
      </c>
      <c r="B3439" s="2" t="s">
        <v>13741</v>
      </c>
      <c r="C3439" s="2" t="s">
        <v>13742</v>
      </c>
      <c r="D3439" s="2" t="s">
        <v>13743</v>
      </c>
      <c r="E3439" s="2" t="s">
        <v>13744</v>
      </c>
      <c r="F3439" s="2" t="b">
        <v>1</v>
      </c>
      <c r="G3439" s="2" t="b">
        <v>1</v>
      </c>
      <c r="H3439" s="2" t="s">
        <v>13745</v>
      </c>
      <c r="I3439" s="2" t="s">
        <v>49</v>
      </c>
      <c r="J3439" s="2" t="s">
        <v>9301</v>
      </c>
      <c r="K3439" s="2" t="s">
        <v>376</v>
      </c>
      <c r="L3439" s="2" t="s">
        <v>391</v>
      </c>
      <c r="M3439" s="2" t="s">
        <v>26</v>
      </c>
      <c r="N3439" s="29"/>
      <c r="O3439" s="29"/>
      <c r="P3439" s="5" t="str">
        <f>IFERROR(__xludf.DUMMYFUNCTION("TEXTJOIN("" | "",TRUE,IF(OR(D3439="""",E3439="""",I3439="""",J3439="""",H3439=""""),""ফাঁকা ঘর"",""""),IF(AND(C3439&lt;&gt;"""",D3439&lt;&gt;"""",C3439=D3439),""gloss=figurative"",""""),IF(LEN(D3439)&lt;15,""figurative ছোট"",""""),IF(AND(I3439=""Positive"",REGEXMATCH(H3"&amp;"439,""মূর্খ|ভণ্ড|প্রতার|অলস|লোভ|স্বার্থ|অক্ষম|অযোগ্য|বোকা|কৃপণ|হিংস"")),""valence-target অমিল"",""""),IF(COUNTIF($B:$B,B3439)&gt;1,""ডুপ্লিকেট"",""""))"),"")</f>
        <v/>
      </c>
      <c r="Q3439" s="5" t="str">
        <f t="shared" si="1"/>
        <v>২ পরে</v>
      </c>
    </row>
    <row r="3440">
      <c r="A3440" s="4">
        <v>1253.0</v>
      </c>
      <c r="B3440" s="2" t="s">
        <v>13746</v>
      </c>
      <c r="C3440" s="2" t="s">
        <v>13747</v>
      </c>
      <c r="D3440" s="2" t="s">
        <v>13748</v>
      </c>
      <c r="E3440" s="2" t="s">
        <v>13749</v>
      </c>
      <c r="F3440" s="2" t="b">
        <v>1</v>
      </c>
      <c r="G3440" s="2" t="b">
        <v>0</v>
      </c>
      <c r="H3440" s="2" t="s">
        <v>9486</v>
      </c>
      <c r="I3440" s="2" t="s">
        <v>32</v>
      </c>
      <c r="J3440" s="2" t="s">
        <v>190</v>
      </c>
      <c r="K3440" s="2" t="s">
        <v>376</v>
      </c>
      <c r="L3440" s="2" t="s">
        <v>391</v>
      </c>
      <c r="M3440" s="2" t="s">
        <v>26</v>
      </c>
      <c r="N3440" s="29"/>
      <c r="O3440" s="29"/>
      <c r="P3440" s="5" t="str">
        <f>IFERROR(__xludf.DUMMYFUNCTION("TEXTJOIN("" | "",TRUE,IF(OR(D3440="""",E3440="""",I3440="""",J3440="""",H3440=""""),""ফাঁকা ঘর"",""""),IF(AND(C3440&lt;&gt;"""",D3440&lt;&gt;"""",C3440=D3440),""gloss=figurative"",""""),IF(LEN(D3440)&lt;15,""figurative ছোট"",""""),IF(AND(I3440=""Positive"",REGEXMATCH(H3"&amp;"440,""মূর্খ|ভণ্ড|প্রতার|অলস|লোভ|স্বার্থ|অক্ষম|অযোগ্য|বোকা|কৃপণ|হিংস"")),""valence-target অমিল"",""""),IF(COUNTIF($B:$B,B3440)&gt;1,""ডুপ্লিকেট"",""""))"),"")</f>
        <v/>
      </c>
      <c r="Q3440" s="5" t="str">
        <f t="shared" si="1"/>
        <v>২ পরে</v>
      </c>
    </row>
    <row r="3441">
      <c r="A3441" s="4">
        <v>1254.0</v>
      </c>
      <c r="B3441" s="2" t="s">
        <v>13750</v>
      </c>
      <c r="C3441" s="2" t="s">
        <v>13751</v>
      </c>
      <c r="D3441" s="2" t="s">
        <v>13752</v>
      </c>
      <c r="E3441" s="2" t="s">
        <v>13753</v>
      </c>
      <c r="F3441" s="2" t="b">
        <v>1</v>
      </c>
      <c r="G3441" s="2" t="b">
        <v>1</v>
      </c>
      <c r="H3441" s="2" t="s">
        <v>11932</v>
      </c>
      <c r="I3441" s="2" t="s">
        <v>32</v>
      </c>
      <c r="J3441" s="2" t="s">
        <v>59</v>
      </c>
      <c r="K3441" s="2" t="s">
        <v>376</v>
      </c>
      <c r="L3441" s="2" t="s">
        <v>391</v>
      </c>
      <c r="M3441" s="2" t="s">
        <v>26</v>
      </c>
      <c r="N3441" s="29"/>
      <c r="O3441" s="29"/>
      <c r="P3441" s="5" t="str">
        <f>IFERROR(__xludf.DUMMYFUNCTION("TEXTJOIN("" | "",TRUE,IF(OR(D3441="""",E3441="""",I3441="""",J3441="""",H3441=""""),""ফাঁকা ঘর"",""""),IF(AND(C3441&lt;&gt;"""",D3441&lt;&gt;"""",C3441=D3441),""gloss=figurative"",""""),IF(LEN(D3441)&lt;15,""figurative ছোট"",""""),IF(AND(I3441=""Positive"",REGEXMATCH(H3"&amp;"441,""মূর্খ|ভণ্ড|প্রতার|অলস|লোভ|স্বার্থ|অক্ষম|অযোগ্য|বোকা|কৃপণ|হিংস"")),""valence-target অমিল"",""""),IF(COUNTIF($B:$B,B3441)&gt;1,""ডুপ্লিকেট"",""""))"),"")</f>
        <v/>
      </c>
      <c r="Q3441" s="5" t="str">
        <f t="shared" si="1"/>
        <v>২ পরে</v>
      </c>
    </row>
    <row r="3442">
      <c r="A3442" s="4">
        <v>1255.0</v>
      </c>
      <c r="B3442" s="2" t="s">
        <v>13754</v>
      </c>
      <c r="C3442" s="2" t="s">
        <v>13755</v>
      </c>
      <c r="D3442" s="2" t="s">
        <v>13756</v>
      </c>
      <c r="E3442" s="2" t="s">
        <v>13757</v>
      </c>
      <c r="F3442" s="2" t="b">
        <v>1</v>
      </c>
      <c r="G3442" s="2" t="b">
        <v>0</v>
      </c>
      <c r="H3442" s="2" t="s">
        <v>13758</v>
      </c>
      <c r="I3442" s="2" t="s">
        <v>22</v>
      </c>
      <c r="J3442" s="2" t="s">
        <v>197</v>
      </c>
      <c r="K3442" s="2" t="s">
        <v>376</v>
      </c>
      <c r="L3442" s="2" t="s">
        <v>391</v>
      </c>
      <c r="M3442" s="2" t="s">
        <v>26</v>
      </c>
      <c r="N3442" s="29"/>
      <c r="O3442" s="29"/>
      <c r="P3442" s="5" t="str">
        <f>IFERROR(__xludf.DUMMYFUNCTION("TEXTJOIN("" | "",TRUE,IF(OR(D3442="""",E3442="""",I3442="""",J3442="""",H3442=""""),""ফাঁকা ঘর"",""""),IF(AND(C3442&lt;&gt;"""",D3442&lt;&gt;"""",C3442=D3442),""gloss=figurative"",""""),IF(LEN(D3442)&lt;15,""figurative ছোট"",""""),IF(AND(I3442=""Positive"",REGEXMATCH(H3"&amp;"442,""মূর্খ|ভণ্ড|প্রতার|অলস|লোভ|স্বার্থ|অক্ষম|অযোগ্য|বোকা|কৃপণ|হিংস"")),""valence-target অমিল"",""""),IF(COUNTIF($B:$B,B3442)&gt;1,""ডুপ্লিকেট"",""""))"),"")</f>
        <v/>
      </c>
      <c r="Q3442" s="5" t="str">
        <f t="shared" si="1"/>
        <v>২ পরে</v>
      </c>
    </row>
    <row r="3443">
      <c r="A3443" s="4">
        <v>1256.0</v>
      </c>
      <c r="B3443" s="2" t="s">
        <v>13759</v>
      </c>
      <c r="C3443" s="2" t="s">
        <v>13760</v>
      </c>
      <c r="D3443" s="2" t="s">
        <v>13761</v>
      </c>
      <c r="E3443" s="2" t="s">
        <v>13762</v>
      </c>
      <c r="F3443" s="2" t="b">
        <v>1</v>
      </c>
      <c r="G3443" s="2" t="b">
        <v>1</v>
      </c>
      <c r="H3443" s="2" t="s">
        <v>13763</v>
      </c>
      <c r="I3443" s="2" t="s">
        <v>22</v>
      </c>
      <c r="J3443" s="2" t="s">
        <v>59</v>
      </c>
      <c r="K3443" s="2" t="s">
        <v>376</v>
      </c>
      <c r="L3443" s="2" t="s">
        <v>391</v>
      </c>
      <c r="M3443" s="2" t="s">
        <v>26</v>
      </c>
      <c r="N3443" s="29"/>
      <c r="O3443" s="29"/>
      <c r="P3443" s="5" t="str">
        <f>IFERROR(__xludf.DUMMYFUNCTION("TEXTJOIN("" | "",TRUE,IF(OR(D3443="""",E3443="""",I3443="""",J3443="""",H3443=""""),""ফাঁকা ঘর"",""""),IF(AND(C3443&lt;&gt;"""",D3443&lt;&gt;"""",C3443=D3443),""gloss=figurative"",""""),IF(LEN(D3443)&lt;15,""figurative ছোট"",""""),IF(AND(I3443=""Positive"",REGEXMATCH(H3"&amp;"443,""মূর্খ|ভণ্ড|প্রতার|অলস|লোভ|স্বার্থ|অক্ষম|অযোগ্য|বোকা|কৃপণ|হিংস"")),""valence-target অমিল"",""""),IF(COUNTIF($B:$B,B3443)&gt;1,""ডুপ্লিকেট"",""""))"),"")</f>
        <v/>
      </c>
      <c r="Q3443" s="5" t="str">
        <f t="shared" si="1"/>
        <v>২ পরে</v>
      </c>
    </row>
    <row r="3444">
      <c r="A3444" s="4">
        <v>1257.0</v>
      </c>
      <c r="B3444" s="2" t="s">
        <v>13764</v>
      </c>
      <c r="C3444" s="2" t="s">
        <v>13765</v>
      </c>
      <c r="D3444" s="2" t="s">
        <v>13766</v>
      </c>
      <c r="E3444" s="2" t="s">
        <v>13767</v>
      </c>
      <c r="F3444" s="2" t="b">
        <v>1</v>
      </c>
      <c r="G3444" s="2" t="b">
        <v>0</v>
      </c>
      <c r="H3444" s="2" t="s">
        <v>13768</v>
      </c>
      <c r="I3444" s="2" t="s">
        <v>32</v>
      </c>
      <c r="J3444" s="2" t="s">
        <v>169</v>
      </c>
      <c r="K3444" s="2" t="s">
        <v>376</v>
      </c>
      <c r="L3444" s="2" t="s">
        <v>391</v>
      </c>
      <c r="M3444" s="2" t="s">
        <v>26</v>
      </c>
      <c r="N3444" s="29"/>
      <c r="O3444" s="29"/>
      <c r="P3444" s="5" t="str">
        <f>IFERROR(__xludf.DUMMYFUNCTION("TEXTJOIN("" | "",TRUE,IF(OR(D3444="""",E3444="""",I3444="""",J3444="""",H3444=""""),""ফাঁকা ঘর"",""""),IF(AND(C3444&lt;&gt;"""",D3444&lt;&gt;"""",C3444=D3444),""gloss=figurative"",""""),IF(LEN(D3444)&lt;15,""figurative ছোট"",""""),IF(AND(I3444=""Positive"",REGEXMATCH(H3"&amp;"444,""মূর্খ|ভণ্ড|প্রতার|অলস|লোভ|স্বার্থ|অক্ষম|অযোগ্য|বোকা|কৃপণ|হিংস"")),""valence-target অমিল"",""""),IF(COUNTIF($B:$B,B3444)&gt;1,""ডুপ্লিকেট"",""""))"),"")</f>
        <v/>
      </c>
      <c r="Q3444" s="5" t="str">
        <f t="shared" si="1"/>
        <v>২ পরে</v>
      </c>
    </row>
    <row r="3445">
      <c r="A3445" s="4">
        <v>1258.0</v>
      </c>
      <c r="B3445" s="2" t="s">
        <v>13769</v>
      </c>
      <c r="C3445" s="2" t="s">
        <v>13770</v>
      </c>
      <c r="D3445" s="2" t="s">
        <v>13771</v>
      </c>
      <c r="E3445" s="2" t="s">
        <v>13772</v>
      </c>
      <c r="F3445" s="2" t="b">
        <v>1</v>
      </c>
      <c r="G3445" s="2" t="b">
        <v>0</v>
      </c>
      <c r="H3445" s="2" t="s">
        <v>10681</v>
      </c>
      <c r="I3445" s="2" t="s">
        <v>22</v>
      </c>
      <c r="J3445" s="2" t="s">
        <v>59</v>
      </c>
      <c r="K3445" s="2" t="s">
        <v>376</v>
      </c>
      <c r="L3445" s="2" t="s">
        <v>391</v>
      </c>
      <c r="M3445" s="2" t="s">
        <v>26</v>
      </c>
      <c r="N3445" s="29"/>
      <c r="O3445" s="29"/>
      <c r="P3445" s="5" t="str">
        <f>IFERROR(__xludf.DUMMYFUNCTION("TEXTJOIN("" | "",TRUE,IF(OR(D3445="""",E3445="""",I3445="""",J3445="""",H3445=""""),""ফাঁকা ঘর"",""""),IF(AND(C3445&lt;&gt;"""",D3445&lt;&gt;"""",C3445=D3445),""gloss=figurative"",""""),IF(LEN(D3445)&lt;15,""figurative ছোট"",""""),IF(AND(I3445=""Positive"",REGEXMATCH(H3"&amp;"445,""মূর্খ|ভণ্ড|প্রতার|অলস|লোভ|স্বার্থ|অক্ষম|অযোগ্য|বোকা|কৃপণ|হিংস"")),""valence-target অমিল"",""""),IF(COUNTIF($B:$B,B3445)&gt;1,""ডুপ্লিকেট"",""""))"),"")</f>
        <v/>
      </c>
      <c r="Q3445" s="5" t="str">
        <f t="shared" si="1"/>
        <v>২ পরে</v>
      </c>
    </row>
    <row r="3446">
      <c r="A3446" s="4">
        <v>1259.0</v>
      </c>
      <c r="B3446" s="2" t="s">
        <v>13773</v>
      </c>
      <c r="C3446" s="2" t="s">
        <v>13774</v>
      </c>
      <c r="D3446" s="2" t="s">
        <v>13775</v>
      </c>
      <c r="E3446" s="2" t="s">
        <v>13776</v>
      </c>
      <c r="F3446" s="2" t="b">
        <v>1</v>
      </c>
      <c r="G3446" s="2" t="b">
        <v>0</v>
      </c>
      <c r="H3446" s="2" t="s">
        <v>11566</v>
      </c>
      <c r="I3446" s="2" t="s">
        <v>32</v>
      </c>
      <c r="J3446" s="2" t="s">
        <v>868</v>
      </c>
      <c r="K3446" s="2" t="s">
        <v>376</v>
      </c>
      <c r="L3446" s="2" t="s">
        <v>391</v>
      </c>
      <c r="M3446" s="2" t="s">
        <v>26</v>
      </c>
      <c r="N3446" s="29"/>
      <c r="O3446" s="29"/>
      <c r="P3446" s="5" t="str">
        <f>IFERROR(__xludf.DUMMYFUNCTION("TEXTJOIN("" | "",TRUE,IF(OR(D3446="""",E3446="""",I3446="""",J3446="""",H3446=""""),""ফাঁকা ঘর"",""""),IF(AND(C3446&lt;&gt;"""",D3446&lt;&gt;"""",C3446=D3446),""gloss=figurative"",""""),IF(LEN(D3446)&lt;15,""figurative ছোট"",""""),IF(AND(I3446=""Positive"",REGEXMATCH(H3"&amp;"446,""মূর্খ|ভণ্ড|প্রতার|অলস|লোভ|স্বার্থ|অক্ষম|অযোগ্য|বোকা|কৃপণ|হিংস"")),""valence-target অমিল"",""""),IF(COUNTIF($B:$B,B3446)&gt;1,""ডুপ্লিকেট"",""""))"),"")</f>
        <v/>
      </c>
      <c r="Q3446" s="5" t="str">
        <f t="shared" si="1"/>
        <v>২ পরে</v>
      </c>
    </row>
    <row r="3447">
      <c r="A3447" s="4">
        <v>1260.0</v>
      </c>
      <c r="B3447" s="2" t="s">
        <v>13777</v>
      </c>
      <c r="C3447" s="2" t="s">
        <v>13777</v>
      </c>
      <c r="D3447" s="2" t="s">
        <v>13778</v>
      </c>
      <c r="E3447" s="2" t="s">
        <v>13779</v>
      </c>
      <c r="F3447" s="2" t="b">
        <v>1</v>
      </c>
      <c r="G3447" s="2" t="b">
        <v>0</v>
      </c>
      <c r="H3447" s="2" t="s">
        <v>37</v>
      </c>
      <c r="I3447" s="2" t="s">
        <v>32</v>
      </c>
      <c r="J3447" s="2" t="s">
        <v>13060</v>
      </c>
      <c r="K3447" s="2" t="s">
        <v>376</v>
      </c>
      <c r="L3447" s="2" t="s">
        <v>391</v>
      </c>
      <c r="M3447" s="2" t="s">
        <v>26</v>
      </c>
      <c r="N3447" s="29"/>
      <c r="O3447" s="29"/>
      <c r="P3447" s="5" t="str">
        <f>IFERROR(__xludf.DUMMYFUNCTION("TEXTJOIN("" | "",TRUE,IF(OR(D3447="""",E3447="""",I3447="""",J3447="""",H3447=""""),""ফাঁকা ঘর"",""""),IF(AND(C3447&lt;&gt;"""",D3447&lt;&gt;"""",C3447=D3447),""gloss=figurative"",""""),IF(LEN(D3447)&lt;15,""figurative ছোট"",""""),IF(AND(I3447=""Positive"",REGEXMATCH(H3"&amp;"447,""মূর্খ|ভণ্ড|প্রতার|অলস|লোভ|স্বার্থ|অক্ষম|অযোগ্য|বোকা|কৃপণ|হিংস"")),""valence-target অমিল"",""""),IF(COUNTIF($B:$B,B3447)&gt;1,""ডুপ্লিকেট"",""""))"),"")</f>
        <v/>
      </c>
      <c r="Q3447" s="5" t="str">
        <f t="shared" si="1"/>
        <v>২ পরে</v>
      </c>
    </row>
    <row r="3448">
      <c r="A3448" s="4">
        <v>1261.0</v>
      </c>
      <c r="B3448" s="2" t="s">
        <v>13780</v>
      </c>
      <c r="C3448" s="2" t="s">
        <v>13781</v>
      </c>
      <c r="D3448" s="2" t="s">
        <v>13782</v>
      </c>
      <c r="E3448" s="2" t="s">
        <v>13783</v>
      </c>
      <c r="F3448" s="2" t="b">
        <v>1</v>
      </c>
      <c r="G3448" s="2" t="b">
        <v>1</v>
      </c>
      <c r="H3448" s="2" t="s">
        <v>13745</v>
      </c>
      <c r="I3448" s="2" t="s">
        <v>32</v>
      </c>
      <c r="J3448" s="2" t="s">
        <v>9301</v>
      </c>
      <c r="K3448" s="2" t="s">
        <v>376</v>
      </c>
      <c r="L3448" s="2" t="s">
        <v>391</v>
      </c>
      <c r="M3448" s="2" t="s">
        <v>26</v>
      </c>
      <c r="N3448" s="29"/>
      <c r="O3448" s="29"/>
      <c r="P3448" s="5" t="str">
        <f>IFERROR(__xludf.DUMMYFUNCTION("TEXTJOIN("" | "",TRUE,IF(OR(D3448="""",E3448="""",I3448="""",J3448="""",H3448=""""),""ফাঁকা ঘর"",""""),IF(AND(C3448&lt;&gt;"""",D3448&lt;&gt;"""",C3448=D3448),""gloss=figurative"",""""),IF(LEN(D3448)&lt;15,""figurative ছোট"",""""),IF(AND(I3448=""Positive"",REGEXMATCH(H3"&amp;"448,""মূর্খ|ভণ্ড|প্রতার|অলস|লোভ|স্বার্থ|অক্ষম|অযোগ্য|বোকা|কৃপণ|হিংস"")),""valence-target অমিল"",""""),IF(COUNTIF($B:$B,B3448)&gt;1,""ডুপ্লিকেট"",""""))"),"")</f>
        <v/>
      </c>
      <c r="Q3448" s="5" t="str">
        <f t="shared" si="1"/>
        <v>২ পরে</v>
      </c>
    </row>
    <row r="3449">
      <c r="A3449" s="4">
        <v>1262.0</v>
      </c>
      <c r="B3449" s="2" t="s">
        <v>13784</v>
      </c>
      <c r="C3449" s="2" t="s">
        <v>13785</v>
      </c>
      <c r="D3449" s="2" t="s">
        <v>13786</v>
      </c>
      <c r="E3449" s="2" t="s">
        <v>13787</v>
      </c>
      <c r="F3449" s="2" t="b">
        <v>1</v>
      </c>
      <c r="G3449" s="2" t="b">
        <v>0</v>
      </c>
      <c r="H3449" s="2" t="s">
        <v>37</v>
      </c>
      <c r="I3449" s="2" t="s">
        <v>32</v>
      </c>
      <c r="J3449" s="2" t="s">
        <v>162</v>
      </c>
      <c r="K3449" s="2" t="s">
        <v>376</v>
      </c>
      <c r="L3449" s="2" t="s">
        <v>391</v>
      </c>
      <c r="M3449" s="2" t="s">
        <v>26</v>
      </c>
      <c r="N3449" s="29"/>
      <c r="O3449" s="29"/>
      <c r="P3449" s="5" t="str">
        <f>IFERROR(__xludf.DUMMYFUNCTION("TEXTJOIN("" | "",TRUE,IF(OR(D3449="""",E3449="""",I3449="""",J3449="""",H3449=""""),""ফাঁকা ঘর"",""""),IF(AND(C3449&lt;&gt;"""",D3449&lt;&gt;"""",C3449=D3449),""gloss=figurative"",""""),IF(LEN(D3449)&lt;15,""figurative ছোট"",""""),IF(AND(I3449=""Positive"",REGEXMATCH(H3"&amp;"449,""মূর্খ|ভণ্ড|প্রতার|অলস|লোভ|স্বার্থ|অক্ষম|অযোগ্য|বোকা|কৃপণ|হিংস"")),""valence-target অমিল"",""""),IF(COUNTIF($B:$B,B3449)&gt;1,""ডুপ্লিকেট"",""""))"),"")</f>
        <v/>
      </c>
      <c r="Q3449" s="5" t="str">
        <f t="shared" si="1"/>
        <v>২ পরে</v>
      </c>
    </row>
    <row r="3450">
      <c r="A3450" s="4">
        <v>1263.0</v>
      </c>
      <c r="B3450" s="2" t="s">
        <v>13788</v>
      </c>
      <c r="C3450" s="2" t="s">
        <v>13789</v>
      </c>
      <c r="D3450" s="2" t="s">
        <v>13790</v>
      </c>
      <c r="E3450" s="2" t="s">
        <v>13791</v>
      </c>
      <c r="F3450" s="2" t="b">
        <v>1</v>
      </c>
      <c r="G3450" s="2" t="b">
        <v>0</v>
      </c>
      <c r="H3450" s="2" t="s">
        <v>13792</v>
      </c>
      <c r="I3450" s="2" t="s">
        <v>32</v>
      </c>
      <c r="J3450" s="2" t="s">
        <v>9301</v>
      </c>
      <c r="K3450" s="2" t="s">
        <v>376</v>
      </c>
      <c r="L3450" s="2" t="s">
        <v>391</v>
      </c>
      <c r="M3450" s="2" t="s">
        <v>26</v>
      </c>
      <c r="N3450" s="29"/>
      <c r="O3450" s="29"/>
      <c r="P3450" s="5" t="str">
        <f>IFERROR(__xludf.DUMMYFUNCTION("TEXTJOIN("" | "",TRUE,IF(OR(D3450="""",E3450="""",I3450="""",J3450="""",H3450=""""),""ফাঁকা ঘর"",""""),IF(AND(C3450&lt;&gt;"""",D3450&lt;&gt;"""",C3450=D3450),""gloss=figurative"",""""),IF(LEN(D3450)&lt;15,""figurative ছোট"",""""),IF(AND(I3450=""Positive"",REGEXMATCH(H3"&amp;"450,""মূর্খ|ভণ্ড|প্রতার|অলস|লোভ|স্বার্থ|অক্ষম|অযোগ্য|বোকা|কৃপণ|হিংস"")),""valence-target অমিল"",""""),IF(COUNTIF($B:$B,B3450)&gt;1,""ডুপ্লিকেট"",""""))"),"")</f>
        <v/>
      </c>
      <c r="Q3450" s="5" t="str">
        <f t="shared" si="1"/>
        <v>২ পরে</v>
      </c>
    </row>
    <row r="3451">
      <c r="A3451" s="4">
        <v>1264.0</v>
      </c>
      <c r="B3451" s="2" t="s">
        <v>13793</v>
      </c>
      <c r="C3451" s="2" t="s">
        <v>13794</v>
      </c>
      <c r="D3451" s="2" t="s">
        <v>13795</v>
      </c>
      <c r="E3451" s="2" t="s">
        <v>13796</v>
      </c>
      <c r="F3451" s="2" t="b">
        <v>1</v>
      </c>
      <c r="G3451" s="2" t="b">
        <v>1</v>
      </c>
      <c r="H3451" s="2" t="s">
        <v>3079</v>
      </c>
      <c r="I3451" s="2" t="s">
        <v>32</v>
      </c>
      <c r="J3451" s="2" t="s">
        <v>9301</v>
      </c>
      <c r="K3451" s="2" t="s">
        <v>376</v>
      </c>
      <c r="L3451" s="2" t="s">
        <v>391</v>
      </c>
      <c r="M3451" s="2" t="s">
        <v>26</v>
      </c>
      <c r="N3451" s="29"/>
      <c r="O3451" s="29"/>
      <c r="P3451" s="5" t="str">
        <f>IFERROR(__xludf.DUMMYFUNCTION("TEXTJOIN("" | "",TRUE,IF(OR(D3451="""",E3451="""",I3451="""",J3451="""",H3451=""""),""ফাঁকা ঘর"",""""),IF(AND(C3451&lt;&gt;"""",D3451&lt;&gt;"""",C3451=D3451),""gloss=figurative"",""""),IF(LEN(D3451)&lt;15,""figurative ছোট"",""""),IF(AND(I3451=""Positive"",REGEXMATCH(H3"&amp;"451,""মূর্খ|ভণ্ড|প্রতার|অলস|লোভ|স্বার্থ|অক্ষম|অযোগ্য|বোকা|কৃপণ|হিংস"")),""valence-target অমিল"",""""),IF(COUNTIF($B:$B,B3451)&gt;1,""ডুপ্লিকেট"",""""))"),"")</f>
        <v/>
      </c>
      <c r="Q3451" s="5" t="str">
        <f t="shared" si="1"/>
        <v>২ পরে</v>
      </c>
    </row>
    <row r="3452">
      <c r="A3452" s="4">
        <v>1265.0</v>
      </c>
      <c r="B3452" s="2" t="s">
        <v>13797</v>
      </c>
      <c r="C3452" s="2" t="s">
        <v>13798</v>
      </c>
      <c r="D3452" s="2" t="s">
        <v>13799</v>
      </c>
      <c r="E3452" s="2" t="s">
        <v>13800</v>
      </c>
      <c r="F3452" s="2" t="b">
        <v>1</v>
      </c>
      <c r="G3452" s="2" t="b">
        <v>0</v>
      </c>
      <c r="H3452" s="2" t="s">
        <v>13801</v>
      </c>
      <c r="I3452" s="2" t="s">
        <v>32</v>
      </c>
      <c r="J3452" s="2" t="s">
        <v>9885</v>
      </c>
      <c r="K3452" s="2" t="s">
        <v>376</v>
      </c>
      <c r="L3452" s="2" t="s">
        <v>391</v>
      </c>
      <c r="M3452" s="2" t="s">
        <v>26</v>
      </c>
      <c r="N3452" s="29"/>
      <c r="O3452" s="29"/>
      <c r="P3452" s="5" t="str">
        <f>IFERROR(__xludf.DUMMYFUNCTION("TEXTJOIN("" | "",TRUE,IF(OR(D3452="""",E3452="""",I3452="""",J3452="""",H3452=""""),""ফাঁকা ঘর"",""""),IF(AND(C3452&lt;&gt;"""",D3452&lt;&gt;"""",C3452=D3452),""gloss=figurative"",""""),IF(LEN(D3452)&lt;15,""figurative ছোট"",""""),IF(AND(I3452=""Positive"",REGEXMATCH(H3"&amp;"452,""মূর্খ|ভণ্ড|প্রতার|অলস|লোভ|স্বার্থ|অক্ষম|অযোগ্য|বোকা|কৃপণ|হিংস"")),""valence-target অমিল"",""""),IF(COUNTIF($B:$B,B3452)&gt;1,""ডুপ্লিকেট"",""""))"),"")</f>
        <v/>
      </c>
      <c r="Q3452" s="5" t="str">
        <f t="shared" si="1"/>
        <v>২ পরে</v>
      </c>
    </row>
    <row r="3453">
      <c r="A3453" s="4">
        <v>1266.0</v>
      </c>
      <c r="B3453" s="2" t="s">
        <v>13802</v>
      </c>
      <c r="C3453" s="2" t="s">
        <v>13803</v>
      </c>
      <c r="D3453" s="2" t="s">
        <v>13804</v>
      </c>
      <c r="E3453" s="2" t="s">
        <v>13805</v>
      </c>
      <c r="F3453" s="2" t="b">
        <v>1</v>
      </c>
      <c r="G3453" s="2" t="b">
        <v>0</v>
      </c>
      <c r="H3453" s="2" t="s">
        <v>37</v>
      </c>
      <c r="I3453" s="2" t="s">
        <v>49</v>
      </c>
      <c r="J3453" s="2" t="s">
        <v>6697</v>
      </c>
      <c r="K3453" s="2" t="s">
        <v>376</v>
      </c>
      <c r="L3453" s="2" t="s">
        <v>391</v>
      </c>
      <c r="M3453" s="2" t="s">
        <v>26</v>
      </c>
      <c r="N3453" s="29"/>
      <c r="O3453" s="29"/>
      <c r="P3453" s="5" t="str">
        <f>IFERROR(__xludf.DUMMYFUNCTION("TEXTJOIN("" | "",TRUE,IF(OR(D3453="""",E3453="""",I3453="""",J3453="""",H3453=""""),""ফাঁকা ঘর"",""""),IF(AND(C3453&lt;&gt;"""",D3453&lt;&gt;"""",C3453=D3453),""gloss=figurative"",""""),IF(LEN(D3453)&lt;15,""figurative ছোট"",""""),IF(AND(I3453=""Positive"",REGEXMATCH(H3"&amp;"453,""মূর্খ|ভণ্ড|প্রতার|অলস|লোভ|স্বার্থ|অক্ষম|অযোগ্য|বোকা|কৃপণ|হিংস"")),""valence-target অমিল"",""""),IF(COUNTIF($B:$B,B3453)&gt;1,""ডুপ্লিকেট"",""""))"),"")</f>
        <v/>
      </c>
      <c r="Q3453" s="5" t="str">
        <f t="shared" si="1"/>
        <v>২ পরে</v>
      </c>
    </row>
    <row r="3454">
      <c r="A3454" s="4">
        <v>1267.0</v>
      </c>
      <c r="B3454" s="2" t="s">
        <v>13806</v>
      </c>
      <c r="C3454" s="2" t="s">
        <v>13807</v>
      </c>
      <c r="D3454" s="2" t="s">
        <v>13808</v>
      </c>
      <c r="E3454" s="2" t="s">
        <v>13809</v>
      </c>
      <c r="F3454" s="2" t="b">
        <v>1</v>
      </c>
      <c r="G3454" s="2" t="b">
        <v>1</v>
      </c>
      <c r="H3454" s="2" t="s">
        <v>6269</v>
      </c>
      <c r="I3454" s="2" t="s">
        <v>22</v>
      </c>
      <c r="J3454" s="2" t="s">
        <v>9301</v>
      </c>
      <c r="K3454" s="2" t="s">
        <v>376</v>
      </c>
      <c r="L3454" s="2" t="s">
        <v>391</v>
      </c>
      <c r="M3454" s="2" t="s">
        <v>26</v>
      </c>
      <c r="N3454" s="29"/>
      <c r="O3454" s="29"/>
      <c r="P3454" s="5" t="str">
        <f>IFERROR(__xludf.DUMMYFUNCTION("TEXTJOIN("" | "",TRUE,IF(OR(D3454="""",E3454="""",I3454="""",J3454="""",H3454=""""),""ফাঁকা ঘর"",""""),IF(AND(C3454&lt;&gt;"""",D3454&lt;&gt;"""",C3454=D3454),""gloss=figurative"",""""),IF(LEN(D3454)&lt;15,""figurative ছোট"",""""),IF(AND(I3454=""Positive"",REGEXMATCH(H3"&amp;"454,""মূর্খ|ভণ্ড|প্রতার|অলস|লোভ|স্বার্থ|অক্ষম|অযোগ্য|বোকা|কৃপণ|হিংস"")),""valence-target অমিল"",""""),IF(COUNTIF($B:$B,B3454)&gt;1,""ডুপ্লিকেট"",""""))"),"")</f>
        <v/>
      </c>
      <c r="Q3454" s="5" t="str">
        <f t="shared" si="1"/>
        <v>২ পরে</v>
      </c>
    </row>
    <row r="3455">
      <c r="A3455" s="4">
        <v>1269.0</v>
      </c>
      <c r="B3455" s="2" t="s">
        <v>13810</v>
      </c>
      <c r="C3455" s="2" t="s">
        <v>13811</v>
      </c>
      <c r="D3455" s="2" t="s">
        <v>13812</v>
      </c>
      <c r="E3455" s="2" t="s">
        <v>13813</v>
      </c>
      <c r="F3455" s="2" t="b">
        <v>1</v>
      </c>
      <c r="G3455" s="2" t="b">
        <v>0</v>
      </c>
      <c r="H3455" s="2" t="s">
        <v>6577</v>
      </c>
      <c r="I3455" s="2" t="s">
        <v>22</v>
      </c>
      <c r="J3455" s="2" t="s">
        <v>59</v>
      </c>
      <c r="K3455" s="2" t="s">
        <v>376</v>
      </c>
      <c r="L3455" s="2" t="s">
        <v>391</v>
      </c>
      <c r="M3455" s="2" t="s">
        <v>26</v>
      </c>
      <c r="N3455" s="29"/>
      <c r="O3455" s="29"/>
      <c r="P3455" s="5" t="str">
        <f>IFERROR(__xludf.DUMMYFUNCTION("TEXTJOIN("" | "",TRUE,IF(OR(D3455="""",E3455="""",I3455="""",J3455="""",H3455=""""),""ফাঁকা ঘর"",""""),IF(AND(C3455&lt;&gt;"""",D3455&lt;&gt;"""",C3455=D3455),""gloss=figurative"",""""),IF(LEN(D3455)&lt;15,""figurative ছোট"",""""),IF(AND(I3455=""Positive"",REGEXMATCH(H3"&amp;"455,""মূর্খ|ভণ্ড|প্রতার|অলস|লোভ|স্বার্থ|অক্ষম|অযোগ্য|বোকা|কৃপণ|হিংস"")),""valence-target অমিল"",""""),IF(COUNTIF($B:$B,B3455)&gt;1,""ডুপ্লিকেট"",""""))"),"")</f>
        <v/>
      </c>
      <c r="Q3455" s="5" t="str">
        <f t="shared" si="1"/>
        <v>২ পরে</v>
      </c>
    </row>
    <row r="3456">
      <c r="A3456" s="4">
        <v>1270.0</v>
      </c>
      <c r="B3456" s="2" t="s">
        <v>13814</v>
      </c>
      <c r="C3456" s="2" t="s">
        <v>13815</v>
      </c>
      <c r="D3456" s="2" t="s">
        <v>13816</v>
      </c>
      <c r="E3456" s="2" t="s">
        <v>13817</v>
      </c>
      <c r="F3456" s="2" t="b">
        <v>1</v>
      </c>
      <c r="G3456" s="2" t="b">
        <v>0</v>
      </c>
      <c r="H3456" s="2" t="s">
        <v>37</v>
      </c>
      <c r="I3456" s="2" t="s">
        <v>32</v>
      </c>
      <c r="J3456" s="2" t="s">
        <v>3306</v>
      </c>
      <c r="K3456" s="2" t="s">
        <v>376</v>
      </c>
      <c r="L3456" s="2" t="s">
        <v>391</v>
      </c>
      <c r="M3456" s="2" t="s">
        <v>26</v>
      </c>
      <c r="N3456" s="29"/>
      <c r="O3456" s="29"/>
      <c r="P3456" s="5" t="str">
        <f>IFERROR(__xludf.DUMMYFUNCTION("TEXTJOIN("" | "",TRUE,IF(OR(D3456="""",E3456="""",I3456="""",J3456="""",H3456=""""),""ফাঁকা ঘর"",""""),IF(AND(C3456&lt;&gt;"""",D3456&lt;&gt;"""",C3456=D3456),""gloss=figurative"",""""),IF(LEN(D3456)&lt;15,""figurative ছোট"",""""),IF(AND(I3456=""Positive"",REGEXMATCH(H3"&amp;"456,""মূর্খ|ভণ্ড|প্রতার|অলস|লোভ|স্বার্থ|অক্ষম|অযোগ্য|বোকা|কৃপণ|হিংস"")),""valence-target অমিল"",""""),IF(COUNTIF($B:$B,B3456)&gt;1,""ডুপ্লিকেট"",""""))"),"")</f>
        <v/>
      </c>
      <c r="Q3456" s="5" t="str">
        <f t="shared" si="1"/>
        <v>২ পরে</v>
      </c>
    </row>
    <row r="3457">
      <c r="A3457" s="4">
        <v>1271.0</v>
      </c>
      <c r="B3457" s="2" t="s">
        <v>13818</v>
      </c>
      <c r="C3457" s="2" t="s">
        <v>27</v>
      </c>
      <c r="D3457" s="2" t="s">
        <v>9212</v>
      </c>
      <c r="E3457" s="2" t="s">
        <v>13819</v>
      </c>
      <c r="F3457" s="2" t="b">
        <v>1</v>
      </c>
      <c r="G3457" s="2" t="b">
        <v>0</v>
      </c>
      <c r="H3457" s="2" t="s">
        <v>31</v>
      </c>
      <c r="I3457" s="2" t="s">
        <v>32</v>
      </c>
      <c r="J3457" s="2" t="s">
        <v>13820</v>
      </c>
      <c r="K3457" s="2" t="s">
        <v>376</v>
      </c>
      <c r="L3457" s="2" t="s">
        <v>391</v>
      </c>
      <c r="M3457" s="2" t="s">
        <v>26</v>
      </c>
      <c r="N3457" s="29"/>
      <c r="O3457" s="29"/>
      <c r="P3457" s="5" t="str">
        <f>IFERROR(__xludf.DUMMYFUNCTION("TEXTJOIN("" | "",TRUE,IF(OR(D3457="""",E3457="""",I3457="""",J3457="""",H3457=""""),""ফাঁকা ঘর"",""""),IF(AND(C3457&lt;&gt;"""",D3457&lt;&gt;"""",C3457=D3457),""gloss=figurative"",""""),IF(LEN(D3457)&lt;15,""figurative ছোট"",""""),IF(AND(I3457=""Positive"",REGEXMATCH(H3"&amp;"457,""মূর্খ|ভণ্ড|প্রতার|অলস|লোভ|স্বার্থ|অক্ষম|অযোগ্য|বোকা|কৃপণ|হিংস"")),""valence-target অমিল"",""""),IF(COUNTIF($B:$B,B3457)&gt;1,""ডুপ্লিকেট"",""""))"),"")</f>
        <v/>
      </c>
      <c r="Q3457" s="5" t="str">
        <f t="shared" si="1"/>
        <v>২ পরে</v>
      </c>
    </row>
    <row r="3458">
      <c r="A3458" s="4">
        <v>1272.0</v>
      </c>
      <c r="B3458" s="2" t="s">
        <v>13821</v>
      </c>
      <c r="C3458" s="2" t="s">
        <v>13822</v>
      </c>
      <c r="D3458" s="2" t="s">
        <v>13823</v>
      </c>
      <c r="E3458" s="2" t="s">
        <v>13824</v>
      </c>
      <c r="F3458" s="2" t="b">
        <v>1</v>
      </c>
      <c r="G3458" s="2" t="b">
        <v>1</v>
      </c>
      <c r="H3458" s="2" t="s">
        <v>1211</v>
      </c>
      <c r="I3458" s="2" t="s">
        <v>22</v>
      </c>
      <c r="J3458" s="2" t="s">
        <v>123</v>
      </c>
      <c r="K3458" s="2" t="s">
        <v>376</v>
      </c>
      <c r="L3458" s="2" t="s">
        <v>391</v>
      </c>
      <c r="M3458" s="2" t="s">
        <v>26</v>
      </c>
      <c r="N3458" s="29"/>
      <c r="O3458" s="29"/>
      <c r="P3458" s="5" t="str">
        <f>IFERROR(__xludf.DUMMYFUNCTION("TEXTJOIN("" | "",TRUE,IF(OR(D3458="""",E3458="""",I3458="""",J3458="""",H3458=""""),""ফাঁকা ঘর"",""""),IF(AND(C3458&lt;&gt;"""",D3458&lt;&gt;"""",C3458=D3458),""gloss=figurative"",""""),IF(LEN(D3458)&lt;15,""figurative ছোট"",""""),IF(AND(I3458=""Positive"",REGEXMATCH(H3"&amp;"458,""মূর্খ|ভণ্ড|প্রতার|অলস|লোভ|স্বার্থ|অক্ষম|অযোগ্য|বোকা|কৃপণ|হিংস"")),""valence-target অমিল"",""""),IF(COUNTIF($B:$B,B3458)&gt;1,""ডুপ্লিকেট"",""""))"),"")</f>
        <v/>
      </c>
      <c r="Q3458" s="5" t="str">
        <f t="shared" si="1"/>
        <v>২ পরে</v>
      </c>
    </row>
    <row r="3459">
      <c r="A3459" s="4">
        <v>1273.0</v>
      </c>
      <c r="B3459" s="2" t="s">
        <v>13825</v>
      </c>
      <c r="C3459" s="2" t="s">
        <v>13826</v>
      </c>
      <c r="D3459" s="2" t="s">
        <v>13827</v>
      </c>
      <c r="E3459" s="2" t="s">
        <v>13828</v>
      </c>
      <c r="F3459" s="2" t="b">
        <v>1</v>
      </c>
      <c r="G3459" s="2" t="b">
        <v>0</v>
      </c>
      <c r="H3459" s="2" t="s">
        <v>37</v>
      </c>
      <c r="I3459" s="2" t="s">
        <v>32</v>
      </c>
      <c r="J3459" s="2" t="s">
        <v>59</v>
      </c>
      <c r="K3459" s="2" t="s">
        <v>376</v>
      </c>
      <c r="L3459" s="2" t="s">
        <v>391</v>
      </c>
      <c r="M3459" s="2" t="s">
        <v>26</v>
      </c>
      <c r="N3459" s="29"/>
      <c r="O3459" s="29"/>
      <c r="P3459" s="5" t="str">
        <f>IFERROR(__xludf.DUMMYFUNCTION("TEXTJOIN("" | "",TRUE,IF(OR(D3459="""",E3459="""",I3459="""",J3459="""",H3459=""""),""ফাঁকা ঘর"",""""),IF(AND(C3459&lt;&gt;"""",D3459&lt;&gt;"""",C3459=D3459),""gloss=figurative"",""""),IF(LEN(D3459)&lt;15,""figurative ছোট"",""""),IF(AND(I3459=""Positive"",REGEXMATCH(H3"&amp;"459,""মূর্খ|ভণ্ড|প্রতার|অলস|লোভ|স্বার্থ|অক্ষম|অযোগ্য|বোকা|কৃপণ|হিংস"")),""valence-target অমিল"",""""),IF(COUNTIF($B:$B,B3459)&gt;1,""ডুপ্লিকেট"",""""))"),"")</f>
        <v/>
      </c>
      <c r="Q3459" s="5" t="str">
        <f t="shared" si="1"/>
        <v>২ পরে</v>
      </c>
    </row>
    <row r="3460">
      <c r="A3460" s="4">
        <v>1274.0</v>
      </c>
      <c r="B3460" s="2" t="s">
        <v>13829</v>
      </c>
      <c r="C3460" s="2" t="s">
        <v>13830</v>
      </c>
      <c r="D3460" s="2" t="s">
        <v>13831</v>
      </c>
      <c r="E3460" s="2" t="s">
        <v>13832</v>
      </c>
      <c r="F3460" s="2" t="b">
        <v>1</v>
      </c>
      <c r="G3460" s="2" t="b">
        <v>0</v>
      </c>
      <c r="H3460" s="2" t="s">
        <v>1238</v>
      </c>
      <c r="I3460" s="2" t="s">
        <v>32</v>
      </c>
      <c r="J3460" s="2" t="s">
        <v>1137</v>
      </c>
      <c r="K3460" s="2" t="s">
        <v>376</v>
      </c>
      <c r="L3460" s="2" t="s">
        <v>391</v>
      </c>
      <c r="M3460" s="2" t="s">
        <v>26</v>
      </c>
      <c r="N3460" s="29"/>
      <c r="O3460" s="29"/>
      <c r="P3460" s="5" t="str">
        <f>IFERROR(__xludf.DUMMYFUNCTION("TEXTJOIN("" | "",TRUE,IF(OR(D3460="""",E3460="""",I3460="""",J3460="""",H3460=""""),""ফাঁকা ঘর"",""""),IF(AND(C3460&lt;&gt;"""",D3460&lt;&gt;"""",C3460=D3460),""gloss=figurative"",""""),IF(LEN(D3460)&lt;15,""figurative ছোট"",""""),IF(AND(I3460=""Positive"",REGEXMATCH(H3"&amp;"460,""মূর্খ|ভণ্ড|প্রতার|অলস|লোভ|স্বার্থ|অক্ষম|অযোগ্য|বোকা|কৃপণ|হিংস"")),""valence-target অমিল"",""""),IF(COUNTIF($B:$B,B3460)&gt;1,""ডুপ্লিকেট"",""""))"),"")</f>
        <v/>
      </c>
      <c r="Q3460" s="5" t="str">
        <f t="shared" si="1"/>
        <v>২ পরে</v>
      </c>
    </row>
    <row r="3461">
      <c r="A3461" s="4">
        <v>1275.0</v>
      </c>
      <c r="B3461" s="2" t="s">
        <v>13833</v>
      </c>
      <c r="C3461" s="2" t="s">
        <v>13834</v>
      </c>
      <c r="D3461" s="2" t="s">
        <v>13835</v>
      </c>
      <c r="E3461" s="2" t="s">
        <v>13836</v>
      </c>
      <c r="F3461" s="2" t="b">
        <v>1</v>
      </c>
      <c r="G3461" s="2" t="b">
        <v>1</v>
      </c>
      <c r="H3461" s="2" t="s">
        <v>11932</v>
      </c>
      <c r="I3461" s="2" t="s">
        <v>32</v>
      </c>
      <c r="J3461" s="2" t="s">
        <v>9301</v>
      </c>
      <c r="K3461" s="2" t="s">
        <v>376</v>
      </c>
      <c r="L3461" s="2" t="s">
        <v>391</v>
      </c>
      <c r="M3461" s="2" t="s">
        <v>26</v>
      </c>
      <c r="N3461" s="29"/>
      <c r="O3461" s="29"/>
      <c r="P3461" s="5" t="str">
        <f>IFERROR(__xludf.DUMMYFUNCTION("TEXTJOIN("" | "",TRUE,IF(OR(D3461="""",E3461="""",I3461="""",J3461="""",H3461=""""),""ফাঁকা ঘর"",""""),IF(AND(C3461&lt;&gt;"""",D3461&lt;&gt;"""",C3461=D3461),""gloss=figurative"",""""),IF(LEN(D3461)&lt;15,""figurative ছোট"",""""),IF(AND(I3461=""Positive"",REGEXMATCH(H3"&amp;"461,""মূর্খ|ভণ্ড|প্রতার|অলস|লোভ|স্বার্থ|অক্ষম|অযোগ্য|বোকা|কৃপণ|হিংস"")),""valence-target অমিল"",""""),IF(COUNTIF($B:$B,B3461)&gt;1,""ডুপ্লিকেট"",""""))"),"")</f>
        <v/>
      </c>
      <c r="Q3461" s="5" t="str">
        <f t="shared" si="1"/>
        <v>২ পরে</v>
      </c>
    </row>
    <row r="3462">
      <c r="A3462" s="4">
        <v>1276.0</v>
      </c>
      <c r="B3462" s="2" t="s">
        <v>13837</v>
      </c>
      <c r="C3462" s="2" t="s">
        <v>13838</v>
      </c>
      <c r="D3462" s="2" t="s">
        <v>13839</v>
      </c>
      <c r="E3462" s="2" t="s">
        <v>13840</v>
      </c>
      <c r="F3462" s="2" t="b">
        <v>1</v>
      </c>
      <c r="G3462" s="2" t="b">
        <v>0</v>
      </c>
      <c r="H3462" s="2" t="s">
        <v>11883</v>
      </c>
      <c r="I3462" s="2" t="s">
        <v>32</v>
      </c>
      <c r="J3462" s="2" t="s">
        <v>1008</v>
      </c>
      <c r="K3462" s="2" t="s">
        <v>376</v>
      </c>
      <c r="L3462" s="2" t="s">
        <v>391</v>
      </c>
      <c r="M3462" s="2" t="s">
        <v>26</v>
      </c>
      <c r="N3462" s="29"/>
      <c r="O3462" s="29"/>
      <c r="P3462" s="5" t="str">
        <f>IFERROR(__xludf.DUMMYFUNCTION("TEXTJOIN("" | "",TRUE,IF(OR(D3462="""",E3462="""",I3462="""",J3462="""",H3462=""""),""ফাঁকা ঘর"",""""),IF(AND(C3462&lt;&gt;"""",D3462&lt;&gt;"""",C3462=D3462),""gloss=figurative"",""""),IF(LEN(D3462)&lt;15,""figurative ছোট"",""""),IF(AND(I3462=""Positive"",REGEXMATCH(H3"&amp;"462,""মূর্খ|ভণ্ড|প্রতার|অলস|লোভ|স্বার্থ|অক্ষম|অযোগ্য|বোকা|কৃপণ|হিংস"")),""valence-target অমিল"",""""),IF(COUNTIF($B:$B,B3462)&gt;1,""ডুপ্লিকেট"",""""))"),"")</f>
        <v/>
      </c>
      <c r="Q3462" s="5" t="str">
        <f t="shared" si="1"/>
        <v>২ পরে</v>
      </c>
    </row>
    <row r="3463">
      <c r="A3463" s="4">
        <v>1277.0</v>
      </c>
      <c r="B3463" s="2" t="s">
        <v>13841</v>
      </c>
      <c r="C3463" s="2" t="s">
        <v>13842</v>
      </c>
      <c r="D3463" s="2" t="s">
        <v>13843</v>
      </c>
      <c r="E3463" s="2" t="s">
        <v>13844</v>
      </c>
      <c r="F3463" s="2" t="b">
        <v>1</v>
      </c>
      <c r="G3463" s="2" t="b">
        <v>0</v>
      </c>
      <c r="H3463" s="2" t="s">
        <v>10280</v>
      </c>
      <c r="I3463" s="2" t="s">
        <v>22</v>
      </c>
      <c r="J3463" s="2" t="s">
        <v>59</v>
      </c>
      <c r="K3463" s="2" t="s">
        <v>376</v>
      </c>
      <c r="L3463" s="2" t="s">
        <v>391</v>
      </c>
      <c r="M3463" s="2" t="s">
        <v>26</v>
      </c>
      <c r="N3463" s="29"/>
      <c r="O3463" s="29"/>
      <c r="P3463" s="5" t="str">
        <f>IFERROR(__xludf.DUMMYFUNCTION("TEXTJOIN("" | "",TRUE,IF(OR(D3463="""",E3463="""",I3463="""",J3463="""",H3463=""""),""ফাঁকা ঘর"",""""),IF(AND(C3463&lt;&gt;"""",D3463&lt;&gt;"""",C3463=D3463),""gloss=figurative"",""""),IF(LEN(D3463)&lt;15,""figurative ছোট"",""""),IF(AND(I3463=""Positive"",REGEXMATCH(H3"&amp;"463,""মূর্খ|ভণ্ড|প্রতার|অলস|লোভ|স্বার্থ|অক্ষম|অযোগ্য|বোকা|কৃপণ|হিংস"")),""valence-target অমিল"",""""),IF(COUNTIF($B:$B,B3463)&gt;1,""ডুপ্লিকেট"",""""))"),"")</f>
        <v/>
      </c>
      <c r="Q3463" s="5" t="str">
        <f t="shared" si="1"/>
        <v>২ পরে</v>
      </c>
    </row>
    <row r="3464">
      <c r="A3464" s="4">
        <v>1278.0</v>
      </c>
      <c r="B3464" s="2" t="s">
        <v>13845</v>
      </c>
      <c r="C3464" s="2" t="s">
        <v>13846</v>
      </c>
      <c r="D3464" s="2" t="s">
        <v>13725</v>
      </c>
      <c r="E3464" s="2" t="s">
        <v>13847</v>
      </c>
      <c r="F3464" s="2" t="b">
        <v>1</v>
      </c>
      <c r="G3464" s="2" t="b">
        <v>1</v>
      </c>
      <c r="H3464" s="2" t="s">
        <v>13848</v>
      </c>
      <c r="I3464" s="2" t="s">
        <v>32</v>
      </c>
      <c r="J3464" s="2" t="s">
        <v>9301</v>
      </c>
      <c r="K3464" s="2" t="s">
        <v>376</v>
      </c>
      <c r="L3464" s="2" t="s">
        <v>391</v>
      </c>
      <c r="M3464" s="2" t="s">
        <v>26</v>
      </c>
      <c r="N3464" s="29"/>
      <c r="O3464" s="29"/>
      <c r="P3464" s="5" t="str">
        <f>IFERROR(__xludf.DUMMYFUNCTION("TEXTJOIN("" | "",TRUE,IF(OR(D3464="""",E3464="""",I3464="""",J3464="""",H3464=""""),""ফাঁকা ঘর"",""""),IF(AND(C3464&lt;&gt;"""",D3464&lt;&gt;"""",C3464=D3464),""gloss=figurative"",""""),IF(LEN(D3464)&lt;15,""figurative ছোট"",""""),IF(AND(I3464=""Positive"",REGEXMATCH(H3"&amp;"464,""মূর্খ|ভণ্ড|প্রতার|অলস|লোভ|স্বার্থ|অক্ষম|অযোগ্য|বোকা|কৃপণ|হিংস"")),""valence-target অমিল"",""""),IF(COUNTIF($B:$B,B3464)&gt;1,""ডুপ্লিকেট"",""""))"),"")</f>
        <v/>
      </c>
      <c r="Q3464" s="5" t="str">
        <f t="shared" si="1"/>
        <v>২ পরে</v>
      </c>
    </row>
    <row r="3465">
      <c r="A3465" s="4">
        <v>1279.0</v>
      </c>
      <c r="B3465" s="2" t="s">
        <v>13849</v>
      </c>
      <c r="C3465" s="2" t="s">
        <v>13850</v>
      </c>
      <c r="D3465" s="2" t="s">
        <v>13851</v>
      </c>
      <c r="E3465" s="2" t="s">
        <v>13852</v>
      </c>
      <c r="F3465" s="2" t="b">
        <v>1</v>
      </c>
      <c r="G3465" s="2" t="b">
        <v>0</v>
      </c>
      <c r="H3465" s="2" t="s">
        <v>9380</v>
      </c>
      <c r="I3465" s="2" t="s">
        <v>22</v>
      </c>
      <c r="J3465" s="2" t="s">
        <v>59</v>
      </c>
      <c r="K3465" s="2" t="s">
        <v>376</v>
      </c>
      <c r="L3465" s="2" t="s">
        <v>391</v>
      </c>
      <c r="M3465" s="2" t="s">
        <v>26</v>
      </c>
      <c r="N3465" s="29"/>
      <c r="O3465" s="29"/>
      <c r="P3465" s="5" t="str">
        <f>IFERROR(__xludf.DUMMYFUNCTION("TEXTJOIN("" | "",TRUE,IF(OR(D3465="""",E3465="""",I3465="""",J3465="""",H3465=""""),""ফাঁকা ঘর"",""""),IF(AND(C3465&lt;&gt;"""",D3465&lt;&gt;"""",C3465=D3465),""gloss=figurative"",""""),IF(LEN(D3465)&lt;15,""figurative ছোট"",""""),IF(AND(I3465=""Positive"",REGEXMATCH(H3"&amp;"465,""মূর্খ|ভণ্ড|প্রতার|অলস|লোভ|স্বার্থ|অক্ষম|অযোগ্য|বোকা|কৃপণ|হিংস"")),""valence-target অমিল"",""""),IF(COUNTIF($B:$B,B3465)&gt;1,""ডুপ্লিকেট"",""""))"),"")</f>
        <v/>
      </c>
      <c r="Q3465" s="5" t="str">
        <f t="shared" si="1"/>
        <v>২ পরে</v>
      </c>
    </row>
    <row r="3466">
      <c r="A3466" s="4">
        <v>1280.0</v>
      </c>
      <c r="B3466" s="2" t="s">
        <v>13853</v>
      </c>
      <c r="C3466" s="2" t="s">
        <v>13854</v>
      </c>
      <c r="D3466" s="2" t="s">
        <v>13855</v>
      </c>
      <c r="E3466" s="2" t="s">
        <v>13856</v>
      </c>
      <c r="F3466" s="2" t="b">
        <v>1</v>
      </c>
      <c r="G3466" s="2" t="b">
        <v>1</v>
      </c>
      <c r="H3466" s="2" t="s">
        <v>11892</v>
      </c>
      <c r="I3466" s="2" t="s">
        <v>22</v>
      </c>
      <c r="J3466" s="2" t="s">
        <v>9301</v>
      </c>
      <c r="K3466" s="2" t="s">
        <v>376</v>
      </c>
      <c r="L3466" s="2" t="s">
        <v>391</v>
      </c>
      <c r="M3466" s="2" t="s">
        <v>26</v>
      </c>
      <c r="N3466" s="29"/>
      <c r="O3466" s="29"/>
      <c r="P3466" s="5" t="str">
        <f>IFERROR(__xludf.DUMMYFUNCTION("TEXTJOIN("" | "",TRUE,IF(OR(D3466="""",E3466="""",I3466="""",J3466="""",H3466=""""),""ফাঁকা ঘর"",""""),IF(AND(C3466&lt;&gt;"""",D3466&lt;&gt;"""",C3466=D3466),""gloss=figurative"",""""),IF(LEN(D3466)&lt;15,""figurative ছোট"",""""),IF(AND(I3466=""Positive"",REGEXMATCH(H3"&amp;"466,""মূর্খ|ভণ্ড|প্রতার|অলস|লোভ|স্বার্থ|অক্ষম|অযোগ্য|বোকা|কৃপণ|হিংস"")),""valence-target অমিল"",""""),IF(COUNTIF($B:$B,B3466)&gt;1,""ডুপ্লিকেট"",""""))"),"")</f>
        <v/>
      </c>
      <c r="Q3466" s="5" t="str">
        <f t="shared" si="1"/>
        <v>২ পরে</v>
      </c>
    </row>
    <row r="3467">
      <c r="A3467" s="4">
        <v>1281.0</v>
      </c>
      <c r="B3467" s="2" t="s">
        <v>13857</v>
      </c>
      <c r="C3467" s="2" t="s">
        <v>13858</v>
      </c>
      <c r="D3467" s="2" t="s">
        <v>13859</v>
      </c>
      <c r="E3467" s="2" t="s">
        <v>13860</v>
      </c>
      <c r="F3467" s="2" t="b">
        <v>1</v>
      </c>
      <c r="G3467" s="2" t="b">
        <v>0</v>
      </c>
      <c r="H3467" s="2" t="s">
        <v>9661</v>
      </c>
      <c r="I3467" s="2" t="s">
        <v>32</v>
      </c>
      <c r="J3467" s="2" t="s">
        <v>59</v>
      </c>
      <c r="K3467" s="2" t="s">
        <v>376</v>
      </c>
      <c r="L3467" s="2" t="s">
        <v>391</v>
      </c>
      <c r="M3467" s="2" t="s">
        <v>26</v>
      </c>
      <c r="N3467" s="29"/>
      <c r="O3467" s="29"/>
      <c r="P3467" s="5" t="str">
        <f>IFERROR(__xludf.DUMMYFUNCTION("TEXTJOIN("" | "",TRUE,IF(OR(D3467="""",E3467="""",I3467="""",J3467="""",H3467=""""),""ফাঁকা ঘর"",""""),IF(AND(C3467&lt;&gt;"""",D3467&lt;&gt;"""",C3467=D3467),""gloss=figurative"",""""),IF(LEN(D3467)&lt;15,""figurative ছোট"",""""),IF(AND(I3467=""Positive"",REGEXMATCH(H3"&amp;"467,""মূর্খ|ভণ্ড|প্রতার|অলস|লোভ|স্বার্থ|অক্ষম|অযোগ্য|বোকা|কৃপণ|হিংস"")),""valence-target অমিল"",""""),IF(COUNTIF($B:$B,B3467)&gt;1,""ডুপ্লিকেট"",""""))"),"")</f>
        <v/>
      </c>
      <c r="Q3467" s="5" t="str">
        <f t="shared" si="1"/>
        <v>২ পরে</v>
      </c>
    </row>
    <row r="3468">
      <c r="A3468" s="4">
        <v>1282.0</v>
      </c>
      <c r="B3468" s="2" t="s">
        <v>13861</v>
      </c>
      <c r="C3468" s="2" t="s">
        <v>13862</v>
      </c>
      <c r="D3468" s="2" t="s">
        <v>13863</v>
      </c>
      <c r="E3468" s="2" t="s">
        <v>13864</v>
      </c>
      <c r="F3468" s="2" t="b">
        <v>1</v>
      </c>
      <c r="G3468" s="2" t="b">
        <v>0</v>
      </c>
      <c r="H3468" s="2" t="s">
        <v>9661</v>
      </c>
      <c r="I3468" s="2" t="s">
        <v>22</v>
      </c>
      <c r="J3468" s="2" t="s">
        <v>59</v>
      </c>
      <c r="K3468" s="2" t="s">
        <v>376</v>
      </c>
      <c r="L3468" s="2" t="s">
        <v>391</v>
      </c>
      <c r="M3468" s="2" t="s">
        <v>26</v>
      </c>
      <c r="N3468" s="29"/>
      <c r="O3468" s="29"/>
      <c r="P3468" s="5" t="str">
        <f>IFERROR(__xludf.DUMMYFUNCTION("TEXTJOIN("" | "",TRUE,IF(OR(D3468="""",E3468="""",I3468="""",J3468="""",H3468=""""),""ফাঁকা ঘর"",""""),IF(AND(C3468&lt;&gt;"""",D3468&lt;&gt;"""",C3468=D3468),""gloss=figurative"",""""),IF(LEN(D3468)&lt;15,""figurative ছোট"",""""),IF(AND(I3468=""Positive"",REGEXMATCH(H3"&amp;"468,""মূর্খ|ভণ্ড|প্রতার|অলস|লোভ|স্বার্থ|অক্ষম|অযোগ্য|বোকা|কৃপণ|হিংস"")),""valence-target অমিল"",""""),IF(COUNTIF($B:$B,B3468)&gt;1,""ডুপ্লিকেট"",""""))"),"")</f>
        <v/>
      </c>
      <c r="Q3468" s="5" t="str">
        <f t="shared" si="1"/>
        <v>২ পরে</v>
      </c>
    </row>
    <row r="3469">
      <c r="A3469" s="4">
        <v>1283.0</v>
      </c>
      <c r="B3469" s="2" t="s">
        <v>13865</v>
      </c>
      <c r="C3469" s="2" t="s">
        <v>13866</v>
      </c>
      <c r="D3469" s="2" t="s">
        <v>13867</v>
      </c>
      <c r="E3469" s="2" t="s">
        <v>13868</v>
      </c>
      <c r="F3469" s="2" t="b">
        <v>1</v>
      </c>
      <c r="G3469" s="2" t="b">
        <v>0</v>
      </c>
      <c r="H3469" s="2" t="s">
        <v>13869</v>
      </c>
      <c r="I3469" s="2" t="s">
        <v>32</v>
      </c>
      <c r="J3469" s="2" t="s">
        <v>413</v>
      </c>
      <c r="K3469" s="2" t="s">
        <v>376</v>
      </c>
      <c r="L3469" s="2" t="s">
        <v>391</v>
      </c>
      <c r="M3469" s="2" t="s">
        <v>26</v>
      </c>
      <c r="N3469" s="29"/>
      <c r="O3469" s="29"/>
      <c r="P3469" s="5" t="str">
        <f>IFERROR(__xludf.DUMMYFUNCTION("TEXTJOIN("" | "",TRUE,IF(OR(D3469="""",E3469="""",I3469="""",J3469="""",H3469=""""),""ফাঁকা ঘর"",""""),IF(AND(C3469&lt;&gt;"""",D3469&lt;&gt;"""",C3469=D3469),""gloss=figurative"",""""),IF(LEN(D3469)&lt;15,""figurative ছোট"",""""),IF(AND(I3469=""Positive"",REGEXMATCH(H3"&amp;"469,""মূর্খ|ভণ্ড|প্রতার|অলস|লোভ|স্বার্থ|অক্ষম|অযোগ্য|বোকা|কৃপণ|হিংস"")),""valence-target অমিল"",""""),IF(COUNTIF($B:$B,B3469)&gt;1,""ডুপ্লিকেট"",""""))"),"")</f>
        <v/>
      </c>
      <c r="Q3469" s="5" t="str">
        <f t="shared" si="1"/>
        <v>২ পরে</v>
      </c>
    </row>
    <row r="3470">
      <c r="A3470" s="4">
        <v>1284.0</v>
      </c>
      <c r="B3470" s="2" t="s">
        <v>13870</v>
      </c>
      <c r="C3470" s="2" t="s">
        <v>13871</v>
      </c>
      <c r="D3470" s="2" t="s">
        <v>13872</v>
      </c>
      <c r="E3470" s="2" t="s">
        <v>13873</v>
      </c>
      <c r="F3470" s="2" t="b">
        <v>1</v>
      </c>
      <c r="G3470" s="2" t="b">
        <v>0</v>
      </c>
      <c r="H3470" s="2" t="s">
        <v>356</v>
      </c>
      <c r="I3470" s="2" t="s">
        <v>22</v>
      </c>
      <c r="J3470" s="2" t="s">
        <v>59</v>
      </c>
      <c r="K3470" s="2" t="s">
        <v>376</v>
      </c>
      <c r="L3470" s="2" t="s">
        <v>391</v>
      </c>
      <c r="M3470" s="2" t="s">
        <v>26</v>
      </c>
      <c r="N3470" s="29"/>
      <c r="O3470" s="29"/>
      <c r="P3470" s="5" t="str">
        <f>IFERROR(__xludf.DUMMYFUNCTION("TEXTJOIN("" | "",TRUE,IF(OR(D3470="""",E3470="""",I3470="""",J3470="""",H3470=""""),""ফাঁকা ঘর"",""""),IF(AND(C3470&lt;&gt;"""",D3470&lt;&gt;"""",C3470=D3470),""gloss=figurative"",""""),IF(LEN(D3470)&lt;15,""figurative ছোট"",""""),IF(AND(I3470=""Positive"",REGEXMATCH(H3"&amp;"470,""মূর্খ|ভণ্ড|প্রতার|অলস|লোভ|স্বার্থ|অক্ষম|অযোগ্য|বোকা|কৃপণ|হিংস"")),""valence-target অমিল"",""""),IF(COUNTIF($B:$B,B3470)&gt;1,""ডুপ্লিকেট"",""""))"),"")</f>
        <v/>
      </c>
      <c r="Q3470" s="5" t="str">
        <f t="shared" si="1"/>
        <v>২ পরে</v>
      </c>
    </row>
    <row r="3471">
      <c r="A3471" s="4">
        <v>1285.0</v>
      </c>
      <c r="B3471" s="2" t="s">
        <v>13874</v>
      </c>
      <c r="C3471" s="2" t="s">
        <v>13875</v>
      </c>
      <c r="D3471" s="2" t="s">
        <v>13876</v>
      </c>
      <c r="E3471" s="2" t="s">
        <v>13877</v>
      </c>
      <c r="F3471" s="2" t="b">
        <v>1</v>
      </c>
      <c r="G3471" s="2" t="b">
        <v>1</v>
      </c>
      <c r="H3471" s="2" t="s">
        <v>13745</v>
      </c>
      <c r="I3471" s="2" t="s">
        <v>49</v>
      </c>
      <c r="J3471" s="2" t="s">
        <v>9301</v>
      </c>
      <c r="K3471" s="2" t="s">
        <v>376</v>
      </c>
      <c r="L3471" s="2" t="s">
        <v>391</v>
      </c>
      <c r="M3471" s="2" t="s">
        <v>26</v>
      </c>
      <c r="N3471" s="29"/>
      <c r="O3471" s="29"/>
      <c r="P3471" s="5" t="str">
        <f>IFERROR(__xludf.DUMMYFUNCTION("TEXTJOIN("" | "",TRUE,IF(OR(D3471="""",E3471="""",I3471="""",J3471="""",H3471=""""),""ফাঁকা ঘর"",""""),IF(AND(C3471&lt;&gt;"""",D3471&lt;&gt;"""",C3471=D3471),""gloss=figurative"",""""),IF(LEN(D3471)&lt;15,""figurative ছোট"",""""),IF(AND(I3471=""Positive"",REGEXMATCH(H3"&amp;"471,""মূর্খ|ভণ্ড|প্রতার|অলস|লোভ|স্বার্থ|অক্ষম|অযোগ্য|বোকা|কৃপণ|হিংস"")),""valence-target অমিল"",""""),IF(COUNTIF($B:$B,B3471)&gt;1,""ডুপ্লিকেট"",""""))"),"")</f>
        <v/>
      </c>
      <c r="Q3471" s="5" t="str">
        <f t="shared" si="1"/>
        <v>২ পরে</v>
      </c>
    </row>
    <row r="3472">
      <c r="A3472" s="4">
        <v>1286.0</v>
      </c>
      <c r="B3472" s="2" t="s">
        <v>13878</v>
      </c>
      <c r="C3472" s="2" t="s">
        <v>13879</v>
      </c>
      <c r="D3472" s="2" t="s">
        <v>13880</v>
      </c>
      <c r="E3472" s="2" t="s">
        <v>13881</v>
      </c>
      <c r="F3472" s="2" t="b">
        <v>1</v>
      </c>
      <c r="G3472" s="2" t="b">
        <v>0</v>
      </c>
      <c r="H3472" s="2" t="s">
        <v>37</v>
      </c>
      <c r="I3472" s="2" t="s">
        <v>32</v>
      </c>
      <c r="J3472" s="2" t="s">
        <v>59</v>
      </c>
      <c r="K3472" s="2" t="s">
        <v>376</v>
      </c>
      <c r="L3472" s="2" t="s">
        <v>391</v>
      </c>
      <c r="M3472" s="2" t="s">
        <v>26</v>
      </c>
      <c r="N3472" s="29"/>
      <c r="O3472" s="29"/>
      <c r="P3472" s="5" t="str">
        <f>IFERROR(__xludf.DUMMYFUNCTION("TEXTJOIN("" | "",TRUE,IF(OR(D3472="""",E3472="""",I3472="""",J3472="""",H3472=""""),""ফাঁকা ঘর"",""""),IF(AND(C3472&lt;&gt;"""",D3472&lt;&gt;"""",C3472=D3472),""gloss=figurative"",""""),IF(LEN(D3472)&lt;15,""figurative ছোট"",""""),IF(AND(I3472=""Positive"",REGEXMATCH(H3"&amp;"472,""মূর্খ|ভণ্ড|প্রতার|অলস|লোভ|স্বার্থ|অক্ষম|অযোগ্য|বোকা|কৃপণ|হিংস"")),""valence-target অমিল"",""""),IF(COUNTIF($B:$B,B3472)&gt;1,""ডুপ্লিকেট"",""""))"),"")</f>
        <v/>
      </c>
      <c r="Q3472" s="5" t="str">
        <f t="shared" si="1"/>
        <v>২ পরে</v>
      </c>
    </row>
    <row r="3473">
      <c r="A3473" s="4">
        <v>1287.0</v>
      </c>
      <c r="B3473" s="2" t="s">
        <v>13882</v>
      </c>
      <c r="C3473" s="2" t="s">
        <v>13883</v>
      </c>
      <c r="D3473" s="2" t="s">
        <v>13884</v>
      </c>
      <c r="E3473" s="2" t="s">
        <v>13885</v>
      </c>
      <c r="F3473" s="2" t="b">
        <v>1</v>
      </c>
      <c r="G3473" s="2" t="b">
        <v>0</v>
      </c>
      <c r="H3473" s="2" t="s">
        <v>37</v>
      </c>
      <c r="I3473" s="2" t="s">
        <v>32</v>
      </c>
      <c r="J3473" s="2" t="s">
        <v>13886</v>
      </c>
      <c r="K3473" s="2" t="s">
        <v>376</v>
      </c>
      <c r="L3473" s="2" t="s">
        <v>391</v>
      </c>
      <c r="M3473" s="2" t="s">
        <v>26</v>
      </c>
      <c r="N3473" s="29"/>
      <c r="O3473" s="29"/>
      <c r="P3473" s="5" t="str">
        <f>IFERROR(__xludf.DUMMYFUNCTION("TEXTJOIN("" | "",TRUE,IF(OR(D3473="""",E3473="""",I3473="""",J3473="""",H3473=""""),""ফাঁকা ঘর"",""""),IF(AND(C3473&lt;&gt;"""",D3473&lt;&gt;"""",C3473=D3473),""gloss=figurative"",""""),IF(LEN(D3473)&lt;15,""figurative ছোট"",""""),IF(AND(I3473=""Positive"",REGEXMATCH(H3"&amp;"473,""মূর্খ|ভণ্ড|প্রতার|অলস|লোভ|স্বার্থ|অক্ষম|অযোগ্য|বোকা|কৃপণ|হিংস"")),""valence-target অমিল"",""""),IF(COUNTIF($B:$B,B3473)&gt;1,""ডুপ্লিকেট"",""""))"),"")</f>
        <v/>
      </c>
      <c r="Q3473" s="5" t="str">
        <f t="shared" si="1"/>
        <v>২ পরে</v>
      </c>
    </row>
    <row r="3474">
      <c r="A3474" s="4">
        <v>1288.0</v>
      </c>
      <c r="B3474" s="2" t="s">
        <v>13887</v>
      </c>
      <c r="C3474" s="2" t="s">
        <v>13888</v>
      </c>
      <c r="D3474" s="2" t="s">
        <v>13889</v>
      </c>
      <c r="E3474" s="2" t="s">
        <v>13890</v>
      </c>
      <c r="F3474" s="2" t="b">
        <v>1</v>
      </c>
      <c r="G3474" s="2" t="b">
        <v>0</v>
      </c>
      <c r="H3474" s="2" t="s">
        <v>37</v>
      </c>
      <c r="I3474" s="2" t="s">
        <v>32</v>
      </c>
      <c r="J3474" s="2" t="s">
        <v>1510</v>
      </c>
      <c r="K3474" s="2" t="s">
        <v>376</v>
      </c>
      <c r="L3474" s="2" t="s">
        <v>391</v>
      </c>
      <c r="M3474" s="2" t="s">
        <v>26</v>
      </c>
      <c r="N3474" s="29"/>
      <c r="O3474" s="29"/>
      <c r="P3474" s="5" t="str">
        <f>IFERROR(__xludf.DUMMYFUNCTION("TEXTJOIN("" | "",TRUE,IF(OR(D3474="""",E3474="""",I3474="""",J3474="""",H3474=""""),""ফাঁকা ঘর"",""""),IF(AND(C3474&lt;&gt;"""",D3474&lt;&gt;"""",C3474=D3474),""gloss=figurative"",""""),IF(LEN(D3474)&lt;15,""figurative ছোট"",""""),IF(AND(I3474=""Positive"",REGEXMATCH(H3"&amp;"474,""মূর্খ|ভণ্ড|প্রতার|অলস|লোভ|স্বার্থ|অক্ষম|অযোগ্য|বোকা|কৃপণ|হিংস"")),""valence-target অমিল"",""""),IF(COUNTIF($B:$B,B3474)&gt;1,""ডুপ্লিকেট"",""""))"),"")</f>
        <v/>
      </c>
      <c r="Q3474" s="5" t="str">
        <f t="shared" si="1"/>
        <v>২ পরে</v>
      </c>
    </row>
    <row r="3475">
      <c r="A3475" s="4">
        <v>1289.0</v>
      </c>
      <c r="B3475" s="2" t="s">
        <v>13891</v>
      </c>
      <c r="C3475" s="2" t="s">
        <v>13892</v>
      </c>
      <c r="D3475" s="2" t="s">
        <v>13893</v>
      </c>
      <c r="E3475" s="2" t="s">
        <v>13894</v>
      </c>
      <c r="F3475" s="2" t="b">
        <v>1</v>
      </c>
      <c r="G3475" s="2" t="b">
        <v>0</v>
      </c>
      <c r="H3475" s="2" t="s">
        <v>37</v>
      </c>
      <c r="I3475" s="2" t="s">
        <v>32</v>
      </c>
      <c r="J3475" s="2" t="s">
        <v>13497</v>
      </c>
      <c r="K3475" s="2" t="s">
        <v>376</v>
      </c>
      <c r="L3475" s="2" t="s">
        <v>391</v>
      </c>
      <c r="M3475" s="2" t="s">
        <v>26</v>
      </c>
      <c r="N3475" s="29"/>
      <c r="O3475" s="29"/>
      <c r="P3475" s="5" t="str">
        <f>IFERROR(__xludf.DUMMYFUNCTION("TEXTJOIN("" | "",TRUE,IF(OR(D3475="""",E3475="""",I3475="""",J3475="""",H3475=""""),""ফাঁকা ঘর"",""""),IF(AND(C3475&lt;&gt;"""",D3475&lt;&gt;"""",C3475=D3475),""gloss=figurative"",""""),IF(LEN(D3475)&lt;15,""figurative ছোট"",""""),IF(AND(I3475=""Positive"",REGEXMATCH(H3"&amp;"475,""মূর্খ|ভণ্ড|প্রতার|অলস|লোভ|স্বার্থ|অক্ষম|অযোগ্য|বোকা|কৃপণ|হিংস"")),""valence-target অমিল"",""""),IF(COUNTIF($B:$B,B3475)&gt;1,""ডুপ্লিকেট"",""""))"),"")</f>
        <v/>
      </c>
      <c r="Q3475" s="5" t="str">
        <f t="shared" si="1"/>
        <v>২ পরে</v>
      </c>
    </row>
    <row r="3476">
      <c r="A3476" s="4">
        <v>1290.0</v>
      </c>
      <c r="B3476" s="2" t="s">
        <v>13895</v>
      </c>
      <c r="C3476" s="2" t="s">
        <v>13896</v>
      </c>
      <c r="D3476" s="2" t="s">
        <v>13897</v>
      </c>
      <c r="E3476" s="2" t="s">
        <v>13898</v>
      </c>
      <c r="F3476" s="2" t="b">
        <v>1</v>
      </c>
      <c r="G3476" s="2" t="b">
        <v>0</v>
      </c>
      <c r="H3476" s="2" t="s">
        <v>37</v>
      </c>
      <c r="I3476" s="2" t="s">
        <v>32</v>
      </c>
      <c r="J3476" s="2" t="s">
        <v>13060</v>
      </c>
      <c r="K3476" s="2" t="s">
        <v>376</v>
      </c>
      <c r="L3476" s="2" t="s">
        <v>391</v>
      </c>
      <c r="M3476" s="2" t="s">
        <v>26</v>
      </c>
      <c r="N3476" s="29"/>
      <c r="O3476" s="29"/>
      <c r="P3476" s="5" t="str">
        <f>IFERROR(__xludf.DUMMYFUNCTION("TEXTJOIN("" | "",TRUE,IF(OR(D3476="""",E3476="""",I3476="""",J3476="""",H3476=""""),""ফাঁকা ঘর"",""""),IF(AND(C3476&lt;&gt;"""",D3476&lt;&gt;"""",C3476=D3476),""gloss=figurative"",""""),IF(LEN(D3476)&lt;15,""figurative ছোট"",""""),IF(AND(I3476=""Positive"",REGEXMATCH(H3"&amp;"476,""মূর্খ|ভণ্ড|প্রতার|অলস|লোভ|স্বার্থ|অক্ষম|অযোগ্য|বোকা|কৃপণ|হিংস"")),""valence-target অমিল"",""""),IF(COUNTIF($B:$B,B3476)&gt;1,""ডুপ্লিকেট"",""""))"),"")</f>
        <v/>
      </c>
      <c r="Q3476" s="5" t="str">
        <f t="shared" si="1"/>
        <v>২ পরে</v>
      </c>
    </row>
    <row r="3477">
      <c r="A3477" s="4">
        <v>1291.0</v>
      </c>
      <c r="B3477" s="2" t="s">
        <v>13899</v>
      </c>
      <c r="C3477" s="2" t="s">
        <v>13900</v>
      </c>
      <c r="D3477" s="2" t="s">
        <v>13901</v>
      </c>
      <c r="E3477" s="2" t="s">
        <v>13902</v>
      </c>
      <c r="F3477" s="2" t="b">
        <v>1</v>
      </c>
      <c r="G3477" s="2" t="b">
        <v>0</v>
      </c>
      <c r="H3477" s="2" t="s">
        <v>1151</v>
      </c>
      <c r="I3477" s="2" t="s">
        <v>32</v>
      </c>
      <c r="J3477" s="2" t="s">
        <v>1151</v>
      </c>
      <c r="K3477" s="2" t="s">
        <v>376</v>
      </c>
      <c r="L3477" s="2" t="s">
        <v>391</v>
      </c>
      <c r="M3477" s="2" t="s">
        <v>26</v>
      </c>
      <c r="N3477" s="29"/>
      <c r="O3477" s="29"/>
      <c r="P3477" s="5" t="str">
        <f>IFERROR(__xludf.DUMMYFUNCTION("TEXTJOIN("" | "",TRUE,IF(OR(D3477="""",E3477="""",I3477="""",J3477="""",H3477=""""),""ফাঁকা ঘর"",""""),IF(AND(C3477&lt;&gt;"""",D3477&lt;&gt;"""",C3477=D3477),""gloss=figurative"",""""),IF(LEN(D3477)&lt;15,""figurative ছোট"",""""),IF(AND(I3477=""Positive"",REGEXMATCH(H3"&amp;"477,""মূর্খ|ভণ্ড|প্রতার|অলস|লোভ|স্বার্থ|অক্ষম|অযোগ্য|বোকা|কৃপণ|হিংস"")),""valence-target অমিল"",""""),IF(COUNTIF($B:$B,B3477)&gt;1,""ডুপ্লিকেট"",""""))"),"")</f>
        <v/>
      </c>
      <c r="Q3477" s="5" t="str">
        <f t="shared" si="1"/>
        <v>২ পরে</v>
      </c>
    </row>
    <row r="3478">
      <c r="A3478" s="4">
        <v>1292.0</v>
      </c>
      <c r="B3478" s="2" t="s">
        <v>13903</v>
      </c>
      <c r="C3478" s="2" t="s">
        <v>13904</v>
      </c>
      <c r="D3478" s="2" t="s">
        <v>13905</v>
      </c>
      <c r="E3478" s="2" t="s">
        <v>13906</v>
      </c>
      <c r="F3478" s="2" t="b">
        <v>1</v>
      </c>
      <c r="G3478" s="2" t="b">
        <v>0</v>
      </c>
      <c r="H3478" s="2" t="s">
        <v>37</v>
      </c>
      <c r="I3478" s="2" t="s">
        <v>32</v>
      </c>
      <c r="J3478" s="2" t="s">
        <v>123</v>
      </c>
      <c r="K3478" s="2" t="s">
        <v>376</v>
      </c>
      <c r="L3478" s="2" t="s">
        <v>391</v>
      </c>
      <c r="M3478" s="2" t="s">
        <v>26</v>
      </c>
      <c r="N3478" s="29"/>
      <c r="O3478" s="29"/>
      <c r="P3478" s="5" t="str">
        <f>IFERROR(__xludf.DUMMYFUNCTION("TEXTJOIN("" | "",TRUE,IF(OR(D3478="""",E3478="""",I3478="""",J3478="""",H3478=""""),""ফাঁকা ঘর"",""""),IF(AND(C3478&lt;&gt;"""",D3478&lt;&gt;"""",C3478=D3478),""gloss=figurative"",""""),IF(LEN(D3478)&lt;15,""figurative ছোট"",""""),IF(AND(I3478=""Positive"",REGEXMATCH(H3"&amp;"478,""মূর্খ|ভণ্ড|প্রতার|অলস|লোভ|স্বার্থ|অক্ষম|অযোগ্য|বোকা|কৃপণ|হিংস"")),""valence-target অমিল"",""""),IF(COUNTIF($B:$B,B3478)&gt;1,""ডুপ্লিকেট"",""""))"),"")</f>
        <v/>
      </c>
      <c r="Q3478" s="5" t="str">
        <f t="shared" si="1"/>
        <v>২ পরে</v>
      </c>
    </row>
    <row r="3479">
      <c r="A3479" s="4">
        <v>1293.0</v>
      </c>
      <c r="B3479" s="2" t="s">
        <v>13907</v>
      </c>
      <c r="C3479" s="2" t="s">
        <v>13908</v>
      </c>
      <c r="D3479" s="2" t="s">
        <v>13909</v>
      </c>
      <c r="E3479" s="2" t="s">
        <v>13910</v>
      </c>
      <c r="F3479" s="2" t="b">
        <v>1</v>
      </c>
      <c r="G3479" s="2" t="b">
        <v>0</v>
      </c>
      <c r="H3479" s="2" t="s">
        <v>9452</v>
      </c>
      <c r="I3479" s="2" t="s">
        <v>32</v>
      </c>
      <c r="J3479" s="2" t="s">
        <v>9301</v>
      </c>
      <c r="K3479" s="2" t="s">
        <v>376</v>
      </c>
      <c r="L3479" s="2" t="s">
        <v>391</v>
      </c>
      <c r="M3479" s="2" t="s">
        <v>26</v>
      </c>
      <c r="N3479" s="29"/>
      <c r="O3479" s="29"/>
      <c r="P3479" s="5" t="str">
        <f>IFERROR(__xludf.DUMMYFUNCTION("TEXTJOIN("" | "",TRUE,IF(OR(D3479="""",E3479="""",I3479="""",J3479="""",H3479=""""),""ফাঁকা ঘর"",""""),IF(AND(C3479&lt;&gt;"""",D3479&lt;&gt;"""",C3479=D3479),""gloss=figurative"",""""),IF(LEN(D3479)&lt;15,""figurative ছোট"",""""),IF(AND(I3479=""Positive"",REGEXMATCH(H3"&amp;"479,""মূর্খ|ভণ্ড|প্রতার|অলস|লোভ|স্বার্থ|অক্ষম|অযোগ্য|বোকা|কৃপণ|হিংস"")),""valence-target অমিল"",""""),IF(COUNTIF($B:$B,B3479)&gt;1,""ডুপ্লিকেট"",""""))"),"")</f>
        <v/>
      </c>
      <c r="Q3479" s="5" t="str">
        <f t="shared" si="1"/>
        <v>২ পরে</v>
      </c>
    </row>
    <row r="3480">
      <c r="A3480" s="4">
        <v>1294.0</v>
      </c>
      <c r="B3480" s="2" t="s">
        <v>13911</v>
      </c>
      <c r="C3480" s="2" t="s">
        <v>13912</v>
      </c>
      <c r="D3480" s="2" t="s">
        <v>9050</v>
      </c>
      <c r="E3480" s="2" t="s">
        <v>13913</v>
      </c>
      <c r="F3480" s="2" t="b">
        <v>1</v>
      </c>
      <c r="G3480" s="2" t="b">
        <v>0</v>
      </c>
      <c r="H3480" s="2" t="s">
        <v>37</v>
      </c>
      <c r="I3480" s="2" t="s">
        <v>32</v>
      </c>
      <c r="J3480" s="2" t="s">
        <v>9037</v>
      </c>
      <c r="K3480" s="2" t="s">
        <v>376</v>
      </c>
      <c r="L3480" s="2" t="s">
        <v>391</v>
      </c>
      <c r="M3480" s="2" t="s">
        <v>26</v>
      </c>
      <c r="N3480" s="29"/>
      <c r="O3480" s="29"/>
      <c r="P3480" s="5" t="str">
        <f>IFERROR(__xludf.DUMMYFUNCTION("TEXTJOIN("" | "",TRUE,IF(OR(D3480="""",E3480="""",I3480="""",J3480="""",H3480=""""),""ফাঁকা ঘর"",""""),IF(AND(C3480&lt;&gt;"""",D3480&lt;&gt;"""",C3480=D3480),""gloss=figurative"",""""),IF(LEN(D3480)&lt;15,""figurative ছোট"",""""),IF(AND(I3480=""Positive"",REGEXMATCH(H3"&amp;"480,""মূর্খ|ভণ্ড|প্রতার|অলস|লোভ|স্বার্থ|অক্ষম|অযোগ্য|বোকা|কৃপণ|হিংস"")),""valence-target অমিল"",""""),IF(COUNTIF($B:$B,B3480)&gt;1,""ডুপ্লিকেট"",""""))"),"")</f>
        <v/>
      </c>
      <c r="Q3480" s="5" t="str">
        <f t="shared" si="1"/>
        <v>২ পরে</v>
      </c>
    </row>
    <row r="3481">
      <c r="A3481" s="4">
        <v>1295.0</v>
      </c>
      <c r="B3481" s="2" t="s">
        <v>13914</v>
      </c>
      <c r="C3481" s="2" t="s">
        <v>13915</v>
      </c>
      <c r="D3481" s="2" t="s">
        <v>13916</v>
      </c>
      <c r="E3481" s="2" t="s">
        <v>13917</v>
      </c>
      <c r="F3481" s="2" t="b">
        <v>1</v>
      </c>
      <c r="G3481" s="2" t="b">
        <v>0</v>
      </c>
      <c r="H3481" s="2" t="s">
        <v>13918</v>
      </c>
      <c r="I3481" s="2" t="s">
        <v>32</v>
      </c>
      <c r="J3481" s="2" t="s">
        <v>123</v>
      </c>
      <c r="K3481" s="2" t="s">
        <v>376</v>
      </c>
      <c r="L3481" s="2" t="s">
        <v>391</v>
      </c>
      <c r="M3481" s="2" t="s">
        <v>26</v>
      </c>
      <c r="N3481" s="29"/>
      <c r="O3481" s="29"/>
      <c r="P3481" s="5" t="str">
        <f>IFERROR(__xludf.DUMMYFUNCTION("TEXTJOIN("" | "",TRUE,IF(OR(D3481="""",E3481="""",I3481="""",J3481="""",H3481=""""),""ফাঁকা ঘর"",""""),IF(AND(C3481&lt;&gt;"""",D3481&lt;&gt;"""",C3481=D3481),""gloss=figurative"",""""),IF(LEN(D3481)&lt;15,""figurative ছোট"",""""),IF(AND(I3481=""Positive"",REGEXMATCH(H3"&amp;"481,""মূর্খ|ভণ্ড|প্রতার|অলস|লোভ|স্বার্থ|অক্ষম|অযোগ্য|বোকা|কৃপণ|হিংস"")),""valence-target অমিল"",""""),IF(COUNTIF($B:$B,B3481)&gt;1,""ডুপ্লিকেট"",""""))"),"")</f>
        <v/>
      </c>
      <c r="Q3481" s="5" t="str">
        <f t="shared" si="1"/>
        <v>২ পরে</v>
      </c>
    </row>
    <row r="3482">
      <c r="A3482" s="4">
        <v>1296.0</v>
      </c>
      <c r="B3482" s="2" t="s">
        <v>13919</v>
      </c>
      <c r="C3482" s="2" t="s">
        <v>13920</v>
      </c>
      <c r="D3482" s="2" t="s">
        <v>13921</v>
      </c>
      <c r="E3482" s="2" t="s">
        <v>13922</v>
      </c>
      <c r="F3482" s="2" t="b">
        <v>1</v>
      </c>
      <c r="G3482" s="2" t="b">
        <v>0</v>
      </c>
      <c r="H3482" s="2" t="s">
        <v>37</v>
      </c>
      <c r="I3482" s="2" t="s">
        <v>32</v>
      </c>
      <c r="J3482" s="2" t="s">
        <v>9183</v>
      </c>
      <c r="K3482" s="2" t="s">
        <v>376</v>
      </c>
      <c r="L3482" s="2" t="s">
        <v>391</v>
      </c>
      <c r="M3482" s="2" t="s">
        <v>26</v>
      </c>
      <c r="N3482" s="29"/>
      <c r="O3482" s="29"/>
      <c r="P3482" s="5" t="str">
        <f>IFERROR(__xludf.DUMMYFUNCTION("TEXTJOIN("" | "",TRUE,IF(OR(D3482="""",E3482="""",I3482="""",J3482="""",H3482=""""),""ফাঁকা ঘর"",""""),IF(AND(C3482&lt;&gt;"""",D3482&lt;&gt;"""",C3482=D3482),""gloss=figurative"",""""),IF(LEN(D3482)&lt;15,""figurative ছোট"",""""),IF(AND(I3482=""Positive"",REGEXMATCH(H3"&amp;"482,""মূর্খ|ভণ্ড|প্রতার|অলস|লোভ|স্বার্থ|অক্ষম|অযোগ্য|বোকা|কৃপণ|হিংস"")),""valence-target অমিল"",""""),IF(COUNTIF($B:$B,B3482)&gt;1,""ডুপ্লিকেট"",""""))"),"")</f>
        <v/>
      </c>
      <c r="Q3482" s="5" t="str">
        <f t="shared" si="1"/>
        <v>২ পরে</v>
      </c>
    </row>
    <row r="3483">
      <c r="A3483" s="4">
        <v>1297.0</v>
      </c>
      <c r="B3483" s="2" t="s">
        <v>13923</v>
      </c>
      <c r="C3483" s="2" t="s">
        <v>13924</v>
      </c>
      <c r="D3483" s="2" t="s">
        <v>13925</v>
      </c>
      <c r="E3483" s="2" t="s">
        <v>13926</v>
      </c>
      <c r="F3483" s="2" t="b">
        <v>1</v>
      </c>
      <c r="G3483" s="2" t="b">
        <v>0</v>
      </c>
      <c r="H3483" s="2" t="s">
        <v>2078</v>
      </c>
      <c r="I3483" s="2" t="s">
        <v>22</v>
      </c>
      <c r="J3483" s="2" t="s">
        <v>739</v>
      </c>
      <c r="K3483" s="2" t="s">
        <v>376</v>
      </c>
      <c r="L3483" s="2" t="s">
        <v>391</v>
      </c>
      <c r="M3483" s="2" t="s">
        <v>26</v>
      </c>
      <c r="N3483" s="29"/>
      <c r="O3483" s="29"/>
      <c r="P3483" s="5" t="str">
        <f>IFERROR(__xludf.DUMMYFUNCTION("TEXTJOIN("" | "",TRUE,IF(OR(D3483="""",E3483="""",I3483="""",J3483="""",H3483=""""),""ফাঁকা ঘর"",""""),IF(AND(C3483&lt;&gt;"""",D3483&lt;&gt;"""",C3483=D3483),""gloss=figurative"",""""),IF(LEN(D3483)&lt;15,""figurative ছোট"",""""),IF(AND(I3483=""Positive"",REGEXMATCH(H3"&amp;"483,""মূর্খ|ভণ্ড|প্রতার|অলস|লোভ|স্বার্থ|অক্ষম|অযোগ্য|বোকা|কৃপণ|হিংস"")),""valence-target অমিল"",""""),IF(COUNTIF($B:$B,B3483)&gt;1,""ডুপ্লিকেট"",""""))"),"")</f>
        <v/>
      </c>
      <c r="Q3483" s="5" t="str">
        <f t="shared" si="1"/>
        <v>২ পরে</v>
      </c>
    </row>
    <row r="3484">
      <c r="A3484" s="4">
        <v>1298.0</v>
      </c>
      <c r="B3484" s="2" t="s">
        <v>13927</v>
      </c>
      <c r="C3484" s="2" t="s">
        <v>13928</v>
      </c>
      <c r="D3484" s="2" t="s">
        <v>13929</v>
      </c>
      <c r="E3484" s="2" t="s">
        <v>13930</v>
      </c>
      <c r="F3484" s="2" t="b">
        <v>1</v>
      </c>
      <c r="G3484" s="2" t="b">
        <v>0</v>
      </c>
      <c r="H3484" s="2" t="s">
        <v>13931</v>
      </c>
      <c r="I3484" s="2" t="s">
        <v>32</v>
      </c>
      <c r="J3484" s="2" t="s">
        <v>10356</v>
      </c>
      <c r="K3484" s="2" t="s">
        <v>376</v>
      </c>
      <c r="L3484" s="2" t="s">
        <v>391</v>
      </c>
      <c r="M3484" s="2" t="s">
        <v>26</v>
      </c>
      <c r="N3484" s="29"/>
      <c r="O3484" s="29"/>
      <c r="P3484" s="5" t="str">
        <f>IFERROR(__xludf.DUMMYFUNCTION("TEXTJOIN("" | "",TRUE,IF(OR(D3484="""",E3484="""",I3484="""",J3484="""",H3484=""""),""ফাঁকা ঘর"",""""),IF(AND(C3484&lt;&gt;"""",D3484&lt;&gt;"""",C3484=D3484),""gloss=figurative"",""""),IF(LEN(D3484)&lt;15,""figurative ছোট"",""""),IF(AND(I3484=""Positive"",REGEXMATCH(H3"&amp;"484,""মূর্খ|ভণ্ড|প্রতার|অলস|লোভ|স্বার্থ|অক্ষম|অযোগ্য|বোকা|কৃপণ|হিংস"")),""valence-target অমিল"",""""),IF(COUNTIF($B:$B,B3484)&gt;1,""ডুপ্লিকেট"",""""))"),"")</f>
        <v/>
      </c>
      <c r="Q3484" s="5" t="str">
        <f t="shared" si="1"/>
        <v>২ পরে</v>
      </c>
    </row>
    <row r="3485">
      <c r="A3485" s="4">
        <v>1299.0</v>
      </c>
      <c r="B3485" s="2" t="s">
        <v>13932</v>
      </c>
      <c r="C3485" s="2" t="s">
        <v>13933</v>
      </c>
      <c r="D3485" s="2" t="s">
        <v>13934</v>
      </c>
      <c r="E3485" s="2" t="s">
        <v>13935</v>
      </c>
      <c r="F3485" s="2" t="b">
        <v>1</v>
      </c>
      <c r="G3485" s="2" t="b">
        <v>0</v>
      </c>
      <c r="H3485" s="2" t="s">
        <v>13936</v>
      </c>
      <c r="I3485" s="2" t="s">
        <v>32</v>
      </c>
      <c r="J3485" s="2" t="s">
        <v>13937</v>
      </c>
      <c r="K3485" s="2" t="s">
        <v>376</v>
      </c>
      <c r="L3485" s="2" t="s">
        <v>391</v>
      </c>
      <c r="M3485" s="2" t="s">
        <v>26</v>
      </c>
      <c r="N3485" s="29"/>
      <c r="O3485" s="29"/>
      <c r="P3485" s="5" t="str">
        <f>IFERROR(__xludf.DUMMYFUNCTION("TEXTJOIN("" | "",TRUE,IF(OR(D3485="""",E3485="""",I3485="""",J3485="""",H3485=""""),""ফাঁকা ঘর"",""""),IF(AND(C3485&lt;&gt;"""",D3485&lt;&gt;"""",C3485=D3485),""gloss=figurative"",""""),IF(LEN(D3485)&lt;15,""figurative ছোট"",""""),IF(AND(I3485=""Positive"",REGEXMATCH(H3"&amp;"485,""মূর্খ|ভণ্ড|প্রতার|অলস|লোভ|স্বার্থ|অক্ষম|অযোগ্য|বোকা|কৃপণ|হিংস"")),""valence-target অমিল"",""""),IF(COUNTIF($B:$B,B3485)&gt;1,""ডুপ্লিকেট"",""""))"),"")</f>
        <v/>
      </c>
      <c r="Q3485" s="5" t="str">
        <f t="shared" si="1"/>
        <v>২ পরে</v>
      </c>
    </row>
    <row r="3486">
      <c r="A3486" s="4">
        <v>1300.0</v>
      </c>
      <c r="B3486" s="2" t="s">
        <v>13938</v>
      </c>
      <c r="C3486" s="2" t="s">
        <v>13939</v>
      </c>
      <c r="D3486" s="2" t="s">
        <v>13940</v>
      </c>
      <c r="E3486" s="2" t="s">
        <v>13941</v>
      </c>
      <c r="F3486" s="2" t="b">
        <v>1</v>
      </c>
      <c r="G3486" s="2" t="b">
        <v>1</v>
      </c>
      <c r="H3486" s="2" t="s">
        <v>13942</v>
      </c>
      <c r="I3486" s="2" t="s">
        <v>22</v>
      </c>
      <c r="J3486" s="2" t="s">
        <v>9301</v>
      </c>
      <c r="K3486" s="2" t="s">
        <v>376</v>
      </c>
      <c r="L3486" s="2" t="s">
        <v>391</v>
      </c>
      <c r="M3486" s="2" t="s">
        <v>26</v>
      </c>
      <c r="N3486" s="29"/>
      <c r="O3486" s="29"/>
      <c r="P3486" s="5" t="str">
        <f>IFERROR(__xludf.DUMMYFUNCTION("TEXTJOIN("" | "",TRUE,IF(OR(D3486="""",E3486="""",I3486="""",J3486="""",H3486=""""),""ফাঁকা ঘর"",""""),IF(AND(C3486&lt;&gt;"""",D3486&lt;&gt;"""",C3486=D3486),""gloss=figurative"",""""),IF(LEN(D3486)&lt;15,""figurative ছোট"",""""),IF(AND(I3486=""Positive"",REGEXMATCH(H3"&amp;"486,""মূর্খ|ভণ্ড|প্রতার|অলস|লোভ|স্বার্থ|অক্ষম|অযোগ্য|বোকা|কৃপণ|হিংস"")),""valence-target অমিল"",""""),IF(COUNTIF($B:$B,B3486)&gt;1,""ডুপ্লিকেট"",""""))"),"")</f>
        <v/>
      </c>
      <c r="Q3486" s="5" t="str">
        <f t="shared" si="1"/>
        <v>২ পরে</v>
      </c>
    </row>
    <row r="3487">
      <c r="A3487" s="4">
        <v>1301.0</v>
      </c>
      <c r="B3487" s="2" t="s">
        <v>13943</v>
      </c>
      <c r="C3487" s="2" t="s">
        <v>13944</v>
      </c>
      <c r="D3487" s="2" t="s">
        <v>13945</v>
      </c>
      <c r="E3487" s="2" t="s">
        <v>13946</v>
      </c>
      <c r="F3487" s="2" t="b">
        <v>1</v>
      </c>
      <c r="G3487" s="2" t="b">
        <v>0</v>
      </c>
      <c r="H3487" s="2" t="s">
        <v>10046</v>
      </c>
      <c r="I3487" s="2" t="s">
        <v>22</v>
      </c>
      <c r="J3487" s="2" t="s">
        <v>9301</v>
      </c>
      <c r="K3487" s="2" t="s">
        <v>376</v>
      </c>
      <c r="L3487" s="2" t="s">
        <v>391</v>
      </c>
      <c r="M3487" s="2" t="s">
        <v>26</v>
      </c>
      <c r="N3487" s="29"/>
      <c r="O3487" s="29"/>
      <c r="P3487" s="5" t="str">
        <f>IFERROR(__xludf.DUMMYFUNCTION("TEXTJOIN("" | "",TRUE,IF(OR(D3487="""",E3487="""",I3487="""",J3487="""",H3487=""""),""ফাঁকা ঘর"",""""),IF(AND(C3487&lt;&gt;"""",D3487&lt;&gt;"""",C3487=D3487),""gloss=figurative"",""""),IF(LEN(D3487)&lt;15,""figurative ছোট"",""""),IF(AND(I3487=""Positive"",REGEXMATCH(H3"&amp;"487,""মূর্খ|ভণ্ড|প্রতার|অলস|লোভ|স্বার্থ|অক্ষম|অযোগ্য|বোকা|কৃপণ|হিংস"")),""valence-target অমিল"",""""),IF(COUNTIF($B:$B,B3487)&gt;1,""ডুপ্লিকেট"",""""))"),"")</f>
        <v/>
      </c>
      <c r="Q3487" s="5" t="str">
        <f t="shared" si="1"/>
        <v>২ পরে</v>
      </c>
    </row>
    <row r="3488">
      <c r="A3488" s="4">
        <v>1302.0</v>
      </c>
      <c r="B3488" s="2" t="s">
        <v>13947</v>
      </c>
      <c r="C3488" s="2" t="s">
        <v>13948</v>
      </c>
      <c r="D3488" s="2" t="s">
        <v>13949</v>
      </c>
      <c r="E3488" s="2" t="s">
        <v>13950</v>
      </c>
      <c r="F3488" s="2" t="b">
        <v>1</v>
      </c>
      <c r="G3488" s="2" t="b">
        <v>0</v>
      </c>
      <c r="H3488" s="2" t="s">
        <v>396</v>
      </c>
      <c r="I3488" s="2" t="s">
        <v>32</v>
      </c>
      <c r="J3488" s="2" t="s">
        <v>123</v>
      </c>
      <c r="K3488" s="2" t="s">
        <v>376</v>
      </c>
      <c r="L3488" s="2" t="s">
        <v>391</v>
      </c>
      <c r="M3488" s="2" t="s">
        <v>26</v>
      </c>
      <c r="N3488" s="29"/>
      <c r="O3488" s="29"/>
      <c r="P3488" s="5" t="str">
        <f>IFERROR(__xludf.DUMMYFUNCTION("TEXTJOIN("" | "",TRUE,IF(OR(D3488="""",E3488="""",I3488="""",J3488="""",H3488=""""),""ফাঁকা ঘর"",""""),IF(AND(C3488&lt;&gt;"""",D3488&lt;&gt;"""",C3488=D3488),""gloss=figurative"",""""),IF(LEN(D3488)&lt;15,""figurative ছোট"",""""),IF(AND(I3488=""Positive"",REGEXMATCH(H3"&amp;"488,""মূর্খ|ভণ্ড|প্রতার|অলস|লোভ|স্বার্থ|অক্ষম|অযোগ্য|বোকা|কৃপণ|হিংস"")),""valence-target অমিল"",""""),IF(COUNTIF($B:$B,B3488)&gt;1,""ডুপ্লিকেট"",""""))"),"")</f>
        <v/>
      </c>
      <c r="Q3488" s="5" t="str">
        <f t="shared" si="1"/>
        <v>২ পরে</v>
      </c>
    </row>
    <row r="3489">
      <c r="A3489" s="4">
        <v>1303.0</v>
      </c>
      <c r="B3489" s="2" t="s">
        <v>13951</v>
      </c>
      <c r="C3489" s="2" t="s">
        <v>13952</v>
      </c>
      <c r="D3489" s="2" t="s">
        <v>13953</v>
      </c>
      <c r="E3489" s="2" t="s">
        <v>13954</v>
      </c>
      <c r="F3489" s="2" t="b">
        <v>1</v>
      </c>
      <c r="G3489" s="2" t="b">
        <v>0</v>
      </c>
      <c r="H3489" s="2" t="s">
        <v>9232</v>
      </c>
      <c r="I3489" s="2" t="s">
        <v>49</v>
      </c>
      <c r="J3489" s="2" t="s">
        <v>5143</v>
      </c>
      <c r="K3489" s="2" t="s">
        <v>376</v>
      </c>
      <c r="L3489" s="2" t="s">
        <v>391</v>
      </c>
      <c r="M3489" s="2" t="s">
        <v>26</v>
      </c>
      <c r="N3489" s="29"/>
      <c r="O3489" s="29"/>
      <c r="P3489" s="5" t="str">
        <f>IFERROR(__xludf.DUMMYFUNCTION("TEXTJOIN("" | "",TRUE,IF(OR(D3489="""",E3489="""",I3489="""",J3489="""",H3489=""""),""ফাঁকা ঘর"",""""),IF(AND(C3489&lt;&gt;"""",D3489&lt;&gt;"""",C3489=D3489),""gloss=figurative"",""""),IF(LEN(D3489)&lt;15,""figurative ছোট"",""""),IF(AND(I3489=""Positive"",REGEXMATCH(H3"&amp;"489,""মূর্খ|ভণ্ড|প্রতার|অলস|লোভ|স্বার্থ|অক্ষম|অযোগ্য|বোকা|কৃপণ|হিংস"")),""valence-target অমিল"",""""),IF(COUNTIF($B:$B,B3489)&gt;1,""ডুপ্লিকেট"",""""))"),"")</f>
        <v/>
      </c>
      <c r="Q3489" s="5" t="str">
        <f t="shared" si="1"/>
        <v>২ পরে</v>
      </c>
    </row>
    <row r="3490">
      <c r="A3490" s="4">
        <v>1304.0</v>
      </c>
      <c r="B3490" s="2" t="s">
        <v>13955</v>
      </c>
      <c r="C3490" s="2" t="s">
        <v>13956</v>
      </c>
      <c r="D3490" s="2" t="s">
        <v>13957</v>
      </c>
      <c r="E3490" s="2" t="s">
        <v>13958</v>
      </c>
      <c r="F3490" s="2" t="b">
        <v>1</v>
      </c>
      <c r="G3490" s="2" t="b">
        <v>0</v>
      </c>
      <c r="H3490" s="2" t="s">
        <v>13959</v>
      </c>
      <c r="I3490" s="2" t="s">
        <v>22</v>
      </c>
      <c r="J3490" s="2" t="s">
        <v>123</v>
      </c>
      <c r="K3490" s="2" t="s">
        <v>376</v>
      </c>
      <c r="L3490" s="2" t="s">
        <v>391</v>
      </c>
      <c r="M3490" s="2" t="s">
        <v>26</v>
      </c>
      <c r="N3490" s="29"/>
      <c r="O3490" s="29"/>
      <c r="P3490" s="5" t="str">
        <f>IFERROR(__xludf.DUMMYFUNCTION("TEXTJOIN("" | "",TRUE,IF(OR(D3490="""",E3490="""",I3490="""",J3490="""",H3490=""""),""ফাঁকা ঘর"",""""),IF(AND(C3490&lt;&gt;"""",D3490&lt;&gt;"""",C3490=D3490),""gloss=figurative"",""""),IF(LEN(D3490)&lt;15,""figurative ছোট"",""""),IF(AND(I3490=""Positive"",REGEXMATCH(H3"&amp;"490,""মূর্খ|ভণ্ড|প্রতার|অলস|লোভ|স্বার্থ|অক্ষম|অযোগ্য|বোকা|কৃপণ|হিংস"")),""valence-target অমিল"",""""),IF(COUNTIF($B:$B,B3490)&gt;1,""ডুপ্লিকেট"",""""))"),"")</f>
        <v/>
      </c>
      <c r="Q3490" s="5" t="str">
        <f t="shared" si="1"/>
        <v>২ পরে</v>
      </c>
    </row>
    <row r="3491">
      <c r="A3491" s="4">
        <v>1305.0</v>
      </c>
      <c r="B3491" s="2" t="s">
        <v>13960</v>
      </c>
      <c r="C3491" s="2" t="s">
        <v>13961</v>
      </c>
      <c r="D3491" s="2" t="s">
        <v>13962</v>
      </c>
      <c r="E3491" s="2" t="s">
        <v>13963</v>
      </c>
      <c r="F3491" s="2" t="b">
        <v>1</v>
      </c>
      <c r="G3491" s="2" t="b">
        <v>0</v>
      </c>
      <c r="H3491" s="2" t="s">
        <v>13964</v>
      </c>
      <c r="I3491" s="2" t="s">
        <v>22</v>
      </c>
      <c r="J3491" s="2" t="s">
        <v>1934</v>
      </c>
      <c r="K3491" s="2" t="s">
        <v>376</v>
      </c>
      <c r="L3491" s="2" t="s">
        <v>391</v>
      </c>
      <c r="M3491" s="2" t="s">
        <v>26</v>
      </c>
      <c r="N3491" s="29"/>
      <c r="O3491" s="29"/>
      <c r="P3491" s="5" t="str">
        <f>IFERROR(__xludf.DUMMYFUNCTION("TEXTJOIN("" | "",TRUE,IF(OR(D3491="""",E3491="""",I3491="""",J3491="""",H3491=""""),""ফাঁকা ঘর"",""""),IF(AND(C3491&lt;&gt;"""",D3491&lt;&gt;"""",C3491=D3491),""gloss=figurative"",""""),IF(LEN(D3491)&lt;15,""figurative ছোট"",""""),IF(AND(I3491=""Positive"",REGEXMATCH(H3"&amp;"491,""মূর্খ|ভণ্ড|প্রতার|অলস|লোভ|স্বার্থ|অক্ষম|অযোগ্য|বোকা|কৃপণ|হিংস"")),""valence-target অমিল"",""""),IF(COUNTIF($B:$B,B3491)&gt;1,""ডুপ্লিকেট"",""""))"),"")</f>
        <v/>
      </c>
      <c r="Q3491" s="5" t="str">
        <f t="shared" si="1"/>
        <v>২ পরে</v>
      </c>
    </row>
    <row r="3492">
      <c r="A3492" s="4">
        <v>1306.0</v>
      </c>
      <c r="B3492" s="2" t="s">
        <v>13965</v>
      </c>
      <c r="C3492" s="2" t="s">
        <v>13966</v>
      </c>
      <c r="D3492" s="2" t="s">
        <v>13967</v>
      </c>
      <c r="E3492" s="2" t="s">
        <v>13968</v>
      </c>
      <c r="F3492" s="2" t="b">
        <v>1</v>
      </c>
      <c r="G3492" s="2" t="b">
        <v>0</v>
      </c>
      <c r="H3492" s="2" t="s">
        <v>21</v>
      </c>
      <c r="I3492" s="2" t="s">
        <v>22</v>
      </c>
      <c r="J3492" s="2" t="s">
        <v>11746</v>
      </c>
      <c r="K3492" s="2" t="s">
        <v>376</v>
      </c>
      <c r="L3492" s="2" t="s">
        <v>391</v>
      </c>
      <c r="M3492" s="2" t="s">
        <v>26</v>
      </c>
      <c r="N3492" s="29"/>
      <c r="O3492" s="29"/>
      <c r="P3492" s="5" t="str">
        <f>IFERROR(__xludf.DUMMYFUNCTION("TEXTJOIN("" | "",TRUE,IF(OR(D3492="""",E3492="""",I3492="""",J3492="""",H3492=""""),""ফাঁকা ঘর"",""""),IF(AND(C3492&lt;&gt;"""",D3492&lt;&gt;"""",C3492=D3492),""gloss=figurative"",""""),IF(LEN(D3492)&lt;15,""figurative ছোট"",""""),IF(AND(I3492=""Positive"",REGEXMATCH(H3"&amp;"492,""মূর্খ|ভণ্ড|প্রতার|অলস|লোভ|স্বার্থ|অক্ষম|অযোগ্য|বোকা|কৃপণ|হিংস"")),""valence-target অমিল"",""""),IF(COUNTIF($B:$B,B3492)&gt;1,""ডুপ্লিকেট"",""""))"),"")</f>
        <v/>
      </c>
      <c r="Q3492" s="5" t="str">
        <f t="shared" si="1"/>
        <v>২ পরে</v>
      </c>
    </row>
    <row r="3493">
      <c r="A3493" s="4">
        <v>1307.0</v>
      </c>
      <c r="B3493" s="2" t="s">
        <v>13969</v>
      </c>
      <c r="C3493" s="2" t="s">
        <v>13970</v>
      </c>
      <c r="D3493" s="2" t="s">
        <v>13971</v>
      </c>
      <c r="E3493" s="2" t="s">
        <v>13972</v>
      </c>
      <c r="F3493" s="2" t="b">
        <v>1</v>
      </c>
      <c r="G3493" s="2" t="b">
        <v>0</v>
      </c>
      <c r="H3493" s="2" t="s">
        <v>10046</v>
      </c>
      <c r="I3493" s="2" t="s">
        <v>32</v>
      </c>
      <c r="J3493" s="2" t="s">
        <v>9301</v>
      </c>
      <c r="K3493" s="2" t="s">
        <v>376</v>
      </c>
      <c r="L3493" s="2" t="s">
        <v>391</v>
      </c>
      <c r="M3493" s="2" t="s">
        <v>26</v>
      </c>
      <c r="N3493" s="29"/>
      <c r="O3493" s="29"/>
      <c r="P3493" s="5" t="str">
        <f>IFERROR(__xludf.DUMMYFUNCTION("TEXTJOIN("" | "",TRUE,IF(OR(D3493="""",E3493="""",I3493="""",J3493="""",H3493=""""),""ফাঁকা ঘর"",""""),IF(AND(C3493&lt;&gt;"""",D3493&lt;&gt;"""",C3493=D3493),""gloss=figurative"",""""),IF(LEN(D3493)&lt;15,""figurative ছোট"",""""),IF(AND(I3493=""Positive"",REGEXMATCH(H3"&amp;"493,""মূর্খ|ভণ্ড|প্রতার|অলস|লোভ|স্বার্থ|অক্ষম|অযোগ্য|বোকা|কৃপণ|হিংস"")),""valence-target অমিল"",""""),IF(COUNTIF($B:$B,B3493)&gt;1,""ডুপ্লিকেট"",""""))"),"")</f>
        <v/>
      </c>
      <c r="Q3493" s="5" t="str">
        <f t="shared" si="1"/>
        <v>২ পরে</v>
      </c>
    </row>
    <row r="3494">
      <c r="A3494" s="4">
        <v>1308.0</v>
      </c>
      <c r="B3494" s="2" t="s">
        <v>13973</v>
      </c>
      <c r="C3494" s="2" t="s">
        <v>13974</v>
      </c>
      <c r="D3494" s="2" t="s">
        <v>13975</v>
      </c>
      <c r="E3494" s="2" t="s">
        <v>13976</v>
      </c>
      <c r="F3494" s="2" t="b">
        <v>1</v>
      </c>
      <c r="G3494" s="2" t="b">
        <v>1</v>
      </c>
      <c r="H3494" s="2" t="s">
        <v>13977</v>
      </c>
      <c r="I3494" s="2" t="s">
        <v>32</v>
      </c>
      <c r="J3494" s="2" t="s">
        <v>357</v>
      </c>
      <c r="K3494" s="2" t="s">
        <v>376</v>
      </c>
      <c r="L3494" s="2" t="s">
        <v>391</v>
      </c>
      <c r="M3494" s="2" t="s">
        <v>26</v>
      </c>
      <c r="N3494" s="29"/>
      <c r="O3494" s="29"/>
      <c r="P3494" s="5" t="str">
        <f>IFERROR(__xludf.DUMMYFUNCTION("TEXTJOIN("" | "",TRUE,IF(OR(D3494="""",E3494="""",I3494="""",J3494="""",H3494=""""),""ফাঁকা ঘর"",""""),IF(AND(C3494&lt;&gt;"""",D3494&lt;&gt;"""",C3494=D3494),""gloss=figurative"",""""),IF(LEN(D3494)&lt;15,""figurative ছোট"",""""),IF(AND(I3494=""Positive"",REGEXMATCH(H3"&amp;"494,""মূর্খ|ভণ্ড|প্রতার|অলস|লোভ|স্বার্থ|অক্ষম|অযোগ্য|বোকা|কৃপণ|হিংস"")),""valence-target অমিল"",""""),IF(COUNTIF($B:$B,B3494)&gt;1,""ডুপ্লিকেট"",""""))"),"")</f>
        <v/>
      </c>
      <c r="Q3494" s="5" t="str">
        <f t="shared" si="1"/>
        <v>২ পরে</v>
      </c>
    </row>
    <row r="3495">
      <c r="A3495" s="4">
        <v>1309.0</v>
      </c>
      <c r="B3495" s="2" t="s">
        <v>13978</v>
      </c>
      <c r="C3495" s="2" t="s">
        <v>13979</v>
      </c>
      <c r="D3495" s="2" t="s">
        <v>13980</v>
      </c>
      <c r="E3495" s="2" t="s">
        <v>13981</v>
      </c>
      <c r="F3495" s="2" t="b">
        <v>1</v>
      </c>
      <c r="G3495" s="2" t="b">
        <v>0</v>
      </c>
      <c r="H3495" s="2" t="s">
        <v>13982</v>
      </c>
      <c r="I3495" s="2" t="s">
        <v>22</v>
      </c>
      <c r="J3495" s="2" t="s">
        <v>142</v>
      </c>
      <c r="K3495" s="2" t="s">
        <v>376</v>
      </c>
      <c r="L3495" s="2" t="s">
        <v>391</v>
      </c>
      <c r="M3495" s="2" t="s">
        <v>26</v>
      </c>
      <c r="N3495" s="29"/>
      <c r="O3495" s="29"/>
      <c r="P3495" s="5" t="str">
        <f>IFERROR(__xludf.DUMMYFUNCTION("TEXTJOIN("" | "",TRUE,IF(OR(D3495="""",E3495="""",I3495="""",J3495="""",H3495=""""),""ফাঁকা ঘর"",""""),IF(AND(C3495&lt;&gt;"""",D3495&lt;&gt;"""",C3495=D3495),""gloss=figurative"",""""),IF(LEN(D3495)&lt;15,""figurative ছোট"",""""),IF(AND(I3495=""Positive"",REGEXMATCH(H3"&amp;"495,""মূর্খ|ভণ্ড|প্রতার|অলস|লোভ|স্বার্থ|অক্ষম|অযোগ্য|বোকা|কৃপণ|হিংস"")),""valence-target অমিল"",""""),IF(COUNTIF($B:$B,B3495)&gt;1,""ডুপ্লিকেট"",""""))"),"")</f>
        <v/>
      </c>
      <c r="Q3495" s="5" t="str">
        <f t="shared" si="1"/>
        <v>২ পরে</v>
      </c>
    </row>
    <row r="3496">
      <c r="A3496" s="4">
        <v>1310.0</v>
      </c>
      <c r="B3496" s="2" t="s">
        <v>13983</v>
      </c>
      <c r="C3496" s="2" t="s">
        <v>13983</v>
      </c>
      <c r="D3496" s="2" t="s">
        <v>13984</v>
      </c>
      <c r="E3496" s="2" t="s">
        <v>13985</v>
      </c>
      <c r="F3496" s="2" t="b">
        <v>1</v>
      </c>
      <c r="G3496" s="2" t="b">
        <v>0</v>
      </c>
      <c r="H3496" s="2" t="s">
        <v>37</v>
      </c>
      <c r="I3496" s="2" t="s">
        <v>32</v>
      </c>
      <c r="J3496" s="2" t="s">
        <v>5820</v>
      </c>
      <c r="K3496" s="2" t="s">
        <v>376</v>
      </c>
      <c r="L3496" s="2" t="s">
        <v>391</v>
      </c>
      <c r="M3496" s="2" t="s">
        <v>26</v>
      </c>
      <c r="N3496" s="29"/>
      <c r="O3496" s="29"/>
      <c r="P3496" s="5" t="str">
        <f>IFERROR(__xludf.DUMMYFUNCTION("TEXTJOIN("" | "",TRUE,IF(OR(D3496="""",E3496="""",I3496="""",J3496="""",H3496=""""),""ফাঁকা ঘর"",""""),IF(AND(C3496&lt;&gt;"""",D3496&lt;&gt;"""",C3496=D3496),""gloss=figurative"",""""),IF(LEN(D3496)&lt;15,""figurative ছোট"",""""),IF(AND(I3496=""Positive"",REGEXMATCH(H3"&amp;"496,""মূর্খ|ভণ্ড|প্রতার|অলস|লোভ|স্বার্থ|অক্ষম|অযোগ্য|বোকা|কৃপণ|হিংস"")),""valence-target অমিল"",""""),IF(COUNTIF($B:$B,B3496)&gt;1,""ডুপ্লিকেট"",""""))"),"")</f>
        <v/>
      </c>
      <c r="Q3496" s="5" t="str">
        <f t="shared" si="1"/>
        <v>২ পরে</v>
      </c>
    </row>
    <row r="3497">
      <c r="A3497" s="4">
        <v>1311.0</v>
      </c>
      <c r="B3497" s="2" t="s">
        <v>13986</v>
      </c>
      <c r="C3497" s="2" t="s">
        <v>13987</v>
      </c>
      <c r="D3497" s="2" t="s">
        <v>13988</v>
      </c>
      <c r="E3497" s="2" t="s">
        <v>13989</v>
      </c>
      <c r="F3497" s="2" t="b">
        <v>1</v>
      </c>
      <c r="G3497" s="2" t="b">
        <v>0</v>
      </c>
      <c r="H3497" s="2" t="s">
        <v>13990</v>
      </c>
      <c r="I3497" s="2" t="s">
        <v>32</v>
      </c>
      <c r="J3497" s="2" t="s">
        <v>10356</v>
      </c>
      <c r="K3497" s="2" t="s">
        <v>376</v>
      </c>
      <c r="L3497" s="2" t="s">
        <v>391</v>
      </c>
      <c r="M3497" s="2" t="s">
        <v>26</v>
      </c>
      <c r="N3497" s="29"/>
      <c r="O3497" s="29"/>
      <c r="P3497" s="5" t="str">
        <f>IFERROR(__xludf.DUMMYFUNCTION("TEXTJOIN("" | "",TRUE,IF(OR(D3497="""",E3497="""",I3497="""",J3497="""",H3497=""""),""ফাঁকা ঘর"",""""),IF(AND(C3497&lt;&gt;"""",D3497&lt;&gt;"""",C3497=D3497),""gloss=figurative"",""""),IF(LEN(D3497)&lt;15,""figurative ছোট"",""""),IF(AND(I3497=""Positive"",REGEXMATCH(H3"&amp;"497,""মূর্খ|ভণ্ড|প্রতার|অলস|লোভ|স্বার্থ|অক্ষম|অযোগ্য|বোকা|কৃপণ|হিংস"")),""valence-target অমিল"",""""),IF(COUNTIF($B:$B,B3497)&gt;1,""ডুপ্লিকেট"",""""))"),"")</f>
        <v/>
      </c>
      <c r="Q3497" s="5" t="str">
        <f t="shared" si="1"/>
        <v>২ পরে</v>
      </c>
    </row>
    <row r="3498">
      <c r="A3498" s="4">
        <v>1312.0</v>
      </c>
      <c r="B3498" s="2" t="s">
        <v>13991</v>
      </c>
      <c r="C3498" s="2" t="s">
        <v>13992</v>
      </c>
      <c r="D3498" s="2" t="s">
        <v>13993</v>
      </c>
      <c r="E3498" s="2" t="s">
        <v>13994</v>
      </c>
      <c r="F3498" s="2" t="b">
        <v>1</v>
      </c>
      <c r="G3498" s="2" t="b">
        <v>0</v>
      </c>
      <c r="H3498" s="2" t="s">
        <v>5713</v>
      </c>
      <c r="I3498" s="2" t="s">
        <v>32</v>
      </c>
      <c r="J3498" s="2" t="s">
        <v>142</v>
      </c>
      <c r="K3498" s="2" t="s">
        <v>376</v>
      </c>
      <c r="L3498" s="2" t="s">
        <v>391</v>
      </c>
      <c r="M3498" s="2" t="s">
        <v>26</v>
      </c>
      <c r="N3498" s="29"/>
      <c r="O3498" s="29"/>
      <c r="P3498" s="5" t="str">
        <f>IFERROR(__xludf.DUMMYFUNCTION("TEXTJOIN("" | "",TRUE,IF(OR(D3498="""",E3498="""",I3498="""",J3498="""",H3498=""""),""ফাঁকা ঘর"",""""),IF(AND(C3498&lt;&gt;"""",D3498&lt;&gt;"""",C3498=D3498),""gloss=figurative"",""""),IF(LEN(D3498)&lt;15,""figurative ছোট"",""""),IF(AND(I3498=""Positive"",REGEXMATCH(H3"&amp;"498,""মূর্খ|ভণ্ড|প্রতার|অলস|লোভ|স্বার্থ|অক্ষম|অযোগ্য|বোকা|কৃপণ|হিংস"")),""valence-target অমিল"",""""),IF(COUNTIF($B:$B,B3498)&gt;1,""ডুপ্লিকেট"",""""))"),"")</f>
        <v/>
      </c>
      <c r="Q3498" s="5" t="str">
        <f t="shared" si="1"/>
        <v>২ পরে</v>
      </c>
    </row>
    <row r="3499">
      <c r="A3499" s="4">
        <v>1313.0</v>
      </c>
      <c r="B3499" s="2" t="s">
        <v>13995</v>
      </c>
      <c r="C3499" s="2" t="s">
        <v>13996</v>
      </c>
      <c r="D3499" s="2" t="s">
        <v>13997</v>
      </c>
      <c r="E3499" s="2" t="s">
        <v>13998</v>
      </c>
      <c r="F3499" s="2" t="b">
        <v>1</v>
      </c>
      <c r="G3499" s="2" t="b">
        <v>0</v>
      </c>
      <c r="H3499" s="2" t="s">
        <v>13999</v>
      </c>
      <c r="I3499" s="2" t="s">
        <v>22</v>
      </c>
      <c r="J3499" s="2" t="s">
        <v>59</v>
      </c>
      <c r="K3499" s="2" t="s">
        <v>376</v>
      </c>
      <c r="L3499" s="2" t="s">
        <v>391</v>
      </c>
      <c r="M3499" s="2" t="s">
        <v>26</v>
      </c>
      <c r="N3499" s="29"/>
      <c r="O3499" s="29"/>
      <c r="P3499" s="5" t="str">
        <f>IFERROR(__xludf.DUMMYFUNCTION("TEXTJOIN("" | "",TRUE,IF(OR(D3499="""",E3499="""",I3499="""",J3499="""",H3499=""""),""ফাঁকা ঘর"",""""),IF(AND(C3499&lt;&gt;"""",D3499&lt;&gt;"""",C3499=D3499),""gloss=figurative"",""""),IF(LEN(D3499)&lt;15,""figurative ছোট"",""""),IF(AND(I3499=""Positive"",REGEXMATCH(H3"&amp;"499,""মূর্খ|ভণ্ড|প্রতার|অলস|লোভ|স্বার্থ|অক্ষম|অযোগ্য|বোকা|কৃপণ|হিংস"")),""valence-target অমিল"",""""),IF(COUNTIF($B:$B,B3499)&gt;1,""ডুপ্লিকেট"",""""))"),"")</f>
        <v/>
      </c>
      <c r="Q3499" s="5" t="str">
        <f t="shared" si="1"/>
        <v>২ পরে</v>
      </c>
    </row>
    <row r="3500">
      <c r="A3500" s="4">
        <v>1314.0</v>
      </c>
      <c r="B3500" s="2" t="s">
        <v>14000</v>
      </c>
      <c r="C3500" s="2" t="s">
        <v>14001</v>
      </c>
      <c r="D3500" s="2" t="s">
        <v>14002</v>
      </c>
      <c r="E3500" s="2" t="s">
        <v>14003</v>
      </c>
      <c r="F3500" s="2" t="b">
        <v>1</v>
      </c>
      <c r="G3500" s="2" t="b">
        <v>0</v>
      </c>
      <c r="H3500" s="2" t="s">
        <v>5713</v>
      </c>
      <c r="I3500" s="2" t="s">
        <v>32</v>
      </c>
      <c r="J3500" s="2" t="s">
        <v>9301</v>
      </c>
      <c r="K3500" s="2" t="s">
        <v>376</v>
      </c>
      <c r="L3500" s="2" t="s">
        <v>391</v>
      </c>
      <c r="M3500" s="2" t="s">
        <v>26</v>
      </c>
      <c r="N3500" s="29"/>
      <c r="O3500" s="29"/>
      <c r="P3500" s="5" t="str">
        <f>IFERROR(__xludf.DUMMYFUNCTION("TEXTJOIN("" | "",TRUE,IF(OR(D3500="""",E3500="""",I3500="""",J3500="""",H3500=""""),""ফাঁকা ঘর"",""""),IF(AND(C3500&lt;&gt;"""",D3500&lt;&gt;"""",C3500=D3500),""gloss=figurative"",""""),IF(LEN(D3500)&lt;15,""figurative ছোট"",""""),IF(AND(I3500=""Positive"",REGEXMATCH(H3"&amp;"500,""মূর্খ|ভণ্ড|প্রতার|অলস|লোভ|স্বার্থ|অক্ষম|অযোগ্য|বোকা|কৃপণ|হিংস"")),""valence-target অমিল"",""""),IF(COUNTIF($B:$B,B3500)&gt;1,""ডুপ্লিকেট"",""""))"),"")</f>
        <v/>
      </c>
      <c r="Q3500" s="5" t="str">
        <f t="shared" si="1"/>
        <v>২ পরে</v>
      </c>
    </row>
    <row r="3501">
      <c r="A3501" s="4">
        <v>1315.0</v>
      </c>
      <c r="B3501" s="2" t="s">
        <v>14004</v>
      </c>
      <c r="C3501" s="2" t="s">
        <v>14005</v>
      </c>
      <c r="D3501" s="2" t="s">
        <v>14006</v>
      </c>
      <c r="E3501" s="2" t="s">
        <v>14007</v>
      </c>
      <c r="F3501" s="2" t="b">
        <v>1</v>
      </c>
      <c r="G3501" s="2" t="b">
        <v>0</v>
      </c>
      <c r="H3501" s="2" t="s">
        <v>9320</v>
      </c>
      <c r="I3501" s="2" t="s">
        <v>49</v>
      </c>
      <c r="J3501" s="2" t="s">
        <v>14008</v>
      </c>
      <c r="K3501" s="2" t="s">
        <v>376</v>
      </c>
      <c r="L3501" s="2" t="s">
        <v>391</v>
      </c>
      <c r="M3501" s="2" t="s">
        <v>26</v>
      </c>
      <c r="N3501" s="29"/>
      <c r="O3501" s="29"/>
      <c r="P3501" s="5" t="str">
        <f>IFERROR(__xludf.DUMMYFUNCTION("TEXTJOIN("" | "",TRUE,IF(OR(D3501="""",E3501="""",I3501="""",J3501="""",H3501=""""),""ফাঁকা ঘর"",""""),IF(AND(C3501&lt;&gt;"""",D3501&lt;&gt;"""",C3501=D3501),""gloss=figurative"",""""),IF(LEN(D3501)&lt;15,""figurative ছোট"",""""),IF(AND(I3501=""Positive"",REGEXMATCH(H3"&amp;"501,""মূর্খ|ভণ্ড|প্রতার|অলস|লোভ|স্বার্থ|অক্ষম|অযোগ্য|বোকা|কৃপণ|হিংস"")),""valence-target অমিল"",""""),IF(COUNTIF($B:$B,B3501)&gt;1,""ডুপ্লিকেট"",""""))"),"")</f>
        <v/>
      </c>
      <c r="Q3501" s="5" t="str">
        <f t="shared" si="1"/>
        <v>২ পরে</v>
      </c>
    </row>
    <row r="3502">
      <c r="A3502" s="4">
        <v>1316.0</v>
      </c>
      <c r="B3502" s="2" t="s">
        <v>14009</v>
      </c>
      <c r="C3502" s="2" t="s">
        <v>14009</v>
      </c>
      <c r="D3502" s="2" t="s">
        <v>14010</v>
      </c>
      <c r="E3502" s="2" t="s">
        <v>14011</v>
      </c>
      <c r="F3502" s="2" t="b">
        <v>1</v>
      </c>
      <c r="G3502" s="2" t="b">
        <v>0</v>
      </c>
      <c r="H3502" s="2" t="s">
        <v>14012</v>
      </c>
      <c r="I3502" s="2" t="s">
        <v>22</v>
      </c>
      <c r="J3502" s="2" t="s">
        <v>142</v>
      </c>
      <c r="K3502" s="2" t="s">
        <v>376</v>
      </c>
      <c r="L3502" s="2" t="s">
        <v>391</v>
      </c>
      <c r="M3502" s="2" t="s">
        <v>26</v>
      </c>
      <c r="N3502" s="29"/>
      <c r="O3502" s="29"/>
      <c r="P3502" s="5" t="str">
        <f>IFERROR(__xludf.DUMMYFUNCTION("TEXTJOIN("" | "",TRUE,IF(OR(D3502="""",E3502="""",I3502="""",J3502="""",H3502=""""),""ফাঁকা ঘর"",""""),IF(AND(C3502&lt;&gt;"""",D3502&lt;&gt;"""",C3502=D3502),""gloss=figurative"",""""),IF(LEN(D3502)&lt;15,""figurative ছোট"",""""),IF(AND(I3502=""Positive"",REGEXMATCH(H3"&amp;"502,""মূর্খ|ভণ্ড|প্রতার|অলস|লোভ|স্বার্থ|অক্ষম|অযোগ্য|বোকা|কৃপণ|হিংস"")),""valence-target অমিল"",""""),IF(COUNTIF($B:$B,B3502)&gt;1,""ডুপ্লিকেট"",""""))"),"")</f>
        <v/>
      </c>
      <c r="Q3502" s="5" t="str">
        <f t="shared" si="1"/>
        <v>২ পরে</v>
      </c>
    </row>
    <row r="3503">
      <c r="A3503" s="4">
        <v>1317.0</v>
      </c>
      <c r="B3503" s="2" t="s">
        <v>14013</v>
      </c>
      <c r="C3503" s="2" t="s">
        <v>14014</v>
      </c>
      <c r="D3503" s="2" t="s">
        <v>14015</v>
      </c>
      <c r="E3503" s="2" t="s">
        <v>14016</v>
      </c>
      <c r="F3503" s="2" t="b">
        <v>1</v>
      </c>
      <c r="G3503" s="2" t="b">
        <v>0</v>
      </c>
      <c r="H3503" s="2" t="s">
        <v>14017</v>
      </c>
      <c r="I3503" s="2" t="s">
        <v>22</v>
      </c>
      <c r="J3503" s="2" t="s">
        <v>59</v>
      </c>
      <c r="K3503" s="2" t="s">
        <v>376</v>
      </c>
      <c r="L3503" s="2" t="s">
        <v>391</v>
      </c>
      <c r="M3503" s="2" t="s">
        <v>26</v>
      </c>
      <c r="N3503" s="29"/>
      <c r="O3503" s="29"/>
      <c r="P3503" s="5" t="str">
        <f>IFERROR(__xludf.DUMMYFUNCTION("TEXTJOIN("" | "",TRUE,IF(OR(D3503="""",E3503="""",I3503="""",J3503="""",H3503=""""),""ফাঁকা ঘর"",""""),IF(AND(C3503&lt;&gt;"""",D3503&lt;&gt;"""",C3503=D3503),""gloss=figurative"",""""),IF(LEN(D3503)&lt;15,""figurative ছোট"",""""),IF(AND(I3503=""Positive"",REGEXMATCH(H3"&amp;"503,""মূর্খ|ভণ্ড|প্রতার|অলস|লোভ|স্বার্থ|অক্ষম|অযোগ্য|বোকা|কৃপণ|হিংস"")),""valence-target অমিল"",""""),IF(COUNTIF($B:$B,B3503)&gt;1,""ডুপ্লিকেট"",""""))"),"")</f>
        <v/>
      </c>
      <c r="Q3503" s="5" t="str">
        <f t="shared" si="1"/>
        <v>২ পরে</v>
      </c>
    </row>
    <row r="3504">
      <c r="A3504" s="4">
        <v>1318.0</v>
      </c>
      <c r="B3504" s="2" t="s">
        <v>14018</v>
      </c>
      <c r="C3504" s="2" t="s">
        <v>14019</v>
      </c>
      <c r="D3504" s="2" t="s">
        <v>14020</v>
      </c>
      <c r="E3504" s="2" t="s">
        <v>14021</v>
      </c>
      <c r="F3504" s="2" t="b">
        <v>1</v>
      </c>
      <c r="G3504" s="2" t="b">
        <v>0</v>
      </c>
      <c r="H3504" s="2" t="s">
        <v>8837</v>
      </c>
      <c r="I3504" s="2" t="s">
        <v>22</v>
      </c>
      <c r="J3504" s="2" t="s">
        <v>59</v>
      </c>
      <c r="K3504" s="2" t="s">
        <v>376</v>
      </c>
      <c r="L3504" s="2" t="s">
        <v>391</v>
      </c>
      <c r="M3504" s="2" t="s">
        <v>26</v>
      </c>
      <c r="N3504" s="29"/>
      <c r="O3504" s="29"/>
      <c r="P3504" s="5" t="str">
        <f>IFERROR(__xludf.DUMMYFUNCTION("TEXTJOIN("" | "",TRUE,IF(OR(D3504="""",E3504="""",I3504="""",J3504="""",H3504=""""),""ফাঁকা ঘর"",""""),IF(AND(C3504&lt;&gt;"""",D3504&lt;&gt;"""",C3504=D3504),""gloss=figurative"",""""),IF(LEN(D3504)&lt;15,""figurative ছোট"",""""),IF(AND(I3504=""Positive"",REGEXMATCH(H3"&amp;"504,""মূর্খ|ভণ্ড|প্রতার|অলস|লোভ|স্বার্থ|অক্ষম|অযোগ্য|বোকা|কৃপণ|হিংস"")),""valence-target অমিল"",""""),IF(COUNTIF($B:$B,B3504)&gt;1,""ডুপ্লিকেট"",""""))"),"")</f>
        <v/>
      </c>
      <c r="Q3504" s="5" t="str">
        <f t="shared" si="1"/>
        <v>২ পরে</v>
      </c>
    </row>
    <row r="3505">
      <c r="A3505" s="4">
        <v>1319.0</v>
      </c>
      <c r="B3505" s="2" t="s">
        <v>14022</v>
      </c>
      <c r="C3505" s="2" t="s">
        <v>14023</v>
      </c>
      <c r="D3505" s="2" t="s">
        <v>14024</v>
      </c>
      <c r="E3505" s="2" t="s">
        <v>14025</v>
      </c>
      <c r="F3505" s="2" t="b">
        <v>1</v>
      </c>
      <c r="G3505" s="2" t="b">
        <v>1</v>
      </c>
      <c r="H3505" s="2" t="s">
        <v>5054</v>
      </c>
      <c r="I3505" s="2" t="s">
        <v>22</v>
      </c>
      <c r="J3505" s="2" t="s">
        <v>9301</v>
      </c>
      <c r="K3505" s="2" t="s">
        <v>376</v>
      </c>
      <c r="L3505" s="2" t="s">
        <v>391</v>
      </c>
      <c r="M3505" s="2" t="s">
        <v>26</v>
      </c>
      <c r="N3505" s="29"/>
      <c r="O3505" s="29"/>
      <c r="P3505" s="5" t="str">
        <f>IFERROR(__xludf.DUMMYFUNCTION("TEXTJOIN("" | "",TRUE,IF(OR(D3505="""",E3505="""",I3505="""",J3505="""",H3505=""""),""ফাঁকা ঘর"",""""),IF(AND(C3505&lt;&gt;"""",D3505&lt;&gt;"""",C3505=D3505),""gloss=figurative"",""""),IF(LEN(D3505)&lt;15,""figurative ছোট"",""""),IF(AND(I3505=""Positive"",REGEXMATCH(H3"&amp;"505,""মূর্খ|ভণ্ড|প্রতার|অলস|লোভ|স্বার্থ|অক্ষম|অযোগ্য|বোকা|কৃপণ|হিংস"")),""valence-target অমিল"",""""),IF(COUNTIF($B:$B,B3505)&gt;1,""ডুপ্লিকেট"",""""))"),"")</f>
        <v/>
      </c>
      <c r="Q3505" s="5" t="str">
        <f t="shared" si="1"/>
        <v>২ পরে</v>
      </c>
    </row>
    <row r="3506">
      <c r="A3506" s="4">
        <v>1320.0</v>
      </c>
      <c r="B3506" s="2" t="s">
        <v>14026</v>
      </c>
      <c r="C3506" s="2" t="s">
        <v>14027</v>
      </c>
      <c r="D3506" s="2" t="s">
        <v>14028</v>
      </c>
      <c r="E3506" s="2" t="s">
        <v>14029</v>
      </c>
      <c r="F3506" s="2" t="b">
        <v>1</v>
      </c>
      <c r="G3506" s="2" t="b">
        <v>0</v>
      </c>
      <c r="H3506" s="2" t="s">
        <v>37</v>
      </c>
      <c r="I3506" s="2" t="s">
        <v>32</v>
      </c>
      <c r="J3506" s="2" t="s">
        <v>5820</v>
      </c>
      <c r="K3506" s="2" t="s">
        <v>376</v>
      </c>
      <c r="L3506" s="2" t="s">
        <v>391</v>
      </c>
      <c r="M3506" s="2" t="s">
        <v>26</v>
      </c>
      <c r="N3506" s="29"/>
      <c r="O3506" s="29"/>
      <c r="P3506" s="5" t="str">
        <f>IFERROR(__xludf.DUMMYFUNCTION("TEXTJOIN("" | "",TRUE,IF(OR(D3506="""",E3506="""",I3506="""",J3506="""",H3506=""""),""ফাঁকা ঘর"",""""),IF(AND(C3506&lt;&gt;"""",D3506&lt;&gt;"""",C3506=D3506),""gloss=figurative"",""""),IF(LEN(D3506)&lt;15,""figurative ছোট"",""""),IF(AND(I3506=""Positive"",REGEXMATCH(H3"&amp;"506,""মূর্খ|ভণ্ড|প্রতার|অলস|লোভ|স্বার্থ|অক্ষম|অযোগ্য|বোকা|কৃপণ|হিংস"")),""valence-target অমিল"",""""),IF(COUNTIF($B:$B,B3506)&gt;1,""ডুপ্লিকেট"",""""))"),"")</f>
        <v/>
      </c>
      <c r="Q3506" s="5" t="str">
        <f t="shared" si="1"/>
        <v>২ পরে</v>
      </c>
    </row>
    <row r="3507">
      <c r="A3507" s="4">
        <v>1321.0</v>
      </c>
      <c r="B3507" s="2" t="s">
        <v>14030</v>
      </c>
      <c r="C3507" s="2" t="s">
        <v>14031</v>
      </c>
      <c r="D3507" s="2" t="s">
        <v>14032</v>
      </c>
      <c r="E3507" s="2" t="s">
        <v>14033</v>
      </c>
      <c r="F3507" s="2" t="b">
        <v>1</v>
      </c>
      <c r="G3507" s="2" t="b">
        <v>0</v>
      </c>
      <c r="H3507" s="2" t="s">
        <v>357</v>
      </c>
      <c r="I3507" s="2" t="s">
        <v>32</v>
      </c>
      <c r="J3507" s="2" t="s">
        <v>14034</v>
      </c>
      <c r="K3507" s="2" t="s">
        <v>376</v>
      </c>
      <c r="L3507" s="2" t="s">
        <v>391</v>
      </c>
      <c r="M3507" s="2" t="s">
        <v>26</v>
      </c>
      <c r="N3507" s="29"/>
      <c r="O3507" s="29"/>
      <c r="P3507" s="5" t="str">
        <f>IFERROR(__xludf.DUMMYFUNCTION("TEXTJOIN("" | "",TRUE,IF(OR(D3507="""",E3507="""",I3507="""",J3507="""",H3507=""""),""ফাঁকা ঘর"",""""),IF(AND(C3507&lt;&gt;"""",D3507&lt;&gt;"""",C3507=D3507),""gloss=figurative"",""""),IF(LEN(D3507)&lt;15,""figurative ছোট"",""""),IF(AND(I3507=""Positive"",REGEXMATCH(H3"&amp;"507,""মূর্খ|ভণ্ড|প্রতার|অলস|লোভ|স্বার্থ|অক্ষম|অযোগ্য|বোকা|কৃপণ|হিংস"")),""valence-target অমিল"",""""),IF(COUNTIF($B:$B,B3507)&gt;1,""ডুপ্লিকেট"",""""))"),"")</f>
        <v/>
      </c>
      <c r="Q3507" s="5" t="str">
        <f t="shared" si="1"/>
        <v>২ পরে</v>
      </c>
    </row>
    <row r="3508">
      <c r="A3508" s="4">
        <v>1322.0</v>
      </c>
      <c r="B3508" s="2" t="s">
        <v>14035</v>
      </c>
      <c r="C3508" s="2" t="s">
        <v>14036</v>
      </c>
      <c r="D3508" s="2" t="s">
        <v>14037</v>
      </c>
      <c r="E3508" s="2" t="s">
        <v>14038</v>
      </c>
      <c r="F3508" s="2" t="b">
        <v>1</v>
      </c>
      <c r="G3508" s="2" t="b">
        <v>0</v>
      </c>
      <c r="H3508" s="2" t="s">
        <v>181</v>
      </c>
      <c r="I3508" s="2" t="s">
        <v>32</v>
      </c>
      <c r="J3508" s="2" t="s">
        <v>413</v>
      </c>
      <c r="K3508" s="2" t="s">
        <v>376</v>
      </c>
      <c r="L3508" s="2" t="s">
        <v>391</v>
      </c>
      <c r="M3508" s="2" t="s">
        <v>26</v>
      </c>
      <c r="N3508" s="29"/>
      <c r="O3508" s="29"/>
      <c r="P3508" s="5" t="str">
        <f>IFERROR(__xludf.DUMMYFUNCTION("TEXTJOIN("" | "",TRUE,IF(OR(D3508="""",E3508="""",I3508="""",J3508="""",H3508=""""),""ফাঁকা ঘর"",""""),IF(AND(C3508&lt;&gt;"""",D3508&lt;&gt;"""",C3508=D3508),""gloss=figurative"",""""),IF(LEN(D3508)&lt;15,""figurative ছোট"",""""),IF(AND(I3508=""Positive"",REGEXMATCH(H3"&amp;"508,""মূর্খ|ভণ্ড|প্রতার|অলস|লোভ|স্বার্থ|অক্ষম|অযোগ্য|বোকা|কৃপণ|হিংস"")),""valence-target অমিল"",""""),IF(COUNTIF($B:$B,B3508)&gt;1,""ডুপ্লিকেট"",""""))"),"")</f>
        <v/>
      </c>
      <c r="Q3508" s="5" t="str">
        <f t="shared" si="1"/>
        <v>২ পরে</v>
      </c>
    </row>
    <row r="3509">
      <c r="A3509" s="4">
        <v>1323.0</v>
      </c>
      <c r="B3509" s="2" t="s">
        <v>14039</v>
      </c>
      <c r="C3509" s="2" t="s">
        <v>14040</v>
      </c>
      <c r="D3509" s="2" t="s">
        <v>14041</v>
      </c>
      <c r="E3509" s="2" t="s">
        <v>14042</v>
      </c>
      <c r="F3509" s="2" t="b">
        <v>1</v>
      </c>
      <c r="G3509" s="2" t="b">
        <v>0</v>
      </c>
      <c r="H3509" s="2" t="s">
        <v>9380</v>
      </c>
      <c r="I3509" s="2" t="s">
        <v>22</v>
      </c>
      <c r="J3509" s="2" t="s">
        <v>59</v>
      </c>
      <c r="K3509" s="2" t="s">
        <v>376</v>
      </c>
      <c r="L3509" s="2" t="s">
        <v>391</v>
      </c>
      <c r="M3509" s="2" t="s">
        <v>26</v>
      </c>
      <c r="N3509" s="29"/>
      <c r="O3509" s="29"/>
      <c r="P3509" s="5" t="str">
        <f>IFERROR(__xludf.DUMMYFUNCTION("TEXTJOIN("" | "",TRUE,IF(OR(D3509="""",E3509="""",I3509="""",J3509="""",H3509=""""),""ফাঁকা ঘর"",""""),IF(AND(C3509&lt;&gt;"""",D3509&lt;&gt;"""",C3509=D3509),""gloss=figurative"",""""),IF(LEN(D3509)&lt;15,""figurative ছোট"",""""),IF(AND(I3509=""Positive"",REGEXMATCH(H3"&amp;"509,""মূর্খ|ভণ্ড|প্রতার|অলস|লোভ|স্বার্থ|অক্ষম|অযোগ্য|বোকা|কৃপণ|হিংস"")),""valence-target অমিল"",""""),IF(COUNTIF($B:$B,B3509)&gt;1,""ডুপ্লিকেট"",""""))"),"")</f>
        <v/>
      </c>
      <c r="Q3509" s="5" t="str">
        <f t="shared" si="1"/>
        <v>২ পরে</v>
      </c>
    </row>
    <row r="3510">
      <c r="A3510" s="4">
        <v>1324.0</v>
      </c>
      <c r="B3510" s="2" t="s">
        <v>14043</v>
      </c>
      <c r="C3510" s="2" t="s">
        <v>14044</v>
      </c>
      <c r="D3510" s="2" t="s">
        <v>14045</v>
      </c>
      <c r="E3510" s="2" t="s">
        <v>14046</v>
      </c>
      <c r="F3510" s="2" t="b">
        <v>1</v>
      </c>
      <c r="G3510" s="2" t="b">
        <v>1</v>
      </c>
      <c r="H3510" s="2" t="s">
        <v>14047</v>
      </c>
      <c r="I3510" s="2" t="s">
        <v>32</v>
      </c>
      <c r="J3510" s="2" t="s">
        <v>436</v>
      </c>
      <c r="K3510" s="2" t="s">
        <v>376</v>
      </c>
      <c r="L3510" s="2" t="s">
        <v>391</v>
      </c>
      <c r="M3510" s="2" t="s">
        <v>26</v>
      </c>
      <c r="N3510" s="29"/>
      <c r="O3510" s="29"/>
      <c r="P3510" s="5" t="str">
        <f>IFERROR(__xludf.DUMMYFUNCTION("TEXTJOIN("" | "",TRUE,IF(OR(D3510="""",E3510="""",I3510="""",J3510="""",H3510=""""),""ফাঁকা ঘর"",""""),IF(AND(C3510&lt;&gt;"""",D3510&lt;&gt;"""",C3510=D3510),""gloss=figurative"",""""),IF(LEN(D3510)&lt;15,""figurative ছোট"",""""),IF(AND(I3510=""Positive"",REGEXMATCH(H3"&amp;"510,""মূর্খ|ভণ্ড|প্রতার|অলস|লোভ|স্বার্থ|অক্ষম|অযোগ্য|বোকা|কৃপণ|হিংস"")),""valence-target অমিল"",""""),IF(COUNTIF($B:$B,B3510)&gt;1,""ডুপ্লিকেট"",""""))"),"")</f>
        <v/>
      </c>
      <c r="Q3510" s="5" t="str">
        <f t="shared" si="1"/>
        <v>২ পরে</v>
      </c>
    </row>
    <row r="3511">
      <c r="A3511" s="4">
        <v>1325.0</v>
      </c>
      <c r="B3511" s="2" t="s">
        <v>14048</v>
      </c>
      <c r="C3511" s="2" t="s">
        <v>14049</v>
      </c>
      <c r="D3511" s="2" t="s">
        <v>14050</v>
      </c>
      <c r="E3511" s="2" t="s">
        <v>14051</v>
      </c>
      <c r="F3511" s="2" t="b">
        <v>1</v>
      </c>
      <c r="G3511" s="2" t="b">
        <v>0</v>
      </c>
      <c r="H3511" s="2" t="s">
        <v>37</v>
      </c>
      <c r="I3511" s="2" t="s">
        <v>32</v>
      </c>
      <c r="J3511" s="2" t="s">
        <v>964</v>
      </c>
      <c r="K3511" s="2" t="s">
        <v>376</v>
      </c>
      <c r="L3511" s="2" t="s">
        <v>391</v>
      </c>
      <c r="M3511" s="2" t="s">
        <v>26</v>
      </c>
      <c r="N3511" s="29"/>
      <c r="O3511" s="29"/>
      <c r="P3511" s="5" t="str">
        <f>IFERROR(__xludf.DUMMYFUNCTION("TEXTJOIN("" | "",TRUE,IF(OR(D3511="""",E3511="""",I3511="""",J3511="""",H3511=""""),""ফাঁকা ঘর"",""""),IF(AND(C3511&lt;&gt;"""",D3511&lt;&gt;"""",C3511=D3511),""gloss=figurative"",""""),IF(LEN(D3511)&lt;15,""figurative ছোট"",""""),IF(AND(I3511=""Positive"",REGEXMATCH(H3"&amp;"511,""মূর্খ|ভণ্ড|প্রতার|অলস|লোভ|স্বার্থ|অক্ষম|অযোগ্য|বোকা|কৃপণ|হিংস"")),""valence-target অমিল"",""""),IF(COUNTIF($B:$B,B3511)&gt;1,""ডুপ্লিকেট"",""""))"),"")</f>
        <v/>
      </c>
      <c r="Q3511" s="5" t="str">
        <f t="shared" si="1"/>
        <v>২ পরে</v>
      </c>
    </row>
    <row r="3512">
      <c r="A3512" s="4">
        <v>1326.0</v>
      </c>
      <c r="B3512" s="2" t="s">
        <v>14052</v>
      </c>
      <c r="C3512" s="2" t="s">
        <v>14053</v>
      </c>
      <c r="D3512" s="2" t="s">
        <v>14054</v>
      </c>
      <c r="E3512" s="2" t="s">
        <v>14055</v>
      </c>
      <c r="F3512" s="2" t="b">
        <v>1</v>
      </c>
      <c r="G3512" s="2" t="b">
        <v>0</v>
      </c>
      <c r="H3512" s="2" t="s">
        <v>14056</v>
      </c>
      <c r="I3512" s="2" t="s">
        <v>22</v>
      </c>
      <c r="J3512" s="2" t="s">
        <v>123</v>
      </c>
      <c r="K3512" s="2" t="s">
        <v>376</v>
      </c>
      <c r="L3512" s="2" t="s">
        <v>391</v>
      </c>
      <c r="M3512" s="2" t="s">
        <v>26</v>
      </c>
      <c r="N3512" s="29"/>
      <c r="O3512" s="29"/>
      <c r="P3512" s="5" t="str">
        <f>IFERROR(__xludf.DUMMYFUNCTION("TEXTJOIN("" | "",TRUE,IF(OR(D3512="""",E3512="""",I3512="""",J3512="""",H3512=""""),""ফাঁকা ঘর"",""""),IF(AND(C3512&lt;&gt;"""",D3512&lt;&gt;"""",C3512=D3512),""gloss=figurative"",""""),IF(LEN(D3512)&lt;15,""figurative ছোট"",""""),IF(AND(I3512=""Positive"",REGEXMATCH(H3"&amp;"512,""মূর্খ|ভণ্ড|প্রতার|অলস|লোভ|স্বার্থ|অক্ষম|অযোগ্য|বোকা|কৃপণ|হিংস"")),""valence-target অমিল"",""""),IF(COUNTIF($B:$B,B3512)&gt;1,""ডুপ্লিকেট"",""""))"),"")</f>
        <v/>
      </c>
      <c r="Q3512" s="5" t="str">
        <f t="shared" si="1"/>
        <v>২ পরে</v>
      </c>
    </row>
    <row r="3513">
      <c r="A3513" s="4">
        <v>1327.0</v>
      </c>
      <c r="B3513" s="2" t="s">
        <v>14057</v>
      </c>
      <c r="C3513" s="2" t="s">
        <v>14058</v>
      </c>
      <c r="D3513" s="2" t="s">
        <v>14059</v>
      </c>
      <c r="E3513" s="2" t="s">
        <v>14060</v>
      </c>
      <c r="F3513" s="2" t="b">
        <v>1</v>
      </c>
      <c r="G3513" s="2" t="b">
        <v>0</v>
      </c>
      <c r="H3513" s="2" t="s">
        <v>8809</v>
      </c>
      <c r="I3513" s="2" t="s">
        <v>49</v>
      </c>
      <c r="J3513" s="2" t="s">
        <v>123</v>
      </c>
      <c r="K3513" s="2" t="s">
        <v>376</v>
      </c>
      <c r="L3513" s="2" t="s">
        <v>391</v>
      </c>
      <c r="M3513" s="2" t="s">
        <v>26</v>
      </c>
      <c r="N3513" s="29"/>
      <c r="O3513" s="29"/>
      <c r="P3513" s="5" t="str">
        <f>IFERROR(__xludf.DUMMYFUNCTION("TEXTJOIN("" | "",TRUE,IF(OR(D3513="""",E3513="""",I3513="""",J3513="""",H3513=""""),""ফাঁকা ঘর"",""""),IF(AND(C3513&lt;&gt;"""",D3513&lt;&gt;"""",C3513=D3513),""gloss=figurative"",""""),IF(LEN(D3513)&lt;15,""figurative ছোট"",""""),IF(AND(I3513=""Positive"",REGEXMATCH(H3"&amp;"513,""মূর্খ|ভণ্ড|প্রতার|অলস|লোভ|স্বার্থ|অক্ষম|অযোগ্য|বোকা|কৃপণ|হিংস"")),""valence-target অমিল"",""""),IF(COUNTIF($B:$B,B3513)&gt;1,""ডুপ্লিকেট"",""""))"),"")</f>
        <v/>
      </c>
      <c r="Q3513" s="5" t="str">
        <f t="shared" si="1"/>
        <v>২ পরে</v>
      </c>
    </row>
    <row r="3514">
      <c r="A3514" s="4">
        <v>1328.0</v>
      </c>
      <c r="B3514" s="2" t="s">
        <v>14061</v>
      </c>
      <c r="C3514" s="2" t="s">
        <v>14062</v>
      </c>
      <c r="D3514" s="2" t="s">
        <v>14063</v>
      </c>
      <c r="E3514" s="2" t="s">
        <v>14064</v>
      </c>
      <c r="F3514" s="2" t="b">
        <v>1</v>
      </c>
      <c r="G3514" s="2" t="b">
        <v>1</v>
      </c>
      <c r="H3514" s="2" t="s">
        <v>14065</v>
      </c>
      <c r="I3514" s="2" t="s">
        <v>32</v>
      </c>
      <c r="J3514" s="2" t="s">
        <v>1259</v>
      </c>
      <c r="K3514" s="2" t="s">
        <v>376</v>
      </c>
      <c r="L3514" s="2" t="s">
        <v>391</v>
      </c>
      <c r="M3514" s="2" t="s">
        <v>26</v>
      </c>
      <c r="N3514" s="29"/>
      <c r="O3514" s="29"/>
      <c r="P3514" s="5" t="str">
        <f>IFERROR(__xludf.DUMMYFUNCTION("TEXTJOIN("" | "",TRUE,IF(OR(D3514="""",E3514="""",I3514="""",J3514="""",H3514=""""),""ফাঁকা ঘর"",""""),IF(AND(C3514&lt;&gt;"""",D3514&lt;&gt;"""",C3514=D3514),""gloss=figurative"",""""),IF(LEN(D3514)&lt;15,""figurative ছোট"",""""),IF(AND(I3514=""Positive"",REGEXMATCH(H3"&amp;"514,""মূর্খ|ভণ্ড|প্রতার|অলস|লোভ|স্বার্থ|অক্ষম|অযোগ্য|বোকা|কৃপণ|হিংস"")),""valence-target অমিল"",""""),IF(COUNTIF($B:$B,B3514)&gt;1,""ডুপ্লিকেট"",""""))"),"")</f>
        <v/>
      </c>
      <c r="Q3514" s="5" t="str">
        <f t="shared" si="1"/>
        <v>২ পরে</v>
      </c>
    </row>
    <row r="3515">
      <c r="A3515" s="4">
        <v>1329.0</v>
      </c>
      <c r="B3515" s="2" t="s">
        <v>14066</v>
      </c>
      <c r="C3515" s="2" t="s">
        <v>14067</v>
      </c>
      <c r="D3515" s="2" t="s">
        <v>14068</v>
      </c>
      <c r="E3515" s="2" t="s">
        <v>14069</v>
      </c>
      <c r="F3515" s="2" t="b">
        <v>1</v>
      </c>
      <c r="G3515" s="2" t="b">
        <v>0</v>
      </c>
      <c r="H3515" s="2" t="s">
        <v>13936</v>
      </c>
      <c r="I3515" s="2" t="s">
        <v>32</v>
      </c>
      <c r="J3515" s="2" t="s">
        <v>300</v>
      </c>
      <c r="K3515" s="2" t="s">
        <v>376</v>
      </c>
      <c r="L3515" s="2" t="s">
        <v>391</v>
      </c>
      <c r="M3515" s="2" t="s">
        <v>26</v>
      </c>
      <c r="N3515" s="29"/>
      <c r="O3515" s="29"/>
      <c r="P3515" s="5" t="str">
        <f>IFERROR(__xludf.DUMMYFUNCTION("TEXTJOIN("" | "",TRUE,IF(OR(D3515="""",E3515="""",I3515="""",J3515="""",H3515=""""),""ফাঁকা ঘর"",""""),IF(AND(C3515&lt;&gt;"""",D3515&lt;&gt;"""",C3515=D3515),""gloss=figurative"",""""),IF(LEN(D3515)&lt;15,""figurative ছোট"",""""),IF(AND(I3515=""Positive"",REGEXMATCH(H3"&amp;"515,""মূর্খ|ভণ্ড|প্রতার|অলস|লোভ|স্বার্থ|অক্ষম|অযোগ্য|বোকা|কৃপণ|হিংস"")),""valence-target অমিল"",""""),IF(COUNTIF($B:$B,B3515)&gt;1,""ডুপ্লিকেট"",""""))"),"")</f>
        <v/>
      </c>
      <c r="Q3515" s="5" t="str">
        <f t="shared" si="1"/>
        <v>২ পরে</v>
      </c>
    </row>
    <row r="3516">
      <c r="A3516" s="4">
        <v>1330.0</v>
      </c>
      <c r="B3516" s="2" t="s">
        <v>14070</v>
      </c>
      <c r="C3516" s="2" t="s">
        <v>14071</v>
      </c>
      <c r="D3516" s="2" t="s">
        <v>14072</v>
      </c>
      <c r="E3516" s="2" t="s">
        <v>14073</v>
      </c>
      <c r="F3516" s="2" t="b">
        <v>1</v>
      </c>
      <c r="G3516" s="2" t="b">
        <v>0</v>
      </c>
      <c r="H3516" s="2" t="s">
        <v>14074</v>
      </c>
      <c r="I3516" s="2" t="s">
        <v>32</v>
      </c>
      <c r="J3516" s="2" t="s">
        <v>1008</v>
      </c>
      <c r="K3516" s="2" t="s">
        <v>376</v>
      </c>
      <c r="L3516" s="2" t="s">
        <v>391</v>
      </c>
      <c r="M3516" s="2" t="s">
        <v>26</v>
      </c>
      <c r="N3516" s="29"/>
      <c r="O3516" s="29"/>
      <c r="P3516" s="5" t="str">
        <f>IFERROR(__xludf.DUMMYFUNCTION("TEXTJOIN("" | "",TRUE,IF(OR(D3516="""",E3516="""",I3516="""",J3516="""",H3516=""""),""ফাঁকা ঘর"",""""),IF(AND(C3516&lt;&gt;"""",D3516&lt;&gt;"""",C3516=D3516),""gloss=figurative"",""""),IF(LEN(D3516)&lt;15,""figurative ছোট"",""""),IF(AND(I3516=""Positive"",REGEXMATCH(H3"&amp;"516,""মূর্খ|ভণ্ড|প্রতার|অলস|লোভ|স্বার্থ|অক্ষম|অযোগ্য|বোকা|কৃপণ|হিংস"")),""valence-target অমিল"",""""),IF(COUNTIF($B:$B,B3516)&gt;1,""ডুপ্লিকেট"",""""))"),"")</f>
        <v/>
      </c>
      <c r="Q3516" s="5" t="str">
        <f t="shared" si="1"/>
        <v>২ পরে</v>
      </c>
    </row>
    <row r="3517">
      <c r="A3517" s="4">
        <v>1331.0</v>
      </c>
      <c r="B3517" s="2" t="s">
        <v>14075</v>
      </c>
      <c r="C3517" s="2" t="s">
        <v>14076</v>
      </c>
      <c r="D3517" s="2" t="s">
        <v>14077</v>
      </c>
      <c r="E3517" s="2" t="s">
        <v>14078</v>
      </c>
      <c r="F3517" s="2" t="b">
        <v>1</v>
      </c>
      <c r="G3517" s="2" t="b">
        <v>0</v>
      </c>
      <c r="H3517" s="2" t="s">
        <v>37</v>
      </c>
      <c r="I3517" s="2" t="s">
        <v>32</v>
      </c>
      <c r="J3517" s="2" t="s">
        <v>1775</v>
      </c>
      <c r="K3517" s="2" t="s">
        <v>376</v>
      </c>
      <c r="L3517" s="2" t="s">
        <v>391</v>
      </c>
      <c r="M3517" s="2" t="s">
        <v>26</v>
      </c>
      <c r="N3517" s="29"/>
      <c r="O3517" s="29"/>
      <c r="P3517" s="5" t="str">
        <f>IFERROR(__xludf.DUMMYFUNCTION("TEXTJOIN("" | "",TRUE,IF(OR(D3517="""",E3517="""",I3517="""",J3517="""",H3517=""""),""ফাঁকা ঘর"",""""),IF(AND(C3517&lt;&gt;"""",D3517&lt;&gt;"""",C3517=D3517),""gloss=figurative"",""""),IF(LEN(D3517)&lt;15,""figurative ছোট"",""""),IF(AND(I3517=""Positive"",REGEXMATCH(H3"&amp;"517,""মূর্খ|ভণ্ড|প্রতার|অলস|লোভ|স্বার্থ|অক্ষম|অযোগ্য|বোকা|কৃপণ|হিংস"")),""valence-target অমিল"",""""),IF(COUNTIF($B:$B,B3517)&gt;1,""ডুপ্লিকেট"",""""))"),"")</f>
        <v/>
      </c>
      <c r="Q3517" s="5" t="str">
        <f t="shared" si="1"/>
        <v>২ পরে</v>
      </c>
    </row>
    <row r="3518">
      <c r="A3518" s="4">
        <v>1332.0</v>
      </c>
      <c r="B3518" s="2" t="s">
        <v>14079</v>
      </c>
      <c r="C3518" s="2" t="s">
        <v>14080</v>
      </c>
      <c r="D3518" s="2" t="s">
        <v>14081</v>
      </c>
      <c r="E3518" s="2" t="s">
        <v>14082</v>
      </c>
      <c r="F3518" s="2" t="b">
        <v>1</v>
      </c>
      <c r="G3518" s="2" t="b">
        <v>0</v>
      </c>
      <c r="H3518" s="2" t="s">
        <v>37</v>
      </c>
      <c r="I3518" s="2" t="s">
        <v>32</v>
      </c>
      <c r="J3518" s="2" t="s">
        <v>13060</v>
      </c>
      <c r="K3518" s="2" t="s">
        <v>376</v>
      </c>
      <c r="L3518" s="2" t="s">
        <v>391</v>
      </c>
      <c r="M3518" s="2" t="s">
        <v>26</v>
      </c>
      <c r="N3518" s="29"/>
      <c r="O3518" s="29"/>
      <c r="P3518" s="5" t="str">
        <f>IFERROR(__xludf.DUMMYFUNCTION("TEXTJOIN("" | "",TRUE,IF(OR(D3518="""",E3518="""",I3518="""",J3518="""",H3518=""""),""ফাঁকা ঘর"",""""),IF(AND(C3518&lt;&gt;"""",D3518&lt;&gt;"""",C3518=D3518),""gloss=figurative"",""""),IF(LEN(D3518)&lt;15,""figurative ছোট"",""""),IF(AND(I3518=""Positive"",REGEXMATCH(H3"&amp;"518,""মূর্খ|ভণ্ড|প্রতার|অলস|লোভ|স্বার্থ|অক্ষম|অযোগ্য|বোকা|কৃপণ|হিংস"")),""valence-target অমিল"",""""),IF(COUNTIF($B:$B,B3518)&gt;1,""ডুপ্লিকেট"",""""))"),"")</f>
        <v/>
      </c>
      <c r="Q3518" s="5" t="str">
        <f t="shared" si="1"/>
        <v>২ পরে</v>
      </c>
    </row>
    <row r="3519">
      <c r="A3519" s="4">
        <v>1333.0</v>
      </c>
      <c r="B3519" s="2" t="s">
        <v>14083</v>
      </c>
      <c r="C3519" s="2" t="s">
        <v>14084</v>
      </c>
      <c r="D3519" s="2" t="s">
        <v>14085</v>
      </c>
      <c r="E3519" s="2" t="s">
        <v>14086</v>
      </c>
      <c r="F3519" s="2" t="b">
        <v>1</v>
      </c>
      <c r="G3519" s="2" t="b">
        <v>0</v>
      </c>
      <c r="H3519" s="2" t="s">
        <v>77</v>
      </c>
      <c r="I3519" s="2" t="s">
        <v>22</v>
      </c>
      <c r="J3519" s="2" t="s">
        <v>59</v>
      </c>
      <c r="K3519" s="2" t="s">
        <v>376</v>
      </c>
      <c r="L3519" s="2" t="s">
        <v>391</v>
      </c>
      <c r="M3519" s="2" t="s">
        <v>26</v>
      </c>
      <c r="N3519" s="29"/>
      <c r="O3519" s="29"/>
      <c r="P3519" s="5" t="str">
        <f>IFERROR(__xludf.DUMMYFUNCTION("TEXTJOIN("" | "",TRUE,IF(OR(D3519="""",E3519="""",I3519="""",J3519="""",H3519=""""),""ফাঁকা ঘর"",""""),IF(AND(C3519&lt;&gt;"""",D3519&lt;&gt;"""",C3519=D3519),""gloss=figurative"",""""),IF(LEN(D3519)&lt;15,""figurative ছোট"",""""),IF(AND(I3519=""Positive"",REGEXMATCH(H3"&amp;"519,""মূর্খ|ভণ্ড|প্রতার|অলস|লোভ|স্বার্থ|অক্ষম|অযোগ্য|বোকা|কৃপণ|হিংস"")),""valence-target অমিল"",""""),IF(COUNTIF($B:$B,B3519)&gt;1,""ডুপ্লিকেট"",""""))"),"")</f>
        <v/>
      </c>
      <c r="Q3519" s="5" t="str">
        <f t="shared" si="1"/>
        <v>২ পরে</v>
      </c>
    </row>
    <row r="3520">
      <c r="A3520" s="4">
        <v>1334.0</v>
      </c>
      <c r="B3520" s="2" t="s">
        <v>14087</v>
      </c>
      <c r="C3520" s="2" t="s">
        <v>14088</v>
      </c>
      <c r="D3520" s="2" t="s">
        <v>14089</v>
      </c>
      <c r="E3520" s="2" t="s">
        <v>14090</v>
      </c>
      <c r="F3520" s="2" t="b">
        <v>1</v>
      </c>
      <c r="G3520" s="2" t="b">
        <v>0</v>
      </c>
      <c r="H3520" s="2" t="s">
        <v>37</v>
      </c>
      <c r="I3520" s="2" t="s">
        <v>32</v>
      </c>
      <c r="J3520" s="2" t="s">
        <v>13060</v>
      </c>
      <c r="K3520" s="2" t="s">
        <v>376</v>
      </c>
      <c r="L3520" s="2" t="s">
        <v>391</v>
      </c>
      <c r="M3520" s="2" t="s">
        <v>26</v>
      </c>
      <c r="N3520" s="29"/>
      <c r="O3520" s="29"/>
      <c r="P3520" s="5" t="str">
        <f>IFERROR(__xludf.DUMMYFUNCTION("TEXTJOIN("" | "",TRUE,IF(OR(D3520="""",E3520="""",I3520="""",J3520="""",H3520=""""),""ফাঁকা ঘর"",""""),IF(AND(C3520&lt;&gt;"""",D3520&lt;&gt;"""",C3520=D3520),""gloss=figurative"",""""),IF(LEN(D3520)&lt;15,""figurative ছোট"",""""),IF(AND(I3520=""Positive"",REGEXMATCH(H3"&amp;"520,""মূর্খ|ভণ্ড|প্রতার|অলস|লোভ|স্বার্থ|অক্ষম|অযোগ্য|বোকা|কৃপণ|হিংস"")),""valence-target অমিল"",""""),IF(COUNTIF($B:$B,B3520)&gt;1,""ডুপ্লিকেট"",""""))"),"")</f>
        <v/>
      </c>
      <c r="Q3520" s="5" t="str">
        <f t="shared" si="1"/>
        <v>২ পরে</v>
      </c>
    </row>
    <row r="3521">
      <c r="A3521" s="4">
        <v>1335.0</v>
      </c>
      <c r="B3521" s="2" t="s">
        <v>14091</v>
      </c>
      <c r="C3521" s="2" t="s">
        <v>14092</v>
      </c>
      <c r="D3521" s="2" t="s">
        <v>14093</v>
      </c>
      <c r="E3521" s="2" t="s">
        <v>14094</v>
      </c>
      <c r="F3521" s="2" t="b">
        <v>1</v>
      </c>
      <c r="G3521" s="2" t="b">
        <v>0</v>
      </c>
      <c r="H3521" s="2" t="s">
        <v>9486</v>
      </c>
      <c r="I3521" s="2" t="s">
        <v>49</v>
      </c>
      <c r="J3521" s="2" t="s">
        <v>190</v>
      </c>
      <c r="K3521" s="2" t="s">
        <v>376</v>
      </c>
      <c r="L3521" s="2" t="s">
        <v>391</v>
      </c>
      <c r="M3521" s="2" t="s">
        <v>26</v>
      </c>
      <c r="N3521" s="29"/>
      <c r="O3521" s="29"/>
      <c r="P3521" s="5" t="str">
        <f>IFERROR(__xludf.DUMMYFUNCTION("TEXTJOIN("" | "",TRUE,IF(OR(D3521="""",E3521="""",I3521="""",J3521="""",H3521=""""),""ফাঁকা ঘর"",""""),IF(AND(C3521&lt;&gt;"""",D3521&lt;&gt;"""",C3521=D3521),""gloss=figurative"",""""),IF(LEN(D3521)&lt;15,""figurative ছোট"",""""),IF(AND(I3521=""Positive"",REGEXMATCH(H3"&amp;"521,""মূর্খ|ভণ্ড|প্রতার|অলস|লোভ|স্বার্থ|অক্ষম|অযোগ্য|বোকা|কৃপণ|হিংস"")),""valence-target অমিল"",""""),IF(COUNTIF($B:$B,B3521)&gt;1,""ডুপ্লিকেট"",""""))"),"")</f>
        <v/>
      </c>
      <c r="Q3521" s="5" t="str">
        <f t="shared" si="1"/>
        <v>২ পরে</v>
      </c>
    </row>
    <row r="3522">
      <c r="A3522" s="4">
        <v>1336.0</v>
      </c>
      <c r="B3522" s="2" t="s">
        <v>14095</v>
      </c>
      <c r="C3522" s="2" t="s">
        <v>14096</v>
      </c>
      <c r="D3522" s="2" t="s">
        <v>14097</v>
      </c>
      <c r="E3522" s="2" t="s">
        <v>14098</v>
      </c>
      <c r="F3522" s="2" t="b">
        <v>1</v>
      </c>
      <c r="G3522" s="2" t="b">
        <v>0</v>
      </c>
      <c r="H3522" s="2" t="s">
        <v>65</v>
      </c>
      <c r="I3522" s="2" t="s">
        <v>22</v>
      </c>
      <c r="J3522" s="2" t="s">
        <v>59</v>
      </c>
      <c r="K3522" s="2" t="s">
        <v>376</v>
      </c>
      <c r="L3522" s="2" t="s">
        <v>391</v>
      </c>
      <c r="M3522" s="2" t="s">
        <v>26</v>
      </c>
      <c r="N3522" s="29"/>
      <c r="O3522" s="29"/>
      <c r="P3522" s="5" t="str">
        <f>IFERROR(__xludf.DUMMYFUNCTION("TEXTJOIN("" | "",TRUE,IF(OR(D3522="""",E3522="""",I3522="""",J3522="""",H3522=""""),""ফাঁকা ঘর"",""""),IF(AND(C3522&lt;&gt;"""",D3522&lt;&gt;"""",C3522=D3522),""gloss=figurative"",""""),IF(LEN(D3522)&lt;15,""figurative ছোট"",""""),IF(AND(I3522=""Positive"",REGEXMATCH(H3"&amp;"522,""মূর্খ|ভণ্ড|প্রতার|অলস|লোভ|স্বার্থ|অক্ষম|অযোগ্য|বোকা|কৃপণ|হিংস"")),""valence-target অমিল"",""""),IF(COUNTIF($B:$B,B3522)&gt;1,""ডুপ্লিকেট"",""""))"),"")</f>
        <v/>
      </c>
      <c r="Q3522" s="5" t="str">
        <f t="shared" si="1"/>
        <v>২ পরে</v>
      </c>
    </row>
    <row r="3523">
      <c r="A3523" s="4">
        <v>1337.0</v>
      </c>
      <c r="B3523" s="2" t="s">
        <v>14099</v>
      </c>
      <c r="C3523" s="2" t="s">
        <v>14100</v>
      </c>
      <c r="D3523" s="2" t="s">
        <v>14101</v>
      </c>
      <c r="E3523" s="2" t="s">
        <v>14102</v>
      </c>
      <c r="F3523" s="2" t="b">
        <v>1</v>
      </c>
      <c r="G3523" s="2" t="b">
        <v>0</v>
      </c>
      <c r="H3523" s="2" t="s">
        <v>37</v>
      </c>
      <c r="I3523" s="2" t="s">
        <v>32</v>
      </c>
      <c r="J3523" s="2" t="s">
        <v>162</v>
      </c>
      <c r="K3523" s="2" t="s">
        <v>376</v>
      </c>
      <c r="L3523" s="2" t="s">
        <v>391</v>
      </c>
      <c r="M3523" s="2" t="s">
        <v>26</v>
      </c>
      <c r="N3523" s="29"/>
      <c r="O3523" s="29"/>
      <c r="P3523" s="5" t="str">
        <f>IFERROR(__xludf.DUMMYFUNCTION("TEXTJOIN("" | "",TRUE,IF(OR(D3523="""",E3523="""",I3523="""",J3523="""",H3523=""""),""ফাঁকা ঘর"",""""),IF(AND(C3523&lt;&gt;"""",D3523&lt;&gt;"""",C3523=D3523),""gloss=figurative"",""""),IF(LEN(D3523)&lt;15,""figurative ছোট"",""""),IF(AND(I3523=""Positive"",REGEXMATCH(H3"&amp;"523,""মূর্খ|ভণ্ড|প্রতার|অলস|লোভ|স্বার্থ|অক্ষম|অযোগ্য|বোকা|কৃপণ|হিংস"")),""valence-target অমিল"",""""),IF(COUNTIF($B:$B,B3523)&gt;1,""ডুপ্লিকেট"",""""))"),"")</f>
        <v/>
      </c>
      <c r="Q3523" s="5" t="str">
        <f t="shared" si="1"/>
        <v>২ পরে</v>
      </c>
    </row>
    <row r="3524">
      <c r="A3524" s="4">
        <v>1338.0</v>
      </c>
      <c r="B3524" s="2" t="s">
        <v>14103</v>
      </c>
      <c r="C3524" s="2" t="s">
        <v>14104</v>
      </c>
      <c r="D3524" s="2" t="s">
        <v>14105</v>
      </c>
      <c r="E3524" s="2" t="s">
        <v>14106</v>
      </c>
      <c r="F3524" s="2" t="b">
        <v>1</v>
      </c>
      <c r="G3524" s="2" t="b">
        <v>0</v>
      </c>
      <c r="H3524" s="2" t="s">
        <v>10361</v>
      </c>
      <c r="I3524" s="2" t="s">
        <v>32</v>
      </c>
      <c r="J3524" s="2" t="s">
        <v>162</v>
      </c>
      <c r="K3524" s="2" t="s">
        <v>376</v>
      </c>
      <c r="L3524" s="2" t="s">
        <v>391</v>
      </c>
      <c r="M3524" s="2" t="s">
        <v>26</v>
      </c>
      <c r="N3524" s="29"/>
      <c r="O3524" s="29"/>
      <c r="P3524" s="5" t="str">
        <f>IFERROR(__xludf.DUMMYFUNCTION("TEXTJOIN("" | "",TRUE,IF(OR(D3524="""",E3524="""",I3524="""",J3524="""",H3524=""""),""ফাঁকা ঘর"",""""),IF(AND(C3524&lt;&gt;"""",D3524&lt;&gt;"""",C3524=D3524),""gloss=figurative"",""""),IF(LEN(D3524)&lt;15,""figurative ছোট"",""""),IF(AND(I3524=""Positive"",REGEXMATCH(H3"&amp;"524,""মূর্খ|ভণ্ড|প্রতার|অলস|লোভ|স্বার্থ|অক্ষম|অযোগ্য|বোকা|কৃপণ|হিংস"")),""valence-target অমিল"",""""),IF(COUNTIF($B:$B,B3524)&gt;1,""ডুপ্লিকেট"",""""))"),"")</f>
        <v/>
      </c>
      <c r="Q3524" s="5" t="str">
        <f t="shared" si="1"/>
        <v>২ পরে</v>
      </c>
    </row>
    <row r="3525">
      <c r="A3525" s="4">
        <v>1339.0</v>
      </c>
      <c r="B3525" s="2" t="s">
        <v>14107</v>
      </c>
      <c r="C3525" s="2" t="s">
        <v>5734</v>
      </c>
      <c r="D3525" s="2" t="s">
        <v>14108</v>
      </c>
      <c r="E3525" s="2" t="s">
        <v>14109</v>
      </c>
      <c r="F3525" s="2" t="b">
        <v>1</v>
      </c>
      <c r="G3525" s="2" t="b">
        <v>0</v>
      </c>
      <c r="H3525" s="2" t="s">
        <v>8972</v>
      </c>
      <c r="I3525" s="2" t="s">
        <v>32</v>
      </c>
      <c r="J3525" s="2" t="s">
        <v>9183</v>
      </c>
      <c r="K3525" s="2" t="s">
        <v>376</v>
      </c>
      <c r="L3525" s="2" t="s">
        <v>391</v>
      </c>
      <c r="M3525" s="2" t="s">
        <v>26</v>
      </c>
      <c r="N3525" s="29"/>
      <c r="O3525" s="29"/>
      <c r="P3525" s="5" t="str">
        <f>IFERROR(__xludf.DUMMYFUNCTION("TEXTJOIN("" | "",TRUE,IF(OR(D3525="""",E3525="""",I3525="""",J3525="""",H3525=""""),""ফাঁকা ঘর"",""""),IF(AND(C3525&lt;&gt;"""",D3525&lt;&gt;"""",C3525=D3525),""gloss=figurative"",""""),IF(LEN(D3525)&lt;15,""figurative ছোট"",""""),IF(AND(I3525=""Positive"",REGEXMATCH(H3"&amp;"525,""মূর্খ|ভণ্ড|প্রতার|অলস|লোভ|স্বার্থ|অক্ষম|অযোগ্য|বোকা|কৃপণ|হিংস"")),""valence-target অমিল"",""""),IF(COUNTIF($B:$B,B3525)&gt;1,""ডুপ্লিকেট"",""""))"),"")</f>
        <v/>
      </c>
      <c r="Q3525" s="5" t="str">
        <f t="shared" si="1"/>
        <v>২ পরে</v>
      </c>
    </row>
    <row r="3526">
      <c r="A3526" s="4">
        <v>1340.0</v>
      </c>
      <c r="B3526" s="2" t="s">
        <v>14110</v>
      </c>
      <c r="C3526" s="2" t="s">
        <v>14111</v>
      </c>
      <c r="D3526" s="2" t="s">
        <v>14112</v>
      </c>
      <c r="E3526" s="2" t="s">
        <v>14113</v>
      </c>
      <c r="F3526" s="2" t="b">
        <v>1</v>
      </c>
      <c r="G3526" s="2" t="b">
        <v>0</v>
      </c>
      <c r="H3526" s="2" t="s">
        <v>14114</v>
      </c>
      <c r="I3526" s="2" t="s">
        <v>32</v>
      </c>
      <c r="J3526" s="2" t="s">
        <v>59</v>
      </c>
      <c r="K3526" s="2" t="s">
        <v>376</v>
      </c>
      <c r="L3526" s="2" t="s">
        <v>391</v>
      </c>
      <c r="M3526" s="2" t="s">
        <v>26</v>
      </c>
      <c r="N3526" s="29"/>
      <c r="O3526" s="29"/>
      <c r="P3526" s="5" t="str">
        <f>IFERROR(__xludf.DUMMYFUNCTION("TEXTJOIN("" | "",TRUE,IF(OR(D3526="""",E3526="""",I3526="""",J3526="""",H3526=""""),""ফাঁকা ঘর"",""""),IF(AND(C3526&lt;&gt;"""",D3526&lt;&gt;"""",C3526=D3526),""gloss=figurative"",""""),IF(LEN(D3526)&lt;15,""figurative ছোট"",""""),IF(AND(I3526=""Positive"",REGEXMATCH(H3"&amp;"526,""মূর্খ|ভণ্ড|প্রতার|অলস|লোভ|স্বার্থ|অক্ষম|অযোগ্য|বোকা|কৃপণ|হিংস"")),""valence-target অমিল"",""""),IF(COUNTIF($B:$B,B3526)&gt;1,""ডুপ্লিকেট"",""""))"),"")</f>
        <v/>
      </c>
      <c r="Q3526" s="5" t="str">
        <f t="shared" si="1"/>
        <v>২ পরে</v>
      </c>
    </row>
    <row r="3527">
      <c r="A3527" s="4">
        <v>1341.0</v>
      </c>
      <c r="B3527" s="2" t="s">
        <v>14115</v>
      </c>
      <c r="C3527" s="2" t="s">
        <v>14116</v>
      </c>
      <c r="D3527" s="2" t="s">
        <v>14117</v>
      </c>
      <c r="E3527" s="2" t="s">
        <v>14118</v>
      </c>
      <c r="F3527" s="2" t="b">
        <v>1</v>
      </c>
      <c r="G3527" s="2" t="b">
        <v>1</v>
      </c>
      <c r="H3527" s="2" t="s">
        <v>13936</v>
      </c>
      <c r="I3527" s="2" t="s">
        <v>32</v>
      </c>
      <c r="J3527" s="2" t="s">
        <v>1621</v>
      </c>
      <c r="K3527" s="2" t="s">
        <v>376</v>
      </c>
      <c r="L3527" s="2" t="s">
        <v>391</v>
      </c>
      <c r="M3527" s="2" t="s">
        <v>26</v>
      </c>
      <c r="N3527" s="29"/>
      <c r="O3527" s="29"/>
      <c r="P3527" s="5" t="str">
        <f>IFERROR(__xludf.DUMMYFUNCTION("TEXTJOIN("" | "",TRUE,IF(OR(D3527="""",E3527="""",I3527="""",J3527="""",H3527=""""),""ফাঁকা ঘর"",""""),IF(AND(C3527&lt;&gt;"""",D3527&lt;&gt;"""",C3527=D3527),""gloss=figurative"",""""),IF(LEN(D3527)&lt;15,""figurative ছোট"",""""),IF(AND(I3527=""Positive"",REGEXMATCH(H3"&amp;"527,""মূর্খ|ভণ্ড|প্রতার|অলস|লোভ|স্বার্থ|অক্ষম|অযোগ্য|বোকা|কৃপণ|হিংস"")),""valence-target অমিল"",""""),IF(COUNTIF($B:$B,B3527)&gt;1,""ডুপ্লিকেট"",""""))"),"")</f>
        <v/>
      </c>
      <c r="Q3527" s="5" t="str">
        <f t="shared" si="1"/>
        <v>২ পরে</v>
      </c>
    </row>
    <row r="3528">
      <c r="A3528" s="4">
        <v>1342.0</v>
      </c>
      <c r="B3528" s="2" t="s">
        <v>14119</v>
      </c>
      <c r="C3528" s="2" t="s">
        <v>14120</v>
      </c>
      <c r="D3528" s="2" t="s">
        <v>14121</v>
      </c>
      <c r="E3528" s="2" t="s">
        <v>14122</v>
      </c>
      <c r="F3528" s="2" t="b">
        <v>1</v>
      </c>
      <c r="G3528" s="2" t="b">
        <v>0</v>
      </c>
      <c r="H3528" s="2" t="s">
        <v>37</v>
      </c>
      <c r="I3528" s="2" t="s">
        <v>32</v>
      </c>
      <c r="J3528" s="2" t="s">
        <v>5820</v>
      </c>
      <c r="K3528" s="2" t="s">
        <v>376</v>
      </c>
      <c r="L3528" s="2" t="s">
        <v>391</v>
      </c>
      <c r="M3528" s="2" t="s">
        <v>26</v>
      </c>
      <c r="N3528" s="29"/>
      <c r="O3528" s="29"/>
      <c r="P3528" s="5" t="str">
        <f>IFERROR(__xludf.DUMMYFUNCTION("TEXTJOIN("" | "",TRUE,IF(OR(D3528="""",E3528="""",I3528="""",J3528="""",H3528=""""),""ফাঁকা ঘর"",""""),IF(AND(C3528&lt;&gt;"""",D3528&lt;&gt;"""",C3528=D3528),""gloss=figurative"",""""),IF(LEN(D3528)&lt;15,""figurative ছোট"",""""),IF(AND(I3528=""Positive"",REGEXMATCH(H3"&amp;"528,""মূর্খ|ভণ্ড|প্রতার|অলস|লোভ|স্বার্থ|অক্ষম|অযোগ্য|বোকা|কৃপণ|হিংস"")),""valence-target অমিল"",""""),IF(COUNTIF($B:$B,B3528)&gt;1,""ডুপ্লিকেট"",""""))"),"")</f>
        <v/>
      </c>
      <c r="Q3528" s="5" t="str">
        <f t="shared" si="1"/>
        <v>২ পরে</v>
      </c>
    </row>
    <row r="3529">
      <c r="A3529" s="4">
        <v>1343.0</v>
      </c>
      <c r="B3529" s="2" t="s">
        <v>14123</v>
      </c>
      <c r="C3529" s="2" t="s">
        <v>14124</v>
      </c>
      <c r="D3529" s="2" t="s">
        <v>14125</v>
      </c>
      <c r="E3529" s="2" t="s">
        <v>14126</v>
      </c>
      <c r="F3529" s="2" t="b">
        <v>1</v>
      </c>
      <c r="G3529" s="2" t="b">
        <v>0</v>
      </c>
      <c r="H3529" s="2" t="s">
        <v>11864</v>
      </c>
      <c r="I3529" s="2" t="s">
        <v>49</v>
      </c>
      <c r="J3529" s="2" t="s">
        <v>528</v>
      </c>
      <c r="K3529" s="2" t="s">
        <v>376</v>
      </c>
      <c r="L3529" s="2" t="s">
        <v>391</v>
      </c>
      <c r="M3529" s="2" t="s">
        <v>26</v>
      </c>
      <c r="N3529" s="29"/>
      <c r="O3529" s="29"/>
      <c r="P3529" s="5" t="str">
        <f>IFERROR(__xludf.DUMMYFUNCTION("TEXTJOIN("" | "",TRUE,IF(OR(D3529="""",E3529="""",I3529="""",J3529="""",H3529=""""),""ফাঁকা ঘর"",""""),IF(AND(C3529&lt;&gt;"""",D3529&lt;&gt;"""",C3529=D3529),""gloss=figurative"",""""),IF(LEN(D3529)&lt;15,""figurative ছোট"",""""),IF(AND(I3529=""Positive"",REGEXMATCH(H3"&amp;"529,""মূর্খ|ভণ্ড|প্রতার|অলস|লোভ|স্বার্থ|অক্ষম|অযোগ্য|বোকা|কৃপণ|হিংস"")),""valence-target অমিল"",""""),IF(COUNTIF($B:$B,B3529)&gt;1,""ডুপ্লিকেট"",""""))"),"")</f>
        <v/>
      </c>
      <c r="Q3529" s="5" t="str">
        <f t="shared" si="1"/>
        <v>২ পরে</v>
      </c>
    </row>
    <row r="3530">
      <c r="A3530" s="4">
        <v>1344.0</v>
      </c>
      <c r="B3530" s="2" t="s">
        <v>14127</v>
      </c>
      <c r="C3530" s="2" t="s">
        <v>14128</v>
      </c>
      <c r="D3530" s="2" t="s">
        <v>14129</v>
      </c>
      <c r="E3530" s="2" t="s">
        <v>14130</v>
      </c>
      <c r="F3530" s="2" t="b">
        <v>1</v>
      </c>
      <c r="G3530" s="2" t="b">
        <v>0</v>
      </c>
      <c r="H3530" s="2" t="s">
        <v>8760</v>
      </c>
      <c r="I3530" s="2" t="s">
        <v>22</v>
      </c>
      <c r="J3530" s="2" t="s">
        <v>59</v>
      </c>
      <c r="K3530" s="2" t="s">
        <v>376</v>
      </c>
      <c r="L3530" s="2" t="s">
        <v>391</v>
      </c>
      <c r="M3530" s="2" t="s">
        <v>26</v>
      </c>
      <c r="N3530" s="29"/>
      <c r="O3530" s="29"/>
      <c r="P3530" s="5" t="str">
        <f>IFERROR(__xludf.DUMMYFUNCTION("TEXTJOIN("" | "",TRUE,IF(OR(D3530="""",E3530="""",I3530="""",J3530="""",H3530=""""),""ফাঁকা ঘর"",""""),IF(AND(C3530&lt;&gt;"""",D3530&lt;&gt;"""",C3530=D3530),""gloss=figurative"",""""),IF(LEN(D3530)&lt;15,""figurative ছোট"",""""),IF(AND(I3530=""Positive"",REGEXMATCH(H3"&amp;"530,""মূর্খ|ভণ্ড|প্রতার|অলস|লোভ|স্বার্থ|অক্ষম|অযোগ্য|বোকা|কৃপণ|হিংস"")),""valence-target অমিল"",""""),IF(COUNTIF($B:$B,B3530)&gt;1,""ডুপ্লিকেট"",""""))"),"")</f>
        <v/>
      </c>
      <c r="Q3530" s="5" t="str">
        <f t="shared" si="1"/>
        <v>২ পরে</v>
      </c>
    </row>
    <row r="3531">
      <c r="A3531" s="4">
        <v>1345.0</v>
      </c>
      <c r="B3531" s="2" t="s">
        <v>14131</v>
      </c>
      <c r="C3531" s="2" t="s">
        <v>14132</v>
      </c>
      <c r="D3531" s="2" t="s">
        <v>14133</v>
      </c>
      <c r="E3531" s="2" t="s">
        <v>14134</v>
      </c>
      <c r="F3531" s="2" t="b">
        <v>1</v>
      </c>
      <c r="G3531" s="2" t="b">
        <v>0</v>
      </c>
      <c r="H3531" s="2" t="s">
        <v>13936</v>
      </c>
      <c r="I3531" s="2" t="s">
        <v>32</v>
      </c>
      <c r="J3531" s="2" t="s">
        <v>1621</v>
      </c>
      <c r="K3531" s="2" t="s">
        <v>376</v>
      </c>
      <c r="L3531" s="2" t="s">
        <v>391</v>
      </c>
      <c r="M3531" s="2" t="s">
        <v>26</v>
      </c>
      <c r="N3531" s="29"/>
      <c r="O3531" s="29"/>
      <c r="P3531" s="5" t="str">
        <f>IFERROR(__xludf.DUMMYFUNCTION("TEXTJOIN("" | "",TRUE,IF(OR(D3531="""",E3531="""",I3531="""",J3531="""",H3531=""""),""ফাঁকা ঘর"",""""),IF(AND(C3531&lt;&gt;"""",D3531&lt;&gt;"""",C3531=D3531),""gloss=figurative"",""""),IF(LEN(D3531)&lt;15,""figurative ছোট"",""""),IF(AND(I3531=""Positive"",REGEXMATCH(H3"&amp;"531,""মূর্খ|ভণ্ড|প্রতার|অলস|লোভ|স্বার্থ|অক্ষম|অযোগ্য|বোকা|কৃপণ|হিংস"")),""valence-target অমিল"",""""),IF(COUNTIF($B:$B,B3531)&gt;1,""ডুপ্লিকেট"",""""))"),"")</f>
        <v/>
      </c>
      <c r="Q3531" s="5" t="str">
        <f t="shared" si="1"/>
        <v>২ পরে</v>
      </c>
    </row>
    <row r="3532">
      <c r="A3532" s="4">
        <v>1346.0</v>
      </c>
      <c r="B3532" s="2" t="s">
        <v>14135</v>
      </c>
      <c r="C3532" s="2" t="s">
        <v>14136</v>
      </c>
      <c r="D3532" s="2" t="s">
        <v>14137</v>
      </c>
      <c r="E3532" s="2" t="s">
        <v>14138</v>
      </c>
      <c r="F3532" s="2" t="b">
        <v>1</v>
      </c>
      <c r="G3532" s="2" t="b">
        <v>0</v>
      </c>
      <c r="H3532" s="2" t="s">
        <v>11255</v>
      </c>
      <c r="I3532" s="2" t="s">
        <v>32</v>
      </c>
      <c r="J3532" s="2" t="s">
        <v>142</v>
      </c>
      <c r="K3532" s="2" t="s">
        <v>376</v>
      </c>
      <c r="L3532" s="2" t="s">
        <v>391</v>
      </c>
      <c r="M3532" s="2" t="s">
        <v>26</v>
      </c>
      <c r="N3532" s="29"/>
      <c r="O3532" s="29"/>
      <c r="P3532" s="5" t="str">
        <f>IFERROR(__xludf.DUMMYFUNCTION("TEXTJOIN("" | "",TRUE,IF(OR(D3532="""",E3532="""",I3532="""",J3532="""",H3532=""""),""ফাঁকা ঘর"",""""),IF(AND(C3532&lt;&gt;"""",D3532&lt;&gt;"""",C3532=D3532),""gloss=figurative"",""""),IF(LEN(D3532)&lt;15,""figurative ছোট"",""""),IF(AND(I3532=""Positive"",REGEXMATCH(H3"&amp;"532,""মূর্খ|ভণ্ড|প্রতার|অলস|লোভ|স্বার্থ|অক্ষম|অযোগ্য|বোকা|কৃপণ|হিংস"")),""valence-target অমিল"",""""),IF(COUNTIF($B:$B,B3532)&gt;1,""ডুপ্লিকেট"",""""))"),"")</f>
        <v/>
      </c>
      <c r="Q3532" s="5" t="str">
        <f t="shared" si="1"/>
        <v>২ পরে</v>
      </c>
    </row>
    <row r="3533">
      <c r="A3533" s="4">
        <v>1347.0</v>
      </c>
      <c r="B3533" s="2" t="s">
        <v>14139</v>
      </c>
      <c r="C3533" s="2" t="s">
        <v>14140</v>
      </c>
      <c r="D3533" s="2" t="s">
        <v>14141</v>
      </c>
      <c r="E3533" s="2" t="s">
        <v>14142</v>
      </c>
      <c r="F3533" s="2" t="b">
        <v>1</v>
      </c>
      <c r="G3533" s="2" t="b">
        <v>0</v>
      </c>
      <c r="H3533" s="2" t="s">
        <v>14143</v>
      </c>
      <c r="I3533" s="2" t="s">
        <v>22</v>
      </c>
      <c r="J3533" s="2" t="s">
        <v>169</v>
      </c>
      <c r="K3533" s="2" t="s">
        <v>376</v>
      </c>
      <c r="L3533" s="2" t="s">
        <v>391</v>
      </c>
      <c r="M3533" s="2" t="s">
        <v>26</v>
      </c>
      <c r="N3533" s="29"/>
      <c r="O3533" s="29"/>
      <c r="P3533" s="5" t="str">
        <f>IFERROR(__xludf.DUMMYFUNCTION("TEXTJOIN("" | "",TRUE,IF(OR(D3533="""",E3533="""",I3533="""",J3533="""",H3533=""""),""ফাঁকা ঘর"",""""),IF(AND(C3533&lt;&gt;"""",D3533&lt;&gt;"""",C3533=D3533),""gloss=figurative"",""""),IF(LEN(D3533)&lt;15,""figurative ছোট"",""""),IF(AND(I3533=""Positive"",REGEXMATCH(H3"&amp;"533,""মূর্খ|ভণ্ড|প্রতার|অলস|লোভ|স্বার্থ|অক্ষম|অযোগ্য|বোকা|কৃপণ|হিংস"")),""valence-target অমিল"",""""),IF(COUNTIF($B:$B,B3533)&gt;1,""ডুপ্লিকেট"",""""))"),"")</f>
        <v/>
      </c>
      <c r="Q3533" s="5" t="str">
        <f t="shared" si="1"/>
        <v>২ পরে</v>
      </c>
    </row>
    <row r="3534">
      <c r="A3534" s="4">
        <v>1348.0</v>
      </c>
      <c r="B3534" s="2" t="s">
        <v>14144</v>
      </c>
      <c r="C3534" s="2" t="s">
        <v>14145</v>
      </c>
      <c r="D3534" s="2" t="s">
        <v>14146</v>
      </c>
      <c r="E3534" s="2" t="s">
        <v>14147</v>
      </c>
      <c r="F3534" s="2" t="b">
        <v>1</v>
      </c>
      <c r="G3534" s="2" t="b">
        <v>0</v>
      </c>
      <c r="H3534" s="2" t="s">
        <v>14143</v>
      </c>
      <c r="I3534" s="2" t="s">
        <v>32</v>
      </c>
      <c r="J3534" s="2" t="s">
        <v>169</v>
      </c>
      <c r="K3534" s="2" t="s">
        <v>376</v>
      </c>
      <c r="L3534" s="2" t="s">
        <v>391</v>
      </c>
      <c r="M3534" s="2" t="s">
        <v>26</v>
      </c>
      <c r="N3534" s="29"/>
      <c r="O3534" s="29"/>
      <c r="P3534" s="5" t="str">
        <f>IFERROR(__xludf.DUMMYFUNCTION("TEXTJOIN("" | "",TRUE,IF(OR(D3534="""",E3534="""",I3534="""",J3534="""",H3534=""""),""ফাঁকা ঘর"",""""),IF(AND(C3534&lt;&gt;"""",D3534&lt;&gt;"""",C3534=D3534),""gloss=figurative"",""""),IF(LEN(D3534)&lt;15,""figurative ছোট"",""""),IF(AND(I3534=""Positive"",REGEXMATCH(H3"&amp;"534,""মূর্খ|ভণ্ড|প্রতার|অলস|লোভ|স্বার্থ|অক্ষম|অযোগ্য|বোকা|কৃপণ|হিংস"")),""valence-target অমিল"",""""),IF(COUNTIF($B:$B,B3534)&gt;1,""ডুপ্লিকেট"",""""))"),"")</f>
        <v/>
      </c>
      <c r="Q3534" s="5" t="str">
        <f t="shared" si="1"/>
        <v>২ পরে</v>
      </c>
    </row>
    <row r="3535">
      <c r="A3535" s="4">
        <v>1349.0</v>
      </c>
      <c r="B3535" s="2" t="s">
        <v>14148</v>
      </c>
      <c r="C3535" s="2" t="s">
        <v>14149</v>
      </c>
      <c r="D3535" s="2" t="s">
        <v>14150</v>
      </c>
      <c r="E3535" s="2" t="s">
        <v>14151</v>
      </c>
      <c r="F3535" s="2" t="b">
        <v>1</v>
      </c>
      <c r="G3535" s="2" t="b">
        <v>0</v>
      </c>
      <c r="H3535" s="2" t="s">
        <v>14143</v>
      </c>
      <c r="I3535" s="2" t="s">
        <v>49</v>
      </c>
      <c r="J3535" s="2" t="s">
        <v>169</v>
      </c>
      <c r="K3535" s="2" t="s">
        <v>376</v>
      </c>
      <c r="L3535" s="2" t="s">
        <v>391</v>
      </c>
      <c r="M3535" s="2" t="s">
        <v>26</v>
      </c>
      <c r="N3535" s="29"/>
      <c r="O3535" s="29"/>
      <c r="P3535" s="5" t="str">
        <f>IFERROR(__xludf.DUMMYFUNCTION("TEXTJOIN("" | "",TRUE,IF(OR(D3535="""",E3535="""",I3535="""",J3535="""",H3535=""""),""ফাঁকা ঘর"",""""),IF(AND(C3535&lt;&gt;"""",D3535&lt;&gt;"""",C3535=D3535),""gloss=figurative"",""""),IF(LEN(D3535)&lt;15,""figurative ছোট"",""""),IF(AND(I3535=""Positive"",REGEXMATCH(H3"&amp;"535,""মূর্খ|ভণ্ড|প্রতার|অলস|লোভ|স্বার্থ|অক্ষম|অযোগ্য|বোকা|কৃপণ|হিংস"")),""valence-target অমিল"",""""),IF(COUNTIF($B:$B,B3535)&gt;1,""ডুপ্লিকেট"",""""))"),"")</f>
        <v/>
      </c>
      <c r="Q3535" s="5" t="str">
        <f t="shared" si="1"/>
        <v>২ পরে</v>
      </c>
    </row>
    <row r="3536">
      <c r="A3536" s="4">
        <v>1350.0</v>
      </c>
      <c r="B3536" s="2" t="s">
        <v>14152</v>
      </c>
      <c r="C3536" s="2" t="s">
        <v>14153</v>
      </c>
      <c r="D3536" s="2" t="s">
        <v>14154</v>
      </c>
      <c r="E3536" s="2" t="s">
        <v>14155</v>
      </c>
      <c r="F3536" s="2" t="b">
        <v>1</v>
      </c>
      <c r="G3536" s="2" t="b">
        <v>0</v>
      </c>
      <c r="H3536" s="2" t="s">
        <v>37</v>
      </c>
      <c r="I3536" s="2" t="s">
        <v>32</v>
      </c>
      <c r="J3536" s="2" t="s">
        <v>162</v>
      </c>
      <c r="K3536" s="2" t="s">
        <v>376</v>
      </c>
      <c r="L3536" s="2" t="s">
        <v>391</v>
      </c>
      <c r="M3536" s="2" t="s">
        <v>26</v>
      </c>
      <c r="N3536" s="29"/>
      <c r="O3536" s="29"/>
      <c r="P3536" s="5" t="str">
        <f>IFERROR(__xludf.DUMMYFUNCTION("TEXTJOIN("" | "",TRUE,IF(OR(D3536="""",E3536="""",I3536="""",J3536="""",H3536=""""),""ফাঁকা ঘর"",""""),IF(AND(C3536&lt;&gt;"""",D3536&lt;&gt;"""",C3536=D3536),""gloss=figurative"",""""),IF(LEN(D3536)&lt;15,""figurative ছোট"",""""),IF(AND(I3536=""Positive"",REGEXMATCH(H3"&amp;"536,""মূর্খ|ভণ্ড|প্রতার|অলস|লোভ|স্বার্থ|অক্ষম|অযোগ্য|বোকা|কৃপণ|হিংস"")),""valence-target অমিল"",""""),IF(COUNTIF($B:$B,B3536)&gt;1,""ডুপ্লিকেট"",""""))"),"")</f>
        <v/>
      </c>
      <c r="Q3536" s="5" t="str">
        <f t="shared" si="1"/>
        <v>২ পরে</v>
      </c>
    </row>
    <row r="3537">
      <c r="A3537" s="4">
        <v>1351.0</v>
      </c>
      <c r="B3537" s="2" t="s">
        <v>14156</v>
      </c>
      <c r="C3537" s="2" t="s">
        <v>14157</v>
      </c>
      <c r="D3537" s="2" t="s">
        <v>14158</v>
      </c>
      <c r="E3537" s="2" t="s">
        <v>14159</v>
      </c>
      <c r="F3537" s="2" t="b">
        <v>1</v>
      </c>
      <c r="G3537" s="2" t="b">
        <v>0</v>
      </c>
      <c r="H3537" s="2" t="s">
        <v>37</v>
      </c>
      <c r="I3537" s="2" t="s">
        <v>22</v>
      </c>
      <c r="J3537" s="2" t="s">
        <v>59</v>
      </c>
      <c r="K3537" s="2" t="s">
        <v>376</v>
      </c>
      <c r="L3537" s="2" t="s">
        <v>391</v>
      </c>
      <c r="M3537" s="2" t="s">
        <v>26</v>
      </c>
      <c r="N3537" s="29"/>
      <c r="O3537" s="29"/>
      <c r="P3537" s="5" t="str">
        <f>IFERROR(__xludf.DUMMYFUNCTION("TEXTJOIN("" | "",TRUE,IF(OR(D3537="""",E3537="""",I3537="""",J3537="""",H3537=""""),""ফাঁকা ঘর"",""""),IF(AND(C3537&lt;&gt;"""",D3537&lt;&gt;"""",C3537=D3537),""gloss=figurative"",""""),IF(LEN(D3537)&lt;15,""figurative ছোট"",""""),IF(AND(I3537=""Positive"",REGEXMATCH(H3"&amp;"537,""মূর্খ|ভণ্ড|প্রতার|অলস|লোভ|স্বার্থ|অক্ষম|অযোগ্য|বোকা|কৃপণ|হিংস"")),""valence-target অমিল"",""""),IF(COUNTIF($B:$B,B3537)&gt;1,""ডুপ্লিকেট"",""""))"),"")</f>
        <v/>
      </c>
      <c r="Q3537" s="5" t="str">
        <f t="shared" si="1"/>
        <v>২ পরে</v>
      </c>
    </row>
    <row r="3538">
      <c r="A3538" s="4">
        <v>1352.0</v>
      </c>
      <c r="B3538" s="2" t="s">
        <v>14160</v>
      </c>
      <c r="C3538" s="2" t="s">
        <v>14161</v>
      </c>
      <c r="D3538" s="2" t="s">
        <v>14162</v>
      </c>
      <c r="E3538" s="2" t="s">
        <v>14163</v>
      </c>
      <c r="F3538" s="2" t="b">
        <v>1</v>
      </c>
      <c r="G3538" s="2" t="b">
        <v>0</v>
      </c>
      <c r="H3538" s="2" t="s">
        <v>37</v>
      </c>
      <c r="I3538" s="2" t="s">
        <v>32</v>
      </c>
      <c r="J3538" s="2" t="s">
        <v>13060</v>
      </c>
      <c r="K3538" s="2" t="s">
        <v>376</v>
      </c>
      <c r="L3538" s="2" t="s">
        <v>391</v>
      </c>
      <c r="M3538" s="2" t="s">
        <v>26</v>
      </c>
      <c r="N3538" s="29"/>
      <c r="O3538" s="29"/>
      <c r="P3538" s="5" t="str">
        <f>IFERROR(__xludf.DUMMYFUNCTION("TEXTJOIN("" | "",TRUE,IF(OR(D3538="""",E3538="""",I3538="""",J3538="""",H3538=""""),""ফাঁকা ঘর"",""""),IF(AND(C3538&lt;&gt;"""",D3538&lt;&gt;"""",C3538=D3538),""gloss=figurative"",""""),IF(LEN(D3538)&lt;15,""figurative ছোট"",""""),IF(AND(I3538=""Positive"",REGEXMATCH(H3"&amp;"538,""মূর্খ|ভণ্ড|প্রতার|অলস|লোভ|স্বার্থ|অক্ষম|অযোগ্য|বোকা|কৃপণ|হিংস"")),""valence-target অমিল"",""""),IF(COUNTIF($B:$B,B3538)&gt;1,""ডুপ্লিকেট"",""""))"),"")</f>
        <v/>
      </c>
      <c r="Q3538" s="5" t="str">
        <f t="shared" si="1"/>
        <v>২ পরে</v>
      </c>
    </row>
    <row r="3539">
      <c r="A3539" s="4">
        <v>1353.0</v>
      </c>
      <c r="B3539" s="2" t="s">
        <v>14164</v>
      </c>
      <c r="C3539" s="2" t="s">
        <v>14165</v>
      </c>
      <c r="D3539" s="2" t="s">
        <v>14166</v>
      </c>
      <c r="E3539" s="2" t="s">
        <v>14167</v>
      </c>
      <c r="F3539" s="2" t="b">
        <v>1</v>
      </c>
      <c r="G3539" s="2" t="b">
        <v>0</v>
      </c>
      <c r="H3539" s="2" t="s">
        <v>14168</v>
      </c>
      <c r="I3539" s="2" t="s">
        <v>32</v>
      </c>
      <c r="J3539" s="2" t="s">
        <v>1934</v>
      </c>
      <c r="K3539" s="2" t="s">
        <v>376</v>
      </c>
      <c r="L3539" s="2" t="s">
        <v>391</v>
      </c>
      <c r="M3539" s="2" t="s">
        <v>26</v>
      </c>
      <c r="N3539" s="29"/>
      <c r="O3539" s="29"/>
      <c r="P3539" s="5" t="str">
        <f>IFERROR(__xludf.DUMMYFUNCTION("TEXTJOIN("" | "",TRUE,IF(OR(D3539="""",E3539="""",I3539="""",J3539="""",H3539=""""),""ফাঁকা ঘর"",""""),IF(AND(C3539&lt;&gt;"""",D3539&lt;&gt;"""",C3539=D3539),""gloss=figurative"",""""),IF(LEN(D3539)&lt;15,""figurative ছোট"",""""),IF(AND(I3539=""Positive"",REGEXMATCH(H3"&amp;"539,""মূর্খ|ভণ্ড|প্রতার|অলস|লোভ|স্বার্থ|অক্ষম|অযোগ্য|বোকা|কৃপণ|হিংস"")),""valence-target অমিল"",""""),IF(COUNTIF($B:$B,B3539)&gt;1,""ডুপ্লিকেট"",""""))"),"")</f>
        <v/>
      </c>
      <c r="Q3539" s="5" t="str">
        <f t="shared" si="1"/>
        <v>২ পরে</v>
      </c>
    </row>
    <row r="3540">
      <c r="A3540" s="4">
        <v>1354.0</v>
      </c>
      <c r="B3540" s="2" t="s">
        <v>14169</v>
      </c>
      <c r="C3540" s="2" t="s">
        <v>14170</v>
      </c>
      <c r="D3540" s="2" t="s">
        <v>14171</v>
      </c>
      <c r="E3540" s="2" t="s">
        <v>14172</v>
      </c>
      <c r="F3540" s="2" t="b">
        <v>1</v>
      </c>
      <c r="G3540" s="2" t="b">
        <v>0</v>
      </c>
      <c r="H3540" s="2" t="s">
        <v>37</v>
      </c>
      <c r="I3540" s="2" t="s">
        <v>32</v>
      </c>
      <c r="J3540" s="2" t="s">
        <v>1264</v>
      </c>
      <c r="K3540" s="2" t="s">
        <v>376</v>
      </c>
      <c r="L3540" s="2" t="s">
        <v>391</v>
      </c>
      <c r="M3540" s="2" t="s">
        <v>26</v>
      </c>
      <c r="N3540" s="29"/>
      <c r="O3540" s="29"/>
      <c r="P3540" s="5" t="str">
        <f>IFERROR(__xludf.DUMMYFUNCTION("TEXTJOIN("" | "",TRUE,IF(OR(D3540="""",E3540="""",I3540="""",J3540="""",H3540=""""),""ফাঁকা ঘর"",""""),IF(AND(C3540&lt;&gt;"""",D3540&lt;&gt;"""",C3540=D3540),""gloss=figurative"",""""),IF(LEN(D3540)&lt;15,""figurative ছোট"",""""),IF(AND(I3540=""Positive"",REGEXMATCH(H3"&amp;"540,""মূর্খ|ভণ্ড|প্রতার|অলস|লোভ|স্বার্থ|অক্ষম|অযোগ্য|বোকা|কৃপণ|হিংস"")),""valence-target অমিল"",""""),IF(COUNTIF($B:$B,B3540)&gt;1,""ডুপ্লিকেট"",""""))"),"")</f>
        <v/>
      </c>
      <c r="Q3540" s="5" t="str">
        <f t="shared" si="1"/>
        <v>২ পরে</v>
      </c>
    </row>
    <row r="3541">
      <c r="A3541" s="4">
        <v>1355.0</v>
      </c>
      <c r="B3541" s="2" t="s">
        <v>14173</v>
      </c>
      <c r="C3541" s="2" t="s">
        <v>14173</v>
      </c>
      <c r="D3541" s="2" t="s">
        <v>14174</v>
      </c>
      <c r="E3541" s="2" t="s">
        <v>14175</v>
      </c>
      <c r="F3541" s="2" t="b">
        <v>1</v>
      </c>
      <c r="G3541" s="2" t="b">
        <v>0</v>
      </c>
      <c r="H3541" s="2" t="s">
        <v>6055</v>
      </c>
      <c r="I3541" s="2" t="s">
        <v>32</v>
      </c>
      <c r="J3541" s="2" t="s">
        <v>1934</v>
      </c>
      <c r="K3541" s="2" t="s">
        <v>376</v>
      </c>
      <c r="L3541" s="2" t="s">
        <v>391</v>
      </c>
      <c r="M3541" s="2" t="s">
        <v>26</v>
      </c>
      <c r="N3541" s="29"/>
      <c r="O3541" s="29"/>
      <c r="P3541" s="5" t="str">
        <f>IFERROR(__xludf.DUMMYFUNCTION("TEXTJOIN("" | "",TRUE,IF(OR(D3541="""",E3541="""",I3541="""",J3541="""",H3541=""""),""ফাঁকা ঘর"",""""),IF(AND(C3541&lt;&gt;"""",D3541&lt;&gt;"""",C3541=D3541),""gloss=figurative"",""""),IF(LEN(D3541)&lt;15,""figurative ছোট"",""""),IF(AND(I3541=""Positive"",REGEXMATCH(H3"&amp;"541,""মূর্খ|ভণ্ড|প্রতার|অলস|লোভ|স্বার্থ|অক্ষম|অযোগ্য|বোকা|কৃপণ|হিংস"")),""valence-target অমিল"",""""),IF(COUNTIF($B:$B,B3541)&gt;1,""ডুপ্লিকেট"",""""))"),"")</f>
        <v/>
      </c>
      <c r="Q3541" s="5" t="str">
        <f t="shared" si="1"/>
        <v>২ পরে</v>
      </c>
    </row>
    <row r="3542">
      <c r="A3542" s="4">
        <v>1356.0</v>
      </c>
      <c r="B3542" s="2" t="s">
        <v>14176</v>
      </c>
      <c r="C3542" s="2" t="s">
        <v>14177</v>
      </c>
      <c r="D3542" s="2" t="s">
        <v>14178</v>
      </c>
      <c r="E3542" s="2" t="s">
        <v>14179</v>
      </c>
      <c r="F3542" s="2" t="b">
        <v>1</v>
      </c>
      <c r="G3542" s="2" t="b">
        <v>0</v>
      </c>
      <c r="H3542" s="2" t="s">
        <v>6055</v>
      </c>
      <c r="I3542" s="2" t="s">
        <v>49</v>
      </c>
      <c r="J3542" s="2" t="s">
        <v>1934</v>
      </c>
      <c r="K3542" s="2" t="s">
        <v>376</v>
      </c>
      <c r="L3542" s="2" t="s">
        <v>391</v>
      </c>
      <c r="M3542" s="2" t="s">
        <v>26</v>
      </c>
      <c r="N3542" s="29"/>
      <c r="O3542" s="29"/>
      <c r="P3542" s="5" t="str">
        <f>IFERROR(__xludf.DUMMYFUNCTION("TEXTJOIN("" | "",TRUE,IF(OR(D3542="""",E3542="""",I3542="""",J3542="""",H3542=""""),""ফাঁকা ঘর"",""""),IF(AND(C3542&lt;&gt;"""",D3542&lt;&gt;"""",C3542=D3542),""gloss=figurative"",""""),IF(LEN(D3542)&lt;15,""figurative ছোট"",""""),IF(AND(I3542=""Positive"",REGEXMATCH(H3"&amp;"542,""মূর্খ|ভণ্ড|প্রতার|অলস|লোভ|স্বার্থ|অক্ষম|অযোগ্য|বোকা|কৃপণ|হিংস"")),""valence-target অমিল"",""""),IF(COUNTIF($B:$B,B3542)&gt;1,""ডুপ্লিকেট"",""""))"),"")</f>
        <v/>
      </c>
      <c r="Q3542" s="5" t="str">
        <f t="shared" si="1"/>
        <v>২ পরে</v>
      </c>
    </row>
    <row r="3543">
      <c r="A3543" s="4">
        <v>1357.0</v>
      </c>
      <c r="B3543" s="2" t="s">
        <v>14180</v>
      </c>
      <c r="C3543" s="2" t="s">
        <v>14181</v>
      </c>
      <c r="D3543" s="2" t="s">
        <v>14182</v>
      </c>
      <c r="E3543" s="2" t="s">
        <v>14183</v>
      </c>
      <c r="F3543" s="2" t="b">
        <v>1</v>
      </c>
      <c r="G3543" s="2" t="b">
        <v>0</v>
      </c>
      <c r="H3543" s="2" t="s">
        <v>14184</v>
      </c>
      <c r="I3543" s="2" t="s">
        <v>49</v>
      </c>
      <c r="J3543" s="2" t="s">
        <v>1934</v>
      </c>
      <c r="K3543" s="2" t="s">
        <v>376</v>
      </c>
      <c r="L3543" s="2" t="s">
        <v>391</v>
      </c>
      <c r="M3543" s="2" t="s">
        <v>26</v>
      </c>
      <c r="N3543" s="29"/>
      <c r="O3543" s="29"/>
      <c r="P3543" s="5" t="str">
        <f>IFERROR(__xludf.DUMMYFUNCTION("TEXTJOIN("" | "",TRUE,IF(OR(D3543="""",E3543="""",I3543="""",J3543="""",H3543=""""),""ফাঁকা ঘর"",""""),IF(AND(C3543&lt;&gt;"""",D3543&lt;&gt;"""",C3543=D3543),""gloss=figurative"",""""),IF(LEN(D3543)&lt;15,""figurative ছোট"",""""),IF(AND(I3543=""Positive"",REGEXMATCH(H3"&amp;"543,""মূর্খ|ভণ্ড|প্রতার|অলস|লোভ|স্বার্থ|অক্ষম|অযোগ্য|বোকা|কৃপণ|হিংস"")),""valence-target অমিল"",""""),IF(COUNTIF($B:$B,B3543)&gt;1,""ডুপ্লিকেট"",""""))"),"")</f>
        <v/>
      </c>
      <c r="Q3543" s="5" t="str">
        <f t="shared" si="1"/>
        <v>২ পরে</v>
      </c>
    </row>
    <row r="3544">
      <c r="A3544" s="4">
        <v>1358.0</v>
      </c>
      <c r="B3544" s="2" t="s">
        <v>14185</v>
      </c>
      <c r="C3544" s="2" t="s">
        <v>14186</v>
      </c>
      <c r="D3544" s="2" t="s">
        <v>14187</v>
      </c>
      <c r="E3544" s="2" t="s">
        <v>14188</v>
      </c>
      <c r="F3544" s="2" t="b">
        <v>1</v>
      </c>
      <c r="G3544" s="2" t="b">
        <v>0</v>
      </c>
      <c r="H3544" s="2" t="s">
        <v>14189</v>
      </c>
      <c r="I3544" s="2" t="s">
        <v>32</v>
      </c>
      <c r="J3544" s="2" t="s">
        <v>14190</v>
      </c>
      <c r="K3544" s="2" t="s">
        <v>376</v>
      </c>
      <c r="L3544" s="2" t="s">
        <v>391</v>
      </c>
      <c r="M3544" s="2" t="s">
        <v>26</v>
      </c>
      <c r="N3544" s="29"/>
      <c r="O3544" s="29"/>
      <c r="P3544" s="5" t="str">
        <f>IFERROR(__xludf.DUMMYFUNCTION("TEXTJOIN("" | "",TRUE,IF(OR(D3544="""",E3544="""",I3544="""",J3544="""",H3544=""""),""ফাঁকা ঘর"",""""),IF(AND(C3544&lt;&gt;"""",D3544&lt;&gt;"""",C3544=D3544),""gloss=figurative"",""""),IF(LEN(D3544)&lt;15,""figurative ছোট"",""""),IF(AND(I3544=""Positive"",REGEXMATCH(H3"&amp;"544,""মূর্খ|ভণ্ড|প্রতার|অলস|লোভ|স্বার্থ|অক্ষম|অযোগ্য|বোকা|কৃপণ|হিংস"")),""valence-target অমিল"",""""),IF(COUNTIF($B:$B,B3544)&gt;1,""ডুপ্লিকেট"",""""))"),"")</f>
        <v/>
      </c>
      <c r="Q3544" s="5" t="str">
        <f t="shared" si="1"/>
        <v>২ পরে</v>
      </c>
    </row>
    <row r="3545">
      <c r="A3545" s="4">
        <v>1359.0</v>
      </c>
      <c r="B3545" s="2" t="s">
        <v>14191</v>
      </c>
      <c r="C3545" s="2" t="s">
        <v>14192</v>
      </c>
      <c r="D3545" s="2" t="s">
        <v>14193</v>
      </c>
      <c r="E3545" s="2" t="s">
        <v>14194</v>
      </c>
      <c r="F3545" s="2" t="b">
        <v>1</v>
      </c>
      <c r="G3545" s="2" t="b">
        <v>0</v>
      </c>
      <c r="H3545" s="2" t="s">
        <v>6055</v>
      </c>
      <c r="I3545" s="2" t="s">
        <v>22</v>
      </c>
      <c r="J3545" s="2" t="s">
        <v>123</v>
      </c>
      <c r="K3545" s="2" t="s">
        <v>376</v>
      </c>
      <c r="L3545" s="2" t="s">
        <v>391</v>
      </c>
      <c r="M3545" s="2" t="s">
        <v>26</v>
      </c>
      <c r="N3545" s="29"/>
      <c r="O3545" s="29"/>
      <c r="P3545" s="5" t="str">
        <f>IFERROR(__xludf.DUMMYFUNCTION("TEXTJOIN("" | "",TRUE,IF(OR(D3545="""",E3545="""",I3545="""",J3545="""",H3545=""""),""ফাঁকা ঘর"",""""),IF(AND(C3545&lt;&gt;"""",D3545&lt;&gt;"""",C3545=D3545),""gloss=figurative"",""""),IF(LEN(D3545)&lt;15,""figurative ছোট"",""""),IF(AND(I3545=""Positive"",REGEXMATCH(H3"&amp;"545,""মূর্খ|ভণ্ড|প্রতার|অলস|লোভ|স্বার্থ|অক্ষম|অযোগ্য|বোকা|কৃপণ|হিংস"")),""valence-target অমিল"",""""),IF(COUNTIF($B:$B,B3545)&gt;1,""ডুপ্লিকেট"",""""))"),"")</f>
        <v/>
      </c>
      <c r="Q3545" s="5" t="str">
        <f t="shared" si="1"/>
        <v>২ পরে</v>
      </c>
    </row>
    <row r="3546">
      <c r="A3546" s="4">
        <v>1360.0</v>
      </c>
      <c r="B3546" s="2" t="s">
        <v>14195</v>
      </c>
      <c r="C3546" s="2" t="s">
        <v>14196</v>
      </c>
      <c r="D3546" s="2" t="s">
        <v>14197</v>
      </c>
      <c r="E3546" s="2" t="s">
        <v>14198</v>
      </c>
      <c r="F3546" s="2" t="b">
        <v>1</v>
      </c>
      <c r="G3546" s="2" t="b">
        <v>0</v>
      </c>
      <c r="H3546" s="2" t="s">
        <v>6055</v>
      </c>
      <c r="I3546" s="2" t="s">
        <v>22</v>
      </c>
      <c r="J3546" s="2" t="s">
        <v>1934</v>
      </c>
      <c r="K3546" s="2" t="s">
        <v>376</v>
      </c>
      <c r="L3546" s="2" t="s">
        <v>391</v>
      </c>
      <c r="M3546" s="2" t="s">
        <v>26</v>
      </c>
      <c r="N3546" s="29"/>
      <c r="O3546" s="29"/>
      <c r="P3546" s="5" t="str">
        <f>IFERROR(__xludf.DUMMYFUNCTION("TEXTJOIN("" | "",TRUE,IF(OR(D3546="""",E3546="""",I3546="""",J3546="""",H3546=""""),""ফাঁকা ঘর"",""""),IF(AND(C3546&lt;&gt;"""",D3546&lt;&gt;"""",C3546=D3546),""gloss=figurative"",""""),IF(LEN(D3546)&lt;15,""figurative ছোট"",""""),IF(AND(I3546=""Positive"",REGEXMATCH(H3"&amp;"546,""মূর্খ|ভণ্ড|প্রতার|অলস|লোভ|স্বার্থ|অক্ষম|অযোগ্য|বোকা|কৃপণ|হিংস"")),""valence-target অমিল"",""""),IF(COUNTIF($B:$B,B3546)&gt;1,""ডুপ্লিকেট"",""""))"),"")</f>
        <v/>
      </c>
      <c r="Q3546" s="5" t="str">
        <f t="shared" si="1"/>
        <v>২ পরে</v>
      </c>
    </row>
    <row r="3547">
      <c r="A3547" s="4">
        <v>1361.0</v>
      </c>
      <c r="B3547" s="2" t="s">
        <v>14199</v>
      </c>
      <c r="C3547" s="2" t="s">
        <v>14200</v>
      </c>
      <c r="D3547" s="2" t="s">
        <v>14201</v>
      </c>
      <c r="E3547" s="2" t="s">
        <v>14202</v>
      </c>
      <c r="F3547" s="2" t="b">
        <v>1</v>
      </c>
      <c r="G3547" s="2" t="b">
        <v>1</v>
      </c>
      <c r="H3547" s="2" t="s">
        <v>14203</v>
      </c>
      <c r="I3547" s="2" t="s">
        <v>22</v>
      </c>
      <c r="J3547" s="2" t="s">
        <v>123</v>
      </c>
      <c r="K3547" s="2" t="s">
        <v>376</v>
      </c>
      <c r="L3547" s="2" t="s">
        <v>391</v>
      </c>
      <c r="M3547" s="2" t="s">
        <v>26</v>
      </c>
      <c r="N3547" s="29"/>
      <c r="O3547" s="29"/>
      <c r="P3547" s="5" t="str">
        <f>IFERROR(__xludf.DUMMYFUNCTION("TEXTJOIN("" | "",TRUE,IF(OR(D3547="""",E3547="""",I3547="""",J3547="""",H3547=""""),""ফাঁকা ঘর"",""""),IF(AND(C3547&lt;&gt;"""",D3547&lt;&gt;"""",C3547=D3547),""gloss=figurative"",""""),IF(LEN(D3547)&lt;15,""figurative ছোট"",""""),IF(AND(I3547=""Positive"",REGEXMATCH(H3"&amp;"547,""মূর্খ|ভণ্ড|প্রতার|অলস|লোভ|স্বার্থ|অক্ষম|অযোগ্য|বোকা|কৃপণ|হিংস"")),""valence-target অমিল"",""""),IF(COUNTIF($B:$B,B3547)&gt;1,""ডুপ্লিকেট"",""""))"),"")</f>
        <v/>
      </c>
      <c r="Q3547" s="5" t="str">
        <f t="shared" si="1"/>
        <v>২ পরে</v>
      </c>
    </row>
    <row r="3548">
      <c r="A3548" s="4">
        <v>1362.0</v>
      </c>
      <c r="B3548" s="2" t="s">
        <v>14204</v>
      </c>
      <c r="C3548" s="2" t="s">
        <v>14205</v>
      </c>
      <c r="D3548" s="2" t="s">
        <v>14206</v>
      </c>
      <c r="E3548" s="2" t="s">
        <v>14207</v>
      </c>
      <c r="F3548" s="2" t="b">
        <v>1</v>
      </c>
      <c r="G3548" s="2" t="b">
        <v>1</v>
      </c>
      <c r="H3548" s="2" t="s">
        <v>14203</v>
      </c>
      <c r="I3548" s="2" t="s">
        <v>22</v>
      </c>
      <c r="J3548" s="2" t="s">
        <v>14208</v>
      </c>
      <c r="K3548" s="2" t="s">
        <v>376</v>
      </c>
      <c r="L3548" s="2" t="s">
        <v>391</v>
      </c>
      <c r="M3548" s="2" t="s">
        <v>26</v>
      </c>
      <c r="N3548" s="29"/>
      <c r="O3548" s="29"/>
      <c r="P3548" s="5" t="str">
        <f>IFERROR(__xludf.DUMMYFUNCTION("TEXTJOIN("" | "",TRUE,IF(OR(D3548="""",E3548="""",I3548="""",J3548="""",H3548=""""),""ফাঁকা ঘর"",""""),IF(AND(C3548&lt;&gt;"""",D3548&lt;&gt;"""",C3548=D3548),""gloss=figurative"",""""),IF(LEN(D3548)&lt;15,""figurative ছোট"",""""),IF(AND(I3548=""Positive"",REGEXMATCH(H3"&amp;"548,""মূর্খ|ভণ্ড|প্রতার|অলস|লোভ|স্বার্থ|অক্ষম|অযোগ্য|বোকা|কৃপণ|হিংস"")),""valence-target অমিল"",""""),IF(COUNTIF($B:$B,B3548)&gt;1,""ডুপ্লিকেট"",""""))"),"")</f>
        <v/>
      </c>
      <c r="Q3548" s="5" t="str">
        <f t="shared" si="1"/>
        <v>২ পরে</v>
      </c>
    </row>
    <row r="3549">
      <c r="A3549" s="4">
        <v>1363.0</v>
      </c>
      <c r="B3549" s="2" t="s">
        <v>14209</v>
      </c>
      <c r="C3549" s="2" t="s">
        <v>14210</v>
      </c>
      <c r="D3549" s="2" t="s">
        <v>14211</v>
      </c>
      <c r="E3549" s="2" t="s">
        <v>14212</v>
      </c>
      <c r="F3549" s="2" t="b">
        <v>1</v>
      </c>
      <c r="G3549" s="2" t="b">
        <v>1</v>
      </c>
      <c r="H3549" s="2" t="s">
        <v>14203</v>
      </c>
      <c r="I3549" s="2" t="s">
        <v>32</v>
      </c>
      <c r="J3549" s="2" t="s">
        <v>197</v>
      </c>
      <c r="K3549" s="2" t="s">
        <v>376</v>
      </c>
      <c r="L3549" s="2" t="s">
        <v>391</v>
      </c>
      <c r="M3549" s="2" t="s">
        <v>26</v>
      </c>
      <c r="N3549" s="29"/>
      <c r="O3549" s="29"/>
      <c r="P3549" s="5" t="str">
        <f>IFERROR(__xludf.DUMMYFUNCTION("TEXTJOIN("" | "",TRUE,IF(OR(D3549="""",E3549="""",I3549="""",J3549="""",H3549=""""),""ফাঁকা ঘর"",""""),IF(AND(C3549&lt;&gt;"""",D3549&lt;&gt;"""",C3549=D3549),""gloss=figurative"",""""),IF(LEN(D3549)&lt;15,""figurative ছোট"",""""),IF(AND(I3549=""Positive"",REGEXMATCH(H3"&amp;"549,""মূর্খ|ভণ্ড|প্রতার|অলস|লোভ|স্বার্থ|অক্ষম|অযোগ্য|বোকা|কৃপণ|হিংস"")),""valence-target অমিল"",""""),IF(COUNTIF($B:$B,B3549)&gt;1,""ডুপ্লিকেট"",""""))"),"")</f>
        <v/>
      </c>
      <c r="Q3549" s="5" t="str">
        <f t="shared" si="1"/>
        <v>২ পরে</v>
      </c>
    </row>
    <row r="3550">
      <c r="A3550" s="4">
        <v>1364.0</v>
      </c>
      <c r="B3550" s="2" t="s">
        <v>14213</v>
      </c>
      <c r="C3550" s="2" t="s">
        <v>14214</v>
      </c>
      <c r="D3550" s="2" t="s">
        <v>14215</v>
      </c>
      <c r="E3550" s="2" t="s">
        <v>14216</v>
      </c>
      <c r="F3550" s="2" t="b">
        <v>1</v>
      </c>
      <c r="G3550" s="2" t="b">
        <v>0</v>
      </c>
      <c r="H3550" s="2" t="s">
        <v>37</v>
      </c>
      <c r="I3550" s="2" t="s">
        <v>32</v>
      </c>
      <c r="J3550" s="2" t="s">
        <v>14217</v>
      </c>
      <c r="K3550" s="2" t="s">
        <v>376</v>
      </c>
      <c r="L3550" s="2" t="s">
        <v>391</v>
      </c>
      <c r="M3550" s="2" t="s">
        <v>26</v>
      </c>
      <c r="N3550" s="29"/>
      <c r="O3550" s="29"/>
      <c r="P3550" s="5" t="str">
        <f>IFERROR(__xludf.DUMMYFUNCTION("TEXTJOIN("" | "",TRUE,IF(OR(D3550="""",E3550="""",I3550="""",J3550="""",H3550=""""),""ফাঁকা ঘর"",""""),IF(AND(C3550&lt;&gt;"""",D3550&lt;&gt;"""",C3550=D3550),""gloss=figurative"",""""),IF(LEN(D3550)&lt;15,""figurative ছোট"",""""),IF(AND(I3550=""Positive"",REGEXMATCH(H3"&amp;"550,""মূর্খ|ভণ্ড|প্রতার|অলস|লোভ|স্বার্থ|অক্ষম|অযোগ্য|বোকা|কৃপণ|হিংস"")),""valence-target অমিল"",""""),IF(COUNTIF($B:$B,B3550)&gt;1,""ডুপ্লিকেট"",""""))"),"")</f>
        <v/>
      </c>
      <c r="Q3550" s="5" t="str">
        <f t="shared" si="1"/>
        <v>২ পরে</v>
      </c>
    </row>
    <row r="3551">
      <c r="A3551" s="4">
        <v>1365.0</v>
      </c>
      <c r="B3551" s="2" t="s">
        <v>14218</v>
      </c>
      <c r="C3551" s="2" t="s">
        <v>6180</v>
      </c>
      <c r="D3551" s="2" t="s">
        <v>14219</v>
      </c>
      <c r="E3551" s="2" t="s">
        <v>14220</v>
      </c>
      <c r="F3551" s="2" t="b">
        <v>1</v>
      </c>
      <c r="G3551" s="2" t="b">
        <v>0</v>
      </c>
      <c r="H3551" s="2" t="s">
        <v>1106</v>
      </c>
      <c r="I3551" s="2" t="s">
        <v>49</v>
      </c>
      <c r="J3551" s="2" t="s">
        <v>9755</v>
      </c>
      <c r="K3551" s="2" t="s">
        <v>376</v>
      </c>
      <c r="L3551" s="2" t="s">
        <v>391</v>
      </c>
      <c r="M3551" s="2" t="s">
        <v>26</v>
      </c>
      <c r="N3551" s="29"/>
      <c r="O3551" s="29"/>
      <c r="P3551" s="5" t="str">
        <f>IFERROR(__xludf.DUMMYFUNCTION("TEXTJOIN("" | "",TRUE,IF(OR(D3551="""",E3551="""",I3551="""",J3551="""",H3551=""""),""ফাঁকা ঘর"",""""),IF(AND(C3551&lt;&gt;"""",D3551&lt;&gt;"""",C3551=D3551),""gloss=figurative"",""""),IF(LEN(D3551)&lt;15,""figurative ছোট"",""""),IF(AND(I3551=""Positive"",REGEXMATCH(H3"&amp;"551,""মূর্খ|ভণ্ড|প্রতার|অলস|লোভ|স্বার্থ|অক্ষম|অযোগ্য|বোকা|কৃপণ|হিংস"")),""valence-target অমিল"",""""),IF(COUNTIF($B:$B,B3551)&gt;1,""ডুপ্লিকেট"",""""))"),"")</f>
        <v/>
      </c>
      <c r="Q3551" s="5" t="str">
        <f t="shared" si="1"/>
        <v>২ পরে</v>
      </c>
    </row>
    <row r="3552">
      <c r="A3552" s="4">
        <v>1366.0</v>
      </c>
      <c r="B3552" s="2" t="s">
        <v>14221</v>
      </c>
      <c r="C3552" s="2" t="s">
        <v>14222</v>
      </c>
      <c r="D3552" s="2" t="s">
        <v>14223</v>
      </c>
      <c r="E3552" s="2" t="s">
        <v>14224</v>
      </c>
      <c r="F3552" s="2" t="b">
        <v>1</v>
      </c>
      <c r="G3552" s="2" t="b">
        <v>0</v>
      </c>
      <c r="H3552" s="2" t="s">
        <v>37</v>
      </c>
      <c r="I3552" s="2" t="s">
        <v>32</v>
      </c>
      <c r="J3552" s="2" t="s">
        <v>13060</v>
      </c>
      <c r="K3552" s="2" t="s">
        <v>376</v>
      </c>
      <c r="L3552" s="2" t="s">
        <v>391</v>
      </c>
      <c r="M3552" s="2" t="s">
        <v>26</v>
      </c>
      <c r="N3552" s="29"/>
      <c r="O3552" s="29"/>
      <c r="P3552" s="5" t="str">
        <f>IFERROR(__xludf.DUMMYFUNCTION("TEXTJOIN("" | "",TRUE,IF(OR(D3552="""",E3552="""",I3552="""",J3552="""",H3552=""""),""ফাঁকা ঘর"",""""),IF(AND(C3552&lt;&gt;"""",D3552&lt;&gt;"""",C3552=D3552),""gloss=figurative"",""""),IF(LEN(D3552)&lt;15,""figurative ছোট"",""""),IF(AND(I3552=""Positive"",REGEXMATCH(H3"&amp;"552,""মূর্খ|ভণ্ড|প্রতার|অলস|লোভ|স্বার্থ|অক্ষম|অযোগ্য|বোকা|কৃপণ|হিংস"")),""valence-target অমিল"",""""),IF(COUNTIF($B:$B,B3552)&gt;1,""ডুপ্লিকেট"",""""))"),"")</f>
        <v/>
      </c>
      <c r="Q3552" s="5" t="str">
        <f t="shared" si="1"/>
        <v>২ পরে</v>
      </c>
    </row>
    <row r="3553">
      <c r="A3553" s="4">
        <v>1367.0</v>
      </c>
      <c r="B3553" s="2" t="s">
        <v>14225</v>
      </c>
      <c r="C3553" s="2" t="s">
        <v>14226</v>
      </c>
      <c r="D3553" s="2" t="s">
        <v>14227</v>
      </c>
      <c r="E3553" s="2" t="s">
        <v>14228</v>
      </c>
      <c r="F3553" s="2" t="b">
        <v>1</v>
      </c>
      <c r="G3553" s="2" t="b">
        <v>0</v>
      </c>
      <c r="H3553" s="2" t="s">
        <v>14074</v>
      </c>
      <c r="I3553" s="2" t="s">
        <v>22</v>
      </c>
      <c r="J3553" s="2" t="s">
        <v>1008</v>
      </c>
      <c r="K3553" s="2" t="s">
        <v>376</v>
      </c>
      <c r="L3553" s="2" t="s">
        <v>391</v>
      </c>
      <c r="M3553" s="2" t="s">
        <v>26</v>
      </c>
      <c r="N3553" s="29"/>
      <c r="O3553" s="29"/>
      <c r="P3553" s="5" t="str">
        <f>IFERROR(__xludf.DUMMYFUNCTION("TEXTJOIN("" | "",TRUE,IF(OR(D3553="""",E3553="""",I3553="""",J3553="""",H3553=""""),""ফাঁকা ঘর"",""""),IF(AND(C3553&lt;&gt;"""",D3553&lt;&gt;"""",C3553=D3553),""gloss=figurative"",""""),IF(LEN(D3553)&lt;15,""figurative ছোট"",""""),IF(AND(I3553=""Positive"",REGEXMATCH(H3"&amp;"553,""মূর্খ|ভণ্ড|প্রতার|অলস|লোভ|স্বার্থ|অক্ষম|অযোগ্য|বোকা|কৃপণ|হিংস"")),""valence-target অমিল"",""""),IF(COUNTIF($B:$B,B3553)&gt;1,""ডুপ্লিকেট"",""""))"),"")</f>
        <v/>
      </c>
      <c r="Q3553" s="5" t="str">
        <f t="shared" si="1"/>
        <v>২ পরে</v>
      </c>
    </row>
    <row r="3554">
      <c r="A3554" s="4">
        <v>1368.0</v>
      </c>
      <c r="B3554" s="2" t="s">
        <v>14229</v>
      </c>
      <c r="C3554" s="2" t="s">
        <v>14230</v>
      </c>
      <c r="D3554" s="2" t="s">
        <v>14231</v>
      </c>
      <c r="E3554" s="2" t="s">
        <v>14232</v>
      </c>
      <c r="F3554" s="2" t="b">
        <v>1</v>
      </c>
      <c r="G3554" s="2" t="b">
        <v>0</v>
      </c>
      <c r="H3554" s="2" t="s">
        <v>14233</v>
      </c>
      <c r="I3554" s="2" t="s">
        <v>22</v>
      </c>
      <c r="J3554" s="2" t="s">
        <v>14234</v>
      </c>
      <c r="K3554" s="2" t="s">
        <v>376</v>
      </c>
      <c r="L3554" s="2" t="s">
        <v>391</v>
      </c>
      <c r="M3554" s="2" t="s">
        <v>26</v>
      </c>
      <c r="N3554" s="29"/>
      <c r="O3554" s="29"/>
      <c r="P3554" s="5" t="str">
        <f>IFERROR(__xludf.DUMMYFUNCTION("TEXTJOIN("" | "",TRUE,IF(OR(D3554="""",E3554="""",I3554="""",J3554="""",H3554=""""),""ফাঁকা ঘর"",""""),IF(AND(C3554&lt;&gt;"""",D3554&lt;&gt;"""",C3554=D3554),""gloss=figurative"",""""),IF(LEN(D3554)&lt;15,""figurative ছোট"",""""),IF(AND(I3554=""Positive"",REGEXMATCH(H3"&amp;"554,""মূর্খ|ভণ্ড|প্রতার|অলস|লোভ|স্বার্থ|অক্ষম|অযোগ্য|বোকা|কৃপণ|হিংস"")),""valence-target অমিল"",""""),IF(COUNTIF($B:$B,B3554)&gt;1,""ডুপ্লিকেট"",""""))"),"")</f>
        <v/>
      </c>
      <c r="Q3554" s="5" t="str">
        <f t="shared" si="1"/>
        <v>২ পরে</v>
      </c>
    </row>
    <row r="3555">
      <c r="A3555" s="4">
        <v>1369.0</v>
      </c>
      <c r="B3555" s="2" t="s">
        <v>14235</v>
      </c>
      <c r="C3555" s="2" t="s">
        <v>14236</v>
      </c>
      <c r="D3555" s="2" t="s">
        <v>14237</v>
      </c>
      <c r="E3555" s="2" t="s">
        <v>14238</v>
      </c>
      <c r="F3555" s="2" t="b">
        <v>1</v>
      </c>
      <c r="G3555" s="2" t="b">
        <v>0</v>
      </c>
      <c r="H3555" s="2" t="s">
        <v>14239</v>
      </c>
      <c r="I3555" s="2" t="s">
        <v>32</v>
      </c>
      <c r="J3555" s="2" t="s">
        <v>10356</v>
      </c>
      <c r="K3555" s="2" t="s">
        <v>376</v>
      </c>
      <c r="L3555" s="2" t="s">
        <v>391</v>
      </c>
      <c r="M3555" s="2" t="s">
        <v>26</v>
      </c>
      <c r="N3555" s="29"/>
      <c r="O3555" s="29"/>
      <c r="P3555" s="5" t="str">
        <f>IFERROR(__xludf.DUMMYFUNCTION("TEXTJOIN("" | "",TRUE,IF(OR(D3555="""",E3555="""",I3555="""",J3555="""",H3555=""""),""ফাঁকা ঘর"",""""),IF(AND(C3555&lt;&gt;"""",D3555&lt;&gt;"""",C3555=D3555),""gloss=figurative"",""""),IF(LEN(D3555)&lt;15,""figurative ছোট"",""""),IF(AND(I3555=""Positive"",REGEXMATCH(H3"&amp;"555,""মূর্খ|ভণ্ড|প্রতার|অলস|লোভ|স্বার্থ|অক্ষম|অযোগ্য|বোকা|কৃপণ|হিংস"")),""valence-target অমিল"",""""),IF(COUNTIF($B:$B,B3555)&gt;1,""ডুপ্লিকেট"",""""))"),"")</f>
        <v/>
      </c>
      <c r="Q3555" s="5" t="str">
        <f t="shared" si="1"/>
        <v>২ পরে</v>
      </c>
    </row>
    <row r="3556">
      <c r="A3556" s="4">
        <v>1370.0</v>
      </c>
      <c r="B3556" s="2" t="s">
        <v>14240</v>
      </c>
      <c r="C3556" s="2" t="s">
        <v>14240</v>
      </c>
      <c r="D3556" s="2" t="s">
        <v>14241</v>
      </c>
      <c r="E3556" s="2" t="s">
        <v>14242</v>
      </c>
      <c r="F3556" s="2" t="b">
        <v>1</v>
      </c>
      <c r="G3556" s="2" t="b">
        <v>0</v>
      </c>
      <c r="H3556" s="2" t="s">
        <v>1151</v>
      </c>
      <c r="I3556" s="2" t="s">
        <v>32</v>
      </c>
      <c r="J3556" s="2" t="s">
        <v>1151</v>
      </c>
      <c r="K3556" s="2" t="s">
        <v>376</v>
      </c>
      <c r="L3556" s="2" t="s">
        <v>391</v>
      </c>
      <c r="M3556" s="2" t="s">
        <v>26</v>
      </c>
      <c r="N3556" s="29"/>
      <c r="O3556" s="29"/>
      <c r="P3556" s="5" t="str">
        <f>IFERROR(__xludf.DUMMYFUNCTION("TEXTJOIN("" | "",TRUE,IF(OR(D3556="""",E3556="""",I3556="""",J3556="""",H3556=""""),""ফাঁকা ঘর"",""""),IF(AND(C3556&lt;&gt;"""",D3556&lt;&gt;"""",C3556=D3556),""gloss=figurative"",""""),IF(LEN(D3556)&lt;15,""figurative ছোট"",""""),IF(AND(I3556=""Positive"",REGEXMATCH(H3"&amp;"556,""মূর্খ|ভণ্ড|প্রতার|অলস|লোভ|স্বার্থ|অক্ষম|অযোগ্য|বোকা|কৃপণ|হিংস"")),""valence-target অমিল"",""""),IF(COUNTIF($B:$B,B3556)&gt;1,""ডুপ্লিকেট"",""""))"),"")</f>
        <v/>
      </c>
      <c r="Q3556" s="5" t="str">
        <f t="shared" si="1"/>
        <v>২ পরে</v>
      </c>
    </row>
    <row r="3557">
      <c r="A3557" s="4">
        <v>1371.0</v>
      </c>
      <c r="B3557" s="2" t="s">
        <v>14243</v>
      </c>
      <c r="C3557" s="2" t="s">
        <v>14244</v>
      </c>
      <c r="D3557" s="2" t="s">
        <v>14245</v>
      </c>
      <c r="E3557" s="2" t="s">
        <v>14246</v>
      </c>
      <c r="F3557" s="2" t="b">
        <v>1</v>
      </c>
      <c r="G3557" s="2" t="b">
        <v>0</v>
      </c>
      <c r="H3557" s="2" t="s">
        <v>356</v>
      </c>
      <c r="I3557" s="2" t="s">
        <v>22</v>
      </c>
      <c r="J3557" s="2" t="s">
        <v>59</v>
      </c>
      <c r="K3557" s="2" t="s">
        <v>376</v>
      </c>
      <c r="L3557" s="2" t="s">
        <v>391</v>
      </c>
      <c r="M3557" s="2" t="s">
        <v>26</v>
      </c>
      <c r="N3557" s="29"/>
      <c r="O3557" s="29"/>
      <c r="P3557" s="5" t="str">
        <f>IFERROR(__xludf.DUMMYFUNCTION("TEXTJOIN("" | "",TRUE,IF(OR(D3557="""",E3557="""",I3557="""",J3557="""",H3557=""""),""ফাঁকা ঘর"",""""),IF(AND(C3557&lt;&gt;"""",D3557&lt;&gt;"""",C3557=D3557),""gloss=figurative"",""""),IF(LEN(D3557)&lt;15,""figurative ছোট"",""""),IF(AND(I3557=""Positive"",REGEXMATCH(H3"&amp;"557,""মূর্খ|ভণ্ড|প্রতার|অলস|লোভ|স্বার্থ|অক্ষম|অযোগ্য|বোকা|কৃপণ|হিংস"")),""valence-target অমিল"",""""),IF(COUNTIF($B:$B,B3557)&gt;1,""ডুপ্লিকেট"",""""))"),"")</f>
        <v/>
      </c>
      <c r="Q3557" s="5" t="str">
        <f t="shared" si="1"/>
        <v>২ পরে</v>
      </c>
    </row>
    <row r="3558">
      <c r="A3558" s="4">
        <v>1372.0</v>
      </c>
      <c r="B3558" s="2" t="s">
        <v>14247</v>
      </c>
      <c r="C3558" s="2" t="s">
        <v>14248</v>
      </c>
      <c r="D3558" s="2" t="s">
        <v>14249</v>
      </c>
      <c r="E3558" s="2" t="s">
        <v>14250</v>
      </c>
      <c r="F3558" s="2" t="b">
        <v>1</v>
      </c>
      <c r="G3558" s="2" t="b">
        <v>1</v>
      </c>
      <c r="H3558" s="2" t="s">
        <v>14251</v>
      </c>
      <c r="I3558" s="2" t="s">
        <v>32</v>
      </c>
      <c r="J3558" s="2" t="s">
        <v>123</v>
      </c>
      <c r="K3558" s="2" t="s">
        <v>376</v>
      </c>
      <c r="L3558" s="2" t="s">
        <v>391</v>
      </c>
      <c r="M3558" s="2" t="s">
        <v>26</v>
      </c>
      <c r="N3558" s="29"/>
      <c r="O3558" s="29"/>
      <c r="P3558" s="5" t="str">
        <f>IFERROR(__xludf.DUMMYFUNCTION("TEXTJOIN("" | "",TRUE,IF(OR(D3558="""",E3558="""",I3558="""",J3558="""",H3558=""""),""ফাঁকা ঘর"",""""),IF(AND(C3558&lt;&gt;"""",D3558&lt;&gt;"""",C3558=D3558),""gloss=figurative"",""""),IF(LEN(D3558)&lt;15,""figurative ছোট"",""""),IF(AND(I3558=""Positive"",REGEXMATCH(H3"&amp;"558,""মূর্খ|ভণ্ড|প্রতার|অলস|লোভ|স্বার্থ|অক্ষম|অযোগ্য|বোকা|কৃপণ|হিংস"")),""valence-target অমিল"",""""),IF(COUNTIF($B:$B,B3558)&gt;1,""ডুপ্লিকেট"",""""))"),"")</f>
        <v/>
      </c>
      <c r="Q3558" s="5" t="str">
        <f t="shared" si="1"/>
        <v>২ পরে</v>
      </c>
    </row>
    <row r="3559">
      <c r="A3559" s="4">
        <v>1373.0</v>
      </c>
      <c r="B3559" s="2" t="s">
        <v>14252</v>
      </c>
      <c r="C3559" s="2" t="s">
        <v>14253</v>
      </c>
      <c r="D3559" s="2" t="s">
        <v>14254</v>
      </c>
      <c r="E3559" s="2" t="s">
        <v>14255</v>
      </c>
      <c r="F3559" s="2" t="b">
        <v>1</v>
      </c>
      <c r="G3559" s="2" t="b">
        <v>0</v>
      </c>
      <c r="H3559" s="2" t="s">
        <v>13936</v>
      </c>
      <c r="I3559" s="2" t="s">
        <v>22</v>
      </c>
      <c r="J3559" s="2" t="s">
        <v>1621</v>
      </c>
      <c r="K3559" s="2" t="s">
        <v>376</v>
      </c>
      <c r="L3559" s="2" t="s">
        <v>391</v>
      </c>
      <c r="M3559" s="2" t="s">
        <v>26</v>
      </c>
      <c r="N3559" s="29"/>
      <c r="O3559" s="29"/>
      <c r="P3559" s="5" t="str">
        <f>IFERROR(__xludf.DUMMYFUNCTION("TEXTJOIN("" | "",TRUE,IF(OR(D3559="""",E3559="""",I3559="""",J3559="""",H3559=""""),""ফাঁকা ঘর"",""""),IF(AND(C3559&lt;&gt;"""",D3559&lt;&gt;"""",C3559=D3559),""gloss=figurative"",""""),IF(LEN(D3559)&lt;15,""figurative ছোট"",""""),IF(AND(I3559=""Positive"",REGEXMATCH(H3"&amp;"559,""মূর্খ|ভণ্ড|প্রতার|অলস|লোভ|স্বার্থ|অক্ষম|অযোগ্য|বোকা|কৃপণ|হিংস"")),""valence-target অমিল"",""""),IF(COUNTIF($B:$B,B3559)&gt;1,""ডুপ্লিকেট"",""""))"),"")</f>
        <v/>
      </c>
      <c r="Q3559" s="5" t="str">
        <f t="shared" si="1"/>
        <v>২ পরে</v>
      </c>
    </row>
    <row r="3560">
      <c r="A3560" s="4">
        <v>1374.0</v>
      </c>
      <c r="B3560" s="2" t="s">
        <v>14256</v>
      </c>
      <c r="C3560" s="2" t="s">
        <v>14257</v>
      </c>
      <c r="D3560" s="2" t="s">
        <v>14258</v>
      </c>
      <c r="E3560" s="2" t="s">
        <v>14259</v>
      </c>
      <c r="F3560" s="2" t="b">
        <v>1</v>
      </c>
      <c r="G3560" s="2" t="b">
        <v>0</v>
      </c>
      <c r="H3560" s="2" t="s">
        <v>819</v>
      </c>
      <c r="I3560" s="2" t="s">
        <v>22</v>
      </c>
      <c r="J3560" s="2" t="s">
        <v>59</v>
      </c>
      <c r="K3560" s="2" t="s">
        <v>376</v>
      </c>
      <c r="L3560" s="2" t="s">
        <v>391</v>
      </c>
      <c r="M3560" s="2" t="s">
        <v>26</v>
      </c>
      <c r="N3560" s="29"/>
      <c r="O3560" s="29"/>
      <c r="P3560" s="5" t="str">
        <f>IFERROR(__xludf.DUMMYFUNCTION("TEXTJOIN("" | "",TRUE,IF(OR(D3560="""",E3560="""",I3560="""",J3560="""",H3560=""""),""ফাঁকা ঘর"",""""),IF(AND(C3560&lt;&gt;"""",D3560&lt;&gt;"""",C3560=D3560),""gloss=figurative"",""""),IF(LEN(D3560)&lt;15,""figurative ছোট"",""""),IF(AND(I3560=""Positive"",REGEXMATCH(H3"&amp;"560,""মূর্খ|ভণ্ড|প্রতার|অলস|লোভ|স্বার্থ|অক্ষম|অযোগ্য|বোকা|কৃপণ|হিংস"")),""valence-target অমিল"",""""),IF(COUNTIF($B:$B,B3560)&gt;1,""ডুপ্লিকেট"",""""))"),"")</f>
        <v/>
      </c>
      <c r="Q3560" s="5" t="str">
        <f t="shared" si="1"/>
        <v>২ পরে</v>
      </c>
    </row>
    <row r="3561">
      <c r="A3561" s="4">
        <v>1375.0</v>
      </c>
      <c r="B3561" s="2" t="s">
        <v>14260</v>
      </c>
      <c r="C3561" s="2" t="s">
        <v>14261</v>
      </c>
      <c r="D3561" s="2" t="s">
        <v>14262</v>
      </c>
      <c r="E3561" s="2" t="s">
        <v>14263</v>
      </c>
      <c r="F3561" s="2" t="b">
        <v>1</v>
      </c>
      <c r="G3561" s="2" t="b">
        <v>0</v>
      </c>
      <c r="H3561" s="2" t="s">
        <v>14264</v>
      </c>
      <c r="I3561" s="2" t="s">
        <v>32</v>
      </c>
      <c r="J3561" s="2" t="s">
        <v>10356</v>
      </c>
      <c r="K3561" s="2" t="s">
        <v>376</v>
      </c>
      <c r="L3561" s="2" t="s">
        <v>391</v>
      </c>
      <c r="M3561" s="2" t="s">
        <v>26</v>
      </c>
      <c r="N3561" s="29"/>
      <c r="O3561" s="29"/>
      <c r="P3561" s="5" t="str">
        <f>IFERROR(__xludf.DUMMYFUNCTION("TEXTJOIN("" | "",TRUE,IF(OR(D3561="""",E3561="""",I3561="""",J3561="""",H3561=""""),""ফাঁকা ঘর"",""""),IF(AND(C3561&lt;&gt;"""",D3561&lt;&gt;"""",C3561=D3561),""gloss=figurative"",""""),IF(LEN(D3561)&lt;15,""figurative ছোট"",""""),IF(AND(I3561=""Positive"",REGEXMATCH(H3"&amp;"561,""মূর্খ|ভণ্ড|প্রতার|অলস|লোভ|স্বার্থ|অক্ষম|অযোগ্য|বোকা|কৃপণ|হিংস"")),""valence-target অমিল"",""""),IF(COUNTIF($B:$B,B3561)&gt;1,""ডুপ্লিকেট"",""""))"),"")</f>
        <v/>
      </c>
      <c r="Q3561" s="5" t="str">
        <f t="shared" si="1"/>
        <v>২ পরে</v>
      </c>
    </row>
    <row r="3562">
      <c r="A3562" s="4">
        <v>1376.0</v>
      </c>
      <c r="B3562" s="2" t="s">
        <v>14265</v>
      </c>
      <c r="C3562" s="2" t="s">
        <v>14266</v>
      </c>
      <c r="D3562" s="2" t="s">
        <v>14267</v>
      </c>
      <c r="E3562" s="2" t="s">
        <v>14268</v>
      </c>
      <c r="F3562" s="2" t="b">
        <v>1</v>
      </c>
      <c r="G3562" s="2" t="b">
        <v>0</v>
      </c>
      <c r="H3562" s="2" t="s">
        <v>5473</v>
      </c>
      <c r="I3562" s="2" t="s">
        <v>49</v>
      </c>
      <c r="J3562" s="2" t="s">
        <v>169</v>
      </c>
      <c r="K3562" s="2" t="s">
        <v>376</v>
      </c>
      <c r="L3562" s="2" t="s">
        <v>391</v>
      </c>
      <c r="M3562" s="2" t="s">
        <v>26</v>
      </c>
      <c r="N3562" s="29"/>
      <c r="O3562" s="29"/>
      <c r="P3562" s="5" t="str">
        <f>IFERROR(__xludf.DUMMYFUNCTION("TEXTJOIN("" | "",TRUE,IF(OR(D3562="""",E3562="""",I3562="""",J3562="""",H3562=""""),""ফাঁকা ঘর"",""""),IF(AND(C3562&lt;&gt;"""",D3562&lt;&gt;"""",C3562=D3562),""gloss=figurative"",""""),IF(LEN(D3562)&lt;15,""figurative ছোট"",""""),IF(AND(I3562=""Positive"",REGEXMATCH(H3"&amp;"562,""মূর্খ|ভণ্ড|প্রতার|অলস|লোভ|স্বার্থ|অক্ষম|অযোগ্য|বোকা|কৃপণ|হিংস"")),""valence-target অমিল"",""""),IF(COUNTIF($B:$B,B3562)&gt;1,""ডুপ্লিকেট"",""""))"),"")</f>
        <v/>
      </c>
      <c r="Q3562" s="5" t="str">
        <f t="shared" si="1"/>
        <v>২ পরে</v>
      </c>
    </row>
    <row r="3563">
      <c r="A3563" s="4">
        <v>1377.0</v>
      </c>
      <c r="B3563" s="2" t="s">
        <v>14269</v>
      </c>
      <c r="C3563" s="2" t="s">
        <v>14270</v>
      </c>
      <c r="D3563" s="2" t="s">
        <v>14271</v>
      </c>
      <c r="E3563" s="2" t="s">
        <v>14272</v>
      </c>
      <c r="F3563" s="2" t="b">
        <v>1</v>
      </c>
      <c r="G3563" s="2" t="b">
        <v>0</v>
      </c>
      <c r="H3563" s="2" t="s">
        <v>14273</v>
      </c>
      <c r="I3563" s="2" t="s">
        <v>32</v>
      </c>
      <c r="J3563" s="2" t="s">
        <v>123</v>
      </c>
      <c r="K3563" s="2" t="s">
        <v>376</v>
      </c>
      <c r="L3563" s="2" t="s">
        <v>391</v>
      </c>
      <c r="M3563" s="2" t="s">
        <v>26</v>
      </c>
      <c r="N3563" s="29"/>
      <c r="O3563" s="29"/>
      <c r="P3563" s="5" t="str">
        <f>IFERROR(__xludf.DUMMYFUNCTION("TEXTJOIN("" | "",TRUE,IF(OR(D3563="""",E3563="""",I3563="""",J3563="""",H3563=""""),""ফাঁকা ঘর"",""""),IF(AND(C3563&lt;&gt;"""",D3563&lt;&gt;"""",C3563=D3563),""gloss=figurative"",""""),IF(LEN(D3563)&lt;15,""figurative ছোট"",""""),IF(AND(I3563=""Positive"",REGEXMATCH(H3"&amp;"563,""মূর্খ|ভণ্ড|প্রতার|অলস|লোভ|স্বার্থ|অক্ষম|অযোগ্য|বোকা|কৃপণ|হিংস"")),""valence-target অমিল"",""""),IF(COUNTIF($B:$B,B3563)&gt;1,""ডুপ্লিকেট"",""""))"),"")</f>
        <v/>
      </c>
      <c r="Q3563" s="5" t="str">
        <f t="shared" si="1"/>
        <v>২ পরে</v>
      </c>
    </row>
    <row r="3564">
      <c r="A3564" s="4">
        <v>1378.0</v>
      </c>
      <c r="B3564" s="2" t="s">
        <v>14274</v>
      </c>
      <c r="C3564" s="2" t="s">
        <v>14275</v>
      </c>
      <c r="D3564" s="2" t="s">
        <v>14276</v>
      </c>
      <c r="E3564" s="2" t="s">
        <v>14277</v>
      </c>
      <c r="F3564" s="2" t="b">
        <v>1</v>
      </c>
      <c r="G3564" s="2" t="b">
        <v>0</v>
      </c>
      <c r="H3564" s="2" t="s">
        <v>14278</v>
      </c>
      <c r="I3564" s="2" t="s">
        <v>32</v>
      </c>
      <c r="J3564" s="2" t="s">
        <v>14279</v>
      </c>
      <c r="K3564" s="2" t="s">
        <v>376</v>
      </c>
      <c r="L3564" s="2" t="s">
        <v>391</v>
      </c>
      <c r="M3564" s="2" t="s">
        <v>26</v>
      </c>
      <c r="N3564" s="29"/>
      <c r="O3564" s="29"/>
      <c r="P3564" s="5" t="str">
        <f>IFERROR(__xludf.DUMMYFUNCTION("TEXTJOIN("" | "",TRUE,IF(OR(D3564="""",E3564="""",I3564="""",J3564="""",H3564=""""),""ফাঁকা ঘর"",""""),IF(AND(C3564&lt;&gt;"""",D3564&lt;&gt;"""",C3564=D3564),""gloss=figurative"",""""),IF(LEN(D3564)&lt;15,""figurative ছোট"",""""),IF(AND(I3564=""Positive"",REGEXMATCH(H3"&amp;"564,""মূর্খ|ভণ্ড|প্রতার|অলস|লোভ|স্বার্থ|অক্ষম|অযোগ্য|বোকা|কৃপণ|হিংস"")),""valence-target অমিল"",""""),IF(COUNTIF($B:$B,B3564)&gt;1,""ডুপ্লিকেট"",""""))"),"")</f>
        <v/>
      </c>
      <c r="Q3564" s="5" t="str">
        <f t="shared" si="1"/>
        <v>২ পরে</v>
      </c>
    </row>
    <row r="3565">
      <c r="A3565" s="4">
        <v>1379.0</v>
      </c>
      <c r="B3565" s="2" t="s">
        <v>14280</v>
      </c>
      <c r="C3565" s="2" t="s">
        <v>14281</v>
      </c>
      <c r="D3565" s="2" t="s">
        <v>14282</v>
      </c>
      <c r="E3565" s="2" t="s">
        <v>14283</v>
      </c>
      <c r="F3565" s="2" t="b">
        <v>1</v>
      </c>
      <c r="G3565" s="2" t="b">
        <v>0</v>
      </c>
      <c r="H3565" s="2" t="s">
        <v>819</v>
      </c>
      <c r="I3565" s="2" t="s">
        <v>22</v>
      </c>
      <c r="J3565" s="2" t="s">
        <v>59</v>
      </c>
      <c r="K3565" s="2" t="s">
        <v>376</v>
      </c>
      <c r="L3565" s="2" t="s">
        <v>391</v>
      </c>
      <c r="M3565" s="2" t="s">
        <v>26</v>
      </c>
      <c r="N3565" s="29"/>
      <c r="O3565" s="29"/>
      <c r="P3565" s="5" t="str">
        <f>IFERROR(__xludf.DUMMYFUNCTION("TEXTJOIN("" | "",TRUE,IF(OR(D3565="""",E3565="""",I3565="""",J3565="""",H3565=""""),""ফাঁকা ঘর"",""""),IF(AND(C3565&lt;&gt;"""",D3565&lt;&gt;"""",C3565=D3565),""gloss=figurative"",""""),IF(LEN(D3565)&lt;15,""figurative ছোট"",""""),IF(AND(I3565=""Positive"",REGEXMATCH(H3"&amp;"565,""মূর্খ|ভণ্ড|প্রতার|অলস|লোভ|স্বার্থ|অক্ষম|অযোগ্য|বোকা|কৃপণ|হিংস"")),""valence-target অমিল"",""""),IF(COUNTIF($B:$B,B3565)&gt;1,""ডুপ্লিকেট"",""""))"),"")</f>
        <v/>
      </c>
      <c r="Q3565" s="5" t="str">
        <f t="shared" si="1"/>
        <v>২ পরে</v>
      </c>
    </row>
    <row r="3566">
      <c r="A3566" s="4">
        <v>1380.0</v>
      </c>
      <c r="B3566" s="2" t="s">
        <v>14284</v>
      </c>
      <c r="C3566" s="2" t="s">
        <v>14285</v>
      </c>
      <c r="D3566" s="2" t="s">
        <v>14286</v>
      </c>
      <c r="E3566" s="2" t="s">
        <v>14287</v>
      </c>
      <c r="F3566" s="2" t="b">
        <v>1</v>
      </c>
      <c r="G3566" s="2" t="b">
        <v>0</v>
      </c>
      <c r="H3566" s="2" t="s">
        <v>123</v>
      </c>
      <c r="I3566" s="2" t="s">
        <v>32</v>
      </c>
      <c r="J3566" s="2" t="s">
        <v>123</v>
      </c>
      <c r="K3566" s="2" t="s">
        <v>376</v>
      </c>
      <c r="L3566" s="2" t="s">
        <v>391</v>
      </c>
      <c r="M3566" s="2" t="s">
        <v>26</v>
      </c>
      <c r="N3566" s="29"/>
      <c r="O3566" s="29"/>
      <c r="P3566" s="5" t="str">
        <f>IFERROR(__xludf.DUMMYFUNCTION("TEXTJOIN("" | "",TRUE,IF(OR(D3566="""",E3566="""",I3566="""",J3566="""",H3566=""""),""ফাঁকা ঘর"",""""),IF(AND(C3566&lt;&gt;"""",D3566&lt;&gt;"""",C3566=D3566),""gloss=figurative"",""""),IF(LEN(D3566)&lt;15,""figurative ছোট"",""""),IF(AND(I3566=""Positive"",REGEXMATCH(H3"&amp;"566,""মূর্খ|ভণ্ড|প্রতার|অলস|লোভ|স্বার্থ|অক্ষম|অযোগ্য|বোকা|কৃপণ|হিংস"")),""valence-target অমিল"",""""),IF(COUNTIF($B:$B,B3566)&gt;1,""ডুপ্লিকেট"",""""))"),"")</f>
        <v/>
      </c>
      <c r="Q3566" s="5" t="str">
        <f t="shared" si="1"/>
        <v>২ পরে</v>
      </c>
    </row>
    <row r="3567">
      <c r="A3567" s="4">
        <v>1381.0</v>
      </c>
      <c r="B3567" s="2" t="s">
        <v>14288</v>
      </c>
      <c r="C3567" s="2" t="s">
        <v>14289</v>
      </c>
      <c r="D3567" s="2" t="s">
        <v>14290</v>
      </c>
      <c r="E3567" s="2" t="s">
        <v>14291</v>
      </c>
      <c r="F3567" s="2" t="b">
        <v>1</v>
      </c>
      <c r="G3567" s="2" t="b">
        <v>0</v>
      </c>
      <c r="H3567" s="2" t="s">
        <v>8809</v>
      </c>
      <c r="I3567" s="2" t="s">
        <v>49</v>
      </c>
      <c r="J3567" s="2" t="s">
        <v>123</v>
      </c>
      <c r="K3567" s="2" t="s">
        <v>376</v>
      </c>
      <c r="L3567" s="2" t="s">
        <v>391</v>
      </c>
      <c r="M3567" s="2" t="s">
        <v>26</v>
      </c>
      <c r="N3567" s="29"/>
      <c r="O3567" s="29"/>
      <c r="P3567" s="5" t="str">
        <f>IFERROR(__xludf.DUMMYFUNCTION("TEXTJOIN("" | "",TRUE,IF(OR(D3567="""",E3567="""",I3567="""",J3567="""",H3567=""""),""ফাঁকা ঘর"",""""),IF(AND(C3567&lt;&gt;"""",D3567&lt;&gt;"""",C3567=D3567),""gloss=figurative"",""""),IF(LEN(D3567)&lt;15,""figurative ছোট"",""""),IF(AND(I3567=""Positive"",REGEXMATCH(H3"&amp;"567,""মূর্খ|ভণ্ড|প্রতার|অলস|লোভ|স্বার্থ|অক্ষম|অযোগ্য|বোকা|কৃপণ|হিংস"")),""valence-target অমিল"",""""),IF(COUNTIF($B:$B,B3567)&gt;1,""ডুপ্লিকেট"",""""))"),"")</f>
        <v/>
      </c>
      <c r="Q3567" s="5" t="str">
        <f t="shared" si="1"/>
        <v>২ পরে</v>
      </c>
    </row>
    <row r="3568">
      <c r="A3568" s="4">
        <v>1382.0</v>
      </c>
      <c r="B3568" s="2" t="s">
        <v>14292</v>
      </c>
      <c r="C3568" s="2" t="s">
        <v>14293</v>
      </c>
      <c r="D3568" s="2" t="s">
        <v>14294</v>
      </c>
      <c r="E3568" s="2" t="s">
        <v>14295</v>
      </c>
      <c r="F3568" s="2" t="b">
        <v>1</v>
      </c>
      <c r="G3568" s="2" t="b">
        <v>0</v>
      </c>
      <c r="H3568" s="2" t="s">
        <v>14296</v>
      </c>
      <c r="I3568" s="2" t="s">
        <v>49</v>
      </c>
      <c r="J3568" s="2" t="s">
        <v>169</v>
      </c>
      <c r="K3568" s="2" t="s">
        <v>376</v>
      </c>
      <c r="L3568" s="2" t="s">
        <v>391</v>
      </c>
      <c r="M3568" s="2" t="s">
        <v>26</v>
      </c>
      <c r="N3568" s="29"/>
      <c r="O3568" s="29"/>
      <c r="P3568" s="5" t="str">
        <f>IFERROR(__xludf.DUMMYFUNCTION("TEXTJOIN("" | "",TRUE,IF(OR(D3568="""",E3568="""",I3568="""",J3568="""",H3568=""""),""ফাঁকা ঘর"",""""),IF(AND(C3568&lt;&gt;"""",D3568&lt;&gt;"""",C3568=D3568),""gloss=figurative"",""""),IF(LEN(D3568)&lt;15,""figurative ছোট"",""""),IF(AND(I3568=""Positive"",REGEXMATCH(H3"&amp;"568,""মূর্খ|ভণ্ড|প্রতার|অলস|লোভ|স্বার্থ|অক্ষম|অযোগ্য|বোকা|কৃপণ|হিংস"")),""valence-target অমিল"",""""),IF(COUNTIF($B:$B,B3568)&gt;1,""ডুপ্লিকেট"",""""))"),"")</f>
        <v/>
      </c>
      <c r="Q3568" s="5" t="str">
        <f t="shared" si="1"/>
        <v>২ পরে</v>
      </c>
    </row>
    <row r="3569">
      <c r="A3569" s="4">
        <v>1383.0</v>
      </c>
      <c r="B3569" s="2" t="s">
        <v>14297</v>
      </c>
      <c r="C3569" s="2" t="s">
        <v>14298</v>
      </c>
      <c r="D3569" s="2" t="s">
        <v>14299</v>
      </c>
      <c r="E3569" s="2" t="s">
        <v>14300</v>
      </c>
      <c r="F3569" s="2" t="b">
        <v>1</v>
      </c>
      <c r="G3569" s="2" t="b">
        <v>0</v>
      </c>
      <c r="H3569" s="2" t="s">
        <v>6671</v>
      </c>
      <c r="I3569" s="2" t="s">
        <v>32</v>
      </c>
      <c r="J3569" s="2" t="s">
        <v>286</v>
      </c>
      <c r="K3569" s="2" t="s">
        <v>376</v>
      </c>
      <c r="L3569" s="2" t="s">
        <v>391</v>
      </c>
      <c r="M3569" s="2" t="s">
        <v>26</v>
      </c>
      <c r="N3569" s="29"/>
      <c r="O3569" s="29"/>
      <c r="P3569" s="5" t="str">
        <f>IFERROR(__xludf.DUMMYFUNCTION("TEXTJOIN("" | "",TRUE,IF(OR(D3569="""",E3569="""",I3569="""",J3569="""",H3569=""""),""ফাঁকা ঘর"",""""),IF(AND(C3569&lt;&gt;"""",D3569&lt;&gt;"""",C3569=D3569),""gloss=figurative"",""""),IF(LEN(D3569)&lt;15,""figurative ছোট"",""""),IF(AND(I3569=""Positive"",REGEXMATCH(H3"&amp;"569,""মূর্খ|ভণ্ড|প্রতার|অলস|লোভ|স্বার্থ|অক্ষম|অযোগ্য|বোকা|কৃপণ|হিংস"")),""valence-target অমিল"",""""),IF(COUNTIF($B:$B,B3569)&gt;1,""ডুপ্লিকেট"",""""))"),"")</f>
        <v/>
      </c>
      <c r="Q3569" s="5" t="str">
        <f t="shared" si="1"/>
        <v>২ পরে</v>
      </c>
    </row>
    <row r="3570">
      <c r="A3570" s="4">
        <v>1384.0</v>
      </c>
      <c r="B3570" s="2" t="s">
        <v>14301</v>
      </c>
      <c r="C3570" s="2" t="s">
        <v>14302</v>
      </c>
      <c r="D3570" s="2" t="s">
        <v>14303</v>
      </c>
      <c r="E3570" s="2" t="s">
        <v>14304</v>
      </c>
      <c r="F3570" s="2" t="b">
        <v>1</v>
      </c>
      <c r="G3570" s="2" t="b">
        <v>0</v>
      </c>
      <c r="H3570" s="2" t="s">
        <v>10834</v>
      </c>
      <c r="I3570" s="2" t="s">
        <v>49</v>
      </c>
      <c r="J3570" s="2" t="s">
        <v>10835</v>
      </c>
      <c r="K3570" s="2" t="s">
        <v>376</v>
      </c>
      <c r="L3570" s="2" t="s">
        <v>391</v>
      </c>
      <c r="M3570" s="2" t="s">
        <v>26</v>
      </c>
      <c r="N3570" s="29"/>
      <c r="O3570" s="29"/>
      <c r="P3570" s="5" t="str">
        <f>IFERROR(__xludf.DUMMYFUNCTION("TEXTJOIN("" | "",TRUE,IF(OR(D3570="""",E3570="""",I3570="""",J3570="""",H3570=""""),""ফাঁকা ঘর"",""""),IF(AND(C3570&lt;&gt;"""",D3570&lt;&gt;"""",C3570=D3570),""gloss=figurative"",""""),IF(LEN(D3570)&lt;15,""figurative ছোট"",""""),IF(AND(I3570=""Positive"",REGEXMATCH(H3"&amp;"570,""মূর্খ|ভণ্ড|প্রতার|অলস|লোভ|স্বার্থ|অক্ষম|অযোগ্য|বোকা|কৃপণ|হিংস"")),""valence-target অমিল"",""""),IF(COUNTIF($B:$B,B3570)&gt;1,""ডুপ্লিকেট"",""""))"),"")</f>
        <v/>
      </c>
      <c r="Q3570" s="5" t="str">
        <f t="shared" si="1"/>
        <v>২ পরে</v>
      </c>
    </row>
    <row r="3571">
      <c r="A3571" s="4">
        <v>1385.0</v>
      </c>
      <c r="B3571" s="2" t="s">
        <v>14305</v>
      </c>
      <c r="C3571" s="2" t="s">
        <v>14306</v>
      </c>
      <c r="D3571" s="2" t="s">
        <v>14307</v>
      </c>
      <c r="E3571" s="2" t="s">
        <v>14308</v>
      </c>
      <c r="F3571" s="2" t="b">
        <v>1</v>
      </c>
      <c r="G3571" s="2" t="b">
        <v>0</v>
      </c>
      <c r="H3571" s="2" t="s">
        <v>6671</v>
      </c>
      <c r="I3571" s="2" t="s">
        <v>32</v>
      </c>
      <c r="J3571" s="2" t="s">
        <v>1008</v>
      </c>
      <c r="K3571" s="2" t="s">
        <v>376</v>
      </c>
      <c r="L3571" s="2" t="s">
        <v>391</v>
      </c>
      <c r="M3571" s="2" t="s">
        <v>26</v>
      </c>
      <c r="N3571" s="29"/>
      <c r="O3571" s="29"/>
      <c r="P3571" s="5" t="str">
        <f>IFERROR(__xludf.DUMMYFUNCTION("TEXTJOIN("" | "",TRUE,IF(OR(D3571="""",E3571="""",I3571="""",J3571="""",H3571=""""),""ফাঁকা ঘর"",""""),IF(AND(C3571&lt;&gt;"""",D3571&lt;&gt;"""",C3571=D3571),""gloss=figurative"",""""),IF(LEN(D3571)&lt;15,""figurative ছোট"",""""),IF(AND(I3571=""Positive"",REGEXMATCH(H3"&amp;"571,""মূর্খ|ভণ্ড|প্রতার|অলস|লোভ|স্বার্থ|অক্ষম|অযোগ্য|বোকা|কৃপণ|হিংস"")),""valence-target অমিল"",""""),IF(COUNTIF($B:$B,B3571)&gt;1,""ডুপ্লিকেট"",""""))"),"")</f>
        <v/>
      </c>
      <c r="Q3571" s="5" t="str">
        <f t="shared" si="1"/>
        <v>২ পরে</v>
      </c>
    </row>
    <row r="3572">
      <c r="A3572" s="4">
        <v>1386.0</v>
      </c>
      <c r="B3572" s="2" t="s">
        <v>14309</v>
      </c>
      <c r="C3572" s="2" t="s">
        <v>14310</v>
      </c>
      <c r="D3572" s="2" t="s">
        <v>14311</v>
      </c>
      <c r="E3572" s="2" t="s">
        <v>14312</v>
      </c>
      <c r="F3572" s="2" t="b">
        <v>1</v>
      </c>
      <c r="G3572" s="2" t="b">
        <v>0</v>
      </c>
      <c r="H3572" s="2" t="s">
        <v>14313</v>
      </c>
      <c r="I3572" s="2" t="s">
        <v>49</v>
      </c>
      <c r="J3572" s="2" t="s">
        <v>10356</v>
      </c>
      <c r="K3572" s="2" t="s">
        <v>376</v>
      </c>
      <c r="L3572" s="2" t="s">
        <v>391</v>
      </c>
      <c r="M3572" s="2" t="s">
        <v>26</v>
      </c>
      <c r="N3572" s="29"/>
      <c r="O3572" s="29"/>
      <c r="P3572" s="5" t="str">
        <f>IFERROR(__xludf.DUMMYFUNCTION("TEXTJOIN("" | "",TRUE,IF(OR(D3572="""",E3572="""",I3572="""",J3572="""",H3572=""""),""ফাঁকা ঘর"",""""),IF(AND(C3572&lt;&gt;"""",D3572&lt;&gt;"""",C3572=D3572),""gloss=figurative"",""""),IF(LEN(D3572)&lt;15,""figurative ছোট"",""""),IF(AND(I3572=""Positive"",REGEXMATCH(H3"&amp;"572,""মূর্খ|ভণ্ড|প্রতার|অলস|লোভ|স্বার্থ|অক্ষম|অযোগ্য|বোকা|কৃপণ|হিংস"")),""valence-target অমিল"",""""),IF(COUNTIF($B:$B,B3572)&gt;1,""ডুপ্লিকেট"",""""))"),"")</f>
        <v/>
      </c>
      <c r="Q3572" s="5" t="str">
        <f t="shared" si="1"/>
        <v>২ পরে</v>
      </c>
    </row>
    <row r="3573">
      <c r="A3573" s="4">
        <v>1387.0</v>
      </c>
      <c r="B3573" s="2" t="s">
        <v>14314</v>
      </c>
      <c r="C3573" s="2" t="s">
        <v>14315</v>
      </c>
      <c r="D3573" s="2" t="s">
        <v>14316</v>
      </c>
      <c r="E3573" s="2" t="s">
        <v>14317</v>
      </c>
      <c r="F3573" s="2" t="b">
        <v>1</v>
      </c>
      <c r="G3573" s="2" t="b">
        <v>0</v>
      </c>
      <c r="H3573" s="2" t="s">
        <v>37</v>
      </c>
      <c r="I3573" s="2" t="s">
        <v>32</v>
      </c>
      <c r="J3573" s="2" t="s">
        <v>162</v>
      </c>
      <c r="K3573" s="2" t="s">
        <v>376</v>
      </c>
      <c r="L3573" s="2" t="s">
        <v>391</v>
      </c>
      <c r="M3573" s="2" t="s">
        <v>26</v>
      </c>
      <c r="N3573" s="29"/>
      <c r="O3573" s="29"/>
      <c r="P3573" s="5" t="str">
        <f>IFERROR(__xludf.DUMMYFUNCTION("TEXTJOIN("" | "",TRUE,IF(OR(D3573="""",E3573="""",I3573="""",J3573="""",H3573=""""),""ফাঁকা ঘর"",""""),IF(AND(C3573&lt;&gt;"""",D3573&lt;&gt;"""",C3573=D3573),""gloss=figurative"",""""),IF(LEN(D3573)&lt;15,""figurative ছোট"",""""),IF(AND(I3573=""Positive"",REGEXMATCH(H3"&amp;"573,""মূর্খ|ভণ্ড|প্রতার|অলস|লোভ|স্বার্থ|অক্ষম|অযোগ্য|বোকা|কৃপণ|হিংস"")),""valence-target অমিল"",""""),IF(COUNTIF($B:$B,B3573)&gt;1,""ডুপ্লিকেট"",""""))"),"")</f>
        <v/>
      </c>
      <c r="Q3573" s="5" t="str">
        <f t="shared" si="1"/>
        <v>২ পরে</v>
      </c>
    </row>
    <row r="3574">
      <c r="A3574" s="4">
        <v>1388.0</v>
      </c>
      <c r="B3574" s="2" t="s">
        <v>14318</v>
      </c>
      <c r="C3574" s="2" t="s">
        <v>14319</v>
      </c>
      <c r="D3574" s="2" t="s">
        <v>14320</v>
      </c>
      <c r="E3574" s="2" t="s">
        <v>14321</v>
      </c>
      <c r="F3574" s="2" t="b">
        <v>1</v>
      </c>
      <c r="G3574" s="2" t="b">
        <v>0</v>
      </c>
      <c r="H3574" s="2" t="s">
        <v>14322</v>
      </c>
      <c r="I3574" s="2" t="s">
        <v>32</v>
      </c>
      <c r="J3574" s="2" t="s">
        <v>6697</v>
      </c>
      <c r="K3574" s="2" t="s">
        <v>376</v>
      </c>
      <c r="L3574" s="2" t="s">
        <v>391</v>
      </c>
      <c r="M3574" s="2" t="s">
        <v>26</v>
      </c>
      <c r="N3574" s="29"/>
      <c r="O3574" s="29"/>
      <c r="P3574" s="5" t="str">
        <f>IFERROR(__xludf.DUMMYFUNCTION("TEXTJOIN("" | "",TRUE,IF(OR(D3574="""",E3574="""",I3574="""",J3574="""",H3574=""""),""ফাঁকা ঘর"",""""),IF(AND(C3574&lt;&gt;"""",D3574&lt;&gt;"""",C3574=D3574),""gloss=figurative"",""""),IF(LEN(D3574)&lt;15,""figurative ছোট"",""""),IF(AND(I3574=""Positive"",REGEXMATCH(H3"&amp;"574,""মূর্খ|ভণ্ড|প্রতার|অলস|লোভ|স্বার্থ|অক্ষম|অযোগ্য|বোকা|কৃপণ|হিংস"")),""valence-target অমিল"",""""),IF(COUNTIF($B:$B,B3574)&gt;1,""ডুপ্লিকেট"",""""))"),"")</f>
        <v/>
      </c>
      <c r="Q3574" s="5" t="str">
        <f t="shared" si="1"/>
        <v>২ পরে</v>
      </c>
    </row>
    <row r="3575">
      <c r="A3575" s="4">
        <v>1389.0</v>
      </c>
      <c r="B3575" s="2" t="s">
        <v>14323</v>
      </c>
      <c r="C3575" s="2" t="s">
        <v>14324</v>
      </c>
      <c r="D3575" s="2" t="s">
        <v>14325</v>
      </c>
      <c r="E3575" s="2" t="s">
        <v>14326</v>
      </c>
      <c r="F3575" s="2" t="b">
        <v>1</v>
      </c>
      <c r="G3575" s="2" t="b">
        <v>0</v>
      </c>
      <c r="H3575" s="2" t="s">
        <v>10217</v>
      </c>
      <c r="I3575" s="2" t="s">
        <v>49</v>
      </c>
      <c r="J3575" s="2" t="s">
        <v>1259</v>
      </c>
      <c r="K3575" s="2" t="s">
        <v>376</v>
      </c>
      <c r="L3575" s="2" t="s">
        <v>391</v>
      </c>
      <c r="M3575" s="2" t="s">
        <v>26</v>
      </c>
      <c r="N3575" s="29"/>
      <c r="O3575" s="29"/>
      <c r="P3575" s="5" t="str">
        <f>IFERROR(__xludf.DUMMYFUNCTION("TEXTJOIN("" | "",TRUE,IF(OR(D3575="""",E3575="""",I3575="""",J3575="""",H3575=""""),""ফাঁকা ঘর"",""""),IF(AND(C3575&lt;&gt;"""",D3575&lt;&gt;"""",C3575=D3575),""gloss=figurative"",""""),IF(LEN(D3575)&lt;15,""figurative ছোট"",""""),IF(AND(I3575=""Positive"",REGEXMATCH(H3"&amp;"575,""মূর্খ|ভণ্ড|প্রতার|অলস|লোভ|স্বার্থ|অক্ষম|অযোগ্য|বোকা|কৃপণ|হিংস"")),""valence-target অমিল"",""""),IF(COUNTIF($B:$B,B3575)&gt;1,""ডুপ্লিকেট"",""""))"),"")</f>
        <v/>
      </c>
      <c r="Q3575" s="5" t="str">
        <f t="shared" si="1"/>
        <v>২ পরে</v>
      </c>
    </row>
    <row r="3576">
      <c r="A3576" s="4">
        <v>1390.0</v>
      </c>
      <c r="B3576" s="2" t="s">
        <v>14327</v>
      </c>
      <c r="C3576" s="2" t="s">
        <v>14328</v>
      </c>
      <c r="D3576" s="2" t="s">
        <v>14329</v>
      </c>
      <c r="E3576" s="2" t="s">
        <v>14330</v>
      </c>
      <c r="F3576" s="2" t="b">
        <v>1</v>
      </c>
      <c r="G3576" s="2" t="b">
        <v>0</v>
      </c>
      <c r="H3576" s="2" t="s">
        <v>31</v>
      </c>
      <c r="I3576" s="2" t="s">
        <v>32</v>
      </c>
      <c r="J3576" s="2" t="s">
        <v>13820</v>
      </c>
      <c r="K3576" s="2" t="s">
        <v>376</v>
      </c>
      <c r="L3576" s="2" t="s">
        <v>391</v>
      </c>
      <c r="M3576" s="2" t="s">
        <v>26</v>
      </c>
      <c r="N3576" s="29"/>
      <c r="O3576" s="29"/>
      <c r="P3576" s="5" t="str">
        <f>IFERROR(__xludf.DUMMYFUNCTION("TEXTJOIN("" | "",TRUE,IF(OR(D3576="""",E3576="""",I3576="""",J3576="""",H3576=""""),""ফাঁকা ঘর"",""""),IF(AND(C3576&lt;&gt;"""",D3576&lt;&gt;"""",C3576=D3576),""gloss=figurative"",""""),IF(LEN(D3576)&lt;15,""figurative ছোট"",""""),IF(AND(I3576=""Positive"",REGEXMATCH(H3"&amp;"576,""মূর্খ|ভণ্ড|প্রতার|অলস|লোভ|স্বার্থ|অক্ষম|অযোগ্য|বোকা|কৃপণ|হিংস"")),""valence-target অমিল"",""""),IF(COUNTIF($B:$B,B3576)&gt;1,""ডুপ্লিকেট"",""""))"),"")</f>
        <v/>
      </c>
      <c r="Q3576" s="5" t="str">
        <f t="shared" si="1"/>
        <v>২ পরে</v>
      </c>
    </row>
    <row r="3577">
      <c r="A3577" s="4">
        <v>1391.0</v>
      </c>
      <c r="B3577" s="2" t="s">
        <v>14331</v>
      </c>
      <c r="C3577" s="2" t="s">
        <v>14332</v>
      </c>
      <c r="D3577" s="2" t="s">
        <v>14333</v>
      </c>
      <c r="E3577" s="2" t="s">
        <v>14334</v>
      </c>
      <c r="F3577" s="2" t="b">
        <v>1</v>
      </c>
      <c r="G3577" s="2" t="b">
        <v>0</v>
      </c>
      <c r="H3577" s="2" t="s">
        <v>37</v>
      </c>
      <c r="I3577" s="2" t="s">
        <v>32</v>
      </c>
      <c r="J3577" s="2" t="s">
        <v>162</v>
      </c>
      <c r="K3577" s="2" t="s">
        <v>376</v>
      </c>
      <c r="L3577" s="2" t="s">
        <v>391</v>
      </c>
      <c r="M3577" s="2" t="s">
        <v>26</v>
      </c>
      <c r="N3577" s="29"/>
      <c r="O3577" s="29"/>
      <c r="P3577" s="5" t="str">
        <f>IFERROR(__xludf.DUMMYFUNCTION("TEXTJOIN("" | "",TRUE,IF(OR(D3577="""",E3577="""",I3577="""",J3577="""",H3577=""""),""ফাঁকা ঘর"",""""),IF(AND(C3577&lt;&gt;"""",D3577&lt;&gt;"""",C3577=D3577),""gloss=figurative"",""""),IF(LEN(D3577)&lt;15,""figurative ছোট"",""""),IF(AND(I3577=""Positive"",REGEXMATCH(H3"&amp;"577,""মূর্খ|ভণ্ড|প্রতার|অলস|লোভ|স্বার্থ|অক্ষম|অযোগ্য|বোকা|কৃপণ|হিংস"")),""valence-target অমিল"",""""),IF(COUNTIF($B:$B,B3577)&gt;1,""ডুপ্লিকেট"",""""))"),"")</f>
        <v/>
      </c>
      <c r="Q3577" s="5" t="str">
        <f t="shared" si="1"/>
        <v>২ পরে</v>
      </c>
    </row>
    <row r="3578">
      <c r="A3578" s="4">
        <v>1392.0</v>
      </c>
      <c r="B3578" s="2" t="s">
        <v>14335</v>
      </c>
      <c r="C3578" s="2" t="s">
        <v>14336</v>
      </c>
      <c r="D3578" s="2" t="s">
        <v>14337</v>
      </c>
      <c r="E3578" s="2" t="s">
        <v>14338</v>
      </c>
      <c r="F3578" s="2" t="b">
        <v>1</v>
      </c>
      <c r="G3578" s="2" t="b">
        <v>0</v>
      </c>
      <c r="H3578" s="2" t="s">
        <v>14339</v>
      </c>
      <c r="I3578" s="2" t="s">
        <v>32</v>
      </c>
      <c r="J3578" s="2" t="s">
        <v>1621</v>
      </c>
      <c r="K3578" s="2" t="s">
        <v>376</v>
      </c>
      <c r="L3578" s="2" t="s">
        <v>391</v>
      </c>
      <c r="M3578" s="2" t="s">
        <v>26</v>
      </c>
      <c r="N3578" s="29"/>
      <c r="O3578" s="29"/>
      <c r="P3578" s="5" t="str">
        <f>IFERROR(__xludf.DUMMYFUNCTION("TEXTJOIN("" | "",TRUE,IF(OR(D3578="""",E3578="""",I3578="""",J3578="""",H3578=""""),""ফাঁকা ঘর"",""""),IF(AND(C3578&lt;&gt;"""",D3578&lt;&gt;"""",C3578=D3578),""gloss=figurative"",""""),IF(LEN(D3578)&lt;15,""figurative ছোট"",""""),IF(AND(I3578=""Positive"",REGEXMATCH(H3"&amp;"578,""মূর্খ|ভণ্ড|প্রতার|অলস|লোভ|স্বার্থ|অক্ষম|অযোগ্য|বোকা|কৃপণ|হিংস"")),""valence-target অমিল"",""""),IF(COUNTIF($B:$B,B3578)&gt;1,""ডুপ্লিকেট"",""""))"),"")</f>
        <v/>
      </c>
      <c r="Q3578" s="5" t="str">
        <f t="shared" si="1"/>
        <v>২ পরে</v>
      </c>
    </row>
    <row r="3579">
      <c r="A3579" s="4">
        <v>1393.0</v>
      </c>
      <c r="B3579" s="2" t="s">
        <v>14340</v>
      </c>
      <c r="C3579" s="2" t="s">
        <v>14341</v>
      </c>
      <c r="D3579" s="2" t="s">
        <v>14342</v>
      </c>
      <c r="E3579" s="2" t="s">
        <v>14343</v>
      </c>
      <c r="F3579" s="2" t="b">
        <v>1</v>
      </c>
      <c r="G3579" s="2" t="b">
        <v>0</v>
      </c>
      <c r="H3579" s="2" t="s">
        <v>37</v>
      </c>
      <c r="I3579" s="2" t="s">
        <v>32</v>
      </c>
      <c r="J3579" s="2" t="s">
        <v>13060</v>
      </c>
      <c r="K3579" s="2" t="s">
        <v>376</v>
      </c>
      <c r="L3579" s="2" t="s">
        <v>391</v>
      </c>
      <c r="M3579" s="2" t="s">
        <v>26</v>
      </c>
      <c r="N3579" s="29"/>
      <c r="O3579" s="29"/>
      <c r="P3579" s="5" t="str">
        <f>IFERROR(__xludf.DUMMYFUNCTION("TEXTJOIN("" | "",TRUE,IF(OR(D3579="""",E3579="""",I3579="""",J3579="""",H3579=""""),""ফাঁকা ঘর"",""""),IF(AND(C3579&lt;&gt;"""",D3579&lt;&gt;"""",C3579=D3579),""gloss=figurative"",""""),IF(LEN(D3579)&lt;15,""figurative ছোট"",""""),IF(AND(I3579=""Positive"",REGEXMATCH(H3"&amp;"579,""মূর্খ|ভণ্ড|প্রতার|অলস|লোভ|স্বার্থ|অক্ষম|অযোগ্য|বোকা|কৃপণ|হিংস"")),""valence-target অমিল"",""""),IF(COUNTIF($B:$B,B3579)&gt;1,""ডুপ্লিকেট"",""""))"),"")</f>
        <v/>
      </c>
      <c r="Q3579" s="5" t="str">
        <f t="shared" si="1"/>
        <v>২ পরে</v>
      </c>
    </row>
    <row r="3580">
      <c r="A3580" s="4">
        <v>1394.0</v>
      </c>
      <c r="B3580" s="2" t="s">
        <v>14344</v>
      </c>
      <c r="C3580" s="2" t="s">
        <v>6838</v>
      </c>
      <c r="D3580" s="2" t="s">
        <v>14345</v>
      </c>
      <c r="E3580" s="2" t="s">
        <v>14346</v>
      </c>
      <c r="F3580" s="2" t="b">
        <v>1</v>
      </c>
      <c r="G3580" s="2" t="b">
        <v>0</v>
      </c>
      <c r="H3580" s="2" t="s">
        <v>14347</v>
      </c>
      <c r="I3580" s="2" t="s">
        <v>22</v>
      </c>
      <c r="J3580" s="2" t="s">
        <v>59</v>
      </c>
      <c r="K3580" s="2" t="s">
        <v>376</v>
      </c>
      <c r="L3580" s="2" t="s">
        <v>391</v>
      </c>
      <c r="M3580" s="2" t="s">
        <v>26</v>
      </c>
      <c r="N3580" s="29"/>
      <c r="O3580" s="29"/>
      <c r="P3580" s="5" t="str">
        <f>IFERROR(__xludf.DUMMYFUNCTION("TEXTJOIN("" | "",TRUE,IF(OR(D3580="""",E3580="""",I3580="""",J3580="""",H3580=""""),""ফাঁকা ঘর"",""""),IF(AND(C3580&lt;&gt;"""",D3580&lt;&gt;"""",C3580=D3580),""gloss=figurative"",""""),IF(LEN(D3580)&lt;15,""figurative ছোট"",""""),IF(AND(I3580=""Positive"",REGEXMATCH(H3"&amp;"580,""মূর্খ|ভণ্ড|প্রতার|অলস|লোভ|স্বার্থ|অক্ষম|অযোগ্য|বোকা|কৃপণ|হিংস"")),""valence-target অমিল"",""""),IF(COUNTIF($B:$B,B3580)&gt;1,""ডুপ্লিকেট"",""""))"),"")</f>
        <v/>
      </c>
      <c r="Q3580" s="5" t="str">
        <f t="shared" si="1"/>
        <v>২ পরে</v>
      </c>
    </row>
    <row r="3581">
      <c r="A3581" s="4">
        <v>1395.0</v>
      </c>
      <c r="B3581" s="2" t="s">
        <v>14348</v>
      </c>
      <c r="C3581" s="2" t="s">
        <v>14349</v>
      </c>
      <c r="D3581" s="2" t="s">
        <v>14350</v>
      </c>
      <c r="E3581" s="2" t="s">
        <v>14351</v>
      </c>
      <c r="F3581" s="2" t="b">
        <v>1</v>
      </c>
      <c r="G3581" s="2" t="b">
        <v>0</v>
      </c>
      <c r="H3581" s="2" t="s">
        <v>14352</v>
      </c>
      <c r="I3581" s="2" t="s">
        <v>32</v>
      </c>
      <c r="J3581" s="2" t="s">
        <v>10356</v>
      </c>
      <c r="K3581" s="2" t="s">
        <v>376</v>
      </c>
      <c r="L3581" s="2" t="s">
        <v>391</v>
      </c>
      <c r="M3581" s="2" t="s">
        <v>26</v>
      </c>
      <c r="N3581" s="29"/>
      <c r="O3581" s="29"/>
      <c r="P3581" s="5" t="str">
        <f>IFERROR(__xludf.DUMMYFUNCTION("TEXTJOIN("" | "",TRUE,IF(OR(D3581="""",E3581="""",I3581="""",J3581="""",H3581=""""),""ফাঁকা ঘর"",""""),IF(AND(C3581&lt;&gt;"""",D3581&lt;&gt;"""",C3581=D3581),""gloss=figurative"",""""),IF(LEN(D3581)&lt;15,""figurative ছোট"",""""),IF(AND(I3581=""Positive"",REGEXMATCH(H3"&amp;"581,""মূর্খ|ভণ্ড|প্রতার|অলস|লোভ|স্বার্থ|অক্ষম|অযোগ্য|বোকা|কৃপণ|হিংস"")),""valence-target অমিল"",""""),IF(COUNTIF($B:$B,B3581)&gt;1,""ডুপ্লিকেট"",""""))"),"")</f>
        <v/>
      </c>
      <c r="Q3581" s="5" t="str">
        <f t="shared" si="1"/>
        <v>২ পরে</v>
      </c>
    </row>
    <row r="3582">
      <c r="A3582" s="4">
        <v>1396.0</v>
      </c>
      <c r="B3582" s="2" t="s">
        <v>14353</v>
      </c>
      <c r="C3582" s="2" t="s">
        <v>14354</v>
      </c>
      <c r="D3582" s="2" t="s">
        <v>14355</v>
      </c>
      <c r="E3582" s="2" t="s">
        <v>14356</v>
      </c>
      <c r="F3582" s="2" t="b">
        <v>1</v>
      </c>
      <c r="G3582" s="2" t="b">
        <v>1</v>
      </c>
      <c r="H3582" s="2" t="s">
        <v>14357</v>
      </c>
      <c r="I3582" s="2" t="s">
        <v>32</v>
      </c>
      <c r="J3582" s="2" t="s">
        <v>9301</v>
      </c>
      <c r="K3582" s="2" t="s">
        <v>376</v>
      </c>
      <c r="L3582" s="2" t="s">
        <v>391</v>
      </c>
      <c r="M3582" s="2" t="s">
        <v>26</v>
      </c>
      <c r="N3582" s="29"/>
      <c r="O3582" s="29"/>
      <c r="P3582" s="5" t="str">
        <f>IFERROR(__xludf.DUMMYFUNCTION("TEXTJOIN("" | "",TRUE,IF(OR(D3582="""",E3582="""",I3582="""",J3582="""",H3582=""""),""ফাঁকা ঘর"",""""),IF(AND(C3582&lt;&gt;"""",D3582&lt;&gt;"""",C3582=D3582),""gloss=figurative"",""""),IF(LEN(D3582)&lt;15,""figurative ছোট"",""""),IF(AND(I3582=""Positive"",REGEXMATCH(H3"&amp;"582,""মূর্খ|ভণ্ড|প্রতার|অলস|লোভ|স্বার্থ|অক্ষম|অযোগ্য|বোকা|কৃপণ|হিংস"")),""valence-target অমিল"",""""),IF(COUNTIF($B:$B,B3582)&gt;1,""ডুপ্লিকেট"",""""))"),"")</f>
        <v/>
      </c>
      <c r="Q3582" s="5" t="str">
        <f t="shared" si="1"/>
        <v>২ পরে</v>
      </c>
    </row>
    <row r="3583">
      <c r="A3583" s="4">
        <v>1397.0</v>
      </c>
      <c r="B3583" s="2" t="s">
        <v>14358</v>
      </c>
      <c r="C3583" s="2" t="s">
        <v>14359</v>
      </c>
      <c r="D3583" s="2" t="s">
        <v>14360</v>
      </c>
      <c r="E3583" s="2" t="s">
        <v>14361</v>
      </c>
      <c r="F3583" s="2" t="b">
        <v>1</v>
      </c>
      <c r="G3583" s="2" t="b">
        <v>1</v>
      </c>
      <c r="H3583" s="2" t="s">
        <v>12426</v>
      </c>
      <c r="I3583" s="2" t="s">
        <v>22</v>
      </c>
      <c r="J3583" s="2" t="s">
        <v>8895</v>
      </c>
      <c r="K3583" s="2" t="s">
        <v>376</v>
      </c>
      <c r="L3583" s="2" t="s">
        <v>391</v>
      </c>
      <c r="M3583" s="2" t="s">
        <v>26</v>
      </c>
      <c r="N3583" s="29"/>
      <c r="O3583" s="29"/>
      <c r="P3583" s="5" t="str">
        <f>IFERROR(__xludf.DUMMYFUNCTION("TEXTJOIN("" | "",TRUE,IF(OR(D3583="""",E3583="""",I3583="""",J3583="""",H3583=""""),""ফাঁকা ঘর"",""""),IF(AND(C3583&lt;&gt;"""",D3583&lt;&gt;"""",C3583=D3583),""gloss=figurative"",""""),IF(LEN(D3583)&lt;15,""figurative ছোট"",""""),IF(AND(I3583=""Positive"",REGEXMATCH(H3"&amp;"583,""মূর্খ|ভণ্ড|প্রতার|অলস|লোভ|স্বার্থ|অক্ষম|অযোগ্য|বোকা|কৃপণ|হিংস"")),""valence-target অমিল"",""""),IF(COUNTIF($B:$B,B3583)&gt;1,""ডুপ্লিকেট"",""""))"),"")</f>
        <v/>
      </c>
      <c r="Q3583" s="5" t="str">
        <f t="shared" si="1"/>
        <v>২ পরে</v>
      </c>
    </row>
    <row r="3584">
      <c r="A3584" s="4">
        <v>1398.0</v>
      </c>
      <c r="B3584" s="2" t="s">
        <v>14362</v>
      </c>
      <c r="C3584" s="2" t="s">
        <v>14363</v>
      </c>
      <c r="D3584" s="2" t="s">
        <v>14364</v>
      </c>
      <c r="E3584" s="2" t="s">
        <v>14365</v>
      </c>
      <c r="F3584" s="2" t="b">
        <v>1</v>
      </c>
      <c r="G3584" s="2" t="b">
        <v>0</v>
      </c>
      <c r="H3584" s="2" t="s">
        <v>9359</v>
      </c>
      <c r="I3584" s="2" t="s">
        <v>22</v>
      </c>
      <c r="J3584" s="2" t="s">
        <v>123</v>
      </c>
      <c r="K3584" s="2" t="s">
        <v>376</v>
      </c>
      <c r="L3584" s="2" t="s">
        <v>391</v>
      </c>
      <c r="M3584" s="2" t="s">
        <v>26</v>
      </c>
      <c r="N3584" s="29"/>
      <c r="O3584" s="29"/>
      <c r="P3584" s="5" t="str">
        <f>IFERROR(__xludf.DUMMYFUNCTION("TEXTJOIN("" | "",TRUE,IF(OR(D3584="""",E3584="""",I3584="""",J3584="""",H3584=""""),""ফাঁকা ঘর"",""""),IF(AND(C3584&lt;&gt;"""",D3584&lt;&gt;"""",C3584=D3584),""gloss=figurative"",""""),IF(LEN(D3584)&lt;15,""figurative ছোট"",""""),IF(AND(I3584=""Positive"",REGEXMATCH(H3"&amp;"584,""মূর্খ|ভণ্ড|প্রতার|অলস|লোভ|স্বার্থ|অক্ষম|অযোগ্য|বোকা|কৃপণ|হিংস"")),""valence-target অমিল"",""""),IF(COUNTIF($B:$B,B3584)&gt;1,""ডুপ্লিকেট"",""""))"),"")</f>
        <v/>
      </c>
      <c r="Q3584" s="5" t="str">
        <f t="shared" si="1"/>
        <v>২ পরে</v>
      </c>
    </row>
    <row r="3585">
      <c r="A3585" s="4">
        <v>1399.0</v>
      </c>
      <c r="B3585" s="2" t="s">
        <v>14366</v>
      </c>
      <c r="C3585" s="2" t="s">
        <v>14367</v>
      </c>
      <c r="D3585" s="2" t="s">
        <v>14368</v>
      </c>
      <c r="E3585" s="2" t="s">
        <v>14369</v>
      </c>
      <c r="F3585" s="2" t="b">
        <v>1</v>
      </c>
      <c r="G3585" s="2" t="b">
        <v>0</v>
      </c>
      <c r="H3585" s="2" t="s">
        <v>9380</v>
      </c>
      <c r="I3585" s="2" t="s">
        <v>22</v>
      </c>
      <c r="J3585" s="2" t="s">
        <v>59</v>
      </c>
      <c r="K3585" s="2" t="s">
        <v>376</v>
      </c>
      <c r="L3585" s="2" t="s">
        <v>391</v>
      </c>
      <c r="M3585" s="2" t="s">
        <v>26</v>
      </c>
      <c r="N3585" s="29"/>
      <c r="O3585" s="29"/>
      <c r="P3585" s="5" t="str">
        <f>IFERROR(__xludf.DUMMYFUNCTION("TEXTJOIN("" | "",TRUE,IF(OR(D3585="""",E3585="""",I3585="""",J3585="""",H3585=""""),""ফাঁকা ঘর"",""""),IF(AND(C3585&lt;&gt;"""",D3585&lt;&gt;"""",C3585=D3585),""gloss=figurative"",""""),IF(LEN(D3585)&lt;15,""figurative ছোট"",""""),IF(AND(I3585=""Positive"",REGEXMATCH(H3"&amp;"585,""মূর্খ|ভণ্ড|প্রতার|অলস|লোভ|স্বার্থ|অক্ষম|অযোগ্য|বোকা|কৃপণ|হিংস"")),""valence-target অমিল"",""""),IF(COUNTIF($B:$B,B3585)&gt;1,""ডুপ্লিকেট"",""""))"),"")</f>
        <v/>
      </c>
      <c r="Q3585" s="5" t="str">
        <f t="shared" si="1"/>
        <v>২ পরে</v>
      </c>
    </row>
    <row r="3586">
      <c r="A3586" s="4">
        <v>1400.0</v>
      </c>
      <c r="B3586" s="2" t="s">
        <v>14370</v>
      </c>
      <c r="C3586" s="2" t="s">
        <v>14371</v>
      </c>
      <c r="D3586" s="2" t="s">
        <v>14372</v>
      </c>
      <c r="E3586" s="2" t="s">
        <v>14373</v>
      </c>
      <c r="F3586" s="2" t="b">
        <v>1</v>
      </c>
      <c r="G3586" s="2" t="b">
        <v>0</v>
      </c>
      <c r="H3586" s="2" t="s">
        <v>37</v>
      </c>
      <c r="I3586" s="2" t="s">
        <v>22</v>
      </c>
      <c r="J3586" s="2" t="s">
        <v>13060</v>
      </c>
      <c r="K3586" s="2" t="s">
        <v>376</v>
      </c>
      <c r="L3586" s="2" t="s">
        <v>391</v>
      </c>
      <c r="M3586" s="2" t="s">
        <v>26</v>
      </c>
      <c r="N3586" s="29"/>
      <c r="O3586" s="29"/>
      <c r="P3586" s="5" t="str">
        <f>IFERROR(__xludf.DUMMYFUNCTION("TEXTJOIN("" | "",TRUE,IF(OR(D3586="""",E3586="""",I3586="""",J3586="""",H3586=""""),""ফাঁকা ঘর"",""""),IF(AND(C3586&lt;&gt;"""",D3586&lt;&gt;"""",C3586=D3586),""gloss=figurative"",""""),IF(LEN(D3586)&lt;15,""figurative ছোট"",""""),IF(AND(I3586=""Positive"",REGEXMATCH(H3"&amp;"586,""মূর্খ|ভণ্ড|প্রতার|অলস|লোভ|স্বার্থ|অক্ষম|অযোগ্য|বোকা|কৃপণ|হিংস"")),""valence-target অমিল"",""""),IF(COUNTIF($B:$B,B3586)&gt;1,""ডুপ্লিকেট"",""""))"),"")</f>
        <v/>
      </c>
      <c r="Q3586" s="5" t="str">
        <f t="shared" si="1"/>
        <v>২ পরে</v>
      </c>
    </row>
    <row r="3587">
      <c r="A3587" s="4">
        <v>1402.0</v>
      </c>
      <c r="B3587" s="2" t="s">
        <v>14374</v>
      </c>
      <c r="C3587" s="2" t="s">
        <v>14375</v>
      </c>
      <c r="D3587" s="2" t="s">
        <v>14376</v>
      </c>
      <c r="E3587" s="2" t="s">
        <v>14377</v>
      </c>
      <c r="F3587" s="2" t="b">
        <v>1</v>
      </c>
      <c r="G3587" s="2" t="b">
        <v>0</v>
      </c>
      <c r="H3587" s="2" t="s">
        <v>37</v>
      </c>
      <c r="I3587" s="2" t="s">
        <v>32</v>
      </c>
      <c r="J3587" s="2" t="s">
        <v>13060</v>
      </c>
      <c r="K3587" s="2" t="s">
        <v>376</v>
      </c>
      <c r="L3587" s="2" t="s">
        <v>391</v>
      </c>
      <c r="M3587" s="2" t="s">
        <v>26</v>
      </c>
      <c r="N3587" s="29"/>
      <c r="O3587" s="29"/>
      <c r="P3587" s="5" t="str">
        <f>IFERROR(__xludf.DUMMYFUNCTION("TEXTJOIN("" | "",TRUE,IF(OR(D3587="""",E3587="""",I3587="""",J3587="""",H3587=""""),""ফাঁকা ঘর"",""""),IF(AND(C3587&lt;&gt;"""",D3587&lt;&gt;"""",C3587=D3587),""gloss=figurative"",""""),IF(LEN(D3587)&lt;15,""figurative ছোট"",""""),IF(AND(I3587=""Positive"",REGEXMATCH(H3"&amp;"587,""মূর্খ|ভণ্ড|প্রতার|অলস|লোভ|স্বার্থ|অক্ষম|অযোগ্য|বোকা|কৃপণ|হিংস"")),""valence-target অমিল"",""""),IF(COUNTIF($B:$B,B3587)&gt;1,""ডুপ্লিকেট"",""""))"),"")</f>
        <v/>
      </c>
      <c r="Q3587" s="5" t="str">
        <f t="shared" si="1"/>
        <v>২ পরে</v>
      </c>
    </row>
    <row r="3588">
      <c r="A3588" s="4">
        <v>1403.0</v>
      </c>
      <c r="B3588" s="2" t="s">
        <v>14378</v>
      </c>
      <c r="C3588" s="2" t="s">
        <v>14379</v>
      </c>
      <c r="D3588" s="2" t="s">
        <v>14380</v>
      </c>
      <c r="E3588" s="2" t="s">
        <v>14381</v>
      </c>
      <c r="F3588" s="2" t="b">
        <v>1</v>
      </c>
      <c r="G3588" s="2" t="b">
        <v>0</v>
      </c>
      <c r="H3588" s="2" t="s">
        <v>14382</v>
      </c>
      <c r="I3588" s="2" t="s">
        <v>49</v>
      </c>
      <c r="J3588" s="2" t="s">
        <v>1621</v>
      </c>
      <c r="K3588" s="2" t="s">
        <v>376</v>
      </c>
      <c r="L3588" s="2" t="s">
        <v>391</v>
      </c>
      <c r="M3588" s="2" t="s">
        <v>26</v>
      </c>
      <c r="N3588" s="29"/>
      <c r="O3588" s="29"/>
      <c r="P3588" s="5" t="str">
        <f>IFERROR(__xludf.DUMMYFUNCTION("TEXTJOIN("" | "",TRUE,IF(OR(D3588="""",E3588="""",I3588="""",J3588="""",H3588=""""),""ফাঁকা ঘর"",""""),IF(AND(C3588&lt;&gt;"""",D3588&lt;&gt;"""",C3588=D3588),""gloss=figurative"",""""),IF(LEN(D3588)&lt;15,""figurative ছোট"",""""),IF(AND(I3588=""Positive"",REGEXMATCH(H3"&amp;"588,""মূর্খ|ভণ্ড|প্রতার|অলস|লোভ|স্বার্থ|অক্ষম|অযোগ্য|বোকা|কৃপণ|হিংস"")),""valence-target অমিল"",""""),IF(COUNTIF($B:$B,B3588)&gt;1,""ডুপ্লিকেট"",""""))"),"")</f>
        <v/>
      </c>
      <c r="Q3588" s="5" t="str">
        <f t="shared" si="1"/>
        <v>২ পরে</v>
      </c>
    </row>
    <row r="3589">
      <c r="A3589" s="4">
        <v>1404.0</v>
      </c>
      <c r="B3589" s="2" t="s">
        <v>14383</v>
      </c>
      <c r="C3589" s="2" t="s">
        <v>14384</v>
      </c>
      <c r="D3589" s="2" t="s">
        <v>14385</v>
      </c>
      <c r="E3589" s="2" t="s">
        <v>14386</v>
      </c>
      <c r="F3589" s="2" t="b">
        <v>1</v>
      </c>
      <c r="G3589" s="2" t="b">
        <v>0</v>
      </c>
      <c r="H3589" s="2" t="s">
        <v>6612</v>
      </c>
      <c r="I3589" s="2" t="s">
        <v>22</v>
      </c>
      <c r="J3589" s="2" t="s">
        <v>142</v>
      </c>
      <c r="K3589" s="2" t="s">
        <v>376</v>
      </c>
      <c r="L3589" s="2" t="s">
        <v>391</v>
      </c>
      <c r="M3589" s="2" t="s">
        <v>26</v>
      </c>
      <c r="N3589" s="29"/>
      <c r="O3589" s="29"/>
      <c r="P3589" s="5" t="str">
        <f>IFERROR(__xludf.DUMMYFUNCTION("TEXTJOIN("" | "",TRUE,IF(OR(D3589="""",E3589="""",I3589="""",J3589="""",H3589=""""),""ফাঁকা ঘর"",""""),IF(AND(C3589&lt;&gt;"""",D3589&lt;&gt;"""",C3589=D3589),""gloss=figurative"",""""),IF(LEN(D3589)&lt;15,""figurative ছোট"",""""),IF(AND(I3589=""Positive"",REGEXMATCH(H3"&amp;"589,""মূর্খ|ভণ্ড|প্রতার|অলস|লোভ|স্বার্থ|অক্ষম|অযোগ্য|বোকা|কৃপণ|হিংস"")),""valence-target অমিল"",""""),IF(COUNTIF($B:$B,B3589)&gt;1,""ডুপ্লিকেট"",""""))"),"")</f>
        <v/>
      </c>
      <c r="Q3589" s="5" t="str">
        <f t="shared" si="1"/>
        <v>২ পরে</v>
      </c>
    </row>
    <row r="3590">
      <c r="A3590" s="4">
        <v>1405.0</v>
      </c>
      <c r="B3590" s="2" t="s">
        <v>14387</v>
      </c>
      <c r="C3590" s="2" t="s">
        <v>14388</v>
      </c>
      <c r="D3590" s="2" t="s">
        <v>14389</v>
      </c>
      <c r="E3590" s="2" t="s">
        <v>14390</v>
      </c>
      <c r="F3590" s="2" t="b">
        <v>1</v>
      </c>
      <c r="G3590" s="2" t="b">
        <v>0</v>
      </c>
      <c r="H3590" s="2" t="s">
        <v>14339</v>
      </c>
      <c r="I3590" s="2" t="s">
        <v>32</v>
      </c>
      <c r="J3590" s="2" t="s">
        <v>1621</v>
      </c>
      <c r="K3590" s="2" t="s">
        <v>376</v>
      </c>
      <c r="L3590" s="2" t="s">
        <v>391</v>
      </c>
      <c r="M3590" s="2" t="s">
        <v>26</v>
      </c>
      <c r="N3590" s="29"/>
      <c r="O3590" s="29"/>
      <c r="P3590" s="5" t="str">
        <f>IFERROR(__xludf.DUMMYFUNCTION("TEXTJOIN("" | "",TRUE,IF(OR(D3590="""",E3590="""",I3590="""",J3590="""",H3590=""""),""ফাঁকা ঘর"",""""),IF(AND(C3590&lt;&gt;"""",D3590&lt;&gt;"""",C3590=D3590),""gloss=figurative"",""""),IF(LEN(D3590)&lt;15,""figurative ছোট"",""""),IF(AND(I3590=""Positive"",REGEXMATCH(H3"&amp;"590,""মূর্খ|ভণ্ড|প্রতার|অলস|লোভ|স্বার্থ|অক্ষম|অযোগ্য|বোকা|কৃপণ|হিংস"")),""valence-target অমিল"",""""),IF(COUNTIF($B:$B,B3590)&gt;1,""ডুপ্লিকেট"",""""))"),"")</f>
        <v/>
      </c>
      <c r="Q3590" s="5" t="str">
        <f t="shared" si="1"/>
        <v>২ পরে</v>
      </c>
    </row>
    <row r="3591">
      <c r="A3591" s="4">
        <v>1406.0</v>
      </c>
      <c r="B3591" s="2" t="s">
        <v>14391</v>
      </c>
      <c r="C3591" s="2" t="s">
        <v>14392</v>
      </c>
      <c r="D3591" s="2" t="s">
        <v>14393</v>
      </c>
      <c r="E3591" s="2" t="s">
        <v>14394</v>
      </c>
      <c r="F3591" s="2" t="b">
        <v>1</v>
      </c>
      <c r="G3591" s="2" t="b">
        <v>0</v>
      </c>
      <c r="H3591" s="2" t="s">
        <v>251</v>
      </c>
      <c r="I3591" s="2" t="s">
        <v>22</v>
      </c>
      <c r="J3591" s="2" t="s">
        <v>197</v>
      </c>
      <c r="K3591" s="2" t="s">
        <v>376</v>
      </c>
      <c r="L3591" s="2" t="s">
        <v>391</v>
      </c>
      <c r="M3591" s="2" t="s">
        <v>26</v>
      </c>
      <c r="N3591" s="29"/>
      <c r="O3591" s="29"/>
      <c r="P3591" s="5" t="str">
        <f>IFERROR(__xludf.DUMMYFUNCTION("TEXTJOIN("" | "",TRUE,IF(OR(D3591="""",E3591="""",I3591="""",J3591="""",H3591=""""),""ফাঁকা ঘর"",""""),IF(AND(C3591&lt;&gt;"""",D3591&lt;&gt;"""",C3591=D3591),""gloss=figurative"",""""),IF(LEN(D3591)&lt;15,""figurative ছোট"",""""),IF(AND(I3591=""Positive"",REGEXMATCH(H3"&amp;"591,""মূর্খ|ভণ্ড|প্রতার|অলস|লোভ|স্বার্থ|অক্ষম|অযোগ্য|বোকা|কৃপণ|হিংস"")),""valence-target অমিল"",""""),IF(COUNTIF($B:$B,B3591)&gt;1,""ডুপ্লিকেট"",""""))"),"")</f>
        <v/>
      </c>
      <c r="Q3591" s="5" t="str">
        <f t="shared" si="1"/>
        <v>২ পরে</v>
      </c>
    </row>
    <row r="3592">
      <c r="A3592" s="4">
        <v>1407.0</v>
      </c>
      <c r="B3592" s="2" t="s">
        <v>14395</v>
      </c>
      <c r="C3592" s="2" t="s">
        <v>14396</v>
      </c>
      <c r="D3592" s="2" t="s">
        <v>14397</v>
      </c>
      <c r="E3592" s="2" t="s">
        <v>14398</v>
      </c>
      <c r="F3592" s="2" t="b">
        <v>1</v>
      </c>
      <c r="G3592" s="2" t="b">
        <v>0</v>
      </c>
      <c r="H3592" s="2" t="s">
        <v>14399</v>
      </c>
      <c r="I3592" s="2" t="s">
        <v>32</v>
      </c>
      <c r="J3592" s="2" t="s">
        <v>13060</v>
      </c>
      <c r="K3592" s="2" t="s">
        <v>376</v>
      </c>
      <c r="L3592" s="2" t="s">
        <v>391</v>
      </c>
      <c r="M3592" s="2" t="s">
        <v>26</v>
      </c>
      <c r="N3592" s="29"/>
      <c r="O3592" s="29"/>
      <c r="P3592" s="5" t="str">
        <f>IFERROR(__xludf.DUMMYFUNCTION("TEXTJOIN("" | "",TRUE,IF(OR(D3592="""",E3592="""",I3592="""",J3592="""",H3592=""""),""ফাঁকা ঘর"",""""),IF(AND(C3592&lt;&gt;"""",D3592&lt;&gt;"""",C3592=D3592),""gloss=figurative"",""""),IF(LEN(D3592)&lt;15,""figurative ছোট"",""""),IF(AND(I3592=""Positive"",REGEXMATCH(H3"&amp;"592,""মূর্খ|ভণ্ড|প্রতার|অলস|লোভ|স্বার্থ|অক্ষম|অযোগ্য|বোকা|কৃপণ|হিংস"")),""valence-target অমিল"",""""),IF(COUNTIF($B:$B,B3592)&gt;1,""ডুপ্লিকেট"",""""))"),"")</f>
        <v/>
      </c>
      <c r="Q3592" s="5" t="str">
        <f t="shared" si="1"/>
        <v>২ পরে</v>
      </c>
    </row>
    <row r="3593">
      <c r="A3593" s="4">
        <v>1408.0</v>
      </c>
      <c r="B3593" s="2" t="s">
        <v>14400</v>
      </c>
      <c r="C3593" s="2" t="s">
        <v>14401</v>
      </c>
      <c r="D3593" s="2" t="s">
        <v>14402</v>
      </c>
      <c r="E3593" s="2" t="s">
        <v>14403</v>
      </c>
      <c r="F3593" s="2" t="b">
        <v>1</v>
      </c>
      <c r="G3593" s="2" t="b">
        <v>0</v>
      </c>
      <c r="H3593" s="2" t="s">
        <v>37</v>
      </c>
      <c r="I3593" s="2" t="s">
        <v>32</v>
      </c>
      <c r="J3593" s="2" t="s">
        <v>13060</v>
      </c>
      <c r="K3593" s="2" t="s">
        <v>376</v>
      </c>
      <c r="L3593" s="2" t="s">
        <v>391</v>
      </c>
      <c r="M3593" s="2" t="s">
        <v>26</v>
      </c>
      <c r="N3593" s="29"/>
      <c r="O3593" s="29"/>
      <c r="P3593" s="5" t="str">
        <f>IFERROR(__xludf.DUMMYFUNCTION("TEXTJOIN("" | "",TRUE,IF(OR(D3593="""",E3593="""",I3593="""",J3593="""",H3593=""""),""ফাঁকা ঘর"",""""),IF(AND(C3593&lt;&gt;"""",D3593&lt;&gt;"""",C3593=D3593),""gloss=figurative"",""""),IF(LEN(D3593)&lt;15,""figurative ছোট"",""""),IF(AND(I3593=""Positive"",REGEXMATCH(H3"&amp;"593,""মূর্খ|ভণ্ড|প্রতার|অলস|লোভ|স্বার্থ|অক্ষম|অযোগ্য|বোকা|কৃপণ|হিংস"")),""valence-target অমিল"",""""),IF(COUNTIF($B:$B,B3593)&gt;1,""ডুপ্লিকেট"",""""))"),"")</f>
        <v/>
      </c>
      <c r="Q3593" s="5" t="str">
        <f t="shared" si="1"/>
        <v>২ পরে</v>
      </c>
    </row>
    <row r="3594">
      <c r="A3594" s="4">
        <v>1409.0</v>
      </c>
      <c r="B3594" s="2" t="s">
        <v>14404</v>
      </c>
      <c r="C3594" s="2" t="s">
        <v>14405</v>
      </c>
      <c r="D3594" s="2" t="s">
        <v>14406</v>
      </c>
      <c r="E3594" s="2" t="s">
        <v>14407</v>
      </c>
      <c r="F3594" s="2" t="b">
        <v>1</v>
      </c>
      <c r="G3594" s="2" t="b">
        <v>0</v>
      </c>
      <c r="H3594" s="2" t="s">
        <v>5587</v>
      </c>
      <c r="I3594" s="2" t="s">
        <v>49</v>
      </c>
      <c r="J3594" s="2" t="s">
        <v>142</v>
      </c>
      <c r="K3594" s="2" t="s">
        <v>376</v>
      </c>
      <c r="L3594" s="2" t="s">
        <v>391</v>
      </c>
      <c r="M3594" s="2" t="s">
        <v>26</v>
      </c>
      <c r="N3594" s="29"/>
      <c r="O3594" s="29"/>
      <c r="P3594" s="5" t="str">
        <f>IFERROR(__xludf.DUMMYFUNCTION("TEXTJOIN("" | "",TRUE,IF(OR(D3594="""",E3594="""",I3594="""",J3594="""",H3594=""""),""ফাঁকা ঘর"",""""),IF(AND(C3594&lt;&gt;"""",D3594&lt;&gt;"""",C3594=D3594),""gloss=figurative"",""""),IF(LEN(D3594)&lt;15,""figurative ছোট"",""""),IF(AND(I3594=""Positive"",REGEXMATCH(H3"&amp;"594,""মূর্খ|ভণ্ড|প্রতার|অলস|লোভ|স্বার্থ|অক্ষম|অযোগ্য|বোকা|কৃপণ|হিংস"")),""valence-target অমিল"",""""),IF(COUNTIF($B:$B,B3594)&gt;1,""ডুপ্লিকেট"",""""))"),"")</f>
        <v/>
      </c>
      <c r="Q3594" s="5" t="str">
        <f t="shared" si="1"/>
        <v>২ পরে</v>
      </c>
    </row>
    <row r="3595">
      <c r="A3595" s="4">
        <v>1410.0</v>
      </c>
      <c r="B3595" s="2" t="s">
        <v>14408</v>
      </c>
      <c r="C3595" s="2" t="s">
        <v>14409</v>
      </c>
      <c r="D3595" s="2" t="s">
        <v>14410</v>
      </c>
      <c r="E3595" s="2" t="s">
        <v>14411</v>
      </c>
      <c r="F3595" s="2" t="b">
        <v>1</v>
      </c>
      <c r="G3595" s="2" t="b">
        <v>0</v>
      </c>
      <c r="H3595" s="2" t="s">
        <v>14412</v>
      </c>
      <c r="I3595" s="2" t="s">
        <v>32</v>
      </c>
      <c r="J3595" s="2" t="s">
        <v>13886</v>
      </c>
      <c r="K3595" s="2" t="s">
        <v>376</v>
      </c>
      <c r="L3595" s="2" t="s">
        <v>391</v>
      </c>
      <c r="M3595" s="2" t="s">
        <v>26</v>
      </c>
      <c r="N3595" s="29"/>
      <c r="O3595" s="29"/>
      <c r="P3595" s="5" t="str">
        <f>IFERROR(__xludf.DUMMYFUNCTION("TEXTJOIN("" | "",TRUE,IF(OR(D3595="""",E3595="""",I3595="""",J3595="""",H3595=""""),""ফাঁকা ঘর"",""""),IF(AND(C3595&lt;&gt;"""",D3595&lt;&gt;"""",C3595=D3595),""gloss=figurative"",""""),IF(LEN(D3595)&lt;15,""figurative ছোট"",""""),IF(AND(I3595=""Positive"",REGEXMATCH(H3"&amp;"595,""মূর্খ|ভণ্ড|প্রতার|অলস|লোভ|স্বার্থ|অক্ষম|অযোগ্য|বোকা|কৃপণ|হিংস"")),""valence-target অমিল"",""""),IF(COUNTIF($B:$B,B3595)&gt;1,""ডুপ্লিকেট"",""""))"),"")</f>
        <v/>
      </c>
      <c r="Q3595" s="5" t="str">
        <f t="shared" si="1"/>
        <v>২ পরে</v>
      </c>
    </row>
    <row r="3596">
      <c r="A3596" s="4">
        <v>1411.0</v>
      </c>
      <c r="B3596" s="2" t="s">
        <v>14413</v>
      </c>
      <c r="C3596" s="2" t="s">
        <v>14414</v>
      </c>
      <c r="D3596" s="2" t="s">
        <v>14415</v>
      </c>
      <c r="E3596" s="2" t="s">
        <v>14416</v>
      </c>
      <c r="F3596" s="2" t="b">
        <v>1</v>
      </c>
      <c r="G3596" s="2" t="b">
        <v>0</v>
      </c>
      <c r="H3596" s="2" t="s">
        <v>37</v>
      </c>
      <c r="I3596" s="2" t="s">
        <v>32</v>
      </c>
      <c r="J3596" s="2" t="s">
        <v>1775</v>
      </c>
      <c r="K3596" s="2" t="s">
        <v>376</v>
      </c>
      <c r="L3596" s="2" t="s">
        <v>391</v>
      </c>
      <c r="M3596" s="2" t="s">
        <v>26</v>
      </c>
      <c r="N3596" s="29"/>
      <c r="O3596" s="29"/>
      <c r="P3596" s="5" t="str">
        <f>IFERROR(__xludf.DUMMYFUNCTION("TEXTJOIN("" | "",TRUE,IF(OR(D3596="""",E3596="""",I3596="""",J3596="""",H3596=""""),""ফাঁকা ঘর"",""""),IF(AND(C3596&lt;&gt;"""",D3596&lt;&gt;"""",C3596=D3596),""gloss=figurative"",""""),IF(LEN(D3596)&lt;15,""figurative ছোট"",""""),IF(AND(I3596=""Positive"",REGEXMATCH(H3"&amp;"596,""মূর্খ|ভণ্ড|প্রতার|অলস|লোভ|স্বার্থ|অক্ষম|অযোগ্য|বোকা|কৃপণ|হিংস"")),""valence-target অমিল"",""""),IF(COUNTIF($B:$B,B3596)&gt;1,""ডুপ্লিকেট"",""""))"),"")</f>
        <v/>
      </c>
      <c r="Q3596" s="5" t="str">
        <f t="shared" si="1"/>
        <v>২ পরে</v>
      </c>
    </row>
    <row r="3597">
      <c r="A3597" s="4">
        <v>1412.0</v>
      </c>
      <c r="B3597" s="2" t="s">
        <v>14417</v>
      </c>
      <c r="C3597" s="2" t="s">
        <v>14418</v>
      </c>
      <c r="D3597" s="2" t="s">
        <v>14419</v>
      </c>
      <c r="E3597" s="2" t="s">
        <v>14420</v>
      </c>
      <c r="F3597" s="2" t="b">
        <v>1</v>
      </c>
      <c r="G3597" s="2" t="b">
        <v>0</v>
      </c>
      <c r="H3597" s="2" t="s">
        <v>14421</v>
      </c>
      <c r="I3597" s="2" t="s">
        <v>32</v>
      </c>
      <c r="J3597" s="2" t="s">
        <v>1151</v>
      </c>
      <c r="K3597" s="2" t="s">
        <v>376</v>
      </c>
      <c r="L3597" s="2" t="s">
        <v>391</v>
      </c>
      <c r="M3597" s="2" t="s">
        <v>26</v>
      </c>
      <c r="N3597" s="29"/>
      <c r="O3597" s="29"/>
      <c r="P3597" s="5" t="str">
        <f>IFERROR(__xludf.DUMMYFUNCTION("TEXTJOIN("" | "",TRUE,IF(OR(D3597="""",E3597="""",I3597="""",J3597="""",H3597=""""),""ফাঁকা ঘর"",""""),IF(AND(C3597&lt;&gt;"""",D3597&lt;&gt;"""",C3597=D3597),""gloss=figurative"",""""),IF(LEN(D3597)&lt;15,""figurative ছোট"",""""),IF(AND(I3597=""Positive"",REGEXMATCH(H3"&amp;"597,""মূর্খ|ভণ্ড|প্রতার|অলস|লোভ|স্বার্থ|অক্ষম|অযোগ্য|বোকা|কৃপণ|হিংস"")),""valence-target অমিল"",""""),IF(COUNTIF($B:$B,B3597)&gt;1,""ডুপ্লিকেট"",""""))"),"")</f>
        <v/>
      </c>
      <c r="Q3597" s="5" t="str">
        <f t="shared" si="1"/>
        <v>২ পরে</v>
      </c>
    </row>
    <row r="3598">
      <c r="A3598" s="4">
        <v>1413.0</v>
      </c>
      <c r="B3598" s="2" t="s">
        <v>14422</v>
      </c>
      <c r="C3598" s="2" t="s">
        <v>14422</v>
      </c>
      <c r="D3598" s="2" t="s">
        <v>14423</v>
      </c>
      <c r="E3598" s="2" t="s">
        <v>14424</v>
      </c>
      <c r="F3598" s="2" t="b">
        <v>1</v>
      </c>
      <c r="G3598" s="2" t="b">
        <v>0</v>
      </c>
      <c r="H3598" s="2" t="s">
        <v>14425</v>
      </c>
      <c r="I3598" s="2" t="s">
        <v>22</v>
      </c>
      <c r="J3598" s="2" t="s">
        <v>169</v>
      </c>
      <c r="K3598" s="2" t="s">
        <v>376</v>
      </c>
      <c r="L3598" s="2" t="s">
        <v>391</v>
      </c>
      <c r="M3598" s="2" t="s">
        <v>26</v>
      </c>
      <c r="N3598" s="29"/>
      <c r="O3598" s="29"/>
      <c r="P3598" s="5" t="str">
        <f>IFERROR(__xludf.DUMMYFUNCTION("TEXTJOIN("" | "",TRUE,IF(OR(D3598="""",E3598="""",I3598="""",J3598="""",H3598=""""),""ফাঁকা ঘর"",""""),IF(AND(C3598&lt;&gt;"""",D3598&lt;&gt;"""",C3598=D3598),""gloss=figurative"",""""),IF(LEN(D3598)&lt;15,""figurative ছোট"",""""),IF(AND(I3598=""Positive"",REGEXMATCH(H3"&amp;"598,""মূর্খ|ভণ্ড|প্রতার|অলস|লোভ|স্বার্থ|অক্ষম|অযোগ্য|বোকা|কৃপণ|হিংস"")),""valence-target অমিল"",""""),IF(COUNTIF($B:$B,B3598)&gt;1,""ডুপ্লিকেট"",""""))"),"")</f>
        <v/>
      </c>
      <c r="Q3598" s="5" t="str">
        <f t="shared" si="1"/>
        <v>২ পরে</v>
      </c>
    </row>
    <row r="3599">
      <c r="A3599" s="4">
        <v>1414.0</v>
      </c>
      <c r="B3599" s="2" t="s">
        <v>14426</v>
      </c>
      <c r="C3599" s="2" t="s">
        <v>14426</v>
      </c>
      <c r="D3599" s="2" t="s">
        <v>14427</v>
      </c>
      <c r="E3599" s="2" t="s">
        <v>14428</v>
      </c>
      <c r="F3599" s="2" t="b">
        <v>1</v>
      </c>
      <c r="G3599" s="2" t="b">
        <v>0</v>
      </c>
      <c r="H3599" s="2" t="s">
        <v>37</v>
      </c>
      <c r="I3599" s="2" t="s">
        <v>32</v>
      </c>
      <c r="J3599" s="2" t="s">
        <v>162</v>
      </c>
      <c r="K3599" s="2" t="s">
        <v>376</v>
      </c>
      <c r="L3599" s="2" t="s">
        <v>391</v>
      </c>
      <c r="M3599" s="2" t="s">
        <v>26</v>
      </c>
      <c r="N3599" s="29"/>
      <c r="O3599" s="29"/>
      <c r="P3599" s="5" t="str">
        <f>IFERROR(__xludf.DUMMYFUNCTION("TEXTJOIN("" | "",TRUE,IF(OR(D3599="""",E3599="""",I3599="""",J3599="""",H3599=""""),""ফাঁকা ঘর"",""""),IF(AND(C3599&lt;&gt;"""",D3599&lt;&gt;"""",C3599=D3599),""gloss=figurative"",""""),IF(LEN(D3599)&lt;15,""figurative ছোট"",""""),IF(AND(I3599=""Positive"",REGEXMATCH(H3"&amp;"599,""মূর্খ|ভণ্ড|প্রতার|অলস|লোভ|স্বার্থ|অক্ষম|অযোগ্য|বোকা|কৃপণ|হিংস"")),""valence-target অমিল"",""""),IF(COUNTIF($B:$B,B3599)&gt;1,""ডুপ্লিকেট"",""""))"),"")</f>
        <v/>
      </c>
      <c r="Q3599" s="5" t="str">
        <f t="shared" si="1"/>
        <v>২ পরে</v>
      </c>
    </row>
    <row r="3600">
      <c r="A3600" s="4">
        <v>1415.0</v>
      </c>
      <c r="B3600" s="2" t="s">
        <v>14429</v>
      </c>
      <c r="C3600" s="2" t="s">
        <v>14430</v>
      </c>
      <c r="D3600" s="2" t="s">
        <v>14431</v>
      </c>
      <c r="E3600" s="2" t="s">
        <v>14432</v>
      </c>
      <c r="F3600" s="2" t="b">
        <v>1</v>
      </c>
      <c r="G3600" s="2" t="b">
        <v>1</v>
      </c>
      <c r="H3600" s="2" t="s">
        <v>14433</v>
      </c>
      <c r="I3600" s="2" t="s">
        <v>32</v>
      </c>
      <c r="J3600" s="2" t="s">
        <v>9301</v>
      </c>
      <c r="K3600" s="2" t="s">
        <v>376</v>
      </c>
      <c r="L3600" s="2" t="s">
        <v>391</v>
      </c>
      <c r="M3600" s="2" t="s">
        <v>26</v>
      </c>
      <c r="N3600" s="29"/>
      <c r="O3600" s="29"/>
      <c r="P3600" s="5" t="str">
        <f>IFERROR(__xludf.DUMMYFUNCTION("TEXTJOIN("" | "",TRUE,IF(OR(D3600="""",E3600="""",I3600="""",J3600="""",H3600=""""),""ফাঁকা ঘর"",""""),IF(AND(C3600&lt;&gt;"""",D3600&lt;&gt;"""",C3600=D3600),""gloss=figurative"",""""),IF(LEN(D3600)&lt;15,""figurative ছোট"",""""),IF(AND(I3600=""Positive"",REGEXMATCH(H3"&amp;"600,""মূর্খ|ভণ্ড|প্রতার|অলস|লোভ|স্বার্থ|অক্ষম|অযোগ্য|বোকা|কৃপণ|হিংস"")),""valence-target অমিল"",""""),IF(COUNTIF($B:$B,B3600)&gt;1,""ডুপ্লিকেট"",""""))"),"")</f>
        <v/>
      </c>
      <c r="Q3600" s="5" t="str">
        <f t="shared" si="1"/>
        <v>২ পরে</v>
      </c>
    </row>
    <row r="3601">
      <c r="A3601" s="4">
        <v>1416.0</v>
      </c>
      <c r="B3601" s="2" t="s">
        <v>14434</v>
      </c>
      <c r="C3601" s="2" t="s">
        <v>14435</v>
      </c>
      <c r="D3601" s="2" t="s">
        <v>14436</v>
      </c>
      <c r="E3601" s="2" t="s">
        <v>14437</v>
      </c>
      <c r="F3601" s="2" t="b">
        <v>1</v>
      </c>
      <c r="G3601" s="2" t="b">
        <v>0</v>
      </c>
      <c r="H3601" s="2" t="s">
        <v>110</v>
      </c>
      <c r="I3601" s="2" t="s">
        <v>32</v>
      </c>
      <c r="J3601" s="2" t="s">
        <v>357</v>
      </c>
      <c r="K3601" s="2" t="s">
        <v>376</v>
      </c>
      <c r="L3601" s="2" t="s">
        <v>391</v>
      </c>
      <c r="M3601" s="2" t="s">
        <v>26</v>
      </c>
      <c r="N3601" s="29"/>
      <c r="O3601" s="29"/>
      <c r="P3601" s="5" t="str">
        <f>IFERROR(__xludf.DUMMYFUNCTION("TEXTJOIN("" | "",TRUE,IF(OR(D3601="""",E3601="""",I3601="""",J3601="""",H3601=""""),""ফাঁকা ঘর"",""""),IF(AND(C3601&lt;&gt;"""",D3601&lt;&gt;"""",C3601=D3601),""gloss=figurative"",""""),IF(LEN(D3601)&lt;15,""figurative ছোট"",""""),IF(AND(I3601=""Positive"",REGEXMATCH(H3"&amp;"601,""মূর্খ|ভণ্ড|প্রতার|অলস|লোভ|স্বার্থ|অক্ষম|অযোগ্য|বোকা|কৃপণ|হিংস"")),""valence-target অমিল"",""""),IF(COUNTIF($B:$B,B3601)&gt;1,""ডুপ্লিকেট"",""""))"),"")</f>
        <v/>
      </c>
      <c r="Q3601" s="5" t="str">
        <f t="shared" si="1"/>
        <v>২ পরে</v>
      </c>
    </row>
    <row r="3602">
      <c r="A3602" s="4">
        <v>1417.0</v>
      </c>
      <c r="B3602" s="2" t="s">
        <v>14438</v>
      </c>
      <c r="C3602" s="2" t="s">
        <v>14439</v>
      </c>
      <c r="D3602" s="2" t="s">
        <v>14440</v>
      </c>
      <c r="E3602" s="2" t="s">
        <v>14441</v>
      </c>
      <c r="F3602" s="2" t="b">
        <v>1</v>
      </c>
      <c r="G3602" s="2" t="b">
        <v>0</v>
      </c>
      <c r="H3602" s="2" t="s">
        <v>14442</v>
      </c>
      <c r="I3602" s="2" t="s">
        <v>32</v>
      </c>
      <c r="J3602" s="2" t="s">
        <v>169</v>
      </c>
      <c r="K3602" s="2" t="s">
        <v>376</v>
      </c>
      <c r="L3602" s="2" t="s">
        <v>391</v>
      </c>
      <c r="M3602" s="2" t="s">
        <v>26</v>
      </c>
      <c r="N3602" s="29"/>
      <c r="O3602" s="29"/>
      <c r="P3602" s="5" t="str">
        <f>IFERROR(__xludf.DUMMYFUNCTION("TEXTJOIN("" | "",TRUE,IF(OR(D3602="""",E3602="""",I3602="""",J3602="""",H3602=""""),""ফাঁকা ঘর"",""""),IF(AND(C3602&lt;&gt;"""",D3602&lt;&gt;"""",C3602=D3602),""gloss=figurative"",""""),IF(LEN(D3602)&lt;15,""figurative ছোট"",""""),IF(AND(I3602=""Positive"",REGEXMATCH(H3"&amp;"602,""মূর্খ|ভণ্ড|প্রতার|অলস|লোভ|স্বার্থ|অক্ষম|অযোগ্য|বোকা|কৃপণ|হিংস"")),""valence-target অমিল"",""""),IF(COUNTIF($B:$B,B3602)&gt;1,""ডুপ্লিকেট"",""""))"),"")</f>
        <v/>
      </c>
      <c r="Q3602" s="5" t="str">
        <f t="shared" si="1"/>
        <v>২ পরে</v>
      </c>
    </row>
    <row r="3603">
      <c r="A3603" s="4">
        <v>1418.0</v>
      </c>
      <c r="B3603" s="2" t="s">
        <v>14443</v>
      </c>
      <c r="C3603" s="2" t="s">
        <v>14444</v>
      </c>
      <c r="D3603" s="2" t="s">
        <v>14445</v>
      </c>
      <c r="E3603" s="2" t="s">
        <v>14446</v>
      </c>
      <c r="F3603" s="2" t="b">
        <v>1</v>
      </c>
      <c r="G3603" s="2" t="b">
        <v>0</v>
      </c>
      <c r="H3603" s="2" t="s">
        <v>14447</v>
      </c>
      <c r="I3603" s="2" t="s">
        <v>32</v>
      </c>
      <c r="J3603" s="2" t="s">
        <v>59</v>
      </c>
      <c r="K3603" s="2" t="s">
        <v>376</v>
      </c>
      <c r="L3603" s="2" t="s">
        <v>391</v>
      </c>
      <c r="M3603" s="2" t="s">
        <v>26</v>
      </c>
      <c r="N3603" s="29"/>
      <c r="O3603" s="29"/>
      <c r="P3603" s="5" t="str">
        <f>IFERROR(__xludf.DUMMYFUNCTION("TEXTJOIN("" | "",TRUE,IF(OR(D3603="""",E3603="""",I3603="""",J3603="""",H3603=""""),""ফাঁকা ঘর"",""""),IF(AND(C3603&lt;&gt;"""",D3603&lt;&gt;"""",C3603=D3603),""gloss=figurative"",""""),IF(LEN(D3603)&lt;15,""figurative ছোট"",""""),IF(AND(I3603=""Positive"",REGEXMATCH(H3"&amp;"603,""মূর্খ|ভণ্ড|প্রতার|অলস|লোভ|স্বার্থ|অক্ষম|অযোগ্য|বোকা|কৃপণ|হিংস"")),""valence-target অমিল"",""""),IF(COUNTIF($B:$B,B3603)&gt;1,""ডুপ্লিকেট"",""""))"),"")</f>
        <v/>
      </c>
      <c r="Q3603" s="5" t="str">
        <f t="shared" si="1"/>
        <v>২ পরে</v>
      </c>
    </row>
    <row r="3604">
      <c r="A3604" s="4">
        <v>1419.0</v>
      </c>
      <c r="B3604" s="2" t="s">
        <v>14448</v>
      </c>
      <c r="C3604" s="2" t="s">
        <v>14449</v>
      </c>
      <c r="D3604" s="2" t="s">
        <v>14450</v>
      </c>
      <c r="E3604" s="2" t="s">
        <v>14451</v>
      </c>
      <c r="F3604" s="2" t="b">
        <v>1</v>
      </c>
      <c r="G3604" s="2" t="b">
        <v>0</v>
      </c>
      <c r="H3604" s="2" t="s">
        <v>14452</v>
      </c>
      <c r="I3604" s="2" t="s">
        <v>22</v>
      </c>
      <c r="J3604" s="2" t="s">
        <v>59</v>
      </c>
      <c r="K3604" s="2" t="s">
        <v>376</v>
      </c>
      <c r="L3604" s="2" t="s">
        <v>391</v>
      </c>
      <c r="M3604" s="2" t="s">
        <v>26</v>
      </c>
      <c r="N3604" s="29"/>
      <c r="O3604" s="29"/>
      <c r="P3604" s="5" t="str">
        <f>IFERROR(__xludf.DUMMYFUNCTION("TEXTJOIN("" | "",TRUE,IF(OR(D3604="""",E3604="""",I3604="""",J3604="""",H3604=""""),""ফাঁকা ঘর"",""""),IF(AND(C3604&lt;&gt;"""",D3604&lt;&gt;"""",C3604=D3604),""gloss=figurative"",""""),IF(LEN(D3604)&lt;15,""figurative ছোট"",""""),IF(AND(I3604=""Positive"",REGEXMATCH(H3"&amp;"604,""মূর্খ|ভণ্ড|প্রতার|অলস|লোভ|স্বার্থ|অক্ষম|অযোগ্য|বোকা|কৃপণ|হিংস"")),""valence-target অমিল"",""""),IF(COUNTIF($B:$B,B3604)&gt;1,""ডুপ্লিকেট"",""""))"),"")</f>
        <v/>
      </c>
      <c r="Q3604" s="5" t="str">
        <f t="shared" si="1"/>
        <v>২ পরে</v>
      </c>
    </row>
    <row r="3605">
      <c r="A3605" s="4">
        <v>1420.0</v>
      </c>
      <c r="B3605" s="2" t="s">
        <v>14453</v>
      </c>
      <c r="C3605" s="2" t="s">
        <v>14454</v>
      </c>
      <c r="D3605" s="2" t="s">
        <v>14455</v>
      </c>
      <c r="E3605" s="2" t="s">
        <v>14456</v>
      </c>
      <c r="F3605" s="2" t="b">
        <v>1</v>
      </c>
      <c r="G3605" s="2" t="b">
        <v>0</v>
      </c>
      <c r="H3605" s="2" t="s">
        <v>14457</v>
      </c>
      <c r="I3605" s="2" t="s">
        <v>22</v>
      </c>
      <c r="J3605" s="2" t="s">
        <v>123</v>
      </c>
      <c r="K3605" s="2" t="s">
        <v>376</v>
      </c>
      <c r="L3605" s="2" t="s">
        <v>391</v>
      </c>
      <c r="M3605" s="2" t="s">
        <v>26</v>
      </c>
      <c r="N3605" s="29"/>
      <c r="O3605" s="29"/>
      <c r="P3605" s="5" t="str">
        <f>IFERROR(__xludf.DUMMYFUNCTION("TEXTJOIN("" | "",TRUE,IF(OR(D3605="""",E3605="""",I3605="""",J3605="""",H3605=""""),""ফাঁকা ঘর"",""""),IF(AND(C3605&lt;&gt;"""",D3605&lt;&gt;"""",C3605=D3605),""gloss=figurative"",""""),IF(LEN(D3605)&lt;15,""figurative ছোট"",""""),IF(AND(I3605=""Positive"",REGEXMATCH(H3"&amp;"605,""মূর্খ|ভণ্ড|প্রতার|অলস|লোভ|স্বার্থ|অক্ষম|অযোগ্য|বোকা|কৃপণ|হিংস"")),""valence-target অমিল"",""""),IF(COUNTIF($B:$B,B3605)&gt;1,""ডুপ্লিকেট"",""""))"),"")</f>
        <v/>
      </c>
      <c r="Q3605" s="5" t="str">
        <f t="shared" si="1"/>
        <v>২ পরে</v>
      </c>
    </row>
    <row r="3606">
      <c r="A3606" s="4">
        <v>1421.0</v>
      </c>
      <c r="B3606" s="2" t="s">
        <v>14458</v>
      </c>
      <c r="C3606" s="2" t="s">
        <v>14459</v>
      </c>
      <c r="D3606" s="2" t="s">
        <v>14460</v>
      </c>
      <c r="E3606" s="2" t="s">
        <v>14461</v>
      </c>
      <c r="F3606" s="2" t="b">
        <v>1</v>
      </c>
      <c r="G3606" s="2" t="b">
        <v>0</v>
      </c>
      <c r="H3606" s="2" t="s">
        <v>14462</v>
      </c>
      <c r="I3606" s="2" t="s">
        <v>32</v>
      </c>
      <c r="J3606" s="2" t="s">
        <v>13060</v>
      </c>
      <c r="K3606" s="2" t="s">
        <v>376</v>
      </c>
      <c r="L3606" s="2" t="s">
        <v>391</v>
      </c>
      <c r="M3606" s="2" t="s">
        <v>26</v>
      </c>
      <c r="N3606" s="29"/>
      <c r="O3606" s="29"/>
      <c r="P3606" s="5" t="str">
        <f>IFERROR(__xludf.DUMMYFUNCTION("TEXTJOIN("" | "",TRUE,IF(OR(D3606="""",E3606="""",I3606="""",J3606="""",H3606=""""),""ফাঁকা ঘর"",""""),IF(AND(C3606&lt;&gt;"""",D3606&lt;&gt;"""",C3606=D3606),""gloss=figurative"",""""),IF(LEN(D3606)&lt;15,""figurative ছোট"",""""),IF(AND(I3606=""Positive"",REGEXMATCH(H3"&amp;"606,""মূর্খ|ভণ্ড|প্রতার|অলস|লোভ|স্বার্থ|অক্ষম|অযোগ্য|বোকা|কৃপণ|হিংস"")),""valence-target অমিল"",""""),IF(COUNTIF($B:$B,B3606)&gt;1,""ডুপ্লিকেট"",""""))"),"")</f>
        <v/>
      </c>
      <c r="Q3606" s="5" t="str">
        <f t="shared" si="1"/>
        <v>২ পরে</v>
      </c>
    </row>
    <row r="3607">
      <c r="A3607" s="4">
        <v>1422.0</v>
      </c>
      <c r="B3607" s="2" t="s">
        <v>14463</v>
      </c>
      <c r="C3607" s="2" t="s">
        <v>14464</v>
      </c>
      <c r="D3607" s="2" t="s">
        <v>14465</v>
      </c>
      <c r="E3607" s="2" t="s">
        <v>14466</v>
      </c>
      <c r="F3607" s="2" t="b">
        <v>1</v>
      </c>
      <c r="G3607" s="2" t="b">
        <v>0</v>
      </c>
      <c r="H3607" s="2" t="s">
        <v>14467</v>
      </c>
      <c r="I3607" s="2" t="s">
        <v>22</v>
      </c>
      <c r="J3607" s="2" t="s">
        <v>59</v>
      </c>
      <c r="K3607" s="2" t="s">
        <v>376</v>
      </c>
      <c r="L3607" s="2" t="s">
        <v>391</v>
      </c>
      <c r="M3607" s="2" t="s">
        <v>26</v>
      </c>
      <c r="N3607" s="29"/>
      <c r="O3607" s="29"/>
      <c r="P3607" s="5" t="str">
        <f>IFERROR(__xludf.DUMMYFUNCTION("TEXTJOIN("" | "",TRUE,IF(OR(D3607="""",E3607="""",I3607="""",J3607="""",H3607=""""),""ফাঁকা ঘর"",""""),IF(AND(C3607&lt;&gt;"""",D3607&lt;&gt;"""",C3607=D3607),""gloss=figurative"",""""),IF(LEN(D3607)&lt;15,""figurative ছোট"",""""),IF(AND(I3607=""Positive"",REGEXMATCH(H3"&amp;"607,""মূর্খ|ভণ্ড|প্রতার|অলস|লোভ|স্বার্থ|অক্ষম|অযোগ্য|বোকা|কৃপণ|হিংস"")),""valence-target অমিল"",""""),IF(COUNTIF($B:$B,B3607)&gt;1,""ডুপ্লিকেট"",""""))"),"")</f>
        <v/>
      </c>
      <c r="Q3607" s="5" t="str">
        <f t="shared" si="1"/>
        <v>২ পরে</v>
      </c>
    </row>
    <row r="3608">
      <c r="A3608" s="4">
        <v>1423.0</v>
      </c>
      <c r="B3608" s="2" t="s">
        <v>14468</v>
      </c>
      <c r="C3608" s="2" t="s">
        <v>14468</v>
      </c>
      <c r="D3608" s="2" t="s">
        <v>14469</v>
      </c>
      <c r="E3608" s="2" t="s">
        <v>14470</v>
      </c>
      <c r="F3608" s="2" t="b">
        <v>1</v>
      </c>
      <c r="G3608" s="2" t="b">
        <v>0</v>
      </c>
      <c r="H3608" s="2" t="s">
        <v>14471</v>
      </c>
      <c r="I3608" s="2" t="s">
        <v>32</v>
      </c>
      <c r="J3608" s="2" t="s">
        <v>1060</v>
      </c>
      <c r="K3608" s="2" t="s">
        <v>376</v>
      </c>
      <c r="L3608" s="2" t="s">
        <v>391</v>
      </c>
      <c r="M3608" s="2" t="s">
        <v>26</v>
      </c>
      <c r="N3608" s="29"/>
      <c r="O3608" s="29"/>
      <c r="P3608" s="5" t="str">
        <f>IFERROR(__xludf.DUMMYFUNCTION("TEXTJOIN("" | "",TRUE,IF(OR(D3608="""",E3608="""",I3608="""",J3608="""",H3608=""""),""ফাঁকা ঘর"",""""),IF(AND(C3608&lt;&gt;"""",D3608&lt;&gt;"""",C3608=D3608),""gloss=figurative"",""""),IF(LEN(D3608)&lt;15,""figurative ছোট"",""""),IF(AND(I3608=""Positive"",REGEXMATCH(H3"&amp;"608,""মূর্খ|ভণ্ড|প্রতার|অলস|লোভ|স্বার্থ|অক্ষম|অযোগ্য|বোকা|কৃপণ|হিংস"")),""valence-target অমিল"",""""),IF(COUNTIF($B:$B,B3608)&gt;1,""ডুপ্লিকেট"",""""))"),"")</f>
        <v/>
      </c>
      <c r="Q3608" s="5" t="str">
        <f t="shared" si="1"/>
        <v>২ পরে</v>
      </c>
    </row>
    <row r="3609">
      <c r="A3609" s="4">
        <v>1424.0</v>
      </c>
      <c r="B3609" s="2" t="s">
        <v>14472</v>
      </c>
      <c r="C3609" s="2" t="s">
        <v>14473</v>
      </c>
      <c r="D3609" s="2" t="s">
        <v>14474</v>
      </c>
      <c r="E3609" s="2" t="s">
        <v>14475</v>
      </c>
      <c r="F3609" s="2" t="b">
        <v>1</v>
      </c>
      <c r="G3609" s="2" t="b">
        <v>0</v>
      </c>
      <c r="H3609" s="2" t="s">
        <v>37</v>
      </c>
      <c r="I3609" s="2" t="s">
        <v>32</v>
      </c>
      <c r="J3609" s="2" t="s">
        <v>13060</v>
      </c>
      <c r="K3609" s="2" t="s">
        <v>376</v>
      </c>
      <c r="L3609" s="2" t="s">
        <v>391</v>
      </c>
      <c r="M3609" s="2" t="s">
        <v>26</v>
      </c>
      <c r="N3609" s="29"/>
      <c r="O3609" s="29"/>
      <c r="P3609" s="5" t="str">
        <f>IFERROR(__xludf.DUMMYFUNCTION("TEXTJOIN("" | "",TRUE,IF(OR(D3609="""",E3609="""",I3609="""",J3609="""",H3609=""""),""ফাঁকা ঘর"",""""),IF(AND(C3609&lt;&gt;"""",D3609&lt;&gt;"""",C3609=D3609),""gloss=figurative"",""""),IF(LEN(D3609)&lt;15,""figurative ছোট"",""""),IF(AND(I3609=""Positive"",REGEXMATCH(H3"&amp;"609,""মূর্খ|ভণ্ড|প্রতার|অলস|লোভ|স্বার্থ|অক্ষম|অযোগ্য|বোকা|কৃপণ|হিংস"")),""valence-target অমিল"",""""),IF(COUNTIF($B:$B,B3609)&gt;1,""ডুপ্লিকেট"",""""))"),"")</f>
        <v/>
      </c>
      <c r="Q3609" s="5" t="str">
        <f t="shared" si="1"/>
        <v>২ পরে</v>
      </c>
    </row>
    <row r="3610">
      <c r="A3610" s="4">
        <v>1425.0</v>
      </c>
      <c r="B3610" s="2" t="s">
        <v>14476</v>
      </c>
      <c r="C3610" s="2" t="s">
        <v>14477</v>
      </c>
      <c r="D3610" s="2" t="s">
        <v>14478</v>
      </c>
      <c r="E3610" s="2" t="s">
        <v>14479</v>
      </c>
      <c r="F3610" s="2" t="b">
        <v>1</v>
      </c>
      <c r="G3610" s="2" t="b">
        <v>0</v>
      </c>
      <c r="H3610" s="2" t="s">
        <v>11759</v>
      </c>
      <c r="I3610" s="2" t="s">
        <v>22</v>
      </c>
      <c r="J3610" s="2" t="s">
        <v>59</v>
      </c>
      <c r="K3610" s="2" t="s">
        <v>376</v>
      </c>
      <c r="L3610" s="2" t="s">
        <v>391</v>
      </c>
      <c r="M3610" s="2" t="s">
        <v>26</v>
      </c>
      <c r="N3610" s="29"/>
      <c r="O3610" s="29"/>
      <c r="P3610" s="5" t="str">
        <f>IFERROR(__xludf.DUMMYFUNCTION("TEXTJOIN("" | "",TRUE,IF(OR(D3610="""",E3610="""",I3610="""",J3610="""",H3610=""""),""ফাঁকা ঘর"",""""),IF(AND(C3610&lt;&gt;"""",D3610&lt;&gt;"""",C3610=D3610),""gloss=figurative"",""""),IF(LEN(D3610)&lt;15,""figurative ছোট"",""""),IF(AND(I3610=""Positive"",REGEXMATCH(H3"&amp;"610,""মূর্খ|ভণ্ড|প্রতার|অলস|লোভ|স্বার্থ|অক্ষম|অযোগ্য|বোকা|কৃপণ|হিংস"")),""valence-target অমিল"",""""),IF(COUNTIF($B:$B,B3610)&gt;1,""ডুপ্লিকেট"",""""))"),"")</f>
        <v/>
      </c>
      <c r="Q3610" s="5" t="str">
        <f t="shared" si="1"/>
        <v>২ পরে</v>
      </c>
    </row>
    <row r="3611">
      <c r="A3611" s="4">
        <v>1426.0</v>
      </c>
      <c r="B3611" s="2" t="s">
        <v>14480</v>
      </c>
      <c r="C3611" s="2" t="s">
        <v>14481</v>
      </c>
      <c r="D3611" s="2" t="s">
        <v>14482</v>
      </c>
      <c r="E3611" s="2" t="s">
        <v>14483</v>
      </c>
      <c r="F3611" s="2" t="b">
        <v>1</v>
      </c>
      <c r="G3611" s="2" t="b">
        <v>0</v>
      </c>
      <c r="H3611" s="2" t="s">
        <v>13068</v>
      </c>
      <c r="I3611" s="2" t="s">
        <v>32</v>
      </c>
      <c r="J3611" s="2" t="s">
        <v>59</v>
      </c>
      <c r="K3611" s="2" t="s">
        <v>376</v>
      </c>
      <c r="L3611" s="2" t="s">
        <v>391</v>
      </c>
      <c r="M3611" s="2" t="s">
        <v>26</v>
      </c>
      <c r="N3611" s="29"/>
      <c r="O3611" s="29"/>
      <c r="P3611" s="5" t="str">
        <f>IFERROR(__xludf.DUMMYFUNCTION("TEXTJOIN("" | "",TRUE,IF(OR(D3611="""",E3611="""",I3611="""",J3611="""",H3611=""""),""ফাঁকা ঘর"",""""),IF(AND(C3611&lt;&gt;"""",D3611&lt;&gt;"""",C3611=D3611),""gloss=figurative"",""""),IF(LEN(D3611)&lt;15,""figurative ছোট"",""""),IF(AND(I3611=""Positive"",REGEXMATCH(H3"&amp;"611,""মূর্খ|ভণ্ড|প্রতার|অলস|লোভ|স্বার্থ|অক্ষম|অযোগ্য|বোকা|কৃপণ|হিংস"")),""valence-target অমিল"",""""),IF(COUNTIF($B:$B,B3611)&gt;1,""ডুপ্লিকেট"",""""))"),"")</f>
        <v/>
      </c>
      <c r="Q3611" s="5" t="str">
        <f t="shared" si="1"/>
        <v>২ পরে</v>
      </c>
    </row>
    <row r="3612">
      <c r="A3612" s="4">
        <v>1427.0</v>
      </c>
      <c r="B3612" s="2" t="s">
        <v>14484</v>
      </c>
      <c r="C3612" s="2" t="s">
        <v>14485</v>
      </c>
      <c r="D3612" s="2" t="s">
        <v>14486</v>
      </c>
      <c r="E3612" s="2" t="s">
        <v>14487</v>
      </c>
      <c r="F3612" s="2" t="b">
        <v>1</v>
      </c>
      <c r="G3612" s="2" t="b">
        <v>0</v>
      </c>
      <c r="H3612" s="2" t="s">
        <v>37</v>
      </c>
      <c r="I3612" s="2" t="s">
        <v>32</v>
      </c>
      <c r="J3612" s="2" t="s">
        <v>6847</v>
      </c>
      <c r="K3612" s="2" t="s">
        <v>376</v>
      </c>
      <c r="L3612" s="2" t="s">
        <v>391</v>
      </c>
      <c r="M3612" s="2" t="s">
        <v>26</v>
      </c>
      <c r="N3612" s="29"/>
      <c r="O3612" s="29"/>
      <c r="P3612" s="5" t="str">
        <f>IFERROR(__xludf.DUMMYFUNCTION("TEXTJOIN("" | "",TRUE,IF(OR(D3612="""",E3612="""",I3612="""",J3612="""",H3612=""""),""ফাঁকা ঘর"",""""),IF(AND(C3612&lt;&gt;"""",D3612&lt;&gt;"""",C3612=D3612),""gloss=figurative"",""""),IF(LEN(D3612)&lt;15,""figurative ছোট"",""""),IF(AND(I3612=""Positive"",REGEXMATCH(H3"&amp;"612,""মূর্খ|ভণ্ড|প্রতার|অলস|লোভ|স্বার্থ|অক্ষম|অযোগ্য|বোকা|কৃপণ|হিংস"")),""valence-target অমিল"",""""),IF(COUNTIF($B:$B,B3612)&gt;1,""ডুপ্লিকেট"",""""))"),"")</f>
        <v/>
      </c>
      <c r="Q3612" s="5" t="str">
        <f t="shared" si="1"/>
        <v>২ পরে</v>
      </c>
    </row>
    <row r="3613">
      <c r="A3613" s="4">
        <v>1428.0</v>
      </c>
      <c r="B3613" s="2" t="s">
        <v>14488</v>
      </c>
      <c r="C3613" s="2" t="s">
        <v>14489</v>
      </c>
      <c r="D3613" s="2" t="s">
        <v>14490</v>
      </c>
      <c r="E3613" s="2" t="s">
        <v>14491</v>
      </c>
      <c r="F3613" s="2" t="b">
        <v>1</v>
      </c>
      <c r="G3613" s="2" t="b">
        <v>0</v>
      </c>
      <c r="H3613" s="2" t="s">
        <v>10217</v>
      </c>
      <c r="I3613" s="2" t="s">
        <v>49</v>
      </c>
      <c r="J3613" s="2" t="s">
        <v>1259</v>
      </c>
      <c r="K3613" s="2" t="s">
        <v>376</v>
      </c>
      <c r="L3613" s="2" t="s">
        <v>391</v>
      </c>
      <c r="M3613" s="2" t="s">
        <v>26</v>
      </c>
      <c r="N3613" s="29"/>
      <c r="O3613" s="29"/>
      <c r="P3613" s="5" t="str">
        <f>IFERROR(__xludf.DUMMYFUNCTION("TEXTJOIN("" | "",TRUE,IF(OR(D3613="""",E3613="""",I3613="""",J3613="""",H3613=""""),""ফাঁকা ঘর"",""""),IF(AND(C3613&lt;&gt;"""",D3613&lt;&gt;"""",C3613=D3613),""gloss=figurative"",""""),IF(LEN(D3613)&lt;15,""figurative ছোট"",""""),IF(AND(I3613=""Positive"",REGEXMATCH(H3"&amp;"613,""মূর্খ|ভণ্ড|প্রতার|অলস|লোভ|স্বার্থ|অক্ষম|অযোগ্য|বোকা|কৃপণ|হিংস"")),""valence-target অমিল"",""""),IF(COUNTIF($B:$B,B3613)&gt;1,""ডুপ্লিকেট"",""""))"),"")</f>
        <v/>
      </c>
      <c r="Q3613" s="5" t="str">
        <f t="shared" si="1"/>
        <v>২ পরে</v>
      </c>
    </row>
    <row r="3614">
      <c r="A3614" s="4">
        <v>1429.0</v>
      </c>
      <c r="B3614" s="2" t="s">
        <v>14492</v>
      </c>
      <c r="C3614" s="2" t="s">
        <v>14493</v>
      </c>
      <c r="D3614" s="2" t="s">
        <v>14494</v>
      </c>
      <c r="E3614" s="2" t="s">
        <v>14495</v>
      </c>
      <c r="F3614" s="2" t="b">
        <v>1</v>
      </c>
      <c r="G3614" s="2" t="b">
        <v>0</v>
      </c>
      <c r="H3614" s="2" t="s">
        <v>11759</v>
      </c>
      <c r="I3614" s="2" t="s">
        <v>32</v>
      </c>
      <c r="J3614" s="2" t="s">
        <v>59</v>
      </c>
      <c r="K3614" s="2" t="s">
        <v>376</v>
      </c>
      <c r="L3614" s="2" t="s">
        <v>391</v>
      </c>
      <c r="M3614" s="2" t="s">
        <v>26</v>
      </c>
      <c r="N3614" s="29"/>
      <c r="O3614" s="29"/>
      <c r="P3614" s="5" t="str">
        <f>IFERROR(__xludf.DUMMYFUNCTION("TEXTJOIN("" | "",TRUE,IF(OR(D3614="""",E3614="""",I3614="""",J3614="""",H3614=""""),""ফাঁকা ঘর"",""""),IF(AND(C3614&lt;&gt;"""",D3614&lt;&gt;"""",C3614=D3614),""gloss=figurative"",""""),IF(LEN(D3614)&lt;15,""figurative ছোট"",""""),IF(AND(I3614=""Positive"",REGEXMATCH(H3"&amp;"614,""মূর্খ|ভণ্ড|প্রতার|অলস|লোভ|স্বার্থ|অক্ষম|অযোগ্য|বোকা|কৃপণ|হিংস"")),""valence-target অমিল"",""""),IF(COUNTIF($B:$B,B3614)&gt;1,""ডুপ্লিকেট"",""""))"),"")</f>
        <v/>
      </c>
      <c r="Q3614" s="5" t="str">
        <f t="shared" si="1"/>
        <v>২ পরে</v>
      </c>
    </row>
    <row r="3615">
      <c r="A3615" s="4">
        <v>1430.0</v>
      </c>
      <c r="B3615" s="2" t="s">
        <v>14496</v>
      </c>
      <c r="C3615" s="2" t="s">
        <v>14497</v>
      </c>
      <c r="D3615" s="2" t="s">
        <v>14498</v>
      </c>
      <c r="E3615" s="2" t="s">
        <v>14499</v>
      </c>
      <c r="F3615" s="2" t="b">
        <v>1</v>
      </c>
      <c r="G3615" s="2" t="b">
        <v>1</v>
      </c>
      <c r="H3615" s="2" t="s">
        <v>8778</v>
      </c>
      <c r="I3615" s="2" t="s">
        <v>32</v>
      </c>
      <c r="J3615" s="2" t="s">
        <v>9301</v>
      </c>
      <c r="K3615" s="2" t="s">
        <v>376</v>
      </c>
      <c r="L3615" s="2" t="s">
        <v>391</v>
      </c>
      <c r="M3615" s="2" t="s">
        <v>26</v>
      </c>
      <c r="N3615" s="29"/>
      <c r="O3615" s="29"/>
      <c r="P3615" s="5" t="str">
        <f>IFERROR(__xludf.DUMMYFUNCTION("TEXTJOIN("" | "",TRUE,IF(OR(D3615="""",E3615="""",I3615="""",J3615="""",H3615=""""),""ফাঁকা ঘর"",""""),IF(AND(C3615&lt;&gt;"""",D3615&lt;&gt;"""",C3615=D3615),""gloss=figurative"",""""),IF(LEN(D3615)&lt;15,""figurative ছোট"",""""),IF(AND(I3615=""Positive"",REGEXMATCH(H3"&amp;"615,""মূর্খ|ভণ্ড|প্রতার|অলস|লোভ|স্বার্থ|অক্ষম|অযোগ্য|বোকা|কৃপণ|হিংস"")),""valence-target অমিল"",""""),IF(COUNTIF($B:$B,B3615)&gt;1,""ডুপ্লিকেট"",""""))"),"")</f>
        <v/>
      </c>
      <c r="Q3615" s="5" t="str">
        <f t="shared" si="1"/>
        <v>২ পরে</v>
      </c>
    </row>
    <row r="3616">
      <c r="A3616" s="4">
        <v>1431.0</v>
      </c>
      <c r="B3616" s="2" t="s">
        <v>14500</v>
      </c>
      <c r="C3616" s="2" t="s">
        <v>14501</v>
      </c>
      <c r="D3616" s="2" t="s">
        <v>14502</v>
      </c>
      <c r="E3616" s="2" t="s">
        <v>14503</v>
      </c>
      <c r="F3616" s="2" t="b">
        <v>1</v>
      </c>
      <c r="G3616" s="2" t="b">
        <v>0</v>
      </c>
      <c r="H3616" s="2" t="s">
        <v>14504</v>
      </c>
      <c r="I3616" s="2" t="s">
        <v>49</v>
      </c>
      <c r="J3616" s="2" t="s">
        <v>447</v>
      </c>
      <c r="K3616" s="2" t="s">
        <v>376</v>
      </c>
      <c r="L3616" s="2" t="s">
        <v>391</v>
      </c>
      <c r="M3616" s="2" t="s">
        <v>26</v>
      </c>
      <c r="N3616" s="29"/>
      <c r="O3616" s="29"/>
      <c r="P3616" s="5" t="str">
        <f>IFERROR(__xludf.DUMMYFUNCTION("TEXTJOIN("" | "",TRUE,IF(OR(D3616="""",E3616="""",I3616="""",J3616="""",H3616=""""),""ফাঁকা ঘর"",""""),IF(AND(C3616&lt;&gt;"""",D3616&lt;&gt;"""",C3616=D3616),""gloss=figurative"",""""),IF(LEN(D3616)&lt;15,""figurative ছোট"",""""),IF(AND(I3616=""Positive"",REGEXMATCH(H3"&amp;"616,""মূর্খ|ভণ্ড|প্রতার|অলস|লোভ|স্বার্থ|অক্ষম|অযোগ্য|বোকা|কৃপণ|হিংস"")),""valence-target অমিল"",""""),IF(COUNTIF($B:$B,B3616)&gt;1,""ডুপ্লিকেট"",""""))"),"")</f>
        <v/>
      </c>
      <c r="Q3616" s="5" t="str">
        <f t="shared" si="1"/>
        <v>২ পরে</v>
      </c>
    </row>
    <row r="3617">
      <c r="A3617" s="4">
        <v>1432.0</v>
      </c>
      <c r="B3617" s="2" t="s">
        <v>14505</v>
      </c>
      <c r="C3617" s="2" t="s">
        <v>14506</v>
      </c>
      <c r="D3617" s="2" t="s">
        <v>14507</v>
      </c>
      <c r="E3617" s="2" t="s">
        <v>14508</v>
      </c>
      <c r="F3617" s="2" t="b">
        <v>1</v>
      </c>
      <c r="G3617" s="2" t="b">
        <v>0</v>
      </c>
      <c r="H3617" s="2" t="s">
        <v>14471</v>
      </c>
      <c r="I3617" s="2" t="s">
        <v>49</v>
      </c>
      <c r="J3617" s="2" t="s">
        <v>1060</v>
      </c>
      <c r="K3617" s="2" t="s">
        <v>376</v>
      </c>
      <c r="L3617" s="2" t="s">
        <v>391</v>
      </c>
      <c r="M3617" s="2" t="s">
        <v>26</v>
      </c>
      <c r="N3617" s="29"/>
      <c r="O3617" s="29"/>
      <c r="P3617" s="5" t="str">
        <f>IFERROR(__xludf.DUMMYFUNCTION("TEXTJOIN("" | "",TRUE,IF(OR(D3617="""",E3617="""",I3617="""",J3617="""",H3617=""""),""ফাঁকা ঘর"",""""),IF(AND(C3617&lt;&gt;"""",D3617&lt;&gt;"""",C3617=D3617),""gloss=figurative"",""""),IF(LEN(D3617)&lt;15,""figurative ছোট"",""""),IF(AND(I3617=""Positive"",REGEXMATCH(H3"&amp;"617,""মূর্খ|ভণ্ড|প্রতার|অলস|লোভ|স্বার্থ|অক্ষম|অযোগ্য|বোকা|কৃপণ|হিংস"")),""valence-target অমিল"",""""),IF(COUNTIF($B:$B,B3617)&gt;1,""ডুপ্লিকেট"",""""))"),"")</f>
        <v/>
      </c>
      <c r="Q3617" s="5" t="str">
        <f t="shared" si="1"/>
        <v>২ পরে</v>
      </c>
    </row>
    <row r="3618">
      <c r="A3618" s="4">
        <v>1433.0</v>
      </c>
      <c r="B3618" s="2" t="s">
        <v>14509</v>
      </c>
      <c r="C3618" s="2" t="s">
        <v>14510</v>
      </c>
      <c r="D3618" s="2" t="s">
        <v>14511</v>
      </c>
      <c r="E3618" s="2" t="s">
        <v>14512</v>
      </c>
      <c r="F3618" s="2" t="b">
        <v>1</v>
      </c>
      <c r="G3618" s="2" t="b">
        <v>0</v>
      </c>
      <c r="H3618" s="2" t="s">
        <v>14513</v>
      </c>
      <c r="I3618" s="2" t="s">
        <v>22</v>
      </c>
      <c r="J3618" s="2" t="s">
        <v>1008</v>
      </c>
      <c r="K3618" s="2" t="s">
        <v>376</v>
      </c>
      <c r="L3618" s="2" t="s">
        <v>391</v>
      </c>
      <c r="M3618" s="2" t="s">
        <v>26</v>
      </c>
      <c r="N3618" s="29"/>
      <c r="O3618" s="29"/>
      <c r="P3618" s="5" t="str">
        <f>IFERROR(__xludf.DUMMYFUNCTION("TEXTJOIN("" | "",TRUE,IF(OR(D3618="""",E3618="""",I3618="""",J3618="""",H3618=""""),""ফাঁকা ঘর"",""""),IF(AND(C3618&lt;&gt;"""",D3618&lt;&gt;"""",C3618=D3618),""gloss=figurative"",""""),IF(LEN(D3618)&lt;15,""figurative ছোট"",""""),IF(AND(I3618=""Positive"",REGEXMATCH(H3"&amp;"618,""মূর্খ|ভণ্ড|প্রতার|অলস|লোভ|স্বার্থ|অক্ষম|অযোগ্য|বোকা|কৃপণ|হিংস"")),""valence-target অমিল"",""""),IF(COUNTIF($B:$B,B3618)&gt;1,""ডুপ্লিকেট"",""""))"),"")</f>
        <v/>
      </c>
      <c r="Q3618" s="5" t="str">
        <f t="shared" si="1"/>
        <v>২ পরে</v>
      </c>
    </row>
    <row r="3619">
      <c r="A3619" s="4">
        <v>1434.0</v>
      </c>
      <c r="B3619" s="2" t="s">
        <v>14514</v>
      </c>
      <c r="C3619" s="2" t="s">
        <v>14515</v>
      </c>
      <c r="D3619" s="2" t="s">
        <v>14516</v>
      </c>
      <c r="E3619" s="2" t="s">
        <v>14517</v>
      </c>
      <c r="F3619" s="2" t="b">
        <v>1</v>
      </c>
      <c r="G3619" s="2" t="b">
        <v>0</v>
      </c>
      <c r="H3619" s="2" t="s">
        <v>14518</v>
      </c>
      <c r="I3619" s="2" t="s">
        <v>32</v>
      </c>
      <c r="J3619" s="2" t="s">
        <v>10356</v>
      </c>
      <c r="K3619" s="2" t="s">
        <v>376</v>
      </c>
      <c r="L3619" s="2" t="s">
        <v>391</v>
      </c>
      <c r="M3619" s="2" t="s">
        <v>26</v>
      </c>
      <c r="N3619" s="29"/>
      <c r="O3619" s="29"/>
      <c r="P3619" s="5" t="str">
        <f>IFERROR(__xludf.DUMMYFUNCTION("TEXTJOIN("" | "",TRUE,IF(OR(D3619="""",E3619="""",I3619="""",J3619="""",H3619=""""),""ফাঁকা ঘর"",""""),IF(AND(C3619&lt;&gt;"""",D3619&lt;&gt;"""",C3619=D3619),""gloss=figurative"",""""),IF(LEN(D3619)&lt;15,""figurative ছোট"",""""),IF(AND(I3619=""Positive"",REGEXMATCH(H3"&amp;"619,""মূর্খ|ভণ্ড|প্রতার|অলস|লোভ|স্বার্থ|অক্ষম|অযোগ্য|বোকা|কৃপণ|হিংস"")),""valence-target অমিল"",""""),IF(COUNTIF($B:$B,B3619)&gt;1,""ডুপ্লিকেট"",""""))"),"")</f>
        <v/>
      </c>
      <c r="Q3619" s="5" t="str">
        <f t="shared" si="1"/>
        <v>২ পরে</v>
      </c>
    </row>
    <row r="3620">
      <c r="A3620" s="4">
        <v>1435.0</v>
      </c>
      <c r="B3620" s="2" t="s">
        <v>14519</v>
      </c>
      <c r="C3620" s="2" t="s">
        <v>14520</v>
      </c>
      <c r="D3620" s="2" t="s">
        <v>14521</v>
      </c>
      <c r="E3620" s="2" t="s">
        <v>14522</v>
      </c>
      <c r="F3620" s="2" t="b">
        <v>1</v>
      </c>
      <c r="G3620" s="2" t="b">
        <v>1</v>
      </c>
      <c r="H3620" s="2" t="s">
        <v>3079</v>
      </c>
      <c r="I3620" s="2" t="s">
        <v>22</v>
      </c>
      <c r="J3620" s="2" t="s">
        <v>1315</v>
      </c>
      <c r="K3620" s="2" t="s">
        <v>376</v>
      </c>
      <c r="L3620" s="2" t="s">
        <v>391</v>
      </c>
      <c r="M3620" s="2" t="s">
        <v>26</v>
      </c>
      <c r="N3620" s="29"/>
      <c r="O3620" s="29"/>
      <c r="P3620" s="5" t="str">
        <f>IFERROR(__xludf.DUMMYFUNCTION("TEXTJOIN("" | "",TRUE,IF(OR(D3620="""",E3620="""",I3620="""",J3620="""",H3620=""""),""ফাঁকা ঘর"",""""),IF(AND(C3620&lt;&gt;"""",D3620&lt;&gt;"""",C3620=D3620),""gloss=figurative"",""""),IF(LEN(D3620)&lt;15,""figurative ছোট"",""""),IF(AND(I3620=""Positive"",REGEXMATCH(H3"&amp;"620,""মূর্খ|ভণ্ড|প্রতার|অলস|লোভ|স্বার্থ|অক্ষম|অযোগ্য|বোকা|কৃপণ|হিংস"")),""valence-target অমিল"",""""),IF(COUNTIF($B:$B,B3620)&gt;1,""ডুপ্লিকেট"",""""))"),"")</f>
        <v/>
      </c>
      <c r="Q3620" s="5" t="str">
        <f t="shared" si="1"/>
        <v>২ পরে</v>
      </c>
    </row>
    <row r="3621">
      <c r="A3621" s="4">
        <v>1436.0</v>
      </c>
      <c r="B3621" s="2" t="s">
        <v>14523</v>
      </c>
      <c r="C3621" s="2" t="s">
        <v>14524</v>
      </c>
      <c r="D3621" s="2" t="s">
        <v>14525</v>
      </c>
      <c r="E3621" s="2" t="s">
        <v>14526</v>
      </c>
      <c r="F3621" s="2" t="b">
        <v>1</v>
      </c>
      <c r="G3621" s="2" t="b">
        <v>0</v>
      </c>
      <c r="H3621" s="2" t="s">
        <v>207</v>
      </c>
      <c r="I3621" s="2" t="s">
        <v>49</v>
      </c>
      <c r="J3621" s="2" t="s">
        <v>208</v>
      </c>
      <c r="K3621" s="2" t="s">
        <v>376</v>
      </c>
      <c r="L3621" s="2" t="s">
        <v>391</v>
      </c>
      <c r="M3621" s="2" t="s">
        <v>26</v>
      </c>
      <c r="N3621" s="29"/>
      <c r="O3621" s="29"/>
      <c r="P3621" s="5" t="str">
        <f>IFERROR(__xludf.DUMMYFUNCTION("TEXTJOIN("" | "",TRUE,IF(OR(D3621="""",E3621="""",I3621="""",J3621="""",H3621=""""),""ফাঁকা ঘর"",""""),IF(AND(C3621&lt;&gt;"""",D3621&lt;&gt;"""",C3621=D3621),""gloss=figurative"",""""),IF(LEN(D3621)&lt;15,""figurative ছোট"",""""),IF(AND(I3621=""Positive"",REGEXMATCH(H3"&amp;"621,""মূর্খ|ভণ্ড|প্রতার|অলস|লোভ|স্বার্থ|অক্ষম|অযোগ্য|বোকা|কৃপণ|হিংস"")),""valence-target অমিল"",""""),IF(COUNTIF($B:$B,B3621)&gt;1,""ডুপ্লিকেট"",""""))"),"")</f>
        <v/>
      </c>
      <c r="Q3621" s="5" t="str">
        <f t="shared" si="1"/>
        <v>২ পরে</v>
      </c>
    </row>
    <row r="3622">
      <c r="A3622" s="4">
        <v>1437.0</v>
      </c>
      <c r="B3622" s="2" t="s">
        <v>14527</v>
      </c>
      <c r="C3622" s="2" t="s">
        <v>14528</v>
      </c>
      <c r="D3622" s="2" t="s">
        <v>14529</v>
      </c>
      <c r="E3622" s="2" t="s">
        <v>14530</v>
      </c>
      <c r="F3622" s="2" t="b">
        <v>1</v>
      </c>
      <c r="G3622" s="2" t="b">
        <v>0</v>
      </c>
      <c r="H3622" s="2" t="s">
        <v>9380</v>
      </c>
      <c r="I3622" s="2" t="s">
        <v>22</v>
      </c>
      <c r="J3622" s="2" t="s">
        <v>59</v>
      </c>
      <c r="K3622" s="2" t="s">
        <v>376</v>
      </c>
      <c r="L3622" s="2" t="s">
        <v>391</v>
      </c>
      <c r="M3622" s="2" t="s">
        <v>26</v>
      </c>
      <c r="N3622" s="29"/>
      <c r="O3622" s="29"/>
      <c r="P3622" s="5" t="str">
        <f>IFERROR(__xludf.DUMMYFUNCTION("TEXTJOIN("" | "",TRUE,IF(OR(D3622="""",E3622="""",I3622="""",J3622="""",H3622=""""),""ফাঁকা ঘর"",""""),IF(AND(C3622&lt;&gt;"""",D3622&lt;&gt;"""",C3622=D3622),""gloss=figurative"",""""),IF(LEN(D3622)&lt;15,""figurative ছোট"",""""),IF(AND(I3622=""Positive"",REGEXMATCH(H3"&amp;"622,""মূর্খ|ভণ্ড|প্রতার|অলস|লোভ|স্বার্থ|অক্ষম|অযোগ্য|বোকা|কৃপণ|হিংস"")),""valence-target অমিল"",""""),IF(COUNTIF($B:$B,B3622)&gt;1,""ডুপ্লিকেট"",""""))"),"")</f>
        <v/>
      </c>
      <c r="Q3622" s="5" t="str">
        <f t="shared" si="1"/>
        <v>২ পরে</v>
      </c>
    </row>
    <row r="3623">
      <c r="A3623" s="4">
        <v>1438.0</v>
      </c>
      <c r="B3623" s="2" t="s">
        <v>14531</v>
      </c>
      <c r="C3623" s="2" t="s">
        <v>14532</v>
      </c>
      <c r="D3623" s="2" t="s">
        <v>14533</v>
      </c>
      <c r="E3623" s="2" t="s">
        <v>14534</v>
      </c>
      <c r="F3623" s="2" t="b">
        <v>1</v>
      </c>
      <c r="G3623" s="2" t="b">
        <v>0</v>
      </c>
      <c r="H3623" s="2" t="s">
        <v>14535</v>
      </c>
      <c r="I3623" s="2" t="s">
        <v>49</v>
      </c>
      <c r="J3623" s="2" t="s">
        <v>14536</v>
      </c>
      <c r="K3623" s="2" t="s">
        <v>376</v>
      </c>
      <c r="L3623" s="2" t="s">
        <v>391</v>
      </c>
      <c r="M3623" s="2" t="s">
        <v>26</v>
      </c>
      <c r="N3623" s="29"/>
      <c r="O3623" s="29"/>
      <c r="P3623" s="5" t="str">
        <f>IFERROR(__xludf.DUMMYFUNCTION("TEXTJOIN("" | "",TRUE,IF(OR(D3623="""",E3623="""",I3623="""",J3623="""",H3623=""""),""ফাঁকা ঘর"",""""),IF(AND(C3623&lt;&gt;"""",D3623&lt;&gt;"""",C3623=D3623),""gloss=figurative"",""""),IF(LEN(D3623)&lt;15,""figurative ছোট"",""""),IF(AND(I3623=""Positive"",REGEXMATCH(H3"&amp;"623,""মূর্খ|ভণ্ড|প্রতার|অলস|লোভ|স্বার্থ|অক্ষম|অযোগ্য|বোকা|কৃপণ|হিংস"")),""valence-target অমিল"",""""),IF(COUNTIF($B:$B,B3623)&gt;1,""ডুপ্লিকেট"",""""))"),"")</f>
        <v/>
      </c>
      <c r="Q3623" s="5" t="str">
        <f t="shared" si="1"/>
        <v>২ পরে</v>
      </c>
    </row>
    <row r="3624">
      <c r="A3624" s="4">
        <v>1439.0</v>
      </c>
      <c r="B3624" s="2" t="s">
        <v>14537</v>
      </c>
      <c r="C3624" s="2" t="s">
        <v>14538</v>
      </c>
      <c r="D3624" s="2" t="s">
        <v>14539</v>
      </c>
      <c r="E3624" s="2" t="s">
        <v>14540</v>
      </c>
      <c r="F3624" s="2" t="b">
        <v>1</v>
      </c>
      <c r="G3624" s="2" t="b">
        <v>0</v>
      </c>
      <c r="H3624" s="2" t="s">
        <v>37</v>
      </c>
      <c r="I3624" s="2" t="s">
        <v>32</v>
      </c>
      <c r="J3624" s="2" t="s">
        <v>340</v>
      </c>
      <c r="K3624" s="2" t="s">
        <v>376</v>
      </c>
      <c r="L3624" s="2" t="s">
        <v>391</v>
      </c>
      <c r="M3624" s="2" t="s">
        <v>26</v>
      </c>
      <c r="N3624" s="29"/>
      <c r="O3624" s="29"/>
      <c r="P3624" s="5" t="str">
        <f>IFERROR(__xludf.DUMMYFUNCTION("TEXTJOIN("" | "",TRUE,IF(OR(D3624="""",E3624="""",I3624="""",J3624="""",H3624=""""),""ফাঁকা ঘর"",""""),IF(AND(C3624&lt;&gt;"""",D3624&lt;&gt;"""",C3624=D3624),""gloss=figurative"",""""),IF(LEN(D3624)&lt;15,""figurative ছোট"",""""),IF(AND(I3624=""Positive"",REGEXMATCH(H3"&amp;"624,""মূর্খ|ভণ্ড|প্রতার|অলস|লোভ|স্বার্থ|অক্ষম|অযোগ্য|বোকা|কৃপণ|হিংস"")),""valence-target অমিল"",""""),IF(COUNTIF($B:$B,B3624)&gt;1,""ডুপ্লিকেট"",""""))"),"")</f>
        <v/>
      </c>
      <c r="Q3624" s="5" t="str">
        <f t="shared" si="1"/>
        <v>২ পরে</v>
      </c>
    </row>
    <row r="3625">
      <c r="A3625" s="4">
        <v>1440.0</v>
      </c>
      <c r="B3625" s="2" t="s">
        <v>14541</v>
      </c>
      <c r="C3625" s="2" t="s">
        <v>14542</v>
      </c>
      <c r="D3625" s="2" t="s">
        <v>14543</v>
      </c>
      <c r="E3625" s="2" t="s">
        <v>14544</v>
      </c>
      <c r="F3625" s="2" t="b">
        <v>1</v>
      </c>
      <c r="G3625" s="2" t="b">
        <v>0</v>
      </c>
      <c r="H3625" s="2" t="s">
        <v>37</v>
      </c>
      <c r="I3625" s="2" t="s">
        <v>32</v>
      </c>
      <c r="J3625" s="2" t="s">
        <v>162</v>
      </c>
      <c r="K3625" s="2" t="s">
        <v>376</v>
      </c>
      <c r="L3625" s="2" t="s">
        <v>391</v>
      </c>
      <c r="M3625" s="2" t="s">
        <v>26</v>
      </c>
      <c r="N3625" s="29"/>
      <c r="O3625" s="29"/>
      <c r="P3625" s="5" t="str">
        <f>IFERROR(__xludf.DUMMYFUNCTION("TEXTJOIN("" | "",TRUE,IF(OR(D3625="""",E3625="""",I3625="""",J3625="""",H3625=""""),""ফাঁকা ঘর"",""""),IF(AND(C3625&lt;&gt;"""",D3625&lt;&gt;"""",C3625=D3625),""gloss=figurative"",""""),IF(LEN(D3625)&lt;15,""figurative ছোট"",""""),IF(AND(I3625=""Positive"",REGEXMATCH(H3"&amp;"625,""মূর্খ|ভণ্ড|প্রতার|অলস|লোভ|স্বার্থ|অক্ষম|অযোগ্য|বোকা|কৃপণ|হিংস"")),""valence-target অমিল"",""""),IF(COUNTIF($B:$B,B3625)&gt;1,""ডুপ্লিকেট"",""""))"),"")</f>
        <v/>
      </c>
      <c r="Q3625" s="5" t="str">
        <f t="shared" si="1"/>
        <v>২ পরে</v>
      </c>
    </row>
    <row r="3626">
      <c r="A3626" s="4">
        <v>1441.0</v>
      </c>
      <c r="B3626" s="2" t="s">
        <v>14545</v>
      </c>
      <c r="C3626" s="2" t="s">
        <v>14546</v>
      </c>
      <c r="D3626" s="2" t="s">
        <v>14547</v>
      </c>
      <c r="E3626" s="2" t="s">
        <v>14548</v>
      </c>
      <c r="F3626" s="2" t="b">
        <v>1</v>
      </c>
      <c r="G3626" s="2" t="b">
        <v>0</v>
      </c>
      <c r="H3626" s="2" t="s">
        <v>37</v>
      </c>
      <c r="I3626" s="2" t="s">
        <v>32</v>
      </c>
      <c r="J3626" s="2" t="s">
        <v>162</v>
      </c>
      <c r="K3626" s="2" t="s">
        <v>376</v>
      </c>
      <c r="L3626" s="2" t="s">
        <v>391</v>
      </c>
      <c r="M3626" s="2" t="s">
        <v>26</v>
      </c>
      <c r="N3626" s="29"/>
      <c r="O3626" s="29"/>
      <c r="P3626" s="5" t="str">
        <f>IFERROR(__xludf.DUMMYFUNCTION("TEXTJOIN("" | "",TRUE,IF(OR(D3626="""",E3626="""",I3626="""",J3626="""",H3626=""""),""ফাঁকা ঘর"",""""),IF(AND(C3626&lt;&gt;"""",D3626&lt;&gt;"""",C3626=D3626),""gloss=figurative"",""""),IF(LEN(D3626)&lt;15,""figurative ছোট"",""""),IF(AND(I3626=""Positive"",REGEXMATCH(H3"&amp;"626,""মূর্খ|ভণ্ড|প্রতার|অলস|লোভ|স্বার্থ|অক্ষম|অযোগ্য|বোকা|কৃপণ|হিংস"")),""valence-target অমিল"",""""),IF(COUNTIF($B:$B,B3626)&gt;1,""ডুপ্লিকেট"",""""))"),"")</f>
        <v/>
      </c>
      <c r="Q3626" s="5" t="str">
        <f t="shared" si="1"/>
        <v>২ পরে</v>
      </c>
    </row>
    <row r="3627">
      <c r="A3627" s="4">
        <v>1442.0</v>
      </c>
      <c r="B3627" s="2" t="s">
        <v>14549</v>
      </c>
      <c r="C3627" s="2" t="s">
        <v>14550</v>
      </c>
      <c r="D3627" s="2" t="s">
        <v>14551</v>
      </c>
      <c r="E3627" s="2" t="s">
        <v>14552</v>
      </c>
      <c r="F3627" s="2" t="b">
        <v>1</v>
      </c>
      <c r="G3627" s="2" t="b">
        <v>0</v>
      </c>
      <c r="H3627" s="2" t="s">
        <v>14553</v>
      </c>
      <c r="I3627" s="2" t="s">
        <v>49</v>
      </c>
      <c r="J3627" s="2" t="s">
        <v>3506</v>
      </c>
      <c r="K3627" s="2" t="s">
        <v>376</v>
      </c>
      <c r="L3627" s="2" t="s">
        <v>391</v>
      </c>
      <c r="M3627" s="2" t="s">
        <v>26</v>
      </c>
      <c r="N3627" s="29"/>
      <c r="O3627" s="29"/>
      <c r="P3627" s="5" t="str">
        <f>IFERROR(__xludf.DUMMYFUNCTION("TEXTJOIN("" | "",TRUE,IF(OR(D3627="""",E3627="""",I3627="""",J3627="""",H3627=""""),""ফাঁকা ঘর"",""""),IF(AND(C3627&lt;&gt;"""",D3627&lt;&gt;"""",C3627=D3627),""gloss=figurative"",""""),IF(LEN(D3627)&lt;15,""figurative ছোট"",""""),IF(AND(I3627=""Positive"",REGEXMATCH(H3"&amp;"627,""মূর্খ|ভণ্ড|প্রতার|অলস|লোভ|স্বার্থ|অক্ষম|অযোগ্য|বোকা|কৃপণ|হিংস"")),""valence-target অমিল"",""""),IF(COUNTIF($B:$B,B3627)&gt;1,""ডুপ্লিকেট"",""""))"),"")</f>
        <v/>
      </c>
      <c r="Q3627" s="5" t="str">
        <f t="shared" si="1"/>
        <v>২ পরে</v>
      </c>
    </row>
    <row r="3628">
      <c r="A3628" s="4">
        <v>1443.0</v>
      </c>
      <c r="B3628" s="2" t="s">
        <v>14554</v>
      </c>
      <c r="C3628" s="2" t="s">
        <v>14555</v>
      </c>
      <c r="D3628" s="2" t="s">
        <v>14556</v>
      </c>
      <c r="E3628" s="2" t="s">
        <v>14557</v>
      </c>
      <c r="F3628" s="2" t="b">
        <v>1</v>
      </c>
      <c r="G3628" s="2" t="b">
        <v>0</v>
      </c>
      <c r="H3628" s="2" t="s">
        <v>8837</v>
      </c>
      <c r="I3628" s="2" t="s">
        <v>32</v>
      </c>
      <c r="J3628" s="2" t="s">
        <v>59</v>
      </c>
      <c r="K3628" s="2" t="s">
        <v>376</v>
      </c>
      <c r="L3628" s="2" t="s">
        <v>391</v>
      </c>
      <c r="M3628" s="2" t="s">
        <v>26</v>
      </c>
      <c r="N3628" s="29"/>
      <c r="O3628" s="29"/>
      <c r="P3628" s="5" t="str">
        <f>IFERROR(__xludf.DUMMYFUNCTION("TEXTJOIN("" | "",TRUE,IF(OR(D3628="""",E3628="""",I3628="""",J3628="""",H3628=""""),""ফাঁকা ঘর"",""""),IF(AND(C3628&lt;&gt;"""",D3628&lt;&gt;"""",C3628=D3628),""gloss=figurative"",""""),IF(LEN(D3628)&lt;15,""figurative ছোট"",""""),IF(AND(I3628=""Positive"",REGEXMATCH(H3"&amp;"628,""মূর্খ|ভণ্ড|প্রতার|অলস|লোভ|স্বার্থ|অক্ষম|অযোগ্য|বোকা|কৃপণ|হিংস"")),""valence-target অমিল"",""""),IF(COUNTIF($B:$B,B3628)&gt;1,""ডুপ্লিকেট"",""""))"),"")</f>
        <v/>
      </c>
      <c r="Q3628" s="5" t="str">
        <f t="shared" si="1"/>
        <v>২ পরে</v>
      </c>
    </row>
    <row r="3629">
      <c r="A3629" s="4">
        <v>1444.0</v>
      </c>
      <c r="B3629" s="2" t="s">
        <v>14558</v>
      </c>
      <c r="C3629" s="2" t="s">
        <v>14558</v>
      </c>
      <c r="D3629" s="2" t="s">
        <v>14559</v>
      </c>
      <c r="E3629" s="2" t="s">
        <v>14560</v>
      </c>
      <c r="F3629" s="2" t="b">
        <v>1</v>
      </c>
      <c r="G3629" s="2" t="b">
        <v>0</v>
      </c>
      <c r="H3629" s="2" t="s">
        <v>13590</v>
      </c>
      <c r="I3629" s="2" t="s">
        <v>32</v>
      </c>
      <c r="J3629" s="2" t="s">
        <v>169</v>
      </c>
      <c r="K3629" s="2" t="s">
        <v>376</v>
      </c>
      <c r="L3629" s="2" t="s">
        <v>391</v>
      </c>
      <c r="M3629" s="2" t="s">
        <v>26</v>
      </c>
      <c r="N3629" s="29"/>
      <c r="O3629" s="29"/>
      <c r="P3629" s="5" t="str">
        <f>IFERROR(__xludf.DUMMYFUNCTION("TEXTJOIN("" | "",TRUE,IF(OR(D3629="""",E3629="""",I3629="""",J3629="""",H3629=""""),""ফাঁকা ঘর"",""""),IF(AND(C3629&lt;&gt;"""",D3629&lt;&gt;"""",C3629=D3629),""gloss=figurative"",""""),IF(LEN(D3629)&lt;15,""figurative ছোট"",""""),IF(AND(I3629=""Positive"",REGEXMATCH(H3"&amp;"629,""মূর্খ|ভণ্ড|প্রতার|অলস|লোভ|স্বার্থ|অক্ষম|অযোগ্য|বোকা|কৃপণ|হিংস"")),""valence-target অমিল"",""""),IF(COUNTIF($B:$B,B3629)&gt;1,""ডুপ্লিকেট"",""""))"),"")</f>
        <v/>
      </c>
      <c r="Q3629" s="5" t="str">
        <f t="shared" si="1"/>
        <v>২ পরে</v>
      </c>
    </row>
    <row r="3630">
      <c r="A3630" s="4">
        <v>1445.0</v>
      </c>
      <c r="B3630" s="2" t="s">
        <v>14561</v>
      </c>
      <c r="C3630" s="2" t="s">
        <v>14562</v>
      </c>
      <c r="D3630" s="2" t="s">
        <v>14563</v>
      </c>
      <c r="E3630" s="2" t="s">
        <v>14564</v>
      </c>
      <c r="F3630" s="2" t="b">
        <v>1</v>
      </c>
      <c r="G3630" s="2" t="b">
        <v>0</v>
      </c>
      <c r="H3630" s="2" t="s">
        <v>11566</v>
      </c>
      <c r="I3630" s="2" t="s">
        <v>49</v>
      </c>
      <c r="J3630" s="2" t="s">
        <v>868</v>
      </c>
      <c r="K3630" s="2" t="s">
        <v>376</v>
      </c>
      <c r="L3630" s="2" t="s">
        <v>391</v>
      </c>
      <c r="M3630" s="2" t="s">
        <v>26</v>
      </c>
      <c r="N3630" s="29"/>
      <c r="O3630" s="29"/>
      <c r="P3630" s="5" t="str">
        <f>IFERROR(__xludf.DUMMYFUNCTION("TEXTJOIN("" | "",TRUE,IF(OR(D3630="""",E3630="""",I3630="""",J3630="""",H3630=""""),""ফাঁকা ঘর"",""""),IF(AND(C3630&lt;&gt;"""",D3630&lt;&gt;"""",C3630=D3630),""gloss=figurative"",""""),IF(LEN(D3630)&lt;15,""figurative ছোট"",""""),IF(AND(I3630=""Positive"",REGEXMATCH(H3"&amp;"630,""মূর্খ|ভণ্ড|প্রতার|অলস|লোভ|স্বার্থ|অক্ষম|অযোগ্য|বোকা|কৃপণ|হিংস"")),""valence-target অমিল"",""""),IF(COUNTIF($B:$B,B3630)&gt;1,""ডুপ্লিকেট"",""""))"),"")</f>
        <v/>
      </c>
      <c r="Q3630" s="5" t="str">
        <f t="shared" si="1"/>
        <v>২ পরে</v>
      </c>
    </row>
    <row r="3631">
      <c r="A3631" s="4">
        <v>1446.0</v>
      </c>
      <c r="B3631" s="2" t="s">
        <v>14565</v>
      </c>
      <c r="C3631" s="2" t="s">
        <v>14566</v>
      </c>
      <c r="D3631" s="2" t="s">
        <v>14567</v>
      </c>
      <c r="E3631" s="2" t="s">
        <v>14568</v>
      </c>
      <c r="F3631" s="2" t="b">
        <v>1</v>
      </c>
      <c r="G3631" s="2" t="b">
        <v>1</v>
      </c>
      <c r="H3631" s="2" t="s">
        <v>14569</v>
      </c>
      <c r="I3631" s="2" t="s">
        <v>22</v>
      </c>
      <c r="J3631" s="2" t="s">
        <v>59</v>
      </c>
      <c r="K3631" s="2" t="s">
        <v>376</v>
      </c>
      <c r="L3631" s="2" t="s">
        <v>391</v>
      </c>
      <c r="M3631" s="2" t="s">
        <v>26</v>
      </c>
      <c r="N3631" s="29"/>
      <c r="O3631" s="29"/>
      <c r="P3631" s="5" t="str">
        <f>IFERROR(__xludf.DUMMYFUNCTION("TEXTJOIN("" | "",TRUE,IF(OR(D3631="""",E3631="""",I3631="""",J3631="""",H3631=""""),""ফাঁকা ঘর"",""""),IF(AND(C3631&lt;&gt;"""",D3631&lt;&gt;"""",C3631=D3631),""gloss=figurative"",""""),IF(LEN(D3631)&lt;15,""figurative ছোট"",""""),IF(AND(I3631=""Positive"",REGEXMATCH(H3"&amp;"631,""মূর্খ|ভণ্ড|প্রতার|অলস|লোভ|স্বার্থ|অক্ষম|অযোগ্য|বোকা|কৃপণ|হিংস"")),""valence-target অমিল"",""""),IF(COUNTIF($B:$B,B3631)&gt;1,""ডুপ্লিকেট"",""""))"),"")</f>
        <v/>
      </c>
      <c r="Q3631" s="5" t="str">
        <f t="shared" si="1"/>
        <v>২ পরে</v>
      </c>
    </row>
    <row r="3632">
      <c r="A3632" s="4">
        <v>1447.0</v>
      </c>
      <c r="B3632" s="2" t="s">
        <v>14570</v>
      </c>
      <c r="C3632" s="2" t="s">
        <v>14571</v>
      </c>
      <c r="D3632" s="2" t="s">
        <v>14572</v>
      </c>
      <c r="E3632" s="2" t="s">
        <v>14573</v>
      </c>
      <c r="F3632" s="2" t="b">
        <v>1</v>
      </c>
      <c r="G3632" s="2" t="b">
        <v>0</v>
      </c>
      <c r="H3632" s="2" t="s">
        <v>14574</v>
      </c>
      <c r="I3632" s="2" t="s">
        <v>22</v>
      </c>
      <c r="J3632" s="2" t="s">
        <v>59</v>
      </c>
      <c r="K3632" s="2" t="s">
        <v>376</v>
      </c>
      <c r="L3632" s="2" t="s">
        <v>391</v>
      </c>
      <c r="M3632" s="2" t="s">
        <v>26</v>
      </c>
      <c r="N3632" s="29"/>
      <c r="O3632" s="29"/>
      <c r="P3632" s="5" t="str">
        <f>IFERROR(__xludf.DUMMYFUNCTION("TEXTJOIN("" | "",TRUE,IF(OR(D3632="""",E3632="""",I3632="""",J3632="""",H3632=""""),""ফাঁকা ঘর"",""""),IF(AND(C3632&lt;&gt;"""",D3632&lt;&gt;"""",C3632=D3632),""gloss=figurative"",""""),IF(LEN(D3632)&lt;15,""figurative ছোট"",""""),IF(AND(I3632=""Positive"",REGEXMATCH(H3"&amp;"632,""মূর্খ|ভণ্ড|প্রতার|অলস|লোভ|স্বার্থ|অক্ষম|অযোগ্য|বোকা|কৃপণ|হিংস"")),""valence-target অমিল"",""""),IF(COUNTIF($B:$B,B3632)&gt;1,""ডুপ্লিকেট"",""""))"),"")</f>
        <v/>
      </c>
      <c r="Q3632" s="5" t="str">
        <f t="shared" si="1"/>
        <v>২ পরে</v>
      </c>
    </row>
    <row r="3633">
      <c r="A3633" s="4">
        <v>1448.0</v>
      </c>
      <c r="B3633" s="2" t="s">
        <v>14575</v>
      </c>
      <c r="C3633" s="2" t="s">
        <v>14576</v>
      </c>
      <c r="D3633" s="2" t="s">
        <v>14577</v>
      </c>
      <c r="E3633" s="2" t="s">
        <v>14578</v>
      </c>
      <c r="F3633" s="2" t="b">
        <v>1</v>
      </c>
      <c r="G3633" s="2" t="b">
        <v>0</v>
      </c>
      <c r="H3633" s="2" t="s">
        <v>12134</v>
      </c>
      <c r="I3633" s="2" t="s">
        <v>22</v>
      </c>
      <c r="J3633" s="2" t="s">
        <v>59</v>
      </c>
      <c r="K3633" s="2" t="s">
        <v>376</v>
      </c>
      <c r="L3633" s="2" t="s">
        <v>391</v>
      </c>
      <c r="M3633" s="2" t="s">
        <v>26</v>
      </c>
      <c r="N3633" s="29"/>
      <c r="O3633" s="29"/>
      <c r="P3633" s="5" t="str">
        <f>IFERROR(__xludf.DUMMYFUNCTION("TEXTJOIN("" | "",TRUE,IF(OR(D3633="""",E3633="""",I3633="""",J3633="""",H3633=""""),""ফাঁকা ঘর"",""""),IF(AND(C3633&lt;&gt;"""",D3633&lt;&gt;"""",C3633=D3633),""gloss=figurative"",""""),IF(LEN(D3633)&lt;15,""figurative ছোট"",""""),IF(AND(I3633=""Positive"",REGEXMATCH(H3"&amp;"633,""মূর্খ|ভণ্ড|প্রতার|অলস|লোভ|স্বার্থ|অক্ষম|অযোগ্য|বোকা|কৃপণ|হিংস"")),""valence-target অমিল"",""""),IF(COUNTIF($B:$B,B3633)&gt;1,""ডুপ্লিকেট"",""""))"),"")</f>
        <v/>
      </c>
      <c r="Q3633" s="5" t="str">
        <f t="shared" si="1"/>
        <v>২ পরে</v>
      </c>
    </row>
    <row r="3634">
      <c r="A3634" s="4">
        <v>1449.0</v>
      </c>
      <c r="B3634" s="2" t="s">
        <v>14579</v>
      </c>
      <c r="C3634" s="2" t="s">
        <v>14579</v>
      </c>
      <c r="D3634" s="2" t="s">
        <v>14580</v>
      </c>
      <c r="E3634" s="2" t="s">
        <v>14581</v>
      </c>
      <c r="F3634" s="2" t="b">
        <v>1</v>
      </c>
      <c r="G3634" s="2" t="b">
        <v>0</v>
      </c>
      <c r="H3634" s="2" t="s">
        <v>1098</v>
      </c>
      <c r="I3634" s="2" t="s">
        <v>32</v>
      </c>
      <c r="J3634" s="2" t="s">
        <v>590</v>
      </c>
      <c r="K3634" s="2" t="s">
        <v>376</v>
      </c>
      <c r="L3634" s="2" t="s">
        <v>391</v>
      </c>
      <c r="M3634" s="2" t="s">
        <v>26</v>
      </c>
      <c r="N3634" s="29"/>
      <c r="O3634" s="29"/>
      <c r="P3634" s="5" t="str">
        <f>IFERROR(__xludf.DUMMYFUNCTION("TEXTJOIN("" | "",TRUE,IF(OR(D3634="""",E3634="""",I3634="""",J3634="""",H3634=""""),""ফাঁকা ঘর"",""""),IF(AND(C3634&lt;&gt;"""",D3634&lt;&gt;"""",C3634=D3634),""gloss=figurative"",""""),IF(LEN(D3634)&lt;15,""figurative ছোট"",""""),IF(AND(I3634=""Positive"",REGEXMATCH(H3"&amp;"634,""মূর্খ|ভণ্ড|প্রতার|অলস|লোভ|স্বার্থ|অক্ষম|অযোগ্য|বোকা|কৃপণ|হিংস"")),""valence-target অমিল"",""""),IF(COUNTIF($B:$B,B3634)&gt;1,""ডুপ্লিকেট"",""""))"),"")</f>
        <v/>
      </c>
      <c r="Q3634" s="5" t="str">
        <f t="shared" si="1"/>
        <v>২ পরে</v>
      </c>
    </row>
    <row r="3635">
      <c r="A3635" s="4">
        <v>1450.0</v>
      </c>
      <c r="B3635" s="2" t="s">
        <v>14582</v>
      </c>
      <c r="C3635" s="2" t="s">
        <v>14583</v>
      </c>
      <c r="D3635" s="2" t="s">
        <v>14584</v>
      </c>
      <c r="E3635" s="2" t="s">
        <v>14585</v>
      </c>
      <c r="F3635" s="2" t="b">
        <v>1</v>
      </c>
      <c r="G3635" s="2" t="b">
        <v>0</v>
      </c>
      <c r="H3635" s="2" t="s">
        <v>189</v>
      </c>
      <c r="I3635" s="2" t="s">
        <v>22</v>
      </c>
      <c r="J3635" s="2" t="s">
        <v>59</v>
      </c>
      <c r="K3635" s="2" t="s">
        <v>376</v>
      </c>
      <c r="L3635" s="2" t="s">
        <v>391</v>
      </c>
      <c r="M3635" s="2" t="s">
        <v>26</v>
      </c>
      <c r="N3635" s="29"/>
      <c r="O3635" s="29"/>
      <c r="P3635" s="5" t="str">
        <f>IFERROR(__xludf.DUMMYFUNCTION("TEXTJOIN("" | "",TRUE,IF(OR(D3635="""",E3635="""",I3635="""",J3635="""",H3635=""""),""ফাঁকা ঘর"",""""),IF(AND(C3635&lt;&gt;"""",D3635&lt;&gt;"""",C3635=D3635),""gloss=figurative"",""""),IF(LEN(D3635)&lt;15,""figurative ছোট"",""""),IF(AND(I3635=""Positive"",REGEXMATCH(H3"&amp;"635,""মূর্খ|ভণ্ড|প্রতার|অলস|লোভ|স্বার্থ|অক্ষম|অযোগ্য|বোকা|কৃপণ|হিংস"")),""valence-target অমিল"",""""),IF(COUNTIF($B:$B,B3635)&gt;1,""ডুপ্লিকেট"",""""))"),"")</f>
        <v/>
      </c>
      <c r="Q3635" s="5" t="str">
        <f t="shared" si="1"/>
        <v>২ পরে</v>
      </c>
    </row>
    <row r="3636">
      <c r="A3636" s="4">
        <v>1451.0</v>
      </c>
      <c r="B3636" s="2" t="s">
        <v>14586</v>
      </c>
      <c r="C3636" s="2" t="s">
        <v>14587</v>
      </c>
      <c r="D3636" s="2" t="s">
        <v>14588</v>
      </c>
      <c r="E3636" s="2" t="s">
        <v>14589</v>
      </c>
      <c r="F3636" s="2" t="b">
        <v>1</v>
      </c>
      <c r="G3636" s="2" t="b">
        <v>0</v>
      </c>
      <c r="H3636" s="2" t="s">
        <v>14590</v>
      </c>
      <c r="I3636" s="2" t="s">
        <v>32</v>
      </c>
      <c r="J3636" s="2" t="s">
        <v>1925</v>
      </c>
      <c r="K3636" s="2" t="s">
        <v>376</v>
      </c>
      <c r="L3636" s="2" t="s">
        <v>391</v>
      </c>
      <c r="M3636" s="2" t="s">
        <v>26</v>
      </c>
      <c r="N3636" s="29"/>
      <c r="O3636" s="29"/>
      <c r="P3636" s="5" t="str">
        <f>IFERROR(__xludf.DUMMYFUNCTION("TEXTJOIN("" | "",TRUE,IF(OR(D3636="""",E3636="""",I3636="""",J3636="""",H3636=""""),""ফাঁকা ঘর"",""""),IF(AND(C3636&lt;&gt;"""",D3636&lt;&gt;"""",C3636=D3636),""gloss=figurative"",""""),IF(LEN(D3636)&lt;15,""figurative ছোট"",""""),IF(AND(I3636=""Positive"",REGEXMATCH(H3"&amp;"636,""মূর্খ|ভণ্ড|প্রতার|অলস|লোভ|স্বার্থ|অক্ষম|অযোগ্য|বোকা|কৃপণ|হিংস"")),""valence-target অমিল"",""""),IF(COUNTIF($B:$B,B3636)&gt;1,""ডুপ্লিকেট"",""""))"),"")</f>
        <v/>
      </c>
      <c r="Q3636" s="5" t="str">
        <f t="shared" si="1"/>
        <v>২ পরে</v>
      </c>
    </row>
    <row r="3637">
      <c r="A3637" s="4">
        <v>1452.0</v>
      </c>
      <c r="B3637" s="2" t="s">
        <v>14591</v>
      </c>
      <c r="C3637" s="2" t="s">
        <v>14592</v>
      </c>
      <c r="D3637" s="2" t="s">
        <v>14593</v>
      </c>
      <c r="E3637" s="2" t="s">
        <v>14594</v>
      </c>
      <c r="F3637" s="2" t="b">
        <v>1</v>
      </c>
      <c r="G3637" s="2" t="b">
        <v>0</v>
      </c>
      <c r="H3637" s="2" t="s">
        <v>37</v>
      </c>
      <c r="I3637" s="2" t="s">
        <v>32</v>
      </c>
      <c r="J3637" s="2" t="s">
        <v>162</v>
      </c>
      <c r="K3637" s="2" t="s">
        <v>376</v>
      </c>
      <c r="L3637" s="2" t="s">
        <v>391</v>
      </c>
      <c r="M3637" s="2" t="s">
        <v>26</v>
      </c>
      <c r="N3637" s="29"/>
      <c r="O3637" s="29"/>
      <c r="P3637" s="5" t="str">
        <f>IFERROR(__xludf.DUMMYFUNCTION("TEXTJOIN("" | "",TRUE,IF(OR(D3637="""",E3637="""",I3637="""",J3637="""",H3637=""""),""ফাঁকা ঘর"",""""),IF(AND(C3637&lt;&gt;"""",D3637&lt;&gt;"""",C3637=D3637),""gloss=figurative"",""""),IF(LEN(D3637)&lt;15,""figurative ছোট"",""""),IF(AND(I3637=""Positive"",REGEXMATCH(H3"&amp;"637,""মূর্খ|ভণ্ড|প্রতার|অলস|লোভ|স্বার্থ|অক্ষম|অযোগ্য|বোকা|কৃপণ|হিংস"")),""valence-target অমিল"",""""),IF(COUNTIF($B:$B,B3637)&gt;1,""ডুপ্লিকেট"",""""))"),"")</f>
        <v/>
      </c>
      <c r="Q3637" s="5" t="str">
        <f t="shared" si="1"/>
        <v>২ পরে</v>
      </c>
    </row>
    <row r="3638">
      <c r="A3638" s="4">
        <v>1453.0</v>
      </c>
      <c r="B3638" s="2" t="s">
        <v>14595</v>
      </c>
      <c r="C3638" s="2" t="s">
        <v>14596</v>
      </c>
      <c r="D3638" s="2" t="s">
        <v>14597</v>
      </c>
      <c r="E3638" s="2" t="s">
        <v>14598</v>
      </c>
      <c r="F3638" s="2" t="b">
        <v>1</v>
      </c>
      <c r="G3638" s="2" t="b">
        <v>0</v>
      </c>
      <c r="H3638" s="2" t="s">
        <v>9296</v>
      </c>
      <c r="I3638" s="2" t="s">
        <v>22</v>
      </c>
      <c r="J3638" s="2" t="s">
        <v>59</v>
      </c>
      <c r="K3638" s="2" t="s">
        <v>376</v>
      </c>
      <c r="L3638" s="2" t="s">
        <v>391</v>
      </c>
      <c r="M3638" s="2" t="s">
        <v>26</v>
      </c>
      <c r="N3638" s="29"/>
      <c r="O3638" s="29"/>
      <c r="P3638" s="5" t="str">
        <f>IFERROR(__xludf.DUMMYFUNCTION("TEXTJOIN("" | "",TRUE,IF(OR(D3638="""",E3638="""",I3638="""",J3638="""",H3638=""""),""ফাঁকা ঘর"",""""),IF(AND(C3638&lt;&gt;"""",D3638&lt;&gt;"""",C3638=D3638),""gloss=figurative"",""""),IF(LEN(D3638)&lt;15,""figurative ছোট"",""""),IF(AND(I3638=""Positive"",REGEXMATCH(H3"&amp;"638,""মূর্খ|ভণ্ড|প্রতার|অলস|লোভ|স্বার্থ|অক্ষম|অযোগ্য|বোকা|কৃপণ|হিংস"")),""valence-target অমিল"",""""),IF(COUNTIF($B:$B,B3638)&gt;1,""ডুপ্লিকেট"",""""))"),"")</f>
        <v/>
      </c>
      <c r="Q3638" s="5" t="str">
        <f t="shared" si="1"/>
        <v>২ পরে</v>
      </c>
    </row>
    <row r="3639">
      <c r="A3639" s="4">
        <v>1454.0</v>
      </c>
      <c r="B3639" s="2" t="s">
        <v>14599</v>
      </c>
      <c r="C3639" s="2" t="s">
        <v>14600</v>
      </c>
      <c r="D3639" s="2" t="s">
        <v>14601</v>
      </c>
      <c r="E3639" s="2" t="s">
        <v>14602</v>
      </c>
      <c r="F3639" s="2" t="b">
        <v>1</v>
      </c>
      <c r="G3639" s="2" t="b">
        <v>0</v>
      </c>
      <c r="H3639" s="2" t="s">
        <v>14603</v>
      </c>
      <c r="I3639" s="2" t="s">
        <v>32</v>
      </c>
      <c r="J3639" s="2" t="s">
        <v>300</v>
      </c>
      <c r="K3639" s="2" t="s">
        <v>376</v>
      </c>
      <c r="L3639" s="2" t="s">
        <v>391</v>
      </c>
      <c r="M3639" s="2" t="s">
        <v>26</v>
      </c>
      <c r="N3639" s="29"/>
      <c r="O3639" s="29"/>
      <c r="P3639" s="5" t="str">
        <f>IFERROR(__xludf.DUMMYFUNCTION("TEXTJOIN("" | "",TRUE,IF(OR(D3639="""",E3639="""",I3639="""",J3639="""",H3639=""""),""ফাঁকা ঘর"",""""),IF(AND(C3639&lt;&gt;"""",D3639&lt;&gt;"""",C3639=D3639),""gloss=figurative"",""""),IF(LEN(D3639)&lt;15,""figurative ছোট"",""""),IF(AND(I3639=""Positive"",REGEXMATCH(H3"&amp;"639,""মূর্খ|ভণ্ড|প্রতার|অলস|লোভ|স্বার্থ|অক্ষম|অযোগ্য|বোকা|কৃপণ|হিংস"")),""valence-target অমিল"",""""),IF(COUNTIF($B:$B,B3639)&gt;1,""ডুপ্লিকেট"",""""))"),"")</f>
        <v/>
      </c>
      <c r="Q3639" s="5" t="str">
        <f t="shared" si="1"/>
        <v>২ পরে</v>
      </c>
    </row>
    <row r="3640">
      <c r="A3640" s="4">
        <v>1455.0</v>
      </c>
      <c r="B3640" s="2" t="s">
        <v>14604</v>
      </c>
      <c r="C3640" s="2" t="s">
        <v>14605</v>
      </c>
      <c r="D3640" s="2" t="s">
        <v>14606</v>
      </c>
      <c r="E3640" s="2" t="s">
        <v>14607</v>
      </c>
      <c r="F3640" s="2" t="b">
        <v>1</v>
      </c>
      <c r="G3640" s="2" t="b">
        <v>0</v>
      </c>
      <c r="H3640" s="2" t="s">
        <v>37</v>
      </c>
      <c r="I3640" s="2" t="s">
        <v>32</v>
      </c>
      <c r="J3640" s="2" t="s">
        <v>436</v>
      </c>
      <c r="K3640" s="2" t="s">
        <v>376</v>
      </c>
      <c r="L3640" s="2" t="s">
        <v>391</v>
      </c>
      <c r="M3640" s="2" t="s">
        <v>26</v>
      </c>
      <c r="N3640" s="29"/>
      <c r="O3640" s="29"/>
      <c r="P3640" s="5" t="str">
        <f>IFERROR(__xludf.DUMMYFUNCTION("TEXTJOIN("" | "",TRUE,IF(OR(D3640="""",E3640="""",I3640="""",J3640="""",H3640=""""),""ফাঁকা ঘর"",""""),IF(AND(C3640&lt;&gt;"""",D3640&lt;&gt;"""",C3640=D3640),""gloss=figurative"",""""),IF(LEN(D3640)&lt;15,""figurative ছোট"",""""),IF(AND(I3640=""Positive"",REGEXMATCH(H3"&amp;"640,""মূর্খ|ভণ্ড|প্রতার|অলস|লোভ|স্বার্থ|অক্ষম|অযোগ্য|বোকা|কৃপণ|হিংস"")),""valence-target অমিল"",""""),IF(COUNTIF($B:$B,B3640)&gt;1,""ডুপ্লিকেট"",""""))"),"")</f>
        <v/>
      </c>
      <c r="Q3640" s="5" t="str">
        <f t="shared" si="1"/>
        <v>২ পরে</v>
      </c>
    </row>
    <row r="3641">
      <c r="A3641" s="4">
        <v>1456.0</v>
      </c>
      <c r="B3641" s="2" t="s">
        <v>14608</v>
      </c>
      <c r="C3641" s="2" t="s">
        <v>14609</v>
      </c>
      <c r="D3641" s="2" t="s">
        <v>14610</v>
      </c>
      <c r="E3641" s="2" t="s">
        <v>14611</v>
      </c>
      <c r="F3641" s="2" t="b">
        <v>1</v>
      </c>
      <c r="G3641" s="2" t="b">
        <v>0</v>
      </c>
      <c r="H3641" s="2" t="s">
        <v>65</v>
      </c>
      <c r="I3641" s="2" t="s">
        <v>22</v>
      </c>
      <c r="J3641" s="2" t="s">
        <v>59</v>
      </c>
      <c r="K3641" s="2" t="s">
        <v>376</v>
      </c>
      <c r="L3641" s="2" t="s">
        <v>391</v>
      </c>
      <c r="M3641" s="2" t="s">
        <v>26</v>
      </c>
      <c r="N3641" s="29"/>
      <c r="O3641" s="29"/>
      <c r="P3641" s="5" t="str">
        <f>IFERROR(__xludf.DUMMYFUNCTION("TEXTJOIN("" | "",TRUE,IF(OR(D3641="""",E3641="""",I3641="""",J3641="""",H3641=""""),""ফাঁকা ঘর"",""""),IF(AND(C3641&lt;&gt;"""",D3641&lt;&gt;"""",C3641=D3641),""gloss=figurative"",""""),IF(LEN(D3641)&lt;15,""figurative ছোট"",""""),IF(AND(I3641=""Positive"",REGEXMATCH(H3"&amp;"641,""মূর্খ|ভণ্ড|প্রতার|অলস|লোভ|স্বার্থ|অক্ষম|অযোগ্য|বোকা|কৃপণ|হিংস"")),""valence-target অমিল"",""""),IF(COUNTIF($B:$B,B3641)&gt;1,""ডুপ্লিকেট"",""""))"),"")</f>
        <v/>
      </c>
      <c r="Q3641" s="5" t="str">
        <f t="shared" si="1"/>
        <v>২ পরে</v>
      </c>
    </row>
    <row r="3642">
      <c r="A3642" s="4">
        <v>1457.0</v>
      </c>
      <c r="B3642" s="2" t="s">
        <v>14612</v>
      </c>
      <c r="C3642" s="2" t="s">
        <v>14613</v>
      </c>
      <c r="D3642" s="2" t="s">
        <v>14614</v>
      </c>
      <c r="E3642" s="2" t="s">
        <v>14615</v>
      </c>
      <c r="F3642" s="2" t="b">
        <v>1</v>
      </c>
      <c r="G3642" s="2" t="b">
        <v>0</v>
      </c>
      <c r="H3642" s="2" t="s">
        <v>21</v>
      </c>
      <c r="I3642" s="2" t="s">
        <v>22</v>
      </c>
      <c r="J3642" s="2" t="s">
        <v>10356</v>
      </c>
      <c r="K3642" s="2" t="s">
        <v>376</v>
      </c>
      <c r="L3642" s="2" t="s">
        <v>391</v>
      </c>
      <c r="M3642" s="2" t="s">
        <v>26</v>
      </c>
      <c r="N3642" s="29"/>
      <c r="O3642" s="29"/>
      <c r="P3642" s="5" t="str">
        <f>IFERROR(__xludf.DUMMYFUNCTION("TEXTJOIN("" | "",TRUE,IF(OR(D3642="""",E3642="""",I3642="""",J3642="""",H3642=""""),""ফাঁকা ঘর"",""""),IF(AND(C3642&lt;&gt;"""",D3642&lt;&gt;"""",C3642=D3642),""gloss=figurative"",""""),IF(LEN(D3642)&lt;15,""figurative ছোট"",""""),IF(AND(I3642=""Positive"",REGEXMATCH(H3"&amp;"642,""মূর্খ|ভণ্ড|প্রতার|অলস|লোভ|স্বার্থ|অক্ষম|অযোগ্য|বোকা|কৃপণ|হিংস"")),""valence-target অমিল"",""""),IF(COUNTIF($B:$B,B3642)&gt;1,""ডুপ্লিকেট"",""""))"),"")</f>
        <v/>
      </c>
      <c r="Q3642" s="5" t="str">
        <f t="shared" si="1"/>
        <v>২ পরে</v>
      </c>
    </row>
    <row r="3643">
      <c r="A3643" s="4">
        <v>1458.0</v>
      </c>
      <c r="B3643" s="2" t="s">
        <v>14616</v>
      </c>
      <c r="C3643" s="2" t="s">
        <v>14617</v>
      </c>
      <c r="D3643" s="2" t="s">
        <v>14618</v>
      </c>
      <c r="E3643" s="2" t="s">
        <v>14619</v>
      </c>
      <c r="F3643" s="2" t="b">
        <v>1</v>
      </c>
      <c r="G3643" s="2" t="b">
        <v>0</v>
      </c>
      <c r="H3643" s="2" t="s">
        <v>37</v>
      </c>
      <c r="I3643" s="2" t="s">
        <v>32</v>
      </c>
      <c r="J3643" s="2" t="s">
        <v>14620</v>
      </c>
      <c r="K3643" s="2" t="s">
        <v>376</v>
      </c>
      <c r="L3643" s="2" t="s">
        <v>391</v>
      </c>
      <c r="M3643" s="2" t="s">
        <v>26</v>
      </c>
      <c r="N3643" s="29"/>
      <c r="O3643" s="29"/>
      <c r="P3643" s="5" t="str">
        <f>IFERROR(__xludf.DUMMYFUNCTION("TEXTJOIN("" | "",TRUE,IF(OR(D3643="""",E3643="""",I3643="""",J3643="""",H3643=""""),""ফাঁকা ঘর"",""""),IF(AND(C3643&lt;&gt;"""",D3643&lt;&gt;"""",C3643=D3643),""gloss=figurative"",""""),IF(LEN(D3643)&lt;15,""figurative ছোট"",""""),IF(AND(I3643=""Positive"",REGEXMATCH(H3"&amp;"643,""মূর্খ|ভণ্ড|প্রতার|অলস|লোভ|স্বার্থ|অক্ষম|অযোগ্য|বোকা|কৃপণ|হিংস"")),""valence-target অমিল"",""""),IF(COUNTIF($B:$B,B3643)&gt;1,""ডুপ্লিকেট"",""""))"),"")</f>
        <v/>
      </c>
      <c r="Q3643" s="5" t="str">
        <f t="shared" si="1"/>
        <v>২ পরে</v>
      </c>
    </row>
    <row r="3644">
      <c r="A3644" s="4">
        <v>1459.0</v>
      </c>
      <c r="B3644" s="2" t="s">
        <v>14621</v>
      </c>
      <c r="C3644" s="2" t="s">
        <v>14622</v>
      </c>
      <c r="D3644" s="2" t="s">
        <v>14623</v>
      </c>
      <c r="E3644" s="2" t="s">
        <v>14624</v>
      </c>
      <c r="F3644" s="2" t="b">
        <v>1</v>
      </c>
      <c r="G3644" s="2" t="b">
        <v>0</v>
      </c>
      <c r="H3644" s="2" t="s">
        <v>14625</v>
      </c>
      <c r="I3644" s="2" t="s">
        <v>49</v>
      </c>
      <c r="J3644" s="2" t="s">
        <v>739</v>
      </c>
      <c r="K3644" s="2" t="s">
        <v>376</v>
      </c>
      <c r="L3644" s="2" t="s">
        <v>391</v>
      </c>
      <c r="M3644" s="2" t="s">
        <v>26</v>
      </c>
      <c r="N3644" s="29"/>
      <c r="O3644" s="29"/>
      <c r="P3644" s="5" t="str">
        <f>IFERROR(__xludf.DUMMYFUNCTION("TEXTJOIN("" | "",TRUE,IF(OR(D3644="""",E3644="""",I3644="""",J3644="""",H3644=""""),""ফাঁকা ঘর"",""""),IF(AND(C3644&lt;&gt;"""",D3644&lt;&gt;"""",C3644=D3644),""gloss=figurative"",""""),IF(LEN(D3644)&lt;15,""figurative ছোট"",""""),IF(AND(I3644=""Positive"",REGEXMATCH(H3"&amp;"644,""মূর্খ|ভণ্ড|প্রতার|অলস|লোভ|স্বার্থ|অক্ষম|অযোগ্য|বোকা|কৃপণ|হিংস"")),""valence-target অমিল"",""""),IF(COUNTIF($B:$B,B3644)&gt;1,""ডুপ্লিকেট"",""""))"),"")</f>
        <v/>
      </c>
      <c r="Q3644" s="5" t="str">
        <f t="shared" si="1"/>
        <v>২ পরে</v>
      </c>
    </row>
    <row r="3645">
      <c r="A3645" s="4">
        <v>1460.0</v>
      </c>
      <c r="B3645" s="2" t="s">
        <v>14626</v>
      </c>
      <c r="C3645" s="2" t="s">
        <v>14627</v>
      </c>
      <c r="D3645" s="2" t="s">
        <v>14628</v>
      </c>
      <c r="E3645" s="2" t="s">
        <v>14629</v>
      </c>
      <c r="F3645" s="2" t="b">
        <v>1</v>
      </c>
      <c r="G3645" s="2" t="b">
        <v>0</v>
      </c>
      <c r="H3645" s="2" t="s">
        <v>14630</v>
      </c>
      <c r="I3645" s="2" t="s">
        <v>22</v>
      </c>
      <c r="J3645" s="2" t="s">
        <v>59</v>
      </c>
      <c r="K3645" s="2" t="s">
        <v>376</v>
      </c>
      <c r="L3645" s="2" t="s">
        <v>391</v>
      </c>
      <c r="M3645" s="2" t="s">
        <v>26</v>
      </c>
      <c r="N3645" s="29"/>
      <c r="O3645" s="29"/>
      <c r="P3645" s="5" t="str">
        <f>IFERROR(__xludf.DUMMYFUNCTION("TEXTJOIN("" | "",TRUE,IF(OR(D3645="""",E3645="""",I3645="""",J3645="""",H3645=""""),""ফাঁকা ঘর"",""""),IF(AND(C3645&lt;&gt;"""",D3645&lt;&gt;"""",C3645=D3645),""gloss=figurative"",""""),IF(LEN(D3645)&lt;15,""figurative ছোট"",""""),IF(AND(I3645=""Positive"",REGEXMATCH(H3"&amp;"645,""মূর্খ|ভণ্ড|প্রতার|অলস|লোভ|স্বার্থ|অক্ষম|অযোগ্য|বোকা|কৃপণ|হিংস"")),""valence-target অমিল"",""""),IF(COUNTIF($B:$B,B3645)&gt;1,""ডুপ্লিকেট"",""""))"),"")</f>
        <v/>
      </c>
      <c r="Q3645" s="5" t="str">
        <f t="shared" si="1"/>
        <v>২ পরে</v>
      </c>
    </row>
    <row r="3646">
      <c r="A3646" s="4">
        <v>1461.0</v>
      </c>
      <c r="B3646" s="2" t="s">
        <v>14631</v>
      </c>
      <c r="C3646" s="2" t="s">
        <v>14632</v>
      </c>
      <c r="D3646" s="2" t="s">
        <v>14633</v>
      </c>
      <c r="E3646" s="2" t="s">
        <v>14634</v>
      </c>
      <c r="F3646" s="2" t="b">
        <v>1</v>
      </c>
      <c r="G3646" s="2" t="b">
        <v>0</v>
      </c>
      <c r="H3646" s="2" t="s">
        <v>9486</v>
      </c>
      <c r="I3646" s="2" t="s">
        <v>32</v>
      </c>
      <c r="J3646" s="2" t="s">
        <v>10356</v>
      </c>
      <c r="K3646" s="2" t="s">
        <v>376</v>
      </c>
      <c r="L3646" s="2" t="s">
        <v>391</v>
      </c>
      <c r="M3646" s="2" t="s">
        <v>26</v>
      </c>
      <c r="N3646" s="29"/>
      <c r="O3646" s="29"/>
      <c r="P3646" s="5" t="str">
        <f>IFERROR(__xludf.DUMMYFUNCTION("TEXTJOIN("" | "",TRUE,IF(OR(D3646="""",E3646="""",I3646="""",J3646="""",H3646=""""),""ফাঁকা ঘর"",""""),IF(AND(C3646&lt;&gt;"""",D3646&lt;&gt;"""",C3646=D3646),""gloss=figurative"",""""),IF(LEN(D3646)&lt;15,""figurative ছোট"",""""),IF(AND(I3646=""Positive"",REGEXMATCH(H3"&amp;"646,""মূর্খ|ভণ্ড|প্রতার|অলস|লোভ|স্বার্থ|অক্ষম|অযোগ্য|বোকা|কৃপণ|হিংস"")),""valence-target অমিল"",""""),IF(COUNTIF($B:$B,B3646)&gt;1,""ডুপ্লিকেট"",""""))"),"")</f>
        <v/>
      </c>
      <c r="Q3646" s="5" t="str">
        <f t="shared" si="1"/>
        <v>২ পরে</v>
      </c>
    </row>
    <row r="3647">
      <c r="A3647" s="4">
        <v>1462.0</v>
      </c>
      <c r="B3647" s="2" t="s">
        <v>14635</v>
      </c>
      <c r="C3647" s="2" t="s">
        <v>14636</v>
      </c>
      <c r="D3647" s="2" t="s">
        <v>14637</v>
      </c>
      <c r="E3647" s="2" t="s">
        <v>14638</v>
      </c>
      <c r="F3647" s="2" t="b">
        <v>1</v>
      </c>
      <c r="G3647" s="2" t="b">
        <v>0</v>
      </c>
      <c r="H3647" s="2" t="s">
        <v>58</v>
      </c>
      <c r="I3647" s="2" t="s">
        <v>22</v>
      </c>
      <c r="J3647" s="2" t="s">
        <v>59</v>
      </c>
      <c r="K3647" s="2" t="s">
        <v>376</v>
      </c>
      <c r="L3647" s="2" t="s">
        <v>391</v>
      </c>
      <c r="M3647" s="2" t="s">
        <v>26</v>
      </c>
      <c r="N3647" s="29"/>
      <c r="O3647" s="29"/>
      <c r="P3647" s="5" t="str">
        <f>IFERROR(__xludf.DUMMYFUNCTION("TEXTJOIN("" | "",TRUE,IF(OR(D3647="""",E3647="""",I3647="""",J3647="""",H3647=""""),""ফাঁকা ঘর"",""""),IF(AND(C3647&lt;&gt;"""",D3647&lt;&gt;"""",C3647=D3647),""gloss=figurative"",""""),IF(LEN(D3647)&lt;15,""figurative ছোট"",""""),IF(AND(I3647=""Positive"",REGEXMATCH(H3"&amp;"647,""মূর্খ|ভণ্ড|প্রতার|অলস|লোভ|স্বার্থ|অক্ষম|অযোগ্য|বোকা|কৃপণ|হিংস"")),""valence-target অমিল"",""""),IF(COUNTIF($B:$B,B3647)&gt;1,""ডুপ্লিকেট"",""""))"),"")</f>
        <v/>
      </c>
      <c r="Q3647" s="5" t="str">
        <f t="shared" si="1"/>
        <v>২ পরে</v>
      </c>
    </row>
    <row r="3648">
      <c r="A3648" s="4">
        <v>1463.0</v>
      </c>
      <c r="B3648" s="2" t="s">
        <v>14639</v>
      </c>
      <c r="C3648" s="2" t="s">
        <v>14640</v>
      </c>
      <c r="D3648" s="2" t="s">
        <v>14641</v>
      </c>
      <c r="E3648" s="2" t="s">
        <v>14642</v>
      </c>
      <c r="F3648" s="2" t="b">
        <v>1</v>
      </c>
      <c r="G3648" s="2" t="b">
        <v>0</v>
      </c>
      <c r="H3648" s="2" t="s">
        <v>14535</v>
      </c>
      <c r="I3648" s="2" t="s">
        <v>49</v>
      </c>
      <c r="J3648" s="2" t="s">
        <v>117</v>
      </c>
      <c r="K3648" s="2" t="s">
        <v>376</v>
      </c>
      <c r="L3648" s="2" t="s">
        <v>391</v>
      </c>
      <c r="M3648" s="2" t="s">
        <v>26</v>
      </c>
      <c r="N3648" s="29"/>
      <c r="O3648" s="29"/>
      <c r="P3648" s="5" t="str">
        <f>IFERROR(__xludf.DUMMYFUNCTION("TEXTJOIN("" | "",TRUE,IF(OR(D3648="""",E3648="""",I3648="""",J3648="""",H3648=""""),""ফাঁকা ঘর"",""""),IF(AND(C3648&lt;&gt;"""",D3648&lt;&gt;"""",C3648=D3648),""gloss=figurative"",""""),IF(LEN(D3648)&lt;15,""figurative ছোট"",""""),IF(AND(I3648=""Positive"",REGEXMATCH(H3"&amp;"648,""মূর্খ|ভণ্ড|প্রতার|অলস|লোভ|স্বার্থ|অক্ষম|অযোগ্য|বোকা|কৃপণ|হিংস"")),""valence-target অমিল"",""""),IF(COUNTIF($B:$B,B3648)&gt;1,""ডুপ্লিকেট"",""""))"),"")</f>
        <v/>
      </c>
      <c r="Q3648" s="5" t="str">
        <f t="shared" si="1"/>
        <v>২ পরে</v>
      </c>
    </row>
    <row r="3649">
      <c r="A3649" s="4">
        <v>1464.0</v>
      </c>
      <c r="B3649" s="2" t="s">
        <v>14643</v>
      </c>
      <c r="C3649" s="2" t="s">
        <v>14644</v>
      </c>
      <c r="D3649" s="2" t="s">
        <v>14645</v>
      </c>
      <c r="E3649" s="2" t="s">
        <v>14646</v>
      </c>
      <c r="F3649" s="2" t="b">
        <v>1</v>
      </c>
      <c r="G3649" s="2" t="b">
        <v>0</v>
      </c>
      <c r="H3649" s="2" t="s">
        <v>14647</v>
      </c>
      <c r="I3649" s="2" t="s">
        <v>22</v>
      </c>
      <c r="J3649" s="2" t="s">
        <v>2165</v>
      </c>
      <c r="K3649" s="2" t="s">
        <v>376</v>
      </c>
      <c r="L3649" s="2" t="s">
        <v>391</v>
      </c>
      <c r="M3649" s="2" t="s">
        <v>26</v>
      </c>
      <c r="N3649" s="29"/>
      <c r="O3649" s="29"/>
      <c r="P3649" s="5" t="str">
        <f>IFERROR(__xludf.DUMMYFUNCTION("TEXTJOIN("" | "",TRUE,IF(OR(D3649="""",E3649="""",I3649="""",J3649="""",H3649=""""),""ফাঁকা ঘর"",""""),IF(AND(C3649&lt;&gt;"""",D3649&lt;&gt;"""",C3649=D3649),""gloss=figurative"",""""),IF(LEN(D3649)&lt;15,""figurative ছোট"",""""),IF(AND(I3649=""Positive"",REGEXMATCH(H3"&amp;"649,""মূর্খ|ভণ্ড|প্রতার|অলস|লোভ|স্বার্থ|অক্ষম|অযোগ্য|বোকা|কৃপণ|হিংস"")),""valence-target অমিল"",""""),IF(COUNTIF($B:$B,B3649)&gt;1,""ডুপ্লিকেট"",""""))"),"")</f>
        <v/>
      </c>
      <c r="Q3649" s="5" t="str">
        <f t="shared" si="1"/>
        <v>২ পরে</v>
      </c>
    </row>
    <row r="3650">
      <c r="A3650" s="4">
        <v>1465.0</v>
      </c>
      <c r="B3650" s="2" t="s">
        <v>14648</v>
      </c>
      <c r="C3650" s="2" t="s">
        <v>14649</v>
      </c>
      <c r="D3650" s="2" t="s">
        <v>14650</v>
      </c>
      <c r="E3650" s="2" t="s">
        <v>14651</v>
      </c>
      <c r="F3650" s="2" t="b">
        <v>1</v>
      </c>
      <c r="G3650" s="2" t="b">
        <v>0</v>
      </c>
      <c r="H3650" s="2" t="s">
        <v>14652</v>
      </c>
      <c r="I3650" s="2" t="s">
        <v>32</v>
      </c>
      <c r="J3650" s="2" t="s">
        <v>59</v>
      </c>
      <c r="K3650" s="2" t="s">
        <v>495</v>
      </c>
      <c r="L3650" s="13" t="s">
        <v>496</v>
      </c>
      <c r="M3650" s="2" t="s">
        <v>26</v>
      </c>
      <c r="N3650" s="29"/>
      <c r="O3650" s="29"/>
      <c r="P3650" s="5" t="str">
        <f>IFERROR(__xludf.DUMMYFUNCTION("TEXTJOIN("" | "",TRUE,IF(OR(D3650="""",E3650="""",I3650="""",J3650="""",H3650=""""),""ফাঁকা ঘর"",""""),IF(AND(C3650&lt;&gt;"""",D3650&lt;&gt;"""",C3650=D3650),""gloss=figurative"",""""),IF(LEN(D3650)&lt;15,""figurative ছোট"",""""),IF(AND(I3650=""Positive"",REGEXMATCH(H3"&amp;"650,""মূর্খ|ভণ্ড|প্রতার|অলস|লোভ|স্বার্থ|অক্ষম|অযোগ্য|বোকা|কৃপণ|হিংস"")),""valence-target অমিল"",""""),IF(COUNTIF($B:$B,B3650)&gt;1,""ডুপ্লিকেট"",""""))"),"")</f>
        <v/>
      </c>
      <c r="Q3650" s="5" t="str">
        <f t="shared" si="1"/>
        <v>২ পরে</v>
      </c>
    </row>
    <row r="3651">
      <c r="A3651" s="4">
        <v>1466.0</v>
      </c>
      <c r="B3651" s="2" t="s">
        <v>14653</v>
      </c>
      <c r="C3651" s="2" t="s">
        <v>14654</v>
      </c>
      <c r="D3651" s="2" t="s">
        <v>14655</v>
      </c>
      <c r="E3651" s="2" t="s">
        <v>14656</v>
      </c>
      <c r="F3651" s="2" t="b">
        <v>1</v>
      </c>
      <c r="G3651" s="2" t="b">
        <v>0</v>
      </c>
      <c r="H3651" s="2" t="s">
        <v>14657</v>
      </c>
      <c r="I3651" s="2" t="s">
        <v>22</v>
      </c>
      <c r="J3651" s="2" t="s">
        <v>10356</v>
      </c>
      <c r="K3651" s="2" t="s">
        <v>495</v>
      </c>
      <c r="L3651" s="13" t="s">
        <v>496</v>
      </c>
      <c r="M3651" s="2" t="s">
        <v>26</v>
      </c>
      <c r="N3651" s="29"/>
      <c r="O3651" s="29"/>
      <c r="P3651" s="5" t="str">
        <f>IFERROR(__xludf.DUMMYFUNCTION("TEXTJOIN("" | "",TRUE,IF(OR(D3651="""",E3651="""",I3651="""",J3651="""",H3651=""""),""ফাঁকা ঘর"",""""),IF(AND(C3651&lt;&gt;"""",D3651&lt;&gt;"""",C3651=D3651),""gloss=figurative"",""""),IF(LEN(D3651)&lt;15,""figurative ছোট"",""""),IF(AND(I3651=""Positive"",REGEXMATCH(H3"&amp;"651,""মূর্খ|ভণ্ড|প্রতার|অলস|লোভ|স্বার্থ|অক্ষম|অযোগ্য|বোকা|কৃপণ|হিংস"")),""valence-target অমিল"",""""),IF(COUNTIF($B:$B,B3651)&gt;1,""ডুপ্লিকেট"",""""))"),"")</f>
        <v/>
      </c>
      <c r="Q3651" s="5" t="str">
        <f t="shared" si="1"/>
        <v>২ পরে</v>
      </c>
    </row>
    <row r="3652">
      <c r="A3652" s="4">
        <v>1467.0</v>
      </c>
      <c r="B3652" s="2" t="s">
        <v>14658</v>
      </c>
      <c r="C3652" s="2" t="s">
        <v>14659</v>
      </c>
      <c r="D3652" s="2" t="s">
        <v>14660</v>
      </c>
      <c r="E3652" s="2" t="s">
        <v>14661</v>
      </c>
      <c r="F3652" s="2" t="b">
        <v>1</v>
      </c>
      <c r="G3652" s="2" t="b">
        <v>0</v>
      </c>
      <c r="H3652" s="2" t="s">
        <v>189</v>
      </c>
      <c r="I3652" s="2" t="s">
        <v>22</v>
      </c>
      <c r="J3652" s="2" t="s">
        <v>59</v>
      </c>
      <c r="K3652" s="2" t="s">
        <v>495</v>
      </c>
      <c r="L3652" s="13" t="s">
        <v>496</v>
      </c>
      <c r="M3652" s="2" t="s">
        <v>26</v>
      </c>
      <c r="N3652" s="29"/>
      <c r="O3652" s="29"/>
      <c r="P3652" s="5" t="str">
        <f>IFERROR(__xludf.DUMMYFUNCTION("TEXTJOIN("" | "",TRUE,IF(OR(D3652="""",E3652="""",I3652="""",J3652="""",H3652=""""),""ফাঁকা ঘর"",""""),IF(AND(C3652&lt;&gt;"""",D3652&lt;&gt;"""",C3652=D3652),""gloss=figurative"",""""),IF(LEN(D3652)&lt;15,""figurative ছোট"",""""),IF(AND(I3652=""Positive"",REGEXMATCH(H3"&amp;"652,""মূর্খ|ভণ্ড|প্রতার|অলস|লোভ|স্বার্থ|অক্ষম|অযোগ্য|বোকা|কৃপণ|হিংস"")),""valence-target অমিল"",""""),IF(COUNTIF($B:$B,B3652)&gt;1,""ডুপ্লিকেট"",""""))"),"")</f>
        <v/>
      </c>
      <c r="Q3652" s="5" t="str">
        <f t="shared" si="1"/>
        <v>২ পরে</v>
      </c>
    </row>
    <row r="3653">
      <c r="A3653" s="4">
        <v>1468.0</v>
      </c>
      <c r="B3653" s="2" t="s">
        <v>14662</v>
      </c>
      <c r="C3653" s="2" t="s">
        <v>14663</v>
      </c>
      <c r="D3653" s="2" t="s">
        <v>14664</v>
      </c>
      <c r="E3653" s="2" t="s">
        <v>14665</v>
      </c>
      <c r="F3653" s="2" t="b">
        <v>1</v>
      </c>
      <c r="G3653" s="2" t="b">
        <v>0</v>
      </c>
      <c r="H3653" s="2" t="s">
        <v>37</v>
      </c>
      <c r="I3653" s="2" t="s">
        <v>32</v>
      </c>
      <c r="J3653" s="2" t="s">
        <v>14666</v>
      </c>
      <c r="K3653" s="2" t="s">
        <v>495</v>
      </c>
      <c r="L3653" s="13" t="s">
        <v>496</v>
      </c>
      <c r="M3653" s="2" t="s">
        <v>26</v>
      </c>
      <c r="N3653" s="29"/>
      <c r="O3653" s="29"/>
      <c r="P3653" s="5" t="str">
        <f>IFERROR(__xludf.DUMMYFUNCTION("TEXTJOIN("" | "",TRUE,IF(OR(D3653="""",E3653="""",I3653="""",J3653="""",H3653=""""),""ফাঁকা ঘর"",""""),IF(AND(C3653&lt;&gt;"""",D3653&lt;&gt;"""",C3653=D3653),""gloss=figurative"",""""),IF(LEN(D3653)&lt;15,""figurative ছোট"",""""),IF(AND(I3653=""Positive"",REGEXMATCH(H3"&amp;"653,""মূর্খ|ভণ্ড|প্রতার|অলস|লোভ|স্বার্থ|অক্ষম|অযোগ্য|বোকা|কৃপণ|হিংস"")),""valence-target অমিল"",""""),IF(COUNTIF($B:$B,B3653)&gt;1,""ডুপ্লিকেট"",""""))"),"")</f>
        <v/>
      </c>
      <c r="Q3653" s="5" t="str">
        <f t="shared" si="1"/>
        <v>২ পরে</v>
      </c>
    </row>
    <row r="3654">
      <c r="A3654" s="4">
        <v>1469.0</v>
      </c>
      <c r="B3654" s="2" t="s">
        <v>14667</v>
      </c>
      <c r="C3654" s="2" t="s">
        <v>14668</v>
      </c>
      <c r="D3654" s="2" t="s">
        <v>14669</v>
      </c>
      <c r="E3654" s="2" t="s">
        <v>14670</v>
      </c>
      <c r="F3654" s="2" t="b">
        <v>1</v>
      </c>
      <c r="G3654" s="2" t="b">
        <v>0</v>
      </c>
      <c r="H3654" s="2" t="s">
        <v>37</v>
      </c>
      <c r="I3654" s="2" t="s">
        <v>32</v>
      </c>
      <c r="J3654" s="2" t="s">
        <v>300</v>
      </c>
      <c r="K3654" s="2" t="s">
        <v>495</v>
      </c>
      <c r="L3654" s="13" t="s">
        <v>496</v>
      </c>
      <c r="M3654" s="2" t="s">
        <v>26</v>
      </c>
      <c r="N3654" s="29"/>
      <c r="O3654" s="29"/>
      <c r="P3654" s="5" t="str">
        <f>IFERROR(__xludf.DUMMYFUNCTION("TEXTJOIN("" | "",TRUE,IF(OR(D3654="""",E3654="""",I3654="""",J3654="""",H3654=""""),""ফাঁকা ঘর"",""""),IF(AND(C3654&lt;&gt;"""",D3654&lt;&gt;"""",C3654=D3654),""gloss=figurative"",""""),IF(LEN(D3654)&lt;15,""figurative ছোট"",""""),IF(AND(I3654=""Positive"",REGEXMATCH(H3"&amp;"654,""মূর্খ|ভণ্ড|প্রতার|অলস|লোভ|স্বার্থ|অক্ষম|অযোগ্য|বোকা|কৃপণ|হিংস"")),""valence-target অমিল"",""""),IF(COUNTIF($B:$B,B3654)&gt;1,""ডুপ্লিকেট"",""""))"),"")</f>
        <v/>
      </c>
      <c r="Q3654" s="5" t="str">
        <f t="shared" si="1"/>
        <v>২ পরে</v>
      </c>
    </row>
    <row r="3655">
      <c r="A3655" s="4">
        <v>1470.0</v>
      </c>
      <c r="B3655" s="2" t="s">
        <v>14671</v>
      </c>
      <c r="C3655" s="2" t="s">
        <v>14672</v>
      </c>
      <c r="D3655" s="2" t="s">
        <v>14673</v>
      </c>
      <c r="E3655" s="2" t="s">
        <v>14674</v>
      </c>
      <c r="F3655" s="2" t="b">
        <v>1</v>
      </c>
      <c r="G3655" s="2" t="b">
        <v>0</v>
      </c>
      <c r="H3655" s="2" t="s">
        <v>14675</v>
      </c>
      <c r="I3655" s="2" t="s">
        <v>22</v>
      </c>
      <c r="J3655" s="2" t="s">
        <v>59</v>
      </c>
      <c r="K3655" s="2" t="s">
        <v>495</v>
      </c>
      <c r="L3655" s="13" t="s">
        <v>496</v>
      </c>
      <c r="M3655" s="2" t="s">
        <v>26</v>
      </c>
      <c r="N3655" s="29"/>
      <c r="O3655" s="29"/>
      <c r="P3655" s="5" t="str">
        <f>IFERROR(__xludf.DUMMYFUNCTION("TEXTJOIN("" | "",TRUE,IF(OR(D3655="""",E3655="""",I3655="""",J3655="""",H3655=""""),""ফাঁকা ঘর"",""""),IF(AND(C3655&lt;&gt;"""",D3655&lt;&gt;"""",C3655=D3655),""gloss=figurative"",""""),IF(LEN(D3655)&lt;15,""figurative ছোট"",""""),IF(AND(I3655=""Positive"",REGEXMATCH(H3"&amp;"655,""মূর্খ|ভণ্ড|প্রতার|অলস|লোভ|স্বার্থ|অক্ষম|অযোগ্য|বোকা|কৃপণ|হিংস"")),""valence-target অমিল"",""""),IF(COUNTIF($B:$B,B3655)&gt;1,""ডুপ্লিকেট"",""""))"),"")</f>
        <v/>
      </c>
      <c r="Q3655" s="5" t="str">
        <f t="shared" si="1"/>
        <v>২ পরে</v>
      </c>
    </row>
    <row r="3656">
      <c r="A3656" s="4">
        <v>1471.0</v>
      </c>
      <c r="B3656" s="2" t="s">
        <v>14676</v>
      </c>
      <c r="C3656" s="2" t="s">
        <v>14677</v>
      </c>
      <c r="D3656" s="2" t="s">
        <v>14678</v>
      </c>
      <c r="E3656" s="2" t="s">
        <v>14679</v>
      </c>
      <c r="F3656" s="2" t="b">
        <v>1</v>
      </c>
      <c r="G3656" s="2" t="b">
        <v>0</v>
      </c>
      <c r="H3656" s="2" t="s">
        <v>14680</v>
      </c>
      <c r="I3656" s="2" t="s">
        <v>22</v>
      </c>
      <c r="J3656" s="2" t="s">
        <v>4067</v>
      </c>
      <c r="K3656" s="2" t="s">
        <v>495</v>
      </c>
      <c r="L3656" s="13" t="s">
        <v>496</v>
      </c>
      <c r="M3656" s="2" t="s">
        <v>26</v>
      </c>
      <c r="N3656" s="29"/>
      <c r="O3656" s="29"/>
      <c r="P3656" s="5" t="str">
        <f>IFERROR(__xludf.DUMMYFUNCTION("TEXTJOIN("" | "",TRUE,IF(OR(D3656="""",E3656="""",I3656="""",J3656="""",H3656=""""),""ফাঁকা ঘর"",""""),IF(AND(C3656&lt;&gt;"""",D3656&lt;&gt;"""",C3656=D3656),""gloss=figurative"",""""),IF(LEN(D3656)&lt;15,""figurative ছোট"",""""),IF(AND(I3656=""Positive"",REGEXMATCH(H3"&amp;"656,""মূর্খ|ভণ্ড|প্রতার|অলস|লোভ|স্বার্থ|অক্ষম|অযোগ্য|বোকা|কৃপণ|হিংস"")),""valence-target অমিল"",""""),IF(COUNTIF($B:$B,B3656)&gt;1,""ডুপ্লিকেট"",""""))"),"")</f>
        <v/>
      </c>
      <c r="Q3656" s="5" t="str">
        <f t="shared" si="1"/>
        <v>২ পরে</v>
      </c>
    </row>
    <row r="3657">
      <c r="A3657" s="4">
        <v>1472.0</v>
      </c>
      <c r="B3657" s="2" t="s">
        <v>14681</v>
      </c>
      <c r="C3657" s="2" t="s">
        <v>14682</v>
      </c>
      <c r="D3657" s="2" t="s">
        <v>14683</v>
      </c>
      <c r="E3657" s="2" t="s">
        <v>14684</v>
      </c>
      <c r="F3657" s="2" t="b">
        <v>1</v>
      </c>
      <c r="G3657" s="2" t="b">
        <v>0</v>
      </c>
      <c r="H3657" s="2" t="s">
        <v>14685</v>
      </c>
      <c r="I3657" s="2" t="s">
        <v>22</v>
      </c>
      <c r="J3657" s="2" t="s">
        <v>1137</v>
      </c>
      <c r="K3657" s="2" t="s">
        <v>495</v>
      </c>
      <c r="L3657" s="13" t="s">
        <v>496</v>
      </c>
      <c r="M3657" s="2" t="s">
        <v>26</v>
      </c>
      <c r="N3657" s="29"/>
      <c r="O3657" s="29"/>
      <c r="P3657" s="5" t="str">
        <f>IFERROR(__xludf.DUMMYFUNCTION("TEXTJOIN("" | "",TRUE,IF(OR(D3657="""",E3657="""",I3657="""",J3657="""",H3657=""""),""ফাঁকা ঘর"",""""),IF(AND(C3657&lt;&gt;"""",D3657&lt;&gt;"""",C3657=D3657),""gloss=figurative"",""""),IF(LEN(D3657)&lt;15,""figurative ছোট"",""""),IF(AND(I3657=""Positive"",REGEXMATCH(H3"&amp;"657,""মূর্খ|ভণ্ড|প্রতার|অলস|লোভ|স্বার্থ|অক্ষম|অযোগ্য|বোকা|কৃপণ|হিংস"")),""valence-target অমিল"",""""),IF(COUNTIF($B:$B,B3657)&gt;1,""ডুপ্লিকেট"",""""))"),"")</f>
        <v/>
      </c>
      <c r="Q3657" s="5" t="str">
        <f t="shared" si="1"/>
        <v>২ পরে</v>
      </c>
    </row>
    <row r="3658">
      <c r="A3658" s="4">
        <v>1473.0</v>
      </c>
      <c r="B3658" s="2" t="s">
        <v>14686</v>
      </c>
      <c r="C3658" s="2" t="s">
        <v>14687</v>
      </c>
      <c r="D3658" s="2" t="s">
        <v>14688</v>
      </c>
      <c r="E3658" s="2" t="s">
        <v>14689</v>
      </c>
      <c r="F3658" s="2" t="b">
        <v>1</v>
      </c>
      <c r="G3658" s="2" t="b">
        <v>0</v>
      </c>
      <c r="H3658" s="2" t="s">
        <v>14690</v>
      </c>
      <c r="I3658" s="2" t="s">
        <v>22</v>
      </c>
      <c r="J3658" s="2" t="s">
        <v>59</v>
      </c>
      <c r="K3658" s="2" t="s">
        <v>495</v>
      </c>
      <c r="L3658" s="13" t="s">
        <v>496</v>
      </c>
      <c r="M3658" s="2" t="s">
        <v>26</v>
      </c>
      <c r="N3658" s="29"/>
      <c r="O3658" s="29"/>
      <c r="P3658" s="5" t="str">
        <f>IFERROR(__xludf.DUMMYFUNCTION("TEXTJOIN("" | "",TRUE,IF(OR(D3658="""",E3658="""",I3658="""",J3658="""",H3658=""""),""ফাঁকা ঘর"",""""),IF(AND(C3658&lt;&gt;"""",D3658&lt;&gt;"""",C3658=D3658),""gloss=figurative"",""""),IF(LEN(D3658)&lt;15,""figurative ছোট"",""""),IF(AND(I3658=""Positive"",REGEXMATCH(H3"&amp;"658,""মূর্খ|ভণ্ড|প্রতার|অলস|লোভ|স্বার্থ|অক্ষম|অযোগ্য|বোকা|কৃপণ|হিংস"")),""valence-target অমিল"",""""),IF(COUNTIF($B:$B,B3658)&gt;1,""ডুপ্লিকেট"",""""))"),"")</f>
        <v/>
      </c>
      <c r="Q3658" s="5" t="str">
        <f t="shared" si="1"/>
        <v>২ পরে</v>
      </c>
    </row>
    <row r="3659">
      <c r="A3659" s="4">
        <v>1474.0</v>
      </c>
      <c r="B3659" s="2" t="s">
        <v>14691</v>
      </c>
      <c r="C3659" s="2" t="s">
        <v>14692</v>
      </c>
      <c r="D3659" s="2" t="s">
        <v>14693</v>
      </c>
      <c r="E3659" s="2" t="s">
        <v>14694</v>
      </c>
      <c r="F3659" s="2" t="b">
        <v>1</v>
      </c>
      <c r="G3659" s="2" t="b">
        <v>0</v>
      </c>
      <c r="H3659" s="2" t="s">
        <v>37</v>
      </c>
      <c r="I3659" s="2" t="s">
        <v>32</v>
      </c>
      <c r="J3659" s="2" t="s">
        <v>7413</v>
      </c>
      <c r="K3659" s="2" t="s">
        <v>495</v>
      </c>
      <c r="L3659" s="13" t="s">
        <v>496</v>
      </c>
      <c r="M3659" s="2" t="s">
        <v>26</v>
      </c>
      <c r="N3659" s="29"/>
      <c r="O3659" s="29"/>
      <c r="P3659" s="5" t="str">
        <f>IFERROR(__xludf.DUMMYFUNCTION("TEXTJOIN("" | "",TRUE,IF(OR(D3659="""",E3659="""",I3659="""",J3659="""",H3659=""""),""ফাঁকা ঘর"",""""),IF(AND(C3659&lt;&gt;"""",D3659&lt;&gt;"""",C3659=D3659),""gloss=figurative"",""""),IF(LEN(D3659)&lt;15,""figurative ছোট"",""""),IF(AND(I3659=""Positive"",REGEXMATCH(H3"&amp;"659,""মূর্খ|ভণ্ড|প্রতার|অলস|লোভ|স্বার্থ|অক্ষম|অযোগ্য|বোকা|কৃপণ|হিংস"")),""valence-target অমিল"",""""),IF(COUNTIF($B:$B,B3659)&gt;1,""ডুপ্লিকেট"",""""))"),"")</f>
        <v/>
      </c>
      <c r="Q3659" s="5" t="str">
        <f t="shared" si="1"/>
        <v>২ পরে</v>
      </c>
    </row>
    <row r="3660">
      <c r="A3660" s="4">
        <v>1475.0</v>
      </c>
      <c r="B3660" s="2" t="s">
        <v>14695</v>
      </c>
      <c r="C3660" s="2" t="s">
        <v>14696</v>
      </c>
      <c r="D3660" s="2" t="s">
        <v>14697</v>
      </c>
      <c r="E3660" s="2" t="s">
        <v>14698</v>
      </c>
      <c r="F3660" s="2" t="b">
        <v>1</v>
      </c>
      <c r="G3660" s="2" t="b">
        <v>0</v>
      </c>
      <c r="H3660" s="2" t="s">
        <v>14699</v>
      </c>
      <c r="I3660" s="2" t="s">
        <v>32</v>
      </c>
      <c r="J3660" s="2" t="s">
        <v>3105</v>
      </c>
      <c r="K3660" s="2" t="s">
        <v>495</v>
      </c>
      <c r="L3660" s="13" t="s">
        <v>496</v>
      </c>
      <c r="M3660" s="2" t="s">
        <v>26</v>
      </c>
      <c r="N3660" s="29"/>
      <c r="O3660" s="29"/>
      <c r="P3660" s="5" t="str">
        <f>IFERROR(__xludf.DUMMYFUNCTION("TEXTJOIN("" | "",TRUE,IF(OR(D3660="""",E3660="""",I3660="""",J3660="""",H3660=""""),""ফাঁকা ঘর"",""""),IF(AND(C3660&lt;&gt;"""",D3660&lt;&gt;"""",C3660=D3660),""gloss=figurative"",""""),IF(LEN(D3660)&lt;15,""figurative ছোট"",""""),IF(AND(I3660=""Positive"",REGEXMATCH(H3"&amp;"660,""মূর্খ|ভণ্ড|প্রতার|অলস|লোভ|স্বার্থ|অক্ষম|অযোগ্য|বোকা|কৃপণ|হিংস"")),""valence-target অমিল"",""""),IF(COUNTIF($B:$B,B3660)&gt;1,""ডুপ্লিকেট"",""""))"),"")</f>
        <v/>
      </c>
      <c r="Q3660" s="5" t="str">
        <f t="shared" si="1"/>
        <v>২ পরে</v>
      </c>
    </row>
    <row r="3661">
      <c r="A3661" s="4">
        <v>1476.0</v>
      </c>
      <c r="B3661" s="2" t="s">
        <v>14700</v>
      </c>
      <c r="C3661" s="2" t="s">
        <v>14701</v>
      </c>
      <c r="D3661" s="2" t="s">
        <v>14702</v>
      </c>
      <c r="E3661" s="2" t="s">
        <v>14703</v>
      </c>
      <c r="F3661" s="2" t="b">
        <v>1</v>
      </c>
      <c r="G3661" s="2" t="b">
        <v>0</v>
      </c>
      <c r="H3661" s="2" t="s">
        <v>14704</v>
      </c>
      <c r="I3661" s="2" t="s">
        <v>49</v>
      </c>
      <c r="J3661" s="2" t="s">
        <v>162</v>
      </c>
      <c r="K3661" s="2" t="s">
        <v>495</v>
      </c>
      <c r="L3661" s="13" t="s">
        <v>496</v>
      </c>
      <c r="M3661" s="2" t="s">
        <v>26</v>
      </c>
      <c r="N3661" s="29"/>
      <c r="O3661" s="29"/>
      <c r="P3661" s="5" t="str">
        <f>IFERROR(__xludf.DUMMYFUNCTION("TEXTJOIN("" | "",TRUE,IF(OR(D3661="""",E3661="""",I3661="""",J3661="""",H3661=""""),""ফাঁকা ঘর"",""""),IF(AND(C3661&lt;&gt;"""",D3661&lt;&gt;"""",C3661=D3661),""gloss=figurative"",""""),IF(LEN(D3661)&lt;15,""figurative ছোট"",""""),IF(AND(I3661=""Positive"",REGEXMATCH(H3"&amp;"661,""মূর্খ|ভণ্ড|প্রতার|অলস|লোভ|স্বার্থ|অক্ষম|অযোগ্য|বোকা|কৃপণ|হিংস"")),""valence-target অমিল"",""""),IF(COUNTIF($B:$B,B3661)&gt;1,""ডুপ্লিকেট"",""""))"),"")</f>
        <v/>
      </c>
      <c r="Q3661" s="5" t="str">
        <f t="shared" si="1"/>
        <v>২ পরে</v>
      </c>
    </row>
    <row r="3662">
      <c r="A3662" s="4">
        <v>1477.0</v>
      </c>
      <c r="B3662" s="2" t="s">
        <v>14705</v>
      </c>
      <c r="C3662" s="2" t="s">
        <v>14706</v>
      </c>
      <c r="D3662" s="2" t="s">
        <v>14707</v>
      </c>
      <c r="E3662" s="2" t="s">
        <v>14708</v>
      </c>
      <c r="F3662" s="2" t="b">
        <v>1</v>
      </c>
      <c r="G3662" s="2" t="b">
        <v>0</v>
      </c>
      <c r="H3662" s="2" t="s">
        <v>10710</v>
      </c>
      <c r="I3662" s="2" t="s">
        <v>32</v>
      </c>
      <c r="J3662" s="2" t="s">
        <v>1621</v>
      </c>
      <c r="K3662" s="2" t="s">
        <v>495</v>
      </c>
      <c r="L3662" s="13" t="s">
        <v>496</v>
      </c>
      <c r="M3662" s="2" t="s">
        <v>26</v>
      </c>
      <c r="N3662" s="29"/>
      <c r="O3662" s="29"/>
      <c r="P3662" s="5" t="str">
        <f>IFERROR(__xludf.DUMMYFUNCTION("TEXTJOIN("" | "",TRUE,IF(OR(D3662="""",E3662="""",I3662="""",J3662="""",H3662=""""),""ফাঁকা ঘর"",""""),IF(AND(C3662&lt;&gt;"""",D3662&lt;&gt;"""",C3662=D3662),""gloss=figurative"",""""),IF(LEN(D3662)&lt;15,""figurative ছোট"",""""),IF(AND(I3662=""Positive"",REGEXMATCH(H3"&amp;"662,""মূর্খ|ভণ্ড|প্রতার|অলস|লোভ|স্বার্থ|অক্ষম|অযোগ্য|বোকা|কৃপণ|হিংস"")),""valence-target অমিল"",""""),IF(COUNTIF($B:$B,B3662)&gt;1,""ডুপ্লিকেট"",""""))"),"")</f>
        <v/>
      </c>
      <c r="Q3662" s="5" t="str">
        <f t="shared" si="1"/>
        <v>২ পরে</v>
      </c>
    </row>
    <row r="3663">
      <c r="A3663" s="4">
        <v>1478.0</v>
      </c>
      <c r="B3663" s="2" t="s">
        <v>14709</v>
      </c>
      <c r="C3663" s="2" t="s">
        <v>14710</v>
      </c>
      <c r="D3663" s="2" t="s">
        <v>14711</v>
      </c>
      <c r="E3663" s="2" t="s">
        <v>14712</v>
      </c>
      <c r="F3663" s="2" t="b">
        <v>1</v>
      </c>
      <c r="G3663" s="2" t="b">
        <v>0</v>
      </c>
      <c r="H3663" s="2" t="s">
        <v>14713</v>
      </c>
      <c r="I3663" s="2" t="s">
        <v>22</v>
      </c>
      <c r="J3663" s="2" t="s">
        <v>1151</v>
      </c>
      <c r="K3663" s="2" t="s">
        <v>495</v>
      </c>
      <c r="L3663" s="13" t="s">
        <v>496</v>
      </c>
      <c r="M3663" s="2" t="s">
        <v>26</v>
      </c>
      <c r="N3663" s="29"/>
      <c r="O3663" s="29"/>
      <c r="P3663" s="5" t="str">
        <f>IFERROR(__xludf.DUMMYFUNCTION("TEXTJOIN("" | "",TRUE,IF(OR(D3663="""",E3663="""",I3663="""",J3663="""",H3663=""""),""ফাঁকা ঘর"",""""),IF(AND(C3663&lt;&gt;"""",D3663&lt;&gt;"""",C3663=D3663),""gloss=figurative"",""""),IF(LEN(D3663)&lt;15,""figurative ছোট"",""""),IF(AND(I3663=""Positive"",REGEXMATCH(H3"&amp;"663,""মূর্খ|ভণ্ড|প্রতার|অলস|লোভ|স্বার্থ|অক্ষম|অযোগ্য|বোকা|কৃপণ|হিংস"")),""valence-target অমিল"",""""),IF(COUNTIF($B:$B,B3663)&gt;1,""ডুপ্লিকেট"",""""))"),"")</f>
        <v/>
      </c>
      <c r="Q3663" s="5" t="str">
        <f t="shared" si="1"/>
        <v>২ পরে</v>
      </c>
    </row>
    <row r="3664">
      <c r="A3664" s="4">
        <v>1479.0</v>
      </c>
      <c r="B3664" s="2" t="s">
        <v>14714</v>
      </c>
      <c r="C3664" s="2" t="s">
        <v>14715</v>
      </c>
      <c r="D3664" s="2" t="s">
        <v>14716</v>
      </c>
      <c r="E3664" s="2" t="s">
        <v>14717</v>
      </c>
      <c r="F3664" s="2" t="b">
        <v>1</v>
      </c>
      <c r="G3664" s="2" t="b">
        <v>0</v>
      </c>
      <c r="H3664" s="2" t="s">
        <v>65</v>
      </c>
      <c r="I3664" s="2" t="s">
        <v>32</v>
      </c>
      <c r="J3664" s="2" t="s">
        <v>723</v>
      </c>
      <c r="K3664" s="2" t="s">
        <v>495</v>
      </c>
      <c r="L3664" s="13" t="s">
        <v>496</v>
      </c>
      <c r="M3664" s="2" t="s">
        <v>26</v>
      </c>
      <c r="N3664" s="29"/>
      <c r="O3664" s="29"/>
      <c r="P3664" s="5" t="str">
        <f>IFERROR(__xludf.DUMMYFUNCTION("TEXTJOIN("" | "",TRUE,IF(OR(D3664="""",E3664="""",I3664="""",J3664="""",H3664=""""),""ফাঁকা ঘর"",""""),IF(AND(C3664&lt;&gt;"""",D3664&lt;&gt;"""",C3664=D3664),""gloss=figurative"",""""),IF(LEN(D3664)&lt;15,""figurative ছোট"",""""),IF(AND(I3664=""Positive"",REGEXMATCH(H3"&amp;"664,""মূর্খ|ভণ্ড|প্রতার|অলস|লোভ|স্বার্থ|অক্ষম|অযোগ্য|বোকা|কৃপণ|হিংস"")),""valence-target অমিল"",""""),IF(COUNTIF($B:$B,B3664)&gt;1,""ডুপ্লিকেট"",""""))"),"")</f>
        <v/>
      </c>
      <c r="Q3664" s="5" t="str">
        <f t="shared" si="1"/>
        <v>২ পরে</v>
      </c>
    </row>
    <row r="3665">
      <c r="A3665" s="4">
        <v>1480.0</v>
      </c>
      <c r="B3665" s="2" t="s">
        <v>14718</v>
      </c>
      <c r="C3665" s="2" t="s">
        <v>14719</v>
      </c>
      <c r="D3665" s="2" t="s">
        <v>14720</v>
      </c>
      <c r="E3665" s="2" t="s">
        <v>14721</v>
      </c>
      <c r="F3665" s="2" t="b">
        <v>1</v>
      </c>
      <c r="G3665" s="2" t="b">
        <v>0</v>
      </c>
      <c r="H3665" s="2" t="s">
        <v>37</v>
      </c>
      <c r="I3665" s="2" t="s">
        <v>32</v>
      </c>
      <c r="J3665" s="2" t="s">
        <v>14666</v>
      </c>
      <c r="K3665" s="2" t="s">
        <v>495</v>
      </c>
      <c r="L3665" s="13" t="s">
        <v>496</v>
      </c>
      <c r="M3665" s="2" t="s">
        <v>26</v>
      </c>
      <c r="N3665" s="29"/>
      <c r="O3665" s="29"/>
      <c r="P3665" s="5" t="str">
        <f>IFERROR(__xludf.DUMMYFUNCTION("TEXTJOIN("" | "",TRUE,IF(OR(D3665="""",E3665="""",I3665="""",J3665="""",H3665=""""),""ফাঁকা ঘর"",""""),IF(AND(C3665&lt;&gt;"""",D3665&lt;&gt;"""",C3665=D3665),""gloss=figurative"",""""),IF(LEN(D3665)&lt;15,""figurative ছোট"",""""),IF(AND(I3665=""Positive"",REGEXMATCH(H3"&amp;"665,""মূর্খ|ভণ্ড|প্রতার|অলস|লোভ|স্বার্থ|অক্ষম|অযোগ্য|বোকা|কৃপণ|হিংস"")),""valence-target অমিল"",""""),IF(COUNTIF($B:$B,B3665)&gt;1,""ডুপ্লিকেট"",""""))"),"")</f>
        <v/>
      </c>
      <c r="Q3665" s="5" t="str">
        <f t="shared" si="1"/>
        <v>২ পরে</v>
      </c>
    </row>
    <row r="3666">
      <c r="A3666" s="4">
        <v>1481.0</v>
      </c>
      <c r="B3666" s="2" t="s">
        <v>14722</v>
      </c>
      <c r="C3666" s="2" t="s">
        <v>14723</v>
      </c>
      <c r="D3666" s="2" t="s">
        <v>14724</v>
      </c>
      <c r="E3666" s="2" t="s">
        <v>14725</v>
      </c>
      <c r="F3666" s="2" t="b">
        <v>1</v>
      </c>
      <c r="G3666" s="2" t="b">
        <v>0</v>
      </c>
      <c r="H3666" s="2" t="s">
        <v>14726</v>
      </c>
      <c r="I3666" s="2" t="s">
        <v>49</v>
      </c>
      <c r="J3666" s="2" t="s">
        <v>14727</v>
      </c>
      <c r="K3666" s="2" t="s">
        <v>495</v>
      </c>
      <c r="L3666" s="13" t="s">
        <v>496</v>
      </c>
      <c r="M3666" s="2" t="s">
        <v>26</v>
      </c>
      <c r="N3666" s="29"/>
      <c r="O3666" s="29"/>
      <c r="P3666" s="5" t="str">
        <f>IFERROR(__xludf.DUMMYFUNCTION("TEXTJOIN("" | "",TRUE,IF(OR(D3666="""",E3666="""",I3666="""",J3666="""",H3666=""""),""ফাঁকা ঘর"",""""),IF(AND(C3666&lt;&gt;"""",D3666&lt;&gt;"""",C3666=D3666),""gloss=figurative"",""""),IF(LEN(D3666)&lt;15,""figurative ছোট"",""""),IF(AND(I3666=""Positive"",REGEXMATCH(H3"&amp;"666,""মূর্খ|ভণ্ড|প্রতার|অলস|লোভ|স্বার্থ|অক্ষম|অযোগ্য|বোকা|কৃপণ|হিংস"")),""valence-target অমিল"",""""),IF(COUNTIF($B:$B,B3666)&gt;1,""ডুপ্লিকেট"",""""))"),"")</f>
        <v/>
      </c>
      <c r="Q3666" s="5" t="str">
        <f t="shared" si="1"/>
        <v>২ পরে</v>
      </c>
    </row>
    <row r="3667">
      <c r="A3667" s="4">
        <v>1482.0</v>
      </c>
      <c r="B3667" s="2" t="s">
        <v>14728</v>
      </c>
      <c r="C3667" s="2" t="s">
        <v>14729</v>
      </c>
      <c r="D3667" s="2" t="s">
        <v>14730</v>
      </c>
      <c r="E3667" s="2" t="s">
        <v>14731</v>
      </c>
      <c r="F3667" s="2" t="b">
        <v>1</v>
      </c>
      <c r="G3667" s="2" t="b">
        <v>0</v>
      </c>
      <c r="H3667" s="2" t="s">
        <v>9296</v>
      </c>
      <c r="I3667" s="2" t="s">
        <v>22</v>
      </c>
      <c r="J3667" s="2" t="s">
        <v>59</v>
      </c>
      <c r="K3667" s="2" t="s">
        <v>495</v>
      </c>
      <c r="L3667" s="13" t="s">
        <v>496</v>
      </c>
      <c r="M3667" s="2" t="s">
        <v>26</v>
      </c>
      <c r="N3667" s="29"/>
      <c r="O3667" s="29"/>
      <c r="P3667" s="5" t="str">
        <f>IFERROR(__xludf.DUMMYFUNCTION("TEXTJOIN("" | "",TRUE,IF(OR(D3667="""",E3667="""",I3667="""",J3667="""",H3667=""""),""ফাঁকা ঘর"",""""),IF(AND(C3667&lt;&gt;"""",D3667&lt;&gt;"""",C3667=D3667),""gloss=figurative"",""""),IF(LEN(D3667)&lt;15,""figurative ছোট"",""""),IF(AND(I3667=""Positive"",REGEXMATCH(H3"&amp;"667,""মূর্খ|ভণ্ড|প্রতার|অলস|লোভ|স্বার্থ|অক্ষম|অযোগ্য|বোকা|কৃপণ|হিংস"")),""valence-target অমিল"",""""),IF(COUNTIF($B:$B,B3667)&gt;1,""ডুপ্লিকেট"",""""))"),"")</f>
        <v/>
      </c>
      <c r="Q3667" s="5" t="str">
        <f t="shared" si="1"/>
        <v>২ পরে</v>
      </c>
    </row>
    <row r="3668">
      <c r="A3668" s="4">
        <v>1483.0</v>
      </c>
      <c r="B3668" s="2" t="s">
        <v>14732</v>
      </c>
      <c r="C3668" s="2" t="s">
        <v>14733</v>
      </c>
      <c r="D3668" s="2" t="s">
        <v>14734</v>
      </c>
      <c r="E3668" s="2" t="s">
        <v>14735</v>
      </c>
      <c r="F3668" s="2" t="b">
        <v>1</v>
      </c>
      <c r="G3668" s="2" t="b">
        <v>0</v>
      </c>
      <c r="H3668" s="2" t="s">
        <v>9296</v>
      </c>
      <c r="I3668" s="2" t="s">
        <v>22</v>
      </c>
      <c r="J3668" s="2" t="s">
        <v>59</v>
      </c>
      <c r="K3668" s="2" t="s">
        <v>495</v>
      </c>
      <c r="L3668" s="13" t="s">
        <v>496</v>
      </c>
      <c r="M3668" s="2" t="s">
        <v>26</v>
      </c>
      <c r="N3668" s="29"/>
      <c r="O3668" s="29"/>
      <c r="P3668" s="5" t="str">
        <f>IFERROR(__xludf.DUMMYFUNCTION("TEXTJOIN("" | "",TRUE,IF(OR(D3668="""",E3668="""",I3668="""",J3668="""",H3668=""""),""ফাঁকা ঘর"",""""),IF(AND(C3668&lt;&gt;"""",D3668&lt;&gt;"""",C3668=D3668),""gloss=figurative"",""""),IF(LEN(D3668)&lt;15,""figurative ছোট"",""""),IF(AND(I3668=""Positive"",REGEXMATCH(H3"&amp;"668,""মূর্খ|ভণ্ড|প্রতার|অলস|লোভ|স্বার্থ|অক্ষম|অযোগ্য|বোকা|কৃপণ|হিংস"")),""valence-target অমিল"",""""),IF(COUNTIF($B:$B,B3668)&gt;1,""ডুপ্লিকেট"",""""))"),"")</f>
        <v/>
      </c>
      <c r="Q3668" s="5" t="str">
        <f t="shared" si="1"/>
        <v>২ পরে</v>
      </c>
    </row>
    <row r="3669">
      <c r="A3669" s="4">
        <v>1484.0</v>
      </c>
      <c r="B3669" s="2" t="s">
        <v>14736</v>
      </c>
      <c r="C3669" s="2" t="s">
        <v>14737</v>
      </c>
      <c r="D3669" s="2" t="s">
        <v>14738</v>
      </c>
      <c r="E3669" s="2" t="s">
        <v>14739</v>
      </c>
      <c r="F3669" s="2" t="b">
        <v>1</v>
      </c>
      <c r="G3669" s="2" t="b">
        <v>0</v>
      </c>
      <c r="H3669" s="2" t="s">
        <v>14740</v>
      </c>
      <c r="I3669" s="2" t="s">
        <v>22</v>
      </c>
      <c r="J3669" s="2" t="s">
        <v>10356</v>
      </c>
      <c r="K3669" s="2" t="s">
        <v>495</v>
      </c>
      <c r="L3669" s="13" t="s">
        <v>496</v>
      </c>
      <c r="M3669" s="2" t="s">
        <v>26</v>
      </c>
      <c r="N3669" s="29"/>
      <c r="O3669" s="29"/>
      <c r="P3669" s="5" t="str">
        <f>IFERROR(__xludf.DUMMYFUNCTION("TEXTJOIN("" | "",TRUE,IF(OR(D3669="""",E3669="""",I3669="""",J3669="""",H3669=""""),""ফাঁকা ঘর"",""""),IF(AND(C3669&lt;&gt;"""",D3669&lt;&gt;"""",C3669=D3669),""gloss=figurative"",""""),IF(LEN(D3669)&lt;15,""figurative ছোট"",""""),IF(AND(I3669=""Positive"",REGEXMATCH(H3"&amp;"669,""মূর্খ|ভণ্ড|প্রতার|অলস|লোভ|স্বার্থ|অক্ষম|অযোগ্য|বোকা|কৃপণ|হিংস"")),""valence-target অমিল"",""""),IF(COUNTIF($B:$B,B3669)&gt;1,""ডুপ্লিকেট"",""""))"),"")</f>
        <v/>
      </c>
      <c r="Q3669" s="5" t="str">
        <f t="shared" si="1"/>
        <v>২ পরে</v>
      </c>
    </row>
    <row r="3670">
      <c r="A3670" s="4">
        <v>1485.0</v>
      </c>
      <c r="B3670" s="2" t="s">
        <v>14741</v>
      </c>
      <c r="C3670" s="2" t="s">
        <v>14742</v>
      </c>
      <c r="D3670" s="2" t="s">
        <v>14743</v>
      </c>
      <c r="E3670" s="2" t="s">
        <v>14744</v>
      </c>
      <c r="F3670" s="2" t="b">
        <v>1</v>
      </c>
      <c r="G3670" s="2" t="b">
        <v>1</v>
      </c>
      <c r="H3670" s="2" t="s">
        <v>14745</v>
      </c>
      <c r="I3670" s="2" t="s">
        <v>22</v>
      </c>
      <c r="J3670" s="2" t="s">
        <v>1315</v>
      </c>
      <c r="K3670" s="2" t="s">
        <v>495</v>
      </c>
      <c r="L3670" s="13" t="s">
        <v>496</v>
      </c>
      <c r="M3670" s="2" t="s">
        <v>26</v>
      </c>
      <c r="N3670" s="29"/>
      <c r="O3670" s="29"/>
      <c r="P3670" s="5" t="str">
        <f>IFERROR(__xludf.DUMMYFUNCTION("TEXTJOIN("" | "",TRUE,IF(OR(D3670="""",E3670="""",I3670="""",J3670="""",H3670=""""),""ফাঁকা ঘর"",""""),IF(AND(C3670&lt;&gt;"""",D3670&lt;&gt;"""",C3670=D3670),""gloss=figurative"",""""),IF(LEN(D3670)&lt;15,""figurative ছোট"",""""),IF(AND(I3670=""Positive"",REGEXMATCH(H3"&amp;"670,""মূর্খ|ভণ্ড|প্রতার|অলস|লোভ|স্বার্থ|অক্ষম|অযোগ্য|বোকা|কৃপণ|হিংস"")),""valence-target অমিল"",""""),IF(COUNTIF($B:$B,B3670)&gt;1,""ডুপ্লিকেট"",""""))"),"")</f>
        <v/>
      </c>
      <c r="Q3670" s="5" t="str">
        <f t="shared" si="1"/>
        <v>২ পরে</v>
      </c>
    </row>
    <row r="3671">
      <c r="A3671" s="4">
        <v>1486.0</v>
      </c>
      <c r="B3671" s="2" t="s">
        <v>14746</v>
      </c>
      <c r="C3671" s="2" t="s">
        <v>14746</v>
      </c>
      <c r="D3671" s="2" t="s">
        <v>14747</v>
      </c>
      <c r="E3671" s="2" t="s">
        <v>14748</v>
      </c>
      <c r="F3671" s="2" t="b">
        <v>1</v>
      </c>
      <c r="G3671" s="2" t="b">
        <v>0</v>
      </c>
      <c r="H3671" s="2" t="s">
        <v>14749</v>
      </c>
      <c r="I3671" s="2" t="s">
        <v>22</v>
      </c>
      <c r="J3671" s="2" t="s">
        <v>10356</v>
      </c>
      <c r="K3671" s="2" t="s">
        <v>495</v>
      </c>
      <c r="L3671" s="13" t="s">
        <v>496</v>
      </c>
      <c r="M3671" s="2" t="s">
        <v>26</v>
      </c>
      <c r="N3671" s="29"/>
      <c r="O3671" s="29"/>
      <c r="P3671" s="5" t="str">
        <f>IFERROR(__xludf.DUMMYFUNCTION("TEXTJOIN("" | "",TRUE,IF(OR(D3671="""",E3671="""",I3671="""",J3671="""",H3671=""""),""ফাঁকা ঘর"",""""),IF(AND(C3671&lt;&gt;"""",D3671&lt;&gt;"""",C3671=D3671),""gloss=figurative"",""""),IF(LEN(D3671)&lt;15,""figurative ছোট"",""""),IF(AND(I3671=""Positive"",REGEXMATCH(H3"&amp;"671,""মূর্খ|ভণ্ড|প্রতার|অলস|লোভ|স্বার্থ|অক্ষম|অযোগ্য|বোকা|কৃপণ|হিংস"")),""valence-target অমিল"",""""),IF(COUNTIF($B:$B,B3671)&gt;1,""ডুপ্লিকেট"",""""))"),"")</f>
        <v/>
      </c>
      <c r="Q3671" s="5" t="str">
        <f t="shared" si="1"/>
        <v>২ পরে</v>
      </c>
    </row>
    <row r="3672">
      <c r="A3672" s="4">
        <v>1487.0</v>
      </c>
      <c r="B3672" s="2" t="s">
        <v>14750</v>
      </c>
      <c r="C3672" s="2" t="s">
        <v>14751</v>
      </c>
      <c r="D3672" s="2" t="s">
        <v>14752</v>
      </c>
      <c r="E3672" s="2" t="s">
        <v>14753</v>
      </c>
      <c r="F3672" s="2" t="b">
        <v>1</v>
      </c>
      <c r="G3672" s="2" t="b">
        <v>0</v>
      </c>
      <c r="H3672" s="2" t="s">
        <v>14680</v>
      </c>
      <c r="I3672" s="2" t="s">
        <v>22</v>
      </c>
      <c r="J3672" s="2" t="s">
        <v>59</v>
      </c>
      <c r="K3672" s="2" t="s">
        <v>495</v>
      </c>
      <c r="L3672" s="13" t="s">
        <v>496</v>
      </c>
      <c r="M3672" s="2" t="s">
        <v>26</v>
      </c>
      <c r="N3672" s="29"/>
      <c r="O3672" s="29"/>
      <c r="P3672" s="5" t="str">
        <f>IFERROR(__xludf.DUMMYFUNCTION("TEXTJOIN("" | "",TRUE,IF(OR(D3672="""",E3672="""",I3672="""",J3672="""",H3672=""""),""ফাঁকা ঘর"",""""),IF(AND(C3672&lt;&gt;"""",D3672&lt;&gt;"""",C3672=D3672),""gloss=figurative"",""""),IF(LEN(D3672)&lt;15,""figurative ছোট"",""""),IF(AND(I3672=""Positive"",REGEXMATCH(H3"&amp;"672,""মূর্খ|ভণ্ড|প্রতার|অলস|লোভ|স্বার্থ|অক্ষম|অযোগ্য|বোকা|কৃপণ|হিংস"")),""valence-target অমিল"",""""),IF(COUNTIF($B:$B,B3672)&gt;1,""ডুপ্লিকেট"",""""))"),"")</f>
        <v/>
      </c>
      <c r="Q3672" s="5" t="str">
        <f t="shared" si="1"/>
        <v>২ পরে</v>
      </c>
    </row>
    <row r="3673">
      <c r="A3673" s="4">
        <v>1488.0</v>
      </c>
      <c r="B3673" s="2" t="s">
        <v>14754</v>
      </c>
      <c r="C3673" s="2" t="s">
        <v>14755</v>
      </c>
      <c r="D3673" s="2" t="s">
        <v>14756</v>
      </c>
      <c r="E3673" s="2" t="s">
        <v>14757</v>
      </c>
      <c r="F3673" s="2" t="b">
        <v>1</v>
      </c>
      <c r="G3673" s="2" t="b">
        <v>0</v>
      </c>
      <c r="H3673" s="2" t="s">
        <v>189</v>
      </c>
      <c r="I3673" s="2" t="s">
        <v>22</v>
      </c>
      <c r="J3673" s="2" t="s">
        <v>59</v>
      </c>
      <c r="K3673" s="2" t="s">
        <v>495</v>
      </c>
      <c r="L3673" s="13" t="s">
        <v>496</v>
      </c>
      <c r="M3673" s="2" t="s">
        <v>26</v>
      </c>
      <c r="N3673" s="29"/>
      <c r="O3673" s="29"/>
      <c r="P3673" s="5" t="str">
        <f>IFERROR(__xludf.DUMMYFUNCTION("TEXTJOIN("" | "",TRUE,IF(OR(D3673="""",E3673="""",I3673="""",J3673="""",H3673=""""),""ফাঁকা ঘর"",""""),IF(AND(C3673&lt;&gt;"""",D3673&lt;&gt;"""",C3673=D3673),""gloss=figurative"",""""),IF(LEN(D3673)&lt;15,""figurative ছোট"",""""),IF(AND(I3673=""Positive"",REGEXMATCH(H3"&amp;"673,""মূর্খ|ভণ্ড|প্রতার|অলস|লোভ|স্বার্থ|অক্ষম|অযোগ্য|বোকা|কৃপণ|হিংস"")),""valence-target অমিল"",""""),IF(COUNTIF($B:$B,B3673)&gt;1,""ডুপ্লিকেট"",""""))"),"")</f>
        <v/>
      </c>
      <c r="Q3673" s="5" t="str">
        <f t="shared" si="1"/>
        <v>২ পরে</v>
      </c>
    </row>
    <row r="3674">
      <c r="A3674" s="4">
        <v>1489.0</v>
      </c>
      <c r="B3674" s="2" t="s">
        <v>14758</v>
      </c>
      <c r="C3674" s="2" t="s">
        <v>14759</v>
      </c>
      <c r="D3674" s="2" t="s">
        <v>14760</v>
      </c>
      <c r="E3674" s="2" t="s">
        <v>14761</v>
      </c>
      <c r="F3674" s="2" t="b">
        <v>1</v>
      </c>
      <c r="G3674" s="2" t="b">
        <v>0</v>
      </c>
      <c r="H3674" s="2" t="s">
        <v>8713</v>
      </c>
      <c r="I3674" s="2" t="s">
        <v>22</v>
      </c>
      <c r="J3674" s="2" t="s">
        <v>59</v>
      </c>
      <c r="K3674" s="2" t="s">
        <v>495</v>
      </c>
      <c r="L3674" s="13" t="s">
        <v>496</v>
      </c>
      <c r="M3674" s="2" t="s">
        <v>26</v>
      </c>
      <c r="N3674" s="29"/>
      <c r="O3674" s="29"/>
      <c r="P3674" s="5" t="str">
        <f>IFERROR(__xludf.DUMMYFUNCTION("TEXTJOIN("" | "",TRUE,IF(OR(D3674="""",E3674="""",I3674="""",J3674="""",H3674=""""),""ফাঁকা ঘর"",""""),IF(AND(C3674&lt;&gt;"""",D3674&lt;&gt;"""",C3674=D3674),""gloss=figurative"",""""),IF(LEN(D3674)&lt;15,""figurative ছোট"",""""),IF(AND(I3674=""Positive"",REGEXMATCH(H3"&amp;"674,""মূর্খ|ভণ্ড|প্রতার|অলস|লোভ|স্বার্থ|অক্ষম|অযোগ্য|বোকা|কৃপণ|হিংস"")),""valence-target অমিল"",""""),IF(COUNTIF($B:$B,B3674)&gt;1,""ডুপ্লিকেট"",""""))"),"")</f>
        <v/>
      </c>
      <c r="Q3674" s="5" t="str">
        <f t="shared" si="1"/>
        <v>২ পরে</v>
      </c>
    </row>
    <row r="3675">
      <c r="A3675" s="4">
        <v>1490.0</v>
      </c>
      <c r="B3675" s="2" t="s">
        <v>14762</v>
      </c>
      <c r="C3675" s="2" t="s">
        <v>14763</v>
      </c>
      <c r="D3675" s="2" t="s">
        <v>14764</v>
      </c>
      <c r="E3675" s="2" t="s">
        <v>14765</v>
      </c>
      <c r="F3675" s="2" t="b">
        <v>1</v>
      </c>
      <c r="G3675" s="2" t="b">
        <v>0</v>
      </c>
      <c r="H3675" s="2" t="s">
        <v>37</v>
      </c>
      <c r="I3675" s="2" t="s">
        <v>32</v>
      </c>
      <c r="J3675" s="2" t="s">
        <v>300</v>
      </c>
      <c r="K3675" s="2" t="s">
        <v>495</v>
      </c>
      <c r="L3675" s="13" t="s">
        <v>496</v>
      </c>
      <c r="M3675" s="2" t="s">
        <v>26</v>
      </c>
      <c r="N3675" s="29"/>
      <c r="O3675" s="29"/>
      <c r="P3675" s="5" t="str">
        <f>IFERROR(__xludf.DUMMYFUNCTION("TEXTJOIN("" | "",TRUE,IF(OR(D3675="""",E3675="""",I3675="""",J3675="""",H3675=""""),""ফাঁকা ঘর"",""""),IF(AND(C3675&lt;&gt;"""",D3675&lt;&gt;"""",C3675=D3675),""gloss=figurative"",""""),IF(LEN(D3675)&lt;15,""figurative ছোট"",""""),IF(AND(I3675=""Positive"",REGEXMATCH(H3"&amp;"675,""মূর্খ|ভণ্ড|প্রতার|অলস|লোভ|স্বার্থ|অক্ষম|অযোগ্য|বোকা|কৃপণ|হিংস"")),""valence-target অমিল"",""""),IF(COUNTIF($B:$B,B3675)&gt;1,""ডুপ্লিকেট"",""""))"),"")</f>
        <v/>
      </c>
      <c r="Q3675" s="5" t="str">
        <f t="shared" si="1"/>
        <v>২ পরে</v>
      </c>
    </row>
    <row r="3676">
      <c r="A3676" s="4">
        <v>1491.0</v>
      </c>
      <c r="B3676" s="2" t="s">
        <v>14766</v>
      </c>
      <c r="C3676" s="2" t="s">
        <v>14767</v>
      </c>
      <c r="D3676" s="2" t="s">
        <v>14768</v>
      </c>
      <c r="E3676" s="2" t="s">
        <v>14769</v>
      </c>
      <c r="F3676" s="2" t="b">
        <v>1</v>
      </c>
      <c r="G3676" s="2" t="b">
        <v>0</v>
      </c>
      <c r="H3676" s="2" t="s">
        <v>517</v>
      </c>
      <c r="I3676" s="2" t="s">
        <v>22</v>
      </c>
      <c r="J3676" s="2" t="s">
        <v>300</v>
      </c>
      <c r="K3676" s="2" t="s">
        <v>495</v>
      </c>
      <c r="L3676" s="13" t="s">
        <v>496</v>
      </c>
      <c r="M3676" s="2" t="s">
        <v>26</v>
      </c>
      <c r="N3676" s="29"/>
      <c r="O3676" s="29"/>
      <c r="P3676" s="5" t="str">
        <f>IFERROR(__xludf.DUMMYFUNCTION("TEXTJOIN("" | "",TRUE,IF(OR(D3676="""",E3676="""",I3676="""",J3676="""",H3676=""""),""ফাঁকা ঘর"",""""),IF(AND(C3676&lt;&gt;"""",D3676&lt;&gt;"""",C3676=D3676),""gloss=figurative"",""""),IF(LEN(D3676)&lt;15,""figurative ছোট"",""""),IF(AND(I3676=""Positive"",REGEXMATCH(H3"&amp;"676,""মূর্খ|ভণ্ড|প্রতার|অলস|লোভ|স্বার্থ|অক্ষম|অযোগ্য|বোকা|কৃপণ|হিংস"")),""valence-target অমিল"",""""),IF(COUNTIF($B:$B,B3676)&gt;1,""ডুপ্লিকেট"",""""))"),"")</f>
        <v/>
      </c>
      <c r="Q3676" s="5" t="str">
        <f t="shared" si="1"/>
        <v>২ পরে</v>
      </c>
    </row>
    <row r="3677">
      <c r="A3677" s="4">
        <v>1492.0</v>
      </c>
      <c r="B3677" s="2" t="s">
        <v>14770</v>
      </c>
      <c r="C3677" s="2" t="s">
        <v>14771</v>
      </c>
      <c r="D3677" s="2" t="s">
        <v>14772</v>
      </c>
      <c r="E3677" s="2" t="s">
        <v>14773</v>
      </c>
      <c r="F3677" s="2" t="b">
        <v>1</v>
      </c>
      <c r="G3677" s="2" t="b">
        <v>0</v>
      </c>
      <c r="H3677" s="2" t="s">
        <v>14774</v>
      </c>
      <c r="I3677" s="2" t="s">
        <v>22</v>
      </c>
      <c r="J3677" s="2" t="s">
        <v>59</v>
      </c>
      <c r="K3677" s="2" t="s">
        <v>495</v>
      </c>
      <c r="L3677" s="13" t="s">
        <v>496</v>
      </c>
      <c r="M3677" s="2" t="s">
        <v>26</v>
      </c>
      <c r="N3677" s="29"/>
      <c r="O3677" s="29"/>
      <c r="P3677" s="5" t="str">
        <f>IFERROR(__xludf.DUMMYFUNCTION("TEXTJOIN("" | "",TRUE,IF(OR(D3677="""",E3677="""",I3677="""",J3677="""",H3677=""""),""ফাঁকা ঘর"",""""),IF(AND(C3677&lt;&gt;"""",D3677&lt;&gt;"""",C3677=D3677),""gloss=figurative"",""""),IF(LEN(D3677)&lt;15,""figurative ছোট"",""""),IF(AND(I3677=""Positive"",REGEXMATCH(H3"&amp;"677,""মূর্খ|ভণ্ড|প্রতার|অলস|লোভ|স্বার্থ|অক্ষম|অযোগ্য|বোকা|কৃপণ|হিংস"")),""valence-target অমিল"",""""),IF(COUNTIF($B:$B,B3677)&gt;1,""ডুপ্লিকেট"",""""))"),"")</f>
        <v/>
      </c>
      <c r="Q3677" s="5" t="str">
        <f t="shared" si="1"/>
        <v>২ পরে</v>
      </c>
    </row>
    <row r="3678">
      <c r="A3678" s="4">
        <v>1493.0</v>
      </c>
      <c r="B3678" s="2" t="s">
        <v>14775</v>
      </c>
      <c r="C3678" s="2" t="s">
        <v>14776</v>
      </c>
      <c r="D3678" s="2" t="s">
        <v>14777</v>
      </c>
      <c r="E3678" s="2" t="s">
        <v>14778</v>
      </c>
      <c r="F3678" s="2" t="b">
        <v>1</v>
      </c>
      <c r="G3678" s="2" t="b">
        <v>0</v>
      </c>
      <c r="H3678" s="2" t="s">
        <v>14779</v>
      </c>
      <c r="I3678" s="2" t="s">
        <v>32</v>
      </c>
      <c r="J3678" s="2" t="s">
        <v>660</v>
      </c>
      <c r="K3678" s="2" t="s">
        <v>495</v>
      </c>
      <c r="L3678" s="13" t="s">
        <v>496</v>
      </c>
      <c r="M3678" s="2" t="s">
        <v>26</v>
      </c>
      <c r="N3678" s="29"/>
      <c r="O3678" s="29"/>
      <c r="P3678" s="5" t="str">
        <f>IFERROR(__xludf.DUMMYFUNCTION("TEXTJOIN("" | "",TRUE,IF(OR(D3678="""",E3678="""",I3678="""",J3678="""",H3678=""""),""ফাঁকা ঘর"",""""),IF(AND(C3678&lt;&gt;"""",D3678&lt;&gt;"""",C3678=D3678),""gloss=figurative"",""""),IF(LEN(D3678)&lt;15,""figurative ছোট"",""""),IF(AND(I3678=""Positive"",REGEXMATCH(H3"&amp;"678,""মূর্খ|ভণ্ড|প্রতার|অলস|লোভ|স্বার্থ|অক্ষম|অযোগ্য|বোকা|কৃপণ|হিংস"")),""valence-target অমিল"",""""),IF(COUNTIF($B:$B,B3678)&gt;1,""ডুপ্লিকেট"",""""))"),"")</f>
        <v/>
      </c>
      <c r="Q3678" s="5" t="str">
        <f t="shared" si="1"/>
        <v>২ পরে</v>
      </c>
    </row>
    <row r="3679">
      <c r="A3679" s="4">
        <v>1494.0</v>
      </c>
      <c r="B3679" s="2" t="s">
        <v>14780</v>
      </c>
      <c r="C3679" s="2" t="s">
        <v>14780</v>
      </c>
      <c r="D3679" s="2" t="s">
        <v>14781</v>
      </c>
      <c r="E3679" s="2" t="s">
        <v>14782</v>
      </c>
      <c r="F3679" s="2" t="b">
        <v>1</v>
      </c>
      <c r="G3679" s="2" t="b">
        <v>0</v>
      </c>
      <c r="H3679" s="2" t="s">
        <v>14783</v>
      </c>
      <c r="I3679" s="2" t="s">
        <v>22</v>
      </c>
      <c r="J3679" s="2" t="s">
        <v>59</v>
      </c>
      <c r="K3679" s="2" t="s">
        <v>495</v>
      </c>
      <c r="L3679" s="13" t="s">
        <v>496</v>
      </c>
      <c r="M3679" s="2" t="s">
        <v>26</v>
      </c>
      <c r="N3679" s="29"/>
      <c r="O3679" s="29"/>
      <c r="P3679" s="5" t="str">
        <f>IFERROR(__xludf.DUMMYFUNCTION("TEXTJOIN("" | "",TRUE,IF(OR(D3679="""",E3679="""",I3679="""",J3679="""",H3679=""""),""ফাঁকা ঘর"",""""),IF(AND(C3679&lt;&gt;"""",D3679&lt;&gt;"""",C3679=D3679),""gloss=figurative"",""""),IF(LEN(D3679)&lt;15,""figurative ছোট"",""""),IF(AND(I3679=""Positive"",REGEXMATCH(H3"&amp;"679,""মূর্খ|ভণ্ড|প্রতার|অলস|লোভ|স্বার্থ|অক্ষম|অযোগ্য|বোকা|কৃপণ|হিংস"")),""valence-target অমিল"",""""),IF(COUNTIF($B:$B,B3679)&gt;1,""ডুপ্লিকেট"",""""))"),"")</f>
        <v/>
      </c>
      <c r="Q3679" s="5" t="str">
        <f t="shared" si="1"/>
        <v>২ পরে</v>
      </c>
    </row>
    <row r="3680">
      <c r="A3680" s="4">
        <v>1495.0</v>
      </c>
      <c r="B3680" s="2" t="s">
        <v>14784</v>
      </c>
      <c r="C3680" s="2" t="s">
        <v>14785</v>
      </c>
      <c r="D3680" s="2" t="s">
        <v>14786</v>
      </c>
      <c r="E3680" s="2" t="s">
        <v>14787</v>
      </c>
      <c r="F3680" s="2" t="b">
        <v>1</v>
      </c>
      <c r="G3680" s="2" t="b">
        <v>0</v>
      </c>
      <c r="H3680" s="2" t="s">
        <v>14788</v>
      </c>
      <c r="I3680" s="2" t="s">
        <v>32</v>
      </c>
      <c r="J3680" s="2" t="s">
        <v>300</v>
      </c>
      <c r="K3680" s="2" t="s">
        <v>495</v>
      </c>
      <c r="L3680" s="13" t="s">
        <v>496</v>
      </c>
      <c r="M3680" s="2" t="s">
        <v>26</v>
      </c>
      <c r="N3680" s="29"/>
      <c r="O3680" s="29"/>
      <c r="P3680" s="5" t="str">
        <f>IFERROR(__xludf.DUMMYFUNCTION("TEXTJOIN("" | "",TRUE,IF(OR(D3680="""",E3680="""",I3680="""",J3680="""",H3680=""""),""ফাঁকা ঘর"",""""),IF(AND(C3680&lt;&gt;"""",D3680&lt;&gt;"""",C3680=D3680),""gloss=figurative"",""""),IF(LEN(D3680)&lt;15,""figurative ছোট"",""""),IF(AND(I3680=""Positive"",REGEXMATCH(H3"&amp;"680,""মূর্খ|ভণ্ড|প্রতার|অলস|লোভ|স্বার্থ|অক্ষম|অযোগ্য|বোকা|কৃপণ|হিংস"")),""valence-target অমিল"",""""),IF(COUNTIF($B:$B,B3680)&gt;1,""ডুপ্লিকেট"",""""))"),"")</f>
        <v/>
      </c>
      <c r="Q3680" s="5" t="str">
        <f t="shared" si="1"/>
        <v>২ পরে</v>
      </c>
    </row>
    <row r="3681">
      <c r="A3681" s="4">
        <v>1496.0</v>
      </c>
      <c r="B3681" s="2" t="s">
        <v>14789</v>
      </c>
      <c r="C3681" s="2" t="s">
        <v>14790</v>
      </c>
      <c r="D3681" s="2" t="s">
        <v>14791</v>
      </c>
      <c r="E3681" s="2" t="s">
        <v>14792</v>
      </c>
      <c r="F3681" s="2" t="b">
        <v>1</v>
      </c>
      <c r="G3681" s="2" t="b">
        <v>0</v>
      </c>
      <c r="H3681" s="2" t="s">
        <v>14788</v>
      </c>
      <c r="I3681" s="2" t="s">
        <v>32</v>
      </c>
      <c r="J3681" s="2" t="s">
        <v>300</v>
      </c>
      <c r="K3681" s="2" t="s">
        <v>495</v>
      </c>
      <c r="L3681" s="13" t="s">
        <v>496</v>
      </c>
      <c r="M3681" s="2" t="s">
        <v>26</v>
      </c>
      <c r="N3681" s="29"/>
      <c r="O3681" s="29"/>
      <c r="P3681" s="5" t="str">
        <f>IFERROR(__xludf.DUMMYFUNCTION("TEXTJOIN("" | "",TRUE,IF(OR(D3681="""",E3681="""",I3681="""",J3681="""",H3681=""""),""ফাঁকা ঘর"",""""),IF(AND(C3681&lt;&gt;"""",D3681&lt;&gt;"""",C3681=D3681),""gloss=figurative"",""""),IF(LEN(D3681)&lt;15,""figurative ছোট"",""""),IF(AND(I3681=""Positive"",REGEXMATCH(H3"&amp;"681,""মূর্খ|ভণ্ড|প্রতার|অলস|লোভ|স্বার্থ|অক্ষম|অযোগ্য|বোকা|কৃপণ|হিংস"")),""valence-target অমিল"",""""),IF(COUNTIF($B:$B,B3681)&gt;1,""ডুপ্লিকেট"",""""))"),"")</f>
        <v/>
      </c>
      <c r="Q3681" s="5" t="str">
        <f t="shared" si="1"/>
        <v>২ পরে</v>
      </c>
    </row>
    <row r="3682">
      <c r="A3682" s="4">
        <v>1497.0</v>
      </c>
      <c r="B3682" s="2" t="s">
        <v>14793</v>
      </c>
      <c r="C3682" s="2" t="s">
        <v>14794</v>
      </c>
      <c r="D3682" s="2" t="s">
        <v>14795</v>
      </c>
      <c r="E3682" s="2" t="s">
        <v>14796</v>
      </c>
      <c r="F3682" s="2" t="b">
        <v>1</v>
      </c>
      <c r="G3682" s="2" t="b">
        <v>0</v>
      </c>
      <c r="H3682" s="2" t="s">
        <v>356</v>
      </c>
      <c r="I3682" s="2" t="s">
        <v>22</v>
      </c>
      <c r="J3682" s="2" t="s">
        <v>59</v>
      </c>
      <c r="K3682" s="2" t="s">
        <v>495</v>
      </c>
      <c r="L3682" s="13" t="s">
        <v>496</v>
      </c>
      <c r="M3682" s="2" t="s">
        <v>26</v>
      </c>
      <c r="N3682" s="29"/>
      <c r="O3682" s="29"/>
      <c r="P3682" s="5" t="str">
        <f>IFERROR(__xludf.DUMMYFUNCTION("TEXTJOIN("" | "",TRUE,IF(OR(D3682="""",E3682="""",I3682="""",J3682="""",H3682=""""),""ফাঁকা ঘর"",""""),IF(AND(C3682&lt;&gt;"""",D3682&lt;&gt;"""",C3682=D3682),""gloss=figurative"",""""),IF(LEN(D3682)&lt;15,""figurative ছোট"",""""),IF(AND(I3682=""Positive"",REGEXMATCH(H3"&amp;"682,""মূর্খ|ভণ্ড|প্রতার|অলস|লোভ|স্বার্থ|অক্ষম|অযোগ্য|বোকা|কৃপণ|হিংস"")),""valence-target অমিল"",""""),IF(COUNTIF($B:$B,B3682)&gt;1,""ডুপ্লিকেট"",""""))"),"")</f>
        <v/>
      </c>
      <c r="Q3682" s="5" t="str">
        <f t="shared" si="1"/>
        <v>২ পরে</v>
      </c>
    </row>
    <row r="3683">
      <c r="A3683" s="4">
        <v>1498.0</v>
      </c>
      <c r="B3683" s="2" t="s">
        <v>14797</v>
      </c>
      <c r="C3683" s="2" t="s">
        <v>14798</v>
      </c>
      <c r="D3683" s="2" t="s">
        <v>14799</v>
      </c>
      <c r="E3683" s="2" t="s">
        <v>14800</v>
      </c>
      <c r="F3683" s="2" t="b">
        <v>1</v>
      </c>
      <c r="G3683" s="2" t="b">
        <v>0</v>
      </c>
      <c r="H3683" s="2" t="s">
        <v>14801</v>
      </c>
      <c r="I3683" s="2" t="s">
        <v>22</v>
      </c>
      <c r="J3683" s="2" t="s">
        <v>14802</v>
      </c>
      <c r="K3683" s="2" t="s">
        <v>495</v>
      </c>
      <c r="L3683" s="13" t="s">
        <v>496</v>
      </c>
      <c r="M3683" s="2" t="s">
        <v>26</v>
      </c>
      <c r="N3683" s="29"/>
      <c r="O3683" s="29"/>
      <c r="P3683" s="5" t="str">
        <f>IFERROR(__xludf.DUMMYFUNCTION("TEXTJOIN("" | "",TRUE,IF(OR(D3683="""",E3683="""",I3683="""",J3683="""",H3683=""""),""ফাঁকা ঘর"",""""),IF(AND(C3683&lt;&gt;"""",D3683&lt;&gt;"""",C3683=D3683),""gloss=figurative"",""""),IF(LEN(D3683)&lt;15,""figurative ছোট"",""""),IF(AND(I3683=""Positive"",REGEXMATCH(H3"&amp;"683,""মূর্খ|ভণ্ড|প্রতার|অলস|লোভ|স্বার্থ|অক্ষম|অযোগ্য|বোকা|কৃপণ|হিংস"")),""valence-target অমিল"",""""),IF(COUNTIF($B:$B,B3683)&gt;1,""ডুপ্লিকেট"",""""))"),"")</f>
        <v/>
      </c>
      <c r="Q3683" s="5" t="str">
        <f t="shared" si="1"/>
        <v>২ পরে</v>
      </c>
    </row>
    <row r="3684">
      <c r="A3684" s="4">
        <v>1499.0</v>
      </c>
      <c r="B3684" s="2" t="s">
        <v>14803</v>
      </c>
      <c r="C3684" s="2" t="s">
        <v>14804</v>
      </c>
      <c r="D3684" s="2" t="s">
        <v>14805</v>
      </c>
      <c r="E3684" s="2" t="s">
        <v>14806</v>
      </c>
      <c r="F3684" s="2" t="b">
        <v>1</v>
      </c>
      <c r="G3684" s="2" t="b">
        <v>0</v>
      </c>
      <c r="H3684" s="2" t="s">
        <v>14807</v>
      </c>
      <c r="I3684" s="2" t="s">
        <v>22</v>
      </c>
      <c r="J3684" s="2" t="s">
        <v>59</v>
      </c>
      <c r="K3684" s="2" t="s">
        <v>495</v>
      </c>
      <c r="L3684" s="13" t="s">
        <v>496</v>
      </c>
      <c r="M3684" s="2" t="s">
        <v>26</v>
      </c>
      <c r="N3684" s="29"/>
      <c r="O3684" s="29"/>
      <c r="P3684" s="5" t="str">
        <f>IFERROR(__xludf.DUMMYFUNCTION("TEXTJOIN("" | "",TRUE,IF(OR(D3684="""",E3684="""",I3684="""",J3684="""",H3684=""""),""ফাঁকা ঘর"",""""),IF(AND(C3684&lt;&gt;"""",D3684&lt;&gt;"""",C3684=D3684),""gloss=figurative"",""""),IF(LEN(D3684)&lt;15,""figurative ছোট"",""""),IF(AND(I3684=""Positive"",REGEXMATCH(H3"&amp;"684,""মূর্খ|ভণ্ড|প্রতার|অলস|লোভ|স্বার্থ|অক্ষম|অযোগ্য|বোকা|কৃপণ|হিংস"")),""valence-target অমিল"",""""),IF(COUNTIF($B:$B,B3684)&gt;1,""ডুপ্লিকেট"",""""))"),"")</f>
        <v/>
      </c>
      <c r="Q3684" s="5" t="str">
        <f t="shared" si="1"/>
        <v>২ পরে</v>
      </c>
    </row>
    <row r="3685">
      <c r="A3685" s="4">
        <v>1500.0</v>
      </c>
      <c r="B3685" s="2" t="s">
        <v>14808</v>
      </c>
      <c r="C3685" s="2" t="s">
        <v>14809</v>
      </c>
      <c r="D3685" s="2" t="s">
        <v>14810</v>
      </c>
      <c r="E3685" s="2" t="s">
        <v>14811</v>
      </c>
      <c r="F3685" s="2" t="b">
        <v>1</v>
      </c>
      <c r="G3685" s="2" t="b">
        <v>0</v>
      </c>
      <c r="H3685" s="2" t="s">
        <v>37</v>
      </c>
      <c r="I3685" s="2" t="s">
        <v>32</v>
      </c>
      <c r="J3685" s="2" t="s">
        <v>14812</v>
      </c>
      <c r="K3685" s="2" t="s">
        <v>495</v>
      </c>
      <c r="L3685" s="13" t="s">
        <v>496</v>
      </c>
      <c r="M3685" s="2" t="s">
        <v>26</v>
      </c>
      <c r="N3685" s="29"/>
      <c r="O3685" s="29"/>
      <c r="P3685" s="5" t="str">
        <f>IFERROR(__xludf.DUMMYFUNCTION("TEXTJOIN("" | "",TRUE,IF(OR(D3685="""",E3685="""",I3685="""",J3685="""",H3685=""""),""ফাঁকা ঘর"",""""),IF(AND(C3685&lt;&gt;"""",D3685&lt;&gt;"""",C3685=D3685),""gloss=figurative"",""""),IF(LEN(D3685)&lt;15,""figurative ছোট"",""""),IF(AND(I3685=""Positive"",REGEXMATCH(H3"&amp;"685,""মূর্খ|ভণ্ড|প্রতার|অলস|লোভ|স্বার্থ|অক্ষম|অযোগ্য|বোকা|কৃপণ|হিংস"")),""valence-target অমিল"",""""),IF(COUNTIF($B:$B,B3685)&gt;1,""ডুপ্লিকেট"",""""))"),"")</f>
        <v/>
      </c>
      <c r="Q3685" s="5" t="str">
        <f t="shared" si="1"/>
        <v>২ পরে</v>
      </c>
    </row>
    <row r="3686">
      <c r="A3686" s="4">
        <v>1501.0</v>
      </c>
      <c r="B3686" s="2" t="s">
        <v>14813</v>
      </c>
      <c r="C3686" s="2" t="s">
        <v>14814</v>
      </c>
      <c r="D3686" s="2" t="s">
        <v>14815</v>
      </c>
      <c r="E3686" s="2" t="s">
        <v>14816</v>
      </c>
      <c r="F3686" s="2" t="b">
        <v>1</v>
      </c>
      <c r="G3686" s="2" t="b">
        <v>0</v>
      </c>
      <c r="H3686" s="2" t="s">
        <v>14817</v>
      </c>
      <c r="I3686" s="2" t="s">
        <v>32</v>
      </c>
      <c r="J3686" s="2" t="s">
        <v>739</v>
      </c>
      <c r="K3686" s="2" t="s">
        <v>495</v>
      </c>
      <c r="L3686" s="13" t="s">
        <v>496</v>
      </c>
      <c r="M3686" s="2" t="s">
        <v>26</v>
      </c>
      <c r="N3686" s="29"/>
      <c r="O3686" s="29"/>
      <c r="P3686" s="5" t="str">
        <f>IFERROR(__xludf.DUMMYFUNCTION("TEXTJOIN("" | "",TRUE,IF(OR(D3686="""",E3686="""",I3686="""",J3686="""",H3686=""""),""ফাঁকা ঘর"",""""),IF(AND(C3686&lt;&gt;"""",D3686&lt;&gt;"""",C3686=D3686),""gloss=figurative"",""""),IF(LEN(D3686)&lt;15,""figurative ছোট"",""""),IF(AND(I3686=""Positive"",REGEXMATCH(H3"&amp;"686,""মূর্খ|ভণ্ড|প্রতার|অলস|লোভ|স্বার্থ|অক্ষম|অযোগ্য|বোকা|কৃপণ|হিংস"")),""valence-target অমিল"",""""),IF(COUNTIF($B:$B,B3686)&gt;1,""ডুপ্লিকেট"",""""))"),"")</f>
        <v/>
      </c>
      <c r="Q3686" s="5" t="str">
        <f t="shared" si="1"/>
        <v>২ পরে</v>
      </c>
    </row>
    <row r="3687">
      <c r="A3687" s="4">
        <v>1502.0</v>
      </c>
      <c r="B3687" s="2" t="s">
        <v>14818</v>
      </c>
      <c r="C3687" s="2" t="s">
        <v>14819</v>
      </c>
      <c r="D3687" s="2" t="s">
        <v>14820</v>
      </c>
      <c r="E3687" s="2" t="s">
        <v>14821</v>
      </c>
      <c r="F3687" s="2" t="b">
        <v>1</v>
      </c>
      <c r="G3687" s="2" t="b">
        <v>0</v>
      </c>
      <c r="H3687" s="2" t="s">
        <v>14822</v>
      </c>
      <c r="I3687" s="2" t="s">
        <v>32</v>
      </c>
      <c r="J3687" s="2" t="s">
        <v>2040</v>
      </c>
      <c r="K3687" s="2" t="s">
        <v>495</v>
      </c>
      <c r="L3687" s="13" t="s">
        <v>496</v>
      </c>
      <c r="M3687" s="2" t="s">
        <v>26</v>
      </c>
      <c r="N3687" s="29"/>
      <c r="O3687" s="29"/>
      <c r="P3687" s="5" t="str">
        <f>IFERROR(__xludf.DUMMYFUNCTION("TEXTJOIN("" | "",TRUE,IF(OR(D3687="""",E3687="""",I3687="""",J3687="""",H3687=""""),""ফাঁকা ঘর"",""""),IF(AND(C3687&lt;&gt;"""",D3687&lt;&gt;"""",C3687=D3687),""gloss=figurative"",""""),IF(LEN(D3687)&lt;15,""figurative ছোট"",""""),IF(AND(I3687=""Positive"",REGEXMATCH(H3"&amp;"687,""মূর্খ|ভণ্ড|প্রতার|অলস|লোভ|স্বার্থ|অক্ষম|অযোগ্য|বোকা|কৃপণ|হিংস"")),""valence-target অমিল"",""""),IF(COUNTIF($B:$B,B3687)&gt;1,""ডুপ্লিকেট"",""""))"),"")</f>
        <v/>
      </c>
      <c r="Q3687" s="5" t="str">
        <f t="shared" si="1"/>
        <v>২ পরে</v>
      </c>
    </row>
    <row r="3688">
      <c r="A3688" s="4">
        <v>1503.0</v>
      </c>
      <c r="B3688" s="2" t="s">
        <v>14823</v>
      </c>
      <c r="C3688" s="2" t="s">
        <v>14824</v>
      </c>
      <c r="D3688" s="2" t="s">
        <v>14825</v>
      </c>
      <c r="E3688" s="2" t="s">
        <v>14826</v>
      </c>
      <c r="F3688" s="2" t="b">
        <v>1</v>
      </c>
      <c r="G3688" s="2" t="b">
        <v>0</v>
      </c>
      <c r="H3688" s="2" t="s">
        <v>14827</v>
      </c>
      <c r="I3688" s="2" t="s">
        <v>22</v>
      </c>
      <c r="J3688" s="2" t="s">
        <v>59</v>
      </c>
      <c r="K3688" s="2" t="s">
        <v>495</v>
      </c>
      <c r="L3688" s="13" t="s">
        <v>496</v>
      </c>
      <c r="M3688" s="2" t="s">
        <v>26</v>
      </c>
      <c r="N3688" s="29"/>
      <c r="O3688" s="29"/>
      <c r="P3688" s="5" t="str">
        <f>IFERROR(__xludf.DUMMYFUNCTION("TEXTJOIN("" | "",TRUE,IF(OR(D3688="""",E3688="""",I3688="""",J3688="""",H3688=""""),""ফাঁকা ঘর"",""""),IF(AND(C3688&lt;&gt;"""",D3688&lt;&gt;"""",C3688=D3688),""gloss=figurative"",""""),IF(LEN(D3688)&lt;15,""figurative ছোট"",""""),IF(AND(I3688=""Positive"",REGEXMATCH(H3"&amp;"688,""মূর্খ|ভণ্ড|প্রতার|অলস|লোভ|স্বার্থ|অক্ষম|অযোগ্য|বোকা|কৃপণ|হিংস"")),""valence-target অমিল"",""""),IF(COUNTIF($B:$B,B3688)&gt;1,""ডুপ্লিকেট"",""""))"),"")</f>
        <v/>
      </c>
      <c r="Q3688" s="5" t="str">
        <f t="shared" si="1"/>
        <v>২ পরে</v>
      </c>
    </row>
    <row r="3689">
      <c r="A3689" s="4">
        <v>1504.0</v>
      </c>
      <c r="B3689" s="2" t="s">
        <v>14828</v>
      </c>
      <c r="C3689" s="2" t="s">
        <v>14829</v>
      </c>
      <c r="D3689" s="2" t="s">
        <v>14830</v>
      </c>
      <c r="E3689" s="2" t="s">
        <v>14831</v>
      </c>
      <c r="F3689" s="2" t="b">
        <v>1</v>
      </c>
      <c r="G3689" s="2" t="b">
        <v>0</v>
      </c>
      <c r="H3689" s="2" t="s">
        <v>14832</v>
      </c>
      <c r="I3689" s="2" t="s">
        <v>22</v>
      </c>
      <c r="J3689" s="2" t="s">
        <v>669</v>
      </c>
      <c r="K3689" s="2" t="s">
        <v>495</v>
      </c>
      <c r="L3689" s="13" t="s">
        <v>496</v>
      </c>
      <c r="M3689" s="2" t="s">
        <v>26</v>
      </c>
      <c r="N3689" s="29"/>
      <c r="O3689" s="29"/>
      <c r="P3689" s="5" t="str">
        <f>IFERROR(__xludf.DUMMYFUNCTION("TEXTJOIN("" | "",TRUE,IF(OR(D3689="""",E3689="""",I3689="""",J3689="""",H3689=""""),""ফাঁকা ঘর"",""""),IF(AND(C3689&lt;&gt;"""",D3689&lt;&gt;"""",C3689=D3689),""gloss=figurative"",""""),IF(LEN(D3689)&lt;15,""figurative ছোট"",""""),IF(AND(I3689=""Positive"",REGEXMATCH(H3"&amp;"689,""মূর্খ|ভণ্ড|প্রতার|অলস|লোভ|স্বার্থ|অক্ষম|অযোগ্য|বোকা|কৃপণ|হিংস"")),""valence-target অমিল"",""""),IF(COUNTIF($B:$B,B3689)&gt;1,""ডুপ্লিকেট"",""""))"),"")</f>
        <v/>
      </c>
      <c r="Q3689" s="5" t="str">
        <f t="shared" si="1"/>
        <v>২ পরে</v>
      </c>
    </row>
    <row r="3690">
      <c r="A3690" s="4">
        <v>1505.0</v>
      </c>
      <c r="B3690" s="2" t="s">
        <v>14833</v>
      </c>
      <c r="C3690" s="2" t="s">
        <v>14834</v>
      </c>
      <c r="D3690" s="2" t="s">
        <v>14835</v>
      </c>
      <c r="E3690" s="2" t="s">
        <v>14836</v>
      </c>
      <c r="F3690" s="2" t="b">
        <v>1</v>
      </c>
      <c r="G3690" s="2" t="b">
        <v>0</v>
      </c>
      <c r="H3690" s="2" t="s">
        <v>14837</v>
      </c>
      <c r="I3690" s="2" t="s">
        <v>49</v>
      </c>
      <c r="J3690" s="2" t="s">
        <v>1060</v>
      </c>
      <c r="K3690" s="2" t="s">
        <v>495</v>
      </c>
      <c r="L3690" s="13" t="s">
        <v>496</v>
      </c>
      <c r="M3690" s="2" t="s">
        <v>26</v>
      </c>
      <c r="N3690" s="29"/>
      <c r="O3690" s="29"/>
      <c r="P3690" s="5" t="str">
        <f>IFERROR(__xludf.DUMMYFUNCTION("TEXTJOIN("" | "",TRUE,IF(OR(D3690="""",E3690="""",I3690="""",J3690="""",H3690=""""),""ফাঁকা ঘর"",""""),IF(AND(C3690&lt;&gt;"""",D3690&lt;&gt;"""",C3690=D3690),""gloss=figurative"",""""),IF(LEN(D3690)&lt;15,""figurative ছোট"",""""),IF(AND(I3690=""Positive"",REGEXMATCH(H3"&amp;"690,""মূর্খ|ভণ্ড|প্রতার|অলস|লোভ|স্বার্থ|অক্ষম|অযোগ্য|বোকা|কৃপণ|হিংস"")),""valence-target অমিল"",""""),IF(COUNTIF($B:$B,B3690)&gt;1,""ডুপ্লিকেট"",""""))"),"")</f>
        <v/>
      </c>
      <c r="Q3690" s="5" t="str">
        <f t="shared" si="1"/>
        <v>২ পরে</v>
      </c>
    </row>
    <row r="3691">
      <c r="A3691" s="4">
        <v>1506.0</v>
      </c>
      <c r="B3691" s="2" t="s">
        <v>14838</v>
      </c>
      <c r="C3691" s="2" t="s">
        <v>14839</v>
      </c>
      <c r="D3691" s="2" t="s">
        <v>14840</v>
      </c>
      <c r="E3691" s="2" t="s">
        <v>14841</v>
      </c>
      <c r="F3691" s="2" t="b">
        <v>1</v>
      </c>
      <c r="G3691" s="2" t="b">
        <v>0</v>
      </c>
      <c r="H3691" s="2" t="s">
        <v>14842</v>
      </c>
      <c r="I3691" s="2" t="s">
        <v>22</v>
      </c>
      <c r="J3691" s="2" t="s">
        <v>2629</v>
      </c>
      <c r="K3691" s="2" t="s">
        <v>495</v>
      </c>
      <c r="L3691" s="13" t="s">
        <v>496</v>
      </c>
      <c r="M3691" s="2" t="s">
        <v>26</v>
      </c>
      <c r="N3691" s="29"/>
      <c r="O3691" s="29"/>
      <c r="P3691" s="5" t="str">
        <f>IFERROR(__xludf.DUMMYFUNCTION("TEXTJOIN("" | "",TRUE,IF(OR(D3691="""",E3691="""",I3691="""",J3691="""",H3691=""""),""ফাঁকা ঘর"",""""),IF(AND(C3691&lt;&gt;"""",D3691&lt;&gt;"""",C3691=D3691),""gloss=figurative"",""""),IF(LEN(D3691)&lt;15,""figurative ছোট"",""""),IF(AND(I3691=""Positive"",REGEXMATCH(H3"&amp;"691,""মূর্খ|ভণ্ড|প্রতার|অলস|লোভ|স্বার্থ|অক্ষম|অযোগ্য|বোকা|কৃপণ|হিংস"")),""valence-target অমিল"",""""),IF(COUNTIF($B:$B,B3691)&gt;1,""ডুপ্লিকেট"",""""))"),"")</f>
        <v/>
      </c>
      <c r="Q3691" s="5" t="str">
        <f t="shared" si="1"/>
        <v>২ পরে</v>
      </c>
    </row>
    <row r="3692">
      <c r="A3692" s="4">
        <v>1507.0</v>
      </c>
      <c r="B3692" s="2" t="s">
        <v>14843</v>
      </c>
      <c r="C3692" s="2" t="s">
        <v>14844</v>
      </c>
      <c r="D3692" s="2" t="s">
        <v>14845</v>
      </c>
      <c r="E3692" s="2" t="s">
        <v>14846</v>
      </c>
      <c r="F3692" s="2" t="b">
        <v>1</v>
      </c>
      <c r="G3692" s="2" t="b">
        <v>0</v>
      </c>
      <c r="H3692" s="2" t="s">
        <v>37</v>
      </c>
      <c r="I3692" s="2" t="s">
        <v>32</v>
      </c>
      <c r="J3692" s="2" t="s">
        <v>842</v>
      </c>
      <c r="K3692" s="2" t="s">
        <v>495</v>
      </c>
      <c r="L3692" s="13" t="s">
        <v>496</v>
      </c>
      <c r="M3692" s="2" t="s">
        <v>26</v>
      </c>
      <c r="N3692" s="29"/>
      <c r="O3692" s="29"/>
      <c r="P3692" s="5" t="str">
        <f>IFERROR(__xludf.DUMMYFUNCTION("TEXTJOIN("" | "",TRUE,IF(OR(D3692="""",E3692="""",I3692="""",J3692="""",H3692=""""),""ফাঁকা ঘর"",""""),IF(AND(C3692&lt;&gt;"""",D3692&lt;&gt;"""",C3692=D3692),""gloss=figurative"",""""),IF(LEN(D3692)&lt;15,""figurative ছোট"",""""),IF(AND(I3692=""Positive"",REGEXMATCH(H3"&amp;"692,""মূর্খ|ভণ্ড|প্রতার|অলস|লোভ|স্বার্থ|অক্ষম|অযোগ্য|বোকা|কৃপণ|হিংস"")),""valence-target অমিল"",""""),IF(COUNTIF($B:$B,B3692)&gt;1,""ডুপ্লিকেট"",""""))"),"")</f>
        <v/>
      </c>
      <c r="Q3692" s="5" t="str">
        <f t="shared" si="1"/>
        <v>২ পরে</v>
      </c>
    </row>
    <row r="3693">
      <c r="A3693" s="4">
        <v>1508.0</v>
      </c>
      <c r="B3693" s="2" t="s">
        <v>14847</v>
      </c>
      <c r="C3693" s="2" t="s">
        <v>14848</v>
      </c>
      <c r="D3693" s="2" t="s">
        <v>14849</v>
      </c>
      <c r="E3693" s="2" t="s">
        <v>14850</v>
      </c>
      <c r="F3693" s="2" t="b">
        <v>1</v>
      </c>
      <c r="G3693" s="2" t="b">
        <v>0</v>
      </c>
      <c r="H3693" s="2" t="s">
        <v>14851</v>
      </c>
      <c r="I3693" s="2" t="s">
        <v>32</v>
      </c>
      <c r="J3693" s="2" t="s">
        <v>739</v>
      </c>
      <c r="K3693" s="2" t="s">
        <v>495</v>
      </c>
      <c r="L3693" s="13" t="s">
        <v>496</v>
      </c>
      <c r="M3693" s="2" t="s">
        <v>26</v>
      </c>
      <c r="N3693" s="29"/>
      <c r="O3693" s="29"/>
      <c r="P3693" s="5" t="str">
        <f>IFERROR(__xludf.DUMMYFUNCTION("TEXTJOIN("" | "",TRUE,IF(OR(D3693="""",E3693="""",I3693="""",J3693="""",H3693=""""),""ফাঁকা ঘর"",""""),IF(AND(C3693&lt;&gt;"""",D3693&lt;&gt;"""",C3693=D3693),""gloss=figurative"",""""),IF(LEN(D3693)&lt;15,""figurative ছোট"",""""),IF(AND(I3693=""Positive"",REGEXMATCH(H3"&amp;"693,""মূর্খ|ভণ্ড|প্রতার|অলস|লোভ|স্বার্থ|অক্ষম|অযোগ্য|বোকা|কৃপণ|হিংস"")),""valence-target অমিল"",""""),IF(COUNTIF($B:$B,B3693)&gt;1,""ডুপ্লিকেট"",""""))"),"")</f>
        <v/>
      </c>
      <c r="Q3693" s="5" t="str">
        <f t="shared" si="1"/>
        <v>২ পরে</v>
      </c>
    </row>
    <row r="3694">
      <c r="A3694" s="4">
        <v>1509.0</v>
      </c>
      <c r="B3694" s="2" t="s">
        <v>14852</v>
      </c>
      <c r="C3694" s="2" t="s">
        <v>14853</v>
      </c>
      <c r="D3694" s="2" t="s">
        <v>14854</v>
      </c>
      <c r="E3694" s="2" t="s">
        <v>14855</v>
      </c>
      <c r="F3694" s="2" t="b">
        <v>1</v>
      </c>
      <c r="G3694" s="2" t="b">
        <v>0</v>
      </c>
      <c r="H3694" s="2" t="s">
        <v>37</v>
      </c>
      <c r="I3694" s="2" t="s">
        <v>32</v>
      </c>
      <c r="J3694" s="2" t="s">
        <v>842</v>
      </c>
      <c r="K3694" s="2" t="s">
        <v>495</v>
      </c>
      <c r="L3694" s="13" t="s">
        <v>496</v>
      </c>
      <c r="M3694" s="2" t="s">
        <v>26</v>
      </c>
      <c r="N3694" s="29"/>
      <c r="O3694" s="29"/>
      <c r="P3694" s="5" t="str">
        <f>IFERROR(__xludf.DUMMYFUNCTION("TEXTJOIN("" | "",TRUE,IF(OR(D3694="""",E3694="""",I3694="""",J3694="""",H3694=""""),""ফাঁকা ঘর"",""""),IF(AND(C3694&lt;&gt;"""",D3694&lt;&gt;"""",C3694=D3694),""gloss=figurative"",""""),IF(LEN(D3694)&lt;15,""figurative ছোট"",""""),IF(AND(I3694=""Positive"",REGEXMATCH(H3"&amp;"694,""মূর্খ|ভণ্ড|প্রতার|অলস|লোভ|স্বার্থ|অক্ষম|অযোগ্য|বোকা|কৃপণ|হিংস"")),""valence-target অমিল"",""""),IF(COUNTIF($B:$B,B3694)&gt;1,""ডুপ্লিকেট"",""""))"),"")</f>
        <v/>
      </c>
      <c r="Q3694" s="5" t="str">
        <f t="shared" si="1"/>
        <v>২ পরে</v>
      </c>
    </row>
    <row r="3695">
      <c r="A3695" s="4">
        <v>1510.0</v>
      </c>
      <c r="B3695" s="2" t="s">
        <v>14856</v>
      </c>
      <c r="C3695" s="2" t="s">
        <v>14857</v>
      </c>
      <c r="D3695" s="2" t="s">
        <v>14858</v>
      </c>
      <c r="E3695" s="2" t="s">
        <v>14859</v>
      </c>
      <c r="F3695" s="2" t="b">
        <v>1</v>
      </c>
      <c r="G3695" s="2" t="b">
        <v>0</v>
      </c>
      <c r="H3695" s="2" t="s">
        <v>14860</v>
      </c>
      <c r="I3695" s="2" t="s">
        <v>32</v>
      </c>
      <c r="J3695" s="2" t="s">
        <v>14861</v>
      </c>
      <c r="K3695" s="2" t="s">
        <v>495</v>
      </c>
      <c r="L3695" s="13" t="s">
        <v>496</v>
      </c>
      <c r="M3695" s="2" t="s">
        <v>26</v>
      </c>
      <c r="N3695" s="29"/>
      <c r="O3695" s="29"/>
      <c r="P3695" s="5" t="str">
        <f>IFERROR(__xludf.DUMMYFUNCTION("TEXTJOIN("" | "",TRUE,IF(OR(D3695="""",E3695="""",I3695="""",J3695="""",H3695=""""),""ফাঁকা ঘর"",""""),IF(AND(C3695&lt;&gt;"""",D3695&lt;&gt;"""",C3695=D3695),""gloss=figurative"",""""),IF(LEN(D3695)&lt;15,""figurative ছোট"",""""),IF(AND(I3695=""Positive"",REGEXMATCH(H3"&amp;"695,""মূর্খ|ভণ্ড|প্রতার|অলস|লোভ|স্বার্থ|অক্ষম|অযোগ্য|বোকা|কৃপণ|হিংস"")),""valence-target অমিল"",""""),IF(COUNTIF($B:$B,B3695)&gt;1,""ডুপ্লিকেট"",""""))"),"")</f>
        <v/>
      </c>
      <c r="Q3695" s="5" t="str">
        <f t="shared" si="1"/>
        <v>২ পরে</v>
      </c>
    </row>
    <row r="3696">
      <c r="A3696" s="4">
        <v>1511.0</v>
      </c>
      <c r="B3696" s="2" t="s">
        <v>14862</v>
      </c>
      <c r="C3696" s="2" t="s">
        <v>14863</v>
      </c>
      <c r="D3696" s="2" t="s">
        <v>14864</v>
      </c>
      <c r="E3696" s="2" t="s">
        <v>14865</v>
      </c>
      <c r="F3696" s="2" t="b">
        <v>1</v>
      </c>
      <c r="G3696" s="2" t="b">
        <v>0</v>
      </c>
      <c r="H3696" s="2" t="s">
        <v>14866</v>
      </c>
      <c r="I3696" s="2" t="s">
        <v>22</v>
      </c>
      <c r="J3696" s="2" t="s">
        <v>59</v>
      </c>
      <c r="K3696" s="2" t="s">
        <v>495</v>
      </c>
      <c r="L3696" s="13" t="s">
        <v>496</v>
      </c>
      <c r="M3696" s="2" t="s">
        <v>26</v>
      </c>
      <c r="N3696" s="29"/>
      <c r="O3696" s="29"/>
      <c r="P3696" s="5" t="str">
        <f>IFERROR(__xludf.DUMMYFUNCTION("TEXTJOIN("" | "",TRUE,IF(OR(D3696="""",E3696="""",I3696="""",J3696="""",H3696=""""),""ফাঁকা ঘর"",""""),IF(AND(C3696&lt;&gt;"""",D3696&lt;&gt;"""",C3696=D3696),""gloss=figurative"",""""),IF(LEN(D3696)&lt;15,""figurative ছোট"",""""),IF(AND(I3696=""Positive"",REGEXMATCH(H3"&amp;"696,""মূর্খ|ভণ্ড|প্রতার|অলস|লোভ|স্বার্থ|অক্ষম|অযোগ্য|বোকা|কৃপণ|হিংস"")),""valence-target অমিল"",""""),IF(COUNTIF($B:$B,B3696)&gt;1,""ডুপ্লিকেট"",""""))"),"")</f>
        <v/>
      </c>
      <c r="Q3696" s="5" t="str">
        <f t="shared" si="1"/>
        <v>২ পরে</v>
      </c>
    </row>
    <row r="3697">
      <c r="A3697" s="4">
        <v>1512.0</v>
      </c>
      <c r="B3697" s="2" t="s">
        <v>14867</v>
      </c>
      <c r="C3697" s="2" t="s">
        <v>14868</v>
      </c>
      <c r="D3697" s="2" t="s">
        <v>14869</v>
      </c>
      <c r="E3697" s="2" t="s">
        <v>14870</v>
      </c>
      <c r="F3697" s="2" t="b">
        <v>1</v>
      </c>
      <c r="G3697" s="2" t="b">
        <v>0</v>
      </c>
      <c r="H3697" s="2" t="s">
        <v>14871</v>
      </c>
      <c r="I3697" s="2" t="s">
        <v>22</v>
      </c>
      <c r="J3697" s="2" t="s">
        <v>14872</v>
      </c>
      <c r="K3697" s="2" t="s">
        <v>495</v>
      </c>
      <c r="L3697" s="13" t="s">
        <v>496</v>
      </c>
      <c r="M3697" s="2" t="s">
        <v>26</v>
      </c>
      <c r="N3697" s="29"/>
      <c r="O3697" s="29"/>
      <c r="P3697" s="5" t="str">
        <f>IFERROR(__xludf.DUMMYFUNCTION("TEXTJOIN("" | "",TRUE,IF(OR(D3697="""",E3697="""",I3697="""",J3697="""",H3697=""""),""ফাঁকা ঘর"",""""),IF(AND(C3697&lt;&gt;"""",D3697&lt;&gt;"""",C3697=D3697),""gloss=figurative"",""""),IF(LEN(D3697)&lt;15,""figurative ছোট"",""""),IF(AND(I3697=""Positive"",REGEXMATCH(H3"&amp;"697,""মূর্খ|ভণ্ড|প্রতার|অলস|লোভ|স্বার্থ|অক্ষম|অযোগ্য|বোকা|কৃপণ|হিংস"")),""valence-target অমিল"",""""),IF(COUNTIF($B:$B,B3697)&gt;1,""ডুপ্লিকেট"",""""))"),"")</f>
        <v/>
      </c>
      <c r="Q3697" s="5" t="str">
        <f t="shared" si="1"/>
        <v>২ পরে</v>
      </c>
    </row>
    <row r="3698">
      <c r="A3698" s="4">
        <v>1513.0</v>
      </c>
      <c r="B3698" s="2" t="s">
        <v>14873</v>
      </c>
      <c r="C3698" s="2" t="s">
        <v>14874</v>
      </c>
      <c r="D3698" s="2" t="s">
        <v>14875</v>
      </c>
      <c r="E3698" s="2" t="s">
        <v>14876</v>
      </c>
      <c r="F3698" s="2" t="b">
        <v>1</v>
      </c>
      <c r="G3698" s="2" t="b">
        <v>0</v>
      </c>
      <c r="H3698" s="2" t="s">
        <v>14877</v>
      </c>
      <c r="I3698" s="2" t="s">
        <v>22</v>
      </c>
      <c r="J3698" s="2" t="s">
        <v>1008</v>
      </c>
      <c r="K3698" s="2" t="s">
        <v>495</v>
      </c>
      <c r="L3698" s="13" t="s">
        <v>496</v>
      </c>
      <c r="M3698" s="2" t="s">
        <v>26</v>
      </c>
      <c r="N3698" s="29"/>
      <c r="O3698" s="29"/>
      <c r="P3698" s="5" t="str">
        <f>IFERROR(__xludf.DUMMYFUNCTION("TEXTJOIN("" | "",TRUE,IF(OR(D3698="""",E3698="""",I3698="""",J3698="""",H3698=""""),""ফাঁকা ঘর"",""""),IF(AND(C3698&lt;&gt;"""",D3698&lt;&gt;"""",C3698=D3698),""gloss=figurative"",""""),IF(LEN(D3698)&lt;15,""figurative ছোট"",""""),IF(AND(I3698=""Positive"",REGEXMATCH(H3"&amp;"698,""মূর্খ|ভণ্ড|প্রতার|অলস|লোভ|স্বার্থ|অক্ষম|অযোগ্য|বোকা|কৃপণ|হিংস"")),""valence-target অমিল"",""""),IF(COUNTIF($B:$B,B3698)&gt;1,""ডুপ্লিকেট"",""""))"),"")</f>
        <v/>
      </c>
      <c r="Q3698" s="5" t="str">
        <f t="shared" si="1"/>
        <v>২ পরে</v>
      </c>
    </row>
    <row r="3699">
      <c r="A3699" s="4">
        <v>1514.0</v>
      </c>
      <c r="B3699" s="2" t="s">
        <v>14878</v>
      </c>
      <c r="C3699" s="2" t="s">
        <v>14879</v>
      </c>
      <c r="D3699" s="2" t="s">
        <v>14880</v>
      </c>
      <c r="E3699" s="2" t="s">
        <v>14881</v>
      </c>
      <c r="F3699" s="2" t="b">
        <v>1</v>
      </c>
      <c r="G3699" s="2" t="b">
        <v>0</v>
      </c>
      <c r="H3699" s="2" t="s">
        <v>37</v>
      </c>
      <c r="I3699" s="2" t="s">
        <v>32</v>
      </c>
      <c r="J3699" s="2" t="s">
        <v>1008</v>
      </c>
      <c r="K3699" s="2" t="s">
        <v>495</v>
      </c>
      <c r="L3699" s="13" t="s">
        <v>496</v>
      </c>
      <c r="M3699" s="2" t="s">
        <v>26</v>
      </c>
      <c r="N3699" s="29"/>
      <c r="O3699" s="29"/>
      <c r="P3699" s="5" t="str">
        <f>IFERROR(__xludf.DUMMYFUNCTION("TEXTJOIN("" | "",TRUE,IF(OR(D3699="""",E3699="""",I3699="""",J3699="""",H3699=""""),""ফাঁকা ঘর"",""""),IF(AND(C3699&lt;&gt;"""",D3699&lt;&gt;"""",C3699=D3699),""gloss=figurative"",""""),IF(LEN(D3699)&lt;15,""figurative ছোট"",""""),IF(AND(I3699=""Positive"",REGEXMATCH(H3"&amp;"699,""মূর্খ|ভণ্ড|প্রতার|অলস|লোভ|স্বার্থ|অক্ষম|অযোগ্য|বোকা|কৃপণ|হিংস"")),""valence-target অমিল"",""""),IF(COUNTIF($B:$B,B3699)&gt;1,""ডুপ্লিকেট"",""""))"),"")</f>
        <v/>
      </c>
      <c r="Q3699" s="5" t="str">
        <f t="shared" si="1"/>
        <v>২ পরে</v>
      </c>
    </row>
    <row r="3700">
      <c r="A3700" s="4">
        <v>1515.0</v>
      </c>
      <c r="B3700" s="2" t="s">
        <v>14882</v>
      </c>
      <c r="C3700" s="2" t="s">
        <v>14883</v>
      </c>
      <c r="D3700" s="2" t="s">
        <v>14884</v>
      </c>
      <c r="E3700" s="2" t="s">
        <v>14885</v>
      </c>
      <c r="F3700" s="2" t="b">
        <v>1</v>
      </c>
      <c r="G3700" s="2" t="b">
        <v>0</v>
      </c>
      <c r="H3700" s="2" t="s">
        <v>14886</v>
      </c>
      <c r="I3700" s="2" t="s">
        <v>22</v>
      </c>
      <c r="J3700" s="2" t="s">
        <v>14887</v>
      </c>
      <c r="K3700" s="2" t="s">
        <v>495</v>
      </c>
      <c r="L3700" s="13" t="s">
        <v>496</v>
      </c>
      <c r="M3700" s="2" t="s">
        <v>26</v>
      </c>
      <c r="N3700" s="29"/>
      <c r="O3700" s="29"/>
      <c r="P3700" s="5" t="str">
        <f>IFERROR(__xludf.DUMMYFUNCTION("TEXTJOIN("" | "",TRUE,IF(OR(D3700="""",E3700="""",I3700="""",J3700="""",H3700=""""),""ফাঁকা ঘর"",""""),IF(AND(C3700&lt;&gt;"""",D3700&lt;&gt;"""",C3700=D3700),""gloss=figurative"",""""),IF(LEN(D3700)&lt;15,""figurative ছোট"",""""),IF(AND(I3700=""Positive"",REGEXMATCH(H3"&amp;"700,""মূর্খ|ভণ্ড|প্রতার|অলস|লোভ|স্বার্থ|অক্ষম|অযোগ্য|বোকা|কৃপণ|হিংস"")),""valence-target অমিল"",""""),IF(COUNTIF($B:$B,B3700)&gt;1,""ডুপ্লিকেট"",""""))"),"")</f>
        <v/>
      </c>
      <c r="Q3700" s="5" t="str">
        <f t="shared" si="1"/>
        <v>২ পরে</v>
      </c>
    </row>
    <row r="3701">
      <c r="A3701" s="4">
        <v>1516.0</v>
      </c>
      <c r="B3701" s="2" t="s">
        <v>14888</v>
      </c>
      <c r="C3701" s="2" t="s">
        <v>14889</v>
      </c>
      <c r="D3701" s="2" t="s">
        <v>14890</v>
      </c>
      <c r="E3701" s="2" t="s">
        <v>14891</v>
      </c>
      <c r="F3701" s="2" t="b">
        <v>1</v>
      </c>
      <c r="G3701" s="2" t="b">
        <v>0</v>
      </c>
      <c r="H3701" s="2" t="s">
        <v>14892</v>
      </c>
      <c r="I3701" s="2" t="s">
        <v>32</v>
      </c>
      <c r="J3701" s="2" t="s">
        <v>565</v>
      </c>
      <c r="K3701" s="2" t="s">
        <v>495</v>
      </c>
      <c r="L3701" s="13" t="s">
        <v>496</v>
      </c>
      <c r="M3701" s="2" t="s">
        <v>26</v>
      </c>
      <c r="N3701" s="29"/>
      <c r="O3701" s="29"/>
      <c r="P3701" s="5" t="str">
        <f>IFERROR(__xludf.DUMMYFUNCTION("TEXTJOIN("" | "",TRUE,IF(OR(D3701="""",E3701="""",I3701="""",J3701="""",H3701=""""),""ফাঁকা ঘর"",""""),IF(AND(C3701&lt;&gt;"""",D3701&lt;&gt;"""",C3701=D3701),""gloss=figurative"",""""),IF(LEN(D3701)&lt;15,""figurative ছোট"",""""),IF(AND(I3701=""Positive"",REGEXMATCH(H3"&amp;"701,""মূর্খ|ভণ্ড|প্রতার|অলস|লোভ|স্বার্থ|অক্ষম|অযোগ্য|বোকা|কৃপণ|হিংস"")),""valence-target অমিল"",""""),IF(COUNTIF($B:$B,B3701)&gt;1,""ডুপ্লিকেট"",""""))"),"")</f>
        <v/>
      </c>
      <c r="Q3701" s="5" t="str">
        <f t="shared" si="1"/>
        <v>২ পরে</v>
      </c>
    </row>
    <row r="3702">
      <c r="A3702" s="4">
        <v>1517.0</v>
      </c>
      <c r="B3702" s="2" t="s">
        <v>14893</v>
      </c>
      <c r="C3702" s="2" t="s">
        <v>14894</v>
      </c>
      <c r="D3702" s="2" t="s">
        <v>14895</v>
      </c>
      <c r="E3702" s="2" t="s">
        <v>14896</v>
      </c>
      <c r="F3702" s="2" t="b">
        <v>1</v>
      </c>
      <c r="G3702" s="2" t="b">
        <v>0</v>
      </c>
      <c r="H3702" s="2" t="s">
        <v>356</v>
      </c>
      <c r="I3702" s="2" t="s">
        <v>22</v>
      </c>
      <c r="J3702" s="2" t="s">
        <v>300</v>
      </c>
      <c r="K3702" s="2" t="s">
        <v>495</v>
      </c>
      <c r="L3702" s="13" t="s">
        <v>496</v>
      </c>
      <c r="M3702" s="2" t="s">
        <v>26</v>
      </c>
      <c r="N3702" s="29"/>
      <c r="O3702" s="29"/>
      <c r="P3702" s="5" t="str">
        <f>IFERROR(__xludf.DUMMYFUNCTION("TEXTJOIN("" | "",TRUE,IF(OR(D3702="""",E3702="""",I3702="""",J3702="""",H3702=""""),""ফাঁকা ঘর"",""""),IF(AND(C3702&lt;&gt;"""",D3702&lt;&gt;"""",C3702=D3702),""gloss=figurative"",""""),IF(LEN(D3702)&lt;15,""figurative ছোট"",""""),IF(AND(I3702=""Positive"",REGEXMATCH(H3"&amp;"702,""মূর্খ|ভণ্ড|প্রতার|অলস|লোভ|স্বার্থ|অক্ষম|অযোগ্য|বোকা|কৃপণ|হিংস"")),""valence-target অমিল"",""""),IF(COUNTIF($B:$B,B3702)&gt;1,""ডুপ্লিকেট"",""""))"),"")</f>
        <v/>
      </c>
      <c r="Q3702" s="5" t="str">
        <f t="shared" si="1"/>
        <v>২ পরে</v>
      </c>
    </row>
    <row r="3703">
      <c r="A3703" s="4">
        <v>1518.0</v>
      </c>
      <c r="B3703" s="2" t="s">
        <v>14897</v>
      </c>
      <c r="C3703" s="2" t="s">
        <v>14898</v>
      </c>
      <c r="D3703" s="2" t="s">
        <v>14899</v>
      </c>
      <c r="E3703" s="2" t="s">
        <v>14900</v>
      </c>
      <c r="F3703" s="2" t="b">
        <v>1</v>
      </c>
      <c r="G3703" s="2" t="b">
        <v>0</v>
      </c>
      <c r="H3703" s="2" t="s">
        <v>14901</v>
      </c>
      <c r="I3703" s="2" t="s">
        <v>22</v>
      </c>
      <c r="J3703" s="2" t="s">
        <v>14902</v>
      </c>
      <c r="K3703" s="2" t="s">
        <v>495</v>
      </c>
      <c r="L3703" s="13" t="s">
        <v>496</v>
      </c>
      <c r="M3703" s="2" t="s">
        <v>26</v>
      </c>
      <c r="N3703" s="29"/>
      <c r="O3703" s="29"/>
      <c r="P3703" s="5" t="str">
        <f>IFERROR(__xludf.DUMMYFUNCTION("TEXTJOIN("" | "",TRUE,IF(OR(D3703="""",E3703="""",I3703="""",J3703="""",H3703=""""),""ফাঁকা ঘর"",""""),IF(AND(C3703&lt;&gt;"""",D3703&lt;&gt;"""",C3703=D3703),""gloss=figurative"",""""),IF(LEN(D3703)&lt;15,""figurative ছোট"",""""),IF(AND(I3703=""Positive"",REGEXMATCH(H3"&amp;"703,""মূর্খ|ভণ্ড|প্রতার|অলস|লোভ|স্বার্থ|অক্ষম|অযোগ্য|বোকা|কৃপণ|হিংস"")),""valence-target অমিল"",""""),IF(COUNTIF($B:$B,B3703)&gt;1,""ডুপ্লিকেট"",""""))"),"")</f>
        <v/>
      </c>
      <c r="Q3703" s="5" t="str">
        <f t="shared" si="1"/>
        <v>২ পরে</v>
      </c>
    </row>
    <row r="3704">
      <c r="A3704" s="4">
        <v>1519.0</v>
      </c>
      <c r="B3704" s="2" t="s">
        <v>14903</v>
      </c>
      <c r="C3704" s="2" t="s">
        <v>14904</v>
      </c>
      <c r="D3704" s="2" t="s">
        <v>14905</v>
      </c>
      <c r="E3704" s="2" t="s">
        <v>14906</v>
      </c>
      <c r="F3704" s="2" t="b">
        <v>1</v>
      </c>
      <c r="G3704" s="2" t="b">
        <v>0</v>
      </c>
      <c r="H3704" s="2" t="s">
        <v>14907</v>
      </c>
      <c r="I3704" s="2" t="s">
        <v>22</v>
      </c>
      <c r="J3704" s="2" t="s">
        <v>14908</v>
      </c>
      <c r="K3704" s="2" t="s">
        <v>495</v>
      </c>
      <c r="L3704" s="13" t="s">
        <v>496</v>
      </c>
      <c r="M3704" s="2" t="s">
        <v>26</v>
      </c>
      <c r="N3704" s="29"/>
      <c r="O3704" s="29"/>
      <c r="P3704" s="5" t="str">
        <f>IFERROR(__xludf.DUMMYFUNCTION("TEXTJOIN("" | "",TRUE,IF(OR(D3704="""",E3704="""",I3704="""",J3704="""",H3704=""""),""ফাঁকা ঘর"",""""),IF(AND(C3704&lt;&gt;"""",D3704&lt;&gt;"""",C3704=D3704),""gloss=figurative"",""""),IF(LEN(D3704)&lt;15,""figurative ছোট"",""""),IF(AND(I3704=""Positive"",REGEXMATCH(H3"&amp;"704,""মূর্খ|ভণ্ড|প্রতার|অলস|লোভ|স্বার্থ|অক্ষম|অযোগ্য|বোকা|কৃপণ|হিংস"")),""valence-target অমিল"",""""),IF(COUNTIF($B:$B,B3704)&gt;1,""ডুপ্লিকেট"",""""))"),"")</f>
        <v/>
      </c>
      <c r="Q3704" s="5" t="str">
        <f t="shared" si="1"/>
        <v>২ পরে</v>
      </c>
    </row>
    <row r="3705">
      <c r="A3705" s="4">
        <v>1520.0</v>
      </c>
      <c r="B3705" s="2" t="s">
        <v>14909</v>
      </c>
      <c r="C3705" s="2" t="s">
        <v>14910</v>
      </c>
      <c r="D3705" s="2" t="s">
        <v>14911</v>
      </c>
      <c r="E3705" s="2" t="s">
        <v>14912</v>
      </c>
      <c r="F3705" s="2" t="b">
        <v>1</v>
      </c>
      <c r="G3705" s="2" t="b">
        <v>0</v>
      </c>
      <c r="H3705" s="2" t="s">
        <v>14913</v>
      </c>
      <c r="I3705" s="2" t="s">
        <v>32</v>
      </c>
      <c r="J3705" s="2" t="s">
        <v>14914</v>
      </c>
      <c r="K3705" s="2" t="s">
        <v>495</v>
      </c>
      <c r="L3705" s="13" t="s">
        <v>496</v>
      </c>
      <c r="M3705" s="2" t="s">
        <v>26</v>
      </c>
      <c r="N3705" s="29"/>
      <c r="O3705" s="29"/>
      <c r="P3705" s="5" t="str">
        <f>IFERROR(__xludf.DUMMYFUNCTION("TEXTJOIN("" | "",TRUE,IF(OR(D3705="""",E3705="""",I3705="""",J3705="""",H3705=""""),""ফাঁকা ঘর"",""""),IF(AND(C3705&lt;&gt;"""",D3705&lt;&gt;"""",C3705=D3705),""gloss=figurative"",""""),IF(LEN(D3705)&lt;15,""figurative ছোট"",""""),IF(AND(I3705=""Positive"",REGEXMATCH(H3"&amp;"705,""মূর্খ|ভণ্ড|প্রতার|অলস|লোভ|স্বার্থ|অক্ষম|অযোগ্য|বোকা|কৃপণ|হিংস"")),""valence-target অমিল"",""""),IF(COUNTIF($B:$B,B3705)&gt;1,""ডুপ্লিকেট"",""""))"),"")</f>
        <v/>
      </c>
      <c r="Q3705" s="5" t="str">
        <f t="shared" si="1"/>
        <v>২ পরে</v>
      </c>
    </row>
    <row r="3706">
      <c r="A3706" s="4">
        <v>1521.0</v>
      </c>
      <c r="B3706" s="2" t="s">
        <v>14915</v>
      </c>
      <c r="C3706" s="2" t="s">
        <v>14916</v>
      </c>
      <c r="D3706" s="2" t="s">
        <v>14917</v>
      </c>
      <c r="E3706" s="2" t="s">
        <v>14918</v>
      </c>
      <c r="F3706" s="2" t="b">
        <v>1</v>
      </c>
      <c r="G3706" s="2" t="b">
        <v>0</v>
      </c>
      <c r="H3706" s="2" t="s">
        <v>14919</v>
      </c>
      <c r="I3706" s="2" t="s">
        <v>22</v>
      </c>
      <c r="J3706" s="2" t="s">
        <v>14920</v>
      </c>
      <c r="K3706" s="2" t="s">
        <v>495</v>
      </c>
      <c r="L3706" s="13" t="s">
        <v>496</v>
      </c>
      <c r="M3706" s="2" t="s">
        <v>26</v>
      </c>
      <c r="N3706" s="29"/>
      <c r="O3706" s="29"/>
      <c r="P3706" s="5" t="str">
        <f>IFERROR(__xludf.DUMMYFUNCTION("TEXTJOIN("" | "",TRUE,IF(OR(D3706="""",E3706="""",I3706="""",J3706="""",H3706=""""),""ফাঁকা ঘর"",""""),IF(AND(C3706&lt;&gt;"""",D3706&lt;&gt;"""",C3706=D3706),""gloss=figurative"",""""),IF(LEN(D3706)&lt;15,""figurative ছোট"",""""),IF(AND(I3706=""Positive"",REGEXMATCH(H3"&amp;"706,""মূর্খ|ভণ্ড|প্রতার|অলস|লোভ|স্বার্থ|অক্ষম|অযোগ্য|বোকা|কৃপণ|হিংস"")),""valence-target অমিল"",""""),IF(COUNTIF($B:$B,B3706)&gt;1,""ডুপ্লিকেট"",""""))"),"")</f>
        <v/>
      </c>
      <c r="Q3706" s="5" t="str">
        <f t="shared" si="1"/>
        <v>২ পরে</v>
      </c>
    </row>
    <row r="3707">
      <c r="A3707" s="4">
        <v>1522.0</v>
      </c>
      <c r="B3707" s="2" t="s">
        <v>14921</v>
      </c>
      <c r="C3707" s="2" t="s">
        <v>14922</v>
      </c>
      <c r="D3707" s="2" t="s">
        <v>14923</v>
      </c>
      <c r="E3707" s="2" t="s">
        <v>14924</v>
      </c>
      <c r="F3707" s="2" t="b">
        <v>1</v>
      </c>
      <c r="G3707" s="2" t="b">
        <v>0</v>
      </c>
      <c r="H3707" s="2" t="s">
        <v>356</v>
      </c>
      <c r="I3707" s="2" t="s">
        <v>32</v>
      </c>
      <c r="J3707" s="2" t="s">
        <v>14925</v>
      </c>
      <c r="K3707" s="2" t="s">
        <v>495</v>
      </c>
      <c r="L3707" s="13" t="s">
        <v>496</v>
      </c>
      <c r="M3707" s="2" t="s">
        <v>26</v>
      </c>
      <c r="N3707" s="29"/>
      <c r="O3707" s="29"/>
      <c r="P3707" s="5" t="str">
        <f>IFERROR(__xludf.DUMMYFUNCTION("TEXTJOIN("" | "",TRUE,IF(OR(D3707="""",E3707="""",I3707="""",J3707="""",H3707=""""),""ফাঁকা ঘর"",""""),IF(AND(C3707&lt;&gt;"""",D3707&lt;&gt;"""",C3707=D3707),""gloss=figurative"",""""),IF(LEN(D3707)&lt;15,""figurative ছোট"",""""),IF(AND(I3707=""Positive"",REGEXMATCH(H3"&amp;"707,""মূর্খ|ভণ্ড|প্রতার|অলস|লোভ|স্বার্থ|অক্ষম|অযোগ্য|বোকা|কৃপণ|হিংস"")),""valence-target অমিল"",""""),IF(COUNTIF($B:$B,B3707)&gt;1,""ডুপ্লিকেট"",""""))"),"")</f>
        <v/>
      </c>
      <c r="Q3707" s="5" t="str">
        <f t="shared" si="1"/>
        <v>২ পরে</v>
      </c>
    </row>
    <row r="3708">
      <c r="A3708" s="4">
        <v>1523.0</v>
      </c>
      <c r="B3708" s="2" t="s">
        <v>14926</v>
      </c>
      <c r="C3708" s="2" t="s">
        <v>14927</v>
      </c>
      <c r="D3708" s="2" t="s">
        <v>14928</v>
      </c>
      <c r="E3708" s="2" t="s">
        <v>14929</v>
      </c>
      <c r="F3708" s="2" t="b">
        <v>1</v>
      </c>
      <c r="G3708" s="2" t="b">
        <v>0</v>
      </c>
      <c r="H3708" s="2" t="s">
        <v>9661</v>
      </c>
      <c r="I3708" s="2" t="s">
        <v>22</v>
      </c>
      <c r="J3708" s="2" t="s">
        <v>14887</v>
      </c>
      <c r="K3708" s="2" t="s">
        <v>495</v>
      </c>
      <c r="L3708" s="13" t="s">
        <v>496</v>
      </c>
      <c r="M3708" s="2" t="s">
        <v>26</v>
      </c>
      <c r="N3708" s="29"/>
      <c r="O3708" s="29"/>
      <c r="P3708" s="5" t="str">
        <f>IFERROR(__xludf.DUMMYFUNCTION("TEXTJOIN("" | "",TRUE,IF(OR(D3708="""",E3708="""",I3708="""",J3708="""",H3708=""""),""ফাঁকা ঘর"",""""),IF(AND(C3708&lt;&gt;"""",D3708&lt;&gt;"""",C3708=D3708),""gloss=figurative"",""""),IF(LEN(D3708)&lt;15,""figurative ছোট"",""""),IF(AND(I3708=""Positive"",REGEXMATCH(H3"&amp;"708,""মূর্খ|ভণ্ড|প্রতার|অলস|লোভ|স্বার্থ|অক্ষম|অযোগ্য|বোকা|কৃপণ|হিংস"")),""valence-target অমিল"",""""),IF(COUNTIF($B:$B,B3708)&gt;1,""ডুপ্লিকেট"",""""))"),"")</f>
        <v/>
      </c>
      <c r="Q3708" s="5" t="str">
        <f t="shared" si="1"/>
        <v>২ পরে</v>
      </c>
    </row>
    <row r="3709">
      <c r="A3709" s="4">
        <v>1524.0</v>
      </c>
      <c r="B3709" s="2" t="s">
        <v>14930</v>
      </c>
      <c r="C3709" s="2" t="s">
        <v>14931</v>
      </c>
      <c r="D3709" s="2" t="s">
        <v>14932</v>
      </c>
      <c r="E3709" s="2" t="s">
        <v>14933</v>
      </c>
      <c r="F3709" s="2" t="b">
        <v>1</v>
      </c>
      <c r="G3709" s="2" t="b">
        <v>0</v>
      </c>
      <c r="H3709" s="2" t="s">
        <v>14934</v>
      </c>
      <c r="I3709" s="2" t="s">
        <v>22</v>
      </c>
      <c r="J3709" s="2" t="s">
        <v>14887</v>
      </c>
      <c r="K3709" s="2" t="s">
        <v>495</v>
      </c>
      <c r="L3709" s="13" t="s">
        <v>496</v>
      </c>
      <c r="M3709" s="2" t="s">
        <v>26</v>
      </c>
      <c r="N3709" s="29"/>
      <c r="O3709" s="29"/>
      <c r="P3709" s="5" t="str">
        <f>IFERROR(__xludf.DUMMYFUNCTION("TEXTJOIN("" | "",TRUE,IF(OR(D3709="""",E3709="""",I3709="""",J3709="""",H3709=""""),""ফাঁকা ঘর"",""""),IF(AND(C3709&lt;&gt;"""",D3709&lt;&gt;"""",C3709=D3709),""gloss=figurative"",""""),IF(LEN(D3709)&lt;15,""figurative ছোট"",""""),IF(AND(I3709=""Positive"",REGEXMATCH(H3"&amp;"709,""মূর্খ|ভণ্ড|প্রতার|অলস|লোভ|স্বার্থ|অক্ষম|অযোগ্য|বোকা|কৃপণ|হিংস"")),""valence-target অমিল"",""""),IF(COUNTIF($B:$B,B3709)&gt;1,""ডুপ্লিকেট"",""""))"),"")</f>
        <v/>
      </c>
      <c r="Q3709" s="5" t="str">
        <f t="shared" si="1"/>
        <v>২ পরে</v>
      </c>
    </row>
    <row r="3710">
      <c r="A3710" s="4">
        <v>1525.0</v>
      </c>
      <c r="B3710" s="2" t="s">
        <v>14935</v>
      </c>
      <c r="C3710" s="2" t="s">
        <v>14936</v>
      </c>
      <c r="D3710" s="2" t="s">
        <v>14937</v>
      </c>
      <c r="E3710" s="2" t="s">
        <v>14938</v>
      </c>
      <c r="F3710" s="2" t="b">
        <v>1</v>
      </c>
      <c r="G3710" s="2" t="b">
        <v>0</v>
      </c>
      <c r="H3710" s="2" t="s">
        <v>14939</v>
      </c>
      <c r="I3710" s="2" t="s">
        <v>32</v>
      </c>
      <c r="J3710" s="2" t="s">
        <v>14940</v>
      </c>
      <c r="K3710" s="2" t="s">
        <v>495</v>
      </c>
      <c r="L3710" s="13" t="s">
        <v>496</v>
      </c>
      <c r="M3710" s="2" t="s">
        <v>26</v>
      </c>
      <c r="N3710" s="29"/>
      <c r="O3710" s="29"/>
      <c r="P3710" s="5" t="str">
        <f>IFERROR(__xludf.DUMMYFUNCTION("TEXTJOIN("" | "",TRUE,IF(OR(D3710="""",E3710="""",I3710="""",J3710="""",H3710=""""),""ফাঁকা ঘর"",""""),IF(AND(C3710&lt;&gt;"""",D3710&lt;&gt;"""",C3710=D3710),""gloss=figurative"",""""),IF(LEN(D3710)&lt;15,""figurative ছোট"",""""),IF(AND(I3710=""Positive"",REGEXMATCH(H3"&amp;"710,""মূর্খ|ভণ্ড|প্রতার|অলস|লোভ|স্বার্থ|অক্ষম|অযোগ্য|বোকা|কৃপণ|হিংস"")),""valence-target অমিল"",""""),IF(COUNTIF($B:$B,B3710)&gt;1,""ডুপ্লিকেট"",""""))"),"")</f>
        <v/>
      </c>
      <c r="Q3710" s="5" t="str">
        <f t="shared" si="1"/>
        <v>২ পরে</v>
      </c>
    </row>
    <row r="3711">
      <c r="A3711" s="4">
        <v>1526.0</v>
      </c>
      <c r="B3711" s="2" t="s">
        <v>14941</v>
      </c>
      <c r="C3711" s="2" t="s">
        <v>14942</v>
      </c>
      <c r="D3711" s="2" t="s">
        <v>14943</v>
      </c>
      <c r="E3711" s="2" t="s">
        <v>14944</v>
      </c>
      <c r="F3711" s="2" t="b">
        <v>1</v>
      </c>
      <c r="G3711" s="2" t="b">
        <v>0</v>
      </c>
      <c r="H3711" s="2" t="s">
        <v>65</v>
      </c>
      <c r="I3711" s="2" t="s">
        <v>22</v>
      </c>
      <c r="J3711" s="2" t="s">
        <v>14945</v>
      </c>
      <c r="K3711" s="2" t="s">
        <v>495</v>
      </c>
      <c r="L3711" s="13" t="s">
        <v>496</v>
      </c>
      <c r="M3711" s="2" t="s">
        <v>26</v>
      </c>
      <c r="N3711" s="29"/>
      <c r="O3711" s="29"/>
      <c r="P3711" s="5" t="str">
        <f>IFERROR(__xludf.DUMMYFUNCTION("TEXTJOIN("" | "",TRUE,IF(OR(D3711="""",E3711="""",I3711="""",J3711="""",H3711=""""),""ফাঁকা ঘর"",""""),IF(AND(C3711&lt;&gt;"""",D3711&lt;&gt;"""",C3711=D3711),""gloss=figurative"",""""),IF(LEN(D3711)&lt;15,""figurative ছোট"",""""),IF(AND(I3711=""Positive"",REGEXMATCH(H3"&amp;"711,""মূর্খ|ভণ্ড|প্রতার|অলস|লোভ|স্বার্থ|অক্ষম|অযোগ্য|বোকা|কৃপণ|হিংস"")),""valence-target অমিল"",""""),IF(COUNTIF($B:$B,B3711)&gt;1,""ডুপ্লিকেট"",""""))"),"")</f>
        <v/>
      </c>
      <c r="Q3711" s="5" t="str">
        <f t="shared" si="1"/>
        <v>২ পরে</v>
      </c>
    </row>
    <row r="3712">
      <c r="A3712" s="4">
        <v>1527.0</v>
      </c>
      <c r="B3712" s="2" t="s">
        <v>14946</v>
      </c>
      <c r="C3712" s="2" t="s">
        <v>14947</v>
      </c>
      <c r="D3712" s="2" t="s">
        <v>14948</v>
      </c>
      <c r="E3712" s="2" t="s">
        <v>14949</v>
      </c>
      <c r="F3712" s="2" t="b">
        <v>1</v>
      </c>
      <c r="G3712" s="2" t="b">
        <v>0</v>
      </c>
      <c r="H3712" s="2" t="s">
        <v>11604</v>
      </c>
      <c r="I3712" s="2" t="s">
        <v>22</v>
      </c>
      <c r="J3712" s="2" t="s">
        <v>14950</v>
      </c>
      <c r="K3712" s="2" t="s">
        <v>495</v>
      </c>
      <c r="L3712" s="13" t="s">
        <v>496</v>
      </c>
      <c r="M3712" s="2" t="s">
        <v>26</v>
      </c>
      <c r="N3712" s="29"/>
      <c r="O3712" s="29"/>
      <c r="P3712" s="5" t="str">
        <f>IFERROR(__xludf.DUMMYFUNCTION("TEXTJOIN("" | "",TRUE,IF(OR(D3712="""",E3712="""",I3712="""",J3712="""",H3712=""""),""ফাঁকা ঘর"",""""),IF(AND(C3712&lt;&gt;"""",D3712&lt;&gt;"""",C3712=D3712),""gloss=figurative"",""""),IF(LEN(D3712)&lt;15,""figurative ছোট"",""""),IF(AND(I3712=""Positive"",REGEXMATCH(H3"&amp;"712,""মূর্খ|ভণ্ড|প্রতার|অলস|লোভ|স্বার্থ|অক্ষম|অযোগ্য|বোকা|কৃপণ|হিংস"")),""valence-target অমিল"",""""),IF(COUNTIF($B:$B,B3712)&gt;1,""ডুপ্লিকেট"",""""))"),"")</f>
        <v/>
      </c>
      <c r="Q3712" s="5" t="str">
        <f t="shared" si="1"/>
        <v>২ পরে</v>
      </c>
    </row>
    <row r="3713">
      <c r="A3713" s="4">
        <v>1528.0</v>
      </c>
      <c r="B3713" s="2" t="s">
        <v>14951</v>
      </c>
      <c r="C3713" s="2" t="s">
        <v>14952</v>
      </c>
      <c r="D3713" s="2" t="s">
        <v>14953</v>
      </c>
      <c r="E3713" s="2" t="s">
        <v>14954</v>
      </c>
      <c r="F3713" s="2" t="b">
        <v>1</v>
      </c>
      <c r="G3713" s="2" t="b">
        <v>0</v>
      </c>
      <c r="H3713" s="2" t="s">
        <v>14955</v>
      </c>
      <c r="I3713" s="2" t="s">
        <v>22</v>
      </c>
      <c r="J3713" s="2" t="s">
        <v>1008</v>
      </c>
      <c r="K3713" s="2" t="s">
        <v>495</v>
      </c>
      <c r="L3713" s="13" t="s">
        <v>496</v>
      </c>
      <c r="M3713" s="2" t="s">
        <v>26</v>
      </c>
      <c r="N3713" s="29"/>
      <c r="O3713" s="29"/>
      <c r="P3713" s="5" t="str">
        <f>IFERROR(__xludf.DUMMYFUNCTION("TEXTJOIN("" | "",TRUE,IF(OR(D3713="""",E3713="""",I3713="""",J3713="""",H3713=""""),""ফাঁকা ঘর"",""""),IF(AND(C3713&lt;&gt;"""",D3713&lt;&gt;"""",C3713=D3713),""gloss=figurative"",""""),IF(LEN(D3713)&lt;15,""figurative ছোট"",""""),IF(AND(I3713=""Positive"",REGEXMATCH(H3"&amp;"713,""মূর্খ|ভণ্ড|প্রতার|অলস|লোভ|স্বার্থ|অক্ষম|অযোগ্য|বোকা|কৃপণ|হিংস"")),""valence-target অমিল"",""""),IF(COUNTIF($B:$B,B3713)&gt;1,""ডুপ্লিকেট"",""""))"),"")</f>
        <v/>
      </c>
      <c r="Q3713" s="5" t="str">
        <f t="shared" si="1"/>
        <v>২ পরে</v>
      </c>
    </row>
    <row r="3714">
      <c r="A3714" s="4">
        <v>1529.0</v>
      </c>
      <c r="B3714" s="2" t="s">
        <v>14956</v>
      </c>
      <c r="C3714" s="2" t="s">
        <v>14957</v>
      </c>
      <c r="D3714" s="2" t="s">
        <v>14958</v>
      </c>
      <c r="E3714" s="2" t="s">
        <v>14959</v>
      </c>
      <c r="F3714" s="2" t="b">
        <v>1</v>
      </c>
      <c r="G3714" s="2" t="b">
        <v>0</v>
      </c>
      <c r="H3714" s="2" t="s">
        <v>14960</v>
      </c>
      <c r="I3714" s="2" t="s">
        <v>22</v>
      </c>
      <c r="J3714" s="2" t="s">
        <v>43</v>
      </c>
      <c r="K3714" s="2" t="s">
        <v>495</v>
      </c>
      <c r="L3714" s="13" t="s">
        <v>496</v>
      </c>
      <c r="M3714" s="2" t="s">
        <v>26</v>
      </c>
      <c r="N3714" s="29"/>
      <c r="O3714" s="29"/>
      <c r="P3714" s="5" t="str">
        <f>IFERROR(__xludf.DUMMYFUNCTION("TEXTJOIN("" | "",TRUE,IF(OR(D3714="""",E3714="""",I3714="""",J3714="""",H3714=""""),""ফাঁকা ঘর"",""""),IF(AND(C3714&lt;&gt;"""",D3714&lt;&gt;"""",C3714=D3714),""gloss=figurative"",""""),IF(LEN(D3714)&lt;15,""figurative ছোট"",""""),IF(AND(I3714=""Positive"",REGEXMATCH(H3"&amp;"714,""মূর্খ|ভণ্ড|প্রতার|অলস|লোভ|স্বার্থ|অক্ষম|অযোগ্য|বোকা|কৃপণ|হিংস"")),""valence-target অমিল"",""""),IF(COUNTIF($B:$B,B3714)&gt;1,""ডুপ্লিকেট"",""""))"),"")</f>
        <v/>
      </c>
      <c r="Q3714" s="5" t="str">
        <f t="shared" si="1"/>
        <v>২ পরে</v>
      </c>
    </row>
    <row r="3715">
      <c r="A3715" s="4">
        <v>1530.0</v>
      </c>
      <c r="B3715" s="2" t="s">
        <v>14961</v>
      </c>
      <c r="C3715" s="2" t="s">
        <v>14962</v>
      </c>
      <c r="D3715" s="2" t="s">
        <v>14963</v>
      </c>
      <c r="E3715" s="2" t="s">
        <v>14964</v>
      </c>
      <c r="F3715" s="2" t="b">
        <v>1</v>
      </c>
      <c r="G3715" s="2" t="b">
        <v>1</v>
      </c>
      <c r="H3715" s="2" t="s">
        <v>14965</v>
      </c>
      <c r="I3715" s="2" t="s">
        <v>22</v>
      </c>
      <c r="J3715" s="2" t="s">
        <v>1315</v>
      </c>
      <c r="K3715" s="2" t="s">
        <v>495</v>
      </c>
      <c r="L3715" s="13" t="s">
        <v>496</v>
      </c>
      <c r="M3715" s="2" t="s">
        <v>26</v>
      </c>
      <c r="N3715" s="29"/>
      <c r="O3715" s="29"/>
      <c r="P3715" s="5" t="str">
        <f>IFERROR(__xludf.DUMMYFUNCTION("TEXTJOIN("" | "",TRUE,IF(OR(D3715="""",E3715="""",I3715="""",J3715="""",H3715=""""),""ফাঁকা ঘর"",""""),IF(AND(C3715&lt;&gt;"""",D3715&lt;&gt;"""",C3715=D3715),""gloss=figurative"",""""),IF(LEN(D3715)&lt;15,""figurative ছোট"",""""),IF(AND(I3715=""Positive"",REGEXMATCH(H3"&amp;"715,""মূর্খ|ভণ্ড|প্রতার|অলস|লোভ|স্বার্থ|অক্ষম|অযোগ্য|বোকা|কৃপণ|হিংস"")),""valence-target অমিল"",""""),IF(COUNTIF($B:$B,B3715)&gt;1,""ডুপ্লিকেট"",""""))"),"")</f>
        <v/>
      </c>
      <c r="Q3715" s="5" t="str">
        <f t="shared" si="1"/>
        <v>২ পরে</v>
      </c>
    </row>
    <row r="3716">
      <c r="A3716" s="4">
        <v>1531.0</v>
      </c>
      <c r="B3716" s="2" t="s">
        <v>14966</v>
      </c>
      <c r="C3716" s="2" t="s">
        <v>14967</v>
      </c>
      <c r="D3716" s="2" t="s">
        <v>14968</v>
      </c>
      <c r="E3716" s="2" t="s">
        <v>14969</v>
      </c>
      <c r="F3716" s="2" t="b">
        <v>1</v>
      </c>
      <c r="G3716" s="2" t="b">
        <v>1</v>
      </c>
      <c r="H3716" s="2" t="s">
        <v>14970</v>
      </c>
      <c r="I3716" s="2" t="s">
        <v>22</v>
      </c>
      <c r="J3716" s="2" t="s">
        <v>14971</v>
      </c>
      <c r="K3716" s="2" t="s">
        <v>495</v>
      </c>
      <c r="L3716" s="13" t="s">
        <v>496</v>
      </c>
      <c r="M3716" s="2" t="s">
        <v>26</v>
      </c>
      <c r="N3716" s="29"/>
      <c r="O3716" s="29"/>
      <c r="P3716" s="5" t="str">
        <f>IFERROR(__xludf.DUMMYFUNCTION("TEXTJOIN("" | "",TRUE,IF(OR(D3716="""",E3716="""",I3716="""",J3716="""",H3716=""""),""ফাঁকা ঘর"",""""),IF(AND(C3716&lt;&gt;"""",D3716&lt;&gt;"""",C3716=D3716),""gloss=figurative"",""""),IF(LEN(D3716)&lt;15,""figurative ছোট"",""""),IF(AND(I3716=""Positive"",REGEXMATCH(H3"&amp;"716,""মূর্খ|ভণ্ড|প্রতার|অলস|লোভ|স্বার্থ|অক্ষম|অযোগ্য|বোকা|কৃপণ|হিংস"")),""valence-target অমিল"",""""),IF(COUNTIF($B:$B,B3716)&gt;1,""ডুপ্লিকেট"",""""))"),"")</f>
        <v/>
      </c>
      <c r="Q3716" s="5" t="str">
        <f t="shared" si="1"/>
        <v>২ পরে</v>
      </c>
    </row>
    <row r="3717">
      <c r="A3717" s="4">
        <v>1532.0</v>
      </c>
      <c r="B3717" s="2" t="s">
        <v>10940</v>
      </c>
      <c r="C3717" s="2" t="s">
        <v>14972</v>
      </c>
      <c r="D3717" s="2" t="s">
        <v>14973</v>
      </c>
      <c r="E3717" s="2" t="s">
        <v>14974</v>
      </c>
      <c r="F3717" s="2" t="b">
        <v>1</v>
      </c>
      <c r="G3717" s="2" t="b">
        <v>0</v>
      </c>
      <c r="H3717" s="2" t="s">
        <v>14975</v>
      </c>
      <c r="I3717" s="2" t="s">
        <v>22</v>
      </c>
      <c r="J3717" s="2" t="s">
        <v>43</v>
      </c>
      <c r="K3717" s="2" t="s">
        <v>495</v>
      </c>
      <c r="L3717" s="13" t="s">
        <v>496</v>
      </c>
      <c r="M3717" s="2" t="s">
        <v>26</v>
      </c>
      <c r="N3717" s="29"/>
      <c r="O3717" s="29"/>
      <c r="P3717" s="5" t="str">
        <f>IFERROR(__xludf.DUMMYFUNCTION("TEXTJOIN("" | "",TRUE,IF(OR(D3717="""",E3717="""",I3717="""",J3717="""",H3717=""""),""ফাঁকা ঘর"",""""),IF(AND(C3717&lt;&gt;"""",D3717&lt;&gt;"""",C3717=D3717),""gloss=figurative"",""""),IF(LEN(D3717)&lt;15,""figurative ছোট"",""""),IF(AND(I3717=""Positive"",REGEXMATCH(H3"&amp;"717,""মূর্খ|ভণ্ড|প্রতার|অলস|লোভ|স্বার্থ|অক্ষম|অযোগ্য|বোকা|কৃপণ|হিংস"")),""valence-target অমিল"",""""),IF(COUNTIF($B:$B,B3717)&gt;1,""ডুপ্লিকেট"",""""))"),"")</f>
        <v/>
      </c>
      <c r="Q3717" s="5" t="str">
        <f t="shared" si="1"/>
        <v>২ পরে</v>
      </c>
    </row>
    <row r="3718">
      <c r="A3718" s="4">
        <v>1533.0</v>
      </c>
      <c r="B3718" s="2" t="s">
        <v>14976</v>
      </c>
      <c r="C3718" s="2" t="s">
        <v>14977</v>
      </c>
      <c r="D3718" s="2" t="s">
        <v>14978</v>
      </c>
      <c r="E3718" s="2" t="s">
        <v>14979</v>
      </c>
      <c r="F3718" s="2" t="b">
        <v>1</v>
      </c>
      <c r="G3718" s="2" t="b">
        <v>0</v>
      </c>
      <c r="H3718" s="2" t="s">
        <v>14980</v>
      </c>
      <c r="I3718" s="2" t="s">
        <v>22</v>
      </c>
      <c r="J3718" s="2" t="s">
        <v>43</v>
      </c>
      <c r="K3718" s="2" t="s">
        <v>495</v>
      </c>
      <c r="L3718" s="13" t="s">
        <v>496</v>
      </c>
      <c r="M3718" s="2" t="s">
        <v>26</v>
      </c>
      <c r="N3718" s="29"/>
      <c r="O3718" s="29"/>
      <c r="P3718" s="5" t="str">
        <f>IFERROR(__xludf.DUMMYFUNCTION("TEXTJOIN("" | "",TRUE,IF(OR(D3718="""",E3718="""",I3718="""",J3718="""",H3718=""""),""ফাঁকা ঘর"",""""),IF(AND(C3718&lt;&gt;"""",D3718&lt;&gt;"""",C3718=D3718),""gloss=figurative"",""""),IF(LEN(D3718)&lt;15,""figurative ছোট"",""""),IF(AND(I3718=""Positive"",REGEXMATCH(H3"&amp;"718,""মূর্খ|ভণ্ড|প্রতার|অলস|লোভ|স্বার্থ|অক্ষম|অযোগ্য|বোকা|কৃপণ|হিংস"")),""valence-target অমিল"",""""),IF(COUNTIF($B:$B,B3718)&gt;1,""ডুপ্লিকেট"",""""))"),"")</f>
        <v/>
      </c>
      <c r="Q3718" s="5" t="str">
        <f t="shared" si="1"/>
        <v>২ পরে</v>
      </c>
    </row>
    <row r="3719">
      <c r="A3719" s="4">
        <v>1534.0</v>
      </c>
      <c r="B3719" s="2" t="s">
        <v>14981</v>
      </c>
      <c r="C3719" s="2" t="s">
        <v>14982</v>
      </c>
      <c r="D3719" s="2" t="s">
        <v>14983</v>
      </c>
      <c r="E3719" s="2" t="s">
        <v>14984</v>
      </c>
      <c r="F3719" s="2" t="b">
        <v>1</v>
      </c>
      <c r="G3719" s="2" t="b">
        <v>0</v>
      </c>
      <c r="H3719" s="2" t="s">
        <v>14985</v>
      </c>
      <c r="I3719" s="2" t="s">
        <v>32</v>
      </c>
      <c r="J3719" s="2" t="s">
        <v>1221</v>
      </c>
      <c r="K3719" s="2" t="s">
        <v>495</v>
      </c>
      <c r="L3719" s="13" t="s">
        <v>496</v>
      </c>
      <c r="M3719" s="2" t="s">
        <v>26</v>
      </c>
      <c r="N3719" s="29"/>
      <c r="O3719" s="29"/>
      <c r="P3719" s="5" t="str">
        <f>IFERROR(__xludf.DUMMYFUNCTION("TEXTJOIN("" | "",TRUE,IF(OR(D3719="""",E3719="""",I3719="""",J3719="""",H3719=""""),""ফাঁকা ঘর"",""""),IF(AND(C3719&lt;&gt;"""",D3719&lt;&gt;"""",C3719=D3719),""gloss=figurative"",""""),IF(LEN(D3719)&lt;15,""figurative ছোট"",""""),IF(AND(I3719=""Positive"",REGEXMATCH(H3"&amp;"719,""মূর্খ|ভণ্ড|প্রতার|অলস|লোভ|স্বার্থ|অক্ষম|অযোগ্য|বোকা|কৃপণ|হিংস"")),""valence-target অমিল"",""""),IF(COUNTIF($B:$B,B3719)&gt;1,""ডুপ্লিকেট"",""""))"),"")</f>
        <v/>
      </c>
      <c r="Q3719" s="5" t="str">
        <f t="shared" si="1"/>
        <v>২ পরে</v>
      </c>
    </row>
    <row r="3720">
      <c r="A3720" s="4">
        <v>1535.0</v>
      </c>
      <c r="B3720" s="2" t="s">
        <v>14986</v>
      </c>
      <c r="C3720" s="2" t="s">
        <v>14987</v>
      </c>
      <c r="D3720" s="2" t="s">
        <v>14988</v>
      </c>
      <c r="E3720" s="2" t="s">
        <v>14989</v>
      </c>
      <c r="F3720" s="2" t="b">
        <v>1</v>
      </c>
      <c r="G3720" s="2" t="b">
        <v>0</v>
      </c>
      <c r="H3720" s="2" t="s">
        <v>14990</v>
      </c>
      <c r="I3720" s="2" t="s">
        <v>22</v>
      </c>
      <c r="J3720" s="2" t="s">
        <v>43</v>
      </c>
      <c r="K3720" s="2" t="s">
        <v>495</v>
      </c>
      <c r="L3720" s="13" t="s">
        <v>496</v>
      </c>
      <c r="M3720" s="2" t="s">
        <v>26</v>
      </c>
      <c r="N3720" s="29"/>
      <c r="O3720" s="29"/>
      <c r="P3720" s="5" t="str">
        <f>IFERROR(__xludf.DUMMYFUNCTION("TEXTJOIN("" | "",TRUE,IF(OR(D3720="""",E3720="""",I3720="""",J3720="""",H3720=""""),""ফাঁকা ঘর"",""""),IF(AND(C3720&lt;&gt;"""",D3720&lt;&gt;"""",C3720=D3720),""gloss=figurative"",""""),IF(LEN(D3720)&lt;15,""figurative ছোট"",""""),IF(AND(I3720=""Positive"",REGEXMATCH(H3"&amp;"720,""মূর্খ|ভণ্ড|প্রতার|অলস|লোভ|স্বার্থ|অক্ষম|অযোগ্য|বোকা|কৃপণ|হিংস"")),""valence-target অমিল"",""""),IF(COUNTIF($B:$B,B3720)&gt;1,""ডুপ্লিকেট"",""""))"),"")</f>
        <v/>
      </c>
      <c r="Q3720" s="5" t="str">
        <f t="shared" si="1"/>
        <v>২ পরে</v>
      </c>
    </row>
    <row r="3721">
      <c r="A3721" s="4">
        <v>1536.0</v>
      </c>
      <c r="B3721" s="2" t="s">
        <v>14991</v>
      </c>
      <c r="C3721" s="2" t="s">
        <v>14992</v>
      </c>
      <c r="D3721" s="2" t="s">
        <v>14993</v>
      </c>
      <c r="E3721" s="2" t="s">
        <v>14994</v>
      </c>
      <c r="F3721" s="2" t="b">
        <v>1</v>
      </c>
      <c r="G3721" s="2" t="b">
        <v>1</v>
      </c>
      <c r="H3721" s="2" t="s">
        <v>14995</v>
      </c>
      <c r="I3721" s="2" t="s">
        <v>22</v>
      </c>
      <c r="J3721" s="2" t="s">
        <v>11317</v>
      </c>
      <c r="K3721" s="2" t="s">
        <v>495</v>
      </c>
      <c r="L3721" s="13" t="s">
        <v>496</v>
      </c>
      <c r="M3721" s="2" t="s">
        <v>26</v>
      </c>
      <c r="N3721" s="29"/>
      <c r="O3721" s="29"/>
      <c r="P3721" s="5" t="str">
        <f>IFERROR(__xludf.DUMMYFUNCTION("TEXTJOIN("" | "",TRUE,IF(OR(D3721="""",E3721="""",I3721="""",J3721="""",H3721=""""),""ফাঁকা ঘর"",""""),IF(AND(C3721&lt;&gt;"""",D3721&lt;&gt;"""",C3721=D3721),""gloss=figurative"",""""),IF(LEN(D3721)&lt;15,""figurative ছোট"",""""),IF(AND(I3721=""Positive"",REGEXMATCH(H3"&amp;"721,""মূর্খ|ভণ্ড|প্রতার|অলস|লোভ|স্বার্থ|অক্ষম|অযোগ্য|বোকা|কৃপণ|হিংস"")),""valence-target অমিল"",""""),IF(COUNTIF($B:$B,B3721)&gt;1,""ডুপ্লিকেট"",""""))"),"")</f>
        <v/>
      </c>
      <c r="Q3721" s="5" t="str">
        <f t="shared" si="1"/>
        <v>২ পরে</v>
      </c>
    </row>
    <row r="3722">
      <c r="A3722" s="4">
        <v>1537.0</v>
      </c>
      <c r="B3722" s="2" t="s">
        <v>14996</v>
      </c>
      <c r="C3722" s="2" t="s">
        <v>14997</v>
      </c>
      <c r="D3722" s="2" t="s">
        <v>14998</v>
      </c>
      <c r="E3722" s="2" t="s">
        <v>14999</v>
      </c>
      <c r="F3722" s="2" t="b">
        <v>1</v>
      </c>
      <c r="G3722" s="2" t="b">
        <v>0</v>
      </c>
      <c r="H3722" s="2" t="s">
        <v>7463</v>
      </c>
      <c r="I3722" s="2" t="s">
        <v>49</v>
      </c>
      <c r="J3722" s="2" t="s">
        <v>2165</v>
      </c>
      <c r="K3722" s="2" t="s">
        <v>495</v>
      </c>
      <c r="L3722" s="13" t="s">
        <v>496</v>
      </c>
      <c r="M3722" s="2" t="s">
        <v>26</v>
      </c>
      <c r="N3722" s="29"/>
      <c r="O3722" s="29"/>
      <c r="P3722" s="5" t="str">
        <f>IFERROR(__xludf.DUMMYFUNCTION("TEXTJOIN("" | "",TRUE,IF(OR(D3722="""",E3722="""",I3722="""",J3722="""",H3722=""""),""ফাঁকা ঘর"",""""),IF(AND(C3722&lt;&gt;"""",D3722&lt;&gt;"""",C3722=D3722),""gloss=figurative"",""""),IF(LEN(D3722)&lt;15,""figurative ছোট"",""""),IF(AND(I3722=""Positive"",REGEXMATCH(H3"&amp;"722,""মূর্খ|ভণ্ড|প্রতার|অলস|লোভ|স্বার্থ|অক্ষম|অযোগ্য|বোকা|কৃপণ|হিংস"")),""valence-target অমিল"",""""),IF(COUNTIF($B:$B,B3722)&gt;1,""ডুপ্লিকেট"",""""))"),"")</f>
        <v/>
      </c>
      <c r="Q3722" s="5" t="str">
        <f t="shared" si="1"/>
        <v>২ পরে</v>
      </c>
    </row>
    <row r="3723">
      <c r="A3723" s="4">
        <v>1538.0</v>
      </c>
      <c r="B3723" s="2" t="s">
        <v>15000</v>
      </c>
      <c r="C3723" s="2" t="s">
        <v>15001</v>
      </c>
      <c r="D3723" s="2" t="s">
        <v>15002</v>
      </c>
      <c r="E3723" s="2" t="s">
        <v>15003</v>
      </c>
      <c r="F3723" s="2" t="b">
        <v>1</v>
      </c>
      <c r="G3723" s="2" t="b">
        <v>0</v>
      </c>
      <c r="H3723" s="2" t="s">
        <v>390</v>
      </c>
      <c r="I3723" s="2" t="s">
        <v>22</v>
      </c>
      <c r="J3723" s="2" t="s">
        <v>836</v>
      </c>
      <c r="K3723" s="2" t="s">
        <v>495</v>
      </c>
      <c r="L3723" s="13" t="s">
        <v>496</v>
      </c>
      <c r="M3723" s="2" t="s">
        <v>26</v>
      </c>
      <c r="N3723" s="29"/>
      <c r="O3723" s="29"/>
      <c r="P3723" s="5" t="str">
        <f>IFERROR(__xludf.DUMMYFUNCTION("TEXTJOIN("" | "",TRUE,IF(OR(D3723="""",E3723="""",I3723="""",J3723="""",H3723=""""),""ফাঁকা ঘর"",""""),IF(AND(C3723&lt;&gt;"""",D3723&lt;&gt;"""",C3723=D3723),""gloss=figurative"",""""),IF(LEN(D3723)&lt;15,""figurative ছোট"",""""),IF(AND(I3723=""Positive"",REGEXMATCH(H3"&amp;"723,""মূর্খ|ভণ্ড|প্রতার|অলস|লোভ|স্বার্থ|অক্ষম|অযোগ্য|বোকা|কৃপণ|হিংস"")),""valence-target অমিল"",""""),IF(COUNTIF($B:$B,B3723)&gt;1,""ডুপ্লিকেট"",""""))"),"")</f>
        <v/>
      </c>
      <c r="Q3723" s="5" t="str">
        <f t="shared" si="1"/>
        <v>২ পরে</v>
      </c>
    </row>
    <row r="3724">
      <c r="A3724" s="4">
        <v>1539.0</v>
      </c>
      <c r="B3724" s="2" t="s">
        <v>15004</v>
      </c>
      <c r="C3724" s="2" t="s">
        <v>15005</v>
      </c>
      <c r="D3724" s="2" t="s">
        <v>15006</v>
      </c>
      <c r="E3724" s="2" t="s">
        <v>15007</v>
      </c>
      <c r="F3724" s="2" t="b">
        <v>1</v>
      </c>
      <c r="G3724" s="2" t="b">
        <v>0</v>
      </c>
      <c r="H3724" s="2" t="s">
        <v>15008</v>
      </c>
      <c r="I3724" s="2" t="s">
        <v>22</v>
      </c>
      <c r="J3724" s="2" t="s">
        <v>15009</v>
      </c>
      <c r="K3724" s="2" t="s">
        <v>495</v>
      </c>
      <c r="L3724" s="13" t="s">
        <v>496</v>
      </c>
      <c r="M3724" s="2" t="s">
        <v>26</v>
      </c>
      <c r="N3724" s="29"/>
      <c r="O3724" s="29"/>
      <c r="P3724" s="5" t="str">
        <f>IFERROR(__xludf.DUMMYFUNCTION("TEXTJOIN("" | "",TRUE,IF(OR(D3724="""",E3724="""",I3724="""",J3724="""",H3724=""""),""ফাঁকা ঘর"",""""),IF(AND(C3724&lt;&gt;"""",D3724&lt;&gt;"""",C3724=D3724),""gloss=figurative"",""""),IF(LEN(D3724)&lt;15,""figurative ছোট"",""""),IF(AND(I3724=""Positive"",REGEXMATCH(H3"&amp;"724,""মূর্খ|ভণ্ড|প্রতার|অলস|লোভ|স্বার্থ|অক্ষম|অযোগ্য|বোকা|কৃপণ|হিংস"")),""valence-target অমিল"",""""),IF(COUNTIF($B:$B,B3724)&gt;1,""ডুপ্লিকেট"",""""))"),"")</f>
        <v/>
      </c>
      <c r="Q3724" s="5" t="str">
        <f t="shared" si="1"/>
        <v>২ পরে</v>
      </c>
    </row>
    <row r="3725">
      <c r="A3725" s="4">
        <v>1540.0</v>
      </c>
      <c r="B3725" s="2" t="s">
        <v>15010</v>
      </c>
      <c r="C3725" s="2" t="s">
        <v>15011</v>
      </c>
      <c r="D3725" s="2" t="s">
        <v>15012</v>
      </c>
      <c r="E3725" s="2" t="s">
        <v>15013</v>
      </c>
      <c r="F3725" s="2" t="b">
        <v>1</v>
      </c>
      <c r="G3725" s="2" t="b">
        <v>0</v>
      </c>
      <c r="H3725" s="2" t="s">
        <v>15014</v>
      </c>
      <c r="I3725" s="2" t="s">
        <v>22</v>
      </c>
      <c r="J3725" s="2" t="s">
        <v>15015</v>
      </c>
      <c r="K3725" s="2" t="s">
        <v>495</v>
      </c>
      <c r="L3725" s="13" t="s">
        <v>496</v>
      </c>
      <c r="M3725" s="2" t="s">
        <v>26</v>
      </c>
      <c r="N3725" s="29"/>
      <c r="O3725" s="29"/>
      <c r="P3725" s="5" t="str">
        <f>IFERROR(__xludf.DUMMYFUNCTION("TEXTJOIN("" | "",TRUE,IF(OR(D3725="""",E3725="""",I3725="""",J3725="""",H3725=""""),""ফাঁকা ঘর"",""""),IF(AND(C3725&lt;&gt;"""",D3725&lt;&gt;"""",C3725=D3725),""gloss=figurative"",""""),IF(LEN(D3725)&lt;15,""figurative ছোট"",""""),IF(AND(I3725=""Positive"",REGEXMATCH(H3"&amp;"725,""মূর্খ|ভণ্ড|প্রতার|অলস|লোভ|স্বার্থ|অক্ষম|অযোগ্য|বোকা|কৃপণ|হিংস"")),""valence-target অমিল"",""""),IF(COUNTIF($B:$B,B3725)&gt;1,""ডুপ্লিকেট"",""""))"),"")</f>
        <v/>
      </c>
      <c r="Q3725" s="5" t="str">
        <f t="shared" si="1"/>
        <v>২ পরে</v>
      </c>
    </row>
    <row r="3726">
      <c r="A3726" s="4">
        <v>1541.0</v>
      </c>
      <c r="B3726" s="2" t="s">
        <v>15016</v>
      </c>
      <c r="C3726" s="2" t="s">
        <v>15017</v>
      </c>
      <c r="D3726" s="2" t="s">
        <v>15018</v>
      </c>
      <c r="E3726" s="2" t="s">
        <v>15019</v>
      </c>
      <c r="F3726" s="2" t="b">
        <v>1</v>
      </c>
      <c r="G3726" s="2" t="b">
        <v>0</v>
      </c>
      <c r="H3726" s="2" t="s">
        <v>15020</v>
      </c>
      <c r="I3726" s="2" t="s">
        <v>32</v>
      </c>
      <c r="J3726" s="2" t="s">
        <v>1803</v>
      </c>
      <c r="K3726" s="2" t="s">
        <v>495</v>
      </c>
      <c r="L3726" s="13" t="s">
        <v>496</v>
      </c>
      <c r="M3726" s="2" t="s">
        <v>26</v>
      </c>
      <c r="N3726" s="29"/>
      <c r="O3726" s="29"/>
      <c r="P3726" s="5" t="str">
        <f>IFERROR(__xludf.DUMMYFUNCTION("TEXTJOIN("" | "",TRUE,IF(OR(D3726="""",E3726="""",I3726="""",J3726="""",H3726=""""),""ফাঁকা ঘর"",""""),IF(AND(C3726&lt;&gt;"""",D3726&lt;&gt;"""",C3726=D3726),""gloss=figurative"",""""),IF(LEN(D3726)&lt;15,""figurative ছোট"",""""),IF(AND(I3726=""Positive"",REGEXMATCH(H3"&amp;"726,""মূর্খ|ভণ্ড|প্রতার|অলস|লোভ|স্বার্থ|অক্ষম|অযোগ্য|বোকা|কৃপণ|হিংস"")),""valence-target অমিল"",""""),IF(COUNTIF($B:$B,B3726)&gt;1,""ডুপ্লিকেট"",""""))"),"")</f>
        <v/>
      </c>
      <c r="Q3726" s="5" t="str">
        <f t="shared" si="1"/>
        <v>২ পরে</v>
      </c>
    </row>
    <row r="3727">
      <c r="A3727" s="4">
        <v>1542.0</v>
      </c>
      <c r="B3727" s="2" t="s">
        <v>15021</v>
      </c>
      <c r="C3727" s="2" t="s">
        <v>15022</v>
      </c>
      <c r="D3727" s="2" t="s">
        <v>15023</v>
      </c>
      <c r="E3727" s="2" t="s">
        <v>15024</v>
      </c>
      <c r="F3727" s="2" t="b">
        <v>1</v>
      </c>
      <c r="G3727" s="2" t="b">
        <v>0</v>
      </c>
      <c r="H3727" s="2" t="s">
        <v>10083</v>
      </c>
      <c r="I3727" s="2" t="s">
        <v>32</v>
      </c>
      <c r="J3727" s="2" t="s">
        <v>15025</v>
      </c>
      <c r="K3727" s="2" t="s">
        <v>495</v>
      </c>
      <c r="L3727" s="13" t="s">
        <v>496</v>
      </c>
      <c r="M3727" s="2" t="s">
        <v>26</v>
      </c>
      <c r="N3727" s="29"/>
      <c r="O3727" s="29"/>
      <c r="P3727" s="5" t="str">
        <f>IFERROR(__xludf.DUMMYFUNCTION("TEXTJOIN("" | "",TRUE,IF(OR(D3727="""",E3727="""",I3727="""",J3727="""",H3727=""""),""ফাঁকা ঘর"",""""),IF(AND(C3727&lt;&gt;"""",D3727&lt;&gt;"""",C3727=D3727),""gloss=figurative"",""""),IF(LEN(D3727)&lt;15,""figurative ছোট"",""""),IF(AND(I3727=""Positive"",REGEXMATCH(H3"&amp;"727,""মূর্খ|ভণ্ড|প্রতার|অলস|লোভ|স্বার্থ|অক্ষম|অযোগ্য|বোকা|কৃপণ|হিংস"")),""valence-target অমিল"",""""),IF(COUNTIF($B:$B,B3727)&gt;1,""ডুপ্লিকেট"",""""))"),"")</f>
        <v/>
      </c>
      <c r="Q3727" s="5" t="str">
        <f t="shared" si="1"/>
        <v>২ পরে</v>
      </c>
    </row>
    <row r="3728">
      <c r="A3728" s="4">
        <v>1543.0</v>
      </c>
      <c r="B3728" s="2" t="s">
        <v>15026</v>
      </c>
      <c r="C3728" s="2" t="s">
        <v>15027</v>
      </c>
      <c r="D3728" s="2" t="s">
        <v>15028</v>
      </c>
      <c r="E3728" s="2" t="s">
        <v>15029</v>
      </c>
      <c r="F3728" s="2" t="b">
        <v>1</v>
      </c>
      <c r="G3728" s="2" t="b">
        <v>0</v>
      </c>
      <c r="H3728" s="2" t="s">
        <v>15020</v>
      </c>
      <c r="I3728" s="2" t="s">
        <v>32</v>
      </c>
      <c r="J3728" s="2" t="s">
        <v>1803</v>
      </c>
      <c r="K3728" s="2" t="s">
        <v>495</v>
      </c>
      <c r="L3728" s="13" t="s">
        <v>496</v>
      </c>
      <c r="M3728" s="2" t="s">
        <v>26</v>
      </c>
      <c r="N3728" s="29"/>
      <c r="O3728" s="29"/>
      <c r="P3728" s="5" t="str">
        <f>IFERROR(__xludf.DUMMYFUNCTION("TEXTJOIN("" | "",TRUE,IF(OR(D3728="""",E3728="""",I3728="""",J3728="""",H3728=""""),""ফাঁকা ঘর"",""""),IF(AND(C3728&lt;&gt;"""",D3728&lt;&gt;"""",C3728=D3728),""gloss=figurative"",""""),IF(LEN(D3728)&lt;15,""figurative ছোট"",""""),IF(AND(I3728=""Positive"",REGEXMATCH(H3"&amp;"728,""মূর্খ|ভণ্ড|প্রতার|অলস|লোভ|স্বার্থ|অক্ষম|অযোগ্য|বোকা|কৃপণ|হিংস"")),""valence-target অমিল"",""""),IF(COUNTIF($B:$B,B3728)&gt;1,""ডুপ্লিকেট"",""""))"),"")</f>
        <v/>
      </c>
      <c r="Q3728" s="5" t="str">
        <f t="shared" si="1"/>
        <v>২ পরে</v>
      </c>
    </row>
    <row r="3729">
      <c r="A3729" s="4">
        <v>1544.0</v>
      </c>
      <c r="B3729" s="2" t="s">
        <v>15030</v>
      </c>
      <c r="C3729" s="2" t="s">
        <v>15031</v>
      </c>
      <c r="D3729" s="2" t="s">
        <v>15032</v>
      </c>
      <c r="E3729" s="2" t="s">
        <v>15033</v>
      </c>
      <c r="F3729" s="2" t="b">
        <v>1</v>
      </c>
      <c r="G3729" s="2" t="b">
        <v>1</v>
      </c>
      <c r="H3729" s="2" t="s">
        <v>15034</v>
      </c>
      <c r="I3729" s="2" t="s">
        <v>22</v>
      </c>
      <c r="J3729" s="2" t="s">
        <v>1315</v>
      </c>
      <c r="K3729" s="2" t="s">
        <v>495</v>
      </c>
      <c r="L3729" s="13" t="s">
        <v>496</v>
      </c>
      <c r="M3729" s="2" t="s">
        <v>26</v>
      </c>
      <c r="N3729" s="29"/>
      <c r="O3729" s="29"/>
      <c r="P3729" s="5" t="str">
        <f>IFERROR(__xludf.DUMMYFUNCTION("TEXTJOIN("" | "",TRUE,IF(OR(D3729="""",E3729="""",I3729="""",J3729="""",H3729=""""),""ফাঁকা ঘর"",""""),IF(AND(C3729&lt;&gt;"""",D3729&lt;&gt;"""",C3729=D3729),""gloss=figurative"",""""),IF(LEN(D3729)&lt;15,""figurative ছোট"",""""),IF(AND(I3729=""Positive"",REGEXMATCH(H3"&amp;"729,""মূর্খ|ভণ্ড|প্রতার|অলস|লোভ|স্বার্থ|অক্ষম|অযোগ্য|বোকা|কৃপণ|হিংস"")),""valence-target অমিল"",""""),IF(COUNTIF($B:$B,B3729)&gt;1,""ডুপ্লিকেট"",""""))"),"")</f>
        <v/>
      </c>
      <c r="Q3729" s="5" t="str">
        <f t="shared" si="1"/>
        <v>২ পরে</v>
      </c>
    </row>
    <row r="3730">
      <c r="A3730" s="4">
        <v>1545.0</v>
      </c>
      <c r="B3730" s="2" t="s">
        <v>15035</v>
      </c>
      <c r="C3730" s="2" t="s">
        <v>15036</v>
      </c>
      <c r="D3730" s="2" t="s">
        <v>15037</v>
      </c>
      <c r="E3730" s="2" t="s">
        <v>15038</v>
      </c>
      <c r="F3730" s="2" t="b">
        <v>1</v>
      </c>
      <c r="G3730" s="2" t="b">
        <v>0</v>
      </c>
      <c r="H3730" s="2" t="s">
        <v>15039</v>
      </c>
      <c r="I3730" s="2" t="s">
        <v>32</v>
      </c>
      <c r="J3730" s="2" t="s">
        <v>3327</v>
      </c>
      <c r="K3730" s="2" t="s">
        <v>495</v>
      </c>
      <c r="L3730" s="13" t="s">
        <v>496</v>
      </c>
      <c r="M3730" s="2" t="s">
        <v>26</v>
      </c>
      <c r="N3730" s="29"/>
      <c r="O3730" s="29"/>
      <c r="P3730" s="5" t="str">
        <f>IFERROR(__xludf.DUMMYFUNCTION("TEXTJOIN("" | "",TRUE,IF(OR(D3730="""",E3730="""",I3730="""",J3730="""",H3730=""""),""ফাঁকা ঘর"",""""),IF(AND(C3730&lt;&gt;"""",D3730&lt;&gt;"""",C3730=D3730),""gloss=figurative"",""""),IF(LEN(D3730)&lt;15,""figurative ছোট"",""""),IF(AND(I3730=""Positive"",REGEXMATCH(H3"&amp;"730,""মূর্খ|ভণ্ড|প্রতার|অলস|লোভ|স্বার্থ|অক্ষম|অযোগ্য|বোকা|কৃপণ|হিংস"")),""valence-target অমিল"",""""),IF(COUNTIF($B:$B,B3730)&gt;1,""ডুপ্লিকেট"",""""))"),"")</f>
        <v/>
      </c>
      <c r="Q3730" s="5" t="str">
        <f t="shared" si="1"/>
        <v>২ পরে</v>
      </c>
    </row>
    <row r="3731">
      <c r="A3731" s="4">
        <v>1546.0</v>
      </c>
      <c r="B3731" s="2" t="s">
        <v>15040</v>
      </c>
      <c r="C3731" s="2" t="s">
        <v>15041</v>
      </c>
      <c r="D3731" s="2" t="s">
        <v>15042</v>
      </c>
      <c r="E3731" s="2" t="s">
        <v>15043</v>
      </c>
      <c r="F3731" s="2" t="b">
        <v>1</v>
      </c>
      <c r="G3731" s="2" t="b">
        <v>0</v>
      </c>
      <c r="H3731" s="2" t="s">
        <v>15008</v>
      </c>
      <c r="I3731" s="2" t="s">
        <v>22</v>
      </c>
      <c r="J3731" s="2" t="s">
        <v>3585</v>
      </c>
      <c r="K3731" s="2" t="s">
        <v>495</v>
      </c>
      <c r="L3731" s="13" t="s">
        <v>496</v>
      </c>
      <c r="M3731" s="2" t="s">
        <v>26</v>
      </c>
      <c r="N3731" s="29"/>
      <c r="O3731" s="29"/>
      <c r="P3731" s="5" t="str">
        <f>IFERROR(__xludf.DUMMYFUNCTION("TEXTJOIN("" | "",TRUE,IF(OR(D3731="""",E3731="""",I3731="""",J3731="""",H3731=""""),""ফাঁকা ঘর"",""""),IF(AND(C3731&lt;&gt;"""",D3731&lt;&gt;"""",C3731=D3731),""gloss=figurative"",""""),IF(LEN(D3731)&lt;15,""figurative ছোট"",""""),IF(AND(I3731=""Positive"",REGEXMATCH(H3"&amp;"731,""মূর্খ|ভণ্ড|প্রতার|অলস|লোভ|স্বার্থ|অক্ষম|অযোগ্য|বোকা|কৃপণ|হিংস"")),""valence-target অমিল"",""""),IF(COUNTIF($B:$B,B3731)&gt;1,""ডুপ্লিকেট"",""""))"),"")</f>
        <v/>
      </c>
      <c r="Q3731" s="5" t="str">
        <f t="shared" si="1"/>
        <v>২ পরে</v>
      </c>
    </row>
    <row r="3732">
      <c r="A3732" s="4">
        <v>1547.0</v>
      </c>
      <c r="B3732" s="2" t="s">
        <v>15044</v>
      </c>
      <c r="C3732" s="2" t="s">
        <v>15045</v>
      </c>
      <c r="D3732" s="2" t="s">
        <v>15046</v>
      </c>
      <c r="E3732" s="2" t="s">
        <v>15047</v>
      </c>
      <c r="F3732" s="2" t="b">
        <v>1</v>
      </c>
      <c r="G3732" s="2" t="b">
        <v>0</v>
      </c>
      <c r="H3732" s="2" t="s">
        <v>15048</v>
      </c>
      <c r="I3732" s="2" t="s">
        <v>32</v>
      </c>
      <c r="J3732" s="2" t="s">
        <v>340</v>
      </c>
      <c r="K3732" s="2" t="s">
        <v>495</v>
      </c>
      <c r="L3732" s="13" t="s">
        <v>496</v>
      </c>
      <c r="M3732" s="2" t="s">
        <v>26</v>
      </c>
      <c r="N3732" s="29"/>
      <c r="O3732" s="29"/>
      <c r="P3732" s="5" t="str">
        <f>IFERROR(__xludf.DUMMYFUNCTION("TEXTJOIN("" | "",TRUE,IF(OR(D3732="""",E3732="""",I3732="""",J3732="""",H3732=""""),""ফাঁকা ঘর"",""""),IF(AND(C3732&lt;&gt;"""",D3732&lt;&gt;"""",C3732=D3732),""gloss=figurative"",""""),IF(LEN(D3732)&lt;15,""figurative ছোট"",""""),IF(AND(I3732=""Positive"",REGEXMATCH(H3"&amp;"732,""মূর্খ|ভণ্ড|প্রতার|অলস|লোভ|স্বার্থ|অক্ষম|অযোগ্য|বোকা|কৃপণ|হিংস"")),""valence-target অমিল"",""""),IF(COUNTIF($B:$B,B3732)&gt;1,""ডুপ্লিকেট"",""""))"),"")</f>
        <v/>
      </c>
      <c r="Q3732" s="5" t="str">
        <f t="shared" si="1"/>
        <v>২ পরে</v>
      </c>
    </row>
    <row r="3733">
      <c r="A3733" s="4">
        <v>1548.0</v>
      </c>
      <c r="B3733" s="2" t="s">
        <v>15049</v>
      </c>
      <c r="C3733" s="2" t="s">
        <v>15050</v>
      </c>
      <c r="D3733" s="2" t="s">
        <v>15051</v>
      </c>
      <c r="E3733" s="2" t="s">
        <v>15052</v>
      </c>
      <c r="F3733" s="2" t="b">
        <v>1</v>
      </c>
      <c r="G3733" s="2" t="b">
        <v>0</v>
      </c>
      <c r="H3733" s="2" t="s">
        <v>15053</v>
      </c>
      <c r="I3733" s="2" t="s">
        <v>22</v>
      </c>
      <c r="J3733" s="2" t="s">
        <v>43</v>
      </c>
      <c r="K3733" s="2" t="s">
        <v>495</v>
      </c>
      <c r="L3733" s="13" t="s">
        <v>496</v>
      </c>
      <c r="M3733" s="2" t="s">
        <v>26</v>
      </c>
      <c r="N3733" s="29"/>
      <c r="O3733" s="29"/>
      <c r="P3733" s="5" t="str">
        <f>IFERROR(__xludf.DUMMYFUNCTION("TEXTJOIN("" | "",TRUE,IF(OR(D3733="""",E3733="""",I3733="""",J3733="""",H3733=""""),""ফাঁকা ঘর"",""""),IF(AND(C3733&lt;&gt;"""",D3733&lt;&gt;"""",C3733=D3733),""gloss=figurative"",""""),IF(LEN(D3733)&lt;15,""figurative ছোট"",""""),IF(AND(I3733=""Positive"",REGEXMATCH(H3"&amp;"733,""মূর্খ|ভণ্ড|প্রতার|অলস|লোভ|স্বার্থ|অক্ষম|অযোগ্য|বোকা|কৃপণ|হিংস"")),""valence-target অমিল"",""""),IF(COUNTIF($B:$B,B3733)&gt;1,""ডুপ্লিকেট"",""""))"),"")</f>
        <v/>
      </c>
      <c r="Q3733" s="5" t="str">
        <f t="shared" si="1"/>
        <v>২ পরে</v>
      </c>
    </row>
    <row r="3734">
      <c r="A3734" s="4">
        <v>1549.0</v>
      </c>
      <c r="B3734" s="2" t="s">
        <v>15054</v>
      </c>
      <c r="C3734" s="2" t="s">
        <v>15055</v>
      </c>
      <c r="D3734" s="2" t="s">
        <v>15056</v>
      </c>
      <c r="E3734" s="2" t="s">
        <v>15057</v>
      </c>
      <c r="F3734" s="2" t="b">
        <v>1</v>
      </c>
      <c r="G3734" s="2" t="b">
        <v>0</v>
      </c>
      <c r="H3734" s="2" t="s">
        <v>14980</v>
      </c>
      <c r="I3734" s="2" t="s">
        <v>22</v>
      </c>
      <c r="J3734" s="2" t="s">
        <v>14208</v>
      </c>
      <c r="K3734" s="2" t="s">
        <v>495</v>
      </c>
      <c r="L3734" s="13" t="s">
        <v>496</v>
      </c>
      <c r="M3734" s="2" t="s">
        <v>26</v>
      </c>
      <c r="N3734" s="29"/>
      <c r="O3734" s="29"/>
      <c r="P3734" s="5" t="str">
        <f>IFERROR(__xludf.DUMMYFUNCTION("TEXTJOIN("" | "",TRUE,IF(OR(D3734="""",E3734="""",I3734="""",J3734="""",H3734=""""),""ফাঁকা ঘর"",""""),IF(AND(C3734&lt;&gt;"""",D3734&lt;&gt;"""",C3734=D3734),""gloss=figurative"",""""),IF(LEN(D3734)&lt;15,""figurative ছোট"",""""),IF(AND(I3734=""Positive"",REGEXMATCH(H3"&amp;"734,""মূর্খ|ভণ্ড|প্রতার|অলস|লোভ|স্বার্থ|অক্ষম|অযোগ্য|বোকা|কৃপণ|হিংস"")),""valence-target অমিল"",""""),IF(COUNTIF($B:$B,B3734)&gt;1,""ডুপ্লিকেট"",""""))"),"")</f>
        <v/>
      </c>
      <c r="Q3734" s="5" t="str">
        <f t="shared" si="1"/>
        <v>২ পরে</v>
      </c>
    </row>
    <row r="3735">
      <c r="A3735" s="4">
        <v>1550.0</v>
      </c>
      <c r="B3735" s="2" t="s">
        <v>15058</v>
      </c>
      <c r="C3735" s="2" t="s">
        <v>15059</v>
      </c>
      <c r="D3735" s="2" t="s">
        <v>15060</v>
      </c>
      <c r="E3735" s="2" t="s">
        <v>15061</v>
      </c>
      <c r="F3735" s="2" t="b">
        <v>1</v>
      </c>
      <c r="G3735" s="2" t="b">
        <v>0</v>
      </c>
      <c r="H3735" s="2" t="s">
        <v>14975</v>
      </c>
      <c r="I3735" s="2" t="s">
        <v>22</v>
      </c>
      <c r="J3735" s="2" t="s">
        <v>2732</v>
      </c>
      <c r="K3735" s="2" t="s">
        <v>495</v>
      </c>
      <c r="L3735" s="13" t="s">
        <v>496</v>
      </c>
      <c r="M3735" s="2" t="s">
        <v>26</v>
      </c>
      <c r="N3735" s="29"/>
      <c r="O3735" s="29"/>
      <c r="P3735" s="5" t="str">
        <f>IFERROR(__xludf.DUMMYFUNCTION("TEXTJOIN("" | "",TRUE,IF(OR(D3735="""",E3735="""",I3735="""",J3735="""",H3735=""""),""ফাঁকা ঘর"",""""),IF(AND(C3735&lt;&gt;"""",D3735&lt;&gt;"""",C3735=D3735),""gloss=figurative"",""""),IF(LEN(D3735)&lt;15,""figurative ছোট"",""""),IF(AND(I3735=""Positive"",REGEXMATCH(H3"&amp;"735,""মূর্খ|ভণ্ড|প্রতার|অলস|লোভ|স্বার্থ|অক্ষম|অযোগ্য|বোকা|কৃপণ|হিংস"")),""valence-target অমিল"",""""),IF(COUNTIF($B:$B,B3735)&gt;1,""ডুপ্লিকেট"",""""))"),"")</f>
        <v/>
      </c>
      <c r="Q3735" s="5" t="str">
        <f t="shared" si="1"/>
        <v>২ পরে</v>
      </c>
    </row>
    <row r="3736">
      <c r="A3736" s="4">
        <v>1551.0</v>
      </c>
      <c r="B3736" s="2" t="s">
        <v>15062</v>
      </c>
      <c r="C3736" s="2" t="s">
        <v>330</v>
      </c>
      <c r="D3736" s="2" t="s">
        <v>15063</v>
      </c>
      <c r="E3736" s="2" t="s">
        <v>15064</v>
      </c>
      <c r="F3736" s="2" t="b">
        <v>1</v>
      </c>
      <c r="G3736" s="2" t="b">
        <v>0</v>
      </c>
      <c r="H3736" s="2" t="s">
        <v>15065</v>
      </c>
      <c r="I3736" s="2" t="s">
        <v>22</v>
      </c>
      <c r="J3736" s="2" t="s">
        <v>15066</v>
      </c>
      <c r="K3736" s="2" t="s">
        <v>495</v>
      </c>
      <c r="L3736" s="13" t="s">
        <v>496</v>
      </c>
      <c r="M3736" s="2" t="s">
        <v>26</v>
      </c>
      <c r="N3736" s="29"/>
      <c r="O3736" s="29"/>
      <c r="P3736" s="5" t="str">
        <f>IFERROR(__xludf.DUMMYFUNCTION("TEXTJOIN("" | "",TRUE,IF(OR(D3736="""",E3736="""",I3736="""",J3736="""",H3736=""""),""ফাঁকা ঘর"",""""),IF(AND(C3736&lt;&gt;"""",D3736&lt;&gt;"""",C3736=D3736),""gloss=figurative"",""""),IF(LEN(D3736)&lt;15,""figurative ছোট"",""""),IF(AND(I3736=""Positive"",REGEXMATCH(H3"&amp;"736,""মূর্খ|ভণ্ড|প্রতার|অলস|লোভ|স্বার্থ|অক্ষম|অযোগ্য|বোকা|কৃপণ|হিংস"")),""valence-target অমিল"",""""),IF(COUNTIF($B:$B,B3736)&gt;1,""ডুপ্লিকেট"",""""))"),"")</f>
        <v/>
      </c>
      <c r="Q3736" s="5" t="str">
        <f t="shared" si="1"/>
        <v>২ পরে</v>
      </c>
    </row>
    <row r="3737">
      <c r="A3737" s="4">
        <v>1552.0</v>
      </c>
      <c r="B3737" s="2" t="s">
        <v>15067</v>
      </c>
      <c r="C3737" s="2" t="s">
        <v>15068</v>
      </c>
      <c r="D3737" s="2" t="s">
        <v>15069</v>
      </c>
      <c r="E3737" s="2" t="s">
        <v>15070</v>
      </c>
      <c r="F3737" s="2" t="b">
        <v>1</v>
      </c>
      <c r="G3737" s="2" t="b">
        <v>0</v>
      </c>
      <c r="H3737" s="2" t="s">
        <v>15071</v>
      </c>
      <c r="I3737" s="2" t="s">
        <v>22</v>
      </c>
      <c r="J3737" s="2" t="s">
        <v>15072</v>
      </c>
      <c r="K3737" s="2" t="s">
        <v>495</v>
      </c>
      <c r="L3737" s="13" t="s">
        <v>496</v>
      </c>
      <c r="M3737" s="2" t="s">
        <v>26</v>
      </c>
      <c r="N3737" s="29"/>
      <c r="O3737" s="29"/>
      <c r="P3737" s="5" t="str">
        <f>IFERROR(__xludf.DUMMYFUNCTION("TEXTJOIN("" | "",TRUE,IF(OR(D3737="""",E3737="""",I3737="""",J3737="""",H3737=""""),""ফাঁকা ঘর"",""""),IF(AND(C3737&lt;&gt;"""",D3737&lt;&gt;"""",C3737=D3737),""gloss=figurative"",""""),IF(LEN(D3737)&lt;15,""figurative ছোট"",""""),IF(AND(I3737=""Positive"",REGEXMATCH(H3"&amp;"737,""মূর্খ|ভণ্ড|প্রতার|অলস|লোভ|স্বার্থ|অক্ষম|অযোগ্য|বোকা|কৃপণ|হিংস"")),""valence-target অমিল"",""""),IF(COUNTIF($B:$B,B3737)&gt;1,""ডুপ্লিকেট"",""""))"),"")</f>
        <v/>
      </c>
      <c r="Q3737" s="5" t="str">
        <f t="shared" si="1"/>
        <v>২ পরে</v>
      </c>
    </row>
    <row r="3738">
      <c r="A3738" s="4">
        <v>1553.0</v>
      </c>
      <c r="B3738" s="2" t="s">
        <v>15073</v>
      </c>
      <c r="C3738" s="2" t="s">
        <v>15074</v>
      </c>
      <c r="D3738" s="2" t="s">
        <v>15075</v>
      </c>
      <c r="E3738" s="2" t="s">
        <v>15076</v>
      </c>
      <c r="F3738" s="2" t="b">
        <v>1</v>
      </c>
      <c r="G3738" s="2" t="b">
        <v>0</v>
      </c>
      <c r="H3738" s="2" t="s">
        <v>15077</v>
      </c>
      <c r="I3738" s="2" t="s">
        <v>22</v>
      </c>
      <c r="J3738" s="2" t="s">
        <v>3585</v>
      </c>
      <c r="K3738" s="2" t="s">
        <v>495</v>
      </c>
      <c r="L3738" s="13" t="s">
        <v>496</v>
      </c>
      <c r="M3738" s="2" t="s">
        <v>26</v>
      </c>
      <c r="N3738" s="29"/>
      <c r="O3738" s="29"/>
      <c r="P3738" s="5" t="str">
        <f>IFERROR(__xludf.DUMMYFUNCTION("TEXTJOIN("" | "",TRUE,IF(OR(D3738="""",E3738="""",I3738="""",J3738="""",H3738=""""),""ফাঁকা ঘর"",""""),IF(AND(C3738&lt;&gt;"""",D3738&lt;&gt;"""",C3738=D3738),""gloss=figurative"",""""),IF(LEN(D3738)&lt;15,""figurative ছোট"",""""),IF(AND(I3738=""Positive"",REGEXMATCH(H3"&amp;"738,""মূর্খ|ভণ্ড|প্রতার|অলস|লোভ|স্বার্থ|অক্ষম|অযোগ্য|বোকা|কৃপণ|হিংস"")),""valence-target অমিল"",""""),IF(COUNTIF($B:$B,B3738)&gt;1,""ডুপ্লিকেট"",""""))"),"")</f>
        <v/>
      </c>
      <c r="Q3738" s="5" t="str">
        <f t="shared" si="1"/>
        <v>২ পরে</v>
      </c>
    </row>
    <row r="3739">
      <c r="A3739" s="4">
        <v>1554.0</v>
      </c>
      <c r="B3739" s="2" t="s">
        <v>15078</v>
      </c>
      <c r="C3739" s="2" t="s">
        <v>15079</v>
      </c>
      <c r="D3739" s="2" t="s">
        <v>15080</v>
      </c>
      <c r="E3739" s="2" t="s">
        <v>15081</v>
      </c>
      <c r="F3739" s="2" t="b">
        <v>1</v>
      </c>
      <c r="G3739" s="2" t="b">
        <v>0</v>
      </c>
      <c r="H3739" s="2" t="s">
        <v>15082</v>
      </c>
      <c r="I3739" s="2" t="s">
        <v>22</v>
      </c>
      <c r="J3739" s="2" t="s">
        <v>1008</v>
      </c>
      <c r="K3739" s="2" t="s">
        <v>495</v>
      </c>
      <c r="L3739" s="13" t="s">
        <v>496</v>
      </c>
      <c r="M3739" s="2" t="s">
        <v>26</v>
      </c>
      <c r="N3739" s="29"/>
      <c r="O3739" s="29"/>
      <c r="P3739" s="5" t="str">
        <f>IFERROR(__xludf.DUMMYFUNCTION("TEXTJOIN("" | "",TRUE,IF(OR(D3739="""",E3739="""",I3739="""",J3739="""",H3739=""""),""ফাঁকা ঘর"",""""),IF(AND(C3739&lt;&gt;"""",D3739&lt;&gt;"""",C3739=D3739),""gloss=figurative"",""""),IF(LEN(D3739)&lt;15,""figurative ছোট"",""""),IF(AND(I3739=""Positive"",REGEXMATCH(H3"&amp;"739,""মূর্খ|ভণ্ড|প্রতার|অলস|লোভ|স্বার্থ|অক্ষম|অযোগ্য|বোকা|কৃপণ|হিংস"")),""valence-target অমিল"",""""),IF(COUNTIF($B:$B,B3739)&gt;1,""ডুপ্লিকেট"",""""))"),"")</f>
        <v/>
      </c>
      <c r="Q3739" s="5" t="str">
        <f t="shared" si="1"/>
        <v>২ পরে</v>
      </c>
    </row>
    <row r="3740">
      <c r="A3740" s="4">
        <v>1555.0</v>
      </c>
      <c r="B3740" s="2" t="s">
        <v>15083</v>
      </c>
      <c r="C3740" s="2" t="s">
        <v>15084</v>
      </c>
      <c r="D3740" s="2" t="s">
        <v>15085</v>
      </c>
      <c r="E3740" s="2" t="s">
        <v>15086</v>
      </c>
      <c r="F3740" s="2" t="b">
        <v>1</v>
      </c>
      <c r="G3740" s="2" t="b">
        <v>0</v>
      </c>
      <c r="H3740" s="2" t="s">
        <v>15087</v>
      </c>
      <c r="I3740" s="2" t="s">
        <v>22</v>
      </c>
      <c r="J3740" s="2" t="s">
        <v>565</v>
      </c>
      <c r="K3740" s="2" t="s">
        <v>495</v>
      </c>
      <c r="L3740" s="13" t="s">
        <v>496</v>
      </c>
      <c r="M3740" s="2" t="s">
        <v>26</v>
      </c>
      <c r="N3740" s="29"/>
      <c r="O3740" s="29"/>
      <c r="P3740" s="5" t="str">
        <f>IFERROR(__xludf.DUMMYFUNCTION("TEXTJOIN("" | "",TRUE,IF(OR(D3740="""",E3740="""",I3740="""",J3740="""",H3740=""""),""ফাঁকা ঘর"",""""),IF(AND(C3740&lt;&gt;"""",D3740&lt;&gt;"""",C3740=D3740),""gloss=figurative"",""""),IF(LEN(D3740)&lt;15,""figurative ছোট"",""""),IF(AND(I3740=""Positive"",REGEXMATCH(H3"&amp;"740,""মূর্খ|ভণ্ড|প্রতার|অলস|লোভ|স্বার্থ|অক্ষম|অযোগ্য|বোকা|কৃপণ|হিংস"")),""valence-target অমিল"",""""),IF(COUNTIF($B:$B,B3740)&gt;1,""ডুপ্লিকেট"",""""))"),"")</f>
        <v/>
      </c>
      <c r="Q3740" s="5" t="str">
        <f t="shared" si="1"/>
        <v>২ পরে</v>
      </c>
    </row>
    <row r="3741">
      <c r="A3741" s="4">
        <v>1556.0</v>
      </c>
      <c r="B3741" s="2" t="s">
        <v>15088</v>
      </c>
      <c r="C3741" s="2" t="s">
        <v>15089</v>
      </c>
      <c r="D3741" s="2" t="s">
        <v>15090</v>
      </c>
      <c r="E3741" s="2" t="s">
        <v>15091</v>
      </c>
      <c r="F3741" s="2" t="b">
        <v>1</v>
      </c>
      <c r="G3741" s="2" t="b">
        <v>0</v>
      </c>
      <c r="H3741" s="2" t="s">
        <v>15092</v>
      </c>
      <c r="I3741" s="2" t="s">
        <v>22</v>
      </c>
      <c r="J3741" s="2" t="s">
        <v>43</v>
      </c>
      <c r="K3741" s="2" t="s">
        <v>495</v>
      </c>
      <c r="L3741" s="13" t="s">
        <v>496</v>
      </c>
      <c r="M3741" s="2" t="s">
        <v>26</v>
      </c>
      <c r="N3741" s="29"/>
      <c r="O3741" s="29"/>
      <c r="P3741" s="5" t="str">
        <f>IFERROR(__xludf.DUMMYFUNCTION("TEXTJOIN("" | "",TRUE,IF(OR(D3741="""",E3741="""",I3741="""",J3741="""",H3741=""""),""ফাঁকা ঘর"",""""),IF(AND(C3741&lt;&gt;"""",D3741&lt;&gt;"""",C3741=D3741),""gloss=figurative"",""""),IF(LEN(D3741)&lt;15,""figurative ছোট"",""""),IF(AND(I3741=""Positive"",REGEXMATCH(H3"&amp;"741,""মূর্খ|ভণ্ড|প্রতার|অলস|লোভ|স্বার্থ|অক্ষম|অযোগ্য|বোকা|কৃপণ|হিংস"")),""valence-target অমিল"",""""),IF(COUNTIF($B:$B,B3741)&gt;1,""ডুপ্লিকেট"",""""))"),"")</f>
        <v/>
      </c>
      <c r="Q3741" s="5" t="str">
        <f t="shared" si="1"/>
        <v>২ পরে</v>
      </c>
    </row>
    <row r="3742">
      <c r="A3742" s="4">
        <v>1557.0</v>
      </c>
      <c r="B3742" s="2" t="s">
        <v>15093</v>
      </c>
      <c r="C3742" s="2" t="s">
        <v>15094</v>
      </c>
      <c r="D3742" s="2" t="s">
        <v>15095</v>
      </c>
      <c r="E3742" s="2" t="s">
        <v>15096</v>
      </c>
      <c r="F3742" s="2" t="b">
        <v>1</v>
      </c>
      <c r="G3742" s="2" t="b">
        <v>0</v>
      </c>
      <c r="H3742" s="2" t="s">
        <v>15097</v>
      </c>
      <c r="I3742" s="2" t="s">
        <v>22</v>
      </c>
      <c r="J3742" s="2" t="s">
        <v>1008</v>
      </c>
      <c r="K3742" s="2" t="s">
        <v>495</v>
      </c>
      <c r="L3742" s="13" t="s">
        <v>496</v>
      </c>
      <c r="M3742" s="2" t="s">
        <v>26</v>
      </c>
      <c r="N3742" s="29"/>
      <c r="O3742" s="29"/>
      <c r="P3742" s="5" t="str">
        <f>IFERROR(__xludf.DUMMYFUNCTION("TEXTJOIN("" | "",TRUE,IF(OR(D3742="""",E3742="""",I3742="""",J3742="""",H3742=""""),""ফাঁকা ঘর"",""""),IF(AND(C3742&lt;&gt;"""",D3742&lt;&gt;"""",C3742=D3742),""gloss=figurative"",""""),IF(LEN(D3742)&lt;15,""figurative ছোট"",""""),IF(AND(I3742=""Positive"",REGEXMATCH(H3"&amp;"742,""মূর্খ|ভণ্ড|প্রতার|অলস|লোভ|স্বার্থ|অক্ষম|অযোগ্য|বোকা|কৃপণ|হিংস"")),""valence-target অমিল"",""""),IF(COUNTIF($B:$B,B3742)&gt;1,""ডুপ্লিকেট"",""""))"),"")</f>
        <v/>
      </c>
      <c r="Q3742" s="5" t="str">
        <f t="shared" si="1"/>
        <v>২ পরে</v>
      </c>
    </row>
    <row r="3743">
      <c r="A3743" s="4">
        <v>1558.0</v>
      </c>
      <c r="B3743" s="2" t="s">
        <v>15098</v>
      </c>
      <c r="C3743" s="2" t="s">
        <v>15099</v>
      </c>
      <c r="D3743" s="2" t="s">
        <v>15100</v>
      </c>
      <c r="E3743" s="2" t="s">
        <v>15101</v>
      </c>
      <c r="F3743" s="2" t="b">
        <v>1</v>
      </c>
      <c r="G3743" s="2" t="b">
        <v>0</v>
      </c>
      <c r="H3743" s="2" t="s">
        <v>15087</v>
      </c>
      <c r="I3743" s="2" t="s">
        <v>22</v>
      </c>
      <c r="J3743" s="2" t="s">
        <v>3585</v>
      </c>
      <c r="K3743" s="2" t="s">
        <v>495</v>
      </c>
      <c r="L3743" s="13" t="s">
        <v>496</v>
      </c>
      <c r="M3743" s="2" t="s">
        <v>26</v>
      </c>
      <c r="N3743" s="29"/>
      <c r="O3743" s="29"/>
      <c r="P3743" s="5" t="str">
        <f>IFERROR(__xludf.DUMMYFUNCTION("TEXTJOIN("" | "",TRUE,IF(OR(D3743="""",E3743="""",I3743="""",J3743="""",H3743=""""),""ফাঁকা ঘর"",""""),IF(AND(C3743&lt;&gt;"""",D3743&lt;&gt;"""",C3743=D3743),""gloss=figurative"",""""),IF(LEN(D3743)&lt;15,""figurative ছোট"",""""),IF(AND(I3743=""Positive"",REGEXMATCH(H3"&amp;"743,""মূর্খ|ভণ্ড|প্রতার|অলস|লোভ|স্বার্থ|অক্ষম|অযোগ্য|বোকা|কৃপণ|হিংস"")),""valence-target অমিল"",""""),IF(COUNTIF($B:$B,B3743)&gt;1,""ডুপ্লিকেট"",""""))"),"")</f>
        <v/>
      </c>
      <c r="Q3743" s="5" t="str">
        <f t="shared" si="1"/>
        <v>২ পরে</v>
      </c>
    </row>
    <row r="3744">
      <c r="A3744" s="4">
        <v>1559.0</v>
      </c>
      <c r="B3744" s="2" t="s">
        <v>15102</v>
      </c>
      <c r="C3744" s="2" t="s">
        <v>15103</v>
      </c>
      <c r="D3744" s="2" t="s">
        <v>15104</v>
      </c>
      <c r="E3744" s="2" t="s">
        <v>15105</v>
      </c>
      <c r="F3744" s="2" t="b">
        <v>1</v>
      </c>
      <c r="G3744" s="2" t="b">
        <v>0</v>
      </c>
      <c r="H3744" s="2" t="s">
        <v>65</v>
      </c>
      <c r="I3744" s="2" t="s">
        <v>22</v>
      </c>
      <c r="J3744" s="2" t="s">
        <v>750</v>
      </c>
      <c r="K3744" s="2" t="s">
        <v>495</v>
      </c>
      <c r="L3744" s="13" t="s">
        <v>496</v>
      </c>
      <c r="M3744" s="2" t="s">
        <v>26</v>
      </c>
      <c r="N3744" s="29"/>
      <c r="O3744" s="29"/>
      <c r="P3744" s="5" t="str">
        <f>IFERROR(__xludf.DUMMYFUNCTION("TEXTJOIN("" | "",TRUE,IF(OR(D3744="""",E3744="""",I3744="""",J3744="""",H3744=""""),""ফাঁকা ঘর"",""""),IF(AND(C3744&lt;&gt;"""",D3744&lt;&gt;"""",C3744=D3744),""gloss=figurative"",""""),IF(LEN(D3744)&lt;15,""figurative ছোট"",""""),IF(AND(I3744=""Positive"",REGEXMATCH(H3"&amp;"744,""মূর্খ|ভণ্ড|প্রতার|অলস|লোভ|স্বার্থ|অক্ষম|অযোগ্য|বোকা|কৃপণ|হিংস"")),""valence-target অমিল"",""""),IF(COUNTIF($B:$B,B3744)&gt;1,""ডুপ্লিকেট"",""""))"),"")</f>
        <v/>
      </c>
      <c r="Q3744" s="5" t="str">
        <f t="shared" si="1"/>
        <v>২ পরে</v>
      </c>
    </row>
    <row r="3745">
      <c r="A3745" s="4">
        <v>1560.0</v>
      </c>
      <c r="B3745" s="2" t="s">
        <v>15106</v>
      </c>
      <c r="C3745" s="2" t="s">
        <v>15107</v>
      </c>
      <c r="D3745" s="2" t="s">
        <v>15108</v>
      </c>
      <c r="E3745" s="2" t="s">
        <v>15109</v>
      </c>
      <c r="F3745" s="2" t="b">
        <v>1</v>
      </c>
      <c r="G3745" s="2" t="b">
        <v>0</v>
      </c>
      <c r="H3745" s="2" t="s">
        <v>15110</v>
      </c>
      <c r="I3745" s="2" t="s">
        <v>22</v>
      </c>
      <c r="J3745" s="2" t="s">
        <v>14945</v>
      </c>
      <c r="K3745" s="2" t="s">
        <v>495</v>
      </c>
      <c r="L3745" s="13" t="s">
        <v>496</v>
      </c>
      <c r="M3745" s="2" t="s">
        <v>26</v>
      </c>
      <c r="N3745" s="29"/>
      <c r="O3745" s="29"/>
      <c r="P3745" s="5" t="str">
        <f>IFERROR(__xludf.DUMMYFUNCTION("TEXTJOIN("" | "",TRUE,IF(OR(D3745="""",E3745="""",I3745="""",J3745="""",H3745=""""),""ফাঁকা ঘর"",""""),IF(AND(C3745&lt;&gt;"""",D3745&lt;&gt;"""",C3745=D3745),""gloss=figurative"",""""),IF(LEN(D3745)&lt;15,""figurative ছোট"",""""),IF(AND(I3745=""Positive"",REGEXMATCH(H3"&amp;"745,""মূর্খ|ভণ্ড|প্রতার|অলস|লোভ|স্বার্থ|অক্ষম|অযোগ্য|বোকা|কৃপণ|হিংস"")),""valence-target অমিল"",""""),IF(COUNTIF($B:$B,B3745)&gt;1,""ডুপ্লিকেট"",""""))"),"")</f>
        <v/>
      </c>
      <c r="Q3745" s="5" t="str">
        <f t="shared" si="1"/>
        <v>২ পরে</v>
      </c>
    </row>
    <row r="3746">
      <c r="A3746" s="4">
        <v>1561.0</v>
      </c>
      <c r="B3746" s="2" t="s">
        <v>15111</v>
      </c>
      <c r="C3746" s="2" t="s">
        <v>15112</v>
      </c>
      <c r="D3746" s="2" t="s">
        <v>15113</v>
      </c>
      <c r="E3746" s="2" t="s">
        <v>15114</v>
      </c>
      <c r="F3746" s="2" t="b">
        <v>1</v>
      </c>
      <c r="G3746" s="2" t="b">
        <v>0</v>
      </c>
      <c r="H3746" s="2" t="s">
        <v>15115</v>
      </c>
      <c r="I3746" s="2" t="s">
        <v>22</v>
      </c>
      <c r="J3746" s="2" t="s">
        <v>2732</v>
      </c>
      <c r="K3746" s="2" t="s">
        <v>495</v>
      </c>
      <c r="L3746" s="13" t="s">
        <v>496</v>
      </c>
      <c r="M3746" s="2" t="s">
        <v>26</v>
      </c>
      <c r="N3746" s="29"/>
      <c r="O3746" s="29"/>
      <c r="P3746" s="5" t="str">
        <f>IFERROR(__xludf.DUMMYFUNCTION("TEXTJOIN("" | "",TRUE,IF(OR(D3746="""",E3746="""",I3746="""",J3746="""",H3746=""""),""ফাঁকা ঘর"",""""),IF(AND(C3746&lt;&gt;"""",D3746&lt;&gt;"""",C3746=D3746),""gloss=figurative"",""""),IF(LEN(D3746)&lt;15,""figurative ছোট"",""""),IF(AND(I3746=""Positive"",REGEXMATCH(H3"&amp;"746,""মূর্খ|ভণ্ড|প্রতার|অলস|লোভ|স্বার্থ|অক্ষম|অযোগ্য|বোকা|কৃপণ|হিংস"")),""valence-target অমিল"",""""),IF(COUNTIF($B:$B,B3746)&gt;1,""ডুপ্লিকেট"",""""))"),"")</f>
        <v/>
      </c>
      <c r="Q3746" s="5" t="str">
        <f t="shared" si="1"/>
        <v>২ পরে</v>
      </c>
    </row>
    <row r="3747">
      <c r="A3747" s="4">
        <v>1562.0</v>
      </c>
      <c r="B3747" s="2" t="s">
        <v>15116</v>
      </c>
      <c r="C3747" s="2" t="s">
        <v>15117</v>
      </c>
      <c r="D3747" s="2" t="s">
        <v>15118</v>
      </c>
      <c r="E3747" s="2" t="s">
        <v>15119</v>
      </c>
      <c r="F3747" s="2" t="b">
        <v>1</v>
      </c>
      <c r="G3747" s="2" t="b">
        <v>0</v>
      </c>
      <c r="H3747" s="2" t="s">
        <v>15120</v>
      </c>
      <c r="I3747" s="2" t="s">
        <v>22</v>
      </c>
      <c r="J3747" s="2" t="s">
        <v>3701</v>
      </c>
      <c r="K3747" s="2" t="s">
        <v>495</v>
      </c>
      <c r="L3747" s="13" t="s">
        <v>496</v>
      </c>
      <c r="M3747" s="2" t="s">
        <v>26</v>
      </c>
      <c r="N3747" s="29"/>
      <c r="O3747" s="29"/>
      <c r="P3747" s="5" t="str">
        <f>IFERROR(__xludf.DUMMYFUNCTION("TEXTJOIN("" | "",TRUE,IF(OR(D3747="""",E3747="""",I3747="""",J3747="""",H3747=""""),""ফাঁকা ঘর"",""""),IF(AND(C3747&lt;&gt;"""",D3747&lt;&gt;"""",C3747=D3747),""gloss=figurative"",""""),IF(LEN(D3747)&lt;15,""figurative ছোট"",""""),IF(AND(I3747=""Positive"",REGEXMATCH(H3"&amp;"747,""মূর্খ|ভণ্ড|প্রতার|অলস|লোভ|স্বার্থ|অক্ষম|অযোগ্য|বোকা|কৃপণ|হিংস"")),""valence-target অমিল"",""""),IF(COUNTIF($B:$B,B3747)&gt;1,""ডুপ্লিকেট"",""""))"),"")</f>
        <v/>
      </c>
      <c r="Q3747" s="5" t="str">
        <f t="shared" si="1"/>
        <v>২ পরে</v>
      </c>
    </row>
    <row r="3748">
      <c r="A3748" s="4">
        <v>1563.0</v>
      </c>
      <c r="B3748" s="2" t="s">
        <v>15121</v>
      </c>
      <c r="C3748" s="2" t="s">
        <v>15122</v>
      </c>
      <c r="D3748" s="2" t="s">
        <v>15123</v>
      </c>
      <c r="E3748" s="2" t="s">
        <v>15124</v>
      </c>
      <c r="F3748" s="2" t="b">
        <v>1</v>
      </c>
      <c r="G3748" s="2" t="b">
        <v>0</v>
      </c>
      <c r="H3748" s="2" t="s">
        <v>15125</v>
      </c>
      <c r="I3748" s="2" t="s">
        <v>32</v>
      </c>
      <c r="J3748" s="2" t="s">
        <v>15126</v>
      </c>
      <c r="K3748" s="2" t="s">
        <v>495</v>
      </c>
      <c r="L3748" s="13" t="s">
        <v>496</v>
      </c>
      <c r="M3748" s="2" t="s">
        <v>26</v>
      </c>
      <c r="N3748" s="29"/>
      <c r="O3748" s="29"/>
      <c r="P3748" s="5" t="str">
        <f>IFERROR(__xludf.DUMMYFUNCTION("TEXTJOIN("" | "",TRUE,IF(OR(D3748="""",E3748="""",I3748="""",J3748="""",H3748=""""),""ফাঁকা ঘর"",""""),IF(AND(C3748&lt;&gt;"""",D3748&lt;&gt;"""",C3748=D3748),""gloss=figurative"",""""),IF(LEN(D3748)&lt;15,""figurative ছোট"",""""),IF(AND(I3748=""Positive"",REGEXMATCH(H3"&amp;"748,""মূর্খ|ভণ্ড|প্রতার|অলস|লোভ|স্বার্থ|অক্ষম|অযোগ্য|বোকা|কৃপণ|হিংস"")),""valence-target অমিল"",""""),IF(COUNTIF($B:$B,B3748)&gt;1,""ডুপ্লিকেট"",""""))"),"")</f>
        <v/>
      </c>
      <c r="Q3748" s="5" t="str">
        <f t="shared" si="1"/>
        <v>২ পরে</v>
      </c>
    </row>
    <row r="3749">
      <c r="A3749" s="4">
        <v>1564.0</v>
      </c>
      <c r="B3749" s="2" t="s">
        <v>15127</v>
      </c>
      <c r="C3749" s="2" t="s">
        <v>15127</v>
      </c>
      <c r="D3749" s="2" t="s">
        <v>15128</v>
      </c>
      <c r="E3749" s="2" t="s">
        <v>15129</v>
      </c>
      <c r="F3749" s="2" t="b">
        <v>1</v>
      </c>
      <c r="G3749" s="2" t="b">
        <v>0</v>
      </c>
      <c r="H3749" s="2" t="s">
        <v>37</v>
      </c>
      <c r="I3749" s="2" t="s">
        <v>49</v>
      </c>
      <c r="J3749" s="2" t="s">
        <v>1621</v>
      </c>
      <c r="K3749" s="2" t="s">
        <v>495</v>
      </c>
      <c r="L3749" s="13" t="s">
        <v>496</v>
      </c>
      <c r="M3749" s="2" t="s">
        <v>26</v>
      </c>
      <c r="N3749" s="29"/>
      <c r="O3749" s="29"/>
      <c r="P3749" s="5" t="str">
        <f>IFERROR(__xludf.DUMMYFUNCTION("TEXTJOIN("" | "",TRUE,IF(OR(D3749="""",E3749="""",I3749="""",J3749="""",H3749=""""),""ফাঁকা ঘর"",""""),IF(AND(C3749&lt;&gt;"""",D3749&lt;&gt;"""",C3749=D3749),""gloss=figurative"",""""),IF(LEN(D3749)&lt;15,""figurative ছোট"",""""),IF(AND(I3749=""Positive"",REGEXMATCH(H3"&amp;"749,""মূর্খ|ভণ্ড|প্রতার|অলস|লোভ|স্বার্থ|অক্ষম|অযোগ্য|বোকা|কৃপণ|হিংস"")),""valence-target অমিল"",""""),IF(COUNTIF($B:$B,B3749)&gt;1,""ডুপ্লিকেট"",""""))"),"")</f>
        <v/>
      </c>
      <c r="Q3749" s="5" t="str">
        <f t="shared" si="1"/>
        <v>২ পরে</v>
      </c>
    </row>
    <row r="3750">
      <c r="A3750" s="4">
        <v>1565.0</v>
      </c>
      <c r="B3750" s="2" t="s">
        <v>15130</v>
      </c>
      <c r="C3750" s="2" t="s">
        <v>15131</v>
      </c>
      <c r="D3750" s="2" t="s">
        <v>15132</v>
      </c>
      <c r="E3750" s="2" t="s">
        <v>15133</v>
      </c>
      <c r="F3750" s="2" t="b">
        <v>1</v>
      </c>
      <c r="G3750" s="2" t="b">
        <v>0</v>
      </c>
      <c r="H3750" s="2" t="s">
        <v>37</v>
      </c>
      <c r="I3750" s="2" t="s">
        <v>32</v>
      </c>
      <c r="J3750" s="2" t="s">
        <v>162</v>
      </c>
      <c r="K3750" s="2" t="s">
        <v>376</v>
      </c>
      <c r="L3750" s="2" t="s">
        <v>391</v>
      </c>
      <c r="M3750" s="2" t="s">
        <v>26</v>
      </c>
      <c r="N3750" s="29"/>
      <c r="O3750" s="29"/>
      <c r="P3750" s="5" t="str">
        <f>IFERROR(__xludf.DUMMYFUNCTION("TEXTJOIN("" | "",TRUE,IF(OR(D3750="""",E3750="""",I3750="""",J3750="""",H3750=""""),""ফাঁকা ঘর"",""""),IF(AND(C3750&lt;&gt;"""",D3750&lt;&gt;"""",C3750=D3750),""gloss=figurative"",""""),IF(LEN(D3750)&lt;15,""figurative ছোট"",""""),IF(AND(I3750=""Positive"",REGEXMATCH(H3"&amp;"750,""মূর্খ|ভণ্ড|প্রতার|অলস|লোভ|স্বার্থ|অক্ষম|অযোগ্য|বোকা|কৃপণ|হিংস"")),""valence-target অমিল"",""""),IF(COUNTIF($B:$B,B3750)&gt;1,""ডুপ্লিকেট"",""""))"),"")</f>
        <v/>
      </c>
      <c r="Q3750" s="5" t="str">
        <f t="shared" si="1"/>
        <v>২ পরে</v>
      </c>
    </row>
    <row r="3751">
      <c r="A3751" s="4">
        <v>1566.0</v>
      </c>
      <c r="B3751" s="2" t="s">
        <v>15134</v>
      </c>
      <c r="C3751" s="2" t="s">
        <v>15135</v>
      </c>
      <c r="D3751" s="2" t="s">
        <v>15136</v>
      </c>
      <c r="E3751" s="2" t="s">
        <v>15137</v>
      </c>
      <c r="F3751" s="2" t="b">
        <v>1</v>
      </c>
      <c r="G3751" s="2" t="b">
        <v>0</v>
      </c>
      <c r="H3751" s="2" t="s">
        <v>15138</v>
      </c>
      <c r="I3751" s="2" t="s">
        <v>22</v>
      </c>
      <c r="J3751" s="2" t="s">
        <v>1008</v>
      </c>
      <c r="K3751" s="2" t="s">
        <v>376</v>
      </c>
      <c r="L3751" s="2" t="s">
        <v>391</v>
      </c>
      <c r="M3751" s="2" t="s">
        <v>26</v>
      </c>
      <c r="N3751" s="29"/>
      <c r="O3751" s="29"/>
      <c r="P3751" s="5" t="str">
        <f>IFERROR(__xludf.DUMMYFUNCTION("TEXTJOIN("" | "",TRUE,IF(OR(D3751="""",E3751="""",I3751="""",J3751="""",H3751=""""),""ফাঁকা ঘর"",""""),IF(AND(C3751&lt;&gt;"""",D3751&lt;&gt;"""",C3751=D3751),""gloss=figurative"",""""),IF(LEN(D3751)&lt;15,""figurative ছোট"",""""),IF(AND(I3751=""Positive"",REGEXMATCH(H3"&amp;"751,""মূর্খ|ভণ্ড|প্রতার|অলস|লোভ|স্বার্থ|অক্ষম|অযোগ্য|বোকা|কৃপণ|হিংস"")),""valence-target অমিল"",""""),IF(COUNTIF($B:$B,B3751)&gt;1,""ডুপ্লিকেট"",""""))"),"")</f>
        <v/>
      </c>
      <c r="Q3751" s="5" t="str">
        <f t="shared" si="1"/>
        <v>২ পরে</v>
      </c>
    </row>
    <row r="3752">
      <c r="A3752" s="4">
        <v>1567.0</v>
      </c>
      <c r="B3752" s="2" t="s">
        <v>15139</v>
      </c>
      <c r="C3752" s="2" t="s">
        <v>15140</v>
      </c>
      <c r="D3752" s="2" t="s">
        <v>15141</v>
      </c>
      <c r="E3752" s="2" t="s">
        <v>15142</v>
      </c>
      <c r="F3752" s="2" t="b">
        <v>1</v>
      </c>
      <c r="G3752" s="2" t="b">
        <v>0</v>
      </c>
      <c r="H3752" s="2" t="s">
        <v>37</v>
      </c>
      <c r="I3752" s="2" t="s">
        <v>32</v>
      </c>
      <c r="J3752" s="2" t="s">
        <v>548</v>
      </c>
      <c r="K3752" s="2" t="s">
        <v>376</v>
      </c>
      <c r="L3752" s="2" t="s">
        <v>391</v>
      </c>
      <c r="M3752" s="2" t="s">
        <v>26</v>
      </c>
      <c r="N3752" s="29"/>
      <c r="O3752" s="29"/>
      <c r="P3752" s="5" t="str">
        <f>IFERROR(__xludf.DUMMYFUNCTION("TEXTJOIN("" | "",TRUE,IF(OR(D3752="""",E3752="""",I3752="""",J3752="""",H3752=""""),""ফাঁকা ঘর"",""""),IF(AND(C3752&lt;&gt;"""",D3752&lt;&gt;"""",C3752=D3752),""gloss=figurative"",""""),IF(LEN(D3752)&lt;15,""figurative ছোট"",""""),IF(AND(I3752=""Positive"",REGEXMATCH(H3"&amp;"752,""মূর্খ|ভণ্ড|প্রতার|অলস|লোভ|স্বার্থ|অক্ষম|অযোগ্য|বোকা|কৃপণ|হিংস"")),""valence-target অমিল"",""""),IF(COUNTIF($B:$B,B3752)&gt;1,""ডুপ্লিকেট"",""""))"),"")</f>
        <v/>
      </c>
      <c r="Q3752" s="5" t="str">
        <f t="shared" si="1"/>
        <v>২ পরে</v>
      </c>
    </row>
    <row r="3753">
      <c r="A3753" s="4">
        <v>1568.0</v>
      </c>
      <c r="B3753" s="2" t="s">
        <v>15143</v>
      </c>
      <c r="C3753" s="2" t="s">
        <v>15144</v>
      </c>
      <c r="D3753" s="2" t="s">
        <v>15145</v>
      </c>
      <c r="E3753" s="2" t="s">
        <v>15146</v>
      </c>
      <c r="F3753" s="2" t="b">
        <v>1</v>
      </c>
      <c r="G3753" s="2" t="b">
        <v>0</v>
      </c>
      <c r="H3753" s="2" t="s">
        <v>9452</v>
      </c>
      <c r="I3753" s="2" t="s">
        <v>22</v>
      </c>
      <c r="J3753" s="2" t="s">
        <v>43</v>
      </c>
      <c r="K3753" s="2" t="s">
        <v>376</v>
      </c>
      <c r="L3753" s="2" t="s">
        <v>391</v>
      </c>
      <c r="M3753" s="2" t="s">
        <v>26</v>
      </c>
      <c r="N3753" s="29"/>
      <c r="O3753" s="29"/>
      <c r="P3753" s="5" t="str">
        <f>IFERROR(__xludf.DUMMYFUNCTION("TEXTJOIN("" | "",TRUE,IF(OR(D3753="""",E3753="""",I3753="""",J3753="""",H3753=""""),""ফাঁকা ঘর"",""""),IF(AND(C3753&lt;&gt;"""",D3753&lt;&gt;"""",C3753=D3753),""gloss=figurative"",""""),IF(LEN(D3753)&lt;15,""figurative ছোট"",""""),IF(AND(I3753=""Positive"",REGEXMATCH(H3"&amp;"753,""মূর্খ|ভণ্ড|প্রতার|অলস|লোভ|স্বার্থ|অক্ষম|অযোগ্য|বোকা|কৃপণ|হিংস"")),""valence-target অমিল"",""""),IF(COUNTIF($B:$B,B3753)&gt;1,""ডুপ্লিকেট"",""""))"),"")</f>
        <v/>
      </c>
      <c r="Q3753" s="5" t="str">
        <f t="shared" si="1"/>
        <v>২ পরে</v>
      </c>
    </row>
    <row r="3754">
      <c r="A3754" s="4">
        <v>1569.0</v>
      </c>
      <c r="B3754" s="2" t="s">
        <v>15147</v>
      </c>
      <c r="C3754" s="2" t="s">
        <v>15148</v>
      </c>
      <c r="D3754" s="2" t="s">
        <v>15149</v>
      </c>
      <c r="E3754" s="2" t="s">
        <v>15150</v>
      </c>
      <c r="F3754" s="2" t="b">
        <v>1</v>
      </c>
      <c r="G3754" s="2" t="b">
        <v>0</v>
      </c>
      <c r="H3754" s="2" t="s">
        <v>390</v>
      </c>
      <c r="I3754" s="2" t="s">
        <v>22</v>
      </c>
      <c r="J3754" s="2" t="s">
        <v>836</v>
      </c>
      <c r="K3754" s="2" t="s">
        <v>376</v>
      </c>
      <c r="L3754" s="2" t="s">
        <v>391</v>
      </c>
      <c r="M3754" s="2" t="s">
        <v>26</v>
      </c>
      <c r="N3754" s="29"/>
      <c r="O3754" s="29"/>
      <c r="P3754" s="5" t="str">
        <f>IFERROR(__xludf.DUMMYFUNCTION("TEXTJOIN("" | "",TRUE,IF(OR(D3754="""",E3754="""",I3754="""",J3754="""",H3754=""""),""ফাঁকা ঘর"",""""),IF(AND(C3754&lt;&gt;"""",D3754&lt;&gt;"""",C3754=D3754),""gloss=figurative"",""""),IF(LEN(D3754)&lt;15,""figurative ছোট"",""""),IF(AND(I3754=""Positive"",REGEXMATCH(H3"&amp;"754,""মূর্খ|ভণ্ড|প্রতার|অলস|লোভ|স্বার্থ|অক্ষম|অযোগ্য|বোকা|কৃপণ|হিংস"")),""valence-target অমিল"",""""),IF(COUNTIF($B:$B,B3754)&gt;1,""ডুপ্লিকেট"",""""))"),"")</f>
        <v/>
      </c>
      <c r="Q3754" s="5" t="str">
        <f t="shared" si="1"/>
        <v>২ পরে</v>
      </c>
    </row>
    <row r="3755">
      <c r="A3755" s="4">
        <v>1570.0</v>
      </c>
      <c r="B3755" s="2" t="s">
        <v>15151</v>
      </c>
      <c r="C3755" s="2" t="s">
        <v>15152</v>
      </c>
      <c r="D3755" s="2" t="s">
        <v>15153</v>
      </c>
      <c r="E3755" s="2" t="s">
        <v>15154</v>
      </c>
      <c r="F3755" s="2" t="b">
        <v>1</v>
      </c>
      <c r="G3755" s="2" t="b">
        <v>0</v>
      </c>
      <c r="H3755" s="2" t="s">
        <v>15155</v>
      </c>
      <c r="I3755" s="2" t="s">
        <v>22</v>
      </c>
      <c r="J3755" s="2" t="s">
        <v>43</v>
      </c>
      <c r="K3755" s="2" t="s">
        <v>376</v>
      </c>
      <c r="L3755" s="2" t="s">
        <v>391</v>
      </c>
      <c r="M3755" s="2" t="s">
        <v>26</v>
      </c>
      <c r="N3755" s="29"/>
      <c r="O3755" s="29"/>
      <c r="P3755" s="5" t="str">
        <f>IFERROR(__xludf.DUMMYFUNCTION("TEXTJOIN("" | "",TRUE,IF(OR(D3755="""",E3755="""",I3755="""",J3755="""",H3755=""""),""ফাঁকা ঘর"",""""),IF(AND(C3755&lt;&gt;"""",D3755&lt;&gt;"""",C3755=D3755),""gloss=figurative"",""""),IF(LEN(D3755)&lt;15,""figurative ছোট"",""""),IF(AND(I3755=""Positive"",REGEXMATCH(H3"&amp;"755,""মূর্খ|ভণ্ড|প্রতার|অলস|লোভ|স্বার্থ|অক্ষম|অযোগ্য|বোকা|কৃপণ|হিংস"")),""valence-target অমিল"",""""),IF(COUNTIF($B:$B,B3755)&gt;1,""ডুপ্লিকেট"",""""))"),"")</f>
        <v/>
      </c>
      <c r="Q3755" s="5" t="str">
        <f t="shared" si="1"/>
        <v>২ পরে</v>
      </c>
    </row>
    <row r="3756">
      <c r="A3756" s="4">
        <v>1571.0</v>
      </c>
      <c r="B3756" s="2" t="s">
        <v>15156</v>
      </c>
      <c r="C3756" s="2" t="s">
        <v>15157</v>
      </c>
      <c r="D3756" s="2" t="s">
        <v>15158</v>
      </c>
      <c r="E3756" s="2" t="s">
        <v>15159</v>
      </c>
      <c r="F3756" s="2" t="b">
        <v>1</v>
      </c>
      <c r="G3756" s="2" t="b">
        <v>0</v>
      </c>
      <c r="H3756" s="2" t="s">
        <v>15160</v>
      </c>
      <c r="I3756" s="2" t="s">
        <v>32</v>
      </c>
      <c r="J3756" s="2" t="s">
        <v>43</v>
      </c>
      <c r="K3756" s="2" t="s">
        <v>376</v>
      </c>
      <c r="L3756" s="2" t="s">
        <v>391</v>
      </c>
      <c r="M3756" s="2" t="s">
        <v>26</v>
      </c>
      <c r="N3756" s="29"/>
      <c r="O3756" s="29"/>
      <c r="P3756" s="5" t="str">
        <f>IFERROR(__xludf.DUMMYFUNCTION("TEXTJOIN("" | "",TRUE,IF(OR(D3756="""",E3756="""",I3756="""",J3756="""",H3756=""""),""ফাঁকা ঘর"",""""),IF(AND(C3756&lt;&gt;"""",D3756&lt;&gt;"""",C3756=D3756),""gloss=figurative"",""""),IF(LEN(D3756)&lt;15,""figurative ছোট"",""""),IF(AND(I3756=""Positive"",REGEXMATCH(H3"&amp;"756,""মূর্খ|ভণ্ড|প্রতার|অলস|লোভ|স্বার্থ|অক্ষম|অযোগ্য|বোকা|কৃপণ|হিংস"")),""valence-target অমিল"",""""),IF(COUNTIF($B:$B,B3756)&gt;1,""ডুপ্লিকেট"",""""))"),"")</f>
        <v/>
      </c>
      <c r="Q3756" s="5" t="str">
        <f t="shared" si="1"/>
        <v>২ পরে</v>
      </c>
    </row>
    <row r="3757">
      <c r="A3757" s="4">
        <v>1572.0</v>
      </c>
      <c r="B3757" s="2" t="s">
        <v>15161</v>
      </c>
      <c r="C3757" s="2" t="s">
        <v>15162</v>
      </c>
      <c r="D3757" s="2" t="s">
        <v>15163</v>
      </c>
      <c r="E3757" s="2" t="s">
        <v>15164</v>
      </c>
      <c r="F3757" s="2" t="b">
        <v>1</v>
      </c>
      <c r="G3757" s="2" t="b">
        <v>1</v>
      </c>
      <c r="H3757" s="2" t="s">
        <v>15165</v>
      </c>
      <c r="I3757" s="2" t="s">
        <v>22</v>
      </c>
      <c r="J3757" s="2" t="s">
        <v>15166</v>
      </c>
      <c r="K3757" s="2" t="s">
        <v>376</v>
      </c>
      <c r="L3757" s="2" t="s">
        <v>391</v>
      </c>
      <c r="M3757" s="2" t="s">
        <v>26</v>
      </c>
      <c r="N3757" s="29"/>
      <c r="O3757" s="29"/>
      <c r="P3757" s="5" t="str">
        <f>IFERROR(__xludf.DUMMYFUNCTION("TEXTJOIN("" | "",TRUE,IF(OR(D3757="""",E3757="""",I3757="""",J3757="""",H3757=""""),""ফাঁকা ঘর"",""""),IF(AND(C3757&lt;&gt;"""",D3757&lt;&gt;"""",C3757=D3757),""gloss=figurative"",""""),IF(LEN(D3757)&lt;15,""figurative ছোট"",""""),IF(AND(I3757=""Positive"",REGEXMATCH(H3"&amp;"757,""মূর্খ|ভণ্ড|প্রতার|অলস|লোভ|স্বার্থ|অক্ষম|অযোগ্য|বোকা|কৃপণ|হিংস"")),""valence-target অমিল"",""""),IF(COUNTIF($B:$B,B3757)&gt;1,""ডুপ্লিকেট"",""""))"),"")</f>
        <v/>
      </c>
      <c r="Q3757" s="5" t="str">
        <f t="shared" si="1"/>
        <v>২ পরে</v>
      </c>
    </row>
    <row r="3758">
      <c r="A3758" s="4">
        <v>1573.0</v>
      </c>
      <c r="B3758" s="2" t="s">
        <v>15167</v>
      </c>
      <c r="C3758" s="2" t="s">
        <v>15168</v>
      </c>
      <c r="D3758" s="2" t="s">
        <v>15169</v>
      </c>
      <c r="E3758" s="2" t="s">
        <v>15170</v>
      </c>
      <c r="F3758" s="2" t="b">
        <v>1</v>
      </c>
      <c r="G3758" s="2" t="b">
        <v>0</v>
      </c>
      <c r="H3758" s="2" t="s">
        <v>15171</v>
      </c>
      <c r="I3758" s="2" t="s">
        <v>22</v>
      </c>
      <c r="J3758" s="2" t="s">
        <v>739</v>
      </c>
      <c r="K3758" s="2" t="s">
        <v>376</v>
      </c>
      <c r="L3758" s="2" t="s">
        <v>391</v>
      </c>
      <c r="M3758" s="2" t="s">
        <v>26</v>
      </c>
      <c r="N3758" s="29"/>
      <c r="O3758" s="29"/>
      <c r="P3758" s="5" t="str">
        <f>IFERROR(__xludf.DUMMYFUNCTION("TEXTJOIN("" | "",TRUE,IF(OR(D3758="""",E3758="""",I3758="""",J3758="""",H3758=""""),""ফাঁকা ঘর"",""""),IF(AND(C3758&lt;&gt;"""",D3758&lt;&gt;"""",C3758=D3758),""gloss=figurative"",""""),IF(LEN(D3758)&lt;15,""figurative ছোট"",""""),IF(AND(I3758=""Positive"",REGEXMATCH(H3"&amp;"758,""মূর্খ|ভণ্ড|প্রতার|অলস|লোভ|স্বার্থ|অক্ষম|অযোগ্য|বোকা|কৃপণ|হিংস"")),""valence-target অমিল"",""""),IF(COUNTIF($B:$B,B3758)&gt;1,""ডুপ্লিকেট"",""""))"),"")</f>
        <v/>
      </c>
      <c r="Q3758" s="5" t="str">
        <f t="shared" si="1"/>
        <v>২ পরে</v>
      </c>
    </row>
    <row r="3759">
      <c r="A3759" s="4">
        <v>1574.0</v>
      </c>
      <c r="B3759" s="2" t="s">
        <v>15172</v>
      </c>
      <c r="C3759" s="2" t="s">
        <v>15173</v>
      </c>
      <c r="D3759" s="2" t="s">
        <v>15174</v>
      </c>
      <c r="E3759" s="2" t="s">
        <v>15175</v>
      </c>
      <c r="F3759" s="2" t="b">
        <v>1</v>
      </c>
      <c r="G3759" s="2" t="b">
        <v>0</v>
      </c>
      <c r="H3759" s="2" t="s">
        <v>15176</v>
      </c>
      <c r="I3759" s="2" t="s">
        <v>22</v>
      </c>
      <c r="J3759" s="2" t="s">
        <v>739</v>
      </c>
      <c r="K3759" s="2" t="s">
        <v>376</v>
      </c>
      <c r="L3759" s="2" t="s">
        <v>391</v>
      </c>
      <c r="M3759" s="2" t="s">
        <v>26</v>
      </c>
      <c r="N3759" s="29"/>
      <c r="O3759" s="29"/>
      <c r="P3759" s="5" t="str">
        <f>IFERROR(__xludf.DUMMYFUNCTION("TEXTJOIN("" | "",TRUE,IF(OR(D3759="""",E3759="""",I3759="""",J3759="""",H3759=""""),""ফাঁকা ঘর"",""""),IF(AND(C3759&lt;&gt;"""",D3759&lt;&gt;"""",C3759=D3759),""gloss=figurative"",""""),IF(LEN(D3759)&lt;15,""figurative ছোট"",""""),IF(AND(I3759=""Positive"",REGEXMATCH(H3"&amp;"759,""মূর্খ|ভণ্ড|প্রতার|অলস|লোভ|স্বার্থ|অক্ষম|অযোগ্য|বোকা|কৃপণ|হিংস"")),""valence-target অমিল"",""""),IF(COUNTIF($B:$B,B3759)&gt;1,""ডুপ্লিকেট"",""""))"),"")</f>
        <v/>
      </c>
      <c r="Q3759" s="5" t="str">
        <f t="shared" si="1"/>
        <v>২ পরে</v>
      </c>
    </row>
    <row r="3760">
      <c r="A3760" s="4">
        <v>1575.0</v>
      </c>
      <c r="B3760" s="2" t="s">
        <v>15177</v>
      </c>
      <c r="C3760" s="2" t="s">
        <v>15178</v>
      </c>
      <c r="D3760" s="2" t="s">
        <v>15179</v>
      </c>
      <c r="E3760" s="2" t="s">
        <v>15180</v>
      </c>
      <c r="F3760" s="2" t="b">
        <v>1</v>
      </c>
      <c r="G3760" s="2" t="b">
        <v>0</v>
      </c>
      <c r="H3760" s="2" t="s">
        <v>37</v>
      </c>
      <c r="I3760" s="2" t="s">
        <v>32</v>
      </c>
      <c r="J3760" s="2" t="s">
        <v>739</v>
      </c>
      <c r="K3760" s="2" t="s">
        <v>376</v>
      </c>
      <c r="L3760" s="2" t="s">
        <v>391</v>
      </c>
      <c r="M3760" s="2" t="s">
        <v>26</v>
      </c>
      <c r="N3760" s="29"/>
      <c r="O3760" s="29"/>
      <c r="P3760" s="5" t="str">
        <f>IFERROR(__xludf.DUMMYFUNCTION("TEXTJOIN("" | "",TRUE,IF(OR(D3760="""",E3760="""",I3760="""",J3760="""",H3760=""""),""ফাঁকা ঘর"",""""),IF(AND(C3760&lt;&gt;"""",D3760&lt;&gt;"""",C3760=D3760),""gloss=figurative"",""""),IF(LEN(D3760)&lt;15,""figurative ছোট"",""""),IF(AND(I3760=""Positive"",REGEXMATCH(H3"&amp;"760,""মূর্খ|ভণ্ড|প্রতার|অলস|লোভ|স্বার্থ|অক্ষম|অযোগ্য|বোকা|কৃপণ|হিংস"")),""valence-target অমিল"",""""),IF(COUNTIF($B:$B,B3760)&gt;1,""ডুপ্লিকেট"",""""))"),"")</f>
        <v/>
      </c>
      <c r="Q3760" s="5" t="str">
        <f t="shared" si="1"/>
        <v>২ পরে</v>
      </c>
    </row>
    <row r="3761">
      <c r="A3761" s="4">
        <v>1576.0</v>
      </c>
      <c r="B3761" s="2" t="s">
        <v>15181</v>
      </c>
      <c r="C3761" s="2" t="s">
        <v>15182</v>
      </c>
      <c r="D3761" s="2" t="s">
        <v>15183</v>
      </c>
      <c r="E3761" s="2" t="s">
        <v>15184</v>
      </c>
      <c r="F3761" s="2" t="b">
        <v>1</v>
      </c>
      <c r="G3761" s="2" t="b">
        <v>0</v>
      </c>
      <c r="H3761" s="2" t="s">
        <v>15185</v>
      </c>
      <c r="I3761" s="2" t="s">
        <v>22</v>
      </c>
      <c r="J3761" s="2" t="s">
        <v>43</v>
      </c>
      <c r="K3761" s="2" t="s">
        <v>376</v>
      </c>
      <c r="L3761" s="2" t="s">
        <v>391</v>
      </c>
      <c r="M3761" s="2" t="s">
        <v>26</v>
      </c>
      <c r="N3761" s="29"/>
      <c r="O3761" s="29"/>
      <c r="P3761" s="5" t="str">
        <f>IFERROR(__xludf.DUMMYFUNCTION("TEXTJOIN("" | "",TRUE,IF(OR(D3761="""",E3761="""",I3761="""",J3761="""",H3761=""""),""ফাঁকা ঘর"",""""),IF(AND(C3761&lt;&gt;"""",D3761&lt;&gt;"""",C3761=D3761),""gloss=figurative"",""""),IF(LEN(D3761)&lt;15,""figurative ছোট"",""""),IF(AND(I3761=""Positive"",REGEXMATCH(H3"&amp;"761,""মূর্খ|ভণ্ড|প্রতার|অলস|লোভ|স্বার্থ|অক্ষম|অযোগ্য|বোকা|কৃপণ|হিংস"")),""valence-target অমিল"",""""),IF(COUNTIF($B:$B,B3761)&gt;1,""ডুপ্লিকেট"",""""))"),"")</f>
        <v/>
      </c>
      <c r="Q3761" s="5" t="str">
        <f t="shared" si="1"/>
        <v>২ পরে</v>
      </c>
    </row>
    <row r="3762">
      <c r="A3762" s="4">
        <v>1577.0</v>
      </c>
      <c r="B3762" s="2" t="s">
        <v>15186</v>
      </c>
      <c r="C3762" s="2" t="s">
        <v>15187</v>
      </c>
      <c r="D3762" s="2" t="s">
        <v>15188</v>
      </c>
      <c r="E3762" s="2" t="s">
        <v>15189</v>
      </c>
      <c r="F3762" s="2" t="b">
        <v>1</v>
      </c>
      <c r="G3762" s="2" t="b">
        <v>0</v>
      </c>
      <c r="H3762" s="2" t="s">
        <v>15190</v>
      </c>
      <c r="I3762" s="2" t="s">
        <v>22</v>
      </c>
      <c r="J3762" s="2" t="s">
        <v>3105</v>
      </c>
      <c r="K3762" s="2" t="s">
        <v>376</v>
      </c>
      <c r="L3762" s="2" t="s">
        <v>391</v>
      </c>
      <c r="M3762" s="2" t="s">
        <v>26</v>
      </c>
      <c r="N3762" s="29"/>
      <c r="O3762" s="29"/>
      <c r="P3762" s="5" t="str">
        <f>IFERROR(__xludf.DUMMYFUNCTION("TEXTJOIN("" | "",TRUE,IF(OR(D3762="""",E3762="""",I3762="""",J3762="""",H3762=""""),""ফাঁকা ঘর"",""""),IF(AND(C3762&lt;&gt;"""",D3762&lt;&gt;"""",C3762=D3762),""gloss=figurative"",""""),IF(LEN(D3762)&lt;15,""figurative ছোট"",""""),IF(AND(I3762=""Positive"",REGEXMATCH(H3"&amp;"762,""মূর্খ|ভণ্ড|প্রতার|অলস|লোভ|স্বার্থ|অক্ষম|অযোগ্য|বোকা|কৃপণ|হিংস"")),""valence-target অমিল"",""""),IF(COUNTIF($B:$B,B3762)&gt;1,""ডুপ্লিকেট"",""""))"),"")</f>
        <v/>
      </c>
      <c r="Q3762" s="5" t="str">
        <f t="shared" si="1"/>
        <v>২ পরে</v>
      </c>
    </row>
    <row r="3763">
      <c r="A3763" s="4">
        <v>1578.0</v>
      </c>
      <c r="B3763" s="2" t="s">
        <v>15191</v>
      </c>
      <c r="C3763" s="2" t="s">
        <v>15192</v>
      </c>
      <c r="D3763" s="2" t="s">
        <v>15193</v>
      </c>
      <c r="E3763" s="2" t="s">
        <v>15194</v>
      </c>
      <c r="F3763" s="2" t="b">
        <v>1</v>
      </c>
      <c r="G3763" s="2" t="b">
        <v>0</v>
      </c>
      <c r="H3763" s="2" t="s">
        <v>15195</v>
      </c>
      <c r="I3763" s="2" t="s">
        <v>22</v>
      </c>
      <c r="J3763" s="2" t="s">
        <v>836</v>
      </c>
      <c r="K3763" s="2" t="s">
        <v>376</v>
      </c>
      <c r="L3763" s="2" t="s">
        <v>391</v>
      </c>
      <c r="M3763" s="2" t="s">
        <v>26</v>
      </c>
      <c r="N3763" s="29"/>
      <c r="O3763" s="29"/>
      <c r="P3763" s="5" t="str">
        <f>IFERROR(__xludf.DUMMYFUNCTION("TEXTJOIN("" | "",TRUE,IF(OR(D3763="""",E3763="""",I3763="""",J3763="""",H3763=""""),""ফাঁকা ঘর"",""""),IF(AND(C3763&lt;&gt;"""",D3763&lt;&gt;"""",C3763=D3763),""gloss=figurative"",""""),IF(LEN(D3763)&lt;15,""figurative ছোট"",""""),IF(AND(I3763=""Positive"",REGEXMATCH(H3"&amp;"763,""মূর্খ|ভণ্ড|প্রতার|অলস|লোভ|স্বার্থ|অক্ষম|অযোগ্য|বোকা|কৃপণ|হিংস"")),""valence-target অমিল"",""""),IF(COUNTIF($B:$B,B3763)&gt;1,""ডুপ্লিকেট"",""""))"),"")</f>
        <v/>
      </c>
      <c r="Q3763" s="5" t="str">
        <f t="shared" si="1"/>
        <v>২ পরে</v>
      </c>
    </row>
    <row r="3764">
      <c r="A3764" s="4">
        <v>1579.0</v>
      </c>
      <c r="B3764" s="2" t="s">
        <v>15196</v>
      </c>
      <c r="C3764" s="2" t="s">
        <v>15197</v>
      </c>
      <c r="D3764" s="2" t="s">
        <v>15198</v>
      </c>
      <c r="E3764" s="2" t="s">
        <v>15199</v>
      </c>
      <c r="F3764" s="2" t="b">
        <v>1</v>
      </c>
      <c r="G3764" s="2" t="b">
        <v>0</v>
      </c>
      <c r="H3764" s="2" t="s">
        <v>15200</v>
      </c>
      <c r="I3764" s="2" t="s">
        <v>32</v>
      </c>
      <c r="J3764" s="2" t="s">
        <v>447</v>
      </c>
      <c r="K3764" s="2" t="s">
        <v>376</v>
      </c>
      <c r="L3764" s="2" t="s">
        <v>391</v>
      </c>
      <c r="M3764" s="2" t="s">
        <v>26</v>
      </c>
      <c r="N3764" s="29"/>
      <c r="O3764" s="29"/>
      <c r="P3764" s="5" t="str">
        <f>IFERROR(__xludf.DUMMYFUNCTION("TEXTJOIN("" | "",TRUE,IF(OR(D3764="""",E3764="""",I3764="""",J3764="""",H3764=""""),""ফাঁকা ঘর"",""""),IF(AND(C3764&lt;&gt;"""",D3764&lt;&gt;"""",C3764=D3764),""gloss=figurative"",""""),IF(LEN(D3764)&lt;15,""figurative ছোট"",""""),IF(AND(I3764=""Positive"",REGEXMATCH(H3"&amp;"764,""মূর্খ|ভণ্ড|প্রতার|অলস|লোভ|স্বার্থ|অক্ষম|অযোগ্য|বোকা|কৃপণ|হিংস"")),""valence-target অমিল"",""""),IF(COUNTIF($B:$B,B3764)&gt;1,""ডুপ্লিকেট"",""""))"),"")</f>
        <v/>
      </c>
      <c r="Q3764" s="5" t="str">
        <f t="shared" si="1"/>
        <v>২ পরে</v>
      </c>
    </row>
    <row r="3765">
      <c r="A3765" s="4">
        <v>1580.0</v>
      </c>
      <c r="B3765" s="2" t="s">
        <v>15201</v>
      </c>
      <c r="C3765" s="2" t="s">
        <v>15202</v>
      </c>
      <c r="D3765" s="2" t="s">
        <v>15203</v>
      </c>
      <c r="E3765" s="2" t="s">
        <v>15204</v>
      </c>
      <c r="F3765" s="2" t="b">
        <v>1</v>
      </c>
      <c r="G3765" s="2" t="b">
        <v>1</v>
      </c>
      <c r="H3765" s="2" t="s">
        <v>1106</v>
      </c>
      <c r="I3765" s="2" t="s">
        <v>22</v>
      </c>
      <c r="J3765" s="2" t="s">
        <v>1315</v>
      </c>
      <c r="K3765" s="2" t="s">
        <v>495</v>
      </c>
      <c r="L3765" s="13" t="s">
        <v>496</v>
      </c>
      <c r="M3765" s="2" t="s">
        <v>26</v>
      </c>
      <c r="N3765" s="29"/>
      <c r="O3765" s="29"/>
      <c r="P3765" s="5" t="str">
        <f>IFERROR(__xludf.DUMMYFUNCTION("TEXTJOIN("" | "",TRUE,IF(OR(D3765="""",E3765="""",I3765="""",J3765="""",H3765=""""),""ফাঁকা ঘর"",""""),IF(AND(C3765&lt;&gt;"""",D3765&lt;&gt;"""",C3765=D3765),""gloss=figurative"",""""),IF(LEN(D3765)&lt;15,""figurative ছোট"",""""),IF(AND(I3765=""Positive"",REGEXMATCH(H3"&amp;"765,""মূর্খ|ভণ্ড|প্রতার|অলস|লোভ|স্বার্থ|অক্ষম|অযোগ্য|বোকা|কৃপণ|হিংস"")),""valence-target অমিল"",""""),IF(COUNTIF($B:$B,B3765)&gt;1,""ডুপ্লিকেট"",""""))"),"")</f>
        <v/>
      </c>
      <c r="Q3765" s="5" t="str">
        <f t="shared" si="1"/>
        <v>২ পরে</v>
      </c>
    </row>
    <row r="3766">
      <c r="A3766" s="4">
        <v>1581.0</v>
      </c>
      <c r="B3766" s="2" t="s">
        <v>15205</v>
      </c>
      <c r="C3766" s="2" t="s">
        <v>15206</v>
      </c>
      <c r="D3766" s="2" t="s">
        <v>15207</v>
      </c>
      <c r="E3766" s="2" t="s">
        <v>15208</v>
      </c>
      <c r="F3766" s="2" t="b">
        <v>1</v>
      </c>
      <c r="G3766" s="2" t="b">
        <v>0</v>
      </c>
      <c r="H3766" s="2" t="s">
        <v>15209</v>
      </c>
      <c r="I3766" s="2" t="s">
        <v>22</v>
      </c>
      <c r="J3766" s="2" t="s">
        <v>1060</v>
      </c>
      <c r="K3766" s="2" t="s">
        <v>495</v>
      </c>
      <c r="L3766" s="13" t="s">
        <v>496</v>
      </c>
      <c r="M3766" s="2" t="s">
        <v>26</v>
      </c>
      <c r="N3766" s="29"/>
      <c r="O3766" s="29"/>
      <c r="P3766" s="5" t="str">
        <f>IFERROR(__xludf.DUMMYFUNCTION("TEXTJOIN("" | "",TRUE,IF(OR(D3766="""",E3766="""",I3766="""",J3766="""",H3766=""""),""ফাঁকা ঘর"",""""),IF(AND(C3766&lt;&gt;"""",D3766&lt;&gt;"""",C3766=D3766),""gloss=figurative"",""""),IF(LEN(D3766)&lt;15,""figurative ছোট"",""""),IF(AND(I3766=""Positive"",REGEXMATCH(H3"&amp;"766,""মূর্খ|ভণ্ড|প্রতার|অলস|লোভ|স্বার্থ|অক্ষম|অযোগ্য|বোকা|কৃপণ|হিংস"")),""valence-target অমিল"",""""),IF(COUNTIF($B:$B,B3766)&gt;1,""ডুপ্লিকেট"",""""))"),"")</f>
        <v/>
      </c>
      <c r="Q3766" s="5" t="str">
        <f t="shared" si="1"/>
        <v>২ পরে</v>
      </c>
    </row>
    <row r="3767">
      <c r="A3767" s="4">
        <v>1582.0</v>
      </c>
      <c r="B3767" s="2" t="s">
        <v>15210</v>
      </c>
      <c r="C3767" s="2" t="s">
        <v>15211</v>
      </c>
      <c r="D3767" s="2" t="s">
        <v>15212</v>
      </c>
      <c r="E3767" s="2" t="s">
        <v>15213</v>
      </c>
      <c r="F3767" s="2" t="b">
        <v>1</v>
      </c>
      <c r="G3767" s="2" t="b">
        <v>0</v>
      </c>
      <c r="H3767" s="2" t="s">
        <v>15209</v>
      </c>
      <c r="I3767" s="2" t="s">
        <v>22</v>
      </c>
      <c r="J3767" s="2" t="s">
        <v>1060</v>
      </c>
      <c r="K3767" s="2" t="s">
        <v>495</v>
      </c>
      <c r="L3767" s="13" t="s">
        <v>496</v>
      </c>
      <c r="M3767" s="2" t="s">
        <v>26</v>
      </c>
      <c r="N3767" s="29"/>
      <c r="O3767" s="29"/>
      <c r="P3767" s="5" t="str">
        <f>IFERROR(__xludf.DUMMYFUNCTION("TEXTJOIN("" | "",TRUE,IF(OR(D3767="""",E3767="""",I3767="""",J3767="""",H3767=""""),""ফাঁকা ঘর"",""""),IF(AND(C3767&lt;&gt;"""",D3767&lt;&gt;"""",C3767=D3767),""gloss=figurative"",""""),IF(LEN(D3767)&lt;15,""figurative ছোট"",""""),IF(AND(I3767=""Positive"",REGEXMATCH(H3"&amp;"767,""মূর্খ|ভণ্ড|প্রতার|অলস|লোভ|স্বার্থ|অক্ষম|অযোগ্য|বোকা|কৃপণ|হিংস"")),""valence-target অমিল"",""""),IF(COUNTIF($B:$B,B3767)&gt;1,""ডুপ্লিকেট"",""""))"),"")</f>
        <v/>
      </c>
      <c r="Q3767" s="5" t="str">
        <f t="shared" si="1"/>
        <v>২ পরে</v>
      </c>
    </row>
    <row r="3768">
      <c r="A3768" s="4">
        <v>1583.0</v>
      </c>
      <c r="B3768" s="2" t="s">
        <v>15214</v>
      </c>
      <c r="C3768" s="2" t="s">
        <v>15215</v>
      </c>
      <c r="D3768" s="2" t="s">
        <v>15216</v>
      </c>
      <c r="E3768" s="2" t="s">
        <v>15217</v>
      </c>
      <c r="F3768" s="2" t="b">
        <v>1</v>
      </c>
      <c r="G3768" s="2" t="b">
        <v>0</v>
      </c>
      <c r="H3768" s="2" t="s">
        <v>15209</v>
      </c>
      <c r="I3768" s="2" t="s">
        <v>22</v>
      </c>
      <c r="J3768" s="2" t="s">
        <v>1060</v>
      </c>
      <c r="K3768" s="2" t="s">
        <v>495</v>
      </c>
      <c r="L3768" s="13" t="s">
        <v>496</v>
      </c>
      <c r="M3768" s="2" t="s">
        <v>26</v>
      </c>
      <c r="N3768" s="29"/>
      <c r="O3768" s="29"/>
      <c r="P3768" s="5" t="str">
        <f>IFERROR(__xludf.DUMMYFUNCTION("TEXTJOIN("" | "",TRUE,IF(OR(D3768="""",E3768="""",I3768="""",J3768="""",H3768=""""),""ফাঁকা ঘর"",""""),IF(AND(C3768&lt;&gt;"""",D3768&lt;&gt;"""",C3768=D3768),""gloss=figurative"",""""),IF(LEN(D3768)&lt;15,""figurative ছোট"",""""),IF(AND(I3768=""Positive"",REGEXMATCH(H3"&amp;"768,""মূর্খ|ভণ্ড|প্রতার|অলস|লোভ|স্বার্থ|অক্ষম|অযোগ্য|বোকা|কৃপণ|হিংস"")),""valence-target অমিল"",""""),IF(COUNTIF($B:$B,B3768)&gt;1,""ডুপ্লিকেট"",""""))"),"")</f>
        <v/>
      </c>
      <c r="Q3768" s="5" t="str">
        <f t="shared" si="1"/>
        <v>২ পরে</v>
      </c>
    </row>
    <row r="3769">
      <c r="A3769" s="4">
        <v>1584.0</v>
      </c>
      <c r="B3769" s="2" t="s">
        <v>15218</v>
      </c>
      <c r="C3769" s="2" t="s">
        <v>15219</v>
      </c>
      <c r="D3769" s="2" t="s">
        <v>15220</v>
      </c>
      <c r="E3769" s="2" t="s">
        <v>15221</v>
      </c>
      <c r="F3769" s="2" t="b">
        <v>1</v>
      </c>
      <c r="G3769" s="2" t="b">
        <v>0</v>
      </c>
      <c r="H3769" s="2" t="s">
        <v>15222</v>
      </c>
      <c r="I3769" s="2" t="s">
        <v>22</v>
      </c>
      <c r="J3769" s="2" t="s">
        <v>43</v>
      </c>
      <c r="K3769" s="2" t="s">
        <v>495</v>
      </c>
      <c r="L3769" s="13" t="s">
        <v>496</v>
      </c>
      <c r="M3769" s="2" t="s">
        <v>26</v>
      </c>
      <c r="N3769" s="29"/>
      <c r="O3769" s="29"/>
      <c r="P3769" s="5" t="str">
        <f>IFERROR(__xludf.DUMMYFUNCTION("TEXTJOIN("" | "",TRUE,IF(OR(D3769="""",E3769="""",I3769="""",J3769="""",H3769=""""),""ফাঁকা ঘর"",""""),IF(AND(C3769&lt;&gt;"""",D3769&lt;&gt;"""",C3769=D3769),""gloss=figurative"",""""),IF(LEN(D3769)&lt;15,""figurative ছোট"",""""),IF(AND(I3769=""Positive"",REGEXMATCH(H3"&amp;"769,""মূর্খ|ভণ্ড|প্রতার|অলস|লোভ|স্বার্থ|অক্ষম|অযোগ্য|বোকা|কৃপণ|হিংস"")),""valence-target অমিল"",""""),IF(COUNTIF($B:$B,B3769)&gt;1,""ডুপ্লিকেট"",""""))"),"")</f>
        <v/>
      </c>
      <c r="Q3769" s="5" t="str">
        <f t="shared" si="1"/>
        <v>২ পরে</v>
      </c>
    </row>
    <row r="3770">
      <c r="A3770" s="4">
        <v>1585.0</v>
      </c>
      <c r="B3770" s="2" t="s">
        <v>15223</v>
      </c>
      <c r="C3770" s="2" t="s">
        <v>15224</v>
      </c>
      <c r="D3770" s="2" t="s">
        <v>15225</v>
      </c>
      <c r="E3770" s="2" t="s">
        <v>15226</v>
      </c>
      <c r="F3770" s="2" t="b">
        <v>1</v>
      </c>
      <c r="G3770" s="2" t="b">
        <v>0</v>
      </c>
      <c r="H3770" s="2" t="s">
        <v>37</v>
      </c>
      <c r="I3770" s="2" t="s">
        <v>32</v>
      </c>
      <c r="J3770" s="2" t="s">
        <v>15227</v>
      </c>
      <c r="K3770" s="2" t="s">
        <v>495</v>
      </c>
      <c r="L3770" s="13" t="s">
        <v>496</v>
      </c>
      <c r="M3770" s="2" t="s">
        <v>26</v>
      </c>
      <c r="N3770" s="29"/>
      <c r="O3770" s="29"/>
      <c r="P3770" s="5" t="str">
        <f>IFERROR(__xludf.DUMMYFUNCTION("TEXTJOIN("" | "",TRUE,IF(OR(D3770="""",E3770="""",I3770="""",J3770="""",H3770=""""),""ফাঁকা ঘর"",""""),IF(AND(C3770&lt;&gt;"""",D3770&lt;&gt;"""",C3770=D3770),""gloss=figurative"",""""),IF(LEN(D3770)&lt;15,""figurative ছোট"",""""),IF(AND(I3770=""Positive"",REGEXMATCH(H3"&amp;"770,""মূর্খ|ভণ্ড|প্রতার|অলস|লোভ|স্বার্থ|অক্ষম|অযোগ্য|বোকা|কৃপণ|হিংস"")),""valence-target অমিল"",""""),IF(COUNTIF($B:$B,B3770)&gt;1,""ডুপ্লিকেট"",""""))"),"")</f>
        <v/>
      </c>
      <c r="Q3770" s="5" t="str">
        <f t="shared" si="1"/>
        <v>২ পরে</v>
      </c>
    </row>
    <row r="3771">
      <c r="A3771" s="4">
        <v>1586.0</v>
      </c>
      <c r="B3771" s="2" t="s">
        <v>15228</v>
      </c>
      <c r="C3771" s="2" t="s">
        <v>15229</v>
      </c>
      <c r="D3771" s="2" t="s">
        <v>15230</v>
      </c>
      <c r="E3771" s="2" t="s">
        <v>15231</v>
      </c>
      <c r="F3771" s="2" t="b">
        <v>1</v>
      </c>
      <c r="G3771" s="2" t="b">
        <v>0</v>
      </c>
      <c r="H3771" s="2" t="s">
        <v>14960</v>
      </c>
      <c r="I3771" s="2" t="s">
        <v>22</v>
      </c>
      <c r="J3771" s="2" t="s">
        <v>43</v>
      </c>
      <c r="K3771" s="2" t="s">
        <v>495</v>
      </c>
      <c r="L3771" s="13" t="s">
        <v>496</v>
      </c>
      <c r="M3771" s="2" t="s">
        <v>26</v>
      </c>
      <c r="N3771" s="29"/>
      <c r="O3771" s="29"/>
      <c r="P3771" s="5" t="str">
        <f>IFERROR(__xludf.DUMMYFUNCTION("TEXTJOIN("" | "",TRUE,IF(OR(D3771="""",E3771="""",I3771="""",J3771="""",H3771=""""),""ফাঁকা ঘর"",""""),IF(AND(C3771&lt;&gt;"""",D3771&lt;&gt;"""",C3771=D3771),""gloss=figurative"",""""),IF(LEN(D3771)&lt;15,""figurative ছোট"",""""),IF(AND(I3771=""Positive"",REGEXMATCH(H3"&amp;"771,""মূর্খ|ভণ্ড|প্রতার|অলস|লোভ|স্বার্থ|অক্ষম|অযোগ্য|বোকা|কৃপণ|হিংস"")),""valence-target অমিল"",""""),IF(COUNTIF($B:$B,B3771)&gt;1,""ডুপ্লিকেট"",""""))"),"")</f>
        <v/>
      </c>
      <c r="Q3771" s="5" t="str">
        <f t="shared" si="1"/>
        <v>২ পরে</v>
      </c>
    </row>
    <row r="3772">
      <c r="A3772" s="4">
        <v>1587.0</v>
      </c>
      <c r="B3772" s="2" t="s">
        <v>15232</v>
      </c>
      <c r="C3772" s="2" t="s">
        <v>15233</v>
      </c>
      <c r="D3772" s="2" t="s">
        <v>15234</v>
      </c>
      <c r="E3772" s="2" t="s">
        <v>15235</v>
      </c>
      <c r="F3772" s="2" t="b">
        <v>1</v>
      </c>
      <c r="G3772" s="2" t="b">
        <v>0</v>
      </c>
      <c r="H3772" s="2" t="s">
        <v>15236</v>
      </c>
      <c r="I3772" s="2" t="s">
        <v>22</v>
      </c>
      <c r="J3772" s="2" t="s">
        <v>15237</v>
      </c>
      <c r="K3772" s="2" t="s">
        <v>495</v>
      </c>
      <c r="L3772" s="13" t="s">
        <v>496</v>
      </c>
      <c r="M3772" s="2" t="s">
        <v>26</v>
      </c>
      <c r="N3772" s="29"/>
      <c r="O3772" s="29"/>
      <c r="P3772" s="5" t="str">
        <f>IFERROR(__xludf.DUMMYFUNCTION("TEXTJOIN("" | "",TRUE,IF(OR(D3772="""",E3772="""",I3772="""",J3772="""",H3772=""""),""ফাঁকা ঘর"",""""),IF(AND(C3772&lt;&gt;"""",D3772&lt;&gt;"""",C3772=D3772),""gloss=figurative"",""""),IF(LEN(D3772)&lt;15,""figurative ছোট"",""""),IF(AND(I3772=""Positive"",REGEXMATCH(H3"&amp;"772,""মূর্খ|ভণ্ড|প্রতার|অলস|লোভ|স্বার্থ|অক্ষম|অযোগ্য|বোকা|কৃপণ|হিংস"")),""valence-target অমিল"",""""),IF(COUNTIF($B:$B,B3772)&gt;1,""ডুপ্লিকেট"",""""))"),"")</f>
        <v/>
      </c>
      <c r="Q3772" s="5" t="str">
        <f t="shared" si="1"/>
        <v>২ পরে</v>
      </c>
    </row>
    <row r="3773">
      <c r="A3773" s="4">
        <v>1588.0</v>
      </c>
      <c r="B3773" s="2" t="s">
        <v>15238</v>
      </c>
      <c r="C3773" s="2" t="s">
        <v>15239</v>
      </c>
      <c r="D3773" s="2" t="s">
        <v>15240</v>
      </c>
      <c r="E3773" s="2" t="s">
        <v>15241</v>
      </c>
      <c r="F3773" s="2" t="b">
        <v>1</v>
      </c>
      <c r="G3773" s="2" t="b">
        <v>0</v>
      </c>
      <c r="H3773" s="2" t="s">
        <v>37</v>
      </c>
      <c r="I3773" s="2" t="s">
        <v>49</v>
      </c>
      <c r="J3773" s="2" t="s">
        <v>300</v>
      </c>
      <c r="K3773" s="2" t="s">
        <v>495</v>
      </c>
      <c r="L3773" s="13" t="s">
        <v>496</v>
      </c>
      <c r="M3773" s="2" t="s">
        <v>26</v>
      </c>
      <c r="N3773" s="29"/>
      <c r="O3773" s="29"/>
      <c r="P3773" s="5" t="str">
        <f>IFERROR(__xludf.DUMMYFUNCTION("TEXTJOIN("" | "",TRUE,IF(OR(D3773="""",E3773="""",I3773="""",J3773="""",H3773=""""),""ফাঁকা ঘর"",""""),IF(AND(C3773&lt;&gt;"""",D3773&lt;&gt;"""",C3773=D3773),""gloss=figurative"",""""),IF(LEN(D3773)&lt;15,""figurative ছোট"",""""),IF(AND(I3773=""Positive"",REGEXMATCH(H3"&amp;"773,""মূর্খ|ভণ্ড|প্রতার|অলস|লোভ|স্বার্থ|অক্ষম|অযোগ্য|বোকা|কৃপণ|হিংস"")),""valence-target অমিল"",""""),IF(COUNTIF($B:$B,B3773)&gt;1,""ডুপ্লিকেট"",""""))"),"")</f>
        <v/>
      </c>
      <c r="Q3773" s="5" t="str">
        <f t="shared" si="1"/>
        <v>২ পরে</v>
      </c>
    </row>
    <row r="3774">
      <c r="A3774" s="4">
        <v>1589.0</v>
      </c>
      <c r="B3774" s="2" t="s">
        <v>15242</v>
      </c>
      <c r="C3774" s="2" t="s">
        <v>15243</v>
      </c>
      <c r="D3774" s="2" t="s">
        <v>15244</v>
      </c>
      <c r="E3774" s="2" t="s">
        <v>15245</v>
      </c>
      <c r="F3774" s="2" t="b">
        <v>1</v>
      </c>
      <c r="G3774" s="2" t="b">
        <v>0</v>
      </c>
      <c r="H3774" s="2" t="s">
        <v>15246</v>
      </c>
      <c r="I3774" s="2" t="s">
        <v>32</v>
      </c>
      <c r="J3774" s="2" t="s">
        <v>15247</v>
      </c>
      <c r="K3774" s="2" t="s">
        <v>495</v>
      </c>
      <c r="L3774" s="13" t="s">
        <v>496</v>
      </c>
      <c r="M3774" s="2" t="s">
        <v>26</v>
      </c>
      <c r="N3774" s="29"/>
      <c r="O3774" s="29"/>
      <c r="P3774" s="5" t="str">
        <f>IFERROR(__xludf.DUMMYFUNCTION("TEXTJOIN("" | "",TRUE,IF(OR(D3774="""",E3774="""",I3774="""",J3774="""",H3774=""""),""ফাঁকা ঘর"",""""),IF(AND(C3774&lt;&gt;"""",D3774&lt;&gt;"""",C3774=D3774),""gloss=figurative"",""""),IF(LEN(D3774)&lt;15,""figurative ছোট"",""""),IF(AND(I3774=""Positive"",REGEXMATCH(H3"&amp;"774,""মূর্খ|ভণ্ড|প্রতার|অলস|লোভ|স্বার্থ|অক্ষম|অযোগ্য|বোকা|কৃপণ|হিংস"")),""valence-target অমিল"",""""),IF(COUNTIF($B:$B,B3774)&gt;1,""ডুপ্লিকেট"",""""))"),"")</f>
        <v/>
      </c>
      <c r="Q3774" s="5" t="str">
        <f t="shared" si="1"/>
        <v>২ পরে</v>
      </c>
    </row>
    <row r="3775">
      <c r="A3775" s="4">
        <v>1590.0</v>
      </c>
      <c r="B3775" s="2" t="s">
        <v>15248</v>
      </c>
      <c r="C3775" s="2" t="s">
        <v>15249</v>
      </c>
      <c r="D3775" s="2" t="s">
        <v>15250</v>
      </c>
      <c r="E3775" s="2" t="s">
        <v>15251</v>
      </c>
      <c r="F3775" s="2" t="b">
        <v>1</v>
      </c>
      <c r="G3775" s="2" t="b">
        <v>0</v>
      </c>
      <c r="H3775" s="2" t="s">
        <v>15252</v>
      </c>
      <c r="I3775" s="2" t="s">
        <v>32</v>
      </c>
      <c r="J3775" s="2" t="s">
        <v>447</v>
      </c>
      <c r="K3775" s="2" t="s">
        <v>495</v>
      </c>
      <c r="L3775" s="13" t="s">
        <v>496</v>
      </c>
      <c r="M3775" s="2" t="s">
        <v>26</v>
      </c>
      <c r="N3775" s="29"/>
      <c r="O3775" s="29"/>
      <c r="P3775" s="5" t="str">
        <f>IFERROR(__xludf.DUMMYFUNCTION("TEXTJOIN("" | "",TRUE,IF(OR(D3775="""",E3775="""",I3775="""",J3775="""",H3775=""""),""ফাঁকা ঘর"",""""),IF(AND(C3775&lt;&gt;"""",D3775&lt;&gt;"""",C3775=D3775),""gloss=figurative"",""""),IF(LEN(D3775)&lt;15,""figurative ছোট"",""""),IF(AND(I3775=""Positive"",REGEXMATCH(H3"&amp;"775,""মূর্খ|ভণ্ড|প্রতার|অলস|লোভ|স্বার্থ|অক্ষম|অযোগ্য|বোকা|কৃপণ|হিংস"")),""valence-target অমিল"",""""),IF(COUNTIF($B:$B,B3775)&gt;1,""ডুপ্লিকেট"",""""))"),"")</f>
        <v/>
      </c>
      <c r="Q3775" s="5" t="str">
        <f t="shared" si="1"/>
        <v>২ পরে</v>
      </c>
    </row>
    <row r="3776">
      <c r="A3776" s="4">
        <v>1591.0</v>
      </c>
      <c r="B3776" s="2" t="s">
        <v>15253</v>
      </c>
      <c r="C3776" s="2" t="s">
        <v>15254</v>
      </c>
      <c r="D3776" s="2" t="s">
        <v>15255</v>
      </c>
      <c r="E3776" s="2" t="s">
        <v>15256</v>
      </c>
      <c r="F3776" s="2" t="b">
        <v>1</v>
      </c>
      <c r="G3776" s="2" t="b">
        <v>0</v>
      </c>
      <c r="H3776" s="2" t="s">
        <v>15257</v>
      </c>
      <c r="I3776" s="2" t="s">
        <v>49</v>
      </c>
      <c r="J3776" s="2" t="s">
        <v>1621</v>
      </c>
      <c r="K3776" s="2" t="s">
        <v>495</v>
      </c>
      <c r="L3776" s="13" t="s">
        <v>496</v>
      </c>
      <c r="M3776" s="2" t="s">
        <v>26</v>
      </c>
      <c r="N3776" s="29"/>
      <c r="O3776" s="29"/>
      <c r="P3776" s="5" t="str">
        <f>IFERROR(__xludf.DUMMYFUNCTION("TEXTJOIN("" | "",TRUE,IF(OR(D3776="""",E3776="""",I3776="""",J3776="""",H3776=""""),""ফাঁকা ঘর"",""""),IF(AND(C3776&lt;&gt;"""",D3776&lt;&gt;"""",C3776=D3776),""gloss=figurative"",""""),IF(LEN(D3776)&lt;15,""figurative ছোট"",""""),IF(AND(I3776=""Positive"",REGEXMATCH(H3"&amp;"776,""মূর্খ|ভণ্ড|প্রতার|অলস|লোভ|স্বার্থ|অক্ষম|অযোগ্য|বোকা|কৃপণ|হিংস"")),""valence-target অমিল"",""""),IF(COUNTIF($B:$B,B3776)&gt;1,""ডুপ্লিকেট"",""""))"),"")</f>
        <v/>
      </c>
      <c r="Q3776" s="5" t="str">
        <f t="shared" si="1"/>
        <v>২ পরে</v>
      </c>
    </row>
    <row r="3777">
      <c r="A3777" s="4">
        <v>1592.0</v>
      </c>
      <c r="B3777" s="2" t="s">
        <v>15258</v>
      </c>
      <c r="C3777" s="2" t="s">
        <v>15259</v>
      </c>
      <c r="D3777" s="2" t="s">
        <v>15260</v>
      </c>
      <c r="E3777" s="2" t="s">
        <v>15261</v>
      </c>
      <c r="F3777" s="2" t="b">
        <v>1</v>
      </c>
      <c r="G3777" s="2" t="b">
        <v>0</v>
      </c>
      <c r="H3777" s="2" t="s">
        <v>8848</v>
      </c>
      <c r="I3777" s="2" t="s">
        <v>22</v>
      </c>
      <c r="J3777" s="2" t="s">
        <v>15262</v>
      </c>
      <c r="K3777" s="2" t="s">
        <v>495</v>
      </c>
      <c r="L3777" s="13" t="s">
        <v>496</v>
      </c>
      <c r="M3777" s="2" t="s">
        <v>26</v>
      </c>
      <c r="N3777" s="29"/>
      <c r="O3777" s="29"/>
      <c r="P3777" s="5" t="str">
        <f>IFERROR(__xludf.DUMMYFUNCTION("TEXTJOIN("" | "",TRUE,IF(OR(D3777="""",E3777="""",I3777="""",J3777="""",H3777=""""),""ফাঁকা ঘর"",""""),IF(AND(C3777&lt;&gt;"""",D3777&lt;&gt;"""",C3777=D3777),""gloss=figurative"",""""),IF(LEN(D3777)&lt;15,""figurative ছোট"",""""),IF(AND(I3777=""Positive"",REGEXMATCH(H3"&amp;"777,""মূর্খ|ভণ্ড|প্রতার|অলস|লোভ|স্বার্থ|অক্ষম|অযোগ্য|বোকা|কৃপণ|হিংস"")),""valence-target অমিল"",""""),IF(COUNTIF($B:$B,B3777)&gt;1,""ডুপ্লিকেট"",""""))"),"")</f>
        <v/>
      </c>
      <c r="Q3777" s="5" t="str">
        <f t="shared" si="1"/>
        <v>২ পরে</v>
      </c>
    </row>
    <row r="3778">
      <c r="A3778" s="4">
        <v>1593.0</v>
      </c>
      <c r="B3778" s="2" t="s">
        <v>15263</v>
      </c>
      <c r="C3778" s="2" t="s">
        <v>15264</v>
      </c>
      <c r="D3778" s="2" t="s">
        <v>15265</v>
      </c>
      <c r="E3778" s="2" t="s">
        <v>15266</v>
      </c>
      <c r="F3778" s="2" t="b">
        <v>1</v>
      </c>
      <c r="G3778" s="2" t="b">
        <v>0</v>
      </c>
      <c r="H3778" s="2" t="s">
        <v>15267</v>
      </c>
      <c r="I3778" s="2" t="s">
        <v>22</v>
      </c>
      <c r="J3778" s="2" t="s">
        <v>15262</v>
      </c>
      <c r="K3778" s="2" t="s">
        <v>495</v>
      </c>
      <c r="L3778" s="13" t="s">
        <v>496</v>
      </c>
      <c r="M3778" s="2" t="s">
        <v>26</v>
      </c>
      <c r="N3778" s="29"/>
      <c r="O3778" s="29"/>
      <c r="P3778" s="5" t="str">
        <f>IFERROR(__xludf.DUMMYFUNCTION("TEXTJOIN("" | "",TRUE,IF(OR(D3778="""",E3778="""",I3778="""",J3778="""",H3778=""""),""ফাঁকা ঘর"",""""),IF(AND(C3778&lt;&gt;"""",D3778&lt;&gt;"""",C3778=D3778),""gloss=figurative"",""""),IF(LEN(D3778)&lt;15,""figurative ছোট"",""""),IF(AND(I3778=""Positive"",REGEXMATCH(H3"&amp;"778,""মূর্খ|ভণ্ড|প্রতার|অলস|লোভ|স্বার্থ|অক্ষম|অযোগ্য|বোকা|কৃপণ|হিংস"")),""valence-target অমিল"",""""),IF(COUNTIF($B:$B,B3778)&gt;1,""ডুপ্লিকেট"",""""))"),"")</f>
        <v/>
      </c>
      <c r="Q3778" s="5" t="str">
        <f t="shared" si="1"/>
        <v>২ পরে</v>
      </c>
    </row>
    <row r="3779">
      <c r="A3779" s="4">
        <v>1594.0</v>
      </c>
      <c r="B3779" s="2" t="s">
        <v>15268</v>
      </c>
      <c r="C3779" s="2" t="s">
        <v>15269</v>
      </c>
      <c r="D3779" s="2" t="s">
        <v>15270</v>
      </c>
      <c r="E3779" s="2" t="s">
        <v>15271</v>
      </c>
      <c r="F3779" s="2" t="b">
        <v>1</v>
      </c>
      <c r="G3779" s="2" t="b">
        <v>0</v>
      </c>
      <c r="H3779" s="2" t="s">
        <v>15272</v>
      </c>
      <c r="I3779" s="2" t="s">
        <v>32</v>
      </c>
      <c r="J3779" s="2" t="s">
        <v>300</v>
      </c>
      <c r="K3779" s="2" t="s">
        <v>495</v>
      </c>
      <c r="L3779" s="13" t="s">
        <v>496</v>
      </c>
      <c r="M3779" s="2" t="s">
        <v>26</v>
      </c>
      <c r="N3779" s="29"/>
      <c r="O3779" s="29"/>
      <c r="P3779" s="5" t="str">
        <f>IFERROR(__xludf.DUMMYFUNCTION("TEXTJOIN("" | "",TRUE,IF(OR(D3779="""",E3779="""",I3779="""",J3779="""",H3779=""""),""ফাঁকা ঘর"",""""),IF(AND(C3779&lt;&gt;"""",D3779&lt;&gt;"""",C3779=D3779),""gloss=figurative"",""""),IF(LEN(D3779)&lt;15,""figurative ছোট"",""""),IF(AND(I3779=""Positive"",REGEXMATCH(H3"&amp;"779,""মূর্খ|ভণ্ড|প্রতার|অলস|লোভ|স্বার্থ|অক্ষম|অযোগ্য|বোকা|কৃপণ|হিংস"")),""valence-target অমিল"",""""),IF(COUNTIF($B:$B,B3779)&gt;1,""ডুপ্লিকেট"",""""))"),"")</f>
        <v/>
      </c>
      <c r="Q3779" s="5" t="str">
        <f t="shared" si="1"/>
        <v>২ পরে</v>
      </c>
    </row>
    <row r="3780">
      <c r="A3780" s="4">
        <v>1595.0</v>
      </c>
      <c r="B3780" s="2" t="s">
        <v>15273</v>
      </c>
      <c r="C3780" s="2" t="s">
        <v>15274</v>
      </c>
      <c r="D3780" s="2" t="s">
        <v>15275</v>
      </c>
      <c r="E3780" s="2" t="s">
        <v>15276</v>
      </c>
      <c r="F3780" s="2" t="b">
        <v>1</v>
      </c>
      <c r="G3780" s="2" t="b">
        <v>0</v>
      </c>
      <c r="H3780" s="2" t="s">
        <v>15277</v>
      </c>
      <c r="I3780" s="2" t="s">
        <v>49</v>
      </c>
      <c r="J3780" s="2" t="s">
        <v>1060</v>
      </c>
      <c r="K3780" s="2" t="s">
        <v>495</v>
      </c>
      <c r="L3780" s="13" t="s">
        <v>496</v>
      </c>
      <c r="M3780" s="2" t="s">
        <v>26</v>
      </c>
      <c r="N3780" s="29"/>
      <c r="O3780" s="29"/>
      <c r="P3780" s="5" t="str">
        <f>IFERROR(__xludf.DUMMYFUNCTION("TEXTJOIN("" | "",TRUE,IF(OR(D3780="""",E3780="""",I3780="""",J3780="""",H3780=""""),""ফাঁকা ঘর"",""""),IF(AND(C3780&lt;&gt;"""",D3780&lt;&gt;"""",C3780=D3780),""gloss=figurative"",""""),IF(LEN(D3780)&lt;15,""figurative ছোট"",""""),IF(AND(I3780=""Positive"",REGEXMATCH(H3"&amp;"780,""মূর্খ|ভণ্ড|প্রতার|অলস|লোভ|স্বার্থ|অক্ষম|অযোগ্য|বোকা|কৃপণ|হিংস"")),""valence-target অমিল"",""""),IF(COUNTIF($B:$B,B3780)&gt;1,""ডুপ্লিকেট"",""""))"),"")</f>
        <v/>
      </c>
      <c r="Q3780" s="5" t="str">
        <f t="shared" si="1"/>
        <v>২ পরে</v>
      </c>
    </row>
    <row r="3781">
      <c r="A3781" s="4">
        <v>1596.0</v>
      </c>
      <c r="B3781" s="2" t="s">
        <v>15278</v>
      </c>
      <c r="C3781" s="2" t="s">
        <v>15279</v>
      </c>
      <c r="D3781" s="2" t="s">
        <v>15280</v>
      </c>
      <c r="E3781" s="2" t="s">
        <v>15281</v>
      </c>
      <c r="F3781" s="2" t="b">
        <v>1</v>
      </c>
      <c r="G3781" s="2" t="b">
        <v>1</v>
      </c>
      <c r="H3781" s="2" t="s">
        <v>15282</v>
      </c>
      <c r="I3781" s="2" t="s">
        <v>22</v>
      </c>
      <c r="J3781" s="2" t="s">
        <v>15283</v>
      </c>
      <c r="K3781" s="2" t="s">
        <v>495</v>
      </c>
      <c r="L3781" s="13" t="s">
        <v>496</v>
      </c>
      <c r="M3781" s="2" t="s">
        <v>26</v>
      </c>
      <c r="N3781" s="29"/>
      <c r="O3781" s="29"/>
      <c r="P3781" s="5" t="str">
        <f>IFERROR(__xludf.DUMMYFUNCTION("TEXTJOIN("" | "",TRUE,IF(OR(D3781="""",E3781="""",I3781="""",J3781="""",H3781=""""),""ফাঁকা ঘর"",""""),IF(AND(C3781&lt;&gt;"""",D3781&lt;&gt;"""",C3781=D3781),""gloss=figurative"",""""),IF(LEN(D3781)&lt;15,""figurative ছোট"",""""),IF(AND(I3781=""Positive"",REGEXMATCH(H3"&amp;"781,""মূর্খ|ভণ্ড|প্রতার|অলস|লোভ|স্বার্থ|অক্ষম|অযোগ্য|বোকা|কৃপণ|হিংস"")),""valence-target অমিল"",""""),IF(COUNTIF($B:$B,B3781)&gt;1,""ডুপ্লিকেট"",""""))"),"")</f>
        <v/>
      </c>
      <c r="Q3781" s="5" t="str">
        <f t="shared" si="1"/>
        <v>২ পরে</v>
      </c>
    </row>
    <row r="3782">
      <c r="A3782" s="4">
        <v>1597.0</v>
      </c>
      <c r="B3782" s="2" t="s">
        <v>15284</v>
      </c>
      <c r="C3782" s="2" t="s">
        <v>15285</v>
      </c>
      <c r="D3782" s="2" t="s">
        <v>15286</v>
      </c>
      <c r="E3782" s="2" t="s">
        <v>15287</v>
      </c>
      <c r="F3782" s="2" t="b">
        <v>1</v>
      </c>
      <c r="G3782" s="2" t="b">
        <v>0</v>
      </c>
      <c r="H3782" s="2" t="s">
        <v>15288</v>
      </c>
      <c r="I3782" s="2" t="s">
        <v>22</v>
      </c>
      <c r="J3782" s="2" t="s">
        <v>43</v>
      </c>
      <c r="K3782" s="2" t="s">
        <v>495</v>
      </c>
      <c r="L3782" s="13" t="s">
        <v>496</v>
      </c>
      <c r="M3782" s="2" t="s">
        <v>26</v>
      </c>
      <c r="N3782" s="29"/>
      <c r="O3782" s="29"/>
      <c r="P3782" s="5" t="str">
        <f>IFERROR(__xludf.DUMMYFUNCTION("TEXTJOIN("" | "",TRUE,IF(OR(D3782="""",E3782="""",I3782="""",J3782="""",H3782=""""),""ফাঁকা ঘর"",""""),IF(AND(C3782&lt;&gt;"""",D3782&lt;&gt;"""",C3782=D3782),""gloss=figurative"",""""),IF(LEN(D3782)&lt;15,""figurative ছোট"",""""),IF(AND(I3782=""Positive"",REGEXMATCH(H3"&amp;"782,""মূর্খ|ভণ্ড|প্রতার|অলস|লোভ|স্বার্থ|অক্ষম|অযোগ্য|বোকা|কৃপণ|হিংস"")),""valence-target অমিল"",""""),IF(COUNTIF($B:$B,B3782)&gt;1,""ডুপ্লিকেট"",""""))"),"")</f>
        <v/>
      </c>
      <c r="Q3782" s="5" t="str">
        <f t="shared" si="1"/>
        <v>২ পরে</v>
      </c>
    </row>
    <row r="3783">
      <c r="A3783" s="4">
        <v>1598.0</v>
      </c>
      <c r="B3783" s="2" t="s">
        <v>15289</v>
      </c>
      <c r="C3783" s="2" t="s">
        <v>15290</v>
      </c>
      <c r="D3783" s="2" t="s">
        <v>15291</v>
      </c>
      <c r="E3783" s="2" t="s">
        <v>15292</v>
      </c>
      <c r="F3783" s="2" t="b">
        <v>1</v>
      </c>
      <c r="G3783" s="2" t="b">
        <v>1</v>
      </c>
      <c r="H3783" s="2" t="s">
        <v>15293</v>
      </c>
      <c r="I3783" s="2" t="s">
        <v>22</v>
      </c>
      <c r="J3783" s="2" t="s">
        <v>15294</v>
      </c>
      <c r="K3783" s="2" t="s">
        <v>495</v>
      </c>
      <c r="L3783" s="13" t="s">
        <v>496</v>
      </c>
      <c r="M3783" s="2" t="s">
        <v>26</v>
      </c>
      <c r="N3783" s="29"/>
      <c r="O3783" s="29"/>
      <c r="P3783" s="5" t="str">
        <f>IFERROR(__xludf.DUMMYFUNCTION("TEXTJOIN("" | "",TRUE,IF(OR(D3783="""",E3783="""",I3783="""",J3783="""",H3783=""""),""ফাঁকা ঘর"",""""),IF(AND(C3783&lt;&gt;"""",D3783&lt;&gt;"""",C3783=D3783),""gloss=figurative"",""""),IF(LEN(D3783)&lt;15,""figurative ছোট"",""""),IF(AND(I3783=""Positive"",REGEXMATCH(H3"&amp;"783,""মূর্খ|ভণ্ড|প্রতার|অলস|লোভ|স্বার্থ|অক্ষম|অযোগ্য|বোকা|কৃপণ|হিংস"")),""valence-target অমিল"",""""),IF(COUNTIF($B:$B,B3783)&gt;1,""ডুপ্লিকেট"",""""))"),"")</f>
        <v/>
      </c>
      <c r="Q3783" s="5" t="str">
        <f t="shared" si="1"/>
        <v>২ পরে</v>
      </c>
    </row>
    <row r="3784">
      <c r="A3784" s="4">
        <v>1599.0</v>
      </c>
      <c r="B3784" s="2" t="s">
        <v>15295</v>
      </c>
      <c r="C3784" s="2" t="s">
        <v>15296</v>
      </c>
      <c r="D3784" s="2" t="s">
        <v>15297</v>
      </c>
      <c r="E3784" s="2" t="s">
        <v>15298</v>
      </c>
      <c r="F3784" s="2" t="b">
        <v>1</v>
      </c>
      <c r="G3784" s="2" t="b">
        <v>0</v>
      </c>
      <c r="H3784" s="2" t="s">
        <v>15299</v>
      </c>
      <c r="I3784" s="2" t="s">
        <v>32</v>
      </c>
      <c r="J3784" s="2" t="s">
        <v>424</v>
      </c>
      <c r="K3784" s="2" t="s">
        <v>495</v>
      </c>
      <c r="L3784" s="13" t="s">
        <v>496</v>
      </c>
      <c r="M3784" s="2" t="s">
        <v>26</v>
      </c>
      <c r="N3784" s="29"/>
      <c r="O3784" s="29"/>
      <c r="P3784" s="5" t="str">
        <f>IFERROR(__xludf.DUMMYFUNCTION("TEXTJOIN("" | "",TRUE,IF(OR(D3784="""",E3784="""",I3784="""",J3784="""",H3784=""""),""ফাঁকা ঘর"",""""),IF(AND(C3784&lt;&gt;"""",D3784&lt;&gt;"""",C3784=D3784),""gloss=figurative"",""""),IF(LEN(D3784)&lt;15,""figurative ছোট"",""""),IF(AND(I3784=""Positive"",REGEXMATCH(H3"&amp;"784,""মূর্খ|ভণ্ড|প্রতার|অলস|লোভ|স্বার্থ|অক্ষম|অযোগ্য|বোকা|কৃপণ|হিংস"")),""valence-target অমিল"",""""),IF(COUNTIF($B:$B,B3784)&gt;1,""ডুপ্লিকেট"",""""))"),"")</f>
        <v/>
      </c>
      <c r="Q3784" s="5" t="str">
        <f t="shared" si="1"/>
        <v>২ পরে</v>
      </c>
    </row>
    <row r="3785">
      <c r="A3785" s="4">
        <v>1600.0</v>
      </c>
      <c r="B3785" s="2" t="s">
        <v>15300</v>
      </c>
      <c r="C3785" s="2" t="s">
        <v>15301</v>
      </c>
      <c r="D3785" s="2" t="s">
        <v>15302</v>
      </c>
      <c r="E3785" s="2" t="s">
        <v>15303</v>
      </c>
      <c r="F3785" s="2" t="b">
        <v>1</v>
      </c>
      <c r="G3785" s="2" t="b">
        <v>0</v>
      </c>
      <c r="H3785" s="2" t="s">
        <v>15277</v>
      </c>
      <c r="I3785" s="2" t="s">
        <v>49</v>
      </c>
      <c r="J3785" s="2" t="s">
        <v>1060</v>
      </c>
      <c r="K3785" s="2" t="s">
        <v>495</v>
      </c>
      <c r="L3785" s="13" t="s">
        <v>496</v>
      </c>
      <c r="M3785" s="2" t="s">
        <v>26</v>
      </c>
      <c r="N3785" s="29"/>
      <c r="O3785" s="29"/>
      <c r="P3785" s="5" t="str">
        <f>IFERROR(__xludf.DUMMYFUNCTION("TEXTJOIN("" | "",TRUE,IF(OR(D3785="""",E3785="""",I3785="""",J3785="""",H3785=""""),""ফাঁকা ঘর"",""""),IF(AND(C3785&lt;&gt;"""",D3785&lt;&gt;"""",C3785=D3785),""gloss=figurative"",""""),IF(LEN(D3785)&lt;15,""figurative ছোট"",""""),IF(AND(I3785=""Positive"",REGEXMATCH(H3"&amp;"785,""মূর্খ|ভণ্ড|প্রতার|অলস|লোভ|স্বার্থ|অক্ষম|অযোগ্য|বোকা|কৃপণ|হিংস"")),""valence-target অমিল"",""""),IF(COUNTIF($B:$B,B3785)&gt;1,""ডুপ্লিকেট"",""""))"),"")</f>
        <v/>
      </c>
      <c r="Q3785" s="5" t="str">
        <f t="shared" si="1"/>
        <v>২ পরে</v>
      </c>
    </row>
    <row r="3786">
      <c r="A3786" s="4">
        <v>1601.0</v>
      </c>
      <c r="B3786" s="2" t="s">
        <v>15304</v>
      </c>
      <c r="C3786" s="2" t="s">
        <v>15305</v>
      </c>
      <c r="D3786" s="2" t="s">
        <v>15306</v>
      </c>
      <c r="E3786" s="2" t="s">
        <v>15307</v>
      </c>
      <c r="F3786" s="2" t="b">
        <v>1</v>
      </c>
      <c r="G3786" s="2" t="b">
        <v>0</v>
      </c>
      <c r="H3786" s="2" t="s">
        <v>15308</v>
      </c>
      <c r="I3786" s="2" t="s">
        <v>49</v>
      </c>
      <c r="J3786" s="2" t="s">
        <v>708</v>
      </c>
      <c r="K3786" s="2" t="s">
        <v>495</v>
      </c>
      <c r="L3786" s="13" t="s">
        <v>496</v>
      </c>
      <c r="M3786" s="2" t="s">
        <v>26</v>
      </c>
      <c r="N3786" s="29"/>
      <c r="O3786" s="29"/>
      <c r="P3786" s="5" t="str">
        <f>IFERROR(__xludf.DUMMYFUNCTION("TEXTJOIN("" | "",TRUE,IF(OR(D3786="""",E3786="""",I3786="""",J3786="""",H3786=""""),""ফাঁকা ঘর"",""""),IF(AND(C3786&lt;&gt;"""",D3786&lt;&gt;"""",C3786=D3786),""gloss=figurative"",""""),IF(LEN(D3786)&lt;15,""figurative ছোট"",""""),IF(AND(I3786=""Positive"",REGEXMATCH(H3"&amp;"786,""মূর্খ|ভণ্ড|প্রতার|অলস|লোভ|স্বার্থ|অক্ষম|অযোগ্য|বোকা|কৃপণ|হিংস"")),""valence-target অমিল"",""""),IF(COUNTIF($B:$B,B3786)&gt;1,""ডুপ্লিকেট"",""""))"),"")</f>
        <v/>
      </c>
      <c r="Q3786" s="5" t="str">
        <f t="shared" si="1"/>
        <v>২ পরে</v>
      </c>
    </row>
    <row r="3787">
      <c r="A3787" s="4">
        <v>1602.0</v>
      </c>
      <c r="B3787" s="2" t="s">
        <v>15309</v>
      </c>
      <c r="C3787" s="2" t="s">
        <v>15310</v>
      </c>
      <c r="D3787" s="2" t="s">
        <v>15311</v>
      </c>
      <c r="E3787" s="2" t="s">
        <v>15312</v>
      </c>
      <c r="F3787" s="2" t="b">
        <v>1</v>
      </c>
      <c r="G3787" s="2" t="b">
        <v>0</v>
      </c>
      <c r="H3787" s="2" t="s">
        <v>37</v>
      </c>
      <c r="I3787" s="2" t="s">
        <v>22</v>
      </c>
      <c r="J3787" s="2" t="s">
        <v>4112</v>
      </c>
      <c r="K3787" s="2" t="s">
        <v>495</v>
      </c>
      <c r="L3787" s="13" t="s">
        <v>496</v>
      </c>
      <c r="M3787" s="2" t="s">
        <v>26</v>
      </c>
      <c r="N3787" s="29"/>
      <c r="O3787" s="29"/>
      <c r="P3787" s="5" t="str">
        <f>IFERROR(__xludf.DUMMYFUNCTION("TEXTJOIN("" | "",TRUE,IF(OR(D3787="""",E3787="""",I3787="""",J3787="""",H3787=""""),""ফাঁকা ঘর"",""""),IF(AND(C3787&lt;&gt;"""",D3787&lt;&gt;"""",C3787=D3787),""gloss=figurative"",""""),IF(LEN(D3787)&lt;15,""figurative ছোট"",""""),IF(AND(I3787=""Positive"",REGEXMATCH(H3"&amp;"787,""মূর্খ|ভণ্ড|প্রতার|অলস|লোভ|স্বার্থ|অক্ষম|অযোগ্য|বোকা|কৃপণ|হিংস"")),""valence-target অমিল"",""""),IF(COUNTIF($B:$B,B3787)&gt;1,""ডুপ্লিকেট"",""""))"),"")</f>
        <v/>
      </c>
      <c r="Q3787" s="5" t="str">
        <f t="shared" si="1"/>
        <v>২ পরে</v>
      </c>
    </row>
    <row r="3788">
      <c r="A3788" s="4">
        <v>1603.0</v>
      </c>
      <c r="B3788" s="2" t="s">
        <v>15313</v>
      </c>
      <c r="C3788" s="2" t="s">
        <v>15314</v>
      </c>
      <c r="D3788" s="2" t="s">
        <v>15315</v>
      </c>
      <c r="E3788" s="2" t="s">
        <v>15316</v>
      </c>
      <c r="F3788" s="2" t="b">
        <v>1</v>
      </c>
      <c r="G3788" s="2" t="b">
        <v>0</v>
      </c>
      <c r="H3788" s="2" t="s">
        <v>37</v>
      </c>
      <c r="I3788" s="2" t="s">
        <v>32</v>
      </c>
      <c r="J3788" s="2" t="s">
        <v>565</v>
      </c>
      <c r="K3788" s="2" t="s">
        <v>495</v>
      </c>
      <c r="L3788" s="13" t="s">
        <v>496</v>
      </c>
      <c r="M3788" s="2" t="s">
        <v>26</v>
      </c>
      <c r="N3788" s="29"/>
      <c r="O3788" s="29"/>
      <c r="P3788" s="5" t="str">
        <f>IFERROR(__xludf.DUMMYFUNCTION("TEXTJOIN("" | "",TRUE,IF(OR(D3788="""",E3788="""",I3788="""",J3788="""",H3788=""""),""ফাঁকা ঘর"",""""),IF(AND(C3788&lt;&gt;"""",D3788&lt;&gt;"""",C3788=D3788),""gloss=figurative"",""""),IF(LEN(D3788)&lt;15,""figurative ছোট"",""""),IF(AND(I3788=""Positive"",REGEXMATCH(H3"&amp;"788,""মূর্খ|ভণ্ড|প্রতার|অলস|লোভ|স্বার্থ|অক্ষম|অযোগ্য|বোকা|কৃপণ|হিংস"")),""valence-target অমিল"",""""),IF(COUNTIF($B:$B,B3788)&gt;1,""ডুপ্লিকেট"",""""))"),"")</f>
        <v/>
      </c>
      <c r="Q3788" s="5" t="str">
        <f t="shared" si="1"/>
        <v>২ পরে</v>
      </c>
    </row>
    <row r="3789">
      <c r="A3789" s="4">
        <v>1604.0</v>
      </c>
      <c r="B3789" s="2" t="s">
        <v>15317</v>
      </c>
      <c r="C3789" s="2" t="s">
        <v>15318</v>
      </c>
      <c r="D3789" s="2" t="s">
        <v>15319</v>
      </c>
      <c r="E3789" s="2" t="s">
        <v>15320</v>
      </c>
      <c r="F3789" s="2" t="b">
        <v>1</v>
      </c>
      <c r="G3789" s="2" t="b">
        <v>0</v>
      </c>
      <c r="H3789" s="2" t="s">
        <v>15321</v>
      </c>
      <c r="I3789" s="2" t="s">
        <v>22</v>
      </c>
      <c r="J3789" s="2" t="s">
        <v>43</v>
      </c>
      <c r="K3789" s="2" t="s">
        <v>495</v>
      </c>
      <c r="L3789" s="13" t="s">
        <v>496</v>
      </c>
      <c r="M3789" s="2" t="s">
        <v>26</v>
      </c>
      <c r="N3789" s="29"/>
      <c r="O3789" s="29"/>
      <c r="P3789" s="5" t="str">
        <f>IFERROR(__xludf.DUMMYFUNCTION("TEXTJOIN("" | "",TRUE,IF(OR(D3789="""",E3789="""",I3789="""",J3789="""",H3789=""""),""ফাঁকা ঘর"",""""),IF(AND(C3789&lt;&gt;"""",D3789&lt;&gt;"""",C3789=D3789),""gloss=figurative"",""""),IF(LEN(D3789)&lt;15,""figurative ছোট"",""""),IF(AND(I3789=""Positive"",REGEXMATCH(H3"&amp;"789,""মূর্খ|ভণ্ড|প্রতার|অলস|লোভ|স্বার্থ|অক্ষম|অযোগ্য|বোকা|কৃপণ|হিংস"")),""valence-target অমিল"",""""),IF(COUNTIF($B:$B,B3789)&gt;1,""ডুপ্লিকেট"",""""))"),"")</f>
        <v/>
      </c>
      <c r="Q3789" s="5" t="str">
        <f t="shared" si="1"/>
        <v>২ পরে</v>
      </c>
    </row>
    <row r="3790">
      <c r="A3790" s="4">
        <v>1605.0</v>
      </c>
      <c r="B3790" s="2" t="s">
        <v>15322</v>
      </c>
      <c r="C3790" s="2" t="s">
        <v>15323</v>
      </c>
      <c r="D3790" s="2" t="s">
        <v>15324</v>
      </c>
      <c r="E3790" s="2" t="s">
        <v>15325</v>
      </c>
      <c r="F3790" s="2" t="b">
        <v>1</v>
      </c>
      <c r="G3790" s="2" t="b">
        <v>0</v>
      </c>
      <c r="H3790" s="2" t="s">
        <v>15326</v>
      </c>
      <c r="I3790" s="2" t="s">
        <v>22</v>
      </c>
      <c r="J3790" s="2" t="s">
        <v>2732</v>
      </c>
      <c r="K3790" s="2" t="s">
        <v>495</v>
      </c>
      <c r="L3790" s="13" t="s">
        <v>496</v>
      </c>
      <c r="M3790" s="2" t="s">
        <v>26</v>
      </c>
      <c r="N3790" s="29"/>
      <c r="O3790" s="29"/>
      <c r="P3790" s="5" t="str">
        <f>IFERROR(__xludf.DUMMYFUNCTION("TEXTJOIN("" | "",TRUE,IF(OR(D3790="""",E3790="""",I3790="""",J3790="""",H3790=""""),""ফাঁকা ঘর"",""""),IF(AND(C3790&lt;&gt;"""",D3790&lt;&gt;"""",C3790=D3790),""gloss=figurative"",""""),IF(LEN(D3790)&lt;15,""figurative ছোট"",""""),IF(AND(I3790=""Positive"",REGEXMATCH(H3"&amp;"790,""মূর্খ|ভণ্ড|প্রতার|অলস|লোভ|স্বার্থ|অক্ষম|অযোগ্য|বোকা|কৃপণ|হিংস"")),""valence-target অমিল"",""""),IF(COUNTIF($B:$B,B3790)&gt;1,""ডুপ্লিকেট"",""""))"),"")</f>
        <v/>
      </c>
      <c r="Q3790" s="5" t="str">
        <f t="shared" si="1"/>
        <v>২ পরে</v>
      </c>
    </row>
    <row r="3791">
      <c r="A3791" s="4">
        <v>1606.0</v>
      </c>
      <c r="B3791" s="2" t="s">
        <v>15327</v>
      </c>
      <c r="C3791" s="2" t="s">
        <v>15328</v>
      </c>
      <c r="D3791" s="2" t="s">
        <v>15329</v>
      </c>
      <c r="E3791" s="2" t="s">
        <v>15330</v>
      </c>
      <c r="F3791" s="2" t="b">
        <v>1</v>
      </c>
      <c r="G3791" s="2" t="b">
        <v>0</v>
      </c>
      <c r="H3791" s="2" t="s">
        <v>37</v>
      </c>
      <c r="I3791" s="2" t="s">
        <v>49</v>
      </c>
      <c r="J3791" s="2" t="s">
        <v>162</v>
      </c>
      <c r="K3791" s="2" t="s">
        <v>495</v>
      </c>
      <c r="L3791" s="13" t="s">
        <v>496</v>
      </c>
      <c r="M3791" s="2" t="s">
        <v>26</v>
      </c>
      <c r="N3791" s="29"/>
      <c r="O3791" s="29"/>
      <c r="P3791" s="5" t="str">
        <f>IFERROR(__xludf.DUMMYFUNCTION("TEXTJOIN("" | "",TRUE,IF(OR(D3791="""",E3791="""",I3791="""",J3791="""",H3791=""""),""ফাঁকা ঘর"",""""),IF(AND(C3791&lt;&gt;"""",D3791&lt;&gt;"""",C3791=D3791),""gloss=figurative"",""""),IF(LEN(D3791)&lt;15,""figurative ছোট"",""""),IF(AND(I3791=""Positive"",REGEXMATCH(H3"&amp;"791,""মূর্খ|ভণ্ড|প্রতার|অলস|লোভ|স্বার্থ|অক্ষম|অযোগ্য|বোকা|কৃপণ|হিংস"")),""valence-target অমিল"",""""),IF(COUNTIF($B:$B,B3791)&gt;1,""ডুপ্লিকেট"",""""))"),"")</f>
        <v/>
      </c>
      <c r="Q3791" s="5" t="str">
        <f t="shared" si="1"/>
        <v>২ পরে</v>
      </c>
    </row>
    <row r="3792">
      <c r="A3792" s="4">
        <v>1607.0</v>
      </c>
      <c r="B3792" s="2" t="s">
        <v>15331</v>
      </c>
      <c r="C3792" s="2" t="s">
        <v>15332</v>
      </c>
      <c r="D3792" s="2" t="s">
        <v>15333</v>
      </c>
      <c r="E3792" s="2" t="s">
        <v>15334</v>
      </c>
      <c r="F3792" s="2" t="b">
        <v>1</v>
      </c>
      <c r="G3792" s="2" t="b">
        <v>0</v>
      </c>
      <c r="H3792" s="2" t="s">
        <v>15335</v>
      </c>
      <c r="I3792" s="2" t="s">
        <v>49</v>
      </c>
      <c r="J3792" s="2" t="s">
        <v>1803</v>
      </c>
      <c r="K3792" s="2" t="s">
        <v>495</v>
      </c>
      <c r="L3792" s="13" t="s">
        <v>496</v>
      </c>
      <c r="M3792" s="2" t="s">
        <v>26</v>
      </c>
      <c r="N3792" s="29"/>
      <c r="O3792" s="29"/>
      <c r="P3792" s="5" t="str">
        <f>IFERROR(__xludf.DUMMYFUNCTION("TEXTJOIN("" | "",TRUE,IF(OR(D3792="""",E3792="""",I3792="""",J3792="""",H3792=""""),""ফাঁকা ঘর"",""""),IF(AND(C3792&lt;&gt;"""",D3792&lt;&gt;"""",C3792=D3792),""gloss=figurative"",""""),IF(LEN(D3792)&lt;15,""figurative ছোট"",""""),IF(AND(I3792=""Positive"",REGEXMATCH(H3"&amp;"792,""মূর্খ|ভণ্ড|প্রতার|অলস|লোভ|স্বার্থ|অক্ষম|অযোগ্য|বোকা|কৃপণ|হিংস"")),""valence-target অমিল"",""""),IF(COUNTIF($B:$B,B3792)&gt;1,""ডুপ্লিকেট"",""""))"),"")</f>
        <v/>
      </c>
      <c r="Q3792" s="5" t="str">
        <f t="shared" si="1"/>
        <v>২ পরে</v>
      </c>
    </row>
    <row r="3793">
      <c r="A3793" s="4">
        <v>1608.0</v>
      </c>
      <c r="B3793" s="2" t="s">
        <v>15336</v>
      </c>
      <c r="C3793" s="2" t="s">
        <v>15337</v>
      </c>
      <c r="D3793" s="2" t="s">
        <v>15338</v>
      </c>
      <c r="E3793" s="2" t="s">
        <v>15339</v>
      </c>
      <c r="F3793" s="2" t="b">
        <v>1</v>
      </c>
      <c r="G3793" s="2" t="b">
        <v>0</v>
      </c>
      <c r="H3793" s="2" t="s">
        <v>37</v>
      </c>
      <c r="I3793" s="2" t="s">
        <v>32</v>
      </c>
      <c r="J3793" s="2" t="s">
        <v>1803</v>
      </c>
      <c r="K3793" s="2" t="s">
        <v>495</v>
      </c>
      <c r="L3793" s="13" t="s">
        <v>496</v>
      </c>
      <c r="M3793" s="2" t="s">
        <v>26</v>
      </c>
      <c r="N3793" s="29"/>
      <c r="O3793" s="29"/>
      <c r="P3793" s="5" t="str">
        <f>IFERROR(__xludf.DUMMYFUNCTION("TEXTJOIN("" | "",TRUE,IF(OR(D3793="""",E3793="""",I3793="""",J3793="""",H3793=""""),""ফাঁকা ঘর"",""""),IF(AND(C3793&lt;&gt;"""",D3793&lt;&gt;"""",C3793=D3793),""gloss=figurative"",""""),IF(LEN(D3793)&lt;15,""figurative ছোট"",""""),IF(AND(I3793=""Positive"",REGEXMATCH(H3"&amp;"793,""মূর্খ|ভণ্ড|প্রতার|অলস|লোভ|স্বার্থ|অক্ষম|অযোগ্য|বোকা|কৃপণ|হিংস"")),""valence-target অমিল"",""""),IF(COUNTIF($B:$B,B3793)&gt;1,""ডুপ্লিকেট"",""""))"),"")</f>
        <v/>
      </c>
      <c r="Q3793" s="5" t="str">
        <f t="shared" si="1"/>
        <v>২ পরে</v>
      </c>
    </row>
    <row r="3794">
      <c r="A3794" s="4">
        <v>1609.0</v>
      </c>
      <c r="B3794" s="2" t="s">
        <v>15340</v>
      </c>
      <c r="C3794" s="2" t="s">
        <v>15340</v>
      </c>
      <c r="D3794" s="2" t="s">
        <v>15341</v>
      </c>
      <c r="E3794" s="2" t="s">
        <v>15342</v>
      </c>
      <c r="F3794" s="2" t="b">
        <v>1</v>
      </c>
      <c r="G3794" s="2" t="b">
        <v>0</v>
      </c>
      <c r="H3794" s="2" t="s">
        <v>15343</v>
      </c>
      <c r="I3794" s="2" t="s">
        <v>22</v>
      </c>
      <c r="J3794" s="2" t="s">
        <v>43</v>
      </c>
      <c r="K3794" s="2" t="s">
        <v>495</v>
      </c>
      <c r="L3794" s="13" t="s">
        <v>496</v>
      </c>
      <c r="M3794" s="2" t="s">
        <v>26</v>
      </c>
      <c r="N3794" s="29"/>
      <c r="O3794" s="29"/>
      <c r="P3794" s="5" t="str">
        <f>IFERROR(__xludf.DUMMYFUNCTION("TEXTJOIN("" | "",TRUE,IF(OR(D3794="""",E3794="""",I3794="""",J3794="""",H3794=""""),""ফাঁকা ঘর"",""""),IF(AND(C3794&lt;&gt;"""",D3794&lt;&gt;"""",C3794=D3794),""gloss=figurative"",""""),IF(LEN(D3794)&lt;15,""figurative ছোট"",""""),IF(AND(I3794=""Positive"",REGEXMATCH(H3"&amp;"794,""মূর্খ|ভণ্ড|প্রতার|অলস|লোভ|স্বার্থ|অক্ষম|অযোগ্য|বোকা|কৃপণ|হিংস"")),""valence-target অমিল"",""""),IF(COUNTIF($B:$B,B3794)&gt;1,""ডুপ্লিকেট"",""""))"),"")</f>
        <v/>
      </c>
      <c r="Q3794" s="5" t="str">
        <f t="shared" si="1"/>
        <v>২ পরে</v>
      </c>
    </row>
    <row r="3795">
      <c r="A3795" s="4">
        <v>1610.0</v>
      </c>
      <c r="B3795" s="2" t="s">
        <v>15344</v>
      </c>
      <c r="C3795" s="2" t="s">
        <v>15345</v>
      </c>
      <c r="D3795" s="2" t="s">
        <v>15346</v>
      </c>
      <c r="E3795" s="2" t="s">
        <v>15347</v>
      </c>
      <c r="F3795" s="2" t="b">
        <v>1</v>
      </c>
      <c r="G3795" s="2" t="b">
        <v>0</v>
      </c>
      <c r="H3795" s="2" t="s">
        <v>37</v>
      </c>
      <c r="I3795" s="2" t="s">
        <v>49</v>
      </c>
      <c r="J3795" s="2" t="s">
        <v>424</v>
      </c>
      <c r="K3795" s="2" t="s">
        <v>495</v>
      </c>
      <c r="L3795" s="13" t="s">
        <v>496</v>
      </c>
      <c r="M3795" s="2" t="s">
        <v>26</v>
      </c>
      <c r="N3795" s="29"/>
      <c r="O3795" s="29"/>
      <c r="P3795" s="5" t="str">
        <f>IFERROR(__xludf.DUMMYFUNCTION("TEXTJOIN("" | "",TRUE,IF(OR(D3795="""",E3795="""",I3795="""",J3795="""",H3795=""""),""ফাঁকা ঘর"",""""),IF(AND(C3795&lt;&gt;"""",D3795&lt;&gt;"""",C3795=D3795),""gloss=figurative"",""""),IF(LEN(D3795)&lt;15,""figurative ছোট"",""""),IF(AND(I3795=""Positive"",REGEXMATCH(H3"&amp;"795,""মূর্খ|ভণ্ড|প্রতার|অলস|লোভ|স্বার্থ|অক্ষম|অযোগ্য|বোকা|কৃপণ|হিংস"")),""valence-target অমিল"",""""),IF(COUNTIF($B:$B,B3795)&gt;1,""ডুপ্লিকেট"",""""))"),"")</f>
        <v/>
      </c>
      <c r="Q3795" s="5" t="str">
        <f t="shared" si="1"/>
        <v>২ পরে</v>
      </c>
    </row>
    <row r="3796">
      <c r="A3796" s="4">
        <v>1611.0</v>
      </c>
      <c r="B3796" s="2" t="s">
        <v>15348</v>
      </c>
      <c r="C3796" s="2" t="s">
        <v>15349</v>
      </c>
      <c r="D3796" s="2" t="s">
        <v>15350</v>
      </c>
      <c r="E3796" s="2" t="s">
        <v>15351</v>
      </c>
      <c r="F3796" s="2" t="b">
        <v>1</v>
      </c>
      <c r="G3796" s="2" t="b">
        <v>0</v>
      </c>
      <c r="H3796" s="2" t="s">
        <v>15272</v>
      </c>
      <c r="I3796" s="2" t="s">
        <v>49</v>
      </c>
      <c r="J3796" s="2" t="s">
        <v>424</v>
      </c>
      <c r="K3796" s="2" t="s">
        <v>495</v>
      </c>
      <c r="L3796" s="13" t="s">
        <v>496</v>
      </c>
      <c r="M3796" s="2" t="s">
        <v>26</v>
      </c>
      <c r="N3796" s="29"/>
      <c r="O3796" s="29"/>
      <c r="P3796" s="5" t="str">
        <f>IFERROR(__xludf.DUMMYFUNCTION("TEXTJOIN("" | "",TRUE,IF(OR(D3796="""",E3796="""",I3796="""",J3796="""",H3796=""""),""ফাঁকা ঘর"",""""),IF(AND(C3796&lt;&gt;"""",D3796&lt;&gt;"""",C3796=D3796),""gloss=figurative"",""""),IF(LEN(D3796)&lt;15,""figurative ছোট"",""""),IF(AND(I3796=""Positive"",REGEXMATCH(H3"&amp;"796,""মূর্খ|ভণ্ড|প্রতার|অলস|লোভ|স্বার্থ|অক্ষম|অযোগ্য|বোকা|কৃপণ|হিংস"")),""valence-target অমিল"",""""),IF(COUNTIF($B:$B,B3796)&gt;1,""ডুপ্লিকেট"",""""))"),"")</f>
        <v/>
      </c>
      <c r="Q3796" s="5" t="str">
        <f t="shared" si="1"/>
        <v>২ পরে</v>
      </c>
    </row>
    <row r="3797">
      <c r="A3797" s="4">
        <v>1612.0</v>
      </c>
      <c r="B3797" s="2" t="s">
        <v>15352</v>
      </c>
      <c r="C3797" s="2" t="s">
        <v>15353</v>
      </c>
      <c r="D3797" s="2" t="s">
        <v>15354</v>
      </c>
      <c r="E3797" s="2" t="s">
        <v>15355</v>
      </c>
      <c r="F3797" s="2" t="b">
        <v>1</v>
      </c>
      <c r="G3797" s="2" t="b">
        <v>1</v>
      </c>
      <c r="H3797" s="2" t="s">
        <v>15356</v>
      </c>
      <c r="I3797" s="2" t="s">
        <v>22</v>
      </c>
      <c r="J3797" s="2" t="s">
        <v>15166</v>
      </c>
      <c r="K3797" s="2" t="s">
        <v>495</v>
      </c>
      <c r="L3797" s="13" t="s">
        <v>496</v>
      </c>
      <c r="M3797" s="2" t="s">
        <v>26</v>
      </c>
      <c r="N3797" s="29"/>
      <c r="O3797" s="29"/>
      <c r="P3797" s="5" t="str">
        <f>IFERROR(__xludf.DUMMYFUNCTION("TEXTJOIN("" | "",TRUE,IF(OR(D3797="""",E3797="""",I3797="""",J3797="""",H3797=""""),""ফাঁকা ঘর"",""""),IF(AND(C3797&lt;&gt;"""",D3797&lt;&gt;"""",C3797=D3797),""gloss=figurative"",""""),IF(LEN(D3797)&lt;15,""figurative ছোট"",""""),IF(AND(I3797=""Positive"",REGEXMATCH(H3"&amp;"797,""মূর্খ|ভণ্ড|প্রতার|অলস|লোভ|স্বার্থ|অক্ষম|অযোগ্য|বোকা|কৃপণ|হিংস"")),""valence-target অমিল"",""""),IF(COUNTIF($B:$B,B3797)&gt;1,""ডুপ্লিকেট"",""""))"),"")</f>
        <v/>
      </c>
      <c r="Q3797" s="5" t="str">
        <f t="shared" si="1"/>
        <v>২ পরে</v>
      </c>
    </row>
    <row r="3798">
      <c r="A3798" s="4">
        <v>1613.0</v>
      </c>
      <c r="B3798" s="2" t="s">
        <v>15357</v>
      </c>
      <c r="C3798" s="2" t="s">
        <v>15358</v>
      </c>
      <c r="D3798" s="2" t="s">
        <v>15359</v>
      </c>
      <c r="E3798" s="2" t="s">
        <v>15360</v>
      </c>
      <c r="F3798" s="2" t="b">
        <v>1</v>
      </c>
      <c r="G3798" s="2" t="b">
        <v>0</v>
      </c>
      <c r="H3798" s="2" t="s">
        <v>15361</v>
      </c>
      <c r="I3798" s="2" t="s">
        <v>49</v>
      </c>
      <c r="J3798" s="2" t="s">
        <v>1008</v>
      </c>
      <c r="K3798" s="2" t="s">
        <v>495</v>
      </c>
      <c r="L3798" s="13" t="s">
        <v>496</v>
      </c>
      <c r="M3798" s="2" t="s">
        <v>26</v>
      </c>
      <c r="N3798" s="29"/>
      <c r="O3798" s="29"/>
      <c r="P3798" s="5" t="str">
        <f>IFERROR(__xludf.DUMMYFUNCTION("TEXTJOIN("" | "",TRUE,IF(OR(D3798="""",E3798="""",I3798="""",J3798="""",H3798=""""),""ফাঁকা ঘর"",""""),IF(AND(C3798&lt;&gt;"""",D3798&lt;&gt;"""",C3798=D3798),""gloss=figurative"",""""),IF(LEN(D3798)&lt;15,""figurative ছোট"",""""),IF(AND(I3798=""Positive"",REGEXMATCH(H3"&amp;"798,""মূর্খ|ভণ্ড|প্রতার|অলস|লোভ|স্বার্থ|অক্ষম|অযোগ্য|বোকা|কৃপণ|হিংস"")),""valence-target অমিল"",""""),IF(COUNTIF($B:$B,B3798)&gt;1,""ডুপ্লিকেট"",""""))"),"")</f>
        <v/>
      </c>
      <c r="Q3798" s="5" t="str">
        <f t="shared" si="1"/>
        <v>২ পরে</v>
      </c>
    </row>
    <row r="3799">
      <c r="A3799" s="4">
        <v>1614.0</v>
      </c>
      <c r="B3799" s="2" t="s">
        <v>15362</v>
      </c>
      <c r="C3799" s="2" t="s">
        <v>15362</v>
      </c>
      <c r="D3799" s="2" t="s">
        <v>15230</v>
      </c>
      <c r="E3799" s="2" t="s">
        <v>15231</v>
      </c>
      <c r="F3799" s="2" t="b">
        <v>1</v>
      </c>
      <c r="G3799" s="2" t="b">
        <v>0</v>
      </c>
      <c r="H3799" s="2" t="s">
        <v>14960</v>
      </c>
      <c r="I3799" s="2" t="s">
        <v>22</v>
      </c>
      <c r="J3799" s="2" t="s">
        <v>43</v>
      </c>
      <c r="K3799" s="2" t="s">
        <v>376</v>
      </c>
      <c r="L3799" s="2" t="s">
        <v>391</v>
      </c>
      <c r="M3799" s="2" t="s">
        <v>26</v>
      </c>
      <c r="N3799" s="29"/>
      <c r="O3799" s="29"/>
      <c r="P3799" s="5" t="str">
        <f>IFERROR(__xludf.DUMMYFUNCTION("TEXTJOIN("" | "",TRUE,IF(OR(D3799="""",E3799="""",I3799="""",J3799="""",H3799=""""),""ফাঁকা ঘর"",""""),IF(AND(C3799&lt;&gt;"""",D3799&lt;&gt;"""",C3799=D3799),""gloss=figurative"",""""),IF(LEN(D3799)&lt;15,""figurative ছোট"",""""),IF(AND(I3799=""Positive"",REGEXMATCH(H3"&amp;"799,""মূর্খ|ভণ্ড|প্রতার|অলস|লোভ|স্বার্থ|অক্ষম|অযোগ্য|বোকা|কৃপণ|হিংস"")),""valence-target অমিল"",""""),IF(COUNTIF($B:$B,B3799)&gt;1,""ডুপ্লিকেট"",""""))"),"")</f>
        <v/>
      </c>
      <c r="Q3799" s="5" t="str">
        <f t="shared" si="1"/>
        <v>২ পরে</v>
      </c>
    </row>
    <row r="3800">
      <c r="A3800" s="4">
        <v>1615.0</v>
      </c>
      <c r="B3800" s="2" t="s">
        <v>15363</v>
      </c>
      <c r="C3800" s="2" t="s">
        <v>15364</v>
      </c>
      <c r="D3800" s="2" t="s">
        <v>15365</v>
      </c>
      <c r="E3800" s="2" t="s">
        <v>15366</v>
      </c>
      <c r="F3800" s="2" t="b">
        <v>1</v>
      </c>
      <c r="G3800" s="2" t="b">
        <v>0</v>
      </c>
      <c r="H3800" s="2" t="s">
        <v>15367</v>
      </c>
      <c r="I3800" s="2" t="s">
        <v>32</v>
      </c>
      <c r="J3800" s="2" t="s">
        <v>15368</v>
      </c>
      <c r="K3800" s="2" t="s">
        <v>376</v>
      </c>
      <c r="L3800" s="2" t="s">
        <v>391</v>
      </c>
      <c r="M3800" s="2" t="s">
        <v>26</v>
      </c>
      <c r="N3800" s="29"/>
      <c r="O3800" s="29"/>
      <c r="P3800" s="5" t="str">
        <f>IFERROR(__xludf.DUMMYFUNCTION("TEXTJOIN("" | "",TRUE,IF(OR(D3800="""",E3800="""",I3800="""",J3800="""",H3800=""""),""ফাঁকা ঘর"",""""),IF(AND(C3800&lt;&gt;"""",D3800&lt;&gt;"""",C3800=D3800),""gloss=figurative"",""""),IF(LEN(D3800)&lt;15,""figurative ছোট"",""""),IF(AND(I3800=""Positive"",REGEXMATCH(H3"&amp;"800,""মূর্খ|ভণ্ড|প্রতার|অলস|লোভ|স্বার্থ|অক্ষম|অযোগ্য|বোকা|কৃপণ|হিংস"")),""valence-target অমিল"",""""),IF(COUNTIF($B:$B,B3800)&gt;1,""ডুপ্লিকেট"",""""))"),"")</f>
        <v/>
      </c>
      <c r="Q3800" s="5" t="str">
        <f t="shared" si="1"/>
        <v>২ পরে</v>
      </c>
    </row>
    <row r="3801">
      <c r="A3801" s="4">
        <v>1616.0</v>
      </c>
      <c r="B3801" s="2" t="s">
        <v>15369</v>
      </c>
      <c r="C3801" s="2" t="s">
        <v>15370</v>
      </c>
      <c r="D3801" s="2" t="s">
        <v>15371</v>
      </c>
      <c r="E3801" s="2" t="s">
        <v>15372</v>
      </c>
      <c r="F3801" s="2" t="b">
        <v>1</v>
      </c>
      <c r="G3801" s="2" t="b">
        <v>0</v>
      </c>
      <c r="H3801" s="2" t="s">
        <v>15373</v>
      </c>
      <c r="I3801" s="2" t="s">
        <v>22</v>
      </c>
      <c r="J3801" s="2" t="s">
        <v>300</v>
      </c>
      <c r="K3801" s="2" t="s">
        <v>376</v>
      </c>
      <c r="L3801" s="2" t="s">
        <v>391</v>
      </c>
      <c r="M3801" s="2" t="s">
        <v>26</v>
      </c>
      <c r="N3801" s="29"/>
      <c r="O3801" s="29"/>
      <c r="P3801" s="5" t="str">
        <f>IFERROR(__xludf.DUMMYFUNCTION("TEXTJOIN("" | "",TRUE,IF(OR(D3801="""",E3801="""",I3801="""",J3801="""",H3801=""""),""ফাঁকা ঘর"",""""),IF(AND(C3801&lt;&gt;"""",D3801&lt;&gt;"""",C3801=D3801),""gloss=figurative"",""""),IF(LEN(D3801)&lt;15,""figurative ছোট"",""""),IF(AND(I3801=""Positive"",REGEXMATCH(H3"&amp;"801,""মূর্খ|ভণ্ড|প্রতার|অলস|লোভ|স্বার্থ|অক্ষম|অযোগ্য|বোকা|কৃপণ|হিংস"")),""valence-target অমিল"",""""),IF(COUNTIF($B:$B,B3801)&gt;1,""ডুপ্লিকেট"",""""))"),"")</f>
        <v/>
      </c>
      <c r="Q3801" s="5" t="str">
        <f t="shared" si="1"/>
        <v>২ পরে</v>
      </c>
    </row>
    <row r="3802">
      <c r="A3802" s="4">
        <v>1617.0</v>
      </c>
      <c r="B3802" s="2" t="s">
        <v>15374</v>
      </c>
      <c r="C3802" s="2" t="s">
        <v>15375</v>
      </c>
      <c r="D3802" s="2" t="s">
        <v>15376</v>
      </c>
      <c r="E3802" s="2" t="s">
        <v>15377</v>
      </c>
      <c r="F3802" s="2" t="b">
        <v>1</v>
      </c>
      <c r="G3802" s="2" t="b">
        <v>0</v>
      </c>
      <c r="H3802" s="2" t="s">
        <v>15378</v>
      </c>
      <c r="I3802" s="2" t="s">
        <v>32</v>
      </c>
      <c r="J3802" s="2" t="s">
        <v>43</v>
      </c>
      <c r="K3802" s="2" t="s">
        <v>376</v>
      </c>
      <c r="L3802" s="2" t="s">
        <v>391</v>
      </c>
      <c r="M3802" s="2" t="s">
        <v>26</v>
      </c>
      <c r="N3802" s="29"/>
      <c r="O3802" s="29"/>
      <c r="P3802" s="5" t="str">
        <f>IFERROR(__xludf.DUMMYFUNCTION("TEXTJOIN("" | "",TRUE,IF(OR(D3802="""",E3802="""",I3802="""",J3802="""",H3802=""""),""ফাঁকা ঘর"",""""),IF(AND(C3802&lt;&gt;"""",D3802&lt;&gt;"""",C3802=D3802),""gloss=figurative"",""""),IF(LEN(D3802)&lt;15,""figurative ছোট"",""""),IF(AND(I3802=""Positive"",REGEXMATCH(H3"&amp;"802,""মূর্খ|ভণ্ড|প্রতার|অলস|লোভ|স্বার্থ|অক্ষম|অযোগ্য|বোকা|কৃপণ|হিংস"")),""valence-target অমিল"",""""),IF(COUNTIF($B:$B,B3802)&gt;1,""ডুপ্লিকেট"",""""))"),"")</f>
        <v/>
      </c>
      <c r="Q3802" s="5" t="str">
        <f t="shared" si="1"/>
        <v>২ পরে</v>
      </c>
    </row>
    <row r="3803">
      <c r="A3803" s="4">
        <v>1618.0</v>
      </c>
      <c r="B3803" s="2" t="s">
        <v>15379</v>
      </c>
      <c r="C3803" s="2" t="s">
        <v>15379</v>
      </c>
      <c r="D3803" s="2" t="s">
        <v>15380</v>
      </c>
      <c r="E3803" s="2" t="s">
        <v>11170</v>
      </c>
      <c r="F3803" s="2" t="b">
        <v>1</v>
      </c>
      <c r="G3803" s="2" t="b">
        <v>0</v>
      </c>
      <c r="H3803" s="2" t="s">
        <v>15381</v>
      </c>
      <c r="I3803" s="2" t="s">
        <v>22</v>
      </c>
      <c r="J3803" s="2" t="s">
        <v>15237</v>
      </c>
      <c r="K3803" s="2" t="s">
        <v>376</v>
      </c>
      <c r="L3803" s="2" t="s">
        <v>391</v>
      </c>
      <c r="M3803" s="2" t="s">
        <v>26</v>
      </c>
      <c r="N3803" s="29"/>
      <c r="O3803" s="29"/>
      <c r="P3803" s="5" t="str">
        <f>IFERROR(__xludf.DUMMYFUNCTION("TEXTJOIN("" | "",TRUE,IF(OR(D3803="""",E3803="""",I3803="""",J3803="""",H3803=""""),""ফাঁকা ঘর"",""""),IF(AND(C3803&lt;&gt;"""",D3803&lt;&gt;"""",C3803=D3803),""gloss=figurative"",""""),IF(LEN(D3803)&lt;15,""figurative ছোট"",""""),IF(AND(I3803=""Positive"",REGEXMATCH(H3"&amp;"803,""মূর্খ|ভণ্ড|প্রতার|অলস|লোভ|স্বার্থ|অক্ষম|অযোগ্য|বোকা|কৃপণ|হিংস"")),""valence-target অমিল"",""""),IF(COUNTIF($B:$B,B3803)&gt;1,""ডুপ্লিকেট"",""""))"),"")</f>
        <v/>
      </c>
      <c r="Q3803" s="5" t="str">
        <f t="shared" si="1"/>
        <v>২ পরে</v>
      </c>
    </row>
    <row r="3804">
      <c r="A3804" s="4">
        <v>1619.0</v>
      </c>
      <c r="B3804" s="2" t="s">
        <v>15382</v>
      </c>
      <c r="C3804" s="2" t="s">
        <v>15383</v>
      </c>
      <c r="D3804" s="2" t="s">
        <v>15384</v>
      </c>
      <c r="E3804" s="2" t="s">
        <v>15385</v>
      </c>
      <c r="F3804" s="2" t="b">
        <v>1</v>
      </c>
      <c r="G3804" s="2" t="b">
        <v>0</v>
      </c>
      <c r="H3804" s="2" t="s">
        <v>15386</v>
      </c>
      <c r="I3804" s="2" t="s">
        <v>22</v>
      </c>
      <c r="J3804" s="2" t="s">
        <v>739</v>
      </c>
      <c r="K3804" s="2" t="s">
        <v>376</v>
      </c>
      <c r="L3804" s="2" t="s">
        <v>391</v>
      </c>
      <c r="M3804" s="2" t="s">
        <v>26</v>
      </c>
      <c r="N3804" s="29"/>
      <c r="O3804" s="29"/>
      <c r="P3804" s="5" t="str">
        <f>IFERROR(__xludf.DUMMYFUNCTION("TEXTJOIN("" | "",TRUE,IF(OR(D3804="""",E3804="""",I3804="""",J3804="""",H3804=""""),""ফাঁকা ঘর"",""""),IF(AND(C3804&lt;&gt;"""",D3804&lt;&gt;"""",C3804=D3804),""gloss=figurative"",""""),IF(LEN(D3804)&lt;15,""figurative ছোট"",""""),IF(AND(I3804=""Positive"",REGEXMATCH(H3"&amp;"804,""মূর্খ|ভণ্ড|প্রতার|অলস|লোভ|স্বার্থ|অক্ষম|অযোগ্য|বোকা|কৃপণ|হিংস"")),""valence-target অমিল"",""""),IF(COUNTIF($B:$B,B3804)&gt;1,""ডুপ্লিকেট"",""""))"),"")</f>
        <v/>
      </c>
      <c r="Q3804" s="5" t="str">
        <f t="shared" si="1"/>
        <v>২ পরে</v>
      </c>
    </row>
    <row r="3805">
      <c r="A3805" s="4">
        <v>1620.0</v>
      </c>
      <c r="B3805" s="2" t="s">
        <v>15387</v>
      </c>
      <c r="C3805" s="2" t="s">
        <v>15388</v>
      </c>
      <c r="D3805" s="2" t="s">
        <v>15389</v>
      </c>
      <c r="E3805" s="2" t="s">
        <v>15390</v>
      </c>
      <c r="F3805" s="2" t="b">
        <v>1</v>
      </c>
      <c r="G3805" s="2" t="b">
        <v>0</v>
      </c>
      <c r="H3805" s="2" t="s">
        <v>15391</v>
      </c>
      <c r="I3805" s="2" t="s">
        <v>32</v>
      </c>
      <c r="J3805" s="2" t="s">
        <v>1060</v>
      </c>
      <c r="K3805" s="2" t="s">
        <v>376</v>
      </c>
      <c r="L3805" s="2" t="s">
        <v>391</v>
      </c>
      <c r="M3805" s="2" t="s">
        <v>26</v>
      </c>
      <c r="N3805" s="29"/>
      <c r="O3805" s="29"/>
      <c r="P3805" s="5" t="str">
        <f>IFERROR(__xludf.DUMMYFUNCTION("TEXTJOIN("" | "",TRUE,IF(OR(D3805="""",E3805="""",I3805="""",J3805="""",H3805=""""),""ফাঁকা ঘর"",""""),IF(AND(C3805&lt;&gt;"""",D3805&lt;&gt;"""",C3805=D3805),""gloss=figurative"",""""),IF(LEN(D3805)&lt;15,""figurative ছোট"",""""),IF(AND(I3805=""Positive"",REGEXMATCH(H3"&amp;"805,""মূর্খ|ভণ্ড|প্রতার|অলস|লোভ|স্বার্থ|অক্ষম|অযোগ্য|বোকা|কৃপণ|হিংস"")),""valence-target অমিল"",""""),IF(COUNTIF($B:$B,B3805)&gt;1,""ডুপ্লিকেট"",""""))"),"")</f>
        <v/>
      </c>
      <c r="Q3805" s="5" t="str">
        <f t="shared" si="1"/>
        <v>২ পরে</v>
      </c>
    </row>
    <row r="3806">
      <c r="A3806" s="4">
        <v>1621.0</v>
      </c>
      <c r="B3806" s="2" t="s">
        <v>15392</v>
      </c>
      <c r="C3806" s="2" t="s">
        <v>15393</v>
      </c>
      <c r="D3806" s="2" t="s">
        <v>15394</v>
      </c>
      <c r="E3806" s="2" t="s">
        <v>15395</v>
      </c>
      <c r="F3806" s="2" t="b">
        <v>1</v>
      </c>
      <c r="G3806" s="2" t="b">
        <v>0</v>
      </c>
      <c r="H3806" s="2" t="s">
        <v>15396</v>
      </c>
      <c r="I3806" s="2" t="s">
        <v>22</v>
      </c>
      <c r="J3806" s="2" t="s">
        <v>1621</v>
      </c>
      <c r="K3806" s="2" t="s">
        <v>376</v>
      </c>
      <c r="L3806" s="2" t="s">
        <v>391</v>
      </c>
      <c r="M3806" s="2" t="s">
        <v>26</v>
      </c>
      <c r="N3806" s="29"/>
      <c r="O3806" s="29"/>
      <c r="P3806" s="5" t="str">
        <f>IFERROR(__xludf.DUMMYFUNCTION("TEXTJOIN("" | "",TRUE,IF(OR(D3806="""",E3806="""",I3806="""",J3806="""",H3806=""""),""ফাঁকা ঘর"",""""),IF(AND(C3806&lt;&gt;"""",D3806&lt;&gt;"""",C3806=D3806),""gloss=figurative"",""""),IF(LEN(D3806)&lt;15,""figurative ছোট"",""""),IF(AND(I3806=""Positive"",REGEXMATCH(H3"&amp;"806,""মূর্খ|ভণ্ড|প্রতার|অলস|লোভ|স্বার্থ|অক্ষম|অযোগ্য|বোকা|কৃপণ|হিংস"")),""valence-target অমিল"",""""),IF(COUNTIF($B:$B,B3806)&gt;1,""ডুপ্লিকেট"",""""))"),"")</f>
        <v/>
      </c>
      <c r="Q3806" s="5" t="str">
        <f t="shared" si="1"/>
        <v>২ পরে</v>
      </c>
    </row>
    <row r="3807">
      <c r="A3807" s="4">
        <v>1622.0</v>
      </c>
      <c r="B3807" s="2" t="s">
        <v>15397</v>
      </c>
      <c r="C3807" s="2" t="s">
        <v>15398</v>
      </c>
      <c r="D3807" s="2" t="s">
        <v>15399</v>
      </c>
      <c r="E3807" s="2" t="s">
        <v>15400</v>
      </c>
      <c r="F3807" s="2" t="b">
        <v>1</v>
      </c>
      <c r="G3807" s="2" t="b">
        <v>0</v>
      </c>
      <c r="H3807" s="2" t="s">
        <v>15401</v>
      </c>
      <c r="I3807" s="2" t="s">
        <v>22</v>
      </c>
      <c r="J3807" s="2" t="s">
        <v>447</v>
      </c>
      <c r="K3807" s="2" t="s">
        <v>376</v>
      </c>
      <c r="L3807" s="2" t="s">
        <v>391</v>
      </c>
      <c r="M3807" s="2" t="s">
        <v>26</v>
      </c>
      <c r="N3807" s="29"/>
      <c r="O3807" s="29"/>
      <c r="P3807" s="5" t="str">
        <f>IFERROR(__xludf.DUMMYFUNCTION("TEXTJOIN("" | "",TRUE,IF(OR(D3807="""",E3807="""",I3807="""",J3807="""",H3807=""""),""ফাঁকা ঘর"",""""),IF(AND(C3807&lt;&gt;"""",D3807&lt;&gt;"""",C3807=D3807),""gloss=figurative"",""""),IF(LEN(D3807)&lt;15,""figurative ছোট"",""""),IF(AND(I3807=""Positive"",REGEXMATCH(H3"&amp;"807,""মূর্খ|ভণ্ড|প্রতার|অলস|লোভ|স্বার্থ|অক্ষম|অযোগ্য|বোকা|কৃপণ|হিংস"")),""valence-target অমিল"",""""),IF(COUNTIF($B:$B,B3807)&gt;1,""ডুপ্লিকেট"",""""))"),"")</f>
        <v/>
      </c>
      <c r="Q3807" s="5" t="str">
        <f t="shared" si="1"/>
        <v>২ পরে</v>
      </c>
    </row>
    <row r="3808">
      <c r="A3808" s="4">
        <v>1623.0</v>
      </c>
      <c r="B3808" s="2" t="s">
        <v>15402</v>
      </c>
      <c r="C3808" s="2" t="s">
        <v>15403</v>
      </c>
      <c r="D3808" s="2" t="s">
        <v>15404</v>
      </c>
      <c r="E3808" s="2" t="s">
        <v>15405</v>
      </c>
      <c r="F3808" s="2" t="b">
        <v>1</v>
      </c>
      <c r="G3808" s="2" t="b">
        <v>0</v>
      </c>
      <c r="H3808" s="2" t="s">
        <v>15406</v>
      </c>
      <c r="I3808" s="2" t="s">
        <v>32</v>
      </c>
      <c r="J3808" s="2" t="s">
        <v>565</v>
      </c>
      <c r="K3808" s="2" t="s">
        <v>376</v>
      </c>
      <c r="L3808" s="2" t="s">
        <v>391</v>
      </c>
      <c r="M3808" s="2" t="s">
        <v>26</v>
      </c>
      <c r="N3808" s="29"/>
      <c r="O3808" s="29"/>
      <c r="P3808" s="5" t="str">
        <f>IFERROR(__xludf.DUMMYFUNCTION("TEXTJOIN("" | "",TRUE,IF(OR(D3808="""",E3808="""",I3808="""",J3808="""",H3808=""""),""ফাঁকা ঘর"",""""),IF(AND(C3808&lt;&gt;"""",D3808&lt;&gt;"""",C3808=D3808),""gloss=figurative"",""""),IF(LEN(D3808)&lt;15,""figurative ছোট"",""""),IF(AND(I3808=""Positive"",REGEXMATCH(H3"&amp;"808,""মূর্খ|ভণ্ড|প্রতার|অলস|লোভ|স্বার্থ|অক্ষম|অযোগ্য|বোকা|কৃপণ|হিংস"")),""valence-target অমিল"",""""),IF(COUNTIF($B:$B,B3808)&gt;1,""ডুপ্লিকেট"",""""))"),"")</f>
        <v/>
      </c>
      <c r="Q3808" s="5" t="str">
        <f t="shared" si="1"/>
        <v>২ পরে</v>
      </c>
    </row>
    <row r="3809">
      <c r="A3809" s="4">
        <v>1624.0</v>
      </c>
      <c r="B3809" s="2" t="s">
        <v>15407</v>
      </c>
      <c r="C3809" s="2" t="s">
        <v>15407</v>
      </c>
      <c r="D3809" s="2" t="s">
        <v>15408</v>
      </c>
      <c r="E3809" s="2" t="s">
        <v>15409</v>
      </c>
      <c r="F3809" s="2" t="b">
        <v>1</v>
      </c>
      <c r="G3809" s="2" t="b">
        <v>0</v>
      </c>
      <c r="H3809" s="2" t="s">
        <v>37</v>
      </c>
      <c r="I3809" s="2" t="s">
        <v>49</v>
      </c>
      <c r="J3809" s="2" t="s">
        <v>300</v>
      </c>
      <c r="K3809" s="2" t="s">
        <v>376</v>
      </c>
      <c r="L3809" s="2" t="s">
        <v>391</v>
      </c>
      <c r="M3809" s="2" t="s">
        <v>26</v>
      </c>
      <c r="N3809" s="29"/>
      <c r="O3809" s="29"/>
      <c r="P3809" s="5" t="str">
        <f>IFERROR(__xludf.DUMMYFUNCTION("TEXTJOIN("" | "",TRUE,IF(OR(D3809="""",E3809="""",I3809="""",J3809="""",H3809=""""),""ফাঁকা ঘর"",""""),IF(AND(C3809&lt;&gt;"""",D3809&lt;&gt;"""",C3809=D3809),""gloss=figurative"",""""),IF(LEN(D3809)&lt;15,""figurative ছোট"",""""),IF(AND(I3809=""Positive"",REGEXMATCH(H3"&amp;"809,""মূর্খ|ভণ্ড|প্রতার|অলস|লোভ|স্বার্থ|অক্ষম|অযোগ্য|বোকা|কৃপণ|হিংস"")),""valence-target অমিল"",""""),IF(COUNTIF($B:$B,B3809)&gt;1,""ডুপ্লিকেট"",""""))"),"")</f>
        <v/>
      </c>
      <c r="Q3809" s="5" t="str">
        <f t="shared" si="1"/>
        <v>২ পরে</v>
      </c>
    </row>
    <row r="3810">
      <c r="A3810" s="4">
        <v>1625.0</v>
      </c>
      <c r="B3810" s="2" t="s">
        <v>15410</v>
      </c>
      <c r="C3810" s="2" t="s">
        <v>15410</v>
      </c>
      <c r="D3810" s="2" t="s">
        <v>15411</v>
      </c>
      <c r="E3810" s="2" t="s">
        <v>15412</v>
      </c>
      <c r="F3810" s="2" t="b">
        <v>1</v>
      </c>
      <c r="G3810" s="2" t="b">
        <v>0</v>
      </c>
      <c r="H3810" s="2" t="s">
        <v>37</v>
      </c>
      <c r="I3810" s="2" t="s">
        <v>49</v>
      </c>
      <c r="J3810" s="2" t="s">
        <v>300</v>
      </c>
      <c r="K3810" s="2" t="s">
        <v>376</v>
      </c>
      <c r="L3810" s="2" t="s">
        <v>391</v>
      </c>
      <c r="M3810" s="2" t="s">
        <v>26</v>
      </c>
      <c r="N3810" s="29"/>
      <c r="O3810" s="29"/>
      <c r="P3810" s="5" t="str">
        <f>IFERROR(__xludf.DUMMYFUNCTION("TEXTJOIN("" | "",TRUE,IF(OR(D3810="""",E3810="""",I3810="""",J3810="""",H3810=""""),""ফাঁকা ঘর"",""""),IF(AND(C3810&lt;&gt;"""",D3810&lt;&gt;"""",C3810=D3810),""gloss=figurative"",""""),IF(LEN(D3810)&lt;15,""figurative ছোট"",""""),IF(AND(I3810=""Positive"",REGEXMATCH(H3"&amp;"810,""মূর্খ|ভণ্ড|প্রতার|অলস|লোভ|স্বার্থ|অক্ষম|অযোগ্য|বোকা|কৃপণ|হিংস"")),""valence-target অমিল"",""""),IF(COUNTIF($B:$B,B3810)&gt;1,""ডুপ্লিকেট"",""""))"),"")</f>
        <v/>
      </c>
      <c r="Q3810" s="5" t="str">
        <f t="shared" si="1"/>
        <v>২ পরে</v>
      </c>
    </row>
    <row r="3811">
      <c r="A3811" s="4">
        <v>1626.0</v>
      </c>
      <c r="B3811" s="2" t="s">
        <v>15413</v>
      </c>
      <c r="C3811" s="2" t="s">
        <v>15414</v>
      </c>
      <c r="D3811" s="2" t="s">
        <v>15415</v>
      </c>
      <c r="E3811" s="2" t="s">
        <v>15416</v>
      </c>
      <c r="F3811" s="2" t="b">
        <v>1</v>
      </c>
      <c r="G3811" s="2" t="b">
        <v>0</v>
      </c>
      <c r="H3811" s="2" t="s">
        <v>37</v>
      </c>
      <c r="I3811" s="2" t="s">
        <v>22</v>
      </c>
      <c r="J3811" s="2" t="s">
        <v>708</v>
      </c>
      <c r="K3811" s="2" t="s">
        <v>376</v>
      </c>
      <c r="L3811" s="2" t="s">
        <v>391</v>
      </c>
      <c r="M3811" s="2" t="s">
        <v>26</v>
      </c>
      <c r="N3811" s="29"/>
      <c r="O3811" s="29"/>
      <c r="P3811" s="5" t="str">
        <f>IFERROR(__xludf.DUMMYFUNCTION("TEXTJOIN("" | "",TRUE,IF(OR(D3811="""",E3811="""",I3811="""",J3811="""",H3811=""""),""ফাঁকা ঘর"",""""),IF(AND(C3811&lt;&gt;"""",D3811&lt;&gt;"""",C3811=D3811),""gloss=figurative"",""""),IF(LEN(D3811)&lt;15,""figurative ছোট"",""""),IF(AND(I3811=""Positive"",REGEXMATCH(H3"&amp;"811,""মূর্খ|ভণ্ড|প্রতার|অলস|লোভ|স্বার্থ|অক্ষম|অযোগ্য|বোকা|কৃপণ|হিংস"")),""valence-target অমিল"",""""),IF(COUNTIF($B:$B,B3811)&gt;1,""ডুপ্লিকেট"",""""))"),"")</f>
        <v/>
      </c>
      <c r="Q3811" s="5" t="str">
        <f t="shared" si="1"/>
        <v>২ পরে</v>
      </c>
    </row>
    <row r="3812">
      <c r="A3812" s="4">
        <v>1627.0</v>
      </c>
      <c r="B3812" s="2" t="s">
        <v>15417</v>
      </c>
      <c r="C3812" s="2" t="s">
        <v>15418</v>
      </c>
      <c r="D3812" s="2" t="s">
        <v>15419</v>
      </c>
      <c r="E3812" s="2" t="s">
        <v>15420</v>
      </c>
      <c r="F3812" s="2" t="b">
        <v>1</v>
      </c>
      <c r="G3812" s="2" t="b">
        <v>0</v>
      </c>
      <c r="H3812" s="2" t="s">
        <v>37</v>
      </c>
      <c r="I3812" s="2" t="s">
        <v>49</v>
      </c>
      <c r="J3812" s="2" t="s">
        <v>162</v>
      </c>
      <c r="K3812" s="2" t="s">
        <v>376</v>
      </c>
      <c r="L3812" s="2" t="s">
        <v>391</v>
      </c>
      <c r="M3812" s="2" t="s">
        <v>26</v>
      </c>
      <c r="N3812" s="29"/>
      <c r="O3812" s="29"/>
      <c r="P3812" s="5" t="str">
        <f>IFERROR(__xludf.DUMMYFUNCTION("TEXTJOIN("" | "",TRUE,IF(OR(D3812="""",E3812="""",I3812="""",J3812="""",H3812=""""),""ফাঁকা ঘর"",""""),IF(AND(C3812&lt;&gt;"""",D3812&lt;&gt;"""",C3812=D3812),""gloss=figurative"",""""),IF(LEN(D3812)&lt;15,""figurative ছোট"",""""),IF(AND(I3812=""Positive"",REGEXMATCH(H3"&amp;"812,""মূর্খ|ভণ্ড|প্রতার|অলস|লোভ|স্বার্থ|অক্ষম|অযোগ্য|বোকা|কৃপণ|হিংস"")),""valence-target অমিল"",""""),IF(COUNTIF($B:$B,B3812)&gt;1,""ডুপ্লিকেট"",""""))"),"")</f>
        <v/>
      </c>
      <c r="Q3812" s="5" t="str">
        <f t="shared" si="1"/>
        <v>২ পরে</v>
      </c>
    </row>
    <row r="3813">
      <c r="A3813" s="4">
        <v>1628.0</v>
      </c>
      <c r="B3813" s="2" t="s">
        <v>15421</v>
      </c>
      <c r="C3813" s="2" t="s">
        <v>15422</v>
      </c>
      <c r="D3813" s="2" t="s">
        <v>15423</v>
      </c>
      <c r="E3813" s="2" t="s">
        <v>15424</v>
      </c>
      <c r="F3813" s="2" t="b">
        <v>1</v>
      </c>
      <c r="G3813" s="2" t="b">
        <v>0</v>
      </c>
      <c r="H3813" s="2" t="s">
        <v>37</v>
      </c>
      <c r="I3813" s="2" t="s">
        <v>49</v>
      </c>
      <c r="J3813" s="2" t="s">
        <v>708</v>
      </c>
      <c r="K3813" s="2" t="s">
        <v>376</v>
      </c>
      <c r="L3813" s="2" t="s">
        <v>391</v>
      </c>
      <c r="M3813" s="2" t="s">
        <v>26</v>
      </c>
      <c r="N3813" s="29"/>
      <c r="O3813" s="29"/>
      <c r="P3813" s="5" t="str">
        <f>IFERROR(__xludf.DUMMYFUNCTION("TEXTJOIN("" | "",TRUE,IF(OR(D3813="""",E3813="""",I3813="""",J3813="""",H3813=""""),""ফাঁকা ঘর"",""""),IF(AND(C3813&lt;&gt;"""",D3813&lt;&gt;"""",C3813=D3813),""gloss=figurative"",""""),IF(LEN(D3813)&lt;15,""figurative ছোট"",""""),IF(AND(I3813=""Positive"",REGEXMATCH(H3"&amp;"813,""মূর্খ|ভণ্ড|প্রতার|অলস|লোভ|স্বার্থ|অক্ষম|অযোগ্য|বোকা|কৃপণ|হিংস"")),""valence-target অমিল"",""""),IF(COUNTIF($B:$B,B3813)&gt;1,""ডুপ্লিকেট"",""""))"),"")</f>
        <v/>
      </c>
      <c r="Q3813" s="5" t="str">
        <f t="shared" si="1"/>
        <v>২ পরে</v>
      </c>
    </row>
    <row r="3814">
      <c r="A3814" s="4">
        <v>1629.0</v>
      </c>
      <c r="B3814" s="2" t="s">
        <v>15425</v>
      </c>
      <c r="C3814" s="2" t="s">
        <v>15426</v>
      </c>
      <c r="D3814" s="2" t="s">
        <v>15427</v>
      </c>
      <c r="E3814" s="2" t="s">
        <v>15428</v>
      </c>
      <c r="F3814" s="2" t="b">
        <v>1</v>
      </c>
      <c r="G3814" s="2" t="b">
        <v>0</v>
      </c>
      <c r="H3814" s="2" t="s">
        <v>15185</v>
      </c>
      <c r="I3814" s="2" t="s">
        <v>22</v>
      </c>
      <c r="J3814" s="2" t="s">
        <v>708</v>
      </c>
      <c r="K3814" s="2" t="s">
        <v>495</v>
      </c>
      <c r="L3814" s="13" t="s">
        <v>496</v>
      </c>
      <c r="M3814" s="2" t="s">
        <v>26</v>
      </c>
      <c r="N3814" s="29"/>
      <c r="O3814" s="29"/>
      <c r="P3814" s="5" t="str">
        <f>IFERROR(__xludf.DUMMYFUNCTION("TEXTJOIN("" | "",TRUE,IF(OR(D3814="""",E3814="""",I3814="""",J3814="""",H3814=""""),""ফাঁকা ঘর"",""""),IF(AND(C3814&lt;&gt;"""",D3814&lt;&gt;"""",C3814=D3814),""gloss=figurative"",""""),IF(LEN(D3814)&lt;15,""figurative ছোট"",""""),IF(AND(I3814=""Positive"",REGEXMATCH(H3"&amp;"814,""মূর্খ|ভণ্ড|প্রতার|অলস|লোভ|স্বার্থ|অক্ষম|অযোগ্য|বোকা|কৃপণ|হিংস"")),""valence-target অমিল"",""""),IF(COUNTIF($B:$B,B3814)&gt;1,""ডুপ্লিকেট"",""""))"),"")</f>
        <v/>
      </c>
      <c r="Q3814" s="5" t="str">
        <f t="shared" si="1"/>
        <v>২ পরে</v>
      </c>
    </row>
    <row r="3815">
      <c r="A3815" s="4">
        <v>1630.0</v>
      </c>
      <c r="B3815" s="2" t="s">
        <v>15429</v>
      </c>
      <c r="C3815" s="2" t="s">
        <v>15430</v>
      </c>
      <c r="D3815" s="2" t="s">
        <v>15431</v>
      </c>
      <c r="E3815" s="2" t="s">
        <v>15432</v>
      </c>
      <c r="F3815" s="2" t="b">
        <v>1</v>
      </c>
      <c r="G3815" s="2" t="b">
        <v>0</v>
      </c>
      <c r="H3815" s="2" t="s">
        <v>37</v>
      </c>
      <c r="I3815" s="2" t="s">
        <v>32</v>
      </c>
      <c r="J3815" s="2" t="s">
        <v>1249</v>
      </c>
      <c r="K3815" s="2" t="s">
        <v>495</v>
      </c>
      <c r="L3815" s="13" t="s">
        <v>496</v>
      </c>
      <c r="M3815" s="2" t="s">
        <v>26</v>
      </c>
      <c r="N3815" s="29"/>
      <c r="O3815" s="29"/>
      <c r="P3815" s="5" t="str">
        <f>IFERROR(__xludf.DUMMYFUNCTION("TEXTJOIN("" | "",TRUE,IF(OR(D3815="""",E3815="""",I3815="""",J3815="""",H3815=""""),""ফাঁকা ঘর"",""""),IF(AND(C3815&lt;&gt;"""",D3815&lt;&gt;"""",C3815=D3815),""gloss=figurative"",""""),IF(LEN(D3815)&lt;15,""figurative ছোট"",""""),IF(AND(I3815=""Positive"",REGEXMATCH(H3"&amp;"815,""মূর্খ|ভণ্ড|প্রতার|অলস|লোভ|স্বার্থ|অক্ষম|অযোগ্য|বোকা|কৃপণ|হিংস"")),""valence-target অমিল"",""""),IF(COUNTIF($B:$B,B3815)&gt;1,""ডুপ্লিকেট"",""""))"),"")</f>
        <v/>
      </c>
      <c r="Q3815" s="5" t="str">
        <f t="shared" si="1"/>
        <v>২ পরে</v>
      </c>
    </row>
    <row r="3816">
      <c r="A3816" s="4">
        <v>1631.0</v>
      </c>
      <c r="B3816" s="2" t="s">
        <v>15433</v>
      </c>
      <c r="C3816" s="2" t="s">
        <v>15430</v>
      </c>
      <c r="D3816" s="2" t="s">
        <v>15434</v>
      </c>
      <c r="E3816" s="2" t="s">
        <v>15435</v>
      </c>
      <c r="F3816" s="2" t="b">
        <v>1</v>
      </c>
      <c r="G3816" s="2" t="b">
        <v>0</v>
      </c>
      <c r="H3816" s="2" t="s">
        <v>37</v>
      </c>
      <c r="I3816" s="2" t="s">
        <v>32</v>
      </c>
      <c r="J3816" s="2" t="s">
        <v>1249</v>
      </c>
      <c r="K3816" s="2" t="s">
        <v>495</v>
      </c>
      <c r="L3816" s="13" t="s">
        <v>496</v>
      </c>
      <c r="M3816" s="2" t="s">
        <v>26</v>
      </c>
      <c r="N3816" s="29"/>
      <c r="O3816" s="29"/>
      <c r="P3816" s="5" t="str">
        <f>IFERROR(__xludf.DUMMYFUNCTION("TEXTJOIN("" | "",TRUE,IF(OR(D3816="""",E3816="""",I3816="""",J3816="""",H3816=""""),""ফাঁকা ঘর"",""""),IF(AND(C3816&lt;&gt;"""",D3816&lt;&gt;"""",C3816=D3816),""gloss=figurative"",""""),IF(LEN(D3816)&lt;15,""figurative ছোট"",""""),IF(AND(I3816=""Positive"",REGEXMATCH(H3"&amp;"816,""মূর্খ|ভণ্ড|প্রতার|অলস|লোভ|স্বার্থ|অক্ষম|অযোগ্য|বোকা|কৃপণ|হিংস"")),""valence-target অমিল"",""""),IF(COUNTIF($B:$B,B3816)&gt;1,""ডুপ্লিকেট"",""""))"),"")</f>
        <v/>
      </c>
      <c r="Q3816" s="5" t="str">
        <f t="shared" si="1"/>
        <v>২ পরে</v>
      </c>
    </row>
    <row r="3817">
      <c r="A3817" s="4">
        <v>1632.0</v>
      </c>
      <c r="B3817" s="2" t="s">
        <v>15436</v>
      </c>
      <c r="C3817" s="2" t="s">
        <v>15437</v>
      </c>
      <c r="D3817" s="2" t="s">
        <v>15438</v>
      </c>
      <c r="E3817" s="2" t="s">
        <v>15439</v>
      </c>
      <c r="F3817" s="2" t="b">
        <v>1</v>
      </c>
      <c r="G3817" s="2" t="b">
        <v>0</v>
      </c>
      <c r="H3817" s="2" t="s">
        <v>11103</v>
      </c>
      <c r="I3817" s="2" t="s">
        <v>22</v>
      </c>
      <c r="J3817" s="2" t="s">
        <v>1621</v>
      </c>
      <c r="K3817" s="2" t="s">
        <v>495</v>
      </c>
      <c r="L3817" s="13" t="s">
        <v>496</v>
      </c>
      <c r="M3817" s="2" t="s">
        <v>26</v>
      </c>
      <c r="N3817" s="29"/>
      <c r="O3817" s="29"/>
      <c r="P3817" s="5" t="str">
        <f>IFERROR(__xludf.DUMMYFUNCTION("TEXTJOIN("" | "",TRUE,IF(OR(D3817="""",E3817="""",I3817="""",J3817="""",H3817=""""),""ফাঁকা ঘর"",""""),IF(AND(C3817&lt;&gt;"""",D3817&lt;&gt;"""",C3817=D3817),""gloss=figurative"",""""),IF(LEN(D3817)&lt;15,""figurative ছোট"",""""),IF(AND(I3817=""Positive"",REGEXMATCH(H3"&amp;"817,""মূর্খ|ভণ্ড|প্রতার|অলস|লোভ|স্বার্থ|অক্ষম|অযোগ্য|বোকা|কৃপণ|হিংস"")),""valence-target অমিল"",""""),IF(COUNTIF($B:$B,B3817)&gt;1,""ডুপ্লিকেট"",""""))"),"")</f>
        <v/>
      </c>
      <c r="Q3817" s="5" t="str">
        <f t="shared" si="1"/>
        <v>২ পরে</v>
      </c>
    </row>
    <row r="3818">
      <c r="A3818" s="4">
        <v>1633.0</v>
      </c>
      <c r="B3818" s="2" t="s">
        <v>15440</v>
      </c>
      <c r="C3818" s="2" t="s">
        <v>15437</v>
      </c>
      <c r="D3818" s="2" t="s">
        <v>15441</v>
      </c>
      <c r="E3818" s="2" t="s">
        <v>15442</v>
      </c>
      <c r="F3818" s="2" t="b">
        <v>1</v>
      </c>
      <c r="G3818" s="2" t="b">
        <v>0</v>
      </c>
      <c r="H3818" s="2" t="s">
        <v>37</v>
      </c>
      <c r="I3818" s="2" t="s">
        <v>22</v>
      </c>
      <c r="J3818" s="2" t="s">
        <v>708</v>
      </c>
      <c r="K3818" s="2" t="s">
        <v>495</v>
      </c>
      <c r="L3818" s="13" t="s">
        <v>496</v>
      </c>
      <c r="M3818" s="2" t="s">
        <v>26</v>
      </c>
      <c r="N3818" s="29"/>
      <c r="O3818" s="29"/>
      <c r="P3818" s="5" t="str">
        <f>IFERROR(__xludf.DUMMYFUNCTION("TEXTJOIN("" | "",TRUE,IF(OR(D3818="""",E3818="""",I3818="""",J3818="""",H3818=""""),""ফাঁকা ঘর"",""""),IF(AND(C3818&lt;&gt;"""",D3818&lt;&gt;"""",C3818=D3818),""gloss=figurative"",""""),IF(LEN(D3818)&lt;15,""figurative ছোট"",""""),IF(AND(I3818=""Positive"",REGEXMATCH(H3"&amp;"818,""মূর্খ|ভণ্ড|প্রতার|অলস|লোভ|স্বার্থ|অক্ষম|অযোগ্য|বোকা|কৃপণ|হিংস"")),""valence-target অমিল"",""""),IF(COUNTIF($B:$B,B3818)&gt;1,""ডুপ্লিকেট"",""""))"),"")</f>
        <v/>
      </c>
      <c r="Q3818" s="5" t="str">
        <f t="shared" si="1"/>
        <v>২ পরে</v>
      </c>
    </row>
    <row r="3819">
      <c r="A3819" s="4">
        <v>1634.0</v>
      </c>
      <c r="B3819" s="2" t="s">
        <v>15443</v>
      </c>
      <c r="C3819" s="2" t="s">
        <v>15444</v>
      </c>
      <c r="D3819" s="2" t="s">
        <v>15445</v>
      </c>
      <c r="E3819" s="2" t="s">
        <v>15446</v>
      </c>
      <c r="F3819" s="2" t="b">
        <v>1</v>
      </c>
      <c r="G3819" s="2" t="b">
        <v>0</v>
      </c>
      <c r="H3819" s="2" t="s">
        <v>15447</v>
      </c>
      <c r="I3819" s="2" t="s">
        <v>49</v>
      </c>
      <c r="J3819" s="2" t="s">
        <v>15448</v>
      </c>
      <c r="K3819" s="2" t="s">
        <v>495</v>
      </c>
      <c r="L3819" s="13" t="s">
        <v>496</v>
      </c>
      <c r="M3819" s="2" t="s">
        <v>26</v>
      </c>
      <c r="N3819" s="29"/>
      <c r="O3819" s="29"/>
      <c r="P3819" s="5" t="str">
        <f>IFERROR(__xludf.DUMMYFUNCTION("TEXTJOIN("" | "",TRUE,IF(OR(D3819="""",E3819="""",I3819="""",J3819="""",H3819=""""),""ফাঁকা ঘর"",""""),IF(AND(C3819&lt;&gt;"""",D3819&lt;&gt;"""",C3819=D3819),""gloss=figurative"",""""),IF(LEN(D3819)&lt;15,""figurative ছোট"",""""),IF(AND(I3819=""Positive"",REGEXMATCH(H3"&amp;"819,""মূর্খ|ভণ্ড|প্রতার|অলস|লোভ|স্বার্থ|অক্ষম|অযোগ্য|বোকা|কৃপণ|হিংস"")),""valence-target অমিল"",""""),IF(COUNTIF($B:$B,B3819)&gt;1,""ডুপ্লিকেট"",""""))"),"")</f>
        <v/>
      </c>
      <c r="Q3819" s="5" t="str">
        <f t="shared" si="1"/>
        <v>২ পরে</v>
      </c>
    </row>
    <row r="3820">
      <c r="A3820" s="4">
        <v>1635.0</v>
      </c>
      <c r="B3820" s="2" t="s">
        <v>15449</v>
      </c>
      <c r="C3820" s="2" t="s">
        <v>15450</v>
      </c>
      <c r="D3820" s="2" t="s">
        <v>15451</v>
      </c>
      <c r="E3820" s="2" t="s">
        <v>15452</v>
      </c>
      <c r="F3820" s="2" t="b">
        <v>1</v>
      </c>
      <c r="G3820" s="2" t="b">
        <v>0</v>
      </c>
      <c r="H3820" s="2" t="s">
        <v>15453</v>
      </c>
      <c r="I3820" s="2" t="s">
        <v>32</v>
      </c>
      <c r="J3820" s="2" t="s">
        <v>162</v>
      </c>
      <c r="K3820" s="2" t="s">
        <v>495</v>
      </c>
      <c r="L3820" s="13" t="s">
        <v>496</v>
      </c>
      <c r="M3820" s="2" t="s">
        <v>26</v>
      </c>
      <c r="N3820" s="29"/>
      <c r="O3820" s="29"/>
      <c r="P3820" s="5" t="str">
        <f>IFERROR(__xludf.DUMMYFUNCTION("TEXTJOIN("" | "",TRUE,IF(OR(D3820="""",E3820="""",I3820="""",J3820="""",H3820=""""),""ফাঁকা ঘর"",""""),IF(AND(C3820&lt;&gt;"""",D3820&lt;&gt;"""",C3820=D3820),""gloss=figurative"",""""),IF(LEN(D3820)&lt;15,""figurative ছোট"",""""),IF(AND(I3820=""Positive"",REGEXMATCH(H3"&amp;"820,""মূর্খ|ভণ্ড|প্রতার|অলস|লোভ|স্বার্থ|অক্ষম|অযোগ্য|বোকা|কৃপণ|হিংস"")),""valence-target অমিল"",""""),IF(COUNTIF($B:$B,B3820)&gt;1,""ডুপ্লিকেট"",""""))"),"")</f>
        <v/>
      </c>
      <c r="Q3820" s="5" t="str">
        <f t="shared" si="1"/>
        <v>২ পরে</v>
      </c>
    </row>
    <row r="3821">
      <c r="A3821" s="4">
        <v>1636.0</v>
      </c>
      <c r="B3821" s="2" t="s">
        <v>15454</v>
      </c>
      <c r="C3821" s="2" t="s">
        <v>15455</v>
      </c>
      <c r="D3821" s="2" t="s">
        <v>15456</v>
      </c>
      <c r="E3821" s="2" t="s">
        <v>15457</v>
      </c>
      <c r="F3821" s="2" t="b">
        <v>1</v>
      </c>
      <c r="G3821" s="2" t="b">
        <v>0</v>
      </c>
      <c r="H3821" s="2" t="s">
        <v>15458</v>
      </c>
      <c r="I3821" s="2" t="s">
        <v>22</v>
      </c>
      <c r="J3821" s="2" t="s">
        <v>1621</v>
      </c>
      <c r="K3821" s="2" t="s">
        <v>495</v>
      </c>
      <c r="L3821" s="13" t="s">
        <v>496</v>
      </c>
      <c r="M3821" s="2" t="s">
        <v>26</v>
      </c>
      <c r="N3821" s="29"/>
      <c r="O3821" s="29"/>
      <c r="P3821" s="5" t="str">
        <f>IFERROR(__xludf.DUMMYFUNCTION("TEXTJOIN("" | "",TRUE,IF(OR(D3821="""",E3821="""",I3821="""",J3821="""",H3821=""""),""ফাঁকা ঘর"",""""),IF(AND(C3821&lt;&gt;"""",D3821&lt;&gt;"""",C3821=D3821),""gloss=figurative"",""""),IF(LEN(D3821)&lt;15,""figurative ছোট"",""""),IF(AND(I3821=""Positive"",REGEXMATCH(H3"&amp;"821,""মূর্খ|ভণ্ড|প্রতার|অলস|লোভ|স্বার্থ|অক্ষম|অযোগ্য|বোকা|কৃপণ|হিংস"")),""valence-target অমিল"",""""),IF(COUNTIF($B:$B,B3821)&gt;1,""ডুপ্লিকেট"",""""))"),"")</f>
        <v/>
      </c>
      <c r="Q3821" s="5" t="str">
        <f t="shared" si="1"/>
        <v>২ পরে</v>
      </c>
    </row>
    <row r="3822">
      <c r="A3822" s="4">
        <v>1637.0</v>
      </c>
      <c r="B3822" s="2" t="s">
        <v>15459</v>
      </c>
      <c r="C3822" s="2" t="s">
        <v>15460</v>
      </c>
      <c r="D3822" s="2" t="s">
        <v>15461</v>
      </c>
      <c r="E3822" s="2" t="s">
        <v>15462</v>
      </c>
      <c r="F3822" s="2" t="b">
        <v>1</v>
      </c>
      <c r="G3822" s="2" t="b">
        <v>0</v>
      </c>
      <c r="H3822" s="2" t="s">
        <v>37</v>
      </c>
      <c r="I3822" s="2" t="s">
        <v>32</v>
      </c>
      <c r="J3822" s="2" t="s">
        <v>162</v>
      </c>
      <c r="K3822" s="2" t="s">
        <v>495</v>
      </c>
      <c r="L3822" s="13" t="s">
        <v>496</v>
      </c>
      <c r="M3822" s="2" t="s">
        <v>26</v>
      </c>
      <c r="N3822" s="29"/>
      <c r="O3822" s="29"/>
      <c r="P3822" s="5" t="str">
        <f>IFERROR(__xludf.DUMMYFUNCTION("TEXTJOIN("" | "",TRUE,IF(OR(D3822="""",E3822="""",I3822="""",J3822="""",H3822=""""),""ফাঁকা ঘর"",""""),IF(AND(C3822&lt;&gt;"""",D3822&lt;&gt;"""",C3822=D3822),""gloss=figurative"",""""),IF(LEN(D3822)&lt;15,""figurative ছোট"",""""),IF(AND(I3822=""Positive"",REGEXMATCH(H3"&amp;"822,""মূর্খ|ভণ্ড|প্রতার|অলস|লোভ|স্বার্থ|অক্ষম|অযোগ্য|বোকা|কৃপণ|হিংস"")),""valence-target অমিল"",""""),IF(COUNTIF($B:$B,B3822)&gt;1,""ডুপ্লিকেট"",""""))"),"")</f>
        <v/>
      </c>
      <c r="Q3822" s="5" t="str">
        <f t="shared" si="1"/>
        <v>২ পরে</v>
      </c>
    </row>
    <row r="3823">
      <c r="A3823" s="4">
        <v>1638.0</v>
      </c>
      <c r="B3823" s="2" t="s">
        <v>15463</v>
      </c>
      <c r="C3823" s="2" t="s">
        <v>15464</v>
      </c>
      <c r="D3823" s="2" t="s">
        <v>15465</v>
      </c>
      <c r="E3823" s="2" t="s">
        <v>15466</v>
      </c>
      <c r="F3823" s="2" t="b">
        <v>1</v>
      </c>
      <c r="G3823" s="2" t="b">
        <v>0</v>
      </c>
      <c r="H3823" s="2" t="s">
        <v>15467</v>
      </c>
      <c r="I3823" s="2" t="s">
        <v>32</v>
      </c>
      <c r="J3823" s="2" t="s">
        <v>1644</v>
      </c>
      <c r="K3823" s="2" t="s">
        <v>495</v>
      </c>
      <c r="L3823" s="13" t="s">
        <v>496</v>
      </c>
      <c r="M3823" s="2" t="s">
        <v>26</v>
      </c>
      <c r="N3823" s="29"/>
      <c r="O3823" s="29"/>
      <c r="P3823" s="5" t="str">
        <f>IFERROR(__xludf.DUMMYFUNCTION("TEXTJOIN("" | "",TRUE,IF(OR(D3823="""",E3823="""",I3823="""",J3823="""",H3823=""""),""ফাঁকা ঘর"",""""),IF(AND(C3823&lt;&gt;"""",D3823&lt;&gt;"""",C3823=D3823),""gloss=figurative"",""""),IF(LEN(D3823)&lt;15,""figurative ছোট"",""""),IF(AND(I3823=""Positive"",REGEXMATCH(H3"&amp;"823,""মূর্খ|ভণ্ড|প্রতার|অলস|লোভ|স্বার্থ|অক্ষম|অযোগ্য|বোকা|কৃপণ|হিংস"")),""valence-target অমিল"",""""),IF(COUNTIF($B:$B,B3823)&gt;1,""ডুপ্লিকেট"",""""))"),"")</f>
        <v/>
      </c>
      <c r="Q3823" s="5" t="str">
        <f t="shared" si="1"/>
        <v>২ পরে</v>
      </c>
    </row>
    <row r="3824">
      <c r="A3824" s="4">
        <v>1639.0</v>
      </c>
      <c r="B3824" s="2" t="s">
        <v>15468</v>
      </c>
      <c r="C3824" s="2" t="s">
        <v>15464</v>
      </c>
      <c r="D3824" s="2" t="s">
        <v>15469</v>
      </c>
      <c r="E3824" s="2" t="s">
        <v>15470</v>
      </c>
      <c r="F3824" s="2" t="b">
        <v>1</v>
      </c>
      <c r="G3824" s="2" t="b">
        <v>0</v>
      </c>
      <c r="H3824" s="2" t="s">
        <v>8713</v>
      </c>
      <c r="I3824" s="2" t="s">
        <v>32</v>
      </c>
      <c r="J3824" s="2" t="s">
        <v>1644</v>
      </c>
      <c r="K3824" s="2" t="s">
        <v>495</v>
      </c>
      <c r="L3824" s="13" t="s">
        <v>496</v>
      </c>
      <c r="M3824" s="2" t="s">
        <v>26</v>
      </c>
      <c r="N3824" s="29"/>
      <c r="O3824" s="29"/>
      <c r="P3824" s="5" t="str">
        <f>IFERROR(__xludf.DUMMYFUNCTION("TEXTJOIN("" | "",TRUE,IF(OR(D3824="""",E3824="""",I3824="""",J3824="""",H3824=""""),""ফাঁকা ঘর"",""""),IF(AND(C3824&lt;&gt;"""",D3824&lt;&gt;"""",C3824=D3824),""gloss=figurative"",""""),IF(LEN(D3824)&lt;15,""figurative ছোট"",""""),IF(AND(I3824=""Positive"",REGEXMATCH(H3"&amp;"824,""মূর্খ|ভণ্ড|প্রতার|অলস|লোভ|স্বার্থ|অক্ষম|অযোগ্য|বোকা|কৃপণ|হিংস"")),""valence-target অমিল"",""""),IF(COUNTIF($B:$B,B3824)&gt;1,""ডুপ্লিকেট"",""""))"),"")</f>
        <v/>
      </c>
      <c r="Q3824" s="5" t="str">
        <f t="shared" si="1"/>
        <v>২ পরে</v>
      </c>
    </row>
    <row r="3825">
      <c r="A3825" s="4">
        <v>1640.0</v>
      </c>
      <c r="B3825" s="2" t="s">
        <v>15471</v>
      </c>
      <c r="C3825" s="2" t="s">
        <v>15464</v>
      </c>
      <c r="D3825" s="2" t="s">
        <v>15472</v>
      </c>
      <c r="E3825" s="2" t="s">
        <v>15473</v>
      </c>
      <c r="F3825" s="2" t="b">
        <v>1</v>
      </c>
      <c r="G3825" s="2" t="b">
        <v>0</v>
      </c>
      <c r="H3825" s="2" t="s">
        <v>15176</v>
      </c>
      <c r="I3825" s="2" t="s">
        <v>32</v>
      </c>
      <c r="J3825" s="2" t="s">
        <v>739</v>
      </c>
      <c r="K3825" s="2" t="s">
        <v>495</v>
      </c>
      <c r="L3825" s="13" t="s">
        <v>496</v>
      </c>
      <c r="M3825" s="2" t="s">
        <v>26</v>
      </c>
      <c r="N3825" s="29"/>
      <c r="O3825" s="29"/>
      <c r="P3825" s="5" t="str">
        <f>IFERROR(__xludf.DUMMYFUNCTION("TEXTJOIN("" | "",TRUE,IF(OR(D3825="""",E3825="""",I3825="""",J3825="""",H3825=""""),""ফাঁকা ঘর"",""""),IF(AND(C3825&lt;&gt;"""",D3825&lt;&gt;"""",C3825=D3825),""gloss=figurative"",""""),IF(LEN(D3825)&lt;15,""figurative ছোট"",""""),IF(AND(I3825=""Positive"",REGEXMATCH(H3"&amp;"825,""মূর্খ|ভণ্ড|প্রতার|অলস|লোভ|স্বার্থ|অক্ষম|অযোগ্য|বোকা|কৃপণ|হিংস"")),""valence-target অমিল"",""""),IF(COUNTIF($B:$B,B3825)&gt;1,""ডুপ্লিকেট"",""""))"),"")</f>
        <v/>
      </c>
      <c r="Q3825" s="5" t="str">
        <f t="shared" si="1"/>
        <v>২ পরে</v>
      </c>
    </row>
    <row r="3826">
      <c r="A3826" s="4">
        <v>1641.0</v>
      </c>
      <c r="B3826" s="2" t="s">
        <v>15474</v>
      </c>
      <c r="C3826" s="2" t="s">
        <v>15475</v>
      </c>
      <c r="D3826" s="2" t="s">
        <v>15476</v>
      </c>
      <c r="E3826" s="2" t="s">
        <v>15477</v>
      </c>
      <c r="F3826" s="2" t="b">
        <v>1</v>
      </c>
      <c r="G3826" s="2" t="b">
        <v>0</v>
      </c>
      <c r="H3826" s="2" t="s">
        <v>15478</v>
      </c>
      <c r="I3826" s="2" t="s">
        <v>22</v>
      </c>
      <c r="J3826" s="2" t="s">
        <v>4112</v>
      </c>
      <c r="K3826" s="2" t="s">
        <v>495</v>
      </c>
      <c r="L3826" s="13" t="s">
        <v>496</v>
      </c>
      <c r="M3826" s="2" t="s">
        <v>26</v>
      </c>
      <c r="N3826" s="29"/>
      <c r="O3826" s="29"/>
      <c r="P3826" s="5" t="str">
        <f>IFERROR(__xludf.DUMMYFUNCTION("TEXTJOIN("" | "",TRUE,IF(OR(D3826="""",E3826="""",I3826="""",J3826="""",H3826=""""),""ফাঁকা ঘর"",""""),IF(AND(C3826&lt;&gt;"""",D3826&lt;&gt;"""",C3826=D3826),""gloss=figurative"",""""),IF(LEN(D3826)&lt;15,""figurative ছোট"",""""),IF(AND(I3826=""Positive"",REGEXMATCH(H3"&amp;"826,""মূর্খ|ভণ্ড|প্রতার|অলস|লোভ|স্বার্থ|অক্ষম|অযোগ্য|বোকা|কৃপণ|হিংস"")),""valence-target অমিল"",""""),IF(COUNTIF($B:$B,B3826)&gt;1,""ডুপ্লিকেট"",""""))"),"")</f>
        <v/>
      </c>
      <c r="Q3826" s="5" t="str">
        <f t="shared" si="1"/>
        <v>২ পরে</v>
      </c>
    </row>
    <row r="3827">
      <c r="A3827" s="4">
        <v>1642.0</v>
      </c>
      <c r="B3827" s="2" t="s">
        <v>15479</v>
      </c>
      <c r="C3827" s="2" t="s">
        <v>15475</v>
      </c>
      <c r="D3827" s="2" t="s">
        <v>15480</v>
      </c>
      <c r="E3827" s="2" t="s">
        <v>15481</v>
      </c>
      <c r="F3827" s="2" t="b">
        <v>1</v>
      </c>
      <c r="G3827" s="2" t="b">
        <v>0</v>
      </c>
      <c r="H3827" s="2" t="s">
        <v>15482</v>
      </c>
      <c r="I3827" s="2" t="s">
        <v>22</v>
      </c>
      <c r="J3827" s="2" t="s">
        <v>4112</v>
      </c>
      <c r="K3827" s="2" t="s">
        <v>495</v>
      </c>
      <c r="L3827" s="13" t="s">
        <v>496</v>
      </c>
      <c r="M3827" s="2" t="s">
        <v>26</v>
      </c>
      <c r="N3827" s="29"/>
      <c r="O3827" s="29"/>
      <c r="P3827" s="5" t="str">
        <f>IFERROR(__xludf.DUMMYFUNCTION("TEXTJOIN("" | "",TRUE,IF(OR(D3827="""",E3827="""",I3827="""",J3827="""",H3827=""""),""ফাঁকা ঘর"",""""),IF(AND(C3827&lt;&gt;"""",D3827&lt;&gt;"""",C3827=D3827),""gloss=figurative"",""""),IF(LEN(D3827)&lt;15,""figurative ছোট"",""""),IF(AND(I3827=""Positive"",REGEXMATCH(H3"&amp;"827,""মূর্খ|ভণ্ড|প্রতার|অলস|লোভ|স্বার্থ|অক্ষম|অযোগ্য|বোকা|কৃপণ|হিংস"")),""valence-target অমিল"",""""),IF(COUNTIF($B:$B,B3827)&gt;1,""ডুপ্লিকেট"",""""))"),"")</f>
        <v/>
      </c>
      <c r="Q3827" s="5" t="str">
        <f t="shared" si="1"/>
        <v>২ পরে</v>
      </c>
    </row>
    <row r="3828">
      <c r="A3828" s="4">
        <v>1643.0</v>
      </c>
      <c r="B3828" s="2" t="s">
        <v>15483</v>
      </c>
      <c r="C3828" s="2" t="s">
        <v>15483</v>
      </c>
      <c r="D3828" s="2" t="s">
        <v>15484</v>
      </c>
      <c r="E3828" s="2" t="s">
        <v>15485</v>
      </c>
      <c r="F3828" s="2" t="b">
        <v>1</v>
      </c>
      <c r="G3828" s="2" t="b">
        <v>0</v>
      </c>
      <c r="H3828" s="2" t="s">
        <v>15486</v>
      </c>
      <c r="I3828" s="2" t="s">
        <v>22</v>
      </c>
      <c r="J3828" s="2" t="s">
        <v>15237</v>
      </c>
      <c r="K3828" s="2" t="s">
        <v>495</v>
      </c>
      <c r="L3828" s="13" t="s">
        <v>496</v>
      </c>
      <c r="M3828" s="2" t="s">
        <v>26</v>
      </c>
      <c r="N3828" s="29"/>
      <c r="O3828" s="29"/>
      <c r="P3828" s="5" t="str">
        <f>IFERROR(__xludf.DUMMYFUNCTION("TEXTJOIN("" | "",TRUE,IF(OR(D3828="""",E3828="""",I3828="""",J3828="""",H3828=""""),""ফাঁকা ঘর"",""""),IF(AND(C3828&lt;&gt;"""",D3828&lt;&gt;"""",C3828=D3828),""gloss=figurative"",""""),IF(LEN(D3828)&lt;15,""figurative ছোট"",""""),IF(AND(I3828=""Positive"",REGEXMATCH(H3"&amp;"828,""মূর্খ|ভণ্ড|প্রতার|অলস|লোভ|স্বার্থ|অক্ষম|অযোগ্য|বোকা|কৃপণ|হিংস"")),""valence-target অমিল"",""""),IF(COUNTIF($B:$B,B3828)&gt;1,""ডুপ্লিকেট"",""""))"),"")</f>
        <v/>
      </c>
      <c r="Q3828" s="5" t="str">
        <f t="shared" si="1"/>
        <v>২ পরে</v>
      </c>
    </row>
    <row r="3829">
      <c r="A3829" s="4">
        <v>1644.0</v>
      </c>
      <c r="B3829" s="2" t="s">
        <v>15487</v>
      </c>
      <c r="C3829" s="2" t="s">
        <v>15488</v>
      </c>
      <c r="D3829" s="2" t="s">
        <v>15489</v>
      </c>
      <c r="E3829" s="2" t="s">
        <v>15490</v>
      </c>
      <c r="F3829" s="2" t="b">
        <v>1</v>
      </c>
      <c r="G3829" s="2" t="b">
        <v>0</v>
      </c>
      <c r="H3829" s="2" t="s">
        <v>15491</v>
      </c>
      <c r="I3829" s="2" t="s">
        <v>22</v>
      </c>
      <c r="J3829" s="2" t="s">
        <v>1934</v>
      </c>
      <c r="K3829" s="2" t="s">
        <v>495</v>
      </c>
      <c r="L3829" s="13" t="s">
        <v>496</v>
      </c>
      <c r="M3829" s="2" t="s">
        <v>26</v>
      </c>
      <c r="N3829" s="29"/>
      <c r="O3829" s="29"/>
      <c r="P3829" s="5" t="str">
        <f>IFERROR(__xludf.DUMMYFUNCTION("TEXTJOIN("" | "",TRUE,IF(OR(D3829="""",E3829="""",I3829="""",J3829="""",H3829=""""),""ফাঁকা ঘর"",""""),IF(AND(C3829&lt;&gt;"""",D3829&lt;&gt;"""",C3829=D3829),""gloss=figurative"",""""),IF(LEN(D3829)&lt;15,""figurative ছোট"",""""),IF(AND(I3829=""Positive"",REGEXMATCH(H3"&amp;"829,""মূর্খ|ভণ্ড|প্রতার|অলস|লোভ|স্বার্থ|অক্ষম|অযোগ্য|বোকা|কৃপণ|হিংস"")),""valence-target অমিল"",""""),IF(COUNTIF($B:$B,B3829)&gt;1,""ডুপ্লিকেট"",""""))"),"")</f>
        <v/>
      </c>
      <c r="Q3829" s="5" t="str">
        <f t="shared" si="1"/>
        <v>২ পরে</v>
      </c>
    </row>
    <row r="3830">
      <c r="A3830" s="4">
        <v>1645.0</v>
      </c>
      <c r="B3830" s="2" t="s">
        <v>15492</v>
      </c>
      <c r="C3830" s="2" t="s">
        <v>15493</v>
      </c>
      <c r="D3830" s="2" t="s">
        <v>15494</v>
      </c>
      <c r="E3830" s="2" t="s">
        <v>15495</v>
      </c>
      <c r="F3830" s="2" t="b">
        <v>1</v>
      </c>
      <c r="G3830" s="2" t="b">
        <v>0</v>
      </c>
      <c r="H3830" s="2" t="s">
        <v>15496</v>
      </c>
      <c r="I3830" s="2" t="s">
        <v>32</v>
      </c>
      <c r="J3830" s="2" t="s">
        <v>15497</v>
      </c>
      <c r="K3830" s="2" t="s">
        <v>495</v>
      </c>
      <c r="L3830" s="13" t="s">
        <v>496</v>
      </c>
      <c r="M3830" s="2" t="s">
        <v>26</v>
      </c>
      <c r="N3830" s="29"/>
      <c r="O3830" s="29"/>
      <c r="P3830" s="5" t="str">
        <f>IFERROR(__xludf.DUMMYFUNCTION("TEXTJOIN("" | "",TRUE,IF(OR(D3830="""",E3830="""",I3830="""",J3830="""",H3830=""""),""ফাঁকা ঘর"",""""),IF(AND(C3830&lt;&gt;"""",D3830&lt;&gt;"""",C3830=D3830),""gloss=figurative"",""""),IF(LEN(D3830)&lt;15,""figurative ছোট"",""""),IF(AND(I3830=""Positive"",REGEXMATCH(H3"&amp;"830,""মূর্খ|ভণ্ড|প্রতার|অলস|লোভ|স্বার্থ|অক্ষম|অযোগ্য|বোকা|কৃপণ|হিংস"")),""valence-target অমিল"",""""),IF(COUNTIF($B:$B,B3830)&gt;1,""ডুপ্লিকেট"",""""))"),"")</f>
        <v/>
      </c>
      <c r="Q3830" s="5" t="str">
        <f t="shared" si="1"/>
        <v>২ পরে</v>
      </c>
    </row>
    <row r="3831">
      <c r="A3831" s="4">
        <v>1646.0</v>
      </c>
      <c r="B3831" s="2" t="s">
        <v>15498</v>
      </c>
      <c r="C3831" s="2" t="s">
        <v>15499</v>
      </c>
      <c r="D3831" s="2" t="s">
        <v>15500</v>
      </c>
      <c r="E3831" s="2" t="s">
        <v>15501</v>
      </c>
      <c r="F3831" s="2" t="b">
        <v>1</v>
      </c>
      <c r="G3831" s="2" t="b">
        <v>0</v>
      </c>
      <c r="H3831" s="2" t="s">
        <v>15502</v>
      </c>
      <c r="I3831" s="2" t="s">
        <v>32</v>
      </c>
      <c r="J3831" s="2" t="s">
        <v>669</v>
      </c>
      <c r="K3831" s="2" t="s">
        <v>495</v>
      </c>
      <c r="L3831" s="13" t="s">
        <v>496</v>
      </c>
      <c r="M3831" s="2" t="s">
        <v>26</v>
      </c>
      <c r="N3831" s="29"/>
      <c r="O3831" s="29"/>
      <c r="P3831" s="5" t="str">
        <f>IFERROR(__xludf.DUMMYFUNCTION("TEXTJOIN("" | "",TRUE,IF(OR(D3831="""",E3831="""",I3831="""",J3831="""",H3831=""""),""ফাঁকা ঘর"",""""),IF(AND(C3831&lt;&gt;"""",D3831&lt;&gt;"""",C3831=D3831),""gloss=figurative"",""""),IF(LEN(D3831)&lt;15,""figurative ছোট"",""""),IF(AND(I3831=""Positive"",REGEXMATCH(H3"&amp;"831,""মূর্খ|ভণ্ড|প্রতার|অলস|লোভ|স্বার্থ|অক্ষম|অযোগ্য|বোকা|কৃপণ|হিংস"")),""valence-target অমিল"",""""),IF(COUNTIF($B:$B,B3831)&gt;1,""ডুপ্লিকেট"",""""))"),"")</f>
        <v/>
      </c>
      <c r="Q3831" s="5" t="str">
        <f t="shared" si="1"/>
        <v>২ পরে</v>
      </c>
    </row>
    <row r="3832">
      <c r="A3832" s="4">
        <v>1647.0</v>
      </c>
      <c r="B3832" s="2" t="s">
        <v>15503</v>
      </c>
      <c r="C3832" s="2" t="s">
        <v>15504</v>
      </c>
      <c r="D3832" s="2" t="s">
        <v>15505</v>
      </c>
      <c r="E3832" s="2" t="s">
        <v>15506</v>
      </c>
      <c r="F3832" s="2" t="b">
        <v>1</v>
      </c>
      <c r="G3832" s="2" t="b">
        <v>0</v>
      </c>
      <c r="H3832" s="2" t="s">
        <v>13029</v>
      </c>
      <c r="I3832" s="2" t="s">
        <v>22</v>
      </c>
      <c r="J3832" s="2" t="s">
        <v>15507</v>
      </c>
      <c r="K3832" s="2" t="s">
        <v>495</v>
      </c>
      <c r="L3832" s="13" t="s">
        <v>496</v>
      </c>
      <c r="M3832" s="2" t="s">
        <v>26</v>
      </c>
      <c r="N3832" s="29"/>
      <c r="O3832" s="29"/>
      <c r="P3832" s="5" t="str">
        <f>IFERROR(__xludf.DUMMYFUNCTION("TEXTJOIN("" | "",TRUE,IF(OR(D3832="""",E3832="""",I3832="""",J3832="""",H3832=""""),""ফাঁকা ঘর"",""""),IF(AND(C3832&lt;&gt;"""",D3832&lt;&gt;"""",C3832=D3832),""gloss=figurative"",""""),IF(LEN(D3832)&lt;15,""figurative ছোট"",""""),IF(AND(I3832=""Positive"",REGEXMATCH(H3"&amp;"832,""মূর্খ|ভণ্ড|প্রতার|অলস|লোভ|স্বার্থ|অক্ষম|অযোগ্য|বোকা|কৃপণ|হিংস"")),""valence-target অমিল"",""""),IF(COUNTIF($B:$B,B3832)&gt;1,""ডুপ্লিকেট"",""""))"),"")</f>
        <v/>
      </c>
      <c r="Q3832" s="5" t="str">
        <f t="shared" si="1"/>
        <v>২ পরে</v>
      </c>
    </row>
    <row r="3833">
      <c r="A3833" s="4">
        <v>1648.0</v>
      </c>
      <c r="B3833" s="2" t="s">
        <v>15508</v>
      </c>
      <c r="C3833" s="2" t="s">
        <v>15509</v>
      </c>
      <c r="D3833" s="2" t="s">
        <v>15510</v>
      </c>
      <c r="E3833" s="2" t="s">
        <v>15511</v>
      </c>
      <c r="F3833" s="2" t="b">
        <v>1</v>
      </c>
      <c r="G3833" s="2" t="b">
        <v>1</v>
      </c>
      <c r="H3833" s="2" t="s">
        <v>15512</v>
      </c>
      <c r="I3833" s="2" t="s">
        <v>32</v>
      </c>
      <c r="J3833" s="2" t="s">
        <v>1315</v>
      </c>
      <c r="K3833" s="2" t="s">
        <v>495</v>
      </c>
      <c r="L3833" s="13" t="s">
        <v>496</v>
      </c>
      <c r="M3833" s="2" t="s">
        <v>26</v>
      </c>
      <c r="N3833" s="29"/>
      <c r="O3833" s="29"/>
      <c r="P3833" s="5" t="str">
        <f>IFERROR(__xludf.DUMMYFUNCTION("TEXTJOIN("" | "",TRUE,IF(OR(D3833="""",E3833="""",I3833="""",J3833="""",H3833=""""),""ফাঁকা ঘর"",""""),IF(AND(C3833&lt;&gt;"""",D3833&lt;&gt;"""",C3833=D3833),""gloss=figurative"",""""),IF(LEN(D3833)&lt;15,""figurative ছোট"",""""),IF(AND(I3833=""Positive"",REGEXMATCH(H3"&amp;"833,""মূর্খ|ভণ্ড|প্রতার|অলস|লোভ|স্বার্থ|অক্ষম|অযোগ্য|বোকা|কৃপণ|হিংস"")),""valence-target অমিল"",""""),IF(COUNTIF($B:$B,B3833)&gt;1,""ডুপ্লিকেট"",""""))"),"")</f>
        <v/>
      </c>
      <c r="Q3833" s="5" t="str">
        <f t="shared" si="1"/>
        <v>২ পরে</v>
      </c>
    </row>
    <row r="3834">
      <c r="A3834" s="4">
        <v>1649.0</v>
      </c>
      <c r="B3834" s="2" t="s">
        <v>15513</v>
      </c>
      <c r="C3834" s="2" t="s">
        <v>15514</v>
      </c>
      <c r="D3834" s="2" t="s">
        <v>15515</v>
      </c>
      <c r="E3834" s="2" t="s">
        <v>15516</v>
      </c>
      <c r="F3834" s="2" t="b">
        <v>1</v>
      </c>
      <c r="G3834" s="2" t="b">
        <v>0</v>
      </c>
      <c r="H3834" s="2" t="s">
        <v>10389</v>
      </c>
      <c r="I3834" s="2" t="s">
        <v>49</v>
      </c>
      <c r="J3834" s="2" t="s">
        <v>43</v>
      </c>
      <c r="K3834" s="2" t="s">
        <v>495</v>
      </c>
      <c r="L3834" s="13" t="s">
        <v>496</v>
      </c>
      <c r="M3834" s="2" t="s">
        <v>26</v>
      </c>
      <c r="N3834" s="29"/>
      <c r="O3834" s="29"/>
      <c r="P3834" s="5" t="str">
        <f>IFERROR(__xludf.DUMMYFUNCTION("TEXTJOIN("" | "",TRUE,IF(OR(D3834="""",E3834="""",I3834="""",J3834="""",H3834=""""),""ফাঁকা ঘর"",""""),IF(AND(C3834&lt;&gt;"""",D3834&lt;&gt;"""",C3834=D3834),""gloss=figurative"",""""),IF(LEN(D3834)&lt;15,""figurative ছোট"",""""),IF(AND(I3834=""Positive"",REGEXMATCH(H3"&amp;"834,""মূর্খ|ভণ্ড|প্রতার|অলস|লোভ|স্বার্থ|অক্ষম|অযোগ্য|বোকা|কৃপণ|হিংস"")),""valence-target অমিল"",""""),IF(COUNTIF($B:$B,B3834)&gt;1,""ডুপ্লিকেট"",""""))"),"")</f>
        <v/>
      </c>
      <c r="Q3834" s="5" t="str">
        <f t="shared" si="1"/>
        <v>২ পরে</v>
      </c>
    </row>
    <row r="3835">
      <c r="A3835" s="4">
        <v>1650.0</v>
      </c>
      <c r="B3835" s="2" t="s">
        <v>15517</v>
      </c>
      <c r="C3835" s="2" t="s">
        <v>15514</v>
      </c>
      <c r="D3835" s="2" t="s">
        <v>15518</v>
      </c>
      <c r="E3835" s="2" t="s">
        <v>15519</v>
      </c>
      <c r="F3835" s="2" t="b">
        <v>1</v>
      </c>
      <c r="G3835" s="2" t="b">
        <v>0</v>
      </c>
      <c r="H3835" s="2" t="s">
        <v>15520</v>
      </c>
      <c r="I3835" s="2" t="s">
        <v>22</v>
      </c>
      <c r="J3835" s="2" t="s">
        <v>43</v>
      </c>
      <c r="K3835" s="2" t="s">
        <v>495</v>
      </c>
      <c r="L3835" s="13" t="s">
        <v>496</v>
      </c>
      <c r="M3835" s="2" t="s">
        <v>26</v>
      </c>
      <c r="N3835" s="29"/>
      <c r="O3835" s="29"/>
      <c r="P3835" s="5" t="str">
        <f>IFERROR(__xludf.DUMMYFUNCTION("TEXTJOIN("" | "",TRUE,IF(OR(D3835="""",E3835="""",I3835="""",J3835="""",H3835=""""),""ফাঁকা ঘর"",""""),IF(AND(C3835&lt;&gt;"""",D3835&lt;&gt;"""",C3835=D3835),""gloss=figurative"",""""),IF(LEN(D3835)&lt;15,""figurative ছোট"",""""),IF(AND(I3835=""Positive"",REGEXMATCH(H3"&amp;"835,""মূর্খ|ভণ্ড|প্রতার|অলস|লোভ|স্বার্থ|অক্ষম|অযোগ্য|বোকা|কৃপণ|হিংস"")),""valence-target অমিল"",""""),IF(COUNTIF($B:$B,B3835)&gt;1,""ডুপ্লিকেট"",""""))"),"")</f>
        <v/>
      </c>
      <c r="Q3835" s="5" t="str">
        <f t="shared" si="1"/>
        <v>২ পরে</v>
      </c>
    </row>
    <row r="3836">
      <c r="A3836" s="4">
        <v>1651.0</v>
      </c>
      <c r="B3836" s="2" t="s">
        <v>15521</v>
      </c>
      <c r="C3836" s="2" t="s">
        <v>15522</v>
      </c>
      <c r="D3836" s="2" t="s">
        <v>15523</v>
      </c>
      <c r="E3836" s="2" t="s">
        <v>15524</v>
      </c>
      <c r="F3836" s="2" t="b">
        <v>1</v>
      </c>
      <c r="G3836" s="2" t="b">
        <v>0</v>
      </c>
      <c r="H3836" s="2" t="s">
        <v>15525</v>
      </c>
      <c r="I3836" s="2" t="s">
        <v>22</v>
      </c>
      <c r="J3836" s="2" t="s">
        <v>300</v>
      </c>
      <c r="K3836" s="2" t="s">
        <v>495</v>
      </c>
      <c r="L3836" s="13" t="s">
        <v>496</v>
      </c>
      <c r="M3836" s="2" t="s">
        <v>26</v>
      </c>
      <c r="N3836" s="29"/>
      <c r="O3836" s="29"/>
      <c r="P3836" s="5" t="str">
        <f>IFERROR(__xludf.DUMMYFUNCTION("TEXTJOIN("" | "",TRUE,IF(OR(D3836="""",E3836="""",I3836="""",J3836="""",H3836=""""),""ফাঁকা ঘর"",""""),IF(AND(C3836&lt;&gt;"""",D3836&lt;&gt;"""",C3836=D3836),""gloss=figurative"",""""),IF(LEN(D3836)&lt;15,""figurative ছোট"",""""),IF(AND(I3836=""Positive"",REGEXMATCH(H3"&amp;"836,""মূর্খ|ভণ্ড|প্রতার|অলস|লোভ|স্বার্থ|অক্ষম|অযোগ্য|বোকা|কৃপণ|হিংস"")),""valence-target অমিল"",""""),IF(COUNTIF($B:$B,B3836)&gt;1,""ডুপ্লিকেট"",""""))"),"")</f>
        <v/>
      </c>
      <c r="Q3836" s="5" t="str">
        <f t="shared" si="1"/>
        <v>২ পরে</v>
      </c>
    </row>
    <row r="3837">
      <c r="A3837" s="4">
        <v>1652.0</v>
      </c>
      <c r="B3837" s="2" t="s">
        <v>15526</v>
      </c>
      <c r="C3837" s="2" t="s">
        <v>15527</v>
      </c>
      <c r="D3837" s="2" t="s">
        <v>15528</v>
      </c>
      <c r="E3837" s="2" t="s">
        <v>15529</v>
      </c>
      <c r="F3837" s="2" t="b">
        <v>1</v>
      </c>
      <c r="G3837" s="2" t="b">
        <v>0</v>
      </c>
      <c r="H3837" s="2" t="s">
        <v>15530</v>
      </c>
      <c r="I3837" s="2" t="s">
        <v>32</v>
      </c>
      <c r="J3837" s="2" t="s">
        <v>15262</v>
      </c>
      <c r="K3837" s="2" t="s">
        <v>495</v>
      </c>
      <c r="L3837" s="13" t="s">
        <v>496</v>
      </c>
      <c r="M3837" s="2" t="s">
        <v>26</v>
      </c>
      <c r="N3837" s="29"/>
      <c r="O3837" s="29"/>
      <c r="P3837" s="5" t="str">
        <f>IFERROR(__xludf.DUMMYFUNCTION("TEXTJOIN("" | "",TRUE,IF(OR(D3837="""",E3837="""",I3837="""",J3837="""",H3837=""""),""ফাঁকা ঘর"",""""),IF(AND(C3837&lt;&gt;"""",D3837&lt;&gt;"""",C3837=D3837),""gloss=figurative"",""""),IF(LEN(D3837)&lt;15,""figurative ছোট"",""""),IF(AND(I3837=""Positive"",REGEXMATCH(H3"&amp;"837,""মূর্খ|ভণ্ড|প্রতার|অলস|লোভ|স্বার্থ|অক্ষম|অযোগ্য|বোকা|কৃপণ|হিংস"")),""valence-target অমিল"",""""),IF(COUNTIF($B:$B,B3837)&gt;1,""ডুপ্লিকেট"",""""))"),"")</f>
        <v/>
      </c>
      <c r="Q3837" s="5" t="str">
        <f t="shared" si="1"/>
        <v>২ পরে</v>
      </c>
    </row>
    <row r="3838">
      <c r="A3838" s="4">
        <v>1653.0</v>
      </c>
      <c r="B3838" s="2" t="s">
        <v>15531</v>
      </c>
      <c r="C3838" s="2" t="s">
        <v>15532</v>
      </c>
      <c r="D3838" s="2" t="s">
        <v>15533</v>
      </c>
      <c r="E3838" s="2" t="s">
        <v>15534</v>
      </c>
      <c r="F3838" s="2" t="b">
        <v>1</v>
      </c>
      <c r="G3838" s="2" t="b">
        <v>0</v>
      </c>
      <c r="H3838" s="2" t="s">
        <v>15535</v>
      </c>
      <c r="I3838" s="2" t="s">
        <v>22</v>
      </c>
      <c r="J3838" s="2" t="s">
        <v>3105</v>
      </c>
      <c r="K3838" s="2" t="s">
        <v>495</v>
      </c>
      <c r="L3838" s="13" t="s">
        <v>496</v>
      </c>
      <c r="M3838" s="2" t="s">
        <v>26</v>
      </c>
      <c r="N3838" s="29"/>
      <c r="O3838" s="29"/>
      <c r="P3838" s="5" t="str">
        <f>IFERROR(__xludf.DUMMYFUNCTION("TEXTJOIN("" | "",TRUE,IF(OR(D3838="""",E3838="""",I3838="""",J3838="""",H3838=""""),""ফাঁকা ঘর"",""""),IF(AND(C3838&lt;&gt;"""",D3838&lt;&gt;"""",C3838=D3838),""gloss=figurative"",""""),IF(LEN(D3838)&lt;15,""figurative ছোট"",""""),IF(AND(I3838=""Positive"",REGEXMATCH(H3"&amp;"838,""মূর্খ|ভণ্ড|প্রতার|অলস|লোভ|স্বার্থ|অক্ষম|অযোগ্য|বোকা|কৃপণ|হিংস"")),""valence-target অমিল"",""""),IF(COUNTIF($B:$B,B3838)&gt;1,""ডুপ্লিকেট"",""""))"),"")</f>
        <v/>
      </c>
      <c r="Q3838" s="5" t="str">
        <f t="shared" si="1"/>
        <v>২ পরে</v>
      </c>
    </row>
    <row r="3839">
      <c r="A3839" s="4">
        <v>1654.0</v>
      </c>
      <c r="B3839" s="2" t="s">
        <v>15536</v>
      </c>
      <c r="C3839" s="2" t="s">
        <v>15537</v>
      </c>
      <c r="D3839" s="2" t="s">
        <v>15538</v>
      </c>
      <c r="E3839" s="2" t="s">
        <v>15539</v>
      </c>
      <c r="F3839" s="2" t="b">
        <v>1</v>
      </c>
      <c r="G3839" s="2" t="b">
        <v>0</v>
      </c>
      <c r="H3839" s="2" t="s">
        <v>37</v>
      </c>
      <c r="I3839" s="2" t="s">
        <v>32</v>
      </c>
      <c r="J3839" s="2" t="s">
        <v>1510</v>
      </c>
      <c r="K3839" s="2" t="s">
        <v>495</v>
      </c>
      <c r="L3839" s="13" t="s">
        <v>496</v>
      </c>
      <c r="M3839" s="2" t="s">
        <v>26</v>
      </c>
      <c r="N3839" s="29"/>
      <c r="O3839" s="29"/>
      <c r="P3839" s="5" t="str">
        <f>IFERROR(__xludf.DUMMYFUNCTION("TEXTJOIN("" | "",TRUE,IF(OR(D3839="""",E3839="""",I3839="""",J3839="""",H3839=""""),""ফাঁকা ঘর"",""""),IF(AND(C3839&lt;&gt;"""",D3839&lt;&gt;"""",C3839=D3839),""gloss=figurative"",""""),IF(LEN(D3839)&lt;15,""figurative ছোট"",""""),IF(AND(I3839=""Positive"",REGEXMATCH(H3"&amp;"839,""মূর্খ|ভণ্ড|প্রতার|অলস|লোভ|স্বার্থ|অক্ষম|অযোগ্য|বোকা|কৃপণ|হিংস"")),""valence-target অমিল"",""""),IF(COUNTIF($B:$B,B3839)&gt;1,""ডুপ্লিকেট"",""""))"),"")</f>
        <v/>
      </c>
      <c r="Q3839" s="5" t="str">
        <f t="shared" si="1"/>
        <v>২ পরে</v>
      </c>
    </row>
    <row r="3840">
      <c r="A3840" s="4">
        <v>1655.0</v>
      </c>
      <c r="B3840" s="2" t="s">
        <v>15540</v>
      </c>
      <c r="C3840" s="2" t="s">
        <v>15537</v>
      </c>
      <c r="D3840" s="2" t="s">
        <v>15541</v>
      </c>
      <c r="E3840" s="2" t="s">
        <v>15542</v>
      </c>
      <c r="F3840" s="2" t="b">
        <v>1</v>
      </c>
      <c r="G3840" s="2" t="b">
        <v>0</v>
      </c>
      <c r="H3840" s="2" t="s">
        <v>15543</v>
      </c>
      <c r="I3840" s="2" t="s">
        <v>22</v>
      </c>
      <c r="J3840" s="2" t="s">
        <v>15262</v>
      </c>
      <c r="K3840" s="2" t="s">
        <v>495</v>
      </c>
      <c r="L3840" s="13" t="s">
        <v>496</v>
      </c>
      <c r="M3840" s="2" t="s">
        <v>26</v>
      </c>
      <c r="N3840" s="29"/>
      <c r="O3840" s="29"/>
      <c r="P3840" s="5" t="str">
        <f>IFERROR(__xludf.DUMMYFUNCTION("TEXTJOIN("" | "",TRUE,IF(OR(D3840="""",E3840="""",I3840="""",J3840="""",H3840=""""),""ফাঁকা ঘর"",""""),IF(AND(C3840&lt;&gt;"""",D3840&lt;&gt;"""",C3840=D3840),""gloss=figurative"",""""),IF(LEN(D3840)&lt;15,""figurative ছোট"",""""),IF(AND(I3840=""Positive"",REGEXMATCH(H3"&amp;"840,""মূর্খ|ভণ্ড|প্রতার|অলস|লোভ|স্বার্থ|অক্ষম|অযোগ্য|বোকা|কৃপণ|হিংস"")),""valence-target অমিল"",""""),IF(COUNTIF($B:$B,B3840)&gt;1,""ডুপ্লিকেট"",""""))"),"")</f>
        <v/>
      </c>
      <c r="Q3840" s="5" t="str">
        <f t="shared" si="1"/>
        <v>২ পরে</v>
      </c>
    </row>
    <row r="3841">
      <c r="A3841" s="4">
        <v>1656.0</v>
      </c>
      <c r="B3841" s="2" t="s">
        <v>15544</v>
      </c>
      <c r="C3841" s="2" t="s">
        <v>15545</v>
      </c>
      <c r="D3841" s="2" t="s">
        <v>15546</v>
      </c>
      <c r="E3841" s="2" t="s">
        <v>15547</v>
      </c>
      <c r="F3841" s="2" t="b">
        <v>1</v>
      </c>
      <c r="G3841" s="2" t="b">
        <v>0</v>
      </c>
      <c r="H3841" s="2" t="s">
        <v>2482</v>
      </c>
      <c r="I3841" s="2" t="s">
        <v>32</v>
      </c>
      <c r="J3841" s="2" t="s">
        <v>15548</v>
      </c>
      <c r="K3841" s="2" t="s">
        <v>495</v>
      </c>
      <c r="L3841" s="13" t="s">
        <v>496</v>
      </c>
      <c r="M3841" s="2" t="s">
        <v>26</v>
      </c>
      <c r="N3841" s="29"/>
      <c r="O3841" s="29"/>
      <c r="P3841" s="5" t="str">
        <f>IFERROR(__xludf.DUMMYFUNCTION("TEXTJOIN("" | "",TRUE,IF(OR(D3841="""",E3841="""",I3841="""",J3841="""",H3841=""""),""ফাঁকা ঘর"",""""),IF(AND(C3841&lt;&gt;"""",D3841&lt;&gt;"""",C3841=D3841),""gloss=figurative"",""""),IF(LEN(D3841)&lt;15,""figurative ছোট"",""""),IF(AND(I3841=""Positive"",REGEXMATCH(H3"&amp;"841,""মূর্খ|ভণ্ড|প্রতার|অলস|লোভ|স্বার্থ|অক্ষম|অযোগ্য|বোকা|কৃপণ|হিংস"")),""valence-target অমিল"",""""),IF(COUNTIF($B:$B,B3841)&gt;1,""ডুপ্লিকেট"",""""))"),"")</f>
        <v/>
      </c>
      <c r="Q3841" s="5" t="str">
        <f t="shared" si="1"/>
        <v>২ পরে</v>
      </c>
    </row>
    <row r="3842">
      <c r="A3842" s="4">
        <v>1657.0</v>
      </c>
      <c r="B3842" s="2" t="s">
        <v>15549</v>
      </c>
      <c r="C3842" s="2" t="s">
        <v>15550</v>
      </c>
      <c r="D3842" s="2" t="s">
        <v>15551</v>
      </c>
      <c r="E3842" s="2" t="s">
        <v>15552</v>
      </c>
      <c r="F3842" s="2" t="b">
        <v>1</v>
      </c>
      <c r="G3842" s="2" t="b">
        <v>1</v>
      </c>
      <c r="H3842" s="2" t="s">
        <v>15553</v>
      </c>
      <c r="I3842" s="2" t="s">
        <v>49</v>
      </c>
      <c r="J3842" s="2" t="s">
        <v>3327</v>
      </c>
      <c r="K3842" s="2" t="s">
        <v>495</v>
      </c>
      <c r="L3842" s="13" t="s">
        <v>496</v>
      </c>
      <c r="M3842" s="2" t="s">
        <v>26</v>
      </c>
      <c r="N3842" s="29"/>
      <c r="O3842" s="29"/>
      <c r="P3842" s="5" t="str">
        <f>IFERROR(__xludf.DUMMYFUNCTION("TEXTJOIN("" | "",TRUE,IF(OR(D3842="""",E3842="""",I3842="""",J3842="""",H3842=""""),""ফাঁকা ঘর"",""""),IF(AND(C3842&lt;&gt;"""",D3842&lt;&gt;"""",C3842=D3842),""gloss=figurative"",""""),IF(LEN(D3842)&lt;15,""figurative ছোট"",""""),IF(AND(I3842=""Positive"",REGEXMATCH(H3"&amp;"842,""মূর্খ|ভণ্ড|প্রতার|অলস|লোভ|স্বার্থ|অক্ষম|অযোগ্য|বোকা|কৃপণ|হিংস"")),""valence-target অমিল"",""""),IF(COUNTIF($B:$B,B3842)&gt;1,""ডুপ্লিকেট"",""""))"),"")</f>
        <v/>
      </c>
      <c r="Q3842" s="5" t="str">
        <f t="shared" si="1"/>
        <v>২ পরে</v>
      </c>
    </row>
    <row r="3843">
      <c r="A3843" s="4">
        <v>1658.0</v>
      </c>
      <c r="B3843" s="2" t="s">
        <v>15554</v>
      </c>
      <c r="C3843" s="2" t="s">
        <v>15555</v>
      </c>
      <c r="D3843" s="2" t="s">
        <v>15556</v>
      </c>
      <c r="E3843" s="2" t="s">
        <v>15557</v>
      </c>
      <c r="F3843" s="2" t="b">
        <v>1</v>
      </c>
      <c r="G3843" s="2" t="b">
        <v>0</v>
      </c>
      <c r="H3843" s="2" t="s">
        <v>37</v>
      </c>
      <c r="I3843" s="2" t="s">
        <v>49</v>
      </c>
      <c r="J3843" s="2" t="s">
        <v>528</v>
      </c>
      <c r="K3843" s="2" t="s">
        <v>495</v>
      </c>
      <c r="L3843" s="13" t="s">
        <v>496</v>
      </c>
      <c r="M3843" s="2" t="s">
        <v>26</v>
      </c>
      <c r="N3843" s="29"/>
      <c r="O3843" s="29"/>
      <c r="P3843" s="5" t="str">
        <f>IFERROR(__xludf.DUMMYFUNCTION("TEXTJOIN("" | "",TRUE,IF(OR(D3843="""",E3843="""",I3843="""",J3843="""",H3843=""""),""ফাঁকা ঘর"",""""),IF(AND(C3843&lt;&gt;"""",D3843&lt;&gt;"""",C3843=D3843),""gloss=figurative"",""""),IF(LEN(D3843)&lt;15,""figurative ছোট"",""""),IF(AND(I3843=""Positive"",REGEXMATCH(H3"&amp;"843,""মূর্খ|ভণ্ড|প্রতার|অলস|লোভ|স্বার্থ|অক্ষম|অযোগ্য|বোকা|কৃপণ|হিংস"")),""valence-target অমিল"",""""),IF(COUNTIF($B:$B,B3843)&gt;1,""ডুপ্লিকেট"",""""))"),"")</f>
        <v/>
      </c>
      <c r="Q3843" s="5" t="str">
        <f t="shared" si="1"/>
        <v>২ পরে</v>
      </c>
    </row>
    <row r="3844">
      <c r="A3844" s="4">
        <v>1659.0</v>
      </c>
      <c r="B3844" s="2" t="s">
        <v>15558</v>
      </c>
      <c r="C3844" s="2" t="s">
        <v>15559</v>
      </c>
      <c r="D3844" s="2" t="s">
        <v>15560</v>
      </c>
      <c r="E3844" s="2" t="s">
        <v>15561</v>
      </c>
      <c r="F3844" s="2" t="b">
        <v>1</v>
      </c>
      <c r="G3844" s="2" t="b">
        <v>1</v>
      </c>
      <c r="H3844" s="2" t="s">
        <v>15562</v>
      </c>
      <c r="I3844" s="2" t="s">
        <v>32</v>
      </c>
      <c r="J3844" s="2" t="s">
        <v>1925</v>
      </c>
      <c r="K3844" s="2" t="s">
        <v>495</v>
      </c>
      <c r="L3844" s="13" t="s">
        <v>496</v>
      </c>
      <c r="M3844" s="2" t="s">
        <v>26</v>
      </c>
      <c r="N3844" s="29"/>
      <c r="O3844" s="29"/>
      <c r="P3844" s="5" t="str">
        <f>IFERROR(__xludf.DUMMYFUNCTION("TEXTJOIN("" | "",TRUE,IF(OR(D3844="""",E3844="""",I3844="""",J3844="""",H3844=""""),""ফাঁকা ঘর"",""""),IF(AND(C3844&lt;&gt;"""",D3844&lt;&gt;"""",C3844=D3844),""gloss=figurative"",""""),IF(LEN(D3844)&lt;15,""figurative ছোট"",""""),IF(AND(I3844=""Positive"",REGEXMATCH(H3"&amp;"844,""মূর্খ|ভণ্ড|প্রতার|অলস|লোভ|স্বার্থ|অক্ষম|অযোগ্য|বোকা|কৃপণ|হিংস"")),""valence-target অমিল"",""""),IF(COUNTIF($B:$B,B3844)&gt;1,""ডুপ্লিকেট"",""""))"),"")</f>
        <v/>
      </c>
      <c r="Q3844" s="5" t="str">
        <f t="shared" si="1"/>
        <v>২ পরে</v>
      </c>
    </row>
    <row r="3845">
      <c r="A3845" s="4">
        <v>1660.0</v>
      </c>
      <c r="B3845" s="2" t="s">
        <v>15563</v>
      </c>
      <c r="C3845" s="2" t="s">
        <v>15564</v>
      </c>
      <c r="D3845" s="2" t="s">
        <v>15565</v>
      </c>
      <c r="E3845" s="2" t="s">
        <v>15566</v>
      </c>
      <c r="F3845" s="2" t="b">
        <v>1</v>
      </c>
      <c r="G3845" s="2" t="b">
        <v>0</v>
      </c>
      <c r="H3845" s="2" t="s">
        <v>8848</v>
      </c>
      <c r="I3845" s="2" t="s">
        <v>22</v>
      </c>
      <c r="J3845" s="2" t="s">
        <v>3105</v>
      </c>
      <c r="K3845" s="2" t="s">
        <v>495</v>
      </c>
      <c r="L3845" s="13" t="s">
        <v>496</v>
      </c>
      <c r="M3845" s="2" t="s">
        <v>26</v>
      </c>
      <c r="N3845" s="29"/>
      <c r="O3845" s="29"/>
      <c r="P3845" s="5" t="str">
        <f>IFERROR(__xludf.DUMMYFUNCTION("TEXTJOIN("" | "",TRUE,IF(OR(D3845="""",E3845="""",I3845="""",J3845="""",H3845=""""),""ফাঁকা ঘর"",""""),IF(AND(C3845&lt;&gt;"""",D3845&lt;&gt;"""",C3845=D3845),""gloss=figurative"",""""),IF(LEN(D3845)&lt;15,""figurative ছোট"",""""),IF(AND(I3845=""Positive"",REGEXMATCH(H3"&amp;"845,""মূর্খ|ভণ্ড|প্রতার|অলস|লোভ|স্বার্থ|অক্ষম|অযোগ্য|বোকা|কৃপণ|হিংস"")),""valence-target অমিল"",""""),IF(COUNTIF($B:$B,B3845)&gt;1,""ডুপ্লিকেট"",""""))"),"")</f>
        <v/>
      </c>
      <c r="Q3845" s="5" t="str">
        <f t="shared" si="1"/>
        <v>২ পরে</v>
      </c>
    </row>
    <row r="3846">
      <c r="A3846" s="4">
        <v>1661.0</v>
      </c>
      <c r="B3846" s="2" t="s">
        <v>15567</v>
      </c>
      <c r="C3846" s="2" t="s">
        <v>15568</v>
      </c>
      <c r="D3846" s="2" t="s">
        <v>15569</v>
      </c>
      <c r="E3846" s="2" t="s">
        <v>15570</v>
      </c>
      <c r="F3846" s="2" t="b">
        <v>1</v>
      </c>
      <c r="G3846" s="2" t="b">
        <v>1</v>
      </c>
      <c r="H3846" s="2" t="s">
        <v>15571</v>
      </c>
      <c r="I3846" s="2" t="s">
        <v>22</v>
      </c>
      <c r="J3846" s="2" t="s">
        <v>739</v>
      </c>
      <c r="K3846" s="2" t="s">
        <v>495</v>
      </c>
      <c r="L3846" s="13" t="s">
        <v>496</v>
      </c>
      <c r="M3846" s="2" t="s">
        <v>26</v>
      </c>
      <c r="N3846" s="29"/>
      <c r="O3846" s="29"/>
      <c r="P3846" s="5" t="str">
        <f>IFERROR(__xludf.DUMMYFUNCTION("TEXTJOIN("" | "",TRUE,IF(OR(D3846="""",E3846="""",I3846="""",J3846="""",H3846=""""),""ফাঁকা ঘর"",""""),IF(AND(C3846&lt;&gt;"""",D3846&lt;&gt;"""",C3846=D3846),""gloss=figurative"",""""),IF(LEN(D3846)&lt;15,""figurative ছোট"",""""),IF(AND(I3846=""Positive"",REGEXMATCH(H3"&amp;"846,""মূর্খ|ভণ্ড|প্রতার|অলস|লোভ|স্বার্থ|অক্ষম|অযোগ্য|বোকা|কৃপণ|হিংস"")),""valence-target অমিল"",""""),IF(COUNTIF($B:$B,B3846)&gt;1,""ডুপ্লিকেট"",""""))"),"")</f>
        <v/>
      </c>
      <c r="Q3846" s="5" t="str">
        <f t="shared" si="1"/>
        <v>২ পরে</v>
      </c>
    </row>
    <row r="3847">
      <c r="A3847" s="4">
        <v>1662.0</v>
      </c>
      <c r="B3847" s="2" t="s">
        <v>15572</v>
      </c>
      <c r="C3847" s="2" t="s">
        <v>15572</v>
      </c>
      <c r="D3847" s="2" t="s">
        <v>15573</v>
      </c>
      <c r="E3847" s="2" t="s">
        <v>15574</v>
      </c>
      <c r="F3847" s="2" t="b">
        <v>1</v>
      </c>
      <c r="G3847" s="2" t="b">
        <v>0</v>
      </c>
      <c r="H3847" s="2" t="s">
        <v>15575</v>
      </c>
      <c r="I3847" s="2" t="s">
        <v>32</v>
      </c>
      <c r="J3847" s="2" t="s">
        <v>8124</v>
      </c>
      <c r="K3847" s="2" t="s">
        <v>495</v>
      </c>
      <c r="L3847" s="13" t="s">
        <v>496</v>
      </c>
      <c r="M3847" s="2" t="s">
        <v>26</v>
      </c>
      <c r="N3847" s="29"/>
      <c r="O3847" s="29"/>
      <c r="P3847" s="5" t="str">
        <f>IFERROR(__xludf.DUMMYFUNCTION("TEXTJOIN("" | "",TRUE,IF(OR(D3847="""",E3847="""",I3847="""",J3847="""",H3847=""""),""ফাঁকা ঘর"",""""),IF(AND(C3847&lt;&gt;"""",D3847&lt;&gt;"""",C3847=D3847),""gloss=figurative"",""""),IF(LEN(D3847)&lt;15,""figurative ছোট"",""""),IF(AND(I3847=""Positive"",REGEXMATCH(H3"&amp;"847,""মূর্খ|ভণ্ড|প্রতার|অলস|লোভ|স্বার্থ|অক্ষম|অযোগ্য|বোকা|কৃপণ|হিংস"")),""valence-target অমিল"",""""),IF(COUNTIF($B:$B,B3847)&gt;1,""ডুপ্লিকেট"",""""))"),"")</f>
        <v/>
      </c>
      <c r="Q3847" s="5" t="str">
        <f t="shared" si="1"/>
        <v>২ পরে</v>
      </c>
    </row>
    <row r="3848">
      <c r="A3848" s="4">
        <v>1663.0</v>
      </c>
      <c r="B3848" s="2" t="s">
        <v>15576</v>
      </c>
      <c r="C3848" s="2" t="s">
        <v>15577</v>
      </c>
      <c r="D3848" s="2" t="s">
        <v>15578</v>
      </c>
      <c r="E3848" s="2" t="s">
        <v>15579</v>
      </c>
      <c r="F3848" s="2" t="b">
        <v>1</v>
      </c>
      <c r="G3848" s="2" t="b">
        <v>0</v>
      </c>
      <c r="H3848" s="2" t="s">
        <v>15580</v>
      </c>
      <c r="I3848" s="2" t="s">
        <v>22</v>
      </c>
      <c r="J3848" s="2" t="s">
        <v>3105</v>
      </c>
      <c r="K3848" s="2" t="s">
        <v>376</v>
      </c>
      <c r="L3848" s="2" t="s">
        <v>391</v>
      </c>
      <c r="M3848" s="2" t="s">
        <v>26</v>
      </c>
      <c r="N3848" s="29"/>
      <c r="O3848" s="29"/>
      <c r="P3848" s="5" t="str">
        <f>IFERROR(__xludf.DUMMYFUNCTION("TEXTJOIN("" | "",TRUE,IF(OR(D3848="""",E3848="""",I3848="""",J3848="""",H3848=""""),""ফাঁকা ঘর"",""""),IF(AND(C3848&lt;&gt;"""",D3848&lt;&gt;"""",C3848=D3848),""gloss=figurative"",""""),IF(LEN(D3848)&lt;15,""figurative ছোট"",""""),IF(AND(I3848=""Positive"",REGEXMATCH(H3"&amp;"848,""মূর্খ|ভণ্ড|প্রতার|অলস|লোভ|স্বার্থ|অক্ষম|অযোগ্য|বোকা|কৃপণ|হিংস"")),""valence-target অমিল"",""""),IF(COUNTIF($B:$B,B3848)&gt;1,""ডুপ্লিকেট"",""""))"),"")</f>
        <v/>
      </c>
      <c r="Q3848" s="5" t="str">
        <f t="shared" si="1"/>
        <v>২ পরে</v>
      </c>
    </row>
    <row r="3849">
      <c r="A3849" s="4">
        <v>1664.0</v>
      </c>
      <c r="B3849" s="2" t="s">
        <v>15581</v>
      </c>
      <c r="C3849" s="2" t="s">
        <v>15582</v>
      </c>
      <c r="D3849" s="2" t="s">
        <v>15583</v>
      </c>
      <c r="E3849" s="2" t="s">
        <v>15584</v>
      </c>
      <c r="F3849" s="2" t="b">
        <v>1</v>
      </c>
      <c r="G3849" s="2" t="b">
        <v>0</v>
      </c>
      <c r="H3849" s="2" t="s">
        <v>8848</v>
      </c>
      <c r="I3849" s="2" t="s">
        <v>22</v>
      </c>
      <c r="J3849" s="2" t="s">
        <v>15585</v>
      </c>
      <c r="K3849" s="2" t="s">
        <v>376</v>
      </c>
      <c r="L3849" s="2" t="s">
        <v>391</v>
      </c>
      <c r="M3849" s="2" t="s">
        <v>26</v>
      </c>
      <c r="N3849" s="29"/>
      <c r="O3849" s="29"/>
      <c r="P3849" s="5" t="str">
        <f>IFERROR(__xludf.DUMMYFUNCTION("TEXTJOIN("" | "",TRUE,IF(OR(D3849="""",E3849="""",I3849="""",J3849="""",H3849=""""),""ফাঁকা ঘর"",""""),IF(AND(C3849&lt;&gt;"""",D3849&lt;&gt;"""",C3849=D3849),""gloss=figurative"",""""),IF(LEN(D3849)&lt;15,""figurative ছোট"",""""),IF(AND(I3849=""Positive"",REGEXMATCH(H3"&amp;"849,""মূর্খ|ভণ্ড|প্রতার|অলস|লোভ|স্বার্থ|অক্ষম|অযোগ্য|বোকা|কৃপণ|হিংস"")),""valence-target অমিল"",""""),IF(COUNTIF($B:$B,B3849)&gt;1,""ডুপ্লিকেট"",""""))"),"")</f>
        <v/>
      </c>
      <c r="Q3849" s="5" t="str">
        <f t="shared" si="1"/>
        <v>২ পরে</v>
      </c>
    </row>
    <row r="3850">
      <c r="A3850" s="4">
        <v>1665.0</v>
      </c>
      <c r="B3850" s="2" t="s">
        <v>15586</v>
      </c>
      <c r="C3850" s="2" t="s">
        <v>15587</v>
      </c>
      <c r="D3850" s="2" t="s">
        <v>15588</v>
      </c>
      <c r="E3850" s="2" t="s">
        <v>15589</v>
      </c>
      <c r="F3850" s="2" t="b">
        <v>1</v>
      </c>
      <c r="G3850" s="2" t="b">
        <v>0</v>
      </c>
      <c r="H3850" s="2" t="s">
        <v>37</v>
      </c>
      <c r="I3850" s="2" t="s">
        <v>32</v>
      </c>
      <c r="J3850" s="2" t="s">
        <v>1008</v>
      </c>
      <c r="K3850" s="2" t="s">
        <v>376</v>
      </c>
      <c r="L3850" s="2" t="s">
        <v>391</v>
      </c>
      <c r="M3850" s="2" t="s">
        <v>26</v>
      </c>
      <c r="N3850" s="29"/>
      <c r="O3850" s="29"/>
      <c r="P3850" s="5" t="str">
        <f>IFERROR(__xludf.DUMMYFUNCTION("TEXTJOIN("" | "",TRUE,IF(OR(D3850="""",E3850="""",I3850="""",J3850="""",H3850=""""),""ফাঁকা ঘর"",""""),IF(AND(C3850&lt;&gt;"""",D3850&lt;&gt;"""",C3850=D3850),""gloss=figurative"",""""),IF(LEN(D3850)&lt;15,""figurative ছোট"",""""),IF(AND(I3850=""Positive"",REGEXMATCH(H3"&amp;"850,""মূর্খ|ভণ্ড|প্রতার|অলস|লোভ|স্বার্থ|অক্ষম|অযোগ্য|বোকা|কৃপণ|হিংস"")),""valence-target অমিল"",""""),IF(COUNTIF($B:$B,B3850)&gt;1,""ডুপ্লিকেট"",""""))"),"")</f>
        <v/>
      </c>
      <c r="Q3850" s="5" t="str">
        <f t="shared" si="1"/>
        <v>২ পরে</v>
      </c>
    </row>
    <row r="3851">
      <c r="A3851" s="4">
        <v>1666.0</v>
      </c>
      <c r="B3851" s="2" t="s">
        <v>15590</v>
      </c>
      <c r="C3851" s="2" t="s">
        <v>15591</v>
      </c>
      <c r="D3851" s="2" t="s">
        <v>15592</v>
      </c>
      <c r="E3851" s="2" t="s">
        <v>15593</v>
      </c>
      <c r="F3851" s="2" t="b">
        <v>1</v>
      </c>
      <c r="G3851" s="2" t="b">
        <v>0</v>
      </c>
      <c r="H3851" s="2" t="s">
        <v>37</v>
      </c>
      <c r="I3851" s="2" t="s">
        <v>32</v>
      </c>
      <c r="J3851" s="2" t="s">
        <v>1244</v>
      </c>
      <c r="K3851" s="2" t="s">
        <v>376</v>
      </c>
      <c r="L3851" s="2" t="s">
        <v>391</v>
      </c>
      <c r="M3851" s="2" t="s">
        <v>26</v>
      </c>
      <c r="N3851" s="29"/>
      <c r="O3851" s="29"/>
      <c r="P3851" s="5" t="str">
        <f>IFERROR(__xludf.DUMMYFUNCTION("TEXTJOIN("" | "",TRUE,IF(OR(D3851="""",E3851="""",I3851="""",J3851="""",H3851=""""),""ফাঁকা ঘর"",""""),IF(AND(C3851&lt;&gt;"""",D3851&lt;&gt;"""",C3851=D3851),""gloss=figurative"",""""),IF(LEN(D3851)&lt;15,""figurative ছোট"",""""),IF(AND(I3851=""Positive"",REGEXMATCH(H3"&amp;"851,""মূর্খ|ভণ্ড|প্রতার|অলস|লোভ|স্বার্থ|অক্ষম|অযোগ্য|বোকা|কৃপণ|হিংস"")),""valence-target অমিল"",""""),IF(COUNTIF($B:$B,B3851)&gt;1,""ডুপ্লিকেট"",""""))"),"")</f>
        <v/>
      </c>
      <c r="Q3851" s="5" t="str">
        <f t="shared" si="1"/>
        <v>২ পরে</v>
      </c>
    </row>
    <row r="3852">
      <c r="A3852" s="4">
        <v>1667.0</v>
      </c>
      <c r="B3852" s="2" t="s">
        <v>15594</v>
      </c>
      <c r="C3852" s="2" t="s">
        <v>15595</v>
      </c>
      <c r="D3852" s="2" t="s">
        <v>15596</v>
      </c>
      <c r="E3852" s="2" t="s">
        <v>15597</v>
      </c>
      <c r="F3852" s="2" t="b">
        <v>1</v>
      </c>
      <c r="G3852" s="2" t="b">
        <v>0</v>
      </c>
      <c r="H3852" s="2" t="s">
        <v>15598</v>
      </c>
      <c r="I3852" s="2" t="s">
        <v>22</v>
      </c>
      <c r="J3852" s="2" t="s">
        <v>3105</v>
      </c>
      <c r="K3852" s="2" t="s">
        <v>376</v>
      </c>
      <c r="L3852" s="2" t="s">
        <v>391</v>
      </c>
      <c r="M3852" s="2" t="s">
        <v>26</v>
      </c>
      <c r="N3852" s="29"/>
      <c r="O3852" s="29"/>
      <c r="P3852" s="5" t="str">
        <f>IFERROR(__xludf.DUMMYFUNCTION("TEXTJOIN("" | "",TRUE,IF(OR(D3852="""",E3852="""",I3852="""",J3852="""",H3852=""""),""ফাঁকা ঘর"",""""),IF(AND(C3852&lt;&gt;"""",D3852&lt;&gt;"""",C3852=D3852),""gloss=figurative"",""""),IF(LEN(D3852)&lt;15,""figurative ছোট"",""""),IF(AND(I3852=""Positive"",REGEXMATCH(H3"&amp;"852,""মূর্খ|ভণ্ড|প্রতার|অলস|লোভ|স্বার্থ|অক্ষম|অযোগ্য|বোকা|কৃপণ|হিংস"")),""valence-target অমিল"",""""),IF(COUNTIF($B:$B,B3852)&gt;1,""ডুপ্লিকেট"",""""))"),"")</f>
        <v/>
      </c>
      <c r="Q3852" s="5" t="str">
        <f t="shared" si="1"/>
        <v>২ পরে</v>
      </c>
    </row>
    <row r="3853">
      <c r="A3853" s="4">
        <v>1668.0</v>
      </c>
      <c r="B3853" s="2" t="s">
        <v>15599</v>
      </c>
      <c r="C3853" s="2" t="s">
        <v>15600</v>
      </c>
      <c r="D3853" s="2" t="s">
        <v>15601</v>
      </c>
      <c r="E3853" s="2" t="s">
        <v>15602</v>
      </c>
      <c r="F3853" s="2" t="b">
        <v>1</v>
      </c>
      <c r="G3853" s="2" t="b">
        <v>0</v>
      </c>
      <c r="H3853" s="2" t="s">
        <v>15603</v>
      </c>
      <c r="I3853" s="2" t="s">
        <v>49</v>
      </c>
      <c r="J3853" s="2" t="s">
        <v>2732</v>
      </c>
      <c r="K3853" s="2" t="s">
        <v>376</v>
      </c>
      <c r="L3853" s="2" t="s">
        <v>391</v>
      </c>
      <c r="M3853" s="2" t="s">
        <v>26</v>
      </c>
      <c r="N3853" s="29"/>
      <c r="O3853" s="29"/>
      <c r="P3853" s="5" t="str">
        <f>IFERROR(__xludf.DUMMYFUNCTION("TEXTJOIN("" | "",TRUE,IF(OR(D3853="""",E3853="""",I3853="""",J3853="""",H3853=""""),""ফাঁকা ঘর"",""""),IF(AND(C3853&lt;&gt;"""",D3853&lt;&gt;"""",C3853=D3853),""gloss=figurative"",""""),IF(LEN(D3853)&lt;15,""figurative ছোট"",""""),IF(AND(I3853=""Positive"",REGEXMATCH(H3"&amp;"853,""মূর্খ|ভণ্ড|প্রতার|অলস|লোভ|স্বার্থ|অক্ষম|অযোগ্য|বোকা|কৃপণ|হিংস"")),""valence-target অমিল"",""""),IF(COUNTIF($B:$B,B3853)&gt;1,""ডুপ্লিকেট"",""""))"),"")</f>
        <v/>
      </c>
      <c r="Q3853" s="5" t="str">
        <f t="shared" si="1"/>
        <v>২ পরে</v>
      </c>
    </row>
    <row r="3854">
      <c r="A3854" s="4">
        <v>1669.0</v>
      </c>
      <c r="B3854" s="2" t="s">
        <v>15604</v>
      </c>
      <c r="C3854" s="2" t="s">
        <v>15605</v>
      </c>
      <c r="D3854" s="2" t="s">
        <v>15606</v>
      </c>
      <c r="E3854" s="2" t="s">
        <v>15607</v>
      </c>
      <c r="F3854" s="2" t="b">
        <v>1</v>
      </c>
      <c r="G3854" s="2" t="b">
        <v>0</v>
      </c>
      <c r="H3854" s="2" t="s">
        <v>37</v>
      </c>
      <c r="I3854" s="2" t="s">
        <v>32</v>
      </c>
      <c r="J3854" s="2" t="s">
        <v>565</v>
      </c>
      <c r="K3854" s="2" t="s">
        <v>376</v>
      </c>
      <c r="L3854" s="2" t="s">
        <v>391</v>
      </c>
      <c r="M3854" s="2" t="s">
        <v>26</v>
      </c>
      <c r="N3854" s="29"/>
      <c r="O3854" s="29"/>
      <c r="P3854" s="5" t="str">
        <f>IFERROR(__xludf.DUMMYFUNCTION("TEXTJOIN("" | "",TRUE,IF(OR(D3854="""",E3854="""",I3854="""",J3854="""",H3854=""""),""ফাঁকা ঘর"",""""),IF(AND(C3854&lt;&gt;"""",D3854&lt;&gt;"""",C3854=D3854),""gloss=figurative"",""""),IF(LEN(D3854)&lt;15,""figurative ছোট"",""""),IF(AND(I3854=""Positive"",REGEXMATCH(H3"&amp;"854,""মূর্খ|ভণ্ড|প্রতার|অলস|লোভ|স্বার্থ|অক্ষম|অযোগ্য|বোকা|কৃপণ|হিংস"")),""valence-target অমিল"",""""),IF(COUNTIF($B:$B,B3854)&gt;1,""ডুপ্লিকেট"",""""))"),"")</f>
        <v/>
      </c>
      <c r="Q3854" s="5" t="str">
        <f t="shared" si="1"/>
        <v>২ পরে</v>
      </c>
    </row>
    <row r="3855">
      <c r="A3855" s="4">
        <v>1670.0</v>
      </c>
      <c r="B3855" s="2" t="s">
        <v>15608</v>
      </c>
      <c r="C3855" s="2" t="s">
        <v>15609</v>
      </c>
      <c r="D3855" s="2" t="s">
        <v>15610</v>
      </c>
      <c r="E3855" s="2" t="s">
        <v>15611</v>
      </c>
      <c r="F3855" s="2" t="b">
        <v>1</v>
      </c>
      <c r="G3855" s="2" t="b">
        <v>0</v>
      </c>
      <c r="H3855" s="2" t="s">
        <v>15612</v>
      </c>
      <c r="I3855" s="2" t="s">
        <v>32</v>
      </c>
      <c r="J3855" s="2" t="s">
        <v>225</v>
      </c>
      <c r="K3855" s="2" t="s">
        <v>376</v>
      </c>
      <c r="L3855" s="2" t="s">
        <v>391</v>
      </c>
      <c r="M3855" s="2" t="s">
        <v>26</v>
      </c>
      <c r="N3855" s="29"/>
      <c r="O3855" s="29"/>
      <c r="P3855" s="5" t="str">
        <f>IFERROR(__xludf.DUMMYFUNCTION("TEXTJOIN("" | "",TRUE,IF(OR(D3855="""",E3855="""",I3855="""",J3855="""",H3855=""""),""ফাঁকা ঘর"",""""),IF(AND(C3855&lt;&gt;"""",D3855&lt;&gt;"""",C3855=D3855),""gloss=figurative"",""""),IF(LEN(D3855)&lt;15,""figurative ছোট"",""""),IF(AND(I3855=""Positive"",REGEXMATCH(H3"&amp;"855,""মূর্খ|ভণ্ড|প্রতার|অলস|লোভ|স্বার্থ|অক্ষম|অযোগ্য|বোকা|কৃপণ|হিংস"")),""valence-target অমিল"",""""),IF(COUNTIF($B:$B,B3855)&gt;1,""ডুপ্লিকেট"",""""))"),"")</f>
        <v/>
      </c>
      <c r="Q3855" s="5" t="str">
        <f t="shared" si="1"/>
        <v>২ পরে</v>
      </c>
    </row>
    <row r="3856">
      <c r="A3856" s="4">
        <v>1671.0</v>
      </c>
      <c r="B3856" s="2" t="s">
        <v>15613</v>
      </c>
      <c r="C3856" s="2" t="s">
        <v>15614</v>
      </c>
      <c r="D3856" s="2" t="s">
        <v>15615</v>
      </c>
      <c r="E3856" s="2" t="s">
        <v>15616</v>
      </c>
      <c r="F3856" s="2" t="b">
        <v>1</v>
      </c>
      <c r="G3856" s="2" t="b">
        <v>0</v>
      </c>
      <c r="H3856" s="2" t="s">
        <v>37</v>
      </c>
      <c r="I3856" s="2" t="s">
        <v>32</v>
      </c>
      <c r="J3856" s="2" t="s">
        <v>739</v>
      </c>
      <c r="K3856" s="2" t="s">
        <v>376</v>
      </c>
      <c r="L3856" s="2" t="s">
        <v>391</v>
      </c>
      <c r="M3856" s="2" t="s">
        <v>26</v>
      </c>
      <c r="N3856" s="29"/>
      <c r="O3856" s="29"/>
      <c r="P3856" s="5" t="str">
        <f>IFERROR(__xludf.DUMMYFUNCTION("TEXTJOIN("" | "",TRUE,IF(OR(D3856="""",E3856="""",I3856="""",J3856="""",H3856=""""),""ফাঁকা ঘর"",""""),IF(AND(C3856&lt;&gt;"""",D3856&lt;&gt;"""",C3856=D3856),""gloss=figurative"",""""),IF(LEN(D3856)&lt;15,""figurative ছোট"",""""),IF(AND(I3856=""Positive"",REGEXMATCH(H3"&amp;"856,""মূর্খ|ভণ্ড|প্রতার|অলস|লোভ|স্বার্থ|অক্ষম|অযোগ্য|বোকা|কৃপণ|হিংস"")),""valence-target অমিল"",""""),IF(COUNTIF($B:$B,B3856)&gt;1,""ডুপ্লিকেট"",""""))"),"")</f>
        <v/>
      </c>
      <c r="Q3856" s="5" t="str">
        <f t="shared" si="1"/>
        <v>২ পরে</v>
      </c>
    </row>
    <row r="3857">
      <c r="A3857" s="4">
        <v>1672.0</v>
      </c>
      <c r="B3857" s="2" t="s">
        <v>15617</v>
      </c>
      <c r="C3857" s="2" t="s">
        <v>15618</v>
      </c>
      <c r="D3857" s="2" t="s">
        <v>15619</v>
      </c>
      <c r="E3857" s="2" t="s">
        <v>15620</v>
      </c>
      <c r="F3857" s="2" t="b">
        <v>1</v>
      </c>
      <c r="G3857" s="2" t="b">
        <v>0</v>
      </c>
      <c r="H3857" s="2" t="s">
        <v>15621</v>
      </c>
      <c r="I3857" s="2" t="s">
        <v>22</v>
      </c>
      <c r="J3857" s="2" t="s">
        <v>447</v>
      </c>
      <c r="K3857" s="2" t="s">
        <v>376</v>
      </c>
      <c r="L3857" s="2" t="s">
        <v>391</v>
      </c>
      <c r="M3857" s="2" t="s">
        <v>26</v>
      </c>
      <c r="N3857" s="29"/>
      <c r="O3857" s="29"/>
      <c r="P3857" s="5" t="str">
        <f>IFERROR(__xludf.DUMMYFUNCTION("TEXTJOIN("" | "",TRUE,IF(OR(D3857="""",E3857="""",I3857="""",J3857="""",H3857=""""),""ফাঁকা ঘর"",""""),IF(AND(C3857&lt;&gt;"""",D3857&lt;&gt;"""",C3857=D3857),""gloss=figurative"",""""),IF(LEN(D3857)&lt;15,""figurative ছোট"",""""),IF(AND(I3857=""Positive"",REGEXMATCH(H3"&amp;"857,""মূর্খ|ভণ্ড|প্রতার|অলস|লোভ|স্বার্থ|অক্ষম|অযোগ্য|বোকা|কৃপণ|হিংস"")),""valence-target অমিল"",""""),IF(COUNTIF($B:$B,B3857)&gt;1,""ডুপ্লিকেট"",""""))"),"")</f>
        <v/>
      </c>
      <c r="Q3857" s="5" t="str">
        <f t="shared" si="1"/>
        <v>২ পরে</v>
      </c>
    </row>
    <row r="3858">
      <c r="A3858" s="4">
        <v>1673.0</v>
      </c>
      <c r="B3858" s="2" t="s">
        <v>15622</v>
      </c>
      <c r="C3858" s="2" t="s">
        <v>15623</v>
      </c>
      <c r="D3858" s="2" t="s">
        <v>15624</v>
      </c>
      <c r="E3858" s="2" t="s">
        <v>15625</v>
      </c>
      <c r="F3858" s="2" t="b">
        <v>1</v>
      </c>
      <c r="G3858" s="2" t="b">
        <v>0</v>
      </c>
      <c r="H3858" s="2" t="s">
        <v>37</v>
      </c>
      <c r="I3858" s="2" t="s">
        <v>49</v>
      </c>
      <c r="J3858" s="2" t="s">
        <v>225</v>
      </c>
      <c r="K3858" s="2" t="s">
        <v>376</v>
      </c>
      <c r="L3858" s="2" t="s">
        <v>391</v>
      </c>
      <c r="M3858" s="2" t="s">
        <v>26</v>
      </c>
      <c r="N3858" s="29"/>
      <c r="O3858" s="29"/>
      <c r="P3858" s="5" t="str">
        <f>IFERROR(__xludf.DUMMYFUNCTION("TEXTJOIN("" | "",TRUE,IF(OR(D3858="""",E3858="""",I3858="""",J3858="""",H3858=""""),""ফাঁকা ঘর"",""""),IF(AND(C3858&lt;&gt;"""",D3858&lt;&gt;"""",C3858=D3858),""gloss=figurative"",""""),IF(LEN(D3858)&lt;15,""figurative ছোট"",""""),IF(AND(I3858=""Positive"",REGEXMATCH(H3"&amp;"858,""মূর্খ|ভণ্ড|প্রতার|অলস|লোভ|স্বার্থ|অক্ষম|অযোগ্য|বোকা|কৃপণ|হিংস"")),""valence-target অমিল"",""""),IF(COUNTIF($B:$B,B3858)&gt;1,""ডুপ্লিকেট"",""""))"),"")</f>
        <v/>
      </c>
      <c r="Q3858" s="5" t="str">
        <f t="shared" si="1"/>
        <v>২ পরে</v>
      </c>
    </row>
    <row r="3859">
      <c r="A3859" s="4">
        <v>1674.0</v>
      </c>
      <c r="B3859" s="2" t="s">
        <v>15626</v>
      </c>
      <c r="C3859" s="2" t="s">
        <v>15627</v>
      </c>
      <c r="D3859" s="2" t="s">
        <v>15628</v>
      </c>
      <c r="E3859" s="2" t="s">
        <v>15629</v>
      </c>
      <c r="F3859" s="2" t="b">
        <v>1</v>
      </c>
      <c r="G3859" s="2" t="b">
        <v>0</v>
      </c>
      <c r="H3859" s="2" t="s">
        <v>37</v>
      </c>
      <c r="I3859" s="2" t="s">
        <v>49</v>
      </c>
      <c r="J3859" s="2" t="s">
        <v>225</v>
      </c>
      <c r="K3859" s="2" t="s">
        <v>376</v>
      </c>
      <c r="L3859" s="2" t="s">
        <v>391</v>
      </c>
      <c r="M3859" s="2" t="s">
        <v>26</v>
      </c>
      <c r="N3859" s="29"/>
      <c r="O3859" s="29"/>
      <c r="P3859" s="5" t="str">
        <f>IFERROR(__xludf.DUMMYFUNCTION("TEXTJOIN("" | "",TRUE,IF(OR(D3859="""",E3859="""",I3859="""",J3859="""",H3859=""""),""ফাঁকা ঘর"",""""),IF(AND(C3859&lt;&gt;"""",D3859&lt;&gt;"""",C3859=D3859),""gloss=figurative"",""""),IF(LEN(D3859)&lt;15,""figurative ছোট"",""""),IF(AND(I3859=""Positive"",REGEXMATCH(H3"&amp;"859,""মূর্খ|ভণ্ড|প্রতার|অলস|লোভ|স্বার্থ|অক্ষম|অযোগ্য|বোকা|কৃপণ|হিংস"")),""valence-target অমিল"",""""),IF(COUNTIF($B:$B,B3859)&gt;1,""ডুপ্লিকেট"",""""))"),"")</f>
        <v/>
      </c>
      <c r="Q3859" s="5" t="str">
        <f t="shared" si="1"/>
        <v>২ পরে</v>
      </c>
    </row>
    <row r="3860">
      <c r="A3860" s="4">
        <v>1675.0</v>
      </c>
      <c r="B3860" s="2" t="s">
        <v>15630</v>
      </c>
      <c r="C3860" s="2" t="s">
        <v>15631</v>
      </c>
      <c r="D3860" s="2" t="s">
        <v>15632</v>
      </c>
      <c r="E3860" s="2" t="s">
        <v>15633</v>
      </c>
      <c r="F3860" s="2" t="b">
        <v>1</v>
      </c>
      <c r="G3860" s="2" t="b">
        <v>0</v>
      </c>
      <c r="H3860" s="2" t="s">
        <v>15634</v>
      </c>
      <c r="I3860" s="2" t="s">
        <v>22</v>
      </c>
      <c r="J3860" s="2" t="s">
        <v>15262</v>
      </c>
      <c r="K3860" s="2" t="s">
        <v>376</v>
      </c>
      <c r="L3860" s="2" t="s">
        <v>391</v>
      </c>
      <c r="M3860" s="2" t="s">
        <v>26</v>
      </c>
      <c r="N3860" s="29"/>
      <c r="O3860" s="29"/>
      <c r="P3860" s="5" t="str">
        <f>IFERROR(__xludf.DUMMYFUNCTION("TEXTJOIN("" | "",TRUE,IF(OR(D3860="""",E3860="""",I3860="""",J3860="""",H3860=""""),""ফাঁকা ঘর"",""""),IF(AND(C3860&lt;&gt;"""",D3860&lt;&gt;"""",C3860=D3860),""gloss=figurative"",""""),IF(LEN(D3860)&lt;15,""figurative ছোট"",""""),IF(AND(I3860=""Positive"",REGEXMATCH(H3"&amp;"860,""মূর্খ|ভণ্ড|প্রতার|অলস|লোভ|স্বার্থ|অক্ষম|অযোগ্য|বোকা|কৃপণ|হিংস"")),""valence-target অমিল"",""""),IF(COUNTIF($B:$B,B3860)&gt;1,""ডুপ্লিকেট"",""""))"),"")</f>
        <v/>
      </c>
      <c r="Q3860" s="5" t="str">
        <f t="shared" si="1"/>
        <v>২ পরে</v>
      </c>
    </row>
    <row r="3861">
      <c r="A3861" s="4">
        <v>1677.0</v>
      </c>
      <c r="B3861" s="2" t="s">
        <v>15635</v>
      </c>
      <c r="C3861" s="2" t="s">
        <v>15636</v>
      </c>
      <c r="D3861" s="2" t="s">
        <v>15637</v>
      </c>
      <c r="E3861" s="2" t="s">
        <v>15638</v>
      </c>
      <c r="F3861" s="2" t="b">
        <v>1</v>
      </c>
      <c r="G3861" s="2" t="b">
        <v>0</v>
      </c>
      <c r="H3861" s="2" t="s">
        <v>37</v>
      </c>
      <c r="I3861" s="2" t="s">
        <v>49</v>
      </c>
      <c r="J3861" s="2" t="s">
        <v>565</v>
      </c>
      <c r="K3861" s="2" t="s">
        <v>376</v>
      </c>
      <c r="L3861" s="2" t="s">
        <v>391</v>
      </c>
      <c r="M3861" s="2" t="s">
        <v>26</v>
      </c>
      <c r="N3861" s="29"/>
      <c r="O3861" s="29"/>
      <c r="P3861" s="5" t="str">
        <f>IFERROR(__xludf.DUMMYFUNCTION("TEXTJOIN("" | "",TRUE,IF(OR(D3861="""",E3861="""",I3861="""",J3861="""",H3861=""""),""ফাঁকা ঘর"",""""),IF(AND(C3861&lt;&gt;"""",D3861&lt;&gt;"""",C3861=D3861),""gloss=figurative"",""""),IF(LEN(D3861)&lt;15,""figurative ছোট"",""""),IF(AND(I3861=""Positive"",REGEXMATCH(H3"&amp;"861,""মূর্খ|ভণ্ড|প্রতার|অলস|লোভ|স্বার্থ|অক্ষম|অযোগ্য|বোকা|কৃপণ|হিংস"")),""valence-target অমিল"",""""),IF(COUNTIF($B:$B,B3861)&gt;1,""ডুপ্লিকেট"",""""))"),"")</f>
        <v/>
      </c>
      <c r="Q3861" s="5" t="str">
        <f t="shared" si="1"/>
        <v>২ পরে</v>
      </c>
    </row>
    <row r="3862">
      <c r="A3862" s="4">
        <v>1678.0</v>
      </c>
      <c r="B3862" s="2" t="s">
        <v>15639</v>
      </c>
      <c r="C3862" s="2" t="s">
        <v>15640</v>
      </c>
      <c r="D3862" s="2" t="s">
        <v>15641</v>
      </c>
      <c r="E3862" s="2" t="s">
        <v>15642</v>
      </c>
      <c r="F3862" s="2" t="b">
        <v>1</v>
      </c>
      <c r="G3862" s="2" t="b">
        <v>0</v>
      </c>
      <c r="H3862" s="2" t="s">
        <v>15634</v>
      </c>
      <c r="I3862" s="2" t="s">
        <v>22</v>
      </c>
      <c r="J3862" s="2" t="s">
        <v>15262</v>
      </c>
      <c r="K3862" s="2" t="s">
        <v>495</v>
      </c>
      <c r="L3862" s="13" t="s">
        <v>496</v>
      </c>
      <c r="M3862" s="2" t="s">
        <v>26</v>
      </c>
      <c r="N3862" s="29"/>
      <c r="O3862" s="29"/>
      <c r="P3862" s="5" t="str">
        <f>IFERROR(__xludf.DUMMYFUNCTION("TEXTJOIN("" | "",TRUE,IF(OR(D3862="""",E3862="""",I3862="""",J3862="""",H3862=""""),""ফাঁকা ঘর"",""""),IF(AND(C3862&lt;&gt;"""",D3862&lt;&gt;"""",C3862=D3862),""gloss=figurative"",""""),IF(LEN(D3862)&lt;15,""figurative ছোট"",""""),IF(AND(I3862=""Positive"",REGEXMATCH(H3"&amp;"862,""মূর্খ|ভণ্ড|প্রতার|অলস|লোভ|স্বার্থ|অক্ষম|অযোগ্য|বোকা|কৃপণ|হিংস"")),""valence-target অমিল"",""""),IF(COUNTIF($B:$B,B3862)&gt;1,""ডুপ্লিকেট"",""""))"),"")</f>
        <v/>
      </c>
      <c r="Q3862" s="5" t="str">
        <f t="shared" si="1"/>
        <v>২ পরে</v>
      </c>
    </row>
    <row r="3863">
      <c r="A3863" s="4">
        <v>1679.0</v>
      </c>
      <c r="B3863" s="2" t="s">
        <v>15643</v>
      </c>
      <c r="C3863" s="2" t="s">
        <v>15644</v>
      </c>
      <c r="D3863" s="2" t="s">
        <v>15645</v>
      </c>
      <c r="E3863" s="2" t="s">
        <v>15646</v>
      </c>
      <c r="F3863" s="2" t="b">
        <v>1</v>
      </c>
      <c r="G3863" s="2" t="b">
        <v>0</v>
      </c>
      <c r="H3863" s="2" t="s">
        <v>15647</v>
      </c>
      <c r="I3863" s="2" t="s">
        <v>22</v>
      </c>
      <c r="J3863" s="2" t="s">
        <v>447</v>
      </c>
      <c r="K3863" s="2" t="s">
        <v>495</v>
      </c>
      <c r="L3863" s="13" t="s">
        <v>496</v>
      </c>
      <c r="M3863" s="2" t="s">
        <v>26</v>
      </c>
      <c r="N3863" s="29"/>
      <c r="O3863" s="29"/>
      <c r="P3863" s="5" t="str">
        <f>IFERROR(__xludf.DUMMYFUNCTION("TEXTJOIN("" | "",TRUE,IF(OR(D3863="""",E3863="""",I3863="""",J3863="""",H3863=""""),""ফাঁকা ঘর"",""""),IF(AND(C3863&lt;&gt;"""",D3863&lt;&gt;"""",C3863=D3863),""gloss=figurative"",""""),IF(LEN(D3863)&lt;15,""figurative ছোট"",""""),IF(AND(I3863=""Positive"",REGEXMATCH(H3"&amp;"863,""মূর্খ|ভণ্ড|প্রতার|অলস|লোভ|স্বার্থ|অক্ষম|অযোগ্য|বোকা|কৃপণ|হিংস"")),""valence-target অমিল"",""""),IF(COUNTIF($B:$B,B3863)&gt;1,""ডুপ্লিকেট"",""""))"),"")</f>
        <v/>
      </c>
      <c r="Q3863" s="5" t="str">
        <f t="shared" si="1"/>
        <v>২ পরে</v>
      </c>
    </row>
    <row r="3864">
      <c r="A3864" s="4">
        <v>1680.0</v>
      </c>
      <c r="B3864" s="2" t="s">
        <v>15648</v>
      </c>
      <c r="C3864" s="2" t="s">
        <v>15649</v>
      </c>
      <c r="D3864" s="2" t="s">
        <v>15650</v>
      </c>
      <c r="E3864" s="2" t="s">
        <v>15651</v>
      </c>
      <c r="F3864" s="2" t="b">
        <v>1</v>
      </c>
      <c r="G3864" s="2" t="b">
        <v>0</v>
      </c>
      <c r="H3864" s="2" t="s">
        <v>37</v>
      </c>
      <c r="I3864" s="2" t="s">
        <v>32</v>
      </c>
      <c r="J3864" s="2" t="s">
        <v>739</v>
      </c>
      <c r="K3864" s="2" t="s">
        <v>495</v>
      </c>
      <c r="L3864" s="13" t="s">
        <v>496</v>
      </c>
      <c r="M3864" s="2" t="s">
        <v>26</v>
      </c>
      <c r="N3864" s="29"/>
      <c r="O3864" s="29"/>
      <c r="P3864" s="5" t="str">
        <f>IFERROR(__xludf.DUMMYFUNCTION("TEXTJOIN("" | "",TRUE,IF(OR(D3864="""",E3864="""",I3864="""",J3864="""",H3864=""""),""ফাঁকা ঘর"",""""),IF(AND(C3864&lt;&gt;"""",D3864&lt;&gt;"""",C3864=D3864),""gloss=figurative"",""""),IF(LEN(D3864)&lt;15,""figurative ছোট"",""""),IF(AND(I3864=""Positive"",REGEXMATCH(H3"&amp;"864,""মূর্খ|ভণ্ড|প্রতার|অলস|লোভ|স্বার্থ|অক্ষম|অযোগ্য|বোকা|কৃপণ|হিংস"")),""valence-target অমিল"",""""),IF(COUNTIF($B:$B,B3864)&gt;1,""ডুপ্লিকেট"",""""))"),"")</f>
        <v/>
      </c>
      <c r="Q3864" s="5" t="str">
        <f t="shared" si="1"/>
        <v>২ পরে</v>
      </c>
    </row>
    <row r="3865">
      <c r="A3865" s="4">
        <v>1681.0</v>
      </c>
      <c r="B3865" s="2" t="s">
        <v>15652</v>
      </c>
      <c r="C3865" s="2" t="s">
        <v>15653</v>
      </c>
      <c r="D3865" s="2" t="s">
        <v>15654</v>
      </c>
      <c r="E3865" s="2" t="s">
        <v>15655</v>
      </c>
      <c r="F3865" s="2" t="b">
        <v>1</v>
      </c>
      <c r="G3865" s="2" t="b">
        <v>0</v>
      </c>
      <c r="H3865" s="2" t="s">
        <v>15656</v>
      </c>
      <c r="I3865" s="2" t="s">
        <v>22</v>
      </c>
      <c r="J3865" s="2" t="s">
        <v>15657</v>
      </c>
      <c r="K3865" s="2" t="s">
        <v>495</v>
      </c>
      <c r="L3865" s="13" t="s">
        <v>496</v>
      </c>
      <c r="M3865" s="2" t="s">
        <v>26</v>
      </c>
      <c r="N3865" s="29"/>
      <c r="O3865" s="29"/>
      <c r="P3865" s="5" t="str">
        <f>IFERROR(__xludf.DUMMYFUNCTION("TEXTJOIN("" | "",TRUE,IF(OR(D3865="""",E3865="""",I3865="""",J3865="""",H3865=""""),""ফাঁকা ঘর"",""""),IF(AND(C3865&lt;&gt;"""",D3865&lt;&gt;"""",C3865=D3865),""gloss=figurative"",""""),IF(LEN(D3865)&lt;15,""figurative ছোট"",""""),IF(AND(I3865=""Positive"",REGEXMATCH(H3"&amp;"865,""মূর্খ|ভণ্ড|প্রতার|অলস|লোভ|স্বার্থ|অক্ষম|অযোগ্য|বোকা|কৃপণ|হিংস"")),""valence-target অমিল"",""""),IF(COUNTIF($B:$B,B3865)&gt;1,""ডুপ্লিকেট"",""""))"),"")</f>
        <v/>
      </c>
      <c r="Q3865" s="5" t="str">
        <f t="shared" si="1"/>
        <v>২ পরে</v>
      </c>
    </row>
    <row r="3866">
      <c r="A3866" s="4">
        <v>1682.0</v>
      </c>
      <c r="B3866" s="2" t="s">
        <v>15658</v>
      </c>
      <c r="C3866" s="2" t="s">
        <v>15659</v>
      </c>
      <c r="D3866" s="2" t="s">
        <v>15660</v>
      </c>
      <c r="E3866" s="2" t="s">
        <v>15661</v>
      </c>
      <c r="F3866" s="2" t="b">
        <v>1</v>
      </c>
      <c r="G3866" s="2" t="b">
        <v>0</v>
      </c>
      <c r="H3866" s="2" t="s">
        <v>110</v>
      </c>
      <c r="I3866" s="2" t="s">
        <v>22</v>
      </c>
      <c r="J3866" s="2" t="s">
        <v>225</v>
      </c>
      <c r="K3866" s="2" t="s">
        <v>495</v>
      </c>
      <c r="L3866" s="13" t="s">
        <v>496</v>
      </c>
      <c r="M3866" s="2" t="s">
        <v>26</v>
      </c>
      <c r="N3866" s="29"/>
      <c r="O3866" s="29"/>
      <c r="P3866" s="5" t="str">
        <f>IFERROR(__xludf.DUMMYFUNCTION("TEXTJOIN("" | "",TRUE,IF(OR(D3866="""",E3866="""",I3866="""",J3866="""",H3866=""""),""ফাঁকা ঘর"",""""),IF(AND(C3866&lt;&gt;"""",D3866&lt;&gt;"""",C3866=D3866),""gloss=figurative"",""""),IF(LEN(D3866)&lt;15,""figurative ছোট"",""""),IF(AND(I3866=""Positive"",REGEXMATCH(H3"&amp;"866,""মূর্খ|ভণ্ড|প্রতার|অলস|লোভ|স্বার্থ|অক্ষম|অযোগ্য|বোকা|কৃপণ|হিংস"")),""valence-target অমিল"",""""),IF(COUNTIF($B:$B,B3866)&gt;1,""ডুপ্লিকেট"",""""))"),"")</f>
        <v/>
      </c>
      <c r="Q3866" s="5" t="str">
        <f t="shared" si="1"/>
        <v>২ পরে</v>
      </c>
    </row>
    <row r="3867">
      <c r="A3867" s="4">
        <v>1683.0</v>
      </c>
      <c r="B3867" s="2" t="s">
        <v>15662</v>
      </c>
      <c r="C3867" s="2" t="s">
        <v>15663</v>
      </c>
      <c r="D3867" s="2" t="s">
        <v>15664</v>
      </c>
      <c r="E3867" s="2" t="s">
        <v>15665</v>
      </c>
      <c r="F3867" s="2" t="b">
        <v>1</v>
      </c>
      <c r="G3867" s="2" t="b">
        <v>0</v>
      </c>
      <c r="H3867" s="2" t="s">
        <v>15666</v>
      </c>
      <c r="I3867" s="2" t="s">
        <v>22</v>
      </c>
      <c r="J3867" s="2" t="s">
        <v>4112</v>
      </c>
      <c r="K3867" s="2" t="s">
        <v>495</v>
      </c>
      <c r="L3867" s="13" t="s">
        <v>496</v>
      </c>
      <c r="M3867" s="2" t="s">
        <v>26</v>
      </c>
      <c r="N3867" s="29"/>
      <c r="O3867" s="29"/>
      <c r="P3867" s="5" t="str">
        <f>IFERROR(__xludf.DUMMYFUNCTION("TEXTJOIN("" | "",TRUE,IF(OR(D3867="""",E3867="""",I3867="""",J3867="""",H3867=""""),""ফাঁকা ঘর"",""""),IF(AND(C3867&lt;&gt;"""",D3867&lt;&gt;"""",C3867=D3867),""gloss=figurative"",""""),IF(LEN(D3867)&lt;15,""figurative ছোট"",""""),IF(AND(I3867=""Positive"",REGEXMATCH(H3"&amp;"867,""মূর্খ|ভণ্ড|প্রতার|অলস|লোভ|স্বার্থ|অক্ষম|অযোগ্য|বোকা|কৃপণ|হিংস"")),""valence-target অমিল"",""""),IF(COUNTIF($B:$B,B3867)&gt;1,""ডুপ্লিকেট"",""""))"),"")</f>
        <v/>
      </c>
      <c r="Q3867" s="5" t="str">
        <f t="shared" si="1"/>
        <v>২ পরে</v>
      </c>
    </row>
    <row r="3868">
      <c r="A3868" s="4">
        <v>1684.0</v>
      </c>
      <c r="B3868" s="2" t="s">
        <v>15667</v>
      </c>
      <c r="C3868" s="2" t="s">
        <v>15668</v>
      </c>
      <c r="D3868" s="2" t="s">
        <v>15669</v>
      </c>
      <c r="E3868" s="2" t="s">
        <v>15670</v>
      </c>
      <c r="F3868" s="2" t="b">
        <v>1</v>
      </c>
      <c r="G3868" s="2" t="b">
        <v>0</v>
      </c>
      <c r="H3868" s="2" t="s">
        <v>2078</v>
      </c>
      <c r="I3868" s="2" t="s">
        <v>49</v>
      </c>
      <c r="J3868" s="2" t="s">
        <v>3701</v>
      </c>
      <c r="K3868" s="2" t="s">
        <v>495</v>
      </c>
      <c r="L3868" s="13" t="s">
        <v>496</v>
      </c>
      <c r="M3868" s="2" t="s">
        <v>26</v>
      </c>
      <c r="N3868" s="29"/>
      <c r="O3868" s="29"/>
      <c r="P3868" s="5" t="str">
        <f>IFERROR(__xludf.DUMMYFUNCTION("TEXTJOIN("" | "",TRUE,IF(OR(D3868="""",E3868="""",I3868="""",J3868="""",H3868=""""),""ফাঁকা ঘর"",""""),IF(AND(C3868&lt;&gt;"""",D3868&lt;&gt;"""",C3868=D3868),""gloss=figurative"",""""),IF(LEN(D3868)&lt;15,""figurative ছোট"",""""),IF(AND(I3868=""Positive"",REGEXMATCH(H3"&amp;"868,""মূর্খ|ভণ্ড|প্রতার|অলস|লোভ|স্বার্থ|অক্ষম|অযোগ্য|বোকা|কৃপণ|হিংস"")),""valence-target অমিল"",""""),IF(COUNTIF($B:$B,B3868)&gt;1,""ডুপ্লিকেট"",""""))"),"")</f>
        <v/>
      </c>
      <c r="Q3868" s="5" t="str">
        <f t="shared" si="1"/>
        <v>২ পরে</v>
      </c>
    </row>
    <row r="3869">
      <c r="A3869" s="4">
        <v>1685.0</v>
      </c>
      <c r="B3869" s="2" t="s">
        <v>8986</v>
      </c>
      <c r="C3869" s="2" t="s">
        <v>15671</v>
      </c>
      <c r="D3869" s="2" t="s">
        <v>15672</v>
      </c>
      <c r="E3869" s="2" t="s">
        <v>15673</v>
      </c>
      <c r="F3869" s="2" t="b">
        <v>1</v>
      </c>
      <c r="G3869" s="2" t="b">
        <v>0</v>
      </c>
      <c r="H3869" s="2" t="s">
        <v>15674</v>
      </c>
      <c r="I3869" s="2" t="s">
        <v>22</v>
      </c>
      <c r="J3869" s="2" t="s">
        <v>708</v>
      </c>
      <c r="K3869" s="2" t="s">
        <v>495</v>
      </c>
      <c r="L3869" s="13" t="s">
        <v>496</v>
      </c>
      <c r="M3869" s="2" t="s">
        <v>26</v>
      </c>
      <c r="N3869" s="29"/>
      <c r="O3869" s="29"/>
      <c r="P3869" s="5" t="str">
        <f>IFERROR(__xludf.DUMMYFUNCTION("TEXTJOIN("" | "",TRUE,IF(OR(D3869="""",E3869="""",I3869="""",J3869="""",H3869=""""),""ফাঁকা ঘর"",""""),IF(AND(C3869&lt;&gt;"""",D3869&lt;&gt;"""",C3869=D3869),""gloss=figurative"",""""),IF(LEN(D3869)&lt;15,""figurative ছোট"",""""),IF(AND(I3869=""Positive"",REGEXMATCH(H3"&amp;"869,""মূর্খ|ভণ্ড|প্রতার|অলস|লোভ|স্বার্থ|অক্ষম|অযোগ্য|বোকা|কৃপণ|হিংস"")),""valence-target অমিল"",""""),IF(COUNTIF($B:$B,B3869)&gt;1,""ডুপ্লিকেট"",""""))"),"")</f>
        <v/>
      </c>
      <c r="Q3869" s="5" t="str">
        <f t="shared" si="1"/>
        <v>২ পরে</v>
      </c>
    </row>
    <row r="3870">
      <c r="A3870" s="4">
        <v>1686.0</v>
      </c>
      <c r="B3870" s="2" t="s">
        <v>15675</v>
      </c>
      <c r="C3870" s="2" t="s">
        <v>15676</v>
      </c>
      <c r="D3870" s="2" t="s">
        <v>15677</v>
      </c>
      <c r="E3870" s="2" t="s">
        <v>15678</v>
      </c>
      <c r="F3870" s="2" t="b">
        <v>1</v>
      </c>
      <c r="G3870" s="2" t="b">
        <v>0</v>
      </c>
      <c r="H3870" s="2" t="s">
        <v>37</v>
      </c>
      <c r="I3870" s="2" t="s">
        <v>32</v>
      </c>
      <c r="J3870" s="2" t="s">
        <v>15679</v>
      </c>
      <c r="K3870" s="2" t="s">
        <v>495</v>
      </c>
      <c r="L3870" s="13" t="s">
        <v>496</v>
      </c>
      <c r="M3870" s="2" t="s">
        <v>26</v>
      </c>
      <c r="N3870" s="29"/>
      <c r="O3870" s="29"/>
      <c r="P3870" s="5" t="str">
        <f>IFERROR(__xludf.DUMMYFUNCTION("TEXTJOIN("" | "",TRUE,IF(OR(D3870="""",E3870="""",I3870="""",J3870="""",H3870=""""),""ফাঁকা ঘর"",""""),IF(AND(C3870&lt;&gt;"""",D3870&lt;&gt;"""",C3870=D3870),""gloss=figurative"",""""),IF(LEN(D3870)&lt;15,""figurative ছোট"",""""),IF(AND(I3870=""Positive"",REGEXMATCH(H3"&amp;"870,""মূর্খ|ভণ্ড|প্রতার|অলস|লোভ|স্বার্থ|অক্ষম|অযোগ্য|বোকা|কৃপণ|হিংস"")),""valence-target অমিল"",""""),IF(COUNTIF($B:$B,B3870)&gt;1,""ডুপ্লিকেট"",""""))"),"")</f>
        <v/>
      </c>
      <c r="Q3870" s="5" t="str">
        <f t="shared" si="1"/>
        <v>২ পরে</v>
      </c>
    </row>
    <row r="3871">
      <c r="A3871" s="4">
        <v>1687.0</v>
      </c>
      <c r="B3871" s="2" t="s">
        <v>15680</v>
      </c>
      <c r="C3871" s="2" t="s">
        <v>15681</v>
      </c>
      <c r="D3871" s="2" t="s">
        <v>15682</v>
      </c>
      <c r="E3871" s="2" t="s">
        <v>15683</v>
      </c>
      <c r="F3871" s="2" t="b">
        <v>1</v>
      </c>
      <c r="G3871" s="2" t="b">
        <v>0</v>
      </c>
      <c r="H3871" s="2" t="s">
        <v>37</v>
      </c>
      <c r="I3871" s="2" t="s">
        <v>22</v>
      </c>
      <c r="J3871" s="2" t="s">
        <v>14872</v>
      </c>
      <c r="K3871" s="2" t="s">
        <v>495</v>
      </c>
      <c r="L3871" s="13" t="s">
        <v>496</v>
      </c>
      <c r="M3871" s="2" t="s">
        <v>26</v>
      </c>
      <c r="N3871" s="29"/>
      <c r="O3871" s="29"/>
      <c r="P3871" s="5" t="str">
        <f>IFERROR(__xludf.DUMMYFUNCTION("TEXTJOIN("" | "",TRUE,IF(OR(D3871="""",E3871="""",I3871="""",J3871="""",H3871=""""),""ফাঁকা ঘর"",""""),IF(AND(C3871&lt;&gt;"""",D3871&lt;&gt;"""",C3871=D3871),""gloss=figurative"",""""),IF(LEN(D3871)&lt;15,""figurative ছোট"",""""),IF(AND(I3871=""Positive"",REGEXMATCH(H3"&amp;"871,""মূর্খ|ভণ্ড|প্রতার|অলস|লোভ|স্বার্থ|অক্ষম|অযোগ্য|বোকা|কৃপণ|হিংস"")),""valence-target অমিল"",""""),IF(COUNTIF($B:$B,B3871)&gt;1,""ডুপ্লিকেট"",""""))"),"")</f>
        <v/>
      </c>
      <c r="Q3871" s="5" t="str">
        <f t="shared" si="1"/>
        <v>২ পরে</v>
      </c>
    </row>
    <row r="3872">
      <c r="A3872" s="4">
        <v>1688.0</v>
      </c>
      <c r="B3872" s="2" t="s">
        <v>15684</v>
      </c>
      <c r="C3872" s="2" t="s">
        <v>15685</v>
      </c>
      <c r="D3872" s="2" t="s">
        <v>15686</v>
      </c>
      <c r="E3872" s="2" t="s">
        <v>15687</v>
      </c>
      <c r="F3872" s="2" t="b">
        <v>1</v>
      </c>
      <c r="G3872" s="2" t="b">
        <v>0</v>
      </c>
      <c r="H3872" s="2" t="s">
        <v>9661</v>
      </c>
      <c r="I3872" s="2" t="s">
        <v>22</v>
      </c>
      <c r="J3872" s="2" t="s">
        <v>1621</v>
      </c>
      <c r="K3872" s="2" t="s">
        <v>495</v>
      </c>
      <c r="L3872" s="13" t="s">
        <v>496</v>
      </c>
      <c r="M3872" s="2" t="s">
        <v>26</v>
      </c>
      <c r="N3872" s="29"/>
      <c r="O3872" s="29"/>
      <c r="P3872" s="5" t="str">
        <f>IFERROR(__xludf.DUMMYFUNCTION("TEXTJOIN("" | "",TRUE,IF(OR(D3872="""",E3872="""",I3872="""",J3872="""",H3872=""""),""ফাঁকা ঘর"",""""),IF(AND(C3872&lt;&gt;"""",D3872&lt;&gt;"""",C3872=D3872),""gloss=figurative"",""""),IF(LEN(D3872)&lt;15,""figurative ছোট"",""""),IF(AND(I3872=""Positive"",REGEXMATCH(H3"&amp;"872,""মূর্খ|ভণ্ড|প্রতার|অলস|লোভ|স্বার্থ|অক্ষম|অযোগ্য|বোকা|কৃপণ|হিংস"")),""valence-target অমিল"",""""),IF(COUNTIF($B:$B,B3872)&gt;1,""ডুপ্লিকেট"",""""))"),"")</f>
        <v/>
      </c>
      <c r="Q3872" s="5" t="str">
        <f t="shared" si="1"/>
        <v>২ পরে</v>
      </c>
    </row>
    <row r="3873">
      <c r="A3873" s="4">
        <v>1689.0</v>
      </c>
      <c r="B3873" s="2" t="s">
        <v>15688</v>
      </c>
      <c r="C3873" s="2" t="s">
        <v>15689</v>
      </c>
      <c r="D3873" s="2" t="s">
        <v>15690</v>
      </c>
      <c r="E3873" s="2" t="s">
        <v>15691</v>
      </c>
      <c r="F3873" s="2" t="b">
        <v>1</v>
      </c>
      <c r="G3873" s="2" t="b">
        <v>0</v>
      </c>
      <c r="H3873" s="2" t="s">
        <v>15692</v>
      </c>
      <c r="I3873" s="2" t="s">
        <v>22</v>
      </c>
      <c r="J3873" s="2" t="s">
        <v>836</v>
      </c>
      <c r="K3873" s="2" t="s">
        <v>495</v>
      </c>
      <c r="L3873" s="13" t="s">
        <v>496</v>
      </c>
      <c r="M3873" s="2" t="s">
        <v>26</v>
      </c>
      <c r="N3873" s="29"/>
      <c r="O3873" s="29"/>
      <c r="P3873" s="5" t="str">
        <f>IFERROR(__xludf.DUMMYFUNCTION("TEXTJOIN("" | "",TRUE,IF(OR(D3873="""",E3873="""",I3873="""",J3873="""",H3873=""""),""ফাঁকা ঘর"",""""),IF(AND(C3873&lt;&gt;"""",D3873&lt;&gt;"""",C3873=D3873),""gloss=figurative"",""""),IF(LEN(D3873)&lt;15,""figurative ছোট"",""""),IF(AND(I3873=""Positive"",REGEXMATCH(H3"&amp;"873,""মূর্খ|ভণ্ড|প্রতার|অলস|লোভ|স্বার্থ|অক্ষম|অযোগ্য|বোকা|কৃপণ|হিংস"")),""valence-target অমিল"",""""),IF(COUNTIF($B:$B,B3873)&gt;1,""ডুপ্লিকেট"",""""))"),"")</f>
        <v/>
      </c>
      <c r="Q3873" s="5" t="str">
        <f t="shared" si="1"/>
        <v>২ পরে</v>
      </c>
    </row>
    <row r="3874">
      <c r="A3874" s="4">
        <v>1690.0</v>
      </c>
      <c r="B3874" s="2" t="s">
        <v>15693</v>
      </c>
      <c r="C3874" s="2" t="s">
        <v>15694</v>
      </c>
      <c r="D3874" s="2" t="s">
        <v>15695</v>
      </c>
      <c r="E3874" s="2" t="s">
        <v>15696</v>
      </c>
      <c r="F3874" s="2" t="b">
        <v>1</v>
      </c>
      <c r="G3874" s="2" t="b">
        <v>1</v>
      </c>
      <c r="H3874" s="2" t="s">
        <v>15697</v>
      </c>
      <c r="I3874" s="2" t="s">
        <v>22</v>
      </c>
      <c r="J3874" s="2" t="s">
        <v>1315</v>
      </c>
      <c r="K3874" s="2" t="s">
        <v>495</v>
      </c>
      <c r="L3874" s="13" t="s">
        <v>496</v>
      </c>
      <c r="M3874" s="2" t="s">
        <v>26</v>
      </c>
      <c r="N3874" s="29"/>
      <c r="O3874" s="29"/>
      <c r="P3874" s="5" t="str">
        <f>IFERROR(__xludf.DUMMYFUNCTION("TEXTJOIN("" | "",TRUE,IF(OR(D3874="""",E3874="""",I3874="""",J3874="""",H3874=""""),""ফাঁকা ঘর"",""""),IF(AND(C3874&lt;&gt;"""",D3874&lt;&gt;"""",C3874=D3874),""gloss=figurative"",""""),IF(LEN(D3874)&lt;15,""figurative ছোট"",""""),IF(AND(I3874=""Positive"",REGEXMATCH(H3"&amp;"874,""মূর্খ|ভণ্ড|প্রতার|অলস|লোভ|স্বার্থ|অক্ষম|অযোগ্য|বোকা|কৃপণ|হিংস"")),""valence-target অমিল"",""""),IF(COUNTIF($B:$B,B3874)&gt;1,""ডুপ্লিকেট"",""""))"),"")</f>
        <v/>
      </c>
      <c r="Q3874" s="5" t="str">
        <f t="shared" si="1"/>
        <v>২ পরে</v>
      </c>
    </row>
    <row r="3875">
      <c r="A3875" s="4">
        <v>1691.0</v>
      </c>
      <c r="B3875" s="2" t="s">
        <v>15698</v>
      </c>
      <c r="C3875" s="2" t="s">
        <v>15699</v>
      </c>
      <c r="D3875" s="2" t="s">
        <v>15700</v>
      </c>
      <c r="E3875" s="2" t="s">
        <v>15701</v>
      </c>
      <c r="F3875" s="2" t="b">
        <v>1</v>
      </c>
      <c r="G3875" s="2" t="b">
        <v>1</v>
      </c>
      <c r="H3875" s="2" t="s">
        <v>15702</v>
      </c>
      <c r="I3875" s="2" t="s">
        <v>22</v>
      </c>
      <c r="J3875" s="2" t="s">
        <v>1315</v>
      </c>
      <c r="K3875" s="2" t="s">
        <v>495</v>
      </c>
      <c r="L3875" s="13" t="s">
        <v>496</v>
      </c>
      <c r="M3875" s="2" t="s">
        <v>26</v>
      </c>
      <c r="N3875" s="29"/>
      <c r="O3875" s="29"/>
      <c r="P3875" s="5" t="str">
        <f>IFERROR(__xludf.DUMMYFUNCTION("TEXTJOIN("" | "",TRUE,IF(OR(D3875="""",E3875="""",I3875="""",J3875="""",H3875=""""),""ফাঁকা ঘর"",""""),IF(AND(C3875&lt;&gt;"""",D3875&lt;&gt;"""",C3875=D3875),""gloss=figurative"",""""),IF(LEN(D3875)&lt;15,""figurative ছোট"",""""),IF(AND(I3875=""Positive"",REGEXMATCH(H3"&amp;"875,""মূর্খ|ভণ্ড|প্রতার|অলস|লোভ|স্বার্থ|অক্ষম|অযোগ্য|বোকা|কৃপণ|হিংস"")),""valence-target অমিল"",""""),IF(COUNTIF($B:$B,B3875)&gt;1,""ডুপ্লিকেট"",""""))"),"")</f>
        <v/>
      </c>
      <c r="Q3875" s="5" t="str">
        <f t="shared" si="1"/>
        <v>২ পরে</v>
      </c>
    </row>
    <row r="3876">
      <c r="A3876" s="4">
        <v>1692.0</v>
      </c>
      <c r="B3876" s="2" t="s">
        <v>15703</v>
      </c>
      <c r="C3876" s="2" t="s">
        <v>15704</v>
      </c>
      <c r="D3876" s="2" t="s">
        <v>15705</v>
      </c>
      <c r="E3876" s="2" t="s">
        <v>15706</v>
      </c>
      <c r="F3876" s="2" t="b">
        <v>1</v>
      </c>
      <c r="G3876" s="2" t="b">
        <v>0</v>
      </c>
      <c r="H3876" s="2" t="s">
        <v>37</v>
      </c>
      <c r="I3876" s="2" t="s">
        <v>32</v>
      </c>
      <c r="J3876" s="2" t="s">
        <v>1603</v>
      </c>
      <c r="K3876" s="2" t="s">
        <v>495</v>
      </c>
      <c r="L3876" s="13" t="s">
        <v>496</v>
      </c>
      <c r="M3876" s="2" t="s">
        <v>26</v>
      </c>
      <c r="N3876" s="29"/>
      <c r="O3876" s="29"/>
      <c r="P3876" s="5" t="str">
        <f>IFERROR(__xludf.DUMMYFUNCTION("TEXTJOIN("" | "",TRUE,IF(OR(D3876="""",E3876="""",I3876="""",J3876="""",H3876=""""),""ফাঁকা ঘর"",""""),IF(AND(C3876&lt;&gt;"""",D3876&lt;&gt;"""",C3876=D3876),""gloss=figurative"",""""),IF(LEN(D3876)&lt;15,""figurative ছোট"",""""),IF(AND(I3876=""Positive"",REGEXMATCH(H3"&amp;"876,""মূর্খ|ভণ্ড|প্রতার|অলস|লোভ|স্বার্থ|অক্ষম|অযোগ্য|বোকা|কৃপণ|হিংস"")),""valence-target অমিল"",""""),IF(COUNTIF($B:$B,B3876)&gt;1,""ডুপ্লিকেট"",""""))"),"")</f>
        <v/>
      </c>
      <c r="Q3876" s="5" t="str">
        <f t="shared" si="1"/>
        <v>২ পরে</v>
      </c>
    </row>
    <row r="3877">
      <c r="A3877" s="4">
        <v>1693.0</v>
      </c>
      <c r="B3877" s="2" t="s">
        <v>15707</v>
      </c>
      <c r="C3877" s="2" t="s">
        <v>15708</v>
      </c>
      <c r="D3877" s="2" t="s">
        <v>15709</v>
      </c>
      <c r="E3877" s="2" t="s">
        <v>15710</v>
      </c>
      <c r="F3877" s="2" t="b">
        <v>1</v>
      </c>
      <c r="G3877" s="2" t="b">
        <v>0</v>
      </c>
      <c r="H3877" s="2" t="s">
        <v>37</v>
      </c>
      <c r="I3877" s="2" t="s">
        <v>49</v>
      </c>
      <c r="J3877" s="2" t="s">
        <v>2732</v>
      </c>
      <c r="K3877" s="2" t="s">
        <v>495</v>
      </c>
      <c r="L3877" s="13" t="s">
        <v>496</v>
      </c>
      <c r="M3877" s="2" t="s">
        <v>26</v>
      </c>
      <c r="N3877" s="29"/>
      <c r="O3877" s="29"/>
      <c r="P3877" s="5" t="str">
        <f>IFERROR(__xludf.DUMMYFUNCTION("TEXTJOIN("" | "",TRUE,IF(OR(D3877="""",E3877="""",I3877="""",J3877="""",H3877=""""),""ফাঁকা ঘর"",""""),IF(AND(C3877&lt;&gt;"""",D3877&lt;&gt;"""",C3877=D3877),""gloss=figurative"",""""),IF(LEN(D3877)&lt;15,""figurative ছোট"",""""),IF(AND(I3877=""Positive"",REGEXMATCH(H3"&amp;"877,""মূর্খ|ভণ্ড|প্রতার|অলস|লোভ|স্বার্থ|অক্ষম|অযোগ্য|বোকা|কৃপণ|হিংস"")),""valence-target অমিল"",""""),IF(COUNTIF($B:$B,B3877)&gt;1,""ডুপ্লিকেট"",""""))"),"")</f>
        <v/>
      </c>
      <c r="Q3877" s="5" t="str">
        <f t="shared" si="1"/>
        <v>২ পরে</v>
      </c>
    </row>
    <row r="3878">
      <c r="A3878" s="4">
        <v>1694.0</v>
      </c>
      <c r="B3878" s="2" t="s">
        <v>15711</v>
      </c>
      <c r="C3878" s="2" t="s">
        <v>15712</v>
      </c>
      <c r="D3878" s="2" t="s">
        <v>15713</v>
      </c>
      <c r="E3878" s="2" t="s">
        <v>15714</v>
      </c>
      <c r="F3878" s="2" t="b">
        <v>1</v>
      </c>
      <c r="G3878" s="2" t="b">
        <v>1</v>
      </c>
      <c r="H3878" s="2" t="s">
        <v>15715</v>
      </c>
      <c r="I3878" s="2" t="s">
        <v>22</v>
      </c>
      <c r="J3878" s="2" t="s">
        <v>1315</v>
      </c>
      <c r="K3878" s="2" t="s">
        <v>495</v>
      </c>
      <c r="L3878" s="13" t="s">
        <v>496</v>
      </c>
      <c r="M3878" s="2" t="s">
        <v>26</v>
      </c>
      <c r="N3878" s="29"/>
      <c r="O3878" s="29"/>
      <c r="P3878" s="5" t="str">
        <f>IFERROR(__xludf.DUMMYFUNCTION("TEXTJOIN("" | "",TRUE,IF(OR(D3878="""",E3878="""",I3878="""",J3878="""",H3878=""""),""ফাঁকা ঘর"",""""),IF(AND(C3878&lt;&gt;"""",D3878&lt;&gt;"""",C3878=D3878),""gloss=figurative"",""""),IF(LEN(D3878)&lt;15,""figurative ছোট"",""""),IF(AND(I3878=""Positive"",REGEXMATCH(H3"&amp;"878,""মূর্খ|ভণ্ড|প্রতার|অলস|লোভ|স্বার্থ|অক্ষম|অযোগ্য|বোকা|কৃপণ|হিংস"")),""valence-target অমিল"",""""),IF(COUNTIF($B:$B,B3878)&gt;1,""ডুপ্লিকেট"",""""))"),"")</f>
        <v/>
      </c>
      <c r="Q3878" s="5" t="str">
        <f t="shared" si="1"/>
        <v>২ পরে</v>
      </c>
    </row>
    <row r="3879">
      <c r="A3879" s="4">
        <v>1695.0</v>
      </c>
      <c r="B3879" s="2" t="s">
        <v>15716</v>
      </c>
      <c r="C3879" s="2" t="s">
        <v>15717</v>
      </c>
      <c r="D3879" s="2" t="s">
        <v>15718</v>
      </c>
      <c r="E3879" s="2" t="s">
        <v>15719</v>
      </c>
      <c r="F3879" s="2" t="b">
        <v>1</v>
      </c>
      <c r="G3879" s="2" t="b">
        <v>1</v>
      </c>
      <c r="H3879" s="2" t="s">
        <v>15720</v>
      </c>
      <c r="I3879" s="2" t="s">
        <v>22</v>
      </c>
      <c r="J3879" s="2" t="s">
        <v>1315</v>
      </c>
      <c r="K3879" s="2" t="s">
        <v>495</v>
      </c>
      <c r="L3879" s="13" t="s">
        <v>496</v>
      </c>
      <c r="M3879" s="2" t="s">
        <v>26</v>
      </c>
      <c r="N3879" s="29"/>
      <c r="O3879" s="29"/>
      <c r="P3879" s="5" t="str">
        <f>IFERROR(__xludf.DUMMYFUNCTION("TEXTJOIN("" | "",TRUE,IF(OR(D3879="""",E3879="""",I3879="""",J3879="""",H3879=""""),""ফাঁকা ঘর"",""""),IF(AND(C3879&lt;&gt;"""",D3879&lt;&gt;"""",C3879=D3879),""gloss=figurative"",""""),IF(LEN(D3879)&lt;15,""figurative ছোট"",""""),IF(AND(I3879=""Positive"",REGEXMATCH(H3"&amp;"879,""মূর্খ|ভণ্ড|প্রতার|অলস|লোভ|স্বার্থ|অক্ষম|অযোগ্য|বোকা|কৃপণ|হিংস"")),""valence-target অমিল"",""""),IF(COUNTIF($B:$B,B3879)&gt;1,""ডুপ্লিকেট"",""""))"),"")</f>
        <v/>
      </c>
      <c r="Q3879" s="5" t="str">
        <f t="shared" si="1"/>
        <v>২ পরে</v>
      </c>
    </row>
    <row r="3880">
      <c r="A3880" s="4">
        <v>1696.0</v>
      </c>
      <c r="B3880" s="2" t="s">
        <v>15721</v>
      </c>
      <c r="C3880" s="2" t="s">
        <v>15722</v>
      </c>
      <c r="D3880" s="2" t="s">
        <v>15723</v>
      </c>
      <c r="E3880" s="2" t="s">
        <v>15724</v>
      </c>
      <c r="F3880" s="2" t="b">
        <v>1</v>
      </c>
      <c r="G3880" s="2" t="b">
        <v>0</v>
      </c>
      <c r="H3880" s="2" t="s">
        <v>21</v>
      </c>
      <c r="I3880" s="2" t="s">
        <v>22</v>
      </c>
      <c r="J3880" s="2" t="s">
        <v>2316</v>
      </c>
      <c r="K3880" s="2" t="s">
        <v>495</v>
      </c>
      <c r="L3880" s="13" t="s">
        <v>496</v>
      </c>
      <c r="M3880" s="2" t="s">
        <v>26</v>
      </c>
      <c r="N3880" s="29"/>
      <c r="O3880" s="29"/>
      <c r="P3880" s="5" t="str">
        <f>IFERROR(__xludf.DUMMYFUNCTION("TEXTJOIN("" | "",TRUE,IF(OR(D3880="""",E3880="""",I3880="""",J3880="""",H3880=""""),""ফাঁকা ঘর"",""""),IF(AND(C3880&lt;&gt;"""",D3880&lt;&gt;"""",C3880=D3880),""gloss=figurative"",""""),IF(LEN(D3880)&lt;15,""figurative ছোট"",""""),IF(AND(I3880=""Positive"",REGEXMATCH(H3"&amp;"880,""মূর্খ|ভণ্ড|প্রতার|অলস|লোভ|স্বার্থ|অক্ষম|অযোগ্য|বোকা|কৃপণ|হিংস"")),""valence-target অমিল"",""""),IF(COUNTIF($B:$B,B3880)&gt;1,""ডুপ্লিকেট"",""""))"),"")</f>
        <v/>
      </c>
      <c r="Q3880" s="5" t="str">
        <f t="shared" si="1"/>
        <v>২ পরে</v>
      </c>
    </row>
    <row r="3881">
      <c r="A3881" s="4">
        <v>1697.0</v>
      </c>
      <c r="B3881" s="2" t="s">
        <v>15725</v>
      </c>
      <c r="C3881" s="2" t="s">
        <v>15726</v>
      </c>
      <c r="D3881" s="2" t="s">
        <v>15727</v>
      </c>
      <c r="E3881" s="2" t="s">
        <v>15728</v>
      </c>
      <c r="F3881" s="2" t="b">
        <v>1</v>
      </c>
      <c r="G3881" s="2" t="b">
        <v>0</v>
      </c>
      <c r="H3881" s="2" t="s">
        <v>15729</v>
      </c>
      <c r="I3881" s="2" t="s">
        <v>22</v>
      </c>
      <c r="J3881" s="2" t="s">
        <v>3105</v>
      </c>
      <c r="K3881" s="2" t="s">
        <v>495</v>
      </c>
      <c r="L3881" s="13" t="s">
        <v>496</v>
      </c>
      <c r="M3881" s="2" t="s">
        <v>26</v>
      </c>
      <c r="N3881" s="29"/>
      <c r="O3881" s="29"/>
      <c r="P3881" s="5" t="str">
        <f>IFERROR(__xludf.DUMMYFUNCTION("TEXTJOIN("" | "",TRUE,IF(OR(D3881="""",E3881="""",I3881="""",J3881="""",H3881=""""),""ফাঁকা ঘর"",""""),IF(AND(C3881&lt;&gt;"""",D3881&lt;&gt;"""",C3881=D3881),""gloss=figurative"",""""),IF(LEN(D3881)&lt;15,""figurative ছোট"",""""),IF(AND(I3881=""Positive"",REGEXMATCH(H3"&amp;"881,""মূর্খ|ভণ্ড|প্রতার|অলস|লোভ|স্বার্থ|অক্ষম|অযোগ্য|বোকা|কৃপণ|হিংস"")),""valence-target অমিল"",""""),IF(COUNTIF($B:$B,B3881)&gt;1,""ডুপ্লিকেট"",""""))"),"")</f>
        <v/>
      </c>
      <c r="Q3881" s="5" t="str">
        <f t="shared" si="1"/>
        <v>২ পরে</v>
      </c>
    </row>
    <row r="3882">
      <c r="A3882" s="4">
        <v>1698.0</v>
      </c>
      <c r="B3882" s="2" t="s">
        <v>15730</v>
      </c>
      <c r="C3882" s="2" t="s">
        <v>15731</v>
      </c>
      <c r="D3882" s="2" t="s">
        <v>15732</v>
      </c>
      <c r="E3882" s="2" t="s">
        <v>15733</v>
      </c>
      <c r="F3882" s="2" t="b">
        <v>1</v>
      </c>
      <c r="G3882" s="2" t="b">
        <v>0</v>
      </c>
      <c r="H3882" s="2" t="s">
        <v>15734</v>
      </c>
      <c r="I3882" s="2" t="s">
        <v>22</v>
      </c>
      <c r="J3882" s="2" t="s">
        <v>5916</v>
      </c>
      <c r="K3882" s="2" t="s">
        <v>495</v>
      </c>
      <c r="L3882" s="13" t="s">
        <v>496</v>
      </c>
      <c r="M3882" s="2" t="s">
        <v>26</v>
      </c>
      <c r="N3882" s="29"/>
      <c r="O3882" s="29"/>
      <c r="P3882" s="5" t="str">
        <f>IFERROR(__xludf.DUMMYFUNCTION("TEXTJOIN("" | "",TRUE,IF(OR(D3882="""",E3882="""",I3882="""",J3882="""",H3882=""""),""ফাঁকা ঘর"",""""),IF(AND(C3882&lt;&gt;"""",D3882&lt;&gt;"""",C3882=D3882),""gloss=figurative"",""""),IF(LEN(D3882)&lt;15,""figurative ছোট"",""""),IF(AND(I3882=""Positive"",REGEXMATCH(H3"&amp;"882,""মূর্খ|ভণ্ড|প্রতার|অলস|লোভ|স্বার্থ|অক্ষম|অযোগ্য|বোকা|কৃপণ|হিংস"")),""valence-target অমিল"",""""),IF(COUNTIF($B:$B,B3882)&gt;1,""ডুপ্লিকেট"",""""))"),"")</f>
        <v/>
      </c>
      <c r="Q3882" s="5" t="str">
        <f t="shared" si="1"/>
        <v>২ পরে</v>
      </c>
    </row>
    <row r="3883">
      <c r="A3883" s="4">
        <v>1699.0</v>
      </c>
      <c r="B3883" s="2" t="s">
        <v>15735</v>
      </c>
      <c r="C3883" s="2" t="s">
        <v>15736</v>
      </c>
      <c r="D3883" s="2" t="s">
        <v>15737</v>
      </c>
      <c r="E3883" s="2" t="s">
        <v>15738</v>
      </c>
      <c r="F3883" s="2" t="b">
        <v>1</v>
      </c>
      <c r="G3883" s="2" t="b">
        <v>0</v>
      </c>
      <c r="H3883" s="2" t="s">
        <v>37</v>
      </c>
      <c r="I3883" s="2" t="s">
        <v>32</v>
      </c>
      <c r="J3883" s="2" t="s">
        <v>162</v>
      </c>
      <c r="K3883" s="2" t="s">
        <v>495</v>
      </c>
      <c r="L3883" s="13" t="s">
        <v>496</v>
      </c>
      <c r="M3883" s="2" t="s">
        <v>26</v>
      </c>
      <c r="N3883" s="29"/>
      <c r="O3883" s="29"/>
      <c r="P3883" s="5" t="str">
        <f>IFERROR(__xludf.DUMMYFUNCTION("TEXTJOIN("" | "",TRUE,IF(OR(D3883="""",E3883="""",I3883="""",J3883="""",H3883=""""),""ফাঁকা ঘর"",""""),IF(AND(C3883&lt;&gt;"""",D3883&lt;&gt;"""",C3883=D3883),""gloss=figurative"",""""),IF(LEN(D3883)&lt;15,""figurative ছোট"",""""),IF(AND(I3883=""Positive"",REGEXMATCH(H3"&amp;"883,""মূর্খ|ভণ্ড|প্রতার|অলস|লোভ|স্বার্থ|অক্ষম|অযোগ্য|বোকা|কৃপণ|হিংস"")),""valence-target অমিল"",""""),IF(COUNTIF($B:$B,B3883)&gt;1,""ডুপ্লিকেট"",""""))"),"")</f>
        <v/>
      </c>
      <c r="Q3883" s="5" t="str">
        <f t="shared" si="1"/>
        <v>২ পরে</v>
      </c>
    </row>
    <row r="3884">
      <c r="A3884" s="4">
        <v>1700.0</v>
      </c>
      <c r="B3884" s="2" t="s">
        <v>15739</v>
      </c>
      <c r="C3884" s="2" t="s">
        <v>15740</v>
      </c>
      <c r="D3884" s="2" t="s">
        <v>15741</v>
      </c>
      <c r="E3884" s="2" t="s">
        <v>15742</v>
      </c>
      <c r="F3884" s="2" t="b">
        <v>1</v>
      </c>
      <c r="G3884" s="2" t="b">
        <v>1</v>
      </c>
      <c r="H3884" s="2" t="s">
        <v>15743</v>
      </c>
      <c r="I3884" s="2" t="s">
        <v>22</v>
      </c>
      <c r="J3884" s="2" t="s">
        <v>15744</v>
      </c>
      <c r="K3884" s="2" t="s">
        <v>495</v>
      </c>
      <c r="L3884" s="13" t="s">
        <v>496</v>
      </c>
      <c r="M3884" s="2" t="s">
        <v>26</v>
      </c>
      <c r="N3884" s="29"/>
      <c r="O3884" s="29"/>
      <c r="P3884" s="5" t="str">
        <f>IFERROR(__xludf.DUMMYFUNCTION("TEXTJOIN("" | "",TRUE,IF(OR(D3884="""",E3884="""",I3884="""",J3884="""",H3884=""""),""ফাঁকা ঘর"",""""),IF(AND(C3884&lt;&gt;"""",D3884&lt;&gt;"""",C3884=D3884),""gloss=figurative"",""""),IF(LEN(D3884)&lt;15,""figurative ছোট"",""""),IF(AND(I3884=""Positive"",REGEXMATCH(H3"&amp;"884,""মূর্খ|ভণ্ড|প্রতার|অলস|লোভ|স্বার্থ|অক্ষম|অযোগ্য|বোকা|কৃপণ|হিংস"")),""valence-target অমিল"",""""),IF(COUNTIF($B:$B,B3884)&gt;1,""ডুপ্লিকেট"",""""))"),"")</f>
        <v/>
      </c>
      <c r="Q3884" s="5" t="str">
        <f t="shared" si="1"/>
        <v>২ পরে</v>
      </c>
    </row>
    <row r="3885">
      <c r="A3885" s="4">
        <v>1701.0</v>
      </c>
      <c r="B3885" s="2" t="s">
        <v>15745</v>
      </c>
      <c r="C3885" s="2" t="s">
        <v>15746</v>
      </c>
      <c r="D3885" s="2" t="s">
        <v>15747</v>
      </c>
      <c r="E3885" s="2" t="s">
        <v>15748</v>
      </c>
      <c r="F3885" s="2" t="b">
        <v>1</v>
      </c>
      <c r="G3885" s="2" t="b">
        <v>0</v>
      </c>
      <c r="H3885" s="2" t="s">
        <v>37</v>
      </c>
      <c r="I3885" s="2" t="s">
        <v>32</v>
      </c>
      <c r="J3885" s="2" t="s">
        <v>2629</v>
      </c>
      <c r="K3885" s="2" t="s">
        <v>495</v>
      </c>
      <c r="L3885" s="13" t="s">
        <v>496</v>
      </c>
      <c r="M3885" s="2" t="s">
        <v>26</v>
      </c>
      <c r="N3885" s="29"/>
      <c r="O3885" s="29"/>
      <c r="P3885" s="5" t="str">
        <f>IFERROR(__xludf.DUMMYFUNCTION("TEXTJOIN("" | "",TRUE,IF(OR(D3885="""",E3885="""",I3885="""",J3885="""",H3885=""""),""ফাঁকা ঘর"",""""),IF(AND(C3885&lt;&gt;"""",D3885&lt;&gt;"""",C3885=D3885),""gloss=figurative"",""""),IF(LEN(D3885)&lt;15,""figurative ছোট"",""""),IF(AND(I3885=""Positive"",REGEXMATCH(H3"&amp;"885,""মূর্খ|ভণ্ড|প্রতার|অলস|লোভ|স্বার্থ|অক্ষম|অযোগ্য|বোকা|কৃপণ|হিংস"")),""valence-target অমিল"",""""),IF(COUNTIF($B:$B,B3885)&gt;1,""ডুপ্লিকেট"",""""))"),"")</f>
        <v/>
      </c>
      <c r="Q3885" s="5" t="str">
        <f t="shared" si="1"/>
        <v>২ পরে</v>
      </c>
    </row>
    <row r="3886">
      <c r="A3886" s="4">
        <v>1702.0</v>
      </c>
      <c r="B3886" s="2" t="s">
        <v>15749</v>
      </c>
      <c r="C3886" s="2" t="s">
        <v>15750</v>
      </c>
      <c r="D3886" s="2" t="s">
        <v>15751</v>
      </c>
      <c r="E3886" s="2" t="s">
        <v>15752</v>
      </c>
      <c r="F3886" s="2" t="b">
        <v>1</v>
      </c>
      <c r="G3886" s="2" t="b">
        <v>0</v>
      </c>
      <c r="H3886" s="2" t="s">
        <v>9603</v>
      </c>
      <c r="I3886" s="2" t="s">
        <v>49</v>
      </c>
      <c r="J3886" s="2" t="s">
        <v>2629</v>
      </c>
      <c r="K3886" s="2" t="s">
        <v>495</v>
      </c>
      <c r="L3886" s="13" t="s">
        <v>496</v>
      </c>
      <c r="M3886" s="2" t="s">
        <v>26</v>
      </c>
      <c r="N3886" s="29"/>
      <c r="O3886" s="29"/>
      <c r="P3886" s="5" t="str">
        <f>IFERROR(__xludf.DUMMYFUNCTION("TEXTJOIN("" | "",TRUE,IF(OR(D3886="""",E3886="""",I3886="""",J3886="""",H3886=""""),""ফাঁকা ঘর"",""""),IF(AND(C3886&lt;&gt;"""",D3886&lt;&gt;"""",C3886=D3886),""gloss=figurative"",""""),IF(LEN(D3886)&lt;15,""figurative ছোট"",""""),IF(AND(I3886=""Positive"",REGEXMATCH(H3"&amp;"886,""মূর্খ|ভণ্ড|প্রতার|অলস|লোভ|স্বার্থ|অক্ষম|অযোগ্য|বোকা|কৃপণ|হিংস"")),""valence-target অমিল"",""""),IF(COUNTIF($B:$B,B3886)&gt;1,""ডুপ্লিকেট"",""""))"),"")</f>
        <v/>
      </c>
      <c r="Q3886" s="5" t="str">
        <f t="shared" si="1"/>
        <v>২ পরে</v>
      </c>
    </row>
    <row r="3887">
      <c r="A3887" s="4">
        <v>1703.0</v>
      </c>
      <c r="B3887" s="2" t="s">
        <v>15753</v>
      </c>
      <c r="C3887" s="2" t="s">
        <v>15685</v>
      </c>
      <c r="D3887" s="2" t="s">
        <v>15754</v>
      </c>
      <c r="E3887" s="2" t="s">
        <v>15755</v>
      </c>
      <c r="F3887" s="2" t="b">
        <v>1</v>
      </c>
      <c r="G3887" s="2" t="b">
        <v>0</v>
      </c>
      <c r="H3887" s="2" t="s">
        <v>9661</v>
      </c>
      <c r="I3887" s="2" t="s">
        <v>22</v>
      </c>
      <c r="J3887" s="2" t="s">
        <v>1621</v>
      </c>
      <c r="K3887" s="2" t="s">
        <v>495</v>
      </c>
      <c r="L3887" s="13" t="s">
        <v>496</v>
      </c>
      <c r="M3887" s="2" t="s">
        <v>26</v>
      </c>
      <c r="N3887" s="29"/>
      <c r="O3887" s="29"/>
      <c r="P3887" s="5" t="str">
        <f>IFERROR(__xludf.DUMMYFUNCTION("TEXTJOIN("" | "",TRUE,IF(OR(D3887="""",E3887="""",I3887="""",J3887="""",H3887=""""),""ফাঁকা ঘর"",""""),IF(AND(C3887&lt;&gt;"""",D3887&lt;&gt;"""",C3887=D3887),""gloss=figurative"",""""),IF(LEN(D3887)&lt;15,""figurative ছোট"",""""),IF(AND(I3887=""Positive"",REGEXMATCH(H3"&amp;"887,""মূর্খ|ভণ্ড|প্রতার|অলস|লোভ|স্বার্থ|অক্ষম|অযোগ্য|বোকা|কৃপণ|হিংস"")),""valence-target অমিল"",""""),IF(COUNTIF($B:$B,B3887)&gt;1,""ডুপ্লিকেট"",""""))"),"")</f>
        <v/>
      </c>
      <c r="Q3887" s="5" t="str">
        <f t="shared" si="1"/>
        <v>২ পরে</v>
      </c>
    </row>
    <row r="3888">
      <c r="A3888" s="4">
        <v>1704.0</v>
      </c>
      <c r="B3888" s="2" t="s">
        <v>15756</v>
      </c>
      <c r="C3888" s="2" t="s">
        <v>15757</v>
      </c>
      <c r="D3888" s="2" t="s">
        <v>15758</v>
      </c>
      <c r="E3888" s="2" t="s">
        <v>15759</v>
      </c>
      <c r="F3888" s="2" t="b">
        <v>1</v>
      </c>
      <c r="G3888" s="2" t="b">
        <v>0</v>
      </c>
      <c r="H3888" s="2" t="s">
        <v>10943</v>
      </c>
      <c r="I3888" s="2" t="s">
        <v>22</v>
      </c>
      <c r="J3888" s="2" t="s">
        <v>15760</v>
      </c>
      <c r="K3888" s="2" t="s">
        <v>495</v>
      </c>
      <c r="L3888" s="13" t="s">
        <v>496</v>
      </c>
      <c r="M3888" s="2" t="s">
        <v>26</v>
      </c>
      <c r="N3888" s="29"/>
      <c r="O3888" s="29"/>
      <c r="P3888" s="5" t="str">
        <f>IFERROR(__xludf.DUMMYFUNCTION("TEXTJOIN("" | "",TRUE,IF(OR(D3888="""",E3888="""",I3888="""",J3888="""",H3888=""""),""ফাঁকা ঘর"",""""),IF(AND(C3888&lt;&gt;"""",D3888&lt;&gt;"""",C3888=D3888),""gloss=figurative"",""""),IF(LEN(D3888)&lt;15,""figurative ছোট"",""""),IF(AND(I3888=""Positive"",REGEXMATCH(H3"&amp;"888,""মূর্খ|ভণ্ড|প্রতার|অলস|লোভ|স্বার্থ|অক্ষম|অযোগ্য|বোকা|কৃপণ|হিংস"")),""valence-target অমিল"",""""),IF(COUNTIF($B:$B,B3888)&gt;1,""ডুপ্লিকেট"",""""))"),"")</f>
        <v/>
      </c>
      <c r="Q3888" s="5" t="str">
        <f t="shared" si="1"/>
        <v>২ পরে</v>
      </c>
    </row>
    <row r="3889">
      <c r="A3889" s="4">
        <v>1705.0</v>
      </c>
      <c r="B3889" s="2" t="s">
        <v>15761</v>
      </c>
      <c r="C3889" s="2" t="s">
        <v>15762</v>
      </c>
      <c r="D3889" s="2" t="s">
        <v>15763</v>
      </c>
      <c r="E3889" s="2" t="s">
        <v>15764</v>
      </c>
      <c r="F3889" s="2" t="b">
        <v>1</v>
      </c>
      <c r="G3889" s="2" t="b">
        <v>0</v>
      </c>
      <c r="H3889" s="2" t="s">
        <v>15765</v>
      </c>
      <c r="I3889" s="2" t="s">
        <v>22</v>
      </c>
      <c r="J3889" s="2" t="s">
        <v>1553</v>
      </c>
      <c r="K3889" s="2" t="s">
        <v>495</v>
      </c>
      <c r="L3889" s="13" t="s">
        <v>496</v>
      </c>
      <c r="M3889" s="2" t="s">
        <v>26</v>
      </c>
      <c r="N3889" s="29"/>
      <c r="O3889" s="29"/>
      <c r="P3889" s="5" t="str">
        <f>IFERROR(__xludf.DUMMYFUNCTION("TEXTJOIN("" | "",TRUE,IF(OR(D3889="""",E3889="""",I3889="""",J3889="""",H3889=""""),""ফাঁকা ঘর"",""""),IF(AND(C3889&lt;&gt;"""",D3889&lt;&gt;"""",C3889=D3889),""gloss=figurative"",""""),IF(LEN(D3889)&lt;15,""figurative ছোট"",""""),IF(AND(I3889=""Positive"",REGEXMATCH(H3"&amp;"889,""মূর্খ|ভণ্ড|প্রতার|অলস|লোভ|স্বার্থ|অক্ষম|অযোগ্য|বোকা|কৃপণ|হিংস"")),""valence-target অমিল"",""""),IF(COUNTIF($B:$B,B3889)&gt;1,""ডুপ্লিকেট"",""""))"),"")</f>
        <v/>
      </c>
      <c r="Q3889" s="5" t="str">
        <f t="shared" si="1"/>
        <v>২ পরে</v>
      </c>
    </row>
    <row r="3890">
      <c r="A3890" s="4">
        <v>1706.0</v>
      </c>
      <c r="B3890" s="2" t="s">
        <v>15766</v>
      </c>
      <c r="C3890" s="2" t="s">
        <v>15767</v>
      </c>
      <c r="D3890" s="2" t="s">
        <v>15768</v>
      </c>
      <c r="E3890" s="2" t="s">
        <v>15769</v>
      </c>
      <c r="F3890" s="2" t="b">
        <v>1</v>
      </c>
      <c r="G3890" s="2" t="b">
        <v>0</v>
      </c>
      <c r="H3890" s="2" t="s">
        <v>756</v>
      </c>
      <c r="I3890" s="2" t="s">
        <v>22</v>
      </c>
      <c r="J3890" s="2" t="s">
        <v>1700</v>
      </c>
      <c r="K3890" s="2" t="s">
        <v>495</v>
      </c>
      <c r="L3890" s="13" t="s">
        <v>496</v>
      </c>
      <c r="M3890" s="2" t="s">
        <v>26</v>
      </c>
      <c r="N3890" s="29"/>
      <c r="O3890" s="29"/>
      <c r="P3890" s="5" t="str">
        <f>IFERROR(__xludf.DUMMYFUNCTION("TEXTJOIN("" | "",TRUE,IF(OR(D3890="""",E3890="""",I3890="""",J3890="""",H3890=""""),""ফাঁকা ঘর"",""""),IF(AND(C3890&lt;&gt;"""",D3890&lt;&gt;"""",C3890=D3890),""gloss=figurative"",""""),IF(LEN(D3890)&lt;15,""figurative ছোট"",""""),IF(AND(I3890=""Positive"",REGEXMATCH(H3"&amp;"890,""মূর্খ|ভণ্ড|প্রতার|অলস|লোভ|স্বার্থ|অক্ষম|অযোগ্য|বোকা|কৃপণ|হিংস"")),""valence-target অমিল"",""""),IF(COUNTIF($B:$B,B3890)&gt;1,""ডুপ্লিকেট"",""""))"),"")</f>
        <v/>
      </c>
      <c r="Q3890" s="5" t="str">
        <f t="shared" si="1"/>
        <v>২ পরে</v>
      </c>
    </row>
    <row r="3891">
      <c r="A3891" s="4">
        <v>1707.0</v>
      </c>
      <c r="B3891" s="2" t="s">
        <v>15770</v>
      </c>
      <c r="C3891" s="2" t="s">
        <v>15771</v>
      </c>
      <c r="D3891" s="2" t="s">
        <v>15772</v>
      </c>
      <c r="E3891" s="2" t="s">
        <v>15773</v>
      </c>
      <c r="F3891" s="2" t="b">
        <v>1</v>
      </c>
      <c r="G3891" s="2" t="b">
        <v>0</v>
      </c>
      <c r="H3891" s="2" t="s">
        <v>356</v>
      </c>
      <c r="I3891" s="2" t="s">
        <v>49</v>
      </c>
      <c r="J3891" s="2" t="s">
        <v>7526</v>
      </c>
      <c r="K3891" s="2" t="s">
        <v>495</v>
      </c>
      <c r="L3891" s="13" t="s">
        <v>496</v>
      </c>
      <c r="M3891" s="2" t="s">
        <v>26</v>
      </c>
      <c r="N3891" s="29"/>
      <c r="O3891" s="29"/>
      <c r="P3891" s="5" t="str">
        <f>IFERROR(__xludf.DUMMYFUNCTION("TEXTJOIN("" | "",TRUE,IF(OR(D3891="""",E3891="""",I3891="""",J3891="""",H3891=""""),""ফাঁকা ঘর"",""""),IF(AND(C3891&lt;&gt;"""",D3891&lt;&gt;"""",C3891=D3891),""gloss=figurative"",""""),IF(LEN(D3891)&lt;15,""figurative ছোট"",""""),IF(AND(I3891=""Positive"",REGEXMATCH(H3"&amp;"891,""মূর্খ|ভণ্ড|প্রতার|অলস|লোভ|স্বার্থ|অক্ষম|অযোগ্য|বোকা|কৃপণ|হিংস"")),""valence-target অমিল"",""""),IF(COUNTIF($B:$B,B3891)&gt;1,""ডুপ্লিকেট"",""""))"),"")</f>
        <v/>
      </c>
      <c r="Q3891" s="5" t="str">
        <f t="shared" si="1"/>
        <v>২ পরে</v>
      </c>
    </row>
    <row r="3892">
      <c r="A3892" s="4">
        <v>1708.0</v>
      </c>
      <c r="B3892" s="2" t="s">
        <v>15774</v>
      </c>
      <c r="C3892" s="2" t="s">
        <v>15775</v>
      </c>
      <c r="D3892" s="2" t="s">
        <v>15776</v>
      </c>
      <c r="E3892" s="2" t="s">
        <v>15777</v>
      </c>
      <c r="F3892" s="2" t="b">
        <v>1</v>
      </c>
      <c r="G3892" s="2" t="b">
        <v>0</v>
      </c>
      <c r="H3892" s="2" t="s">
        <v>15778</v>
      </c>
      <c r="I3892" s="2" t="s">
        <v>49</v>
      </c>
      <c r="J3892" s="2" t="s">
        <v>43</v>
      </c>
      <c r="K3892" s="2" t="s">
        <v>495</v>
      </c>
      <c r="L3892" s="13" t="s">
        <v>496</v>
      </c>
      <c r="M3892" s="2" t="s">
        <v>26</v>
      </c>
      <c r="N3892" s="29"/>
      <c r="O3892" s="29"/>
      <c r="P3892" s="5" t="str">
        <f>IFERROR(__xludf.DUMMYFUNCTION("TEXTJOIN("" | "",TRUE,IF(OR(D3892="""",E3892="""",I3892="""",J3892="""",H3892=""""),""ফাঁকা ঘর"",""""),IF(AND(C3892&lt;&gt;"""",D3892&lt;&gt;"""",C3892=D3892),""gloss=figurative"",""""),IF(LEN(D3892)&lt;15,""figurative ছোট"",""""),IF(AND(I3892=""Positive"",REGEXMATCH(H3"&amp;"892,""মূর্খ|ভণ্ড|প্রতার|অলস|লোভ|স্বার্থ|অক্ষম|অযোগ্য|বোকা|কৃপণ|হিংস"")),""valence-target অমিল"",""""),IF(COUNTIF($B:$B,B3892)&gt;1,""ডুপ্লিকেট"",""""))"),"")</f>
        <v/>
      </c>
      <c r="Q3892" s="5" t="str">
        <f t="shared" si="1"/>
        <v>২ পরে</v>
      </c>
    </row>
    <row r="3893">
      <c r="A3893" s="4">
        <v>1709.0</v>
      </c>
      <c r="B3893" s="2" t="s">
        <v>15779</v>
      </c>
      <c r="C3893" s="2" t="s">
        <v>15780</v>
      </c>
      <c r="D3893" s="2" t="s">
        <v>15781</v>
      </c>
      <c r="E3893" s="2" t="s">
        <v>15782</v>
      </c>
      <c r="F3893" s="2" t="b">
        <v>1</v>
      </c>
      <c r="G3893" s="2" t="b">
        <v>0</v>
      </c>
      <c r="H3893" s="2" t="s">
        <v>15783</v>
      </c>
      <c r="I3893" s="2" t="s">
        <v>22</v>
      </c>
      <c r="J3893" s="2" t="s">
        <v>820</v>
      </c>
      <c r="K3893" s="2" t="s">
        <v>495</v>
      </c>
      <c r="L3893" s="13" t="s">
        <v>496</v>
      </c>
      <c r="M3893" s="2" t="s">
        <v>26</v>
      </c>
      <c r="N3893" s="29"/>
      <c r="O3893" s="29"/>
      <c r="P3893" s="5" t="str">
        <f>IFERROR(__xludf.DUMMYFUNCTION("TEXTJOIN("" | "",TRUE,IF(OR(D3893="""",E3893="""",I3893="""",J3893="""",H3893=""""),""ফাঁকা ঘর"",""""),IF(AND(C3893&lt;&gt;"""",D3893&lt;&gt;"""",C3893=D3893),""gloss=figurative"",""""),IF(LEN(D3893)&lt;15,""figurative ছোট"",""""),IF(AND(I3893=""Positive"",REGEXMATCH(H3"&amp;"893,""মূর্খ|ভণ্ড|প্রতার|অলস|লোভ|স্বার্থ|অক্ষম|অযোগ্য|বোকা|কৃপণ|হিংস"")),""valence-target অমিল"",""""),IF(COUNTIF($B:$B,B3893)&gt;1,""ডুপ্লিকেট"",""""))"),"")</f>
        <v/>
      </c>
      <c r="Q3893" s="5" t="str">
        <f t="shared" si="1"/>
        <v>২ পরে</v>
      </c>
    </row>
    <row r="3894">
      <c r="A3894" s="4">
        <v>1710.0</v>
      </c>
      <c r="B3894" s="2" t="s">
        <v>15784</v>
      </c>
      <c r="C3894" s="2" t="s">
        <v>15785</v>
      </c>
      <c r="D3894" s="2" t="s">
        <v>15786</v>
      </c>
      <c r="E3894" s="2" t="s">
        <v>15787</v>
      </c>
      <c r="F3894" s="2" t="b">
        <v>1</v>
      </c>
      <c r="G3894" s="2" t="b">
        <v>1</v>
      </c>
      <c r="H3894" s="2" t="s">
        <v>15788</v>
      </c>
      <c r="I3894" s="2" t="s">
        <v>32</v>
      </c>
      <c r="J3894" s="2" t="s">
        <v>15789</v>
      </c>
      <c r="K3894" s="2" t="s">
        <v>495</v>
      </c>
      <c r="L3894" s="13" t="s">
        <v>496</v>
      </c>
      <c r="M3894" s="2" t="s">
        <v>26</v>
      </c>
      <c r="N3894" s="29"/>
      <c r="O3894" s="29"/>
      <c r="P3894" s="5" t="str">
        <f>IFERROR(__xludf.DUMMYFUNCTION("TEXTJOIN("" | "",TRUE,IF(OR(D3894="""",E3894="""",I3894="""",J3894="""",H3894=""""),""ফাঁকা ঘর"",""""),IF(AND(C3894&lt;&gt;"""",D3894&lt;&gt;"""",C3894=D3894),""gloss=figurative"",""""),IF(LEN(D3894)&lt;15,""figurative ছোট"",""""),IF(AND(I3894=""Positive"",REGEXMATCH(H3"&amp;"894,""মূর্খ|ভণ্ড|প্রতার|অলস|লোভ|স্বার্থ|অক্ষম|অযোগ্য|বোকা|কৃপণ|হিংস"")),""valence-target অমিল"",""""),IF(COUNTIF($B:$B,B3894)&gt;1,""ডুপ্লিকেট"",""""))"),"")</f>
        <v/>
      </c>
      <c r="Q3894" s="5" t="str">
        <f t="shared" si="1"/>
        <v>২ পরে</v>
      </c>
    </row>
    <row r="3895">
      <c r="A3895" s="4">
        <v>1711.0</v>
      </c>
      <c r="B3895" s="2" t="s">
        <v>15790</v>
      </c>
      <c r="C3895" s="2" t="s">
        <v>15791</v>
      </c>
      <c r="D3895" s="2" t="s">
        <v>15792</v>
      </c>
      <c r="E3895" s="2" t="s">
        <v>15793</v>
      </c>
      <c r="F3895" s="2" t="b">
        <v>1</v>
      </c>
      <c r="G3895" s="2" t="b">
        <v>0</v>
      </c>
      <c r="H3895" s="2" t="s">
        <v>15794</v>
      </c>
      <c r="I3895" s="2" t="s">
        <v>22</v>
      </c>
      <c r="J3895" s="2" t="s">
        <v>739</v>
      </c>
      <c r="K3895" s="2" t="s">
        <v>495</v>
      </c>
      <c r="L3895" s="13" t="s">
        <v>496</v>
      </c>
      <c r="M3895" s="2" t="s">
        <v>26</v>
      </c>
      <c r="N3895" s="29"/>
      <c r="O3895" s="29"/>
      <c r="P3895" s="5" t="str">
        <f>IFERROR(__xludf.DUMMYFUNCTION("TEXTJOIN("" | "",TRUE,IF(OR(D3895="""",E3895="""",I3895="""",J3895="""",H3895=""""),""ফাঁকা ঘর"",""""),IF(AND(C3895&lt;&gt;"""",D3895&lt;&gt;"""",C3895=D3895),""gloss=figurative"",""""),IF(LEN(D3895)&lt;15,""figurative ছোট"",""""),IF(AND(I3895=""Positive"",REGEXMATCH(H3"&amp;"895,""মূর্খ|ভণ্ড|প্রতার|অলস|লোভ|স্বার্থ|অক্ষম|অযোগ্য|বোকা|কৃপণ|হিংস"")),""valence-target অমিল"",""""),IF(COUNTIF($B:$B,B3895)&gt;1,""ডুপ্লিকেট"",""""))"),"")</f>
        <v/>
      </c>
      <c r="Q3895" s="5" t="str">
        <f t="shared" si="1"/>
        <v>২ পরে</v>
      </c>
    </row>
    <row r="3896">
      <c r="A3896" s="4">
        <v>1712.0</v>
      </c>
      <c r="B3896" s="2" t="s">
        <v>15795</v>
      </c>
      <c r="C3896" s="2" t="s">
        <v>15796</v>
      </c>
      <c r="D3896" s="2" t="s">
        <v>15797</v>
      </c>
      <c r="E3896" s="2" t="s">
        <v>15798</v>
      </c>
      <c r="F3896" s="2" t="b">
        <v>1</v>
      </c>
      <c r="G3896" s="2" t="b">
        <v>0</v>
      </c>
      <c r="H3896" s="2" t="s">
        <v>15799</v>
      </c>
      <c r="I3896" s="2" t="s">
        <v>22</v>
      </c>
      <c r="J3896" s="2" t="s">
        <v>739</v>
      </c>
      <c r="K3896" s="2" t="s">
        <v>376</v>
      </c>
      <c r="L3896" s="2" t="s">
        <v>391</v>
      </c>
      <c r="M3896" s="2" t="s">
        <v>26</v>
      </c>
      <c r="N3896" s="29"/>
      <c r="O3896" s="29"/>
      <c r="P3896" s="5" t="str">
        <f>IFERROR(__xludf.DUMMYFUNCTION("TEXTJOIN("" | "",TRUE,IF(OR(D3896="""",E3896="""",I3896="""",J3896="""",H3896=""""),""ফাঁকা ঘর"",""""),IF(AND(C3896&lt;&gt;"""",D3896&lt;&gt;"""",C3896=D3896),""gloss=figurative"",""""),IF(LEN(D3896)&lt;15,""figurative ছোট"",""""),IF(AND(I3896=""Positive"",REGEXMATCH(H3"&amp;"896,""মূর্খ|ভণ্ড|প্রতার|অলস|লোভ|স্বার্থ|অক্ষম|অযোগ্য|বোকা|কৃপণ|হিংস"")),""valence-target অমিল"",""""),IF(COUNTIF($B:$B,B3896)&gt;1,""ডুপ্লিকেট"",""""))"),"")</f>
        <v/>
      </c>
      <c r="Q3896" s="5" t="str">
        <f t="shared" si="1"/>
        <v>২ পরে</v>
      </c>
    </row>
    <row r="3897">
      <c r="A3897" s="4">
        <v>1713.0</v>
      </c>
      <c r="B3897" s="2" t="s">
        <v>15800</v>
      </c>
      <c r="C3897" s="2" t="s">
        <v>15801</v>
      </c>
      <c r="D3897" s="2" t="s">
        <v>15802</v>
      </c>
      <c r="E3897" s="2" t="s">
        <v>15803</v>
      </c>
      <c r="F3897" s="2" t="b">
        <v>1</v>
      </c>
      <c r="G3897" s="2" t="b">
        <v>0</v>
      </c>
      <c r="H3897" s="2" t="s">
        <v>15799</v>
      </c>
      <c r="I3897" s="2" t="s">
        <v>22</v>
      </c>
      <c r="J3897" s="2" t="s">
        <v>739</v>
      </c>
      <c r="K3897" s="2" t="s">
        <v>376</v>
      </c>
      <c r="L3897" s="2" t="s">
        <v>391</v>
      </c>
      <c r="M3897" s="2" t="s">
        <v>26</v>
      </c>
      <c r="N3897" s="29"/>
      <c r="O3897" s="29"/>
      <c r="P3897" s="5" t="str">
        <f>IFERROR(__xludf.DUMMYFUNCTION("TEXTJOIN("" | "",TRUE,IF(OR(D3897="""",E3897="""",I3897="""",J3897="""",H3897=""""),""ফাঁকা ঘর"",""""),IF(AND(C3897&lt;&gt;"""",D3897&lt;&gt;"""",C3897=D3897),""gloss=figurative"",""""),IF(LEN(D3897)&lt;15,""figurative ছোট"",""""),IF(AND(I3897=""Positive"",REGEXMATCH(H3"&amp;"897,""মূর্খ|ভণ্ড|প্রতার|অলস|লোভ|স্বার্থ|অক্ষম|অযোগ্য|বোকা|কৃপণ|হিংস"")),""valence-target অমিল"",""""),IF(COUNTIF($B:$B,B3897)&gt;1,""ডুপ্লিকেট"",""""))"),"")</f>
        <v/>
      </c>
      <c r="Q3897" s="5" t="str">
        <f t="shared" si="1"/>
        <v>২ পরে</v>
      </c>
    </row>
    <row r="3898">
      <c r="A3898" s="4">
        <v>1714.0</v>
      </c>
      <c r="B3898" s="2" t="s">
        <v>15804</v>
      </c>
      <c r="C3898" s="2" t="s">
        <v>15805</v>
      </c>
      <c r="D3898" s="2" t="s">
        <v>15806</v>
      </c>
      <c r="E3898" s="2" t="s">
        <v>15807</v>
      </c>
      <c r="F3898" s="2" t="b">
        <v>1</v>
      </c>
      <c r="G3898" s="2" t="b">
        <v>0</v>
      </c>
      <c r="H3898" s="2" t="s">
        <v>9824</v>
      </c>
      <c r="I3898" s="2" t="s">
        <v>22</v>
      </c>
      <c r="J3898" s="2" t="s">
        <v>739</v>
      </c>
      <c r="K3898" s="2" t="s">
        <v>376</v>
      </c>
      <c r="L3898" s="2" t="s">
        <v>391</v>
      </c>
      <c r="M3898" s="2" t="s">
        <v>26</v>
      </c>
      <c r="N3898" s="29"/>
      <c r="O3898" s="29"/>
      <c r="P3898" s="5" t="str">
        <f>IFERROR(__xludf.DUMMYFUNCTION("TEXTJOIN("" | "",TRUE,IF(OR(D3898="""",E3898="""",I3898="""",J3898="""",H3898=""""),""ফাঁকা ঘর"",""""),IF(AND(C3898&lt;&gt;"""",D3898&lt;&gt;"""",C3898=D3898),""gloss=figurative"",""""),IF(LEN(D3898)&lt;15,""figurative ছোট"",""""),IF(AND(I3898=""Positive"",REGEXMATCH(H3"&amp;"898,""মূর্খ|ভণ্ড|প্রতার|অলস|লোভ|স্বার্থ|অক্ষম|অযোগ্য|বোকা|কৃপণ|হিংস"")),""valence-target অমিল"",""""),IF(COUNTIF($B:$B,B3898)&gt;1,""ডুপ্লিকেট"",""""))"),"")</f>
        <v/>
      </c>
      <c r="Q3898" s="5" t="str">
        <f t="shared" si="1"/>
        <v>২ পরে</v>
      </c>
    </row>
    <row r="3899">
      <c r="A3899" s="4">
        <v>1715.0</v>
      </c>
      <c r="B3899" s="2" t="s">
        <v>15808</v>
      </c>
      <c r="C3899" s="2" t="s">
        <v>15809</v>
      </c>
      <c r="D3899" s="2" t="s">
        <v>15810</v>
      </c>
      <c r="E3899" s="2" t="s">
        <v>15811</v>
      </c>
      <c r="F3899" s="2" t="b">
        <v>1</v>
      </c>
      <c r="G3899" s="2" t="b">
        <v>0</v>
      </c>
      <c r="H3899" s="2" t="s">
        <v>15812</v>
      </c>
      <c r="I3899" s="2" t="s">
        <v>32</v>
      </c>
      <c r="J3899" s="2" t="s">
        <v>15813</v>
      </c>
      <c r="K3899" s="2" t="s">
        <v>376</v>
      </c>
      <c r="L3899" s="2" t="s">
        <v>391</v>
      </c>
      <c r="M3899" s="2" t="s">
        <v>26</v>
      </c>
      <c r="N3899" s="29"/>
      <c r="O3899" s="29"/>
      <c r="P3899" s="5" t="str">
        <f>IFERROR(__xludf.DUMMYFUNCTION("TEXTJOIN("" | "",TRUE,IF(OR(D3899="""",E3899="""",I3899="""",J3899="""",H3899=""""),""ফাঁকা ঘর"",""""),IF(AND(C3899&lt;&gt;"""",D3899&lt;&gt;"""",C3899=D3899),""gloss=figurative"",""""),IF(LEN(D3899)&lt;15,""figurative ছোট"",""""),IF(AND(I3899=""Positive"",REGEXMATCH(H3"&amp;"899,""মূর্খ|ভণ্ড|প্রতার|অলস|লোভ|স্বার্থ|অক্ষম|অযোগ্য|বোকা|কৃপণ|হিংস"")),""valence-target অমিল"",""""),IF(COUNTIF($B:$B,B3899)&gt;1,""ডুপ্লিকেট"",""""))"),"")</f>
        <v/>
      </c>
      <c r="Q3899" s="5" t="str">
        <f t="shared" si="1"/>
        <v>২ পরে</v>
      </c>
    </row>
    <row r="3900">
      <c r="A3900" s="4">
        <v>1716.0</v>
      </c>
      <c r="B3900" s="2" t="s">
        <v>15814</v>
      </c>
      <c r="C3900" s="2" t="s">
        <v>15815</v>
      </c>
      <c r="D3900" s="2" t="s">
        <v>15816</v>
      </c>
      <c r="E3900" s="2" t="s">
        <v>15817</v>
      </c>
      <c r="F3900" s="2" t="b">
        <v>1</v>
      </c>
      <c r="G3900" s="2" t="b">
        <v>1</v>
      </c>
      <c r="H3900" s="2" t="s">
        <v>8778</v>
      </c>
      <c r="I3900" s="2" t="s">
        <v>22</v>
      </c>
      <c r="J3900" s="2" t="s">
        <v>15818</v>
      </c>
      <c r="K3900" s="2" t="s">
        <v>376</v>
      </c>
      <c r="L3900" s="2" t="s">
        <v>391</v>
      </c>
      <c r="M3900" s="2" t="s">
        <v>26</v>
      </c>
      <c r="N3900" s="29"/>
      <c r="O3900" s="29"/>
      <c r="P3900" s="5" t="str">
        <f>IFERROR(__xludf.DUMMYFUNCTION("TEXTJOIN("" | "",TRUE,IF(OR(D3900="""",E3900="""",I3900="""",J3900="""",H3900=""""),""ফাঁকা ঘর"",""""),IF(AND(C3900&lt;&gt;"""",D3900&lt;&gt;"""",C3900=D3900),""gloss=figurative"",""""),IF(LEN(D3900)&lt;15,""figurative ছোট"",""""),IF(AND(I3900=""Positive"",REGEXMATCH(H3"&amp;"900,""মূর্খ|ভণ্ড|প্রতার|অলস|লোভ|স্বার্থ|অক্ষম|অযোগ্য|বোকা|কৃপণ|হিংস"")),""valence-target অমিল"",""""),IF(COUNTIF($B:$B,B3900)&gt;1,""ডুপ্লিকেট"",""""))"),"")</f>
        <v/>
      </c>
      <c r="Q3900" s="5" t="str">
        <f t="shared" si="1"/>
        <v>২ পরে</v>
      </c>
    </row>
    <row r="3901">
      <c r="A3901" s="4">
        <v>1717.0</v>
      </c>
      <c r="B3901" s="2" t="s">
        <v>15819</v>
      </c>
      <c r="C3901" s="2" t="s">
        <v>15819</v>
      </c>
      <c r="D3901" s="2" t="s">
        <v>15820</v>
      </c>
      <c r="E3901" s="2" t="s">
        <v>15821</v>
      </c>
      <c r="F3901" s="2" t="b">
        <v>1</v>
      </c>
      <c r="G3901" s="2" t="b">
        <v>0</v>
      </c>
      <c r="H3901" s="2" t="s">
        <v>15799</v>
      </c>
      <c r="I3901" s="2" t="s">
        <v>22</v>
      </c>
      <c r="J3901" s="2" t="s">
        <v>739</v>
      </c>
      <c r="K3901" s="2" t="s">
        <v>376</v>
      </c>
      <c r="L3901" s="2" t="s">
        <v>391</v>
      </c>
      <c r="M3901" s="2" t="s">
        <v>26</v>
      </c>
      <c r="N3901" s="29"/>
      <c r="O3901" s="29"/>
      <c r="P3901" s="5" t="str">
        <f>IFERROR(__xludf.DUMMYFUNCTION("TEXTJOIN("" | "",TRUE,IF(OR(D3901="""",E3901="""",I3901="""",J3901="""",H3901=""""),""ফাঁকা ঘর"",""""),IF(AND(C3901&lt;&gt;"""",D3901&lt;&gt;"""",C3901=D3901),""gloss=figurative"",""""),IF(LEN(D3901)&lt;15,""figurative ছোট"",""""),IF(AND(I3901=""Positive"",REGEXMATCH(H3"&amp;"901,""মূর্খ|ভণ্ড|প্রতার|অলস|লোভ|স্বার্থ|অক্ষম|অযোগ্য|বোকা|কৃপণ|হিংস"")),""valence-target অমিল"",""""),IF(COUNTIF($B:$B,B3901)&gt;1,""ডুপ্লিকেট"",""""))"),"")</f>
        <v/>
      </c>
      <c r="Q3901" s="5" t="str">
        <f t="shared" si="1"/>
        <v>২ পরে</v>
      </c>
    </row>
    <row r="3902">
      <c r="A3902" s="4">
        <v>1718.0</v>
      </c>
      <c r="B3902" s="2" t="s">
        <v>15822</v>
      </c>
      <c r="C3902" s="2" t="s">
        <v>15823</v>
      </c>
      <c r="D3902" s="2" t="s">
        <v>15824</v>
      </c>
      <c r="E3902" s="2" t="s">
        <v>15825</v>
      </c>
      <c r="F3902" s="2" t="b">
        <v>1</v>
      </c>
      <c r="G3902" s="2" t="b">
        <v>0</v>
      </c>
      <c r="H3902" s="2" t="s">
        <v>15826</v>
      </c>
      <c r="I3902" s="2" t="s">
        <v>32</v>
      </c>
      <c r="J3902" s="2" t="s">
        <v>739</v>
      </c>
      <c r="K3902" s="2" t="s">
        <v>376</v>
      </c>
      <c r="L3902" s="2" t="s">
        <v>391</v>
      </c>
      <c r="M3902" s="2" t="s">
        <v>26</v>
      </c>
      <c r="N3902" s="29"/>
      <c r="O3902" s="29"/>
      <c r="P3902" s="5" t="str">
        <f>IFERROR(__xludf.DUMMYFUNCTION("TEXTJOIN("" | "",TRUE,IF(OR(D3902="""",E3902="""",I3902="""",J3902="""",H3902=""""),""ফাঁকা ঘর"",""""),IF(AND(C3902&lt;&gt;"""",D3902&lt;&gt;"""",C3902=D3902),""gloss=figurative"",""""),IF(LEN(D3902)&lt;15,""figurative ছোট"",""""),IF(AND(I3902=""Positive"",REGEXMATCH(H3"&amp;"902,""মূর্খ|ভণ্ড|প্রতার|অলস|লোভ|স্বার্থ|অক্ষম|অযোগ্য|বোকা|কৃপণ|হিংস"")),""valence-target অমিল"",""""),IF(COUNTIF($B:$B,B3902)&gt;1,""ডুপ্লিকেট"",""""))"),"")</f>
        <v/>
      </c>
      <c r="Q3902" s="5" t="str">
        <f t="shared" si="1"/>
        <v>২ পরে</v>
      </c>
    </row>
    <row r="3903">
      <c r="A3903" s="4">
        <v>1719.0</v>
      </c>
      <c r="B3903" s="2" t="s">
        <v>15827</v>
      </c>
      <c r="C3903" s="2" t="s">
        <v>15828</v>
      </c>
      <c r="D3903" s="2" t="s">
        <v>15829</v>
      </c>
      <c r="E3903" s="2" t="s">
        <v>15830</v>
      </c>
      <c r="F3903" s="2" t="b">
        <v>1</v>
      </c>
      <c r="G3903" s="2" t="b">
        <v>1</v>
      </c>
      <c r="H3903" s="2" t="s">
        <v>15831</v>
      </c>
      <c r="I3903" s="2" t="s">
        <v>22</v>
      </c>
      <c r="J3903" s="2" t="s">
        <v>15818</v>
      </c>
      <c r="K3903" s="2" t="s">
        <v>376</v>
      </c>
      <c r="L3903" s="2" t="s">
        <v>391</v>
      </c>
      <c r="M3903" s="2" t="s">
        <v>26</v>
      </c>
      <c r="N3903" s="29"/>
      <c r="O3903" s="29"/>
      <c r="P3903" s="5" t="str">
        <f>IFERROR(__xludf.DUMMYFUNCTION("TEXTJOIN("" | "",TRUE,IF(OR(D3903="""",E3903="""",I3903="""",J3903="""",H3903=""""),""ফাঁকা ঘর"",""""),IF(AND(C3903&lt;&gt;"""",D3903&lt;&gt;"""",C3903=D3903),""gloss=figurative"",""""),IF(LEN(D3903)&lt;15,""figurative ছোট"",""""),IF(AND(I3903=""Positive"",REGEXMATCH(H3"&amp;"903,""মূর্খ|ভণ্ড|প্রতার|অলস|লোভ|স্বার্থ|অক্ষম|অযোগ্য|বোকা|কৃপণ|হিংস"")),""valence-target অমিল"",""""),IF(COUNTIF($B:$B,B3903)&gt;1,""ডুপ্লিকেট"",""""))"),"")</f>
        <v/>
      </c>
      <c r="Q3903" s="5" t="str">
        <f t="shared" si="1"/>
        <v>২ পরে</v>
      </c>
    </row>
    <row r="3904">
      <c r="A3904" s="4">
        <v>1720.0</v>
      </c>
      <c r="B3904" s="2" t="s">
        <v>15832</v>
      </c>
      <c r="C3904" s="2" t="s">
        <v>15833</v>
      </c>
      <c r="D3904" s="2" t="s">
        <v>15834</v>
      </c>
      <c r="E3904" s="2" t="s">
        <v>15835</v>
      </c>
      <c r="F3904" s="2" t="b">
        <v>1</v>
      </c>
      <c r="G3904" s="2" t="b">
        <v>1</v>
      </c>
      <c r="H3904" s="2" t="s">
        <v>15836</v>
      </c>
      <c r="I3904" s="2" t="s">
        <v>22</v>
      </c>
      <c r="J3904" s="2" t="s">
        <v>15837</v>
      </c>
      <c r="K3904" s="2" t="s">
        <v>376</v>
      </c>
      <c r="L3904" s="2" t="s">
        <v>391</v>
      </c>
      <c r="M3904" s="2" t="s">
        <v>26</v>
      </c>
      <c r="N3904" s="29"/>
      <c r="O3904" s="29"/>
      <c r="P3904" s="5" t="str">
        <f>IFERROR(__xludf.DUMMYFUNCTION("TEXTJOIN("" | "",TRUE,IF(OR(D3904="""",E3904="""",I3904="""",J3904="""",H3904=""""),""ফাঁকা ঘর"",""""),IF(AND(C3904&lt;&gt;"""",D3904&lt;&gt;"""",C3904=D3904),""gloss=figurative"",""""),IF(LEN(D3904)&lt;15,""figurative ছোট"",""""),IF(AND(I3904=""Positive"",REGEXMATCH(H3"&amp;"904,""মূর্খ|ভণ্ড|প্রতার|অলস|লোভ|স্বার্থ|অক্ষম|অযোগ্য|বোকা|কৃপণ|হিংস"")),""valence-target অমিল"",""""),IF(COUNTIF($B:$B,B3904)&gt;1,""ডুপ্লিকেট"",""""))"),"")</f>
        <v/>
      </c>
      <c r="Q3904" s="5" t="str">
        <f t="shared" si="1"/>
        <v>২ পরে</v>
      </c>
    </row>
    <row r="3905">
      <c r="A3905" s="4">
        <v>1721.0</v>
      </c>
      <c r="B3905" s="2" t="s">
        <v>15838</v>
      </c>
      <c r="C3905" s="2" t="s">
        <v>15839</v>
      </c>
      <c r="D3905" s="2" t="s">
        <v>15840</v>
      </c>
      <c r="E3905" s="2" t="s">
        <v>15841</v>
      </c>
      <c r="F3905" s="2" t="b">
        <v>1</v>
      </c>
      <c r="G3905" s="2" t="b">
        <v>1</v>
      </c>
      <c r="H3905" s="2" t="s">
        <v>15831</v>
      </c>
      <c r="I3905" s="2" t="s">
        <v>22</v>
      </c>
      <c r="J3905" s="2" t="s">
        <v>15837</v>
      </c>
      <c r="K3905" s="2" t="s">
        <v>376</v>
      </c>
      <c r="L3905" s="2" t="s">
        <v>391</v>
      </c>
      <c r="M3905" s="2" t="s">
        <v>26</v>
      </c>
      <c r="N3905" s="29"/>
      <c r="O3905" s="29"/>
      <c r="P3905" s="5" t="str">
        <f>IFERROR(__xludf.DUMMYFUNCTION("TEXTJOIN("" | "",TRUE,IF(OR(D3905="""",E3905="""",I3905="""",J3905="""",H3905=""""),""ফাঁকা ঘর"",""""),IF(AND(C3905&lt;&gt;"""",D3905&lt;&gt;"""",C3905=D3905),""gloss=figurative"",""""),IF(LEN(D3905)&lt;15,""figurative ছোট"",""""),IF(AND(I3905=""Positive"",REGEXMATCH(H3"&amp;"905,""মূর্খ|ভণ্ড|প্রতার|অলস|লোভ|স্বার্থ|অক্ষম|অযোগ্য|বোকা|কৃপণ|হিংস"")),""valence-target অমিল"",""""),IF(COUNTIF($B:$B,B3905)&gt;1,""ডুপ্লিকেট"",""""))"),"")</f>
        <v/>
      </c>
      <c r="Q3905" s="5" t="str">
        <f t="shared" si="1"/>
        <v>২ পরে</v>
      </c>
    </row>
    <row r="3906">
      <c r="A3906" s="4">
        <v>1722.0</v>
      </c>
      <c r="B3906" s="2" t="s">
        <v>15842</v>
      </c>
      <c r="C3906" s="2" t="s">
        <v>15843</v>
      </c>
      <c r="D3906" s="2" t="s">
        <v>15844</v>
      </c>
      <c r="E3906" s="2" t="s">
        <v>15845</v>
      </c>
      <c r="F3906" s="2" t="b">
        <v>1</v>
      </c>
      <c r="G3906" s="2" t="b">
        <v>0</v>
      </c>
      <c r="H3906" s="2" t="s">
        <v>15846</v>
      </c>
      <c r="I3906" s="2" t="s">
        <v>22</v>
      </c>
      <c r="J3906" s="2" t="s">
        <v>15847</v>
      </c>
      <c r="K3906" s="2" t="s">
        <v>376</v>
      </c>
      <c r="L3906" s="2" t="s">
        <v>391</v>
      </c>
      <c r="M3906" s="2" t="s">
        <v>26</v>
      </c>
      <c r="N3906" s="29"/>
      <c r="O3906" s="29"/>
      <c r="P3906" s="5" t="str">
        <f>IFERROR(__xludf.DUMMYFUNCTION("TEXTJOIN("" | "",TRUE,IF(OR(D3906="""",E3906="""",I3906="""",J3906="""",H3906=""""),""ফাঁকা ঘর"",""""),IF(AND(C3906&lt;&gt;"""",D3906&lt;&gt;"""",C3906=D3906),""gloss=figurative"",""""),IF(LEN(D3906)&lt;15,""figurative ছোট"",""""),IF(AND(I3906=""Positive"",REGEXMATCH(H3"&amp;"906,""মূর্খ|ভণ্ড|প্রতার|অলস|লোভ|স্বার্থ|অক্ষম|অযোগ্য|বোকা|কৃপণ|হিংস"")),""valence-target অমিল"",""""),IF(COUNTIF($B:$B,B3906)&gt;1,""ডুপ্লিকেট"",""""))"),"")</f>
        <v/>
      </c>
      <c r="Q3906" s="5" t="str">
        <f t="shared" si="1"/>
        <v>২ পরে</v>
      </c>
    </row>
    <row r="3907">
      <c r="A3907" s="4">
        <v>1723.0</v>
      </c>
      <c r="B3907" s="2" t="s">
        <v>10173</v>
      </c>
      <c r="C3907" s="2" t="s">
        <v>15848</v>
      </c>
      <c r="D3907" s="2" t="s">
        <v>15849</v>
      </c>
      <c r="E3907" s="2" t="s">
        <v>15850</v>
      </c>
      <c r="F3907" s="2" t="b">
        <v>1</v>
      </c>
      <c r="G3907" s="2" t="b">
        <v>0</v>
      </c>
      <c r="H3907" s="2" t="s">
        <v>8848</v>
      </c>
      <c r="I3907" s="2" t="s">
        <v>22</v>
      </c>
      <c r="J3907" s="2" t="s">
        <v>15851</v>
      </c>
      <c r="K3907" s="2" t="s">
        <v>376</v>
      </c>
      <c r="L3907" s="2" t="s">
        <v>391</v>
      </c>
      <c r="M3907" s="2" t="s">
        <v>26</v>
      </c>
      <c r="N3907" s="29"/>
      <c r="O3907" s="29"/>
      <c r="P3907" s="5" t="str">
        <f>IFERROR(__xludf.DUMMYFUNCTION("TEXTJOIN("" | "",TRUE,IF(OR(D3907="""",E3907="""",I3907="""",J3907="""",H3907=""""),""ফাঁকা ঘর"",""""),IF(AND(C3907&lt;&gt;"""",D3907&lt;&gt;"""",C3907=D3907),""gloss=figurative"",""""),IF(LEN(D3907)&lt;15,""figurative ছোট"",""""),IF(AND(I3907=""Positive"",REGEXMATCH(H3"&amp;"907,""মূর্খ|ভণ্ড|প্রতার|অলস|লোভ|স্বার্থ|অক্ষম|অযোগ্য|বোকা|কৃপণ|হিংস"")),""valence-target অমিল"",""""),IF(COUNTIF($B:$B,B3907)&gt;1,""ডুপ্লিকেট"",""""))"),"")</f>
        <v/>
      </c>
      <c r="Q3907" s="5" t="str">
        <f t="shared" si="1"/>
        <v>২ পরে</v>
      </c>
    </row>
    <row r="3908">
      <c r="A3908" s="4">
        <v>1724.0</v>
      </c>
      <c r="B3908" s="2" t="s">
        <v>15852</v>
      </c>
      <c r="C3908" s="2" t="s">
        <v>15853</v>
      </c>
      <c r="D3908" s="2" t="s">
        <v>15854</v>
      </c>
      <c r="E3908" s="2" t="s">
        <v>14821</v>
      </c>
      <c r="F3908" s="2" t="b">
        <v>1</v>
      </c>
      <c r="G3908" s="2" t="b">
        <v>0</v>
      </c>
      <c r="H3908" s="2" t="s">
        <v>6019</v>
      </c>
      <c r="I3908" s="2" t="s">
        <v>49</v>
      </c>
      <c r="J3908" s="2" t="s">
        <v>2040</v>
      </c>
      <c r="K3908" s="2" t="s">
        <v>376</v>
      </c>
      <c r="L3908" s="2" t="s">
        <v>391</v>
      </c>
      <c r="M3908" s="2" t="s">
        <v>26</v>
      </c>
      <c r="N3908" s="29"/>
      <c r="O3908" s="29"/>
      <c r="P3908" s="5" t="str">
        <f>IFERROR(__xludf.DUMMYFUNCTION("TEXTJOIN("" | "",TRUE,IF(OR(D3908="""",E3908="""",I3908="""",J3908="""",H3908=""""),""ফাঁকা ঘর"",""""),IF(AND(C3908&lt;&gt;"""",D3908&lt;&gt;"""",C3908=D3908),""gloss=figurative"",""""),IF(LEN(D3908)&lt;15,""figurative ছোট"",""""),IF(AND(I3908=""Positive"",REGEXMATCH(H3"&amp;"908,""মূর্খ|ভণ্ড|প্রতার|অলস|লোভ|স্বার্থ|অক্ষম|অযোগ্য|বোকা|কৃপণ|হিংস"")),""valence-target অমিল"",""""),IF(COUNTIF($B:$B,B3908)&gt;1,""ডুপ্লিকেট"",""""))"),"")</f>
        <v/>
      </c>
      <c r="Q3908" s="5" t="str">
        <f t="shared" si="1"/>
        <v>২ পরে</v>
      </c>
    </row>
    <row r="3909">
      <c r="A3909" s="4">
        <v>1725.0</v>
      </c>
      <c r="B3909" s="2" t="s">
        <v>15855</v>
      </c>
      <c r="C3909" s="2" t="s">
        <v>15856</v>
      </c>
      <c r="D3909" s="2" t="s">
        <v>15857</v>
      </c>
      <c r="E3909" s="2" t="s">
        <v>15858</v>
      </c>
      <c r="F3909" s="2" t="b">
        <v>1</v>
      </c>
      <c r="G3909" s="2" t="b">
        <v>1</v>
      </c>
      <c r="H3909" s="2" t="s">
        <v>3079</v>
      </c>
      <c r="I3909" s="2" t="s">
        <v>22</v>
      </c>
      <c r="J3909" s="2" t="s">
        <v>15859</v>
      </c>
      <c r="K3909" s="2" t="s">
        <v>376</v>
      </c>
      <c r="L3909" s="2" t="s">
        <v>391</v>
      </c>
      <c r="M3909" s="2" t="s">
        <v>26</v>
      </c>
      <c r="N3909" s="29"/>
      <c r="O3909" s="29"/>
      <c r="P3909" s="5" t="str">
        <f>IFERROR(__xludf.DUMMYFUNCTION("TEXTJOIN("" | "",TRUE,IF(OR(D3909="""",E3909="""",I3909="""",J3909="""",H3909=""""),""ফাঁকা ঘর"",""""),IF(AND(C3909&lt;&gt;"""",D3909&lt;&gt;"""",C3909=D3909),""gloss=figurative"",""""),IF(LEN(D3909)&lt;15,""figurative ছোট"",""""),IF(AND(I3909=""Positive"",REGEXMATCH(H3"&amp;"909,""মূর্খ|ভণ্ড|প্রতার|অলস|লোভ|স্বার্থ|অক্ষম|অযোগ্য|বোকা|কৃপণ|হিংস"")),""valence-target অমিল"",""""),IF(COUNTIF($B:$B,B3909)&gt;1,""ডুপ্লিকেট"",""""))"),"")</f>
        <v/>
      </c>
      <c r="Q3909" s="5" t="str">
        <f t="shared" si="1"/>
        <v>২ পরে</v>
      </c>
    </row>
    <row r="3910">
      <c r="A3910" s="4">
        <v>1726.0</v>
      </c>
      <c r="B3910" s="2" t="s">
        <v>15860</v>
      </c>
      <c r="C3910" s="2" t="s">
        <v>15861</v>
      </c>
      <c r="D3910" s="2" t="s">
        <v>15862</v>
      </c>
      <c r="E3910" s="2" t="s">
        <v>15863</v>
      </c>
      <c r="F3910" s="2" t="b">
        <v>1</v>
      </c>
      <c r="G3910" s="2" t="b">
        <v>0</v>
      </c>
      <c r="H3910" s="2" t="s">
        <v>9580</v>
      </c>
      <c r="I3910" s="2" t="s">
        <v>32</v>
      </c>
      <c r="J3910" s="2" t="s">
        <v>300</v>
      </c>
      <c r="K3910" s="2" t="s">
        <v>376</v>
      </c>
      <c r="L3910" s="2" t="s">
        <v>391</v>
      </c>
      <c r="M3910" s="2" t="s">
        <v>26</v>
      </c>
      <c r="N3910" s="29"/>
      <c r="O3910" s="29"/>
      <c r="P3910" s="5" t="str">
        <f>IFERROR(__xludf.DUMMYFUNCTION("TEXTJOIN("" | "",TRUE,IF(OR(D3910="""",E3910="""",I3910="""",J3910="""",H3910=""""),""ফাঁকা ঘর"",""""),IF(AND(C3910&lt;&gt;"""",D3910&lt;&gt;"""",C3910=D3910),""gloss=figurative"",""""),IF(LEN(D3910)&lt;15,""figurative ছোট"",""""),IF(AND(I3910=""Positive"",REGEXMATCH(H3"&amp;"910,""মূর্খ|ভণ্ড|প্রতার|অলস|লোভ|স্বার্থ|অক্ষম|অযোগ্য|বোকা|কৃপণ|হিংস"")),""valence-target অমিল"",""""),IF(COUNTIF($B:$B,B3910)&gt;1,""ডুপ্লিকেট"",""""))"),"")</f>
        <v/>
      </c>
      <c r="Q3910" s="5" t="str">
        <f t="shared" si="1"/>
        <v>২ পরে</v>
      </c>
    </row>
    <row r="3911">
      <c r="A3911" s="4">
        <v>1727.0</v>
      </c>
      <c r="B3911" s="2" t="s">
        <v>15864</v>
      </c>
      <c r="C3911" s="2" t="s">
        <v>15865</v>
      </c>
      <c r="D3911" s="2" t="s">
        <v>15866</v>
      </c>
      <c r="E3911" s="2" t="s">
        <v>15867</v>
      </c>
      <c r="F3911" s="2" t="b">
        <v>1</v>
      </c>
      <c r="G3911" s="2" t="b">
        <v>0</v>
      </c>
      <c r="H3911" s="2" t="s">
        <v>9580</v>
      </c>
      <c r="I3911" s="2" t="s">
        <v>49</v>
      </c>
      <c r="J3911" s="2" t="s">
        <v>300</v>
      </c>
      <c r="K3911" s="2" t="s">
        <v>495</v>
      </c>
      <c r="L3911" s="13" t="s">
        <v>496</v>
      </c>
      <c r="M3911" s="2" t="s">
        <v>26</v>
      </c>
      <c r="N3911" s="29"/>
      <c r="O3911" s="29"/>
      <c r="P3911" s="5" t="str">
        <f>IFERROR(__xludf.DUMMYFUNCTION("TEXTJOIN("" | "",TRUE,IF(OR(D3911="""",E3911="""",I3911="""",J3911="""",H3911=""""),""ফাঁকা ঘর"",""""),IF(AND(C3911&lt;&gt;"""",D3911&lt;&gt;"""",C3911=D3911),""gloss=figurative"",""""),IF(LEN(D3911)&lt;15,""figurative ছোট"",""""),IF(AND(I3911=""Positive"",REGEXMATCH(H3"&amp;"911,""মূর্খ|ভণ্ড|প্রতার|অলস|লোভ|স্বার্থ|অক্ষম|অযোগ্য|বোকা|কৃপণ|হিংস"")),""valence-target অমিল"",""""),IF(COUNTIF($B:$B,B3911)&gt;1,""ডুপ্লিকেট"",""""))"),"")</f>
        <v/>
      </c>
      <c r="Q3911" s="5" t="str">
        <f t="shared" si="1"/>
        <v>২ পরে</v>
      </c>
    </row>
    <row r="3912">
      <c r="A3912" s="4">
        <v>1728.0</v>
      </c>
      <c r="B3912" s="2" t="s">
        <v>15868</v>
      </c>
      <c r="C3912" s="2" t="s">
        <v>15869</v>
      </c>
      <c r="D3912" s="2" t="s">
        <v>15870</v>
      </c>
      <c r="E3912" s="2" t="s">
        <v>15871</v>
      </c>
      <c r="F3912" s="2" t="b">
        <v>1</v>
      </c>
      <c r="G3912" s="2" t="b">
        <v>0</v>
      </c>
      <c r="H3912" s="2" t="s">
        <v>1612</v>
      </c>
      <c r="I3912" s="2" t="s">
        <v>22</v>
      </c>
      <c r="J3912" s="2" t="s">
        <v>836</v>
      </c>
      <c r="K3912" s="2" t="s">
        <v>495</v>
      </c>
      <c r="L3912" s="13" t="s">
        <v>496</v>
      </c>
      <c r="M3912" s="2" t="s">
        <v>26</v>
      </c>
      <c r="N3912" s="29"/>
      <c r="O3912" s="29"/>
      <c r="P3912" s="5" t="str">
        <f>IFERROR(__xludf.DUMMYFUNCTION("TEXTJOIN("" | "",TRUE,IF(OR(D3912="""",E3912="""",I3912="""",J3912="""",H3912=""""),""ফাঁকা ঘর"",""""),IF(AND(C3912&lt;&gt;"""",D3912&lt;&gt;"""",C3912=D3912),""gloss=figurative"",""""),IF(LEN(D3912)&lt;15,""figurative ছোট"",""""),IF(AND(I3912=""Positive"",REGEXMATCH(H3"&amp;"912,""মূর্খ|ভণ্ড|প্রতার|অলস|লোভ|স্বার্থ|অক্ষম|অযোগ্য|বোকা|কৃপণ|হিংস"")),""valence-target অমিল"",""""),IF(COUNTIF($B:$B,B3912)&gt;1,""ডুপ্লিকেট"",""""))"),"")</f>
        <v/>
      </c>
      <c r="Q3912" s="5" t="str">
        <f t="shared" si="1"/>
        <v>২ পরে</v>
      </c>
    </row>
    <row r="3913">
      <c r="A3913" s="4">
        <v>1729.0</v>
      </c>
      <c r="B3913" s="2" t="s">
        <v>15872</v>
      </c>
      <c r="C3913" s="2" t="s">
        <v>15873</v>
      </c>
      <c r="D3913" s="2" t="s">
        <v>15874</v>
      </c>
      <c r="E3913" s="2" t="s">
        <v>15875</v>
      </c>
      <c r="F3913" s="2" t="b">
        <v>1</v>
      </c>
      <c r="G3913" s="2" t="b">
        <v>0</v>
      </c>
      <c r="H3913" s="2" t="s">
        <v>37</v>
      </c>
      <c r="I3913" s="2" t="s">
        <v>49</v>
      </c>
      <c r="J3913" s="2" t="s">
        <v>2040</v>
      </c>
      <c r="K3913" s="2" t="s">
        <v>495</v>
      </c>
      <c r="L3913" s="13" t="s">
        <v>496</v>
      </c>
      <c r="M3913" s="2" t="s">
        <v>26</v>
      </c>
      <c r="N3913" s="29"/>
      <c r="O3913" s="29"/>
      <c r="P3913" s="5" t="str">
        <f>IFERROR(__xludf.DUMMYFUNCTION("TEXTJOIN("" | "",TRUE,IF(OR(D3913="""",E3913="""",I3913="""",J3913="""",H3913=""""),""ফাঁকা ঘর"",""""),IF(AND(C3913&lt;&gt;"""",D3913&lt;&gt;"""",C3913=D3913),""gloss=figurative"",""""),IF(LEN(D3913)&lt;15,""figurative ছোট"",""""),IF(AND(I3913=""Positive"",REGEXMATCH(H3"&amp;"913,""মূর্খ|ভণ্ড|প্রতার|অলস|লোভ|স্বার্থ|অক্ষম|অযোগ্য|বোকা|কৃপণ|হিংস"")),""valence-target অমিল"",""""),IF(COUNTIF($B:$B,B3913)&gt;1,""ডুপ্লিকেট"",""""))"),"")</f>
        <v/>
      </c>
      <c r="Q3913" s="5" t="str">
        <f t="shared" si="1"/>
        <v>২ পরে</v>
      </c>
    </row>
    <row r="3914">
      <c r="A3914" s="4">
        <v>1730.0</v>
      </c>
      <c r="B3914" s="2" t="s">
        <v>15876</v>
      </c>
      <c r="C3914" s="2" t="s">
        <v>15877</v>
      </c>
      <c r="D3914" s="2" t="s">
        <v>15878</v>
      </c>
      <c r="E3914" s="2" t="s">
        <v>15879</v>
      </c>
      <c r="F3914" s="2" t="b">
        <v>1</v>
      </c>
      <c r="G3914" s="2" t="b">
        <v>0</v>
      </c>
      <c r="H3914" s="2" t="s">
        <v>37</v>
      </c>
      <c r="I3914" s="2" t="s">
        <v>49</v>
      </c>
      <c r="J3914" s="2" t="s">
        <v>424</v>
      </c>
      <c r="K3914" s="2" t="s">
        <v>495</v>
      </c>
      <c r="L3914" s="13" t="s">
        <v>496</v>
      </c>
      <c r="M3914" s="2" t="s">
        <v>26</v>
      </c>
      <c r="N3914" s="29"/>
      <c r="O3914" s="29"/>
      <c r="P3914" s="5" t="str">
        <f>IFERROR(__xludf.DUMMYFUNCTION("TEXTJOIN("" | "",TRUE,IF(OR(D3914="""",E3914="""",I3914="""",J3914="""",H3914=""""),""ফাঁকা ঘর"",""""),IF(AND(C3914&lt;&gt;"""",D3914&lt;&gt;"""",C3914=D3914),""gloss=figurative"",""""),IF(LEN(D3914)&lt;15,""figurative ছোট"",""""),IF(AND(I3914=""Positive"",REGEXMATCH(H3"&amp;"914,""মূর্খ|ভণ্ড|প্রতার|অলস|লোভ|স্বার্থ|অক্ষম|অযোগ্য|বোকা|কৃপণ|হিংস"")),""valence-target অমিল"",""""),IF(COUNTIF($B:$B,B3914)&gt;1,""ডুপ্লিকেট"",""""))"),"")</f>
        <v/>
      </c>
      <c r="Q3914" s="5" t="str">
        <f t="shared" si="1"/>
        <v>২ পরে</v>
      </c>
    </row>
    <row r="3915">
      <c r="A3915" s="4">
        <v>1731.0</v>
      </c>
      <c r="B3915" s="2" t="s">
        <v>15880</v>
      </c>
      <c r="C3915" s="2" t="s">
        <v>15881</v>
      </c>
      <c r="D3915" s="2" t="s">
        <v>15882</v>
      </c>
      <c r="E3915" s="2" t="s">
        <v>15883</v>
      </c>
      <c r="F3915" s="2" t="b">
        <v>1</v>
      </c>
      <c r="G3915" s="2" t="b">
        <v>0</v>
      </c>
      <c r="H3915" s="2" t="s">
        <v>37</v>
      </c>
      <c r="I3915" s="2" t="s">
        <v>32</v>
      </c>
      <c r="J3915" s="2" t="s">
        <v>424</v>
      </c>
      <c r="K3915" s="2" t="s">
        <v>495</v>
      </c>
      <c r="L3915" s="13" t="s">
        <v>496</v>
      </c>
      <c r="M3915" s="2" t="s">
        <v>26</v>
      </c>
      <c r="N3915" s="29"/>
      <c r="O3915" s="29"/>
      <c r="P3915" s="5" t="str">
        <f>IFERROR(__xludf.DUMMYFUNCTION("TEXTJOIN("" | "",TRUE,IF(OR(D3915="""",E3915="""",I3915="""",J3915="""",H3915=""""),""ফাঁকা ঘর"",""""),IF(AND(C3915&lt;&gt;"""",D3915&lt;&gt;"""",C3915=D3915),""gloss=figurative"",""""),IF(LEN(D3915)&lt;15,""figurative ছোট"",""""),IF(AND(I3915=""Positive"",REGEXMATCH(H3"&amp;"915,""মূর্খ|ভণ্ড|প্রতার|অলস|লোভ|স্বার্থ|অক্ষম|অযোগ্য|বোকা|কৃপণ|হিংস"")),""valence-target অমিল"",""""),IF(COUNTIF($B:$B,B3915)&gt;1,""ডুপ্লিকেট"",""""))"),"")</f>
        <v/>
      </c>
      <c r="Q3915" s="5" t="str">
        <f t="shared" si="1"/>
        <v>২ পরে</v>
      </c>
    </row>
    <row r="3916">
      <c r="A3916" s="4">
        <v>1732.0</v>
      </c>
      <c r="B3916" s="2" t="s">
        <v>15884</v>
      </c>
      <c r="C3916" s="2" t="s">
        <v>15885</v>
      </c>
      <c r="D3916" s="2" t="s">
        <v>15886</v>
      </c>
      <c r="E3916" s="2" t="s">
        <v>15887</v>
      </c>
      <c r="F3916" s="2" t="b">
        <v>1</v>
      </c>
      <c r="G3916" s="2" t="b">
        <v>0</v>
      </c>
      <c r="H3916" s="2" t="s">
        <v>15888</v>
      </c>
      <c r="I3916" s="2" t="s">
        <v>22</v>
      </c>
      <c r="J3916" s="2" t="s">
        <v>669</v>
      </c>
      <c r="K3916" s="2" t="s">
        <v>495</v>
      </c>
      <c r="L3916" s="13" t="s">
        <v>496</v>
      </c>
      <c r="M3916" s="2" t="s">
        <v>26</v>
      </c>
      <c r="N3916" s="29"/>
      <c r="O3916" s="29"/>
      <c r="P3916" s="5" t="str">
        <f>IFERROR(__xludf.DUMMYFUNCTION("TEXTJOIN("" | "",TRUE,IF(OR(D3916="""",E3916="""",I3916="""",J3916="""",H3916=""""),""ফাঁকা ঘর"",""""),IF(AND(C3916&lt;&gt;"""",D3916&lt;&gt;"""",C3916=D3916),""gloss=figurative"",""""),IF(LEN(D3916)&lt;15,""figurative ছোট"",""""),IF(AND(I3916=""Positive"",REGEXMATCH(H3"&amp;"916,""মূর্খ|ভণ্ড|প্রতার|অলস|লোভ|স্বার্থ|অক্ষম|অযোগ্য|বোকা|কৃপণ|হিংস"")),""valence-target অমিল"",""""),IF(COUNTIF($B:$B,B3916)&gt;1,""ডুপ্লিকেট"",""""))"),"")</f>
        <v/>
      </c>
      <c r="Q3916" s="5" t="str">
        <f t="shared" si="1"/>
        <v>২ পরে</v>
      </c>
    </row>
    <row r="3917">
      <c r="A3917" s="4">
        <v>1733.0</v>
      </c>
      <c r="B3917" s="2" t="s">
        <v>15889</v>
      </c>
      <c r="C3917" s="2" t="s">
        <v>15890</v>
      </c>
      <c r="D3917" s="2" t="s">
        <v>15891</v>
      </c>
      <c r="E3917" s="2" t="s">
        <v>15892</v>
      </c>
      <c r="F3917" s="2" t="b">
        <v>1</v>
      </c>
      <c r="G3917" s="2" t="b">
        <v>0</v>
      </c>
      <c r="H3917" s="2" t="s">
        <v>37</v>
      </c>
      <c r="I3917" s="2" t="s">
        <v>32</v>
      </c>
      <c r="J3917" s="2" t="s">
        <v>424</v>
      </c>
      <c r="K3917" s="2" t="s">
        <v>495</v>
      </c>
      <c r="L3917" s="13" t="s">
        <v>496</v>
      </c>
      <c r="M3917" s="2" t="s">
        <v>26</v>
      </c>
      <c r="N3917" s="29"/>
      <c r="O3917" s="29"/>
      <c r="P3917" s="5" t="str">
        <f>IFERROR(__xludf.DUMMYFUNCTION("TEXTJOIN("" | "",TRUE,IF(OR(D3917="""",E3917="""",I3917="""",J3917="""",H3917=""""),""ফাঁকা ঘর"",""""),IF(AND(C3917&lt;&gt;"""",D3917&lt;&gt;"""",C3917=D3917),""gloss=figurative"",""""),IF(LEN(D3917)&lt;15,""figurative ছোট"",""""),IF(AND(I3917=""Positive"",REGEXMATCH(H3"&amp;"917,""মূর্খ|ভণ্ড|প্রতার|অলস|লোভ|স্বার্থ|অক্ষম|অযোগ্য|বোকা|কৃপণ|হিংস"")),""valence-target অমিল"",""""),IF(COUNTIF($B:$B,B3917)&gt;1,""ডুপ্লিকেট"",""""))"),"")</f>
        <v/>
      </c>
      <c r="Q3917" s="5" t="str">
        <f t="shared" si="1"/>
        <v>২ পরে</v>
      </c>
    </row>
    <row r="3918">
      <c r="A3918" s="4">
        <v>1734.0</v>
      </c>
      <c r="B3918" s="2" t="s">
        <v>15893</v>
      </c>
      <c r="C3918" s="2" t="s">
        <v>15894</v>
      </c>
      <c r="D3918" s="2" t="s">
        <v>15895</v>
      </c>
      <c r="E3918" s="2" t="s">
        <v>15896</v>
      </c>
      <c r="F3918" s="2" t="b">
        <v>1</v>
      </c>
      <c r="G3918" s="2" t="b">
        <v>0</v>
      </c>
      <c r="H3918" s="2" t="s">
        <v>37</v>
      </c>
      <c r="I3918" s="2" t="s">
        <v>32</v>
      </c>
      <c r="J3918" s="2" t="s">
        <v>424</v>
      </c>
      <c r="K3918" s="2" t="s">
        <v>495</v>
      </c>
      <c r="L3918" s="13" t="s">
        <v>496</v>
      </c>
      <c r="M3918" s="2" t="s">
        <v>26</v>
      </c>
      <c r="N3918" s="29"/>
      <c r="O3918" s="29"/>
      <c r="P3918" s="5" t="str">
        <f>IFERROR(__xludf.DUMMYFUNCTION("TEXTJOIN("" | "",TRUE,IF(OR(D3918="""",E3918="""",I3918="""",J3918="""",H3918=""""),""ফাঁকা ঘর"",""""),IF(AND(C3918&lt;&gt;"""",D3918&lt;&gt;"""",C3918=D3918),""gloss=figurative"",""""),IF(LEN(D3918)&lt;15,""figurative ছোট"",""""),IF(AND(I3918=""Positive"",REGEXMATCH(H3"&amp;"918,""মূর্খ|ভণ্ড|প্রতার|অলস|লোভ|স্বার্থ|অক্ষম|অযোগ্য|বোকা|কৃপণ|হিংস"")),""valence-target অমিল"",""""),IF(COUNTIF($B:$B,B3918)&gt;1,""ডুপ্লিকেট"",""""))"),"")</f>
        <v/>
      </c>
      <c r="Q3918" s="5" t="str">
        <f t="shared" si="1"/>
        <v>২ পরে</v>
      </c>
    </row>
    <row r="3919">
      <c r="A3919" s="4">
        <v>1735.0</v>
      </c>
      <c r="B3919" s="2" t="s">
        <v>15897</v>
      </c>
      <c r="C3919" s="2" t="s">
        <v>15898</v>
      </c>
      <c r="D3919" s="2" t="s">
        <v>15899</v>
      </c>
      <c r="E3919" s="2" t="s">
        <v>15900</v>
      </c>
      <c r="F3919" s="2" t="b">
        <v>1</v>
      </c>
      <c r="G3919" s="2" t="b">
        <v>0</v>
      </c>
      <c r="H3919" s="2" t="s">
        <v>15901</v>
      </c>
      <c r="I3919" s="2" t="s">
        <v>22</v>
      </c>
      <c r="J3919" s="2" t="s">
        <v>1621</v>
      </c>
      <c r="K3919" s="2" t="s">
        <v>495</v>
      </c>
      <c r="L3919" s="13" t="s">
        <v>496</v>
      </c>
      <c r="M3919" s="2" t="s">
        <v>26</v>
      </c>
      <c r="N3919" s="29"/>
      <c r="O3919" s="29"/>
      <c r="P3919" s="5" t="str">
        <f>IFERROR(__xludf.DUMMYFUNCTION("TEXTJOIN("" | "",TRUE,IF(OR(D3919="""",E3919="""",I3919="""",J3919="""",H3919=""""),""ফাঁকা ঘর"",""""),IF(AND(C3919&lt;&gt;"""",D3919&lt;&gt;"""",C3919=D3919),""gloss=figurative"",""""),IF(LEN(D3919)&lt;15,""figurative ছোট"",""""),IF(AND(I3919=""Positive"",REGEXMATCH(H3"&amp;"919,""মূর্খ|ভণ্ড|প্রতার|অলস|লোভ|স্বার্থ|অক্ষম|অযোগ্য|বোকা|কৃপণ|হিংস"")),""valence-target অমিল"",""""),IF(COUNTIF($B:$B,B3919)&gt;1,""ডুপ্লিকেট"",""""))"),"")</f>
        <v/>
      </c>
      <c r="Q3919" s="5" t="str">
        <f t="shared" si="1"/>
        <v>২ পরে</v>
      </c>
    </row>
    <row r="3920">
      <c r="A3920" s="4">
        <v>1736.0</v>
      </c>
      <c r="B3920" s="2" t="s">
        <v>15902</v>
      </c>
      <c r="C3920" s="2" t="s">
        <v>15903</v>
      </c>
      <c r="D3920" s="2" t="s">
        <v>15904</v>
      </c>
      <c r="E3920" s="2" t="s">
        <v>15905</v>
      </c>
      <c r="F3920" s="2" t="b">
        <v>1</v>
      </c>
      <c r="G3920" s="2" t="b">
        <v>0</v>
      </c>
      <c r="H3920" s="2" t="s">
        <v>37</v>
      </c>
      <c r="I3920" s="2" t="s">
        <v>49</v>
      </c>
      <c r="J3920" s="2" t="s">
        <v>424</v>
      </c>
      <c r="K3920" s="2" t="s">
        <v>495</v>
      </c>
      <c r="L3920" s="13" t="s">
        <v>496</v>
      </c>
      <c r="M3920" s="2" t="s">
        <v>26</v>
      </c>
      <c r="N3920" s="29"/>
      <c r="O3920" s="29"/>
      <c r="P3920" s="5" t="str">
        <f>IFERROR(__xludf.DUMMYFUNCTION("TEXTJOIN("" | "",TRUE,IF(OR(D3920="""",E3920="""",I3920="""",J3920="""",H3920=""""),""ফাঁকা ঘর"",""""),IF(AND(C3920&lt;&gt;"""",D3920&lt;&gt;"""",C3920=D3920),""gloss=figurative"",""""),IF(LEN(D3920)&lt;15,""figurative ছোট"",""""),IF(AND(I3920=""Positive"",REGEXMATCH(H3"&amp;"920,""মূর্খ|ভণ্ড|প্রতার|অলস|লোভ|স্বার্থ|অক্ষম|অযোগ্য|বোকা|কৃপণ|হিংস"")),""valence-target অমিল"",""""),IF(COUNTIF($B:$B,B3920)&gt;1,""ডুপ্লিকেট"",""""))"),"")</f>
        <v/>
      </c>
      <c r="Q3920" s="5" t="str">
        <f t="shared" si="1"/>
        <v>২ পরে</v>
      </c>
    </row>
    <row r="3921">
      <c r="A3921" s="4">
        <v>1737.0</v>
      </c>
      <c r="B3921" s="2" t="s">
        <v>15906</v>
      </c>
      <c r="C3921" s="2" t="s">
        <v>15907</v>
      </c>
      <c r="D3921" s="2" t="s">
        <v>15908</v>
      </c>
      <c r="E3921" s="2" t="s">
        <v>15909</v>
      </c>
      <c r="F3921" s="2" t="b">
        <v>1</v>
      </c>
      <c r="G3921" s="2" t="b">
        <v>0</v>
      </c>
      <c r="H3921" s="2" t="s">
        <v>15910</v>
      </c>
      <c r="I3921" s="2" t="s">
        <v>32</v>
      </c>
      <c r="J3921" s="2" t="s">
        <v>1249</v>
      </c>
      <c r="K3921" s="2" t="s">
        <v>495</v>
      </c>
      <c r="L3921" s="13" t="s">
        <v>496</v>
      </c>
      <c r="M3921" s="2" t="s">
        <v>26</v>
      </c>
      <c r="N3921" s="29"/>
      <c r="O3921" s="29"/>
      <c r="P3921" s="5" t="str">
        <f>IFERROR(__xludf.DUMMYFUNCTION("TEXTJOIN("" | "",TRUE,IF(OR(D3921="""",E3921="""",I3921="""",J3921="""",H3921=""""),""ফাঁকা ঘর"",""""),IF(AND(C3921&lt;&gt;"""",D3921&lt;&gt;"""",C3921=D3921),""gloss=figurative"",""""),IF(LEN(D3921)&lt;15,""figurative ছোট"",""""),IF(AND(I3921=""Positive"",REGEXMATCH(H3"&amp;"921,""মূর্খ|ভণ্ড|প্রতার|অলস|লোভ|স্বার্থ|অক্ষম|অযোগ্য|বোকা|কৃপণ|হিংস"")),""valence-target অমিল"",""""),IF(COUNTIF($B:$B,B3921)&gt;1,""ডুপ্লিকেট"",""""))"),"")</f>
        <v/>
      </c>
      <c r="Q3921" s="5" t="str">
        <f t="shared" si="1"/>
        <v>২ পরে</v>
      </c>
    </row>
    <row r="3922">
      <c r="A3922" s="4">
        <v>1738.0</v>
      </c>
      <c r="B3922" s="15" t="s">
        <v>15911</v>
      </c>
      <c r="C3922" s="2" t="s">
        <v>15912</v>
      </c>
      <c r="D3922" s="2" t="s">
        <v>15913</v>
      </c>
      <c r="E3922" s="2" t="s">
        <v>15914</v>
      </c>
      <c r="F3922" s="2" t="b">
        <v>1</v>
      </c>
      <c r="G3922" s="2" t="b">
        <v>0</v>
      </c>
      <c r="H3922" s="2" t="s">
        <v>37</v>
      </c>
      <c r="I3922" s="2" t="s">
        <v>22</v>
      </c>
      <c r="J3922" s="2" t="s">
        <v>15915</v>
      </c>
      <c r="K3922" s="2" t="s">
        <v>495</v>
      </c>
      <c r="L3922" s="13" t="s">
        <v>496</v>
      </c>
      <c r="M3922" s="2" t="s">
        <v>26</v>
      </c>
      <c r="N3922" s="29"/>
      <c r="O3922" s="29"/>
      <c r="P3922" s="5" t="str">
        <f>IFERROR(__xludf.DUMMYFUNCTION("TEXTJOIN("" | "",TRUE,IF(OR(D3922="""",E3922="""",I3922="""",J3922="""",H3922=""""),""ফাঁকা ঘর"",""""),IF(AND(C3922&lt;&gt;"""",D3922&lt;&gt;"""",C3922=D3922),""gloss=figurative"",""""),IF(LEN(D3922)&lt;15,""figurative ছোট"",""""),IF(AND(I3922=""Positive"",REGEXMATCH(H3"&amp;"922,""মূর্খ|ভণ্ড|প্রতার|অলস|লোভ|স্বার্থ|অক্ষম|অযোগ্য|বোকা|কৃপণ|হিংস"")),""valence-target অমিল"",""""),IF(COUNTIF($B:$B,B3922)&gt;1,""ডুপ্লিকেট"",""""))"),"")</f>
        <v/>
      </c>
      <c r="Q3922" s="5" t="str">
        <f t="shared" si="1"/>
        <v>২ পরে</v>
      </c>
    </row>
    <row r="3923">
      <c r="A3923" s="4">
        <v>1739.0</v>
      </c>
      <c r="B3923" s="2" t="s">
        <v>15916</v>
      </c>
      <c r="C3923" s="2" t="s">
        <v>15917</v>
      </c>
      <c r="D3923" s="2" t="s">
        <v>15918</v>
      </c>
      <c r="E3923" s="2" t="s">
        <v>15919</v>
      </c>
      <c r="F3923" s="2" t="b">
        <v>1</v>
      </c>
      <c r="G3923" s="2" t="b">
        <v>0</v>
      </c>
      <c r="H3923" s="2" t="s">
        <v>7382</v>
      </c>
      <c r="I3923" s="2" t="s">
        <v>22</v>
      </c>
      <c r="J3923" s="2" t="s">
        <v>15920</v>
      </c>
      <c r="K3923" s="2" t="s">
        <v>495</v>
      </c>
      <c r="L3923" s="13" t="s">
        <v>496</v>
      </c>
      <c r="M3923" s="2" t="s">
        <v>26</v>
      </c>
      <c r="N3923" s="29"/>
      <c r="O3923" s="29"/>
      <c r="P3923" s="5" t="str">
        <f>IFERROR(__xludf.DUMMYFUNCTION("TEXTJOIN("" | "",TRUE,IF(OR(D3923="""",E3923="""",I3923="""",J3923="""",H3923=""""),""ফাঁকা ঘর"",""""),IF(AND(C3923&lt;&gt;"""",D3923&lt;&gt;"""",C3923=D3923),""gloss=figurative"",""""),IF(LEN(D3923)&lt;15,""figurative ছোট"",""""),IF(AND(I3923=""Positive"",REGEXMATCH(H3"&amp;"923,""মূর্খ|ভণ্ড|প্রতার|অলস|লোভ|স্বার্থ|অক্ষম|অযোগ্য|বোকা|কৃপণ|হিংস"")),""valence-target অমিল"",""""),IF(COUNTIF($B:$B,B3923)&gt;1,""ডুপ্লিকেট"",""""))"),"")</f>
        <v/>
      </c>
      <c r="Q3923" s="5" t="str">
        <f t="shared" si="1"/>
        <v>২ পরে</v>
      </c>
    </row>
    <row r="3924">
      <c r="A3924" s="4">
        <v>1740.0</v>
      </c>
      <c r="B3924" s="2" t="s">
        <v>15921</v>
      </c>
      <c r="C3924" s="2" t="s">
        <v>15921</v>
      </c>
      <c r="D3924" s="2" t="s">
        <v>15922</v>
      </c>
      <c r="E3924" s="2" t="s">
        <v>15923</v>
      </c>
      <c r="F3924" s="2" t="b">
        <v>1</v>
      </c>
      <c r="G3924" s="2" t="b">
        <v>0</v>
      </c>
      <c r="H3924" s="2" t="s">
        <v>37</v>
      </c>
      <c r="I3924" s="2" t="s">
        <v>32</v>
      </c>
      <c r="J3924" s="2" t="s">
        <v>590</v>
      </c>
      <c r="K3924" s="2" t="s">
        <v>495</v>
      </c>
      <c r="L3924" s="13" t="s">
        <v>496</v>
      </c>
      <c r="M3924" s="2" t="s">
        <v>26</v>
      </c>
      <c r="N3924" s="29"/>
      <c r="O3924" s="29"/>
      <c r="P3924" s="5" t="str">
        <f>IFERROR(__xludf.DUMMYFUNCTION("TEXTJOIN("" | "",TRUE,IF(OR(D3924="""",E3924="""",I3924="""",J3924="""",H3924=""""),""ফাঁকা ঘর"",""""),IF(AND(C3924&lt;&gt;"""",D3924&lt;&gt;"""",C3924=D3924),""gloss=figurative"",""""),IF(LEN(D3924)&lt;15,""figurative ছোট"",""""),IF(AND(I3924=""Positive"",REGEXMATCH(H3"&amp;"924,""মূর্খ|ভণ্ড|প্রতার|অলস|লোভ|স্বার্থ|অক্ষম|অযোগ্য|বোকা|কৃপণ|হিংস"")),""valence-target অমিল"",""""),IF(COUNTIF($B:$B,B3924)&gt;1,""ডুপ্লিকেট"",""""))"),"")</f>
        <v/>
      </c>
      <c r="Q3924" s="5" t="str">
        <f t="shared" si="1"/>
        <v>২ পরে</v>
      </c>
    </row>
    <row r="3925">
      <c r="A3925" s="4">
        <v>1741.0</v>
      </c>
      <c r="B3925" s="2" t="s">
        <v>15924</v>
      </c>
      <c r="C3925" s="2" t="s">
        <v>15925</v>
      </c>
      <c r="D3925" s="2" t="s">
        <v>15926</v>
      </c>
      <c r="E3925" s="2" t="s">
        <v>15927</v>
      </c>
      <c r="F3925" s="2" t="b">
        <v>1</v>
      </c>
      <c r="G3925" s="2" t="b">
        <v>0</v>
      </c>
      <c r="H3925" s="2" t="s">
        <v>37</v>
      </c>
      <c r="I3925" s="2" t="s">
        <v>32</v>
      </c>
      <c r="J3925" s="2" t="s">
        <v>15928</v>
      </c>
      <c r="K3925" s="2" t="s">
        <v>495</v>
      </c>
      <c r="L3925" s="13" t="s">
        <v>496</v>
      </c>
      <c r="M3925" s="2" t="s">
        <v>26</v>
      </c>
      <c r="N3925" s="29"/>
      <c r="O3925" s="29"/>
      <c r="P3925" s="5" t="str">
        <f>IFERROR(__xludf.DUMMYFUNCTION("TEXTJOIN("" | "",TRUE,IF(OR(D3925="""",E3925="""",I3925="""",J3925="""",H3925=""""),""ফাঁকা ঘর"",""""),IF(AND(C3925&lt;&gt;"""",D3925&lt;&gt;"""",C3925=D3925),""gloss=figurative"",""""),IF(LEN(D3925)&lt;15,""figurative ছোট"",""""),IF(AND(I3925=""Positive"",REGEXMATCH(H3"&amp;"925,""মূর্খ|ভণ্ড|প্রতার|অলস|লোভ|স্বার্থ|অক্ষম|অযোগ্য|বোকা|কৃপণ|হিংস"")),""valence-target অমিল"",""""),IF(COUNTIF($B:$B,B3925)&gt;1,""ডুপ্লিকেট"",""""))"),"")</f>
        <v/>
      </c>
      <c r="Q3925" s="5" t="str">
        <f t="shared" si="1"/>
        <v>২ পরে</v>
      </c>
    </row>
    <row r="3926">
      <c r="A3926" s="4">
        <v>1742.0</v>
      </c>
      <c r="B3926" s="2" t="s">
        <v>15929</v>
      </c>
      <c r="C3926" s="2" t="s">
        <v>15925</v>
      </c>
      <c r="D3926" s="2" t="s">
        <v>15930</v>
      </c>
      <c r="E3926" s="2" t="s">
        <v>15931</v>
      </c>
      <c r="F3926" s="2" t="b">
        <v>1</v>
      </c>
      <c r="G3926" s="2" t="b">
        <v>0</v>
      </c>
      <c r="H3926" s="2" t="s">
        <v>37</v>
      </c>
      <c r="I3926" s="2" t="s">
        <v>22</v>
      </c>
      <c r="J3926" s="2" t="s">
        <v>1644</v>
      </c>
      <c r="K3926" s="2" t="s">
        <v>495</v>
      </c>
      <c r="L3926" s="13" t="s">
        <v>496</v>
      </c>
      <c r="M3926" s="2" t="s">
        <v>26</v>
      </c>
      <c r="N3926" s="29"/>
      <c r="O3926" s="29"/>
      <c r="P3926" s="5" t="str">
        <f>IFERROR(__xludf.DUMMYFUNCTION("TEXTJOIN("" | "",TRUE,IF(OR(D3926="""",E3926="""",I3926="""",J3926="""",H3926=""""),""ফাঁকা ঘর"",""""),IF(AND(C3926&lt;&gt;"""",D3926&lt;&gt;"""",C3926=D3926),""gloss=figurative"",""""),IF(LEN(D3926)&lt;15,""figurative ছোট"",""""),IF(AND(I3926=""Positive"",REGEXMATCH(H3"&amp;"926,""মূর্খ|ভণ্ড|প্রতার|অলস|লোভ|স্বার্থ|অক্ষম|অযোগ্য|বোকা|কৃপণ|হিংস"")),""valence-target অমিল"",""""),IF(COUNTIF($B:$B,B3926)&gt;1,""ডুপ্লিকেট"",""""))"),"")</f>
        <v/>
      </c>
      <c r="Q3926" s="5" t="str">
        <f t="shared" si="1"/>
        <v>২ পরে</v>
      </c>
    </row>
    <row r="3927">
      <c r="A3927" s="4">
        <v>1743.0</v>
      </c>
      <c r="B3927" s="2" t="s">
        <v>15932</v>
      </c>
      <c r="C3927" s="2" t="s">
        <v>15933</v>
      </c>
      <c r="D3927" s="2" t="s">
        <v>15934</v>
      </c>
      <c r="E3927" s="2" t="s">
        <v>15935</v>
      </c>
      <c r="F3927" s="2" t="b">
        <v>1</v>
      </c>
      <c r="G3927" s="2" t="b">
        <v>0</v>
      </c>
      <c r="H3927" s="2" t="s">
        <v>37</v>
      </c>
      <c r="I3927" s="2" t="s">
        <v>32</v>
      </c>
      <c r="J3927" s="2" t="s">
        <v>15679</v>
      </c>
      <c r="K3927" s="2" t="s">
        <v>495</v>
      </c>
      <c r="L3927" s="13" t="s">
        <v>496</v>
      </c>
      <c r="M3927" s="2" t="s">
        <v>26</v>
      </c>
      <c r="N3927" s="29"/>
      <c r="O3927" s="29"/>
      <c r="P3927" s="5" t="str">
        <f>IFERROR(__xludf.DUMMYFUNCTION("TEXTJOIN("" | "",TRUE,IF(OR(D3927="""",E3927="""",I3927="""",J3927="""",H3927=""""),""ফাঁকা ঘর"",""""),IF(AND(C3927&lt;&gt;"""",D3927&lt;&gt;"""",C3927=D3927),""gloss=figurative"",""""),IF(LEN(D3927)&lt;15,""figurative ছোট"",""""),IF(AND(I3927=""Positive"",REGEXMATCH(H3"&amp;"927,""মূর্খ|ভণ্ড|প্রতার|অলস|লোভ|স্বার্থ|অক্ষম|অযোগ্য|বোকা|কৃপণ|হিংস"")),""valence-target অমিল"",""""),IF(COUNTIF($B:$B,B3927)&gt;1,""ডুপ্লিকেট"",""""))"),"")</f>
        <v/>
      </c>
      <c r="Q3927" s="5" t="str">
        <f t="shared" si="1"/>
        <v>২ পরে</v>
      </c>
    </row>
    <row r="3928">
      <c r="A3928" s="4">
        <v>1744.0</v>
      </c>
      <c r="B3928" s="2" t="s">
        <v>15936</v>
      </c>
      <c r="C3928" s="2" t="s">
        <v>15937</v>
      </c>
      <c r="D3928" s="2" t="s">
        <v>15938</v>
      </c>
      <c r="E3928" s="2" t="s">
        <v>15939</v>
      </c>
      <c r="F3928" s="2" t="b">
        <v>1</v>
      </c>
      <c r="G3928" s="2" t="b">
        <v>0</v>
      </c>
      <c r="H3928" s="2" t="s">
        <v>37</v>
      </c>
      <c r="I3928" s="2" t="s">
        <v>32</v>
      </c>
      <c r="J3928" s="2" t="s">
        <v>1679</v>
      </c>
      <c r="K3928" s="2" t="s">
        <v>495</v>
      </c>
      <c r="L3928" s="13" t="s">
        <v>496</v>
      </c>
      <c r="M3928" s="2" t="s">
        <v>26</v>
      </c>
      <c r="N3928" s="29"/>
      <c r="O3928" s="29"/>
      <c r="P3928" s="5" t="str">
        <f>IFERROR(__xludf.DUMMYFUNCTION("TEXTJOIN("" | "",TRUE,IF(OR(D3928="""",E3928="""",I3928="""",J3928="""",H3928=""""),""ফাঁকা ঘর"",""""),IF(AND(C3928&lt;&gt;"""",D3928&lt;&gt;"""",C3928=D3928),""gloss=figurative"",""""),IF(LEN(D3928)&lt;15,""figurative ছোট"",""""),IF(AND(I3928=""Positive"",REGEXMATCH(H3"&amp;"928,""মূর্খ|ভণ্ড|প্রতার|অলস|লোভ|স্বার্থ|অক্ষম|অযোগ্য|বোকা|কৃপণ|হিংস"")),""valence-target অমিল"",""""),IF(COUNTIF($B:$B,B3928)&gt;1,""ডুপ্লিকেট"",""""))"),"")</f>
        <v/>
      </c>
      <c r="Q3928" s="5" t="str">
        <f t="shared" si="1"/>
        <v>২ পরে</v>
      </c>
    </row>
    <row r="3929">
      <c r="A3929" s="4">
        <v>1745.0</v>
      </c>
      <c r="B3929" s="2" t="s">
        <v>15940</v>
      </c>
      <c r="C3929" s="2" t="s">
        <v>15941</v>
      </c>
      <c r="D3929" s="2" t="s">
        <v>15942</v>
      </c>
      <c r="E3929" s="2" t="s">
        <v>15943</v>
      </c>
      <c r="F3929" s="2" t="b">
        <v>1</v>
      </c>
      <c r="G3929" s="2" t="b">
        <v>0</v>
      </c>
      <c r="H3929" s="2" t="s">
        <v>2482</v>
      </c>
      <c r="I3929" s="2" t="s">
        <v>49</v>
      </c>
      <c r="J3929" s="2" t="s">
        <v>15944</v>
      </c>
      <c r="K3929" s="2" t="s">
        <v>495</v>
      </c>
      <c r="L3929" s="13" t="s">
        <v>496</v>
      </c>
      <c r="M3929" s="2" t="s">
        <v>26</v>
      </c>
      <c r="N3929" s="29"/>
      <c r="O3929" s="29"/>
      <c r="P3929" s="5" t="str">
        <f>IFERROR(__xludf.DUMMYFUNCTION("TEXTJOIN("" | "",TRUE,IF(OR(D3929="""",E3929="""",I3929="""",J3929="""",H3929=""""),""ফাঁকা ঘর"",""""),IF(AND(C3929&lt;&gt;"""",D3929&lt;&gt;"""",C3929=D3929),""gloss=figurative"",""""),IF(LEN(D3929)&lt;15,""figurative ছোট"",""""),IF(AND(I3929=""Positive"",REGEXMATCH(H3"&amp;"929,""মূর্খ|ভণ্ড|প্রতার|অলস|লোভ|স্বার্থ|অক্ষম|অযোগ্য|বোকা|কৃপণ|হিংস"")),""valence-target অমিল"",""""),IF(COUNTIF($B:$B,B3929)&gt;1,""ডুপ্লিকেট"",""""))"),"")</f>
        <v/>
      </c>
      <c r="Q3929" s="5" t="str">
        <f t="shared" si="1"/>
        <v>২ পরে</v>
      </c>
    </row>
    <row r="3930">
      <c r="A3930" s="4">
        <v>1746.0</v>
      </c>
      <c r="B3930" s="2" t="s">
        <v>15945</v>
      </c>
      <c r="C3930" s="2" t="s">
        <v>15946</v>
      </c>
      <c r="D3930" s="2" t="s">
        <v>15947</v>
      </c>
      <c r="E3930" s="2" t="s">
        <v>15948</v>
      </c>
      <c r="F3930" s="2" t="b">
        <v>1</v>
      </c>
      <c r="G3930" s="2" t="b">
        <v>0</v>
      </c>
      <c r="H3930" s="2" t="s">
        <v>37</v>
      </c>
      <c r="I3930" s="2" t="s">
        <v>49</v>
      </c>
      <c r="J3930" s="2" t="s">
        <v>15679</v>
      </c>
      <c r="K3930" s="2" t="s">
        <v>495</v>
      </c>
      <c r="L3930" s="13" t="s">
        <v>496</v>
      </c>
      <c r="M3930" s="2" t="s">
        <v>26</v>
      </c>
      <c r="N3930" s="29"/>
      <c r="O3930" s="29"/>
      <c r="P3930" s="5" t="str">
        <f>IFERROR(__xludf.DUMMYFUNCTION("TEXTJOIN("" | "",TRUE,IF(OR(D3930="""",E3930="""",I3930="""",J3930="""",H3930=""""),""ফাঁকা ঘর"",""""),IF(AND(C3930&lt;&gt;"""",D3930&lt;&gt;"""",C3930=D3930),""gloss=figurative"",""""),IF(LEN(D3930)&lt;15,""figurative ছোট"",""""),IF(AND(I3930=""Positive"",REGEXMATCH(H3"&amp;"930,""মূর্খ|ভণ্ড|প্রতার|অলস|লোভ|স্বার্থ|অক্ষম|অযোগ্য|বোকা|কৃপণ|হিংস"")),""valence-target অমিল"",""""),IF(COUNTIF($B:$B,B3930)&gt;1,""ডুপ্লিকেট"",""""))"),"")</f>
        <v/>
      </c>
      <c r="Q3930" s="5" t="str">
        <f t="shared" si="1"/>
        <v>২ পরে</v>
      </c>
    </row>
    <row r="3931">
      <c r="A3931" s="4">
        <v>1747.0</v>
      </c>
      <c r="B3931" s="2" t="s">
        <v>15949</v>
      </c>
      <c r="C3931" s="2" t="s">
        <v>15950</v>
      </c>
      <c r="D3931" s="2" t="s">
        <v>15951</v>
      </c>
      <c r="E3931" s="2" t="s">
        <v>15952</v>
      </c>
      <c r="F3931" s="2" t="b">
        <v>1</v>
      </c>
      <c r="G3931" s="2" t="b">
        <v>0</v>
      </c>
      <c r="H3931" s="2" t="s">
        <v>37</v>
      </c>
      <c r="I3931" s="2" t="s">
        <v>32</v>
      </c>
      <c r="J3931" s="2" t="s">
        <v>1151</v>
      </c>
      <c r="K3931" s="2" t="s">
        <v>495</v>
      </c>
      <c r="L3931" s="13" t="s">
        <v>496</v>
      </c>
      <c r="M3931" s="2" t="s">
        <v>26</v>
      </c>
      <c r="N3931" s="29"/>
      <c r="O3931" s="29"/>
      <c r="P3931" s="5" t="str">
        <f>IFERROR(__xludf.DUMMYFUNCTION("TEXTJOIN("" | "",TRUE,IF(OR(D3931="""",E3931="""",I3931="""",J3931="""",H3931=""""),""ফাঁকা ঘর"",""""),IF(AND(C3931&lt;&gt;"""",D3931&lt;&gt;"""",C3931=D3931),""gloss=figurative"",""""),IF(LEN(D3931)&lt;15,""figurative ছোট"",""""),IF(AND(I3931=""Positive"",REGEXMATCH(H3"&amp;"931,""মূর্খ|ভণ্ড|প্রতার|অলস|লোভ|স্বার্থ|অক্ষম|অযোগ্য|বোকা|কৃপণ|হিংস"")),""valence-target অমিল"",""""),IF(COUNTIF($B:$B,B3931)&gt;1,""ডুপ্লিকেট"",""""))"),"")</f>
        <v/>
      </c>
      <c r="Q3931" s="5" t="str">
        <f t="shared" si="1"/>
        <v>২ পরে</v>
      </c>
    </row>
    <row r="3932">
      <c r="A3932" s="4">
        <v>1748.0</v>
      </c>
      <c r="B3932" s="2" t="s">
        <v>15953</v>
      </c>
      <c r="C3932" s="2" t="s">
        <v>15954</v>
      </c>
      <c r="D3932" s="2" t="s">
        <v>15955</v>
      </c>
      <c r="E3932" s="2" t="s">
        <v>15956</v>
      </c>
      <c r="F3932" s="2" t="b">
        <v>1</v>
      </c>
      <c r="G3932" s="2" t="b">
        <v>0</v>
      </c>
      <c r="H3932" s="2" t="s">
        <v>37</v>
      </c>
      <c r="I3932" s="2" t="s">
        <v>49</v>
      </c>
      <c r="J3932" s="2" t="s">
        <v>1008</v>
      </c>
      <c r="K3932" s="2" t="s">
        <v>495</v>
      </c>
      <c r="L3932" s="13" t="s">
        <v>496</v>
      </c>
      <c r="M3932" s="2" t="s">
        <v>26</v>
      </c>
      <c r="N3932" s="29"/>
      <c r="O3932" s="29"/>
      <c r="P3932" s="5" t="str">
        <f>IFERROR(__xludf.DUMMYFUNCTION("TEXTJOIN("" | "",TRUE,IF(OR(D3932="""",E3932="""",I3932="""",J3932="""",H3932=""""),""ফাঁকা ঘর"",""""),IF(AND(C3932&lt;&gt;"""",D3932&lt;&gt;"""",C3932=D3932),""gloss=figurative"",""""),IF(LEN(D3932)&lt;15,""figurative ছোট"",""""),IF(AND(I3932=""Positive"",REGEXMATCH(H3"&amp;"932,""মূর্খ|ভণ্ড|প্রতার|অলস|লোভ|স্বার্থ|অক্ষম|অযোগ্য|বোকা|কৃপণ|হিংস"")),""valence-target অমিল"",""""),IF(COUNTIF($B:$B,B3932)&gt;1,""ডুপ্লিকেট"",""""))"),"")</f>
        <v/>
      </c>
      <c r="Q3932" s="5" t="str">
        <f t="shared" si="1"/>
        <v>২ পরে</v>
      </c>
    </row>
    <row r="3933">
      <c r="A3933" s="4">
        <v>1749.0</v>
      </c>
      <c r="B3933" s="2" t="s">
        <v>15957</v>
      </c>
      <c r="C3933" s="2" t="s">
        <v>15958</v>
      </c>
      <c r="D3933" s="2" t="s">
        <v>15959</v>
      </c>
      <c r="E3933" s="2" t="s">
        <v>15960</v>
      </c>
      <c r="F3933" s="2" t="b">
        <v>1</v>
      </c>
      <c r="G3933" s="2" t="b">
        <v>0</v>
      </c>
      <c r="H3933" s="2" t="s">
        <v>37</v>
      </c>
      <c r="I3933" s="2" t="s">
        <v>32</v>
      </c>
      <c r="J3933" s="2" t="s">
        <v>565</v>
      </c>
      <c r="K3933" s="2" t="s">
        <v>495</v>
      </c>
      <c r="L3933" s="13" t="s">
        <v>496</v>
      </c>
      <c r="M3933" s="2" t="s">
        <v>26</v>
      </c>
      <c r="N3933" s="29"/>
      <c r="O3933" s="29"/>
      <c r="P3933" s="5" t="str">
        <f>IFERROR(__xludf.DUMMYFUNCTION("TEXTJOIN("" | "",TRUE,IF(OR(D3933="""",E3933="""",I3933="""",J3933="""",H3933=""""),""ফাঁকা ঘর"",""""),IF(AND(C3933&lt;&gt;"""",D3933&lt;&gt;"""",C3933=D3933),""gloss=figurative"",""""),IF(LEN(D3933)&lt;15,""figurative ছোট"",""""),IF(AND(I3933=""Positive"",REGEXMATCH(H3"&amp;"933,""মূর্খ|ভণ্ড|প্রতার|অলস|লোভ|স্বার্থ|অক্ষম|অযোগ্য|বোকা|কৃপণ|হিংস"")),""valence-target অমিল"",""""),IF(COUNTIF($B:$B,B3933)&gt;1,""ডুপ্লিকেট"",""""))"),"")</f>
        <v/>
      </c>
      <c r="Q3933" s="5" t="str">
        <f t="shared" si="1"/>
        <v>২ পরে</v>
      </c>
    </row>
    <row r="3934">
      <c r="A3934" s="4">
        <v>1750.0</v>
      </c>
      <c r="B3934" s="2" t="s">
        <v>15961</v>
      </c>
      <c r="C3934" s="2" t="s">
        <v>15962</v>
      </c>
      <c r="D3934" s="2" t="s">
        <v>15963</v>
      </c>
      <c r="E3934" s="2" t="s">
        <v>15964</v>
      </c>
      <c r="F3934" s="2" t="b">
        <v>1</v>
      </c>
      <c r="G3934" s="2" t="b">
        <v>0</v>
      </c>
      <c r="H3934" s="2" t="s">
        <v>15965</v>
      </c>
      <c r="I3934" s="2" t="s">
        <v>22</v>
      </c>
      <c r="J3934" s="2" t="s">
        <v>447</v>
      </c>
      <c r="K3934" s="2" t="s">
        <v>495</v>
      </c>
      <c r="L3934" s="13" t="s">
        <v>496</v>
      </c>
      <c r="M3934" s="2" t="s">
        <v>26</v>
      </c>
      <c r="N3934" s="29"/>
      <c r="O3934" s="29"/>
      <c r="P3934" s="5" t="str">
        <f>IFERROR(__xludf.DUMMYFUNCTION("TEXTJOIN("" | "",TRUE,IF(OR(D3934="""",E3934="""",I3934="""",J3934="""",H3934=""""),""ফাঁকা ঘর"",""""),IF(AND(C3934&lt;&gt;"""",D3934&lt;&gt;"""",C3934=D3934),""gloss=figurative"",""""),IF(LEN(D3934)&lt;15,""figurative ছোট"",""""),IF(AND(I3934=""Positive"",REGEXMATCH(H3"&amp;"934,""মূর্খ|ভণ্ড|প্রতার|অলস|লোভ|স্বার্থ|অক্ষম|অযোগ্য|বোকা|কৃপণ|হিংস"")),""valence-target অমিল"",""""),IF(COUNTIF($B:$B,B3934)&gt;1,""ডুপ্লিকেট"",""""))"),"")</f>
        <v/>
      </c>
      <c r="Q3934" s="5" t="str">
        <f t="shared" si="1"/>
        <v>২ পরে</v>
      </c>
    </row>
    <row r="3935">
      <c r="A3935" s="4">
        <v>1751.0</v>
      </c>
      <c r="B3935" s="2" t="s">
        <v>15966</v>
      </c>
      <c r="C3935" s="2" t="s">
        <v>15967</v>
      </c>
      <c r="D3935" s="2" t="s">
        <v>15968</v>
      </c>
      <c r="E3935" s="2" t="s">
        <v>15969</v>
      </c>
      <c r="F3935" s="2" t="b">
        <v>1</v>
      </c>
      <c r="G3935" s="2" t="b">
        <v>0</v>
      </c>
      <c r="H3935" s="2" t="s">
        <v>37</v>
      </c>
      <c r="I3935" s="2" t="s">
        <v>22</v>
      </c>
      <c r="J3935" s="2" t="s">
        <v>1656</v>
      </c>
      <c r="K3935" s="2" t="s">
        <v>495</v>
      </c>
      <c r="L3935" s="13" t="s">
        <v>496</v>
      </c>
      <c r="M3935" s="2" t="s">
        <v>26</v>
      </c>
      <c r="N3935" s="29"/>
      <c r="O3935" s="29"/>
      <c r="P3935" s="5" t="str">
        <f>IFERROR(__xludf.DUMMYFUNCTION("TEXTJOIN("" | "",TRUE,IF(OR(D3935="""",E3935="""",I3935="""",J3935="""",H3935=""""),""ফাঁকা ঘর"",""""),IF(AND(C3935&lt;&gt;"""",D3935&lt;&gt;"""",C3935=D3935),""gloss=figurative"",""""),IF(LEN(D3935)&lt;15,""figurative ছোট"",""""),IF(AND(I3935=""Positive"",REGEXMATCH(H3"&amp;"935,""মূর্খ|ভণ্ড|প্রতার|অলস|লোভ|স্বার্থ|অক্ষম|অযোগ্য|বোকা|কৃপণ|হিংস"")),""valence-target অমিল"",""""),IF(COUNTIF($B:$B,B3935)&gt;1,""ডুপ্লিকেট"",""""))"),"")</f>
        <v/>
      </c>
      <c r="Q3935" s="5" t="str">
        <f t="shared" si="1"/>
        <v>২ পরে</v>
      </c>
    </row>
    <row r="3936">
      <c r="A3936" s="4">
        <v>1752.0</v>
      </c>
      <c r="B3936" s="2" t="s">
        <v>15970</v>
      </c>
      <c r="C3936" s="2" t="s">
        <v>15971</v>
      </c>
      <c r="D3936" s="2" t="s">
        <v>15972</v>
      </c>
      <c r="E3936" s="2" t="s">
        <v>15973</v>
      </c>
      <c r="F3936" s="2" t="b">
        <v>1</v>
      </c>
      <c r="G3936" s="2" t="b">
        <v>0</v>
      </c>
      <c r="H3936" s="2" t="s">
        <v>15974</v>
      </c>
      <c r="I3936" s="2" t="s">
        <v>22</v>
      </c>
      <c r="J3936" s="2" t="s">
        <v>15975</v>
      </c>
      <c r="K3936" s="2" t="s">
        <v>495</v>
      </c>
      <c r="L3936" s="13" t="s">
        <v>496</v>
      </c>
      <c r="M3936" s="2" t="s">
        <v>26</v>
      </c>
      <c r="N3936" s="29"/>
      <c r="O3936" s="29"/>
      <c r="P3936" s="5" t="str">
        <f>IFERROR(__xludf.DUMMYFUNCTION("TEXTJOIN("" | "",TRUE,IF(OR(D3936="""",E3936="""",I3936="""",J3936="""",H3936=""""),""ফাঁকা ঘর"",""""),IF(AND(C3936&lt;&gt;"""",D3936&lt;&gt;"""",C3936=D3936),""gloss=figurative"",""""),IF(LEN(D3936)&lt;15,""figurative ছোট"",""""),IF(AND(I3936=""Positive"",REGEXMATCH(H3"&amp;"936,""মূর্খ|ভণ্ড|প্রতার|অলস|লোভ|স্বার্থ|অক্ষম|অযোগ্য|বোকা|কৃপণ|হিংস"")),""valence-target অমিল"",""""),IF(COUNTIF($B:$B,B3936)&gt;1,""ডুপ্লিকেট"",""""))"),"")</f>
        <v/>
      </c>
      <c r="Q3936" s="5" t="str">
        <f t="shared" si="1"/>
        <v>২ পরে</v>
      </c>
    </row>
    <row r="3937">
      <c r="A3937" s="4">
        <v>1753.0</v>
      </c>
      <c r="B3937" s="2" t="s">
        <v>15976</v>
      </c>
      <c r="C3937" s="2" t="s">
        <v>15977</v>
      </c>
      <c r="D3937" s="2" t="s">
        <v>15978</v>
      </c>
      <c r="E3937" s="2" t="s">
        <v>15979</v>
      </c>
      <c r="F3937" s="2" t="b">
        <v>1</v>
      </c>
      <c r="G3937" s="2" t="b">
        <v>0</v>
      </c>
      <c r="H3937" s="2" t="s">
        <v>15980</v>
      </c>
      <c r="I3937" s="2" t="s">
        <v>22</v>
      </c>
      <c r="J3937" s="2" t="s">
        <v>15981</v>
      </c>
      <c r="K3937" s="2" t="s">
        <v>495</v>
      </c>
      <c r="L3937" s="13" t="s">
        <v>496</v>
      </c>
      <c r="M3937" s="2" t="s">
        <v>26</v>
      </c>
      <c r="N3937" s="29"/>
      <c r="O3937" s="29"/>
      <c r="P3937" s="5" t="str">
        <f>IFERROR(__xludf.DUMMYFUNCTION("TEXTJOIN("" | "",TRUE,IF(OR(D3937="""",E3937="""",I3937="""",J3937="""",H3937=""""),""ফাঁকা ঘর"",""""),IF(AND(C3937&lt;&gt;"""",D3937&lt;&gt;"""",C3937=D3937),""gloss=figurative"",""""),IF(LEN(D3937)&lt;15,""figurative ছোট"",""""),IF(AND(I3937=""Positive"",REGEXMATCH(H3"&amp;"937,""মূর্খ|ভণ্ড|প্রতার|অলস|লোভ|স্বার্থ|অক্ষম|অযোগ্য|বোকা|কৃপণ|হিংস"")),""valence-target অমিল"",""""),IF(COUNTIF($B:$B,B3937)&gt;1,""ডুপ্লিকেট"",""""))"),"")</f>
        <v/>
      </c>
      <c r="Q3937" s="5" t="str">
        <f t="shared" si="1"/>
        <v>২ পরে</v>
      </c>
    </row>
    <row r="3938">
      <c r="A3938" s="4">
        <v>1754.0</v>
      </c>
      <c r="B3938" s="2" t="s">
        <v>15982</v>
      </c>
      <c r="C3938" s="2" t="s">
        <v>15983</v>
      </c>
      <c r="D3938" s="2" t="s">
        <v>15984</v>
      </c>
      <c r="E3938" s="2" t="s">
        <v>15985</v>
      </c>
      <c r="F3938" s="2" t="b">
        <v>1</v>
      </c>
      <c r="G3938" s="2" t="b">
        <v>0</v>
      </c>
      <c r="H3938" s="2" t="s">
        <v>15986</v>
      </c>
      <c r="I3938" s="2" t="s">
        <v>22</v>
      </c>
      <c r="J3938" s="2" t="s">
        <v>15987</v>
      </c>
      <c r="K3938" s="2" t="s">
        <v>495</v>
      </c>
      <c r="L3938" s="13" t="s">
        <v>496</v>
      </c>
      <c r="M3938" s="2" t="s">
        <v>26</v>
      </c>
      <c r="N3938" s="29"/>
      <c r="O3938" s="29"/>
      <c r="P3938" s="5" t="str">
        <f>IFERROR(__xludf.DUMMYFUNCTION("TEXTJOIN("" | "",TRUE,IF(OR(D3938="""",E3938="""",I3938="""",J3938="""",H3938=""""),""ফাঁকা ঘর"",""""),IF(AND(C3938&lt;&gt;"""",D3938&lt;&gt;"""",C3938=D3938),""gloss=figurative"",""""),IF(LEN(D3938)&lt;15,""figurative ছোট"",""""),IF(AND(I3938=""Positive"",REGEXMATCH(H3"&amp;"938,""মূর্খ|ভণ্ড|প্রতার|অলস|লোভ|স্বার্থ|অক্ষম|অযোগ্য|বোকা|কৃপণ|হিংস"")),""valence-target অমিল"",""""),IF(COUNTIF($B:$B,B3938)&gt;1,""ডুপ্লিকেট"",""""))"),"")</f>
        <v/>
      </c>
      <c r="Q3938" s="5" t="str">
        <f t="shared" si="1"/>
        <v>২ পরে</v>
      </c>
    </row>
    <row r="3939">
      <c r="A3939" s="4">
        <v>1755.0</v>
      </c>
      <c r="B3939" s="2" t="s">
        <v>15988</v>
      </c>
      <c r="C3939" s="2" t="s">
        <v>15989</v>
      </c>
      <c r="D3939" s="2" t="s">
        <v>15990</v>
      </c>
      <c r="E3939" s="2" t="s">
        <v>15991</v>
      </c>
      <c r="F3939" s="2" t="b">
        <v>1</v>
      </c>
      <c r="G3939" s="2" t="b">
        <v>1</v>
      </c>
      <c r="H3939" s="2" t="s">
        <v>15992</v>
      </c>
      <c r="I3939" s="2" t="s">
        <v>22</v>
      </c>
      <c r="J3939" s="2" t="s">
        <v>15993</v>
      </c>
      <c r="K3939" s="2" t="s">
        <v>495</v>
      </c>
      <c r="L3939" s="13" t="s">
        <v>496</v>
      </c>
      <c r="M3939" s="2" t="s">
        <v>26</v>
      </c>
      <c r="N3939" s="29"/>
      <c r="O3939" s="29"/>
      <c r="P3939" s="5" t="str">
        <f>IFERROR(__xludf.DUMMYFUNCTION("TEXTJOIN("" | "",TRUE,IF(OR(D3939="""",E3939="""",I3939="""",J3939="""",H3939=""""),""ফাঁকা ঘর"",""""),IF(AND(C3939&lt;&gt;"""",D3939&lt;&gt;"""",C3939=D3939),""gloss=figurative"",""""),IF(LEN(D3939)&lt;15,""figurative ছোট"",""""),IF(AND(I3939=""Positive"",REGEXMATCH(H3"&amp;"939,""মূর্খ|ভণ্ড|প্রতার|অলস|লোভ|স্বার্থ|অক্ষম|অযোগ্য|বোকা|কৃপণ|হিংস"")),""valence-target অমিল"",""""),IF(COUNTIF($B:$B,B3939)&gt;1,""ডুপ্লিকেট"",""""))"),"")</f>
        <v/>
      </c>
      <c r="Q3939" s="5" t="str">
        <f t="shared" si="1"/>
        <v>২ পরে</v>
      </c>
    </row>
    <row r="3940">
      <c r="A3940" s="4">
        <v>1756.0</v>
      </c>
      <c r="B3940" s="2" t="s">
        <v>15994</v>
      </c>
      <c r="C3940" s="2" t="s">
        <v>15995</v>
      </c>
      <c r="D3940" s="2" t="s">
        <v>15996</v>
      </c>
      <c r="E3940" s="2" t="s">
        <v>15997</v>
      </c>
      <c r="F3940" s="2" t="b">
        <v>1</v>
      </c>
      <c r="G3940" s="2" t="b">
        <v>0</v>
      </c>
      <c r="H3940" s="2" t="s">
        <v>37</v>
      </c>
      <c r="I3940" s="2" t="s">
        <v>32</v>
      </c>
      <c r="J3940" s="2" t="s">
        <v>15998</v>
      </c>
      <c r="K3940" s="2" t="s">
        <v>495</v>
      </c>
      <c r="L3940" s="13" t="s">
        <v>496</v>
      </c>
      <c r="M3940" s="2" t="s">
        <v>26</v>
      </c>
      <c r="N3940" s="29"/>
      <c r="O3940" s="29"/>
      <c r="P3940" s="5" t="str">
        <f>IFERROR(__xludf.DUMMYFUNCTION("TEXTJOIN("" | "",TRUE,IF(OR(D3940="""",E3940="""",I3940="""",J3940="""",H3940=""""),""ফাঁকা ঘর"",""""),IF(AND(C3940&lt;&gt;"""",D3940&lt;&gt;"""",C3940=D3940),""gloss=figurative"",""""),IF(LEN(D3940)&lt;15,""figurative ছোট"",""""),IF(AND(I3940=""Positive"",REGEXMATCH(H3"&amp;"940,""মূর্খ|ভণ্ড|প্রতার|অলস|লোভ|স্বার্থ|অক্ষম|অযোগ্য|বোকা|কৃপণ|হিংস"")),""valence-target অমিল"",""""),IF(COUNTIF($B:$B,B3940)&gt;1,""ডুপ্লিকেট"",""""))"),"")</f>
        <v/>
      </c>
      <c r="Q3940" s="5" t="str">
        <f t="shared" si="1"/>
        <v>২ পরে</v>
      </c>
    </row>
    <row r="3941">
      <c r="A3941" s="4">
        <v>1757.0</v>
      </c>
      <c r="B3941" s="2" t="s">
        <v>15999</v>
      </c>
      <c r="C3941" s="2" t="s">
        <v>16000</v>
      </c>
      <c r="D3941" s="2" t="s">
        <v>16001</v>
      </c>
      <c r="E3941" s="2" t="s">
        <v>16002</v>
      </c>
      <c r="F3941" s="2" t="b">
        <v>1</v>
      </c>
      <c r="G3941" s="2" t="b">
        <v>0</v>
      </c>
      <c r="H3941" s="2" t="s">
        <v>16003</v>
      </c>
      <c r="I3941" s="2" t="s">
        <v>22</v>
      </c>
      <c r="J3941" s="2" t="s">
        <v>729</v>
      </c>
      <c r="K3941" s="2" t="s">
        <v>495</v>
      </c>
      <c r="L3941" s="13" t="s">
        <v>496</v>
      </c>
      <c r="M3941" s="2" t="s">
        <v>26</v>
      </c>
      <c r="N3941" s="29"/>
      <c r="O3941" s="29"/>
      <c r="P3941" s="5" t="str">
        <f>IFERROR(__xludf.DUMMYFUNCTION("TEXTJOIN("" | "",TRUE,IF(OR(D3941="""",E3941="""",I3941="""",J3941="""",H3941=""""),""ফাঁকা ঘর"",""""),IF(AND(C3941&lt;&gt;"""",D3941&lt;&gt;"""",C3941=D3941),""gloss=figurative"",""""),IF(LEN(D3941)&lt;15,""figurative ছোট"",""""),IF(AND(I3941=""Positive"",REGEXMATCH(H3"&amp;"941,""মূর্খ|ভণ্ড|প্রতার|অলস|লোভ|স্বার্থ|অক্ষম|অযোগ্য|বোকা|কৃপণ|হিংস"")),""valence-target অমিল"",""""),IF(COUNTIF($B:$B,B3941)&gt;1,""ডুপ্লিকেট"",""""))"),"")</f>
        <v/>
      </c>
      <c r="Q3941" s="5" t="str">
        <f t="shared" si="1"/>
        <v>২ পরে</v>
      </c>
    </row>
    <row r="3942">
      <c r="A3942" s="4">
        <v>1758.0</v>
      </c>
      <c r="B3942" s="2" t="s">
        <v>16004</v>
      </c>
      <c r="C3942" s="2" t="s">
        <v>16005</v>
      </c>
      <c r="D3942" s="2" t="s">
        <v>16006</v>
      </c>
      <c r="E3942" s="2" t="s">
        <v>16007</v>
      </c>
      <c r="F3942" s="2" t="b">
        <v>1</v>
      </c>
      <c r="G3942" s="2" t="b">
        <v>0</v>
      </c>
      <c r="H3942" s="2" t="s">
        <v>1188</v>
      </c>
      <c r="I3942" s="2" t="s">
        <v>49</v>
      </c>
      <c r="J3942" s="2" t="s">
        <v>729</v>
      </c>
      <c r="K3942" s="2" t="s">
        <v>495</v>
      </c>
      <c r="L3942" s="13" t="s">
        <v>496</v>
      </c>
      <c r="M3942" s="2" t="s">
        <v>26</v>
      </c>
      <c r="N3942" s="29"/>
      <c r="O3942" s="29"/>
      <c r="P3942" s="5" t="str">
        <f>IFERROR(__xludf.DUMMYFUNCTION("TEXTJOIN("" | "",TRUE,IF(OR(D3942="""",E3942="""",I3942="""",J3942="""",H3942=""""),""ফাঁকা ঘর"",""""),IF(AND(C3942&lt;&gt;"""",D3942&lt;&gt;"""",C3942=D3942),""gloss=figurative"",""""),IF(LEN(D3942)&lt;15,""figurative ছোট"",""""),IF(AND(I3942=""Positive"",REGEXMATCH(H3"&amp;"942,""মূর্খ|ভণ্ড|প্রতার|অলস|লোভ|স্বার্থ|অক্ষম|অযোগ্য|বোকা|কৃপণ|হিংস"")),""valence-target অমিল"",""""),IF(COUNTIF($B:$B,B3942)&gt;1,""ডুপ্লিকেট"",""""))"),"")</f>
        <v/>
      </c>
      <c r="Q3942" s="5" t="str">
        <f t="shared" si="1"/>
        <v>২ পরে</v>
      </c>
    </row>
    <row r="3943">
      <c r="A3943" s="4">
        <v>1759.0</v>
      </c>
      <c r="B3943" s="2" t="s">
        <v>16008</v>
      </c>
      <c r="C3943" s="2" t="s">
        <v>16009</v>
      </c>
      <c r="D3943" s="2" t="s">
        <v>16010</v>
      </c>
      <c r="E3943" s="2" t="s">
        <v>16011</v>
      </c>
      <c r="F3943" s="2" t="b">
        <v>1</v>
      </c>
      <c r="G3943" s="2" t="b">
        <v>0</v>
      </c>
      <c r="H3943" s="2" t="s">
        <v>37</v>
      </c>
      <c r="I3943" s="2" t="s">
        <v>32</v>
      </c>
      <c r="J3943" s="2" t="s">
        <v>729</v>
      </c>
      <c r="K3943" s="2" t="s">
        <v>495</v>
      </c>
      <c r="L3943" s="13" t="s">
        <v>496</v>
      </c>
      <c r="M3943" s="2" t="s">
        <v>26</v>
      </c>
      <c r="N3943" s="29"/>
      <c r="O3943" s="29"/>
      <c r="P3943" s="5" t="str">
        <f>IFERROR(__xludf.DUMMYFUNCTION("TEXTJOIN("" | "",TRUE,IF(OR(D3943="""",E3943="""",I3943="""",J3943="""",H3943=""""),""ফাঁকা ঘর"",""""),IF(AND(C3943&lt;&gt;"""",D3943&lt;&gt;"""",C3943=D3943),""gloss=figurative"",""""),IF(LEN(D3943)&lt;15,""figurative ছোট"",""""),IF(AND(I3943=""Positive"",REGEXMATCH(H3"&amp;"943,""মূর্খ|ভণ্ড|প্রতার|অলস|লোভ|স্বার্থ|অক্ষম|অযোগ্য|বোকা|কৃপণ|হিংস"")),""valence-target অমিল"",""""),IF(COUNTIF($B:$B,B3943)&gt;1,""ডুপ্লিকেট"",""""))"),"")</f>
        <v/>
      </c>
      <c r="Q3943" s="5" t="str">
        <f t="shared" si="1"/>
        <v>২ পরে</v>
      </c>
    </row>
    <row r="3944">
      <c r="A3944" s="4">
        <v>1760.0</v>
      </c>
      <c r="B3944" s="2" t="s">
        <v>16012</v>
      </c>
      <c r="C3944" s="2" t="s">
        <v>16013</v>
      </c>
      <c r="D3944" s="2" t="s">
        <v>16014</v>
      </c>
      <c r="E3944" s="2" t="s">
        <v>16015</v>
      </c>
      <c r="F3944" s="2" t="b">
        <v>1</v>
      </c>
      <c r="G3944" s="2" t="b">
        <v>0</v>
      </c>
      <c r="H3944" s="2" t="s">
        <v>1188</v>
      </c>
      <c r="I3944" s="2" t="s">
        <v>22</v>
      </c>
      <c r="J3944" s="2" t="s">
        <v>16016</v>
      </c>
      <c r="K3944" s="2" t="s">
        <v>495</v>
      </c>
      <c r="L3944" s="13" t="s">
        <v>496</v>
      </c>
      <c r="M3944" s="2" t="s">
        <v>26</v>
      </c>
      <c r="N3944" s="29"/>
      <c r="O3944" s="29"/>
      <c r="P3944" s="5" t="str">
        <f>IFERROR(__xludf.DUMMYFUNCTION("TEXTJOIN("" | "",TRUE,IF(OR(D3944="""",E3944="""",I3944="""",J3944="""",H3944=""""),""ফাঁকা ঘর"",""""),IF(AND(C3944&lt;&gt;"""",D3944&lt;&gt;"""",C3944=D3944),""gloss=figurative"",""""),IF(LEN(D3944)&lt;15,""figurative ছোট"",""""),IF(AND(I3944=""Positive"",REGEXMATCH(H3"&amp;"944,""মূর্খ|ভণ্ড|প্রতার|অলস|লোভ|স্বার্থ|অক্ষম|অযোগ্য|বোকা|কৃপণ|হিংস"")),""valence-target অমিল"",""""),IF(COUNTIF($B:$B,B3944)&gt;1,""ডুপ্লিকেট"",""""))"),"")</f>
        <v/>
      </c>
      <c r="Q3944" s="5" t="str">
        <f t="shared" si="1"/>
        <v>২ পরে</v>
      </c>
    </row>
    <row r="3945">
      <c r="A3945" s="4">
        <v>1761.0</v>
      </c>
      <c r="B3945" s="2" t="s">
        <v>16017</v>
      </c>
      <c r="C3945" s="2" t="s">
        <v>16018</v>
      </c>
      <c r="D3945" s="2" t="s">
        <v>16019</v>
      </c>
      <c r="E3945" s="2" t="s">
        <v>16020</v>
      </c>
      <c r="F3945" s="2" t="b">
        <v>1</v>
      </c>
      <c r="G3945" s="2" t="b">
        <v>0</v>
      </c>
      <c r="H3945" s="2" t="s">
        <v>37</v>
      </c>
      <c r="I3945" s="2" t="s">
        <v>32</v>
      </c>
      <c r="J3945" s="2" t="s">
        <v>447</v>
      </c>
      <c r="K3945" s="2" t="s">
        <v>376</v>
      </c>
      <c r="L3945" s="2" t="s">
        <v>391</v>
      </c>
      <c r="M3945" s="2" t="s">
        <v>26</v>
      </c>
      <c r="N3945" s="29"/>
      <c r="O3945" s="29"/>
      <c r="P3945" s="5" t="str">
        <f>IFERROR(__xludf.DUMMYFUNCTION("TEXTJOIN("" | "",TRUE,IF(OR(D3945="""",E3945="""",I3945="""",J3945="""",H3945=""""),""ফাঁকা ঘর"",""""),IF(AND(C3945&lt;&gt;"""",D3945&lt;&gt;"""",C3945=D3945),""gloss=figurative"",""""),IF(LEN(D3945)&lt;15,""figurative ছোট"",""""),IF(AND(I3945=""Positive"",REGEXMATCH(H3"&amp;"945,""মূর্খ|ভণ্ড|প্রতার|অলস|লোভ|স্বার্থ|অক্ষম|অযোগ্য|বোকা|কৃপণ|হিংস"")),""valence-target অমিল"",""""),IF(COUNTIF($B:$B,B3945)&gt;1,""ডুপ্লিকেট"",""""))"),"")</f>
        <v/>
      </c>
      <c r="Q3945" s="5" t="str">
        <f t="shared" si="1"/>
        <v>২ পরে</v>
      </c>
    </row>
    <row r="3946">
      <c r="A3946" s="4">
        <v>1762.0</v>
      </c>
      <c r="B3946" s="2" t="s">
        <v>16021</v>
      </c>
      <c r="C3946" s="2" t="s">
        <v>16022</v>
      </c>
      <c r="D3946" s="2" t="s">
        <v>16023</v>
      </c>
      <c r="E3946" s="2" t="s">
        <v>16024</v>
      </c>
      <c r="F3946" s="2" t="b">
        <v>1</v>
      </c>
      <c r="G3946" s="2" t="b">
        <v>0</v>
      </c>
      <c r="H3946" s="2" t="s">
        <v>16025</v>
      </c>
      <c r="I3946" s="2" t="s">
        <v>22</v>
      </c>
      <c r="J3946" s="2" t="s">
        <v>729</v>
      </c>
      <c r="K3946" s="2" t="s">
        <v>376</v>
      </c>
      <c r="L3946" s="2" t="s">
        <v>391</v>
      </c>
      <c r="M3946" s="2" t="s">
        <v>26</v>
      </c>
      <c r="N3946" s="29"/>
      <c r="O3946" s="29"/>
      <c r="P3946" s="5" t="str">
        <f>IFERROR(__xludf.DUMMYFUNCTION("TEXTJOIN("" | "",TRUE,IF(OR(D3946="""",E3946="""",I3946="""",J3946="""",H3946=""""),""ফাঁকা ঘর"",""""),IF(AND(C3946&lt;&gt;"""",D3946&lt;&gt;"""",C3946=D3946),""gloss=figurative"",""""),IF(LEN(D3946)&lt;15,""figurative ছোট"",""""),IF(AND(I3946=""Positive"",REGEXMATCH(H3"&amp;"946,""মূর্খ|ভণ্ড|প্রতার|অলস|লোভ|স্বার্থ|অক্ষম|অযোগ্য|বোকা|কৃপণ|হিংস"")),""valence-target অমিল"",""""),IF(COUNTIF($B:$B,B3946)&gt;1,""ডুপ্লিকেট"",""""))"),"")</f>
        <v/>
      </c>
      <c r="Q3946" s="5" t="str">
        <f t="shared" si="1"/>
        <v>২ পরে</v>
      </c>
    </row>
    <row r="3947">
      <c r="A3947" s="4">
        <v>1763.0</v>
      </c>
      <c r="B3947" s="2" t="s">
        <v>16026</v>
      </c>
      <c r="C3947" s="2" t="s">
        <v>16027</v>
      </c>
      <c r="D3947" s="2" t="s">
        <v>16028</v>
      </c>
      <c r="E3947" s="2" t="s">
        <v>16029</v>
      </c>
      <c r="F3947" s="2" t="b">
        <v>1</v>
      </c>
      <c r="G3947" s="2" t="b">
        <v>0</v>
      </c>
      <c r="H3947" s="2" t="s">
        <v>37</v>
      </c>
      <c r="I3947" s="2" t="s">
        <v>32</v>
      </c>
      <c r="J3947" s="2" t="s">
        <v>16030</v>
      </c>
      <c r="K3947" s="2" t="s">
        <v>376</v>
      </c>
      <c r="L3947" s="2" t="s">
        <v>391</v>
      </c>
      <c r="M3947" s="2" t="s">
        <v>26</v>
      </c>
      <c r="N3947" s="29"/>
      <c r="O3947" s="29"/>
      <c r="P3947" s="5" t="str">
        <f>IFERROR(__xludf.DUMMYFUNCTION("TEXTJOIN("" | "",TRUE,IF(OR(D3947="""",E3947="""",I3947="""",J3947="""",H3947=""""),""ফাঁকা ঘর"",""""),IF(AND(C3947&lt;&gt;"""",D3947&lt;&gt;"""",C3947=D3947),""gloss=figurative"",""""),IF(LEN(D3947)&lt;15,""figurative ছোট"",""""),IF(AND(I3947=""Positive"",REGEXMATCH(H3"&amp;"947,""মূর্খ|ভণ্ড|প্রতার|অলস|লোভ|স্বার্থ|অক্ষম|অযোগ্য|বোকা|কৃপণ|হিংস"")),""valence-target অমিল"",""""),IF(COUNTIF($B:$B,B3947)&gt;1,""ডুপ্লিকেট"",""""))"),"")</f>
        <v/>
      </c>
      <c r="Q3947" s="5" t="str">
        <f t="shared" si="1"/>
        <v>২ পরে</v>
      </c>
    </row>
    <row r="3948">
      <c r="A3948" s="4">
        <v>1764.0</v>
      </c>
      <c r="B3948" s="2" t="s">
        <v>16031</v>
      </c>
      <c r="C3948" s="2" t="s">
        <v>16032</v>
      </c>
      <c r="D3948" s="2" t="s">
        <v>16033</v>
      </c>
      <c r="E3948" s="2" t="s">
        <v>16034</v>
      </c>
      <c r="F3948" s="2" t="b">
        <v>1</v>
      </c>
      <c r="G3948" s="2" t="b">
        <v>0</v>
      </c>
      <c r="H3948" s="2" t="s">
        <v>8809</v>
      </c>
      <c r="I3948" s="2" t="s">
        <v>22</v>
      </c>
      <c r="J3948" s="2" t="s">
        <v>16035</v>
      </c>
      <c r="K3948" s="2" t="s">
        <v>376</v>
      </c>
      <c r="L3948" s="2" t="s">
        <v>391</v>
      </c>
      <c r="M3948" s="2" t="s">
        <v>26</v>
      </c>
      <c r="N3948" s="29"/>
      <c r="O3948" s="29"/>
      <c r="P3948" s="5" t="str">
        <f>IFERROR(__xludf.DUMMYFUNCTION("TEXTJOIN("" | "",TRUE,IF(OR(D3948="""",E3948="""",I3948="""",J3948="""",H3948=""""),""ফাঁকা ঘর"",""""),IF(AND(C3948&lt;&gt;"""",D3948&lt;&gt;"""",C3948=D3948),""gloss=figurative"",""""),IF(LEN(D3948)&lt;15,""figurative ছোট"",""""),IF(AND(I3948=""Positive"",REGEXMATCH(H3"&amp;"948,""মূর্খ|ভণ্ড|প্রতার|অলস|লোভ|স্বার্থ|অক্ষম|অযোগ্য|বোকা|কৃপণ|হিংস"")),""valence-target অমিল"",""""),IF(COUNTIF($B:$B,B3948)&gt;1,""ডুপ্লিকেট"",""""))"),"")</f>
        <v/>
      </c>
      <c r="Q3948" s="5" t="str">
        <f t="shared" si="1"/>
        <v>২ পরে</v>
      </c>
    </row>
    <row r="3949">
      <c r="A3949" s="4">
        <v>1765.0</v>
      </c>
      <c r="B3949" s="2" t="s">
        <v>10140</v>
      </c>
      <c r="C3949" s="2" t="s">
        <v>10140</v>
      </c>
      <c r="D3949" s="2" t="s">
        <v>16036</v>
      </c>
      <c r="E3949" s="2" t="s">
        <v>16037</v>
      </c>
      <c r="F3949" s="2" t="b">
        <v>1</v>
      </c>
      <c r="G3949" s="2" t="b">
        <v>0</v>
      </c>
      <c r="H3949" s="2" t="s">
        <v>16003</v>
      </c>
      <c r="I3949" s="2" t="s">
        <v>22</v>
      </c>
      <c r="J3949" s="2" t="s">
        <v>729</v>
      </c>
      <c r="K3949" s="2" t="s">
        <v>376</v>
      </c>
      <c r="L3949" s="2" t="s">
        <v>391</v>
      </c>
      <c r="M3949" s="2" t="s">
        <v>26</v>
      </c>
      <c r="N3949" s="29"/>
      <c r="O3949" s="29"/>
      <c r="P3949" s="5" t="str">
        <f>IFERROR(__xludf.DUMMYFUNCTION("TEXTJOIN("" | "",TRUE,IF(OR(D3949="""",E3949="""",I3949="""",J3949="""",H3949=""""),""ফাঁকা ঘর"",""""),IF(AND(C3949&lt;&gt;"""",D3949&lt;&gt;"""",C3949=D3949),""gloss=figurative"",""""),IF(LEN(D3949)&lt;15,""figurative ছোট"",""""),IF(AND(I3949=""Positive"",REGEXMATCH(H3"&amp;"949,""মূর্খ|ভণ্ড|প্রতার|অলস|লোভ|স্বার্থ|অক্ষম|অযোগ্য|বোকা|কৃপণ|হিংস"")),""valence-target অমিল"",""""),IF(COUNTIF($B:$B,B3949)&gt;1,""ডুপ্লিকেট"",""""))"),"")</f>
        <v/>
      </c>
      <c r="Q3949" s="5" t="str">
        <f t="shared" si="1"/>
        <v>২ পরে</v>
      </c>
    </row>
    <row r="3950">
      <c r="A3950" s="4">
        <v>1766.0</v>
      </c>
      <c r="B3950" s="2" t="s">
        <v>16038</v>
      </c>
      <c r="C3950" s="2" t="s">
        <v>16039</v>
      </c>
      <c r="D3950" s="2" t="s">
        <v>16040</v>
      </c>
      <c r="E3950" s="2" t="s">
        <v>16041</v>
      </c>
      <c r="F3950" s="2" t="b">
        <v>1</v>
      </c>
      <c r="G3950" s="2" t="b">
        <v>0</v>
      </c>
      <c r="H3950" s="2" t="s">
        <v>749</v>
      </c>
      <c r="I3950" s="2" t="s">
        <v>22</v>
      </c>
      <c r="J3950" s="2" t="s">
        <v>16042</v>
      </c>
      <c r="K3950" s="2" t="s">
        <v>376</v>
      </c>
      <c r="L3950" s="2" t="s">
        <v>391</v>
      </c>
      <c r="M3950" s="2" t="s">
        <v>26</v>
      </c>
      <c r="N3950" s="29"/>
      <c r="O3950" s="29"/>
      <c r="P3950" s="5" t="str">
        <f>IFERROR(__xludf.DUMMYFUNCTION("TEXTJOIN("" | "",TRUE,IF(OR(D3950="""",E3950="""",I3950="""",J3950="""",H3950=""""),""ফাঁকা ঘর"",""""),IF(AND(C3950&lt;&gt;"""",D3950&lt;&gt;"""",C3950=D3950),""gloss=figurative"",""""),IF(LEN(D3950)&lt;15,""figurative ছোট"",""""),IF(AND(I3950=""Positive"",REGEXMATCH(H3"&amp;"950,""মূর্খ|ভণ্ড|প্রতার|অলস|লোভ|স্বার্থ|অক্ষম|অযোগ্য|বোকা|কৃপণ|হিংস"")),""valence-target অমিল"",""""),IF(COUNTIF($B:$B,B3950)&gt;1,""ডুপ্লিকেট"",""""))"),"")</f>
        <v/>
      </c>
      <c r="Q3950" s="5" t="str">
        <f t="shared" si="1"/>
        <v>২ পরে</v>
      </c>
    </row>
    <row r="3951">
      <c r="A3951" s="4">
        <v>1767.0</v>
      </c>
      <c r="B3951" s="2" t="s">
        <v>16043</v>
      </c>
      <c r="C3951" s="2" t="s">
        <v>16044</v>
      </c>
      <c r="D3951" s="2" t="s">
        <v>16045</v>
      </c>
      <c r="E3951" s="2" t="s">
        <v>16046</v>
      </c>
      <c r="F3951" s="2" t="b">
        <v>1</v>
      </c>
      <c r="G3951" s="2" t="b">
        <v>0</v>
      </c>
      <c r="H3951" s="2" t="s">
        <v>16047</v>
      </c>
      <c r="I3951" s="2" t="s">
        <v>32</v>
      </c>
      <c r="J3951" s="2" t="s">
        <v>16048</v>
      </c>
      <c r="K3951" s="2" t="s">
        <v>376</v>
      </c>
      <c r="L3951" s="2" t="s">
        <v>391</v>
      </c>
      <c r="M3951" s="2" t="s">
        <v>26</v>
      </c>
      <c r="N3951" s="29"/>
      <c r="O3951" s="29"/>
      <c r="P3951" s="5" t="str">
        <f>IFERROR(__xludf.DUMMYFUNCTION("TEXTJOIN("" | "",TRUE,IF(OR(D3951="""",E3951="""",I3951="""",J3951="""",H3951=""""),""ফাঁকা ঘর"",""""),IF(AND(C3951&lt;&gt;"""",D3951&lt;&gt;"""",C3951=D3951),""gloss=figurative"",""""),IF(LEN(D3951)&lt;15,""figurative ছোট"",""""),IF(AND(I3951=""Positive"",REGEXMATCH(H3"&amp;"951,""মূর্খ|ভণ্ড|প্রতার|অলস|লোভ|স্বার্থ|অক্ষম|অযোগ্য|বোকা|কৃপণ|হিংস"")),""valence-target অমিল"",""""),IF(COUNTIF($B:$B,B3951)&gt;1,""ডুপ্লিকেট"",""""))"),"")</f>
        <v/>
      </c>
      <c r="Q3951" s="5" t="str">
        <f t="shared" si="1"/>
        <v>২ পরে</v>
      </c>
    </row>
    <row r="3952">
      <c r="A3952" s="4">
        <v>1768.0</v>
      </c>
      <c r="B3952" s="2" t="s">
        <v>16049</v>
      </c>
      <c r="C3952" s="2" t="s">
        <v>16050</v>
      </c>
      <c r="D3952" s="2" t="s">
        <v>16051</v>
      </c>
      <c r="E3952" s="2" t="s">
        <v>16052</v>
      </c>
      <c r="F3952" s="2" t="b">
        <v>1</v>
      </c>
      <c r="G3952" s="2" t="b">
        <v>0</v>
      </c>
      <c r="H3952" s="2" t="s">
        <v>5283</v>
      </c>
      <c r="I3952" s="2" t="s">
        <v>22</v>
      </c>
      <c r="J3952" s="2" t="s">
        <v>16053</v>
      </c>
      <c r="K3952" s="2" t="s">
        <v>376</v>
      </c>
      <c r="L3952" s="2" t="s">
        <v>391</v>
      </c>
      <c r="M3952" s="2" t="s">
        <v>26</v>
      </c>
      <c r="N3952" s="29"/>
      <c r="O3952" s="29"/>
      <c r="P3952" s="5" t="str">
        <f>IFERROR(__xludf.DUMMYFUNCTION("TEXTJOIN("" | "",TRUE,IF(OR(D3952="""",E3952="""",I3952="""",J3952="""",H3952=""""),""ফাঁকা ঘর"",""""),IF(AND(C3952&lt;&gt;"""",D3952&lt;&gt;"""",C3952=D3952),""gloss=figurative"",""""),IF(LEN(D3952)&lt;15,""figurative ছোট"",""""),IF(AND(I3952=""Positive"",REGEXMATCH(H3"&amp;"952,""মূর্খ|ভণ্ড|প্রতার|অলস|লোভ|স্বার্থ|অক্ষম|অযোগ্য|বোকা|কৃপণ|হিংস"")),""valence-target অমিল"",""""),IF(COUNTIF($B:$B,B3952)&gt;1,""ডুপ্লিকেট"",""""))"),"")</f>
        <v/>
      </c>
      <c r="Q3952" s="5" t="str">
        <f t="shared" si="1"/>
        <v>২ পরে</v>
      </c>
    </row>
    <row r="3953">
      <c r="A3953" s="4">
        <v>1769.0</v>
      </c>
      <c r="B3953" s="2" t="s">
        <v>16054</v>
      </c>
      <c r="C3953" s="2" t="s">
        <v>16055</v>
      </c>
      <c r="D3953" s="2" t="s">
        <v>16056</v>
      </c>
      <c r="E3953" s="2" t="s">
        <v>16057</v>
      </c>
      <c r="F3953" s="2" t="b">
        <v>1</v>
      </c>
      <c r="G3953" s="2" t="b">
        <v>0</v>
      </c>
      <c r="H3953" s="2" t="s">
        <v>3306</v>
      </c>
      <c r="I3953" s="2" t="s">
        <v>22</v>
      </c>
      <c r="J3953" s="2" t="s">
        <v>16058</v>
      </c>
      <c r="K3953" s="2" t="s">
        <v>376</v>
      </c>
      <c r="L3953" s="2" t="s">
        <v>391</v>
      </c>
      <c r="M3953" s="2" t="s">
        <v>26</v>
      </c>
      <c r="N3953" s="29"/>
      <c r="O3953" s="29"/>
      <c r="P3953" s="5" t="str">
        <f>IFERROR(__xludf.DUMMYFUNCTION("TEXTJOIN("" | "",TRUE,IF(OR(D3953="""",E3953="""",I3953="""",J3953="""",H3953=""""),""ফাঁকা ঘর"",""""),IF(AND(C3953&lt;&gt;"""",D3953&lt;&gt;"""",C3953=D3953),""gloss=figurative"",""""),IF(LEN(D3953)&lt;15,""figurative ছোট"",""""),IF(AND(I3953=""Positive"",REGEXMATCH(H3"&amp;"953,""মূর্খ|ভণ্ড|প্রতার|অলস|লোভ|স্বার্থ|অক্ষম|অযোগ্য|বোকা|কৃপণ|হিংস"")),""valence-target অমিল"",""""),IF(COUNTIF($B:$B,B3953)&gt;1,""ডুপ্লিকেট"",""""))"),"")</f>
        <v/>
      </c>
      <c r="Q3953" s="5" t="str">
        <f t="shared" si="1"/>
        <v>২ পরে</v>
      </c>
    </row>
    <row r="3954">
      <c r="A3954" s="4">
        <v>1770.0</v>
      </c>
      <c r="B3954" s="2" t="s">
        <v>16059</v>
      </c>
      <c r="C3954" s="2" t="s">
        <v>16060</v>
      </c>
      <c r="D3954" s="2" t="s">
        <v>16061</v>
      </c>
      <c r="E3954" s="2" t="s">
        <v>16062</v>
      </c>
      <c r="F3954" s="2" t="b">
        <v>1</v>
      </c>
      <c r="G3954" s="2" t="b">
        <v>0</v>
      </c>
      <c r="H3954" s="2" t="s">
        <v>37</v>
      </c>
      <c r="I3954" s="2" t="s">
        <v>32</v>
      </c>
      <c r="J3954" s="2" t="s">
        <v>729</v>
      </c>
      <c r="K3954" s="2" t="s">
        <v>376</v>
      </c>
      <c r="L3954" s="2" t="s">
        <v>391</v>
      </c>
      <c r="M3954" s="2" t="s">
        <v>26</v>
      </c>
      <c r="N3954" s="29"/>
      <c r="O3954" s="29"/>
      <c r="P3954" s="5" t="str">
        <f>IFERROR(__xludf.DUMMYFUNCTION("TEXTJOIN("" | "",TRUE,IF(OR(D3954="""",E3954="""",I3954="""",J3954="""",H3954=""""),""ফাঁকা ঘর"",""""),IF(AND(C3954&lt;&gt;"""",D3954&lt;&gt;"""",C3954=D3954),""gloss=figurative"",""""),IF(LEN(D3954)&lt;15,""figurative ছোট"",""""),IF(AND(I3954=""Positive"",REGEXMATCH(H3"&amp;"954,""মূর্খ|ভণ্ড|প্রতার|অলস|লোভ|স্বার্থ|অক্ষম|অযোগ্য|বোকা|কৃপণ|হিংস"")),""valence-target অমিল"",""""),IF(COUNTIF($B:$B,B3954)&gt;1,""ডুপ্লিকেট"",""""))"),"")</f>
        <v/>
      </c>
      <c r="Q3954" s="5" t="str">
        <f t="shared" si="1"/>
        <v>২ পরে</v>
      </c>
    </row>
    <row r="3955">
      <c r="A3955" s="4">
        <v>1771.0</v>
      </c>
      <c r="B3955" s="2" t="s">
        <v>16063</v>
      </c>
      <c r="C3955" s="2" t="s">
        <v>16064</v>
      </c>
      <c r="D3955" s="2" t="s">
        <v>16065</v>
      </c>
      <c r="E3955" s="2" t="s">
        <v>16066</v>
      </c>
      <c r="F3955" s="2" t="b">
        <v>1</v>
      </c>
      <c r="G3955" s="2" t="b">
        <v>0</v>
      </c>
      <c r="H3955" s="2" t="s">
        <v>16025</v>
      </c>
      <c r="I3955" s="2" t="s">
        <v>22</v>
      </c>
      <c r="J3955" s="2" t="s">
        <v>729</v>
      </c>
      <c r="K3955" s="2" t="s">
        <v>376</v>
      </c>
      <c r="L3955" s="2" t="s">
        <v>391</v>
      </c>
      <c r="M3955" s="2" t="s">
        <v>26</v>
      </c>
      <c r="N3955" s="29"/>
      <c r="O3955" s="29"/>
      <c r="P3955" s="5" t="str">
        <f>IFERROR(__xludf.DUMMYFUNCTION("TEXTJOIN("" | "",TRUE,IF(OR(D3955="""",E3955="""",I3955="""",J3955="""",H3955=""""),""ফাঁকা ঘর"",""""),IF(AND(C3955&lt;&gt;"""",D3955&lt;&gt;"""",C3955=D3955),""gloss=figurative"",""""),IF(LEN(D3955)&lt;15,""figurative ছোট"",""""),IF(AND(I3955=""Positive"",REGEXMATCH(H3"&amp;"955,""মূর্খ|ভণ্ড|প্রতার|অলস|লোভ|স্বার্থ|অক্ষম|অযোগ্য|বোকা|কৃপণ|হিংস"")),""valence-target অমিল"",""""),IF(COUNTIF($B:$B,B3955)&gt;1,""ডুপ্লিকেট"",""""))"),"")</f>
        <v/>
      </c>
      <c r="Q3955" s="5" t="str">
        <f t="shared" si="1"/>
        <v>২ পরে</v>
      </c>
    </row>
    <row r="3956">
      <c r="A3956" s="4">
        <v>1772.0</v>
      </c>
      <c r="B3956" s="2" t="s">
        <v>16067</v>
      </c>
      <c r="C3956" s="2" t="s">
        <v>16068</v>
      </c>
      <c r="D3956" s="2" t="s">
        <v>16069</v>
      </c>
      <c r="E3956" s="2" t="s">
        <v>16070</v>
      </c>
      <c r="F3956" s="2" t="b">
        <v>1</v>
      </c>
      <c r="G3956" s="2" t="b">
        <v>0</v>
      </c>
      <c r="H3956" s="2" t="s">
        <v>14273</v>
      </c>
      <c r="I3956" s="2" t="s">
        <v>22</v>
      </c>
      <c r="J3956" s="2" t="s">
        <v>16071</v>
      </c>
      <c r="K3956" s="2" t="s">
        <v>376</v>
      </c>
      <c r="L3956" s="2" t="s">
        <v>391</v>
      </c>
      <c r="M3956" s="2" t="s">
        <v>26</v>
      </c>
      <c r="N3956" s="29"/>
      <c r="O3956" s="29"/>
      <c r="P3956" s="5" t="str">
        <f>IFERROR(__xludf.DUMMYFUNCTION("TEXTJOIN("" | "",TRUE,IF(OR(D3956="""",E3956="""",I3956="""",J3956="""",H3956=""""),""ফাঁকা ঘর"",""""),IF(AND(C3956&lt;&gt;"""",D3956&lt;&gt;"""",C3956=D3956),""gloss=figurative"",""""),IF(LEN(D3956)&lt;15,""figurative ছোট"",""""),IF(AND(I3956=""Positive"",REGEXMATCH(H3"&amp;"956,""মূর্খ|ভণ্ড|প্রতার|অলস|লোভ|স্বার্থ|অক্ষম|অযোগ্য|বোকা|কৃপণ|হিংস"")),""valence-target অমিল"",""""),IF(COUNTIF($B:$B,B3956)&gt;1,""ডুপ্লিকেট"",""""))"),"")</f>
        <v/>
      </c>
      <c r="Q3956" s="5" t="str">
        <f t="shared" si="1"/>
        <v>২ পরে</v>
      </c>
    </row>
    <row r="3957">
      <c r="A3957" s="4">
        <v>1773.0</v>
      </c>
      <c r="B3957" s="2" t="s">
        <v>16072</v>
      </c>
      <c r="C3957" s="2" t="s">
        <v>16073</v>
      </c>
      <c r="D3957" s="2" t="s">
        <v>16074</v>
      </c>
      <c r="E3957" s="2" t="s">
        <v>16075</v>
      </c>
      <c r="F3957" s="2" t="b">
        <v>1</v>
      </c>
      <c r="G3957" s="2" t="b">
        <v>0</v>
      </c>
      <c r="H3957" s="2" t="s">
        <v>37</v>
      </c>
      <c r="I3957" s="2" t="s">
        <v>22</v>
      </c>
      <c r="J3957" s="2" t="s">
        <v>14872</v>
      </c>
      <c r="K3957" s="2" t="s">
        <v>376</v>
      </c>
      <c r="L3957" s="2" t="s">
        <v>391</v>
      </c>
      <c r="M3957" s="2" t="s">
        <v>26</v>
      </c>
      <c r="N3957" s="29"/>
      <c r="O3957" s="29"/>
      <c r="P3957" s="5" t="str">
        <f>IFERROR(__xludf.DUMMYFUNCTION("TEXTJOIN("" | "",TRUE,IF(OR(D3957="""",E3957="""",I3957="""",J3957="""",H3957=""""),""ফাঁকা ঘর"",""""),IF(AND(C3957&lt;&gt;"""",D3957&lt;&gt;"""",C3957=D3957),""gloss=figurative"",""""),IF(LEN(D3957)&lt;15,""figurative ছোট"",""""),IF(AND(I3957=""Positive"",REGEXMATCH(H3"&amp;"957,""মূর্খ|ভণ্ড|প্রতার|অলস|লোভ|স্বার্থ|অক্ষম|অযোগ্য|বোকা|কৃপণ|হিংস"")),""valence-target অমিল"",""""),IF(COUNTIF($B:$B,B3957)&gt;1,""ডুপ্লিকেট"",""""))"),"")</f>
        <v/>
      </c>
      <c r="Q3957" s="5" t="str">
        <f t="shared" si="1"/>
        <v>২ পরে</v>
      </c>
    </row>
    <row r="3958">
      <c r="A3958" s="4">
        <v>1774.0</v>
      </c>
      <c r="B3958" s="2" t="s">
        <v>16076</v>
      </c>
      <c r="C3958" s="2" t="s">
        <v>16077</v>
      </c>
      <c r="D3958" s="2" t="s">
        <v>16078</v>
      </c>
      <c r="E3958" s="2" t="s">
        <v>16079</v>
      </c>
      <c r="F3958" s="2" t="b">
        <v>1</v>
      </c>
      <c r="G3958" s="2" t="b">
        <v>0</v>
      </c>
      <c r="H3958" s="2" t="s">
        <v>37</v>
      </c>
      <c r="I3958" s="2" t="s">
        <v>32</v>
      </c>
      <c r="J3958" s="2" t="s">
        <v>2732</v>
      </c>
      <c r="K3958" s="2" t="s">
        <v>376</v>
      </c>
      <c r="L3958" s="2" t="s">
        <v>391</v>
      </c>
      <c r="M3958" s="2" t="s">
        <v>26</v>
      </c>
      <c r="N3958" s="29"/>
      <c r="O3958" s="29"/>
      <c r="P3958" s="5" t="str">
        <f>IFERROR(__xludf.DUMMYFUNCTION("TEXTJOIN("" | "",TRUE,IF(OR(D3958="""",E3958="""",I3958="""",J3958="""",H3958=""""),""ফাঁকা ঘর"",""""),IF(AND(C3958&lt;&gt;"""",D3958&lt;&gt;"""",C3958=D3958),""gloss=figurative"",""""),IF(LEN(D3958)&lt;15,""figurative ছোট"",""""),IF(AND(I3958=""Positive"",REGEXMATCH(H3"&amp;"958,""মূর্খ|ভণ্ড|প্রতার|অলস|লোভ|স্বার্থ|অক্ষম|অযোগ্য|বোকা|কৃপণ|হিংস"")),""valence-target অমিল"",""""),IF(COUNTIF($B:$B,B3958)&gt;1,""ডুপ্লিকেট"",""""))"),"")</f>
        <v/>
      </c>
      <c r="Q3958" s="5" t="str">
        <f t="shared" si="1"/>
        <v>২ পরে</v>
      </c>
    </row>
    <row r="3959">
      <c r="A3959" s="4">
        <v>1775.0</v>
      </c>
      <c r="B3959" s="2" t="s">
        <v>16080</v>
      </c>
      <c r="C3959" s="2" t="s">
        <v>16081</v>
      </c>
      <c r="D3959" s="2" t="s">
        <v>16082</v>
      </c>
      <c r="E3959" s="2" t="s">
        <v>16083</v>
      </c>
      <c r="F3959" s="2" t="b">
        <v>1</v>
      </c>
      <c r="G3959" s="2" t="b">
        <v>0</v>
      </c>
      <c r="H3959" s="2" t="s">
        <v>521</v>
      </c>
      <c r="I3959" s="2" t="s">
        <v>22</v>
      </c>
      <c r="J3959" s="2" t="s">
        <v>300</v>
      </c>
      <c r="K3959" s="2" t="s">
        <v>376</v>
      </c>
      <c r="L3959" s="2" t="s">
        <v>391</v>
      </c>
      <c r="M3959" s="2" t="s">
        <v>26</v>
      </c>
      <c r="N3959" s="29"/>
      <c r="O3959" s="29"/>
      <c r="P3959" s="5" t="str">
        <f>IFERROR(__xludf.DUMMYFUNCTION("TEXTJOIN("" | "",TRUE,IF(OR(D3959="""",E3959="""",I3959="""",J3959="""",H3959=""""),""ফাঁকা ঘর"",""""),IF(AND(C3959&lt;&gt;"""",D3959&lt;&gt;"""",C3959=D3959),""gloss=figurative"",""""),IF(LEN(D3959)&lt;15,""figurative ছোট"",""""),IF(AND(I3959=""Positive"",REGEXMATCH(H3"&amp;"959,""মূর্খ|ভণ্ড|প্রতার|অলস|লোভ|স্বার্থ|অক্ষম|অযোগ্য|বোকা|কৃপণ|হিংস"")),""valence-target অমিল"",""""),IF(COUNTIF($B:$B,B3959)&gt;1,""ডুপ্লিকেট"",""""))"),"")</f>
        <v/>
      </c>
      <c r="Q3959" s="5" t="str">
        <f t="shared" si="1"/>
        <v>২ পরে</v>
      </c>
    </row>
    <row r="3960">
      <c r="A3960" s="4">
        <v>1776.0</v>
      </c>
      <c r="B3960" s="2" t="s">
        <v>16084</v>
      </c>
      <c r="C3960" s="2" t="s">
        <v>16085</v>
      </c>
      <c r="D3960" s="2" t="s">
        <v>16086</v>
      </c>
      <c r="E3960" s="2" t="s">
        <v>16087</v>
      </c>
      <c r="F3960" s="2" t="b">
        <v>1</v>
      </c>
      <c r="G3960" s="2" t="b">
        <v>0</v>
      </c>
      <c r="H3960" s="2" t="s">
        <v>16088</v>
      </c>
      <c r="I3960" s="2" t="s">
        <v>22</v>
      </c>
      <c r="J3960" s="2" t="s">
        <v>16089</v>
      </c>
      <c r="K3960" s="2" t="s">
        <v>495</v>
      </c>
      <c r="L3960" s="13" t="s">
        <v>496</v>
      </c>
      <c r="M3960" s="2" t="s">
        <v>26</v>
      </c>
      <c r="N3960" s="29"/>
      <c r="O3960" s="29"/>
      <c r="P3960" s="5" t="str">
        <f>IFERROR(__xludf.DUMMYFUNCTION("TEXTJOIN("" | "",TRUE,IF(OR(D3960="""",E3960="""",I3960="""",J3960="""",H3960=""""),""ফাঁকা ঘর"",""""),IF(AND(C3960&lt;&gt;"""",D3960&lt;&gt;"""",C3960=D3960),""gloss=figurative"",""""),IF(LEN(D3960)&lt;15,""figurative ছোট"",""""),IF(AND(I3960=""Positive"",REGEXMATCH(H3"&amp;"960,""মূর্খ|ভণ্ড|প্রতার|অলস|লোভ|স্বার্থ|অক্ষম|অযোগ্য|বোকা|কৃপণ|হিংস"")),""valence-target অমিল"",""""),IF(COUNTIF($B:$B,B3960)&gt;1,""ডুপ্লিকেট"",""""))"),"")</f>
        <v/>
      </c>
      <c r="Q3960" s="5" t="str">
        <f t="shared" si="1"/>
        <v>২ পরে</v>
      </c>
    </row>
    <row r="3961">
      <c r="A3961" s="4">
        <v>1777.0</v>
      </c>
      <c r="B3961" s="2" t="s">
        <v>16090</v>
      </c>
      <c r="C3961" s="2" t="s">
        <v>16090</v>
      </c>
      <c r="D3961" s="2" t="s">
        <v>16091</v>
      </c>
      <c r="E3961" s="2" t="s">
        <v>16092</v>
      </c>
      <c r="F3961" s="2" t="b">
        <v>1</v>
      </c>
      <c r="G3961" s="2" t="b">
        <v>0</v>
      </c>
      <c r="H3961" s="2" t="s">
        <v>1284</v>
      </c>
      <c r="I3961" s="2" t="s">
        <v>22</v>
      </c>
      <c r="J3961" s="2" t="s">
        <v>1471</v>
      </c>
      <c r="K3961" s="2" t="s">
        <v>495</v>
      </c>
      <c r="L3961" s="13" t="s">
        <v>496</v>
      </c>
      <c r="M3961" s="2" t="s">
        <v>26</v>
      </c>
      <c r="N3961" s="29"/>
      <c r="O3961" s="29"/>
      <c r="P3961" s="5" t="str">
        <f>IFERROR(__xludf.DUMMYFUNCTION("TEXTJOIN("" | "",TRUE,IF(OR(D3961="""",E3961="""",I3961="""",J3961="""",H3961=""""),""ফাঁকা ঘর"",""""),IF(AND(C3961&lt;&gt;"""",D3961&lt;&gt;"""",C3961=D3961),""gloss=figurative"",""""),IF(LEN(D3961)&lt;15,""figurative ছোট"",""""),IF(AND(I3961=""Positive"",REGEXMATCH(H3"&amp;"961,""মূর্খ|ভণ্ড|প্রতার|অলস|লোভ|স্বার্থ|অক্ষম|অযোগ্য|বোকা|কৃপণ|হিংস"")),""valence-target অমিল"",""""),IF(COUNTIF($B:$B,B3961)&gt;1,""ডুপ্লিকেট"",""""))"),"")</f>
        <v/>
      </c>
      <c r="Q3961" s="5" t="str">
        <f t="shared" si="1"/>
        <v>২ পরে</v>
      </c>
    </row>
    <row r="3962">
      <c r="A3962" s="4">
        <v>1778.0</v>
      </c>
      <c r="B3962" s="2" t="s">
        <v>16093</v>
      </c>
      <c r="C3962" s="2" t="s">
        <v>16094</v>
      </c>
      <c r="D3962" s="2" t="s">
        <v>16095</v>
      </c>
      <c r="E3962" s="2" t="s">
        <v>16096</v>
      </c>
      <c r="F3962" s="2" t="b">
        <v>1</v>
      </c>
      <c r="G3962" s="2" t="b">
        <v>0</v>
      </c>
      <c r="H3962" s="2" t="s">
        <v>16097</v>
      </c>
      <c r="I3962" s="2" t="s">
        <v>22</v>
      </c>
      <c r="J3962" s="2" t="s">
        <v>1471</v>
      </c>
      <c r="K3962" s="2" t="s">
        <v>495</v>
      </c>
      <c r="L3962" s="13" t="s">
        <v>496</v>
      </c>
      <c r="M3962" s="2" t="s">
        <v>26</v>
      </c>
      <c r="N3962" s="29"/>
      <c r="O3962" s="29"/>
      <c r="P3962" s="5" t="str">
        <f>IFERROR(__xludf.DUMMYFUNCTION("TEXTJOIN("" | "",TRUE,IF(OR(D3962="""",E3962="""",I3962="""",J3962="""",H3962=""""),""ফাঁকা ঘর"",""""),IF(AND(C3962&lt;&gt;"""",D3962&lt;&gt;"""",C3962=D3962),""gloss=figurative"",""""),IF(LEN(D3962)&lt;15,""figurative ছোট"",""""),IF(AND(I3962=""Positive"",REGEXMATCH(H3"&amp;"962,""মূর্খ|ভণ্ড|প্রতার|অলস|লোভ|স্বার্থ|অক্ষম|অযোগ্য|বোকা|কৃপণ|হিংস"")),""valence-target অমিল"",""""),IF(COUNTIF($B:$B,B3962)&gt;1,""ডুপ্লিকেট"",""""))"),"")</f>
        <v/>
      </c>
      <c r="Q3962" s="5" t="str">
        <f t="shared" si="1"/>
        <v>২ পরে</v>
      </c>
    </row>
    <row r="3963">
      <c r="A3963" s="4">
        <v>1779.0</v>
      </c>
      <c r="B3963" s="2" t="s">
        <v>16098</v>
      </c>
      <c r="C3963" s="2" t="s">
        <v>16099</v>
      </c>
      <c r="D3963" s="2" t="s">
        <v>16100</v>
      </c>
      <c r="E3963" s="2" t="s">
        <v>16101</v>
      </c>
      <c r="F3963" s="2" t="b">
        <v>1</v>
      </c>
      <c r="G3963" s="2" t="b">
        <v>0</v>
      </c>
      <c r="H3963" s="2" t="s">
        <v>37</v>
      </c>
      <c r="I3963" s="2" t="s">
        <v>22</v>
      </c>
      <c r="J3963" s="2" t="s">
        <v>548</v>
      </c>
      <c r="K3963" s="2" t="s">
        <v>495</v>
      </c>
      <c r="L3963" s="13" t="s">
        <v>496</v>
      </c>
      <c r="M3963" s="2" t="s">
        <v>26</v>
      </c>
      <c r="N3963" s="29"/>
      <c r="O3963" s="29"/>
      <c r="P3963" s="5" t="str">
        <f>IFERROR(__xludf.DUMMYFUNCTION("TEXTJOIN("" | "",TRUE,IF(OR(D3963="""",E3963="""",I3963="""",J3963="""",H3963=""""),""ফাঁকা ঘর"",""""),IF(AND(C3963&lt;&gt;"""",D3963&lt;&gt;"""",C3963=D3963),""gloss=figurative"",""""),IF(LEN(D3963)&lt;15,""figurative ছোট"",""""),IF(AND(I3963=""Positive"",REGEXMATCH(H3"&amp;"963,""মূর্খ|ভণ্ড|প্রতার|অলস|লোভ|স্বার্থ|অক্ষম|অযোগ্য|বোকা|কৃপণ|হিংস"")),""valence-target অমিল"",""""),IF(COUNTIF($B:$B,B3963)&gt;1,""ডুপ্লিকেট"",""""))"),"")</f>
        <v/>
      </c>
      <c r="Q3963" s="5" t="str">
        <f t="shared" si="1"/>
        <v>২ পরে</v>
      </c>
    </row>
    <row r="3964">
      <c r="A3964" s="4">
        <v>1780.0</v>
      </c>
      <c r="B3964" s="2" t="s">
        <v>16102</v>
      </c>
      <c r="C3964" s="2" t="s">
        <v>16103</v>
      </c>
      <c r="D3964" s="2" t="s">
        <v>16104</v>
      </c>
      <c r="E3964" s="2" t="s">
        <v>16105</v>
      </c>
      <c r="F3964" s="2" t="b">
        <v>1</v>
      </c>
      <c r="G3964" s="2" t="b">
        <v>0</v>
      </c>
      <c r="H3964" s="2" t="s">
        <v>37</v>
      </c>
      <c r="I3964" s="2" t="s">
        <v>32</v>
      </c>
      <c r="J3964" s="2" t="s">
        <v>16106</v>
      </c>
      <c r="K3964" s="2" t="s">
        <v>495</v>
      </c>
      <c r="L3964" s="13" t="s">
        <v>496</v>
      </c>
      <c r="M3964" s="2" t="s">
        <v>26</v>
      </c>
      <c r="N3964" s="29"/>
      <c r="O3964" s="29"/>
      <c r="P3964" s="5" t="str">
        <f>IFERROR(__xludf.DUMMYFUNCTION("TEXTJOIN("" | "",TRUE,IF(OR(D3964="""",E3964="""",I3964="""",J3964="""",H3964=""""),""ফাঁকা ঘর"",""""),IF(AND(C3964&lt;&gt;"""",D3964&lt;&gt;"""",C3964=D3964),""gloss=figurative"",""""),IF(LEN(D3964)&lt;15,""figurative ছোট"",""""),IF(AND(I3964=""Positive"",REGEXMATCH(H3"&amp;"964,""মূর্খ|ভণ্ড|প্রতার|অলস|লোভ|স্বার্থ|অক্ষম|অযোগ্য|বোকা|কৃপণ|হিংস"")),""valence-target অমিল"",""""),IF(COUNTIF($B:$B,B3964)&gt;1,""ডুপ্লিকেট"",""""))"),"")</f>
        <v/>
      </c>
      <c r="Q3964" s="5" t="str">
        <f t="shared" si="1"/>
        <v>২ পরে</v>
      </c>
    </row>
    <row r="3965">
      <c r="A3965" s="4">
        <v>1781.0</v>
      </c>
      <c r="B3965" s="2" t="s">
        <v>16107</v>
      </c>
      <c r="C3965" s="2" t="s">
        <v>16108</v>
      </c>
      <c r="D3965" s="2" t="s">
        <v>16109</v>
      </c>
      <c r="E3965" s="2" t="s">
        <v>16110</v>
      </c>
      <c r="F3965" s="2" t="b">
        <v>1</v>
      </c>
      <c r="G3965" s="2" t="b">
        <v>0</v>
      </c>
      <c r="H3965" s="2" t="s">
        <v>37</v>
      </c>
      <c r="I3965" s="2" t="s">
        <v>32</v>
      </c>
      <c r="J3965" s="2" t="s">
        <v>16111</v>
      </c>
      <c r="K3965" s="2" t="s">
        <v>495</v>
      </c>
      <c r="L3965" s="13" t="s">
        <v>496</v>
      </c>
      <c r="M3965" s="2" t="s">
        <v>26</v>
      </c>
      <c r="N3965" s="29"/>
      <c r="O3965" s="29"/>
      <c r="P3965" s="5" t="str">
        <f>IFERROR(__xludf.DUMMYFUNCTION("TEXTJOIN("" | "",TRUE,IF(OR(D3965="""",E3965="""",I3965="""",J3965="""",H3965=""""),""ফাঁকা ঘর"",""""),IF(AND(C3965&lt;&gt;"""",D3965&lt;&gt;"""",C3965=D3965),""gloss=figurative"",""""),IF(LEN(D3965)&lt;15,""figurative ছোট"",""""),IF(AND(I3965=""Positive"",REGEXMATCH(H3"&amp;"965,""মূর্খ|ভণ্ড|প্রতার|অলস|লোভ|স্বার্থ|অক্ষম|অযোগ্য|বোকা|কৃপণ|হিংস"")),""valence-target অমিল"",""""),IF(COUNTIF($B:$B,B3965)&gt;1,""ডুপ্লিকেট"",""""))"),"")</f>
        <v/>
      </c>
      <c r="Q3965" s="5" t="str">
        <f t="shared" si="1"/>
        <v>২ পরে</v>
      </c>
    </row>
    <row r="3966">
      <c r="A3966" s="4">
        <v>1782.0</v>
      </c>
      <c r="B3966" s="2" t="s">
        <v>16112</v>
      </c>
      <c r="C3966" s="2" t="s">
        <v>16113</v>
      </c>
      <c r="D3966" s="2" t="s">
        <v>16114</v>
      </c>
      <c r="E3966" s="2" t="s">
        <v>16115</v>
      </c>
      <c r="F3966" s="2" t="b">
        <v>1</v>
      </c>
      <c r="G3966" s="2" t="b">
        <v>0</v>
      </c>
      <c r="H3966" s="2" t="s">
        <v>3161</v>
      </c>
      <c r="I3966" s="2" t="s">
        <v>22</v>
      </c>
      <c r="J3966" s="2" t="s">
        <v>601</v>
      </c>
      <c r="K3966" s="2" t="s">
        <v>495</v>
      </c>
      <c r="L3966" s="13" t="s">
        <v>496</v>
      </c>
      <c r="M3966" s="2" t="s">
        <v>26</v>
      </c>
      <c r="N3966" s="29"/>
      <c r="O3966" s="29"/>
      <c r="P3966" s="5" t="str">
        <f>IFERROR(__xludf.DUMMYFUNCTION("TEXTJOIN("" | "",TRUE,IF(OR(D3966="""",E3966="""",I3966="""",J3966="""",H3966=""""),""ফাঁকা ঘর"",""""),IF(AND(C3966&lt;&gt;"""",D3966&lt;&gt;"""",C3966=D3966),""gloss=figurative"",""""),IF(LEN(D3966)&lt;15,""figurative ছোট"",""""),IF(AND(I3966=""Positive"",REGEXMATCH(H3"&amp;"966,""মূর্খ|ভণ্ড|প্রতার|অলস|লোভ|স্বার্থ|অক্ষম|অযোগ্য|বোকা|কৃপণ|হিংস"")),""valence-target অমিল"",""""),IF(COUNTIF($B:$B,B3966)&gt;1,""ডুপ্লিকেট"",""""))"),"")</f>
        <v/>
      </c>
      <c r="Q3966" s="5" t="str">
        <f t="shared" si="1"/>
        <v>২ পরে</v>
      </c>
    </row>
    <row r="3967">
      <c r="A3967" s="4">
        <v>1783.0</v>
      </c>
      <c r="B3967" s="2" t="s">
        <v>16116</v>
      </c>
      <c r="C3967" s="2" t="s">
        <v>16117</v>
      </c>
      <c r="D3967" s="2" t="s">
        <v>16118</v>
      </c>
      <c r="E3967" s="2" t="s">
        <v>16119</v>
      </c>
      <c r="F3967" s="2" t="b">
        <v>1</v>
      </c>
      <c r="G3967" s="2" t="b">
        <v>0</v>
      </c>
      <c r="H3967" s="2" t="s">
        <v>3161</v>
      </c>
      <c r="I3967" s="2" t="s">
        <v>22</v>
      </c>
      <c r="J3967" s="2" t="s">
        <v>601</v>
      </c>
      <c r="K3967" s="2" t="s">
        <v>495</v>
      </c>
      <c r="L3967" s="13" t="s">
        <v>496</v>
      </c>
      <c r="M3967" s="2" t="s">
        <v>26</v>
      </c>
      <c r="N3967" s="29"/>
      <c r="O3967" s="29"/>
      <c r="P3967" s="5" t="str">
        <f>IFERROR(__xludf.DUMMYFUNCTION("TEXTJOIN("" | "",TRUE,IF(OR(D3967="""",E3967="""",I3967="""",J3967="""",H3967=""""),""ফাঁকা ঘর"",""""),IF(AND(C3967&lt;&gt;"""",D3967&lt;&gt;"""",C3967=D3967),""gloss=figurative"",""""),IF(LEN(D3967)&lt;15,""figurative ছোট"",""""),IF(AND(I3967=""Positive"",REGEXMATCH(H3"&amp;"967,""মূর্খ|ভণ্ড|প্রতার|অলস|লোভ|স্বার্থ|অক্ষম|অযোগ্য|বোকা|কৃপণ|হিংস"")),""valence-target অমিল"",""""),IF(COUNTIF($B:$B,B3967)&gt;1,""ডুপ্লিকেট"",""""))"),"")</f>
        <v/>
      </c>
      <c r="Q3967" s="5" t="str">
        <f t="shared" si="1"/>
        <v>২ পরে</v>
      </c>
    </row>
    <row r="3968">
      <c r="A3968" s="4">
        <v>1784.0</v>
      </c>
      <c r="B3968" s="2" t="s">
        <v>16120</v>
      </c>
      <c r="C3968" s="2" t="s">
        <v>16121</v>
      </c>
      <c r="D3968" s="2" t="s">
        <v>16122</v>
      </c>
      <c r="E3968" s="2" t="s">
        <v>16123</v>
      </c>
      <c r="F3968" s="2" t="b">
        <v>1</v>
      </c>
      <c r="G3968" s="2" t="b">
        <v>0</v>
      </c>
      <c r="H3968" s="2" t="s">
        <v>3161</v>
      </c>
      <c r="I3968" s="2" t="s">
        <v>22</v>
      </c>
      <c r="J3968" s="2" t="s">
        <v>601</v>
      </c>
      <c r="K3968" s="2" t="s">
        <v>495</v>
      </c>
      <c r="L3968" s="13" t="s">
        <v>496</v>
      </c>
      <c r="M3968" s="2" t="s">
        <v>26</v>
      </c>
      <c r="N3968" s="29"/>
      <c r="O3968" s="29"/>
      <c r="P3968" s="5" t="str">
        <f>IFERROR(__xludf.DUMMYFUNCTION("TEXTJOIN("" | "",TRUE,IF(OR(D3968="""",E3968="""",I3968="""",J3968="""",H3968=""""),""ফাঁকা ঘর"",""""),IF(AND(C3968&lt;&gt;"""",D3968&lt;&gt;"""",C3968=D3968),""gloss=figurative"",""""),IF(LEN(D3968)&lt;15,""figurative ছোট"",""""),IF(AND(I3968=""Positive"",REGEXMATCH(H3"&amp;"968,""মূর্খ|ভণ্ড|প্রতার|অলস|লোভ|স্বার্থ|অক্ষম|অযোগ্য|বোকা|কৃপণ|হিংস"")),""valence-target অমিল"",""""),IF(COUNTIF($B:$B,B3968)&gt;1,""ডুপ্লিকেট"",""""))"),"")</f>
        <v/>
      </c>
      <c r="Q3968" s="5" t="str">
        <f t="shared" si="1"/>
        <v>২ পরে</v>
      </c>
    </row>
    <row r="3969">
      <c r="A3969" s="4">
        <v>1785.0</v>
      </c>
      <c r="B3969" s="2" t="s">
        <v>16124</v>
      </c>
      <c r="C3969" s="2" t="s">
        <v>16125</v>
      </c>
      <c r="D3969" s="2" t="s">
        <v>16126</v>
      </c>
      <c r="E3969" s="2" t="s">
        <v>16127</v>
      </c>
      <c r="F3969" s="2" t="b">
        <v>1</v>
      </c>
      <c r="G3969" s="2" t="b">
        <v>0</v>
      </c>
      <c r="H3969" s="2" t="s">
        <v>3161</v>
      </c>
      <c r="I3969" s="2" t="s">
        <v>22</v>
      </c>
      <c r="J3969" s="2" t="s">
        <v>601</v>
      </c>
      <c r="K3969" s="2" t="s">
        <v>495</v>
      </c>
      <c r="L3969" s="13" t="s">
        <v>496</v>
      </c>
      <c r="M3969" s="2" t="s">
        <v>26</v>
      </c>
      <c r="N3969" s="29"/>
      <c r="O3969" s="29"/>
      <c r="P3969" s="5" t="str">
        <f>IFERROR(__xludf.DUMMYFUNCTION("TEXTJOIN("" | "",TRUE,IF(OR(D3969="""",E3969="""",I3969="""",J3969="""",H3969=""""),""ফাঁকা ঘর"",""""),IF(AND(C3969&lt;&gt;"""",D3969&lt;&gt;"""",C3969=D3969),""gloss=figurative"",""""),IF(LEN(D3969)&lt;15,""figurative ছোট"",""""),IF(AND(I3969=""Positive"",REGEXMATCH(H3"&amp;"969,""মূর্খ|ভণ্ড|প্রতার|অলস|লোভ|স্বার্থ|অক্ষম|অযোগ্য|বোকা|কৃপণ|হিংস"")),""valence-target অমিল"",""""),IF(COUNTIF($B:$B,B3969)&gt;1,""ডুপ্লিকেট"",""""))"),"")</f>
        <v/>
      </c>
      <c r="Q3969" s="5" t="str">
        <f t="shared" si="1"/>
        <v>২ পরে</v>
      </c>
    </row>
    <row r="3970">
      <c r="A3970" s="4">
        <v>1786.0</v>
      </c>
      <c r="B3970" s="2" t="s">
        <v>16128</v>
      </c>
      <c r="C3970" s="2" t="s">
        <v>16129</v>
      </c>
      <c r="D3970" s="2" t="s">
        <v>16130</v>
      </c>
      <c r="E3970" s="2" t="s">
        <v>16131</v>
      </c>
      <c r="F3970" s="2" t="b">
        <v>1</v>
      </c>
      <c r="G3970" s="2" t="b">
        <v>0</v>
      </c>
      <c r="H3970" s="2" t="s">
        <v>16132</v>
      </c>
      <c r="I3970" s="2" t="s">
        <v>22</v>
      </c>
      <c r="J3970" s="2" t="s">
        <v>16133</v>
      </c>
      <c r="K3970" s="2" t="s">
        <v>495</v>
      </c>
      <c r="L3970" s="13" t="s">
        <v>496</v>
      </c>
      <c r="M3970" s="2" t="s">
        <v>26</v>
      </c>
      <c r="N3970" s="29"/>
      <c r="O3970" s="29"/>
      <c r="P3970" s="5" t="str">
        <f>IFERROR(__xludf.DUMMYFUNCTION("TEXTJOIN("" | "",TRUE,IF(OR(D3970="""",E3970="""",I3970="""",J3970="""",H3970=""""),""ফাঁকা ঘর"",""""),IF(AND(C3970&lt;&gt;"""",D3970&lt;&gt;"""",C3970=D3970),""gloss=figurative"",""""),IF(LEN(D3970)&lt;15,""figurative ছোট"",""""),IF(AND(I3970=""Positive"",REGEXMATCH(H3"&amp;"970,""মূর্খ|ভণ্ড|প্রতার|অলস|লোভ|স্বার্থ|অক্ষম|অযোগ্য|বোকা|কৃপণ|হিংস"")),""valence-target অমিল"",""""),IF(COUNTIF($B:$B,B3970)&gt;1,""ডুপ্লিকেট"",""""))"),"")</f>
        <v/>
      </c>
      <c r="Q3970" s="5" t="str">
        <f t="shared" si="1"/>
        <v>২ পরে</v>
      </c>
    </row>
    <row r="3971">
      <c r="A3971" s="4">
        <v>1787.0</v>
      </c>
      <c r="B3971" s="2" t="s">
        <v>16134</v>
      </c>
      <c r="C3971" s="2" t="s">
        <v>16135</v>
      </c>
      <c r="D3971" s="2" t="s">
        <v>16136</v>
      </c>
      <c r="E3971" s="2" t="s">
        <v>16137</v>
      </c>
      <c r="F3971" s="2" t="b">
        <v>1</v>
      </c>
      <c r="G3971" s="2" t="b">
        <v>0</v>
      </c>
      <c r="H3971" s="2" t="s">
        <v>3161</v>
      </c>
      <c r="I3971" s="2" t="s">
        <v>22</v>
      </c>
      <c r="J3971" s="2" t="s">
        <v>601</v>
      </c>
      <c r="K3971" s="2" t="s">
        <v>495</v>
      </c>
      <c r="L3971" s="13" t="s">
        <v>496</v>
      </c>
      <c r="M3971" s="2" t="s">
        <v>26</v>
      </c>
      <c r="N3971" s="29"/>
      <c r="O3971" s="29"/>
      <c r="P3971" s="5" t="str">
        <f>IFERROR(__xludf.DUMMYFUNCTION("TEXTJOIN("" | "",TRUE,IF(OR(D3971="""",E3971="""",I3971="""",J3971="""",H3971=""""),""ফাঁকা ঘর"",""""),IF(AND(C3971&lt;&gt;"""",D3971&lt;&gt;"""",C3971=D3971),""gloss=figurative"",""""),IF(LEN(D3971)&lt;15,""figurative ছোট"",""""),IF(AND(I3971=""Positive"",REGEXMATCH(H3"&amp;"971,""মূর্খ|ভণ্ড|প্রতার|অলস|লোভ|স্বার্থ|অক্ষম|অযোগ্য|বোকা|কৃপণ|হিংস"")),""valence-target অমিল"",""""),IF(COUNTIF($B:$B,B3971)&gt;1,""ডুপ্লিকেট"",""""))"),"")</f>
        <v/>
      </c>
      <c r="Q3971" s="5" t="str">
        <f t="shared" si="1"/>
        <v>২ পরে</v>
      </c>
    </row>
    <row r="3972">
      <c r="A3972" s="4">
        <v>1788.0</v>
      </c>
      <c r="B3972" s="2" t="s">
        <v>16138</v>
      </c>
      <c r="C3972" s="2" t="s">
        <v>16138</v>
      </c>
      <c r="D3972" s="2" t="s">
        <v>16139</v>
      </c>
      <c r="E3972" s="2" t="s">
        <v>16140</v>
      </c>
      <c r="F3972" s="2" t="b">
        <v>1</v>
      </c>
      <c r="G3972" s="2" t="b">
        <v>0</v>
      </c>
      <c r="H3972" s="2" t="s">
        <v>3161</v>
      </c>
      <c r="I3972" s="2" t="s">
        <v>22</v>
      </c>
      <c r="J3972" s="2" t="s">
        <v>601</v>
      </c>
      <c r="K3972" s="2" t="s">
        <v>495</v>
      </c>
      <c r="L3972" s="13" t="s">
        <v>496</v>
      </c>
      <c r="M3972" s="2" t="s">
        <v>26</v>
      </c>
      <c r="N3972" s="29"/>
      <c r="O3972" s="29"/>
      <c r="P3972" s="5" t="str">
        <f>IFERROR(__xludf.DUMMYFUNCTION("TEXTJOIN("" | "",TRUE,IF(OR(D3972="""",E3972="""",I3972="""",J3972="""",H3972=""""),""ফাঁকা ঘর"",""""),IF(AND(C3972&lt;&gt;"""",D3972&lt;&gt;"""",C3972=D3972),""gloss=figurative"",""""),IF(LEN(D3972)&lt;15,""figurative ছোট"",""""),IF(AND(I3972=""Positive"",REGEXMATCH(H3"&amp;"972,""মূর্খ|ভণ্ড|প্রতার|অলস|লোভ|স্বার্থ|অক্ষম|অযোগ্য|বোকা|কৃপণ|হিংস"")),""valence-target অমিল"",""""),IF(COUNTIF($B:$B,B3972)&gt;1,""ডুপ্লিকেট"",""""))"),"")</f>
        <v/>
      </c>
      <c r="Q3972" s="5" t="str">
        <f t="shared" si="1"/>
        <v>২ পরে</v>
      </c>
    </row>
    <row r="3973">
      <c r="A3973" s="4">
        <v>1789.0</v>
      </c>
      <c r="B3973" s="2" t="s">
        <v>16141</v>
      </c>
      <c r="C3973" s="2" t="s">
        <v>16142</v>
      </c>
      <c r="D3973" s="2" t="s">
        <v>16143</v>
      </c>
      <c r="E3973" s="2" t="s">
        <v>16144</v>
      </c>
      <c r="F3973" s="2" t="b">
        <v>1</v>
      </c>
      <c r="G3973" s="2" t="b">
        <v>0</v>
      </c>
      <c r="H3973" s="2" t="s">
        <v>3161</v>
      </c>
      <c r="I3973" s="2" t="s">
        <v>22</v>
      </c>
      <c r="J3973" s="2" t="s">
        <v>601</v>
      </c>
      <c r="K3973" s="2" t="s">
        <v>495</v>
      </c>
      <c r="L3973" s="13" t="s">
        <v>496</v>
      </c>
      <c r="M3973" s="2" t="s">
        <v>26</v>
      </c>
      <c r="N3973" s="29"/>
      <c r="O3973" s="29"/>
      <c r="P3973" s="5" t="str">
        <f>IFERROR(__xludf.DUMMYFUNCTION("TEXTJOIN("" | "",TRUE,IF(OR(D3973="""",E3973="""",I3973="""",J3973="""",H3973=""""),""ফাঁকা ঘর"",""""),IF(AND(C3973&lt;&gt;"""",D3973&lt;&gt;"""",C3973=D3973),""gloss=figurative"",""""),IF(LEN(D3973)&lt;15,""figurative ছোট"",""""),IF(AND(I3973=""Positive"",REGEXMATCH(H3"&amp;"973,""মূর্খ|ভণ্ড|প্রতার|অলস|লোভ|স্বার্থ|অক্ষম|অযোগ্য|বোকা|কৃপণ|হিংস"")),""valence-target অমিল"",""""),IF(COUNTIF($B:$B,B3973)&gt;1,""ডুপ্লিকেট"",""""))"),"")</f>
        <v/>
      </c>
      <c r="Q3973" s="5" t="str">
        <f t="shared" si="1"/>
        <v>২ পরে</v>
      </c>
    </row>
    <row r="3974">
      <c r="A3974" s="4">
        <v>1790.0</v>
      </c>
      <c r="B3974" s="2" t="s">
        <v>16145</v>
      </c>
      <c r="C3974" s="2" t="s">
        <v>16146</v>
      </c>
      <c r="D3974" s="2" t="s">
        <v>16147</v>
      </c>
      <c r="E3974" s="2" t="s">
        <v>16148</v>
      </c>
      <c r="F3974" s="2" t="b">
        <v>1</v>
      </c>
      <c r="G3974" s="2" t="b">
        <v>0</v>
      </c>
      <c r="H3974" s="2" t="s">
        <v>37</v>
      </c>
      <c r="I3974" s="2" t="s">
        <v>32</v>
      </c>
      <c r="J3974" s="2" t="s">
        <v>3585</v>
      </c>
      <c r="K3974" s="2" t="s">
        <v>495</v>
      </c>
      <c r="L3974" s="13" t="s">
        <v>496</v>
      </c>
      <c r="M3974" s="2" t="s">
        <v>26</v>
      </c>
      <c r="N3974" s="29"/>
      <c r="O3974" s="29"/>
      <c r="P3974" s="5" t="str">
        <f>IFERROR(__xludf.DUMMYFUNCTION("TEXTJOIN("" | "",TRUE,IF(OR(D3974="""",E3974="""",I3974="""",J3974="""",H3974=""""),""ফাঁকা ঘর"",""""),IF(AND(C3974&lt;&gt;"""",D3974&lt;&gt;"""",C3974=D3974),""gloss=figurative"",""""),IF(LEN(D3974)&lt;15,""figurative ছোট"",""""),IF(AND(I3974=""Positive"",REGEXMATCH(H3"&amp;"974,""মূর্খ|ভণ্ড|প্রতার|অলস|লোভ|স্বার্থ|অক্ষম|অযোগ্য|বোকা|কৃপণ|হিংস"")),""valence-target অমিল"",""""),IF(COUNTIF($B:$B,B3974)&gt;1,""ডুপ্লিকেট"",""""))"),"")</f>
        <v/>
      </c>
      <c r="Q3974" s="5" t="str">
        <f t="shared" si="1"/>
        <v>২ পরে</v>
      </c>
    </row>
    <row r="3975">
      <c r="A3975" s="4">
        <v>1791.0</v>
      </c>
      <c r="B3975" s="2" t="s">
        <v>16149</v>
      </c>
      <c r="C3975" s="2" t="s">
        <v>16150</v>
      </c>
      <c r="D3975" s="2" t="s">
        <v>16151</v>
      </c>
      <c r="E3975" s="2" t="s">
        <v>16152</v>
      </c>
      <c r="F3975" s="2" t="b">
        <v>1</v>
      </c>
      <c r="G3975" s="2" t="b">
        <v>0</v>
      </c>
      <c r="H3975" s="2" t="s">
        <v>16047</v>
      </c>
      <c r="I3975" s="2" t="s">
        <v>49</v>
      </c>
      <c r="J3975" s="2" t="s">
        <v>300</v>
      </c>
      <c r="K3975" s="2" t="s">
        <v>495</v>
      </c>
      <c r="L3975" s="13" t="s">
        <v>496</v>
      </c>
      <c r="M3975" s="2" t="s">
        <v>26</v>
      </c>
      <c r="N3975" s="29"/>
      <c r="O3975" s="29"/>
      <c r="P3975" s="5" t="str">
        <f>IFERROR(__xludf.DUMMYFUNCTION("TEXTJOIN("" | "",TRUE,IF(OR(D3975="""",E3975="""",I3975="""",J3975="""",H3975=""""),""ফাঁকা ঘর"",""""),IF(AND(C3975&lt;&gt;"""",D3975&lt;&gt;"""",C3975=D3975),""gloss=figurative"",""""),IF(LEN(D3975)&lt;15,""figurative ছোট"",""""),IF(AND(I3975=""Positive"",REGEXMATCH(H3"&amp;"975,""মূর্খ|ভণ্ড|প্রতার|অলস|লোভ|স্বার্থ|অক্ষম|অযোগ্য|বোকা|কৃপণ|হিংস"")),""valence-target অমিল"",""""),IF(COUNTIF($B:$B,B3975)&gt;1,""ডুপ্লিকেট"",""""))"),"")</f>
        <v/>
      </c>
      <c r="Q3975" s="5" t="str">
        <f t="shared" si="1"/>
        <v>২ পরে</v>
      </c>
    </row>
    <row r="3976">
      <c r="A3976" s="4">
        <v>1792.0</v>
      </c>
      <c r="B3976" s="2" t="s">
        <v>16153</v>
      </c>
      <c r="C3976" s="2" t="s">
        <v>16154</v>
      </c>
      <c r="D3976" s="2" t="s">
        <v>16155</v>
      </c>
      <c r="E3976" s="2" t="s">
        <v>16156</v>
      </c>
      <c r="F3976" s="2" t="b">
        <v>1</v>
      </c>
      <c r="G3976" s="2" t="b">
        <v>0</v>
      </c>
      <c r="H3976" s="2" t="s">
        <v>16157</v>
      </c>
      <c r="I3976" s="2" t="s">
        <v>49</v>
      </c>
      <c r="J3976" s="2" t="s">
        <v>1008</v>
      </c>
      <c r="K3976" s="2" t="s">
        <v>495</v>
      </c>
      <c r="L3976" s="13" t="s">
        <v>496</v>
      </c>
      <c r="M3976" s="2" t="s">
        <v>26</v>
      </c>
      <c r="N3976" s="29"/>
      <c r="O3976" s="29"/>
      <c r="P3976" s="5" t="str">
        <f>IFERROR(__xludf.DUMMYFUNCTION("TEXTJOIN("" | "",TRUE,IF(OR(D3976="""",E3976="""",I3976="""",J3976="""",H3976=""""),""ফাঁকা ঘর"",""""),IF(AND(C3976&lt;&gt;"""",D3976&lt;&gt;"""",C3976=D3976),""gloss=figurative"",""""),IF(LEN(D3976)&lt;15,""figurative ছোট"",""""),IF(AND(I3976=""Positive"",REGEXMATCH(H3"&amp;"976,""মূর্খ|ভণ্ড|প্রতার|অলস|লোভ|স্বার্থ|অক্ষম|অযোগ্য|বোকা|কৃপণ|হিংস"")),""valence-target অমিল"",""""),IF(COUNTIF($B:$B,B3976)&gt;1,""ডুপ্লিকেট"",""""))"),"")</f>
        <v/>
      </c>
      <c r="Q3976" s="5" t="str">
        <f t="shared" si="1"/>
        <v>২ পরে</v>
      </c>
    </row>
    <row r="3977">
      <c r="A3977" s="4">
        <v>1793.0</v>
      </c>
      <c r="B3977" s="2" t="s">
        <v>16158</v>
      </c>
      <c r="C3977" s="2" t="s">
        <v>16159</v>
      </c>
      <c r="D3977" s="2" t="s">
        <v>16160</v>
      </c>
      <c r="E3977" s="2" t="s">
        <v>16161</v>
      </c>
      <c r="F3977" s="2" t="b">
        <v>1</v>
      </c>
      <c r="G3977" s="2" t="b">
        <v>0</v>
      </c>
      <c r="H3977" s="2" t="s">
        <v>16162</v>
      </c>
      <c r="I3977" s="2" t="s">
        <v>49</v>
      </c>
      <c r="J3977" s="2" t="s">
        <v>43</v>
      </c>
      <c r="K3977" s="2" t="s">
        <v>495</v>
      </c>
      <c r="L3977" s="13" t="s">
        <v>496</v>
      </c>
      <c r="M3977" s="2" t="s">
        <v>26</v>
      </c>
      <c r="N3977" s="29"/>
      <c r="O3977" s="29"/>
      <c r="P3977" s="5" t="str">
        <f>IFERROR(__xludf.DUMMYFUNCTION("TEXTJOIN("" | "",TRUE,IF(OR(D3977="""",E3977="""",I3977="""",J3977="""",H3977=""""),""ফাঁকা ঘর"",""""),IF(AND(C3977&lt;&gt;"""",D3977&lt;&gt;"""",C3977=D3977),""gloss=figurative"",""""),IF(LEN(D3977)&lt;15,""figurative ছোট"",""""),IF(AND(I3977=""Positive"",REGEXMATCH(H3"&amp;"977,""মূর্খ|ভণ্ড|প্রতার|অলস|লোভ|স্বার্থ|অক্ষম|অযোগ্য|বোকা|কৃপণ|হিংস"")),""valence-target অমিল"",""""),IF(COUNTIF($B:$B,B3977)&gt;1,""ডুপ্লিকেট"",""""))"),"")</f>
        <v/>
      </c>
      <c r="Q3977" s="5" t="str">
        <f t="shared" si="1"/>
        <v>২ পরে</v>
      </c>
    </row>
    <row r="3978">
      <c r="A3978" s="4">
        <v>1794.0</v>
      </c>
      <c r="B3978" s="2" t="s">
        <v>16163</v>
      </c>
      <c r="C3978" s="2" t="s">
        <v>16164</v>
      </c>
      <c r="D3978" s="2" t="s">
        <v>16165</v>
      </c>
      <c r="E3978" s="2" t="s">
        <v>16166</v>
      </c>
      <c r="F3978" s="2" t="b">
        <v>1</v>
      </c>
      <c r="G3978" s="2" t="b">
        <v>0</v>
      </c>
      <c r="H3978" s="2" t="s">
        <v>521</v>
      </c>
      <c r="I3978" s="2" t="s">
        <v>22</v>
      </c>
      <c r="J3978" s="2" t="s">
        <v>300</v>
      </c>
      <c r="K3978" s="2" t="s">
        <v>495</v>
      </c>
      <c r="L3978" s="13" t="s">
        <v>496</v>
      </c>
      <c r="M3978" s="2" t="s">
        <v>26</v>
      </c>
      <c r="N3978" s="29"/>
      <c r="O3978" s="29"/>
      <c r="P3978" s="5" t="str">
        <f>IFERROR(__xludf.DUMMYFUNCTION("TEXTJOIN("" | "",TRUE,IF(OR(D3978="""",E3978="""",I3978="""",J3978="""",H3978=""""),""ফাঁকা ঘর"",""""),IF(AND(C3978&lt;&gt;"""",D3978&lt;&gt;"""",C3978=D3978),""gloss=figurative"",""""),IF(LEN(D3978)&lt;15,""figurative ছোট"",""""),IF(AND(I3978=""Positive"",REGEXMATCH(H3"&amp;"978,""মূর্খ|ভণ্ড|প্রতার|অলস|লোভ|স্বার্থ|অক্ষম|অযোগ্য|বোকা|কৃপণ|হিংস"")),""valence-target অমিল"",""""),IF(COUNTIF($B:$B,B3978)&gt;1,""ডুপ্লিকেট"",""""))"),"")</f>
        <v/>
      </c>
      <c r="Q3978" s="5" t="str">
        <f t="shared" si="1"/>
        <v>২ পরে</v>
      </c>
    </row>
    <row r="3979">
      <c r="A3979" s="4">
        <v>1795.0</v>
      </c>
      <c r="B3979" s="2" t="s">
        <v>16167</v>
      </c>
      <c r="C3979" s="2" t="s">
        <v>16168</v>
      </c>
      <c r="D3979" s="2" t="s">
        <v>16169</v>
      </c>
      <c r="E3979" s="2" t="s">
        <v>16170</v>
      </c>
      <c r="F3979" s="2" t="b">
        <v>1</v>
      </c>
      <c r="G3979" s="2" t="b">
        <v>0</v>
      </c>
      <c r="H3979" s="2" t="s">
        <v>16171</v>
      </c>
      <c r="I3979" s="2" t="s">
        <v>32</v>
      </c>
      <c r="J3979" s="2" t="s">
        <v>300</v>
      </c>
      <c r="K3979" s="2" t="s">
        <v>495</v>
      </c>
      <c r="L3979" s="13" t="s">
        <v>496</v>
      </c>
      <c r="M3979" s="2" t="s">
        <v>26</v>
      </c>
      <c r="N3979" s="29"/>
      <c r="O3979" s="29"/>
      <c r="P3979" s="5" t="str">
        <f>IFERROR(__xludf.DUMMYFUNCTION("TEXTJOIN("" | "",TRUE,IF(OR(D3979="""",E3979="""",I3979="""",J3979="""",H3979=""""),""ফাঁকা ঘর"",""""),IF(AND(C3979&lt;&gt;"""",D3979&lt;&gt;"""",C3979=D3979),""gloss=figurative"",""""),IF(LEN(D3979)&lt;15,""figurative ছোট"",""""),IF(AND(I3979=""Positive"",REGEXMATCH(H3"&amp;"979,""মূর্খ|ভণ্ড|প্রতার|অলস|লোভ|স্বার্থ|অক্ষম|অযোগ্য|বোকা|কৃপণ|হিংস"")),""valence-target অমিল"",""""),IF(COUNTIF($B:$B,B3979)&gt;1,""ডুপ্লিকেট"",""""))"),"")</f>
        <v/>
      </c>
      <c r="Q3979" s="5" t="str">
        <f t="shared" si="1"/>
        <v>২ পরে</v>
      </c>
    </row>
    <row r="3980">
      <c r="A3980" s="4">
        <v>1796.0</v>
      </c>
      <c r="B3980" s="2" t="s">
        <v>16172</v>
      </c>
      <c r="C3980" s="2" t="s">
        <v>16173</v>
      </c>
      <c r="D3980" s="2" t="s">
        <v>16174</v>
      </c>
      <c r="E3980" s="2" t="s">
        <v>16175</v>
      </c>
      <c r="F3980" s="2" t="b">
        <v>1</v>
      </c>
      <c r="G3980" s="2" t="b">
        <v>0</v>
      </c>
      <c r="H3980" s="2" t="s">
        <v>16176</v>
      </c>
      <c r="I3980" s="2" t="s">
        <v>22</v>
      </c>
      <c r="J3980" s="2" t="s">
        <v>15368</v>
      </c>
      <c r="K3980" s="2" t="s">
        <v>495</v>
      </c>
      <c r="L3980" s="13" t="s">
        <v>496</v>
      </c>
      <c r="M3980" s="2" t="s">
        <v>26</v>
      </c>
      <c r="N3980" s="29"/>
      <c r="O3980" s="29"/>
      <c r="P3980" s="5" t="str">
        <f>IFERROR(__xludf.DUMMYFUNCTION("TEXTJOIN("" | "",TRUE,IF(OR(D3980="""",E3980="""",I3980="""",J3980="""",H3980=""""),""ফাঁকা ঘর"",""""),IF(AND(C3980&lt;&gt;"""",D3980&lt;&gt;"""",C3980=D3980),""gloss=figurative"",""""),IF(LEN(D3980)&lt;15,""figurative ছোট"",""""),IF(AND(I3980=""Positive"",REGEXMATCH(H3"&amp;"980,""মূর্খ|ভণ্ড|প্রতার|অলস|লোভ|স্বার্থ|অক্ষম|অযোগ্য|বোকা|কৃপণ|হিংস"")),""valence-target অমিল"",""""),IF(COUNTIF($B:$B,B3980)&gt;1,""ডুপ্লিকেট"",""""))"),"")</f>
        <v/>
      </c>
      <c r="Q3980" s="5" t="str">
        <f t="shared" si="1"/>
        <v>২ পরে</v>
      </c>
    </row>
    <row r="3981">
      <c r="A3981" s="4">
        <v>1797.0</v>
      </c>
      <c r="B3981" s="2" t="s">
        <v>16177</v>
      </c>
      <c r="C3981" s="2" t="s">
        <v>16173</v>
      </c>
      <c r="D3981" s="2" t="s">
        <v>16178</v>
      </c>
      <c r="E3981" s="2" t="s">
        <v>16179</v>
      </c>
      <c r="F3981" s="2" t="b">
        <v>1</v>
      </c>
      <c r="G3981" s="2" t="b">
        <v>0</v>
      </c>
      <c r="H3981" s="2" t="s">
        <v>16180</v>
      </c>
      <c r="I3981" s="2" t="s">
        <v>22</v>
      </c>
      <c r="J3981" s="2" t="s">
        <v>15368</v>
      </c>
      <c r="K3981" s="2" t="s">
        <v>495</v>
      </c>
      <c r="L3981" s="13" t="s">
        <v>496</v>
      </c>
      <c r="M3981" s="2" t="s">
        <v>26</v>
      </c>
      <c r="N3981" s="29"/>
      <c r="O3981" s="29"/>
      <c r="P3981" s="5" t="str">
        <f>IFERROR(__xludf.DUMMYFUNCTION("TEXTJOIN("" | "",TRUE,IF(OR(D3981="""",E3981="""",I3981="""",J3981="""",H3981=""""),""ফাঁকা ঘর"",""""),IF(AND(C3981&lt;&gt;"""",D3981&lt;&gt;"""",C3981=D3981),""gloss=figurative"",""""),IF(LEN(D3981)&lt;15,""figurative ছোট"",""""),IF(AND(I3981=""Positive"",REGEXMATCH(H3"&amp;"981,""মূর্খ|ভণ্ড|প্রতার|অলস|লোভ|স্বার্থ|অক্ষম|অযোগ্য|বোকা|কৃপণ|হিংস"")),""valence-target অমিল"",""""),IF(COUNTIF($B:$B,B3981)&gt;1,""ডুপ্লিকেট"",""""))"),"")</f>
        <v/>
      </c>
      <c r="Q3981" s="5" t="str">
        <f t="shared" si="1"/>
        <v>২ পরে</v>
      </c>
    </row>
    <row r="3982">
      <c r="A3982" s="4">
        <v>1798.0</v>
      </c>
      <c r="B3982" s="2" t="s">
        <v>16181</v>
      </c>
      <c r="C3982" s="2" t="s">
        <v>16182</v>
      </c>
      <c r="D3982" s="2" t="s">
        <v>16183</v>
      </c>
      <c r="E3982" s="2" t="s">
        <v>16184</v>
      </c>
      <c r="F3982" s="2" t="b">
        <v>1</v>
      </c>
      <c r="G3982" s="2" t="b">
        <v>0</v>
      </c>
      <c r="H3982" s="2" t="s">
        <v>16185</v>
      </c>
      <c r="I3982" s="2" t="s">
        <v>22</v>
      </c>
      <c r="J3982" s="2" t="s">
        <v>300</v>
      </c>
      <c r="K3982" s="2" t="s">
        <v>495</v>
      </c>
      <c r="L3982" s="13" t="s">
        <v>496</v>
      </c>
      <c r="M3982" s="2" t="s">
        <v>26</v>
      </c>
      <c r="N3982" s="29"/>
      <c r="O3982" s="29"/>
      <c r="P3982" s="5" t="str">
        <f>IFERROR(__xludf.DUMMYFUNCTION("TEXTJOIN("" | "",TRUE,IF(OR(D3982="""",E3982="""",I3982="""",J3982="""",H3982=""""),""ফাঁকা ঘর"",""""),IF(AND(C3982&lt;&gt;"""",D3982&lt;&gt;"""",C3982=D3982),""gloss=figurative"",""""),IF(LEN(D3982)&lt;15,""figurative ছোট"",""""),IF(AND(I3982=""Positive"",REGEXMATCH(H3"&amp;"982,""মূর্খ|ভণ্ড|প্রতার|অলস|লোভ|স্বার্থ|অক্ষম|অযোগ্য|বোকা|কৃপণ|হিংস"")),""valence-target অমিল"",""""),IF(COUNTIF($B:$B,B3982)&gt;1,""ডুপ্লিকেট"",""""))"),"")</f>
        <v/>
      </c>
      <c r="Q3982" s="5" t="str">
        <f t="shared" si="1"/>
        <v>২ পরে</v>
      </c>
    </row>
    <row r="3983">
      <c r="A3983" s="4">
        <v>1799.0</v>
      </c>
      <c r="B3983" s="2" t="s">
        <v>16186</v>
      </c>
      <c r="C3983" s="2" t="s">
        <v>16187</v>
      </c>
      <c r="D3983" s="2" t="s">
        <v>16188</v>
      </c>
      <c r="E3983" s="2" t="s">
        <v>16189</v>
      </c>
      <c r="F3983" s="2" t="b">
        <v>1</v>
      </c>
      <c r="G3983" s="2" t="b">
        <v>0</v>
      </c>
      <c r="H3983" s="2" t="s">
        <v>16190</v>
      </c>
      <c r="I3983" s="2" t="s">
        <v>32</v>
      </c>
      <c r="J3983" s="2" t="s">
        <v>300</v>
      </c>
      <c r="K3983" s="2" t="s">
        <v>495</v>
      </c>
      <c r="L3983" s="13" t="s">
        <v>496</v>
      </c>
      <c r="M3983" s="2" t="s">
        <v>26</v>
      </c>
      <c r="N3983" s="29"/>
      <c r="O3983" s="29"/>
      <c r="P3983" s="5" t="str">
        <f>IFERROR(__xludf.DUMMYFUNCTION("TEXTJOIN("" | "",TRUE,IF(OR(D3983="""",E3983="""",I3983="""",J3983="""",H3983=""""),""ফাঁকা ঘর"",""""),IF(AND(C3983&lt;&gt;"""",D3983&lt;&gt;"""",C3983=D3983),""gloss=figurative"",""""),IF(LEN(D3983)&lt;15,""figurative ছোট"",""""),IF(AND(I3983=""Positive"",REGEXMATCH(H3"&amp;"983,""মূর্খ|ভণ্ড|প্রতার|অলস|লোভ|স্বার্থ|অক্ষম|অযোগ্য|বোকা|কৃপণ|হিংস"")),""valence-target অমিল"",""""),IF(COUNTIF($B:$B,B3983)&gt;1,""ডুপ্লিকেট"",""""))"),"")</f>
        <v/>
      </c>
      <c r="Q3983" s="5" t="str">
        <f t="shared" si="1"/>
        <v>২ পরে</v>
      </c>
    </row>
    <row r="3984">
      <c r="A3984" s="4">
        <v>1800.0</v>
      </c>
      <c r="B3984" s="2" t="s">
        <v>16191</v>
      </c>
      <c r="C3984" s="2" t="s">
        <v>16192</v>
      </c>
      <c r="D3984" s="2" t="s">
        <v>16193</v>
      </c>
      <c r="E3984" s="2" t="s">
        <v>16194</v>
      </c>
      <c r="F3984" s="2" t="b">
        <v>1</v>
      </c>
      <c r="G3984" s="2" t="b">
        <v>0</v>
      </c>
      <c r="H3984" s="2" t="s">
        <v>16195</v>
      </c>
      <c r="I3984" s="2" t="s">
        <v>32</v>
      </c>
      <c r="J3984" s="2" t="s">
        <v>814</v>
      </c>
      <c r="K3984" s="2" t="s">
        <v>495</v>
      </c>
      <c r="L3984" s="13" t="s">
        <v>496</v>
      </c>
      <c r="M3984" s="2" t="s">
        <v>26</v>
      </c>
      <c r="N3984" s="29"/>
      <c r="O3984" s="29"/>
      <c r="P3984" s="5" t="str">
        <f>IFERROR(__xludf.DUMMYFUNCTION("TEXTJOIN("" | "",TRUE,IF(OR(D3984="""",E3984="""",I3984="""",J3984="""",H3984=""""),""ফাঁকা ঘর"",""""),IF(AND(C3984&lt;&gt;"""",D3984&lt;&gt;"""",C3984=D3984),""gloss=figurative"",""""),IF(LEN(D3984)&lt;15,""figurative ছোট"",""""),IF(AND(I3984=""Positive"",REGEXMATCH(H3"&amp;"984,""মূর্খ|ভণ্ড|প্রতার|অলস|লোভ|স্বার্থ|অক্ষম|অযোগ্য|বোকা|কৃপণ|হিংস"")),""valence-target অমিল"",""""),IF(COUNTIF($B:$B,B3984)&gt;1,""ডুপ্লিকেট"",""""))"),"")</f>
        <v/>
      </c>
      <c r="Q3984" s="5" t="str">
        <f t="shared" si="1"/>
        <v>২ পরে</v>
      </c>
    </row>
    <row r="3985">
      <c r="A3985" s="4">
        <v>1801.0</v>
      </c>
      <c r="B3985" s="2" t="s">
        <v>16196</v>
      </c>
      <c r="C3985" s="2" t="s">
        <v>16197</v>
      </c>
      <c r="D3985" s="2" t="s">
        <v>16198</v>
      </c>
      <c r="E3985" s="2" t="s">
        <v>16199</v>
      </c>
      <c r="F3985" s="2" t="b">
        <v>1</v>
      </c>
      <c r="G3985" s="2" t="b">
        <v>0</v>
      </c>
      <c r="H3985" s="2" t="s">
        <v>16195</v>
      </c>
      <c r="I3985" s="2" t="s">
        <v>32</v>
      </c>
      <c r="J3985" s="2" t="s">
        <v>814</v>
      </c>
      <c r="K3985" s="2" t="s">
        <v>495</v>
      </c>
      <c r="L3985" s="13" t="s">
        <v>496</v>
      </c>
      <c r="M3985" s="2" t="s">
        <v>26</v>
      </c>
      <c r="N3985" s="29"/>
      <c r="O3985" s="29"/>
      <c r="P3985" s="5" t="str">
        <f>IFERROR(__xludf.DUMMYFUNCTION("TEXTJOIN("" | "",TRUE,IF(OR(D3985="""",E3985="""",I3985="""",J3985="""",H3985=""""),""ফাঁকা ঘর"",""""),IF(AND(C3985&lt;&gt;"""",D3985&lt;&gt;"""",C3985=D3985),""gloss=figurative"",""""),IF(LEN(D3985)&lt;15,""figurative ছোট"",""""),IF(AND(I3985=""Positive"",REGEXMATCH(H3"&amp;"985,""মূর্খ|ভণ্ড|প্রতার|অলস|লোভ|স্বার্থ|অক্ষম|অযোগ্য|বোকা|কৃপণ|হিংস"")),""valence-target অমিল"",""""),IF(COUNTIF($B:$B,B3985)&gt;1,""ডুপ্লিকেট"",""""))"),"")</f>
        <v/>
      </c>
      <c r="Q3985" s="5" t="str">
        <f t="shared" si="1"/>
        <v>২ পরে</v>
      </c>
    </row>
    <row r="3986">
      <c r="A3986" s="4">
        <v>1802.0</v>
      </c>
      <c r="B3986" s="2" t="s">
        <v>16200</v>
      </c>
      <c r="C3986" s="2" t="s">
        <v>16201</v>
      </c>
      <c r="D3986" s="2" t="s">
        <v>16202</v>
      </c>
      <c r="E3986" s="2" t="s">
        <v>16203</v>
      </c>
      <c r="F3986" s="2" t="b">
        <v>1</v>
      </c>
      <c r="G3986" s="2" t="b">
        <v>1</v>
      </c>
      <c r="H3986" s="2" t="s">
        <v>16204</v>
      </c>
      <c r="I3986" s="2" t="s">
        <v>22</v>
      </c>
      <c r="J3986" s="2" t="s">
        <v>16205</v>
      </c>
      <c r="K3986" s="2" t="s">
        <v>495</v>
      </c>
      <c r="L3986" s="13" t="s">
        <v>496</v>
      </c>
      <c r="M3986" s="2" t="s">
        <v>26</v>
      </c>
      <c r="N3986" s="29"/>
      <c r="O3986" s="29"/>
      <c r="P3986" s="5" t="str">
        <f>IFERROR(__xludf.DUMMYFUNCTION("TEXTJOIN("" | "",TRUE,IF(OR(D3986="""",E3986="""",I3986="""",J3986="""",H3986=""""),""ফাঁকা ঘর"",""""),IF(AND(C3986&lt;&gt;"""",D3986&lt;&gt;"""",C3986=D3986),""gloss=figurative"",""""),IF(LEN(D3986)&lt;15,""figurative ছোট"",""""),IF(AND(I3986=""Positive"",REGEXMATCH(H3"&amp;"986,""মূর্খ|ভণ্ড|প্রতার|অলস|লোভ|স্বার্থ|অক্ষম|অযোগ্য|বোকা|কৃপণ|হিংস"")),""valence-target অমিল"",""""),IF(COUNTIF($B:$B,B3986)&gt;1,""ডুপ্লিকেট"",""""))"),"")</f>
        <v/>
      </c>
      <c r="Q3986" s="5" t="str">
        <f t="shared" si="1"/>
        <v>২ পরে</v>
      </c>
    </row>
    <row r="3987">
      <c r="A3987" s="4">
        <v>1803.0</v>
      </c>
      <c r="B3987" s="2" t="s">
        <v>16206</v>
      </c>
      <c r="C3987" s="2" t="s">
        <v>16207</v>
      </c>
      <c r="D3987" s="2" t="s">
        <v>16208</v>
      </c>
      <c r="E3987" s="2" t="s">
        <v>16209</v>
      </c>
      <c r="F3987" s="2" t="b">
        <v>1</v>
      </c>
      <c r="G3987" s="2" t="b">
        <v>0</v>
      </c>
      <c r="H3987" s="2" t="s">
        <v>37</v>
      </c>
      <c r="I3987" s="2" t="s">
        <v>49</v>
      </c>
      <c r="J3987" s="2" t="s">
        <v>708</v>
      </c>
      <c r="K3987" s="2" t="s">
        <v>495</v>
      </c>
      <c r="L3987" s="13" t="s">
        <v>496</v>
      </c>
      <c r="M3987" s="2" t="s">
        <v>26</v>
      </c>
      <c r="N3987" s="29"/>
      <c r="O3987" s="29"/>
      <c r="P3987" s="5" t="str">
        <f>IFERROR(__xludf.DUMMYFUNCTION("TEXTJOIN("" | "",TRUE,IF(OR(D3987="""",E3987="""",I3987="""",J3987="""",H3987=""""),""ফাঁকা ঘর"",""""),IF(AND(C3987&lt;&gt;"""",D3987&lt;&gt;"""",C3987=D3987),""gloss=figurative"",""""),IF(LEN(D3987)&lt;15,""figurative ছোট"",""""),IF(AND(I3987=""Positive"",REGEXMATCH(H3"&amp;"987,""মূর্খ|ভণ্ড|প্রতার|অলস|লোভ|স্বার্থ|অক্ষম|অযোগ্য|বোকা|কৃপণ|হিংস"")),""valence-target অমিল"",""""),IF(COUNTIF($B:$B,B3987)&gt;1,""ডুপ্লিকেট"",""""))"),"")</f>
        <v/>
      </c>
      <c r="Q3987" s="5" t="str">
        <f t="shared" si="1"/>
        <v>২ পরে</v>
      </c>
    </row>
    <row r="3988">
      <c r="A3988" s="4">
        <v>1804.0</v>
      </c>
      <c r="B3988" s="2" t="s">
        <v>16210</v>
      </c>
      <c r="C3988" s="2" t="s">
        <v>16211</v>
      </c>
      <c r="D3988" s="2" t="s">
        <v>16212</v>
      </c>
      <c r="E3988" s="2" t="s">
        <v>16213</v>
      </c>
      <c r="F3988" s="2" t="b">
        <v>1</v>
      </c>
      <c r="G3988" s="2" t="b">
        <v>0</v>
      </c>
      <c r="H3988" s="2" t="s">
        <v>16214</v>
      </c>
      <c r="I3988" s="2" t="s">
        <v>49</v>
      </c>
      <c r="J3988" s="2" t="s">
        <v>208</v>
      </c>
      <c r="K3988" s="2" t="s">
        <v>495</v>
      </c>
      <c r="L3988" s="13" t="s">
        <v>496</v>
      </c>
      <c r="M3988" s="2" t="s">
        <v>26</v>
      </c>
      <c r="N3988" s="29"/>
      <c r="O3988" s="29"/>
      <c r="P3988" s="5" t="str">
        <f>IFERROR(__xludf.DUMMYFUNCTION("TEXTJOIN("" | "",TRUE,IF(OR(D3988="""",E3988="""",I3988="""",J3988="""",H3988=""""),""ফাঁকা ঘর"",""""),IF(AND(C3988&lt;&gt;"""",D3988&lt;&gt;"""",C3988=D3988),""gloss=figurative"",""""),IF(LEN(D3988)&lt;15,""figurative ছোট"",""""),IF(AND(I3988=""Positive"",REGEXMATCH(H3"&amp;"988,""মূর্খ|ভণ্ড|প্রতার|অলস|লোভ|স্বার্থ|অক্ষম|অযোগ্য|বোকা|কৃপণ|হিংস"")),""valence-target অমিল"",""""),IF(COUNTIF($B:$B,B3988)&gt;1,""ডুপ্লিকেট"",""""))"),"")</f>
        <v/>
      </c>
      <c r="Q3988" s="5" t="str">
        <f t="shared" si="1"/>
        <v>২ পরে</v>
      </c>
    </row>
    <row r="3989">
      <c r="A3989" s="4">
        <v>1805.0</v>
      </c>
      <c r="B3989" s="2" t="s">
        <v>16215</v>
      </c>
      <c r="C3989" s="2" t="s">
        <v>16216</v>
      </c>
      <c r="D3989" s="2" t="s">
        <v>16217</v>
      </c>
      <c r="E3989" s="2" t="s">
        <v>16218</v>
      </c>
      <c r="F3989" s="2" t="b">
        <v>1</v>
      </c>
      <c r="G3989" s="2" t="b">
        <v>0</v>
      </c>
      <c r="H3989" s="2" t="s">
        <v>37</v>
      </c>
      <c r="I3989" s="2" t="s">
        <v>32</v>
      </c>
      <c r="J3989" s="2" t="s">
        <v>590</v>
      </c>
      <c r="K3989" s="2" t="s">
        <v>495</v>
      </c>
      <c r="L3989" s="13" t="s">
        <v>496</v>
      </c>
      <c r="M3989" s="2" t="s">
        <v>26</v>
      </c>
      <c r="N3989" s="29"/>
      <c r="O3989" s="29"/>
      <c r="P3989" s="5" t="str">
        <f>IFERROR(__xludf.DUMMYFUNCTION("TEXTJOIN("" | "",TRUE,IF(OR(D3989="""",E3989="""",I3989="""",J3989="""",H3989=""""),""ফাঁকা ঘর"",""""),IF(AND(C3989&lt;&gt;"""",D3989&lt;&gt;"""",C3989=D3989),""gloss=figurative"",""""),IF(LEN(D3989)&lt;15,""figurative ছোট"",""""),IF(AND(I3989=""Positive"",REGEXMATCH(H3"&amp;"989,""মূর্খ|ভণ্ড|প্রতার|অলস|লোভ|স্বার্থ|অক্ষম|অযোগ্য|বোকা|কৃপণ|হিংস"")),""valence-target অমিল"",""""),IF(COUNTIF($B:$B,B3989)&gt;1,""ডুপ্লিকেট"",""""))"),"")</f>
        <v/>
      </c>
      <c r="Q3989" s="5" t="str">
        <f t="shared" si="1"/>
        <v>২ পরে</v>
      </c>
    </row>
    <row r="3990">
      <c r="A3990" s="4">
        <v>1806.0</v>
      </c>
      <c r="B3990" s="2" t="s">
        <v>16219</v>
      </c>
      <c r="C3990" s="2" t="s">
        <v>16220</v>
      </c>
      <c r="D3990" s="2" t="s">
        <v>16221</v>
      </c>
      <c r="E3990" s="2" t="s">
        <v>16222</v>
      </c>
      <c r="F3990" s="2" t="b">
        <v>1</v>
      </c>
      <c r="G3990" s="2" t="b">
        <v>1</v>
      </c>
      <c r="H3990" s="2" t="s">
        <v>16223</v>
      </c>
      <c r="I3990" s="2" t="s">
        <v>22</v>
      </c>
      <c r="J3990" s="2" t="s">
        <v>16224</v>
      </c>
      <c r="K3990" s="2" t="s">
        <v>495</v>
      </c>
      <c r="L3990" s="13" t="s">
        <v>496</v>
      </c>
      <c r="M3990" s="2" t="s">
        <v>26</v>
      </c>
      <c r="N3990" s="29"/>
      <c r="O3990" s="29"/>
      <c r="P3990" s="5" t="str">
        <f>IFERROR(__xludf.DUMMYFUNCTION("TEXTJOIN("" | "",TRUE,IF(OR(D3990="""",E3990="""",I3990="""",J3990="""",H3990=""""),""ফাঁকা ঘর"",""""),IF(AND(C3990&lt;&gt;"""",D3990&lt;&gt;"""",C3990=D3990),""gloss=figurative"",""""),IF(LEN(D3990)&lt;15,""figurative ছোট"",""""),IF(AND(I3990=""Positive"",REGEXMATCH(H3"&amp;"990,""মূর্খ|ভণ্ড|প্রতার|অলস|লোভ|স্বার্থ|অক্ষম|অযোগ্য|বোকা|কৃপণ|হিংস"")),""valence-target অমিল"",""""),IF(COUNTIF($B:$B,B3990)&gt;1,""ডুপ্লিকেট"",""""))"),"")</f>
        <v/>
      </c>
      <c r="Q3990" s="5" t="str">
        <f t="shared" si="1"/>
        <v>২ পরে</v>
      </c>
    </row>
    <row r="3991">
      <c r="A3991" s="4">
        <v>1807.0</v>
      </c>
      <c r="B3991" s="2" t="s">
        <v>16225</v>
      </c>
      <c r="C3991" s="2" t="s">
        <v>16226</v>
      </c>
      <c r="D3991" s="2" t="s">
        <v>16227</v>
      </c>
      <c r="E3991" s="15" t="s">
        <v>16228</v>
      </c>
      <c r="F3991" s="2" t="b">
        <v>1</v>
      </c>
      <c r="G3991" s="2" t="b">
        <v>0</v>
      </c>
      <c r="H3991" s="2" t="s">
        <v>9380</v>
      </c>
      <c r="I3991" s="2" t="s">
        <v>22</v>
      </c>
      <c r="J3991" s="2" t="s">
        <v>16229</v>
      </c>
      <c r="K3991" s="2" t="s">
        <v>495</v>
      </c>
      <c r="L3991" s="13" t="s">
        <v>496</v>
      </c>
      <c r="M3991" s="2" t="s">
        <v>26</v>
      </c>
      <c r="N3991" s="29"/>
      <c r="O3991" s="29"/>
      <c r="P3991" s="5" t="str">
        <f>IFERROR(__xludf.DUMMYFUNCTION("TEXTJOIN("" | "",TRUE,IF(OR(D3991="""",E3991="""",I3991="""",J3991="""",H3991=""""),""ফাঁকা ঘর"",""""),IF(AND(C3991&lt;&gt;"""",D3991&lt;&gt;"""",C3991=D3991),""gloss=figurative"",""""),IF(LEN(D3991)&lt;15,""figurative ছোট"",""""),IF(AND(I3991=""Positive"",REGEXMATCH(H3"&amp;"991,""মূর্খ|ভণ্ড|প্রতার|অলস|লোভ|স্বার্থ|অক্ষম|অযোগ্য|বোকা|কৃপণ|হিংস"")),""valence-target অমিল"",""""),IF(COUNTIF($B:$B,B3991)&gt;1,""ডুপ্লিকেট"",""""))"),"")</f>
        <v/>
      </c>
      <c r="Q3991" s="5" t="str">
        <f t="shared" si="1"/>
        <v>২ পরে</v>
      </c>
    </row>
    <row r="3992">
      <c r="A3992" s="4">
        <v>1808.0</v>
      </c>
      <c r="B3992" s="2" t="s">
        <v>16230</v>
      </c>
      <c r="C3992" s="2" t="s">
        <v>16231</v>
      </c>
      <c r="D3992" s="2" t="s">
        <v>16232</v>
      </c>
      <c r="E3992" s="2" t="s">
        <v>16233</v>
      </c>
      <c r="F3992" s="2" t="b">
        <v>1</v>
      </c>
      <c r="G3992" s="2" t="b">
        <v>1</v>
      </c>
      <c r="H3992" s="2" t="s">
        <v>1211</v>
      </c>
      <c r="I3992" s="2" t="s">
        <v>49</v>
      </c>
      <c r="J3992" s="2" t="s">
        <v>1798</v>
      </c>
      <c r="K3992" s="2" t="s">
        <v>495</v>
      </c>
      <c r="L3992" s="13" t="s">
        <v>496</v>
      </c>
      <c r="M3992" s="2" t="s">
        <v>26</v>
      </c>
      <c r="N3992" s="29"/>
      <c r="O3992" s="29"/>
      <c r="P3992" s="5" t="str">
        <f>IFERROR(__xludf.DUMMYFUNCTION("TEXTJOIN("" | "",TRUE,IF(OR(D3992="""",E3992="""",I3992="""",J3992="""",H3992=""""),""ফাঁকা ঘর"",""""),IF(AND(C3992&lt;&gt;"""",D3992&lt;&gt;"""",C3992=D3992),""gloss=figurative"",""""),IF(LEN(D3992)&lt;15,""figurative ছোট"",""""),IF(AND(I3992=""Positive"",REGEXMATCH(H3"&amp;"992,""মূর্খ|ভণ্ড|প্রতার|অলস|লোভ|স্বার্থ|অক্ষম|অযোগ্য|বোকা|কৃপণ|হিংস"")),""valence-target অমিল"",""""),IF(COUNTIF($B:$B,B3992)&gt;1,""ডুপ্লিকেট"",""""))"),"")</f>
        <v/>
      </c>
      <c r="Q3992" s="5" t="str">
        <f t="shared" si="1"/>
        <v>২ পরে</v>
      </c>
    </row>
    <row r="3993">
      <c r="A3993" s="4">
        <v>1809.0</v>
      </c>
      <c r="B3993" s="2" t="s">
        <v>16234</v>
      </c>
      <c r="C3993" s="2" t="s">
        <v>16235</v>
      </c>
      <c r="D3993" s="2" t="s">
        <v>16236</v>
      </c>
      <c r="E3993" s="2" t="s">
        <v>16237</v>
      </c>
      <c r="F3993" s="2" t="b">
        <v>1</v>
      </c>
      <c r="G3993" s="2" t="b">
        <v>0</v>
      </c>
      <c r="H3993" s="2" t="s">
        <v>37</v>
      </c>
      <c r="I3993" s="2" t="s">
        <v>32</v>
      </c>
      <c r="J3993" s="2" t="s">
        <v>2629</v>
      </c>
      <c r="K3993" s="2" t="s">
        <v>495</v>
      </c>
      <c r="L3993" s="13" t="s">
        <v>496</v>
      </c>
      <c r="M3993" s="2" t="s">
        <v>26</v>
      </c>
      <c r="N3993" s="29"/>
      <c r="O3993" s="29"/>
      <c r="P3993" s="5" t="str">
        <f>IFERROR(__xludf.DUMMYFUNCTION("TEXTJOIN("" | "",TRUE,IF(OR(D3993="""",E3993="""",I3993="""",J3993="""",H3993=""""),""ফাঁকা ঘর"",""""),IF(AND(C3993&lt;&gt;"""",D3993&lt;&gt;"""",C3993=D3993),""gloss=figurative"",""""),IF(LEN(D3993)&lt;15,""figurative ছোট"",""""),IF(AND(I3993=""Positive"",REGEXMATCH(H3"&amp;"993,""মূর্খ|ভণ্ড|প্রতার|অলস|লোভ|স্বার্থ|অক্ষম|অযোগ্য|বোকা|কৃপণ|হিংস"")),""valence-target অমিল"",""""),IF(COUNTIF($B:$B,B3993)&gt;1,""ডুপ্লিকেট"",""""))"),"")</f>
        <v/>
      </c>
      <c r="Q3993" s="5" t="str">
        <f t="shared" si="1"/>
        <v>২ পরে</v>
      </c>
    </row>
    <row r="3994">
      <c r="A3994" s="4">
        <v>1810.0</v>
      </c>
      <c r="B3994" s="2" t="s">
        <v>16238</v>
      </c>
      <c r="C3994" s="2" t="s">
        <v>16239</v>
      </c>
      <c r="D3994" s="2" t="s">
        <v>16240</v>
      </c>
      <c r="E3994" s="2" t="s">
        <v>16241</v>
      </c>
      <c r="F3994" s="2" t="b">
        <v>1</v>
      </c>
      <c r="G3994" s="2" t="b">
        <v>0</v>
      </c>
      <c r="H3994" s="2" t="s">
        <v>14442</v>
      </c>
      <c r="I3994" s="2" t="s">
        <v>49</v>
      </c>
      <c r="J3994" s="2" t="s">
        <v>225</v>
      </c>
      <c r="K3994" s="2" t="s">
        <v>495</v>
      </c>
      <c r="L3994" s="13" t="s">
        <v>496</v>
      </c>
      <c r="M3994" s="2" t="s">
        <v>26</v>
      </c>
      <c r="N3994" s="29"/>
      <c r="O3994" s="29"/>
      <c r="P3994" s="5" t="str">
        <f>IFERROR(__xludf.DUMMYFUNCTION("TEXTJOIN("" | "",TRUE,IF(OR(D3994="""",E3994="""",I3994="""",J3994="""",H3994=""""),""ফাঁকা ঘর"",""""),IF(AND(C3994&lt;&gt;"""",D3994&lt;&gt;"""",C3994=D3994),""gloss=figurative"",""""),IF(LEN(D3994)&lt;15,""figurative ছোট"",""""),IF(AND(I3994=""Positive"",REGEXMATCH(H3"&amp;"994,""মূর্খ|ভণ্ড|প্রতার|অলস|লোভ|স্বার্থ|অক্ষম|অযোগ্য|বোকা|কৃপণ|হিংস"")),""valence-target অমিল"",""""),IF(COUNTIF($B:$B,B3994)&gt;1,""ডুপ্লিকেট"",""""))"),"")</f>
        <v/>
      </c>
      <c r="Q3994" s="5" t="str">
        <f t="shared" si="1"/>
        <v>২ পরে</v>
      </c>
    </row>
    <row r="3995">
      <c r="A3995" s="4">
        <v>1811.0</v>
      </c>
      <c r="B3995" s="2" t="s">
        <v>16242</v>
      </c>
      <c r="C3995" s="2" t="s">
        <v>16243</v>
      </c>
      <c r="D3995" s="2" t="s">
        <v>16244</v>
      </c>
      <c r="E3995" s="2" t="s">
        <v>16245</v>
      </c>
      <c r="F3995" s="2" t="b">
        <v>1</v>
      </c>
      <c r="G3995" s="2" t="b">
        <v>0</v>
      </c>
      <c r="H3995" s="2" t="s">
        <v>37</v>
      </c>
      <c r="I3995" s="2" t="s">
        <v>32</v>
      </c>
      <c r="J3995" s="2" t="s">
        <v>1603</v>
      </c>
      <c r="K3995" s="2" t="s">
        <v>495</v>
      </c>
      <c r="L3995" s="13" t="s">
        <v>496</v>
      </c>
      <c r="M3995" s="2" t="s">
        <v>26</v>
      </c>
      <c r="N3995" s="29"/>
      <c r="O3995" s="29"/>
      <c r="P3995" s="5" t="str">
        <f>IFERROR(__xludf.DUMMYFUNCTION("TEXTJOIN("" | "",TRUE,IF(OR(D3995="""",E3995="""",I3995="""",J3995="""",H3995=""""),""ফাঁকা ঘর"",""""),IF(AND(C3995&lt;&gt;"""",D3995&lt;&gt;"""",C3995=D3995),""gloss=figurative"",""""),IF(LEN(D3995)&lt;15,""figurative ছোট"",""""),IF(AND(I3995=""Positive"",REGEXMATCH(H3"&amp;"995,""মূর্খ|ভণ্ড|প্রতার|অলস|লোভ|স্বার্থ|অক্ষম|অযোগ্য|বোকা|কৃপণ|হিংস"")),""valence-target অমিল"",""""),IF(COUNTIF($B:$B,B3995)&gt;1,""ডুপ্লিকেট"",""""))"),"")</f>
        <v/>
      </c>
      <c r="Q3995" s="5" t="str">
        <f t="shared" si="1"/>
        <v>২ পরে</v>
      </c>
    </row>
    <row r="3996">
      <c r="A3996" s="4">
        <v>1812.0</v>
      </c>
      <c r="B3996" s="2" t="s">
        <v>16246</v>
      </c>
      <c r="C3996" s="2" t="s">
        <v>16247</v>
      </c>
      <c r="D3996" s="2" t="s">
        <v>16248</v>
      </c>
      <c r="E3996" s="2" t="s">
        <v>16249</v>
      </c>
      <c r="F3996" s="2" t="b">
        <v>1</v>
      </c>
      <c r="G3996" s="2" t="b">
        <v>0</v>
      </c>
      <c r="H3996" s="2" t="s">
        <v>16250</v>
      </c>
      <c r="I3996" s="2" t="s">
        <v>22</v>
      </c>
      <c r="J3996" s="2" t="s">
        <v>225</v>
      </c>
      <c r="K3996" s="2" t="s">
        <v>495</v>
      </c>
      <c r="L3996" s="13" t="s">
        <v>496</v>
      </c>
      <c r="M3996" s="2" t="s">
        <v>26</v>
      </c>
      <c r="N3996" s="29"/>
      <c r="O3996" s="29"/>
      <c r="P3996" s="5" t="str">
        <f>IFERROR(__xludf.DUMMYFUNCTION("TEXTJOIN("" | "",TRUE,IF(OR(D3996="""",E3996="""",I3996="""",J3996="""",H3996=""""),""ফাঁকা ঘর"",""""),IF(AND(C3996&lt;&gt;"""",D3996&lt;&gt;"""",C3996=D3996),""gloss=figurative"",""""),IF(LEN(D3996)&lt;15,""figurative ছোট"",""""),IF(AND(I3996=""Positive"",REGEXMATCH(H3"&amp;"996,""মূর্খ|ভণ্ড|প্রতার|অলস|লোভ|স্বার্থ|অক্ষম|অযোগ্য|বোকা|কৃপণ|হিংস"")),""valence-target অমিল"",""""),IF(COUNTIF($B:$B,B3996)&gt;1,""ডুপ্লিকেট"",""""))"),"")</f>
        <v/>
      </c>
      <c r="Q3996" s="5" t="str">
        <f t="shared" si="1"/>
        <v>২ পরে</v>
      </c>
    </row>
    <row r="3997">
      <c r="A3997" s="4">
        <v>1813.0</v>
      </c>
      <c r="B3997" s="2" t="s">
        <v>16251</v>
      </c>
      <c r="C3997" s="2" t="s">
        <v>16252</v>
      </c>
      <c r="D3997" s="2" t="s">
        <v>16253</v>
      </c>
      <c r="E3997" s="2" t="s">
        <v>16254</v>
      </c>
      <c r="F3997" s="2" t="b">
        <v>1</v>
      </c>
      <c r="G3997" s="2" t="b">
        <v>0</v>
      </c>
      <c r="H3997" s="2" t="s">
        <v>16255</v>
      </c>
      <c r="I3997" s="2" t="s">
        <v>22</v>
      </c>
      <c r="J3997" s="2" t="s">
        <v>2140</v>
      </c>
      <c r="K3997" s="2" t="s">
        <v>495</v>
      </c>
      <c r="L3997" s="13" t="s">
        <v>496</v>
      </c>
      <c r="M3997" s="2" t="s">
        <v>26</v>
      </c>
      <c r="N3997" s="29"/>
      <c r="O3997" s="29"/>
      <c r="P3997" s="5" t="str">
        <f>IFERROR(__xludf.DUMMYFUNCTION("TEXTJOIN("" | "",TRUE,IF(OR(D3997="""",E3997="""",I3997="""",J3997="""",H3997=""""),""ফাঁকা ঘর"",""""),IF(AND(C3997&lt;&gt;"""",D3997&lt;&gt;"""",C3997=D3997),""gloss=figurative"",""""),IF(LEN(D3997)&lt;15,""figurative ছোট"",""""),IF(AND(I3997=""Positive"",REGEXMATCH(H3"&amp;"997,""মূর্খ|ভণ্ড|প্রতার|অলস|লোভ|স্বার্থ|অক্ষম|অযোগ্য|বোকা|কৃপণ|হিংস"")),""valence-target অমিল"",""""),IF(COUNTIF($B:$B,B3997)&gt;1,""ডুপ্লিকেট"",""""))"),"")</f>
        <v/>
      </c>
      <c r="Q3997" s="5" t="str">
        <f t="shared" si="1"/>
        <v>২ পরে</v>
      </c>
    </row>
    <row r="3998">
      <c r="A3998" s="4">
        <v>1814.0</v>
      </c>
      <c r="B3998" s="2" t="s">
        <v>16256</v>
      </c>
      <c r="C3998" s="2" t="s">
        <v>16256</v>
      </c>
      <c r="D3998" s="2" t="s">
        <v>16257</v>
      </c>
      <c r="E3998" s="2" t="s">
        <v>16258</v>
      </c>
      <c r="F3998" s="2" t="b">
        <v>1</v>
      </c>
      <c r="G3998" s="2" t="b">
        <v>0</v>
      </c>
      <c r="H3998" s="2" t="s">
        <v>16259</v>
      </c>
      <c r="I3998" s="2" t="s">
        <v>32</v>
      </c>
      <c r="J3998" s="2" t="s">
        <v>2140</v>
      </c>
      <c r="K3998" s="2" t="s">
        <v>495</v>
      </c>
      <c r="L3998" s="13" t="s">
        <v>496</v>
      </c>
      <c r="M3998" s="2" t="s">
        <v>26</v>
      </c>
      <c r="N3998" s="29"/>
      <c r="O3998" s="29"/>
      <c r="P3998" s="5" t="str">
        <f>IFERROR(__xludf.DUMMYFUNCTION("TEXTJOIN("" | "",TRUE,IF(OR(D3998="""",E3998="""",I3998="""",J3998="""",H3998=""""),""ফাঁকা ঘর"",""""),IF(AND(C3998&lt;&gt;"""",D3998&lt;&gt;"""",C3998=D3998),""gloss=figurative"",""""),IF(LEN(D3998)&lt;15,""figurative ছোট"",""""),IF(AND(I3998=""Positive"",REGEXMATCH(H3"&amp;"998,""মূর্খ|ভণ্ড|প্রতার|অলস|লোভ|স্বার্থ|অক্ষম|অযোগ্য|বোকা|কৃপণ|হিংস"")),""valence-target অমিল"",""""),IF(COUNTIF($B:$B,B3998)&gt;1,""ডুপ্লিকেট"",""""))"),"")</f>
        <v/>
      </c>
      <c r="Q3998" s="5" t="str">
        <f t="shared" si="1"/>
        <v>২ পরে</v>
      </c>
    </row>
    <row r="3999">
      <c r="A3999" s="4">
        <v>1815.0</v>
      </c>
      <c r="B3999" s="2" t="s">
        <v>16260</v>
      </c>
      <c r="C3999" s="2" t="s">
        <v>16261</v>
      </c>
      <c r="D3999" s="2" t="s">
        <v>16262</v>
      </c>
      <c r="E3999" s="2" t="s">
        <v>16263</v>
      </c>
      <c r="F3999" s="2" t="b">
        <v>1</v>
      </c>
      <c r="G3999" s="2" t="b">
        <v>1</v>
      </c>
      <c r="H3999" s="2" t="s">
        <v>16264</v>
      </c>
      <c r="I3999" s="2" t="s">
        <v>22</v>
      </c>
      <c r="J3999" s="2" t="s">
        <v>1315</v>
      </c>
      <c r="K3999" s="2" t="s">
        <v>495</v>
      </c>
      <c r="L3999" s="13" t="s">
        <v>496</v>
      </c>
      <c r="M3999" s="2" t="s">
        <v>26</v>
      </c>
      <c r="N3999" s="29"/>
      <c r="O3999" s="29"/>
      <c r="P3999" s="5" t="str">
        <f>IFERROR(__xludf.DUMMYFUNCTION("TEXTJOIN("" | "",TRUE,IF(OR(D3999="""",E3999="""",I3999="""",J3999="""",H3999=""""),""ফাঁকা ঘর"",""""),IF(AND(C3999&lt;&gt;"""",D3999&lt;&gt;"""",C3999=D3999),""gloss=figurative"",""""),IF(LEN(D3999)&lt;15,""figurative ছোট"",""""),IF(AND(I3999=""Positive"",REGEXMATCH(H3"&amp;"999,""মূর্খ|ভণ্ড|প্রতার|অলস|লোভ|স্বার্থ|অক্ষম|অযোগ্য|বোকা|কৃপণ|হিংস"")),""valence-target অমিল"",""""),IF(COUNTIF($B:$B,B3999)&gt;1,""ডুপ্লিকেট"",""""))"),"")</f>
        <v/>
      </c>
      <c r="Q3999" s="5" t="str">
        <f t="shared" si="1"/>
        <v>২ পরে</v>
      </c>
    </row>
    <row r="4000">
      <c r="A4000" s="4">
        <v>1816.0</v>
      </c>
      <c r="B4000" s="2" t="s">
        <v>16265</v>
      </c>
      <c r="C4000" s="2" t="s">
        <v>16266</v>
      </c>
      <c r="D4000" s="2" t="s">
        <v>16267</v>
      </c>
      <c r="E4000" s="2" t="s">
        <v>16268</v>
      </c>
      <c r="F4000" s="2" t="b">
        <v>1</v>
      </c>
      <c r="G4000" s="2" t="b">
        <v>0</v>
      </c>
      <c r="H4000" s="2" t="s">
        <v>37</v>
      </c>
      <c r="I4000" s="2" t="s">
        <v>49</v>
      </c>
      <c r="J4000" s="2" t="s">
        <v>16269</v>
      </c>
      <c r="K4000" s="2" t="s">
        <v>495</v>
      </c>
      <c r="L4000" s="13" t="s">
        <v>496</v>
      </c>
      <c r="M4000" s="2" t="s">
        <v>26</v>
      </c>
      <c r="N4000" s="29"/>
      <c r="O4000" s="29"/>
      <c r="P4000" s="5" t="str">
        <f>IFERROR(__xludf.DUMMYFUNCTION("TEXTJOIN("" | "",TRUE,IF(OR(D4000="""",E4000="""",I4000="""",J4000="""",H4000=""""),""ফাঁকা ঘর"",""""),IF(AND(C4000&lt;&gt;"""",D4000&lt;&gt;"""",C4000=D4000),""gloss=figurative"",""""),IF(LEN(D4000)&lt;15,""figurative ছোট"",""""),IF(AND(I4000=""Positive"",REGEXMATCH(H4"&amp;"000,""মূর্খ|ভণ্ড|প্রতার|অলস|লোভ|স্বার্থ|অক্ষম|অযোগ্য|বোকা|কৃপণ|হিংস"")),""valence-target অমিল"",""""),IF(COUNTIF($B:$B,B4000)&gt;1,""ডুপ্লিকেট"",""""))"),"")</f>
        <v/>
      </c>
      <c r="Q4000" s="5" t="str">
        <f t="shared" si="1"/>
        <v>২ পরে</v>
      </c>
    </row>
    <row r="4001">
      <c r="A4001" s="4">
        <v>1817.0</v>
      </c>
      <c r="B4001" s="2" t="s">
        <v>16270</v>
      </c>
      <c r="C4001" s="2" t="s">
        <v>16271</v>
      </c>
      <c r="D4001" s="2" t="s">
        <v>16272</v>
      </c>
      <c r="E4001" s="2" t="s">
        <v>16273</v>
      </c>
      <c r="F4001" s="2" t="b">
        <v>1</v>
      </c>
      <c r="G4001" s="2" t="b">
        <v>0</v>
      </c>
      <c r="H4001" s="2" t="s">
        <v>37</v>
      </c>
      <c r="I4001" s="2" t="s">
        <v>49</v>
      </c>
      <c r="J4001" s="2" t="s">
        <v>225</v>
      </c>
      <c r="K4001" s="2" t="s">
        <v>495</v>
      </c>
      <c r="L4001" s="13" t="s">
        <v>496</v>
      </c>
      <c r="M4001" s="2" t="s">
        <v>26</v>
      </c>
      <c r="N4001" s="29"/>
      <c r="O4001" s="29"/>
      <c r="P4001" s="5" t="str">
        <f>IFERROR(__xludf.DUMMYFUNCTION("TEXTJOIN("" | "",TRUE,IF(OR(D4001="""",E4001="""",I4001="""",J4001="""",H4001=""""),""ফাঁকা ঘর"",""""),IF(AND(C4001&lt;&gt;"""",D4001&lt;&gt;"""",C4001=D4001),""gloss=figurative"",""""),IF(LEN(D4001)&lt;15,""figurative ছোট"",""""),IF(AND(I4001=""Positive"",REGEXMATCH(H4"&amp;"001,""মূর্খ|ভণ্ড|প্রতার|অলস|লোভ|স্বার্থ|অক্ষম|অযোগ্য|বোকা|কৃপণ|হিংস"")),""valence-target অমিল"",""""),IF(COUNTIF($B:$B,B4001)&gt;1,""ডুপ্লিকেট"",""""))"),"")</f>
        <v/>
      </c>
      <c r="Q4001" s="5" t="str">
        <f t="shared" si="1"/>
        <v>২ পরে</v>
      </c>
    </row>
    <row r="4002">
      <c r="A4002" s="4">
        <v>1818.0</v>
      </c>
      <c r="B4002" s="2" t="s">
        <v>16274</v>
      </c>
      <c r="C4002" s="2" t="s">
        <v>16275</v>
      </c>
      <c r="D4002" s="2" t="s">
        <v>16276</v>
      </c>
      <c r="E4002" s="2" t="s">
        <v>16277</v>
      </c>
      <c r="F4002" s="2" t="b">
        <v>1</v>
      </c>
      <c r="G4002" s="2" t="b">
        <v>0</v>
      </c>
      <c r="H4002" s="2" t="s">
        <v>2229</v>
      </c>
      <c r="I4002" s="2" t="s">
        <v>22</v>
      </c>
      <c r="J4002" s="2" t="s">
        <v>16278</v>
      </c>
      <c r="K4002" s="2" t="s">
        <v>495</v>
      </c>
      <c r="L4002" s="13" t="s">
        <v>496</v>
      </c>
      <c r="M4002" s="2" t="s">
        <v>26</v>
      </c>
      <c r="N4002" s="29"/>
      <c r="O4002" s="29"/>
      <c r="P4002" s="5" t="str">
        <f>IFERROR(__xludf.DUMMYFUNCTION("TEXTJOIN("" | "",TRUE,IF(OR(D4002="""",E4002="""",I4002="""",J4002="""",H4002=""""),""ফাঁকা ঘর"",""""),IF(AND(C4002&lt;&gt;"""",D4002&lt;&gt;"""",C4002=D4002),""gloss=figurative"",""""),IF(LEN(D4002)&lt;15,""figurative ছোট"",""""),IF(AND(I4002=""Positive"",REGEXMATCH(H4"&amp;"002,""মূর্খ|ভণ্ড|প্রতার|অলস|লোভ|স্বার্থ|অক্ষম|অযোগ্য|বোকা|কৃপণ|হিংস"")),""valence-target অমিল"",""""),IF(COUNTIF($B:$B,B4002)&gt;1,""ডুপ্লিকেট"",""""))"),"")</f>
        <v/>
      </c>
      <c r="Q4002" s="5" t="str">
        <f t="shared" si="1"/>
        <v>২ পরে</v>
      </c>
    </row>
    <row r="4003">
      <c r="A4003" s="4">
        <v>1819.0</v>
      </c>
      <c r="B4003" s="2" t="s">
        <v>16279</v>
      </c>
      <c r="C4003" s="2" t="s">
        <v>16280</v>
      </c>
      <c r="D4003" s="2" t="s">
        <v>16281</v>
      </c>
      <c r="E4003" s="2" t="s">
        <v>16282</v>
      </c>
      <c r="F4003" s="2" t="b">
        <v>1</v>
      </c>
      <c r="G4003" s="2" t="b">
        <v>0</v>
      </c>
      <c r="H4003" s="2" t="s">
        <v>37</v>
      </c>
      <c r="I4003" s="2" t="s">
        <v>32</v>
      </c>
      <c r="J4003" s="2" t="s">
        <v>646</v>
      </c>
      <c r="K4003" s="2" t="s">
        <v>495</v>
      </c>
      <c r="L4003" s="13" t="s">
        <v>496</v>
      </c>
      <c r="M4003" s="2" t="s">
        <v>26</v>
      </c>
      <c r="N4003" s="29"/>
      <c r="O4003" s="29"/>
      <c r="P4003" s="5" t="str">
        <f>IFERROR(__xludf.DUMMYFUNCTION("TEXTJOIN("" | "",TRUE,IF(OR(D4003="""",E4003="""",I4003="""",J4003="""",H4003=""""),""ফাঁকা ঘর"",""""),IF(AND(C4003&lt;&gt;"""",D4003&lt;&gt;"""",C4003=D4003),""gloss=figurative"",""""),IF(LEN(D4003)&lt;15,""figurative ছোট"",""""),IF(AND(I4003=""Positive"",REGEXMATCH(H4"&amp;"003,""মূর্খ|ভণ্ড|প্রতার|অলস|লোভ|স্বার্থ|অক্ষম|অযোগ্য|বোকা|কৃপণ|হিংস"")),""valence-target অমিল"",""""),IF(COUNTIF($B:$B,B4003)&gt;1,""ডুপ্লিকেট"",""""))"),"")</f>
        <v/>
      </c>
      <c r="Q4003" s="5" t="str">
        <f t="shared" si="1"/>
        <v>২ পরে</v>
      </c>
    </row>
    <row r="4004">
      <c r="A4004" s="4">
        <v>1820.0</v>
      </c>
      <c r="B4004" s="2" t="s">
        <v>16283</v>
      </c>
      <c r="C4004" s="2" t="s">
        <v>16283</v>
      </c>
      <c r="D4004" s="2" t="s">
        <v>16284</v>
      </c>
      <c r="E4004" s="2" t="s">
        <v>14821</v>
      </c>
      <c r="F4004" s="2" t="b">
        <v>1</v>
      </c>
      <c r="G4004" s="2" t="b">
        <v>0</v>
      </c>
      <c r="H4004" s="2" t="s">
        <v>6019</v>
      </c>
      <c r="I4004" s="2" t="s">
        <v>49</v>
      </c>
      <c r="J4004" s="2" t="s">
        <v>2040</v>
      </c>
      <c r="K4004" s="2" t="s">
        <v>495</v>
      </c>
      <c r="L4004" s="13" t="s">
        <v>496</v>
      </c>
      <c r="M4004" s="2" t="s">
        <v>26</v>
      </c>
      <c r="N4004" s="29"/>
      <c r="O4004" s="29"/>
      <c r="P4004" s="5" t="str">
        <f>IFERROR(__xludf.DUMMYFUNCTION("TEXTJOIN("" | "",TRUE,IF(OR(D4004="""",E4004="""",I4004="""",J4004="""",H4004=""""),""ফাঁকা ঘর"",""""),IF(AND(C4004&lt;&gt;"""",D4004&lt;&gt;"""",C4004=D4004),""gloss=figurative"",""""),IF(LEN(D4004)&lt;15,""figurative ছোট"",""""),IF(AND(I4004=""Positive"",REGEXMATCH(H4"&amp;"004,""মূর্খ|ভণ্ড|প্রতার|অলস|লোভ|স্বার্থ|অক্ষম|অযোগ্য|বোকা|কৃপণ|হিংস"")),""valence-target অমিল"",""""),IF(COUNTIF($B:$B,B4004)&gt;1,""ডুপ্লিকেট"",""""))"),"")</f>
        <v/>
      </c>
      <c r="Q4004" s="5" t="str">
        <f t="shared" si="1"/>
        <v>২ পরে</v>
      </c>
    </row>
    <row r="4005">
      <c r="A4005" s="4">
        <v>1821.0</v>
      </c>
      <c r="B4005" s="2" t="s">
        <v>16285</v>
      </c>
      <c r="C4005" s="2" t="s">
        <v>16286</v>
      </c>
      <c r="D4005" s="2" t="s">
        <v>16287</v>
      </c>
      <c r="E4005" s="2" t="s">
        <v>16288</v>
      </c>
      <c r="F4005" s="2" t="b">
        <v>1</v>
      </c>
      <c r="G4005" s="2" t="b">
        <v>0</v>
      </c>
      <c r="H4005" s="2" t="s">
        <v>16289</v>
      </c>
      <c r="I4005" s="2" t="s">
        <v>22</v>
      </c>
      <c r="J4005" s="2" t="s">
        <v>1038</v>
      </c>
      <c r="K4005" s="2" t="s">
        <v>495</v>
      </c>
      <c r="L4005" s="13" t="s">
        <v>496</v>
      </c>
      <c r="M4005" s="2" t="s">
        <v>26</v>
      </c>
      <c r="N4005" s="29"/>
      <c r="O4005" s="29"/>
      <c r="P4005" s="5" t="str">
        <f>IFERROR(__xludf.DUMMYFUNCTION("TEXTJOIN("" | "",TRUE,IF(OR(D4005="""",E4005="""",I4005="""",J4005="""",H4005=""""),""ফাঁকা ঘর"",""""),IF(AND(C4005&lt;&gt;"""",D4005&lt;&gt;"""",C4005=D4005),""gloss=figurative"",""""),IF(LEN(D4005)&lt;15,""figurative ছোট"",""""),IF(AND(I4005=""Positive"",REGEXMATCH(H4"&amp;"005,""মূর্খ|ভণ্ড|প্রতার|অলস|লোভ|স্বার্থ|অক্ষম|অযোগ্য|বোকা|কৃপণ|হিংস"")),""valence-target অমিল"",""""),IF(COUNTIF($B:$B,B4005)&gt;1,""ডুপ্লিকেট"",""""))"),"")</f>
        <v/>
      </c>
      <c r="Q4005" s="5" t="str">
        <f t="shared" si="1"/>
        <v>২ পরে</v>
      </c>
    </row>
    <row r="4006">
      <c r="A4006" s="4">
        <v>1822.0</v>
      </c>
      <c r="B4006" s="2" t="s">
        <v>16290</v>
      </c>
      <c r="C4006" s="2" t="s">
        <v>16291</v>
      </c>
      <c r="D4006" s="2" t="s">
        <v>16292</v>
      </c>
      <c r="E4006" s="2" t="s">
        <v>16293</v>
      </c>
      <c r="F4006" s="2" t="b">
        <v>1</v>
      </c>
      <c r="G4006" s="2" t="b">
        <v>0</v>
      </c>
      <c r="H4006" s="2" t="s">
        <v>37</v>
      </c>
      <c r="I4006" s="2" t="s">
        <v>32</v>
      </c>
      <c r="J4006" s="2" t="s">
        <v>708</v>
      </c>
      <c r="K4006" s="2" t="s">
        <v>376</v>
      </c>
      <c r="L4006" s="2" t="s">
        <v>391</v>
      </c>
      <c r="M4006" s="2" t="s">
        <v>26</v>
      </c>
      <c r="N4006" s="29"/>
      <c r="O4006" s="29"/>
      <c r="P4006" s="5" t="str">
        <f>IFERROR(__xludf.DUMMYFUNCTION("TEXTJOIN("" | "",TRUE,IF(OR(D4006="""",E4006="""",I4006="""",J4006="""",H4006=""""),""ফাঁকা ঘর"",""""),IF(AND(C4006&lt;&gt;"""",D4006&lt;&gt;"""",C4006=D4006),""gloss=figurative"",""""),IF(LEN(D4006)&lt;15,""figurative ছোট"",""""),IF(AND(I4006=""Positive"",REGEXMATCH(H4"&amp;"006,""মূর্খ|ভণ্ড|প্রতার|অলস|লোভ|স্বার্থ|অক্ষম|অযোগ্য|বোকা|কৃপণ|হিংস"")),""valence-target অমিল"",""""),IF(COUNTIF($B:$B,B4006)&gt;1,""ডুপ্লিকেট"",""""))"),"")</f>
        <v/>
      </c>
      <c r="Q4006" s="5" t="str">
        <f t="shared" si="1"/>
        <v>২ পরে</v>
      </c>
    </row>
    <row r="4007">
      <c r="A4007" s="4">
        <v>1823.0</v>
      </c>
      <c r="B4007" s="2" t="s">
        <v>16294</v>
      </c>
      <c r="C4007" s="2" t="s">
        <v>16295</v>
      </c>
      <c r="D4007" s="2" t="s">
        <v>16296</v>
      </c>
      <c r="E4007" s="2" t="s">
        <v>16297</v>
      </c>
      <c r="F4007" s="2" t="b">
        <v>1</v>
      </c>
      <c r="G4007" s="2" t="b">
        <v>0</v>
      </c>
      <c r="H4007" s="2" t="s">
        <v>37</v>
      </c>
      <c r="I4007" s="2" t="s">
        <v>32</v>
      </c>
      <c r="J4007" s="2" t="s">
        <v>2732</v>
      </c>
      <c r="K4007" s="2" t="s">
        <v>376</v>
      </c>
      <c r="L4007" s="2" t="s">
        <v>391</v>
      </c>
      <c r="M4007" s="2" t="s">
        <v>26</v>
      </c>
      <c r="N4007" s="29"/>
      <c r="O4007" s="29"/>
      <c r="P4007" s="5" t="str">
        <f>IFERROR(__xludf.DUMMYFUNCTION("TEXTJOIN("" | "",TRUE,IF(OR(D4007="""",E4007="""",I4007="""",J4007="""",H4007=""""),""ফাঁকা ঘর"",""""),IF(AND(C4007&lt;&gt;"""",D4007&lt;&gt;"""",C4007=D4007),""gloss=figurative"",""""),IF(LEN(D4007)&lt;15,""figurative ছোট"",""""),IF(AND(I4007=""Positive"",REGEXMATCH(H4"&amp;"007,""মূর্খ|ভণ্ড|প্রতার|অলস|লোভ|স্বার্থ|অক্ষম|অযোগ্য|বোকা|কৃপণ|হিংস"")),""valence-target অমিল"",""""),IF(COUNTIF($B:$B,B4007)&gt;1,""ডুপ্লিকেট"",""""))"),"")</f>
        <v/>
      </c>
      <c r="Q4007" s="5" t="str">
        <f t="shared" si="1"/>
        <v>২ পরে</v>
      </c>
    </row>
    <row r="4008">
      <c r="A4008" s="4">
        <v>1824.0</v>
      </c>
      <c r="B4008" s="2" t="s">
        <v>16298</v>
      </c>
      <c r="C4008" s="2" t="s">
        <v>16298</v>
      </c>
      <c r="D4008" s="2" t="s">
        <v>16299</v>
      </c>
      <c r="E4008" s="2" t="s">
        <v>16300</v>
      </c>
      <c r="F4008" s="2" t="b">
        <v>1</v>
      </c>
      <c r="G4008" s="2" t="b">
        <v>0</v>
      </c>
      <c r="H4008" s="2" t="s">
        <v>16301</v>
      </c>
      <c r="I4008" s="2" t="s">
        <v>22</v>
      </c>
      <c r="J4008" s="2" t="s">
        <v>447</v>
      </c>
      <c r="K4008" s="2" t="s">
        <v>376</v>
      </c>
      <c r="L4008" s="2" t="s">
        <v>391</v>
      </c>
      <c r="M4008" s="2" t="s">
        <v>26</v>
      </c>
      <c r="N4008" s="29"/>
      <c r="O4008" s="29"/>
      <c r="P4008" s="5" t="str">
        <f>IFERROR(__xludf.DUMMYFUNCTION("TEXTJOIN("" | "",TRUE,IF(OR(D4008="""",E4008="""",I4008="""",J4008="""",H4008=""""),""ফাঁকা ঘর"",""""),IF(AND(C4008&lt;&gt;"""",D4008&lt;&gt;"""",C4008=D4008),""gloss=figurative"",""""),IF(LEN(D4008)&lt;15,""figurative ছোট"",""""),IF(AND(I4008=""Positive"",REGEXMATCH(H4"&amp;"008,""মূর্খ|ভণ্ড|প্রতার|অলস|লোভ|স্বার্থ|অক্ষম|অযোগ্য|বোকা|কৃপণ|হিংস"")),""valence-target অমিল"",""""),IF(COUNTIF($B:$B,B4008)&gt;1,""ডুপ্লিকেট"",""""))"),"")</f>
        <v/>
      </c>
      <c r="Q4008" s="5" t="str">
        <f t="shared" si="1"/>
        <v>২ পরে</v>
      </c>
    </row>
    <row r="4009">
      <c r="A4009" s="4">
        <v>1825.0</v>
      </c>
      <c r="B4009" s="2" t="s">
        <v>16302</v>
      </c>
      <c r="C4009" s="2" t="s">
        <v>16303</v>
      </c>
      <c r="D4009" s="2" t="s">
        <v>16304</v>
      </c>
      <c r="E4009" s="2" t="s">
        <v>16305</v>
      </c>
      <c r="F4009" s="2" t="b">
        <v>1</v>
      </c>
      <c r="G4009" s="2" t="b">
        <v>0</v>
      </c>
      <c r="H4009" s="2" t="s">
        <v>16306</v>
      </c>
      <c r="I4009" s="2" t="s">
        <v>22</v>
      </c>
      <c r="J4009" s="2" t="s">
        <v>1137</v>
      </c>
      <c r="K4009" s="2" t="s">
        <v>376</v>
      </c>
      <c r="L4009" s="2" t="s">
        <v>391</v>
      </c>
      <c r="M4009" s="2" t="s">
        <v>26</v>
      </c>
      <c r="N4009" s="29"/>
      <c r="O4009" s="29"/>
      <c r="P4009" s="5" t="str">
        <f>IFERROR(__xludf.DUMMYFUNCTION("TEXTJOIN("" | "",TRUE,IF(OR(D4009="""",E4009="""",I4009="""",J4009="""",H4009=""""),""ফাঁকা ঘর"",""""),IF(AND(C4009&lt;&gt;"""",D4009&lt;&gt;"""",C4009=D4009),""gloss=figurative"",""""),IF(LEN(D4009)&lt;15,""figurative ছোট"",""""),IF(AND(I4009=""Positive"",REGEXMATCH(H4"&amp;"009,""মূর্খ|ভণ্ড|প্রতার|অলস|লোভ|স্বার্থ|অক্ষম|অযোগ্য|বোকা|কৃপণ|হিংস"")),""valence-target অমিল"",""""),IF(COUNTIF($B:$B,B4009)&gt;1,""ডুপ্লিকেট"",""""))"),"")</f>
        <v/>
      </c>
      <c r="Q4009" s="5" t="str">
        <f t="shared" si="1"/>
        <v>২ পরে</v>
      </c>
    </row>
    <row r="4010">
      <c r="A4010" s="4">
        <v>1826.0</v>
      </c>
      <c r="B4010" s="2" t="s">
        <v>16307</v>
      </c>
      <c r="C4010" s="2" t="s">
        <v>16308</v>
      </c>
      <c r="D4010" s="2" t="s">
        <v>16309</v>
      </c>
      <c r="E4010" s="2" t="s">
        <v>16310</v>
      </c>
      <c r="F4010" s="2" t="b">
        <v>1</v>
      </c>
      <c r="G4010" s="2" t="b">
        <v>0</v>
      </c>
      <c r="H4010" s="2" t="s">
        <v>156</v>
      </c>
      <c r="I4010" s="2" t="s">
        <v>32</v>
      </c>
      <c r="J4010" s="2" t="s">
        <v>300</v>
      </c>
      <c r="K4010" s="2" t="s">
        <v>376</v>
      </c>
      <c r="L4010" s="2" t="s">
        <v>391</v>
      </c>
      <c r="M4010" s="2" t="s">
        <v>26</v>
      </c>
      <c r="N4010" s="29"/>
      <c r="O4010" s="29"/>
      <c r="P4010" s="5" t="str">
        <f>IFERROR(__xludf.DUMMYFUNCTION("TEXTJOIN("" | "",TRUE,IF(OR(D4010="""",E4010="""",I4010="""",J4010="""",H4010=""""),""ফাঁকা ঘর"",""""),IF(AND(C4010&lt;&gt;"""",D4010&lt;&gt;"""",C4010=D4010),""gloss=figurative"",""""),IF(LEN(D4010)&lt;15,""figurative ছোট"",""""),IF(AND(I4010=""Positive"",REGEXMATCH(H4"&amp;"010,""মূর্খ|ভণ্ড|প্রতার|অলস|লোভ|স্বার্থ|অক্ষম|অযোগ্য|বোকা|কৃপণ|হিংস"")),""valence-target অমিল"",""""),IF(COUNTIF($B:$B,B4010)&gt;1,""ডুপ্লিকেট"",""""))"),"")</f>
        <v/>
      </c>
      <c r="Q4010" s="5" t="str">
        <f t="shared" si="1"/>
        <v>২ পরে</v>
      </c>
    </row>
    <row r="4011">
      <c r="A4011" s="4">
        <v>1827.0</v>
      </c>
      <c r="B4011" s="2" t="s">
        <v>16311</v>
      </c>
      <c r="C4011" s="2" t="s">
        <v>16312</v>
      </c>
      <c r="D4011" s="2" t="s">
        <v>16313</v>
      </c>
      <c r="E4011" s="2" t="s">
        <v>16314</v>
      </c>
      <c r="F4011" s="2" t="b">
        <v>1</v>
      </c>
      <c r="G4011" s="2" t="b">
        <v>0</v>
      </c>
      <c r="H4011" s="2" t="s">
        <v>37</v>
      </c>
      <c r="I4011" s="2" t="s">
        <v>49</v>
      </c>
      <c r="J4011" s="2" t="s">
        <v>1060</v>
      </c>
      <c r="K4011" s="2" t="s">
        <v>376</v>
      </c>
      <c r="L4011" s="2" t="s">
        <v>391</v>
      </c>
      <c r="M4011" s="2" t="s">
        <v>26</v>
      </c>
      <c r="N4011" s="29"/>
      <c r="O4011" s="29"/>
      <c r="P4011" s="5" t="str">
        <f>IFERROR(__xludf.DUMMYFUNCTION("TEXTJOIN("" | "",TRUE,IF(OR(D4011="""",E4011="""",I4011="""",J4011="""",H4011=""""),""ফাঁকা ঘর"",""""),IF(AND(C4011&lt;&gt;"""",D4011&lt;&gt;"""",C4011=D4011),""gloss=figurative"",""""),IF(LEN(D4011)&lt;15,""figurative ছোট"",""""),IF(AND(I4011=""Positive"",REGEXMATCH(H4"&amp;"011,""মূর্খ|ভণ্ড|প্রতার|অলস|লোভ|স্বার্থ|অক্ষম|অযোগ্য|বোকা|কৃপণ|হিংস"")),""valence-target অমিল"",""""),IF(COUNTIF($B:$B,B4011)&gt;1,""ডুপ্লিকেট"",""""))"),"")</f>
        <v/>
      </c>
      <c r="Q4011" s="5" t="str">
        <f t="shared" si="1"/>
        <v>২ পরে</v>
      </c>
    </row>
    <row r="4012">
      <c r="A4012" s="4">
        <v>1828.0</v>
      </c>
      <c r="B4012" s="2" t="s">
        <v>16315</v>
      </c>
      <c r="C4012" s="2" t="s">
        <v>16316</v>
      </c>
      <c r="D4012" s="2" t="s">
        <v>16317</v>
      </c>
      <c r="E4012" s="2" t="s">
        <v>16318</v>
      </c>
      <c r="F4012" s="2" t="b">
        <v>1</v>
      </c>
      <c r="G4012" s="2" t="b">
        <v>1</v>
      </c>
      <c r="H4012" s="2" t="s">
        <v>16319</v>
      </c>
      <c r="I4012" s="2" t="s">
        <v>49</v>
      </c>
      <c r="J4012" s="2" t="s">
        <v>15837</v>
      </c>
      <c r="K4012" s="2" t="s">
        <v>376</v>
      </c>
      <c r="L4012" s="2" t="s">
        <v>391</v>
      </c>
      <c r="M4012" s="2" t="s">
        <v>26</v>
      </c>
      <c r="N4012" s="29"/>
      <c r="O4012" s="29"/>
      <c r="P4012" s="5" t="str">
        <f>IFERROR(__xludf.DUMMYFUNCTION("TEXTJOIN("" | "",TRUE,IF(OR(D4012="""",E4012="""",I4012="""",J4012="""",H4012=""""),""ফাঁকা ঘর"",""""),IF(AND(C4012&lt;&gt;"""",D4012&lt;&gt;"""",C4012=D4012),""gloss=figurative"",""""),IF(LEN(D4012)&lt;15,""figurative ছোট"",""""),IF(AND(I4012=""Positive"",REGEXMATCH(H4"&amp;"012,""মূর্খ|ভণ্ড|প্রতার|অলস|লোভ|স্বার্থ|অক্ষম|অযোগ্য|বোকা|কৃপণ|হিংস"")),""valence-target অমিল"",""""),IF(COUNTIF($B:$B,B4012)&gt;1,""ডুপ্লিকেট"",""""))"),"")</f>
        <v/>
      </c>
      <c r="Q4012" s="5" t="str">
        <f t="shared" si="1"/>
        <v>২ পরে</v>
      </c>
    </row>
    <row r="4013">
      <c r="A4013" s="4">
        <v>1829.0</v>
      </c>
      <c r="B4013" s="2" t="s">
        <v>16320</v>
      </c>
      <c r="C4013" s="2" t="s">
        <v>16321</v>
      </c>
      <c r="D4013" s="2" t="s">
        <v>16322</v>
      </c>
      <c r="E4013" s="2" t="s">
        <v>16323</v>
      </c>
      <c r="F4013" s="2" t="b">
        <v>1</v>
      </c>
      <c r="G4013" s="2" t="b">
        <v>0</v>
      </c>
      <c r="H4013" s="2" t="s">
        <v>37</v>
      </c>
      <c r="I4013" s="2" t="s">
        <v>32</v>
      </c>
      <c r="J4013" s="2" t="s">
        <v>891</v>
      </c>
      <c r="K4013" s="2" t="s">
        <v>376</v>
      </c>
      <c r="L4013" s="2" t="s">
        <v>391</v>
      </c>
      <c r="M4013" s="2" t="s">
        <v>26</v>
      </c>
      <c r="N4013" s="29"/>
      <c r="O4013" s="29"/>
      <c r="P4013" s="5" t="str">
        <f>IFERROR(__xludf.DUMMYFUNCTION("TEXTJOIN("" | "",TRUE,IF(OR(D4013="""",E4013="""",I4013="""",J4013="""",H4013=""""),""ফাঁকা ঘর"",""""),IF(AND(C4013&lt;&gt;"""",D4013&lt;&gt;"""",C4013=D4013),""gloss=figurative"",""""),IF(LEN(D4013)&lt;15,""figurative ছোট"",""""),IF(AND(I4013=""Positive"",REGEXMATCH(H4"&amp;"013,""মূর্খ|ভণ্ড|প্রতার|অলস|লোভ|স্বার্থ|অক্ষম|অযোগ্য|বোকা|কৃপণ|হিংস"")),""valence-target অমিল"",""""),IF(COUNTIF($B:$B,B4013)&gt;1,""ডুপ্লিকেট"",""""))"),"")</f>
        <v/>
      </c>
      <c r="Q4013" s="5" t="str">
        <f t="shared" si="1"/>
        <v>২ পরে</v>
      </c>
    </row>
    <row r="4014">
      <c r="A4014" s="4">
        <v>1830.0</v>
      </c>
      <c r="B4014" s="2" t="s">
        <v>16324</v>
      </c>
      <c r="C4014" s="2" t="s">
        <v>16321</v>
      </c>
      <c r="D4014" s="2" t="s">
        <v>16325</v>
      </c>
      <c r="E4014" s="2" t="s">
        <v>16326</v>
      </c>
      <c r="F4014" s="2" t="b">
        <v>1</v>
      </c>
      <c r="G4014" s="2" t="b">
        <v>0</v>
      </c>
      <c r="H4014" s="2" t="s">
        <v>37</v>
      </c>
      <c r="I4014" s="2" t="s">
        <v>32</v>
      </c>
      <c r="J4014" s="2" t="s">
        <v>2240</v>
      </c>
      <c r="K4014" s="2" t="s">
        <v>376</v>
      </c>
      <c r="L4014" s="2" t="s">
        <v>391</v>
      </c>
      <c r="M4014" s="2" t="s">
        <v>26</v>
      </c>
      <c r="N4014" s="29"/>
      <c r="O4014" s="29"/>
      <c r="P4014" s="5" t="str">
        <f>IFERROR(__xludf.DUMMYFUNCTION("TEXTJOIN("" | "",TRUE,IF(OR(D4014="""",E4014="""",I4014="""",J4014="""",H4014=""""),""ফাঁকা ঘর"",""""),IF(AND(C4014&lt;&gt;"""",D4014&lt;&gt;"""",C4014=D4014),""gloss=figurative"",""""),IF(LEN(D4014)&lt;15,""figurative ছোট"",""""),IF(AND(I4014=""Positive"",REGEXMATCH(H4"&amp;"014,""মূর্খ|ভণ্ড|প্রতার|অলস|লোভ|স্বার্থ|অক্ষম|অযোগ্য|বোকা|কৃপণ|হিংস"")),""valence-target অমিল"",""""),IF(COUNTIF($B:$B,B4014)&gt;1,""ডুপ্লিকেট"",""""))"),"")</f>
        <v/>
      </c>
      <c r="Q4014" s="5" t="str">
        <f t="shared" si="1"/>
        <v>২ পরে</v>
      </c>
    </row>
    <row r="4015">
      <c r="A4015" s="4">
        <v>1831.0</v>
      </c>
      <c r="B4015" s="2" t="s">
        <v>16327</v>
      </c>
      <c r="C4015" s="2" t="s">
        <v>16328</v>
      </c>
      <c r="D4015" s="2" t="s">
        <v>16329</v>
      </c>
      <c r="E4015" s="2" t="s">
        <v>16330</v>
      </c>
      <c r="F4015" s="2" t="b">
        <v>1</v>
      </c>
      <c r="G4015" s="2" t="b">
        <v>0</v>
      </c>
      <c r="H4015" s="2" t="s">
        <v>8713</v>
      </c>
      <c r="I4015" s="2" t="s">
        <v>22</v>
      </c>
      <c r="J4015" s="2" t="s">
        <v>43</v>
      </c>
      <c r="K4015" s="2" t="s">
        <v>376</v>
      </c>
      <c r="L4015" s="2" t="s">
        <v>391</v>
      </c>
      <c r="M4015" s="2" t="s">
        <v>26</v>
      </c>
      <c r="N4015" s="29"/>
      <c r="O4015" s="29"/>
      <c r="P4015" s="5" t="str">
        <f>IFERROR(__xludf.DUMMYFUNCTION("TEXTJOIN("" | "",TRUE,IF(OR(D4015="""",E4015="""",I4015="""",J4015="""",H4015=""""),""ফাঁকা ঘর"",""""),IF(AND(C4015&lt;&gt;"""",D4015&lt;&gt;"""",C4015=D4015),""gloss=figurative"",""""),IF(LEN(D4015)&lt;15,""figurative ছোট"",""""),IF(AND(I4015=""Positive"",REGEXMATCH(H4"&amp;"015,""মূর্খ|ভণ্ড|প্রতার|অলস|লোভ|স্বার্থ|অক্ষম|অযোগ্য|বোকা|কৃপণ|হিংস"")),""valence-target অমিল"",""""),IF(COUNTIF($B:$B,B4015)&gt;1,""ডুপ্লিকেট"",""""))"),"")</f>
        <v/>
      </c>
      <c r="Q4015" s="5" t="str">
        <f t="shared" si="1"/>
        <v>২ পরে</v>
      </c>
    </row>
    <row r="4016">
      <c r="A4016" s="4">
        <v>1832.0</v>
      </c>
      <c r="B4016" s="2" t="s">
        <v>16331</v>
      </c>
      <c r="C4016" s="2" t="s">
        <v>16328</v>
      </c>
      <c r="D4016" s="2" t="s">
        <v>16332</v>
      </c>
      <c r="E4016" s="2" t="s">
        <v>16333</v>
      </c>
      <c r="F4016" s="2" t="b">
        <v>1</v>
      </c>
      <c r="G4016" s="2" t="b">
        <v>0</v>
      </c>
      <c r="H4016" s="2" t="s">
        <v>8713</v>
      </c>
      <c r="I4016" s="2" t="s">
        <v>22</v>
      </c>
      <c r="J4016" s="2" t="s">
        <v>43</v>
      </c>
      <c r="K4016" s="2" t="s">
        <v>376</v>
      </c>
      <c r="L4016" s="2" t="s">
        <v>391</v>
      </c>
      <c r="M4016" s="2" t="s">
        <v>26</v>
      </c>
      <c r="N4016" s="29"/>
      <c r="O4016" s="29"/>
      <c r="P4016" s="5" t="str">
        <f>IFERROR(__xludf.DUMMYFUNCTION("TEXTJOIN("" | "",TRUE,IF(OR(D4016="""",E4016="""",I4016="""",J4016="""",H4016=""""),""ফাঁকা ঘর"",""""),IF(AND(C4016&lt;&gt;"""",D4016&lt;&gt;"""",C4016=D4016),""gloss=figurative"",""""),IF(LEN(D4016)&lt;15,""figurative ছোট"",""""),IF(AND(I4016=""Positive"",REGEXMATCH(H4"&amp;"016,""মূর্খ|ভণ্ড|প্রতার|অলস|লোভ|স্বার্থ|অক্ষম|অযোগ্য|বোকা|কৃপণ|হিংস"")),""valence-target অমিল"",""""),IF(COUNTIF($B:$B,B4016)&gt;1,""ডুপ্লিকেট"",""""))"),"")</f>
        <v/>
      </c>
      <c r="Q4016" s="5" t="str">
        <f t="shared" si="1"/>
        <v>২ পরে</v>
      </c>
    </row>
    <row r="4017">
      <c r="A4017" s="4">
        <v>1833.0</v>
      </c>
      <c r="B4017" s="2" t="s">
        <v>16334</v>
      </c>
      <c r="C4017" s="2" t="s">
        <v>16335</v>
      </c>
      <c r="D4017" s="2" t="s">
        <v>16336</v>
      </c>
      <c r="E4017" s="2" t="s">
        <v>16337</v>
      </c>
      <c r="F4017" s="2" t="b">
        <v>1</v>
      </c>
      <c r="G4017" s="2" t="b">
        <v>0</v>
      </c>
      <c r="H4017" s="2" t="s">
        <v>37</v>
      </c>
      <c r="I4017" s="2" t="s">
        <v>49</v>
      </c>
      <c r="J4017" s="2" t="s">
        <v>300</v>
      </c>
      <c r="K4017" s="2" t="s">
        <v>376</v>
      </c>
      <c r="L4017" s="2" t="s">
        <v>391</v>
      </c>
      <c r="M4017" s="2" t="s">
        <v>26</v>
      </c>
      <c r="N4017" s="29"/>
      <c r="O4017" s="29"/>
      <c r="P4017" s="5" t="str">
        <f>IFERROR(__xludf.DUMMYFUNCTION("TEXTJOIN("" | "",TRUE,IF(OR(D4017="""",E4017="""",I4017="""",J4017="""",H4017=""""),""ফাঁকা ঘর"",""""),IF(AND(C4017&lt;&gt;"""",D4017&lt;&gt;"""",C4017=D4017),""gloss=figurative"",""""),IF(LEN(D4017)&lt;15,""figurative ছোট"",""""),IF(AND(I4017=""Positive"",REGEXMATCH(H4"&amp;"017,""মূর্খ|ভণ্ড|প্রতার|অলস|লোভ|স্বার্থ|অক্ষম|অযোগ্য|বোকা|কৃপণ|হিংস"")),""valence-target অমিল"",""""),IF(COUNTIF($B:$B,B4017)&gt;1,""ডুপ্লিকেট"",""""))"),"")</f>
        <v/>
      </c>
      <c r="Q4017" s="5" t="str">
        <f t="shared" si="1"/>
        <v>২ পরে</v>
      </c>
    </row>
    <row r="4018">
      <c r="A4018" s="4">
        <v>1834.0</v>
      </c>
      <c r="B4018" s="2" t="s">
        <v>16338</v>
      </c>
      <c r="C4018" s="2" t="s">
        <v>16339</v>
      </c>
      <c r="D4018" s="2" t="s">
        <v>16340</v>
      </c>
      <c r="E4018" s="2" t="s">
        <v>16341</v>
      </c>
      <c r="F4018" s="2" t="b">
        <v>1</v>
      </c>
      <c r="G4018" s="2" t="b">
        <v>0</v>
      </c>
      <c r="H4018" s="2" t="s">
        <v>37</v>
      </c>
      <c r="I4018" s="2" t="s">
        <v>22</v>
      </c>
      <c r="J4018" s="2" t="s">
        <v>814</v>
      </c>
      <c r="K4018" s="2" t="s">
        <v>376</v>
      </c>
      <c r="L4018" s="2" t="s">
        <v>391</v>
      </c>
      <c r="M4018" s="2" t="s">
        <v>26</v>
      </c>
      <c r="N4018" s="29"/>
      <c r="O4018" s="29"/>
      <c r="P4018" s="5" t="str">
        <f>IFERROR(__xludf.DUMMYFUNCTION("TEXTJOIN("" | "",TRUE,IF(OR(D4018="""",E4018="""",I4018="""",J4018="""",H4018=""""),""ফাঁকা ঘর"",""""),IF(AND(C4018&lt;&gt;"""",D4018&lt;&gt;"""",C4018=D4018),""gloss=figurative"",""""),IF(LEN(D4018)&lt;15,""figurative ছোট"",""""),IF(AND(I4018=""Positive"",REGEXMATCH(H4"&amp;"018,""মূর্খ|ভণ্ড|প্রতার|অলস|লোভ|স্বার্থ|অক্ষম|অযোগ্য|বোকা|কৃপণ|হিংস"")),""valence-target অমিল"",""""),IF(COUNTIF($B:$B,B4018)&gt;1,""ডুপ্লিকেট"",""""))"),"")</f>
        <v/>
      </c>
      <c r="Q4018" s="5" t="str">
        <f t="shared" si="1"/>
        <v>২ পরে</v>
      </c>
    </row>
    <row r="4019">
      <c r="A4019" s="4">
        <v>1835.0</v>
      </c>
      <c r="B4019" s="2" t="s">
        <v>16342</v>
      </c>
      <c r="C4019" s="2" t="s">
        <v>16343</v>
      </c>
      <c r="D4019" s="2" t="s">
        <v>16344</v>
      </c>
      <c r="E4019" s="2" t="s">
        <v>16345</v>
      </c>
      <c r="F4019" s="2" t="b">
        <v>1</v>
      </c>
      <c r="G4019" s="2" t="b">
        <v>1</v>
      </c>
      <c r="H4019" s="2" t="s">
        <v>16346</v>
      </c>
      <c r="I4019" s="2" t="s">
        <v>22</v>
      </c>
      <c r="J4019" s="2" t="s">
        <v>11317</v>
      </c>
      <c r="K4019" s="2" t="s">
        <v>376</v>
      </c>
      <c r="L4019" s="2" t="s">
        <v>391</v>
      </c>
      <c r="M4019" s="2" t="s">
        <v>26</v>
      </c>
      <c r="N4019" s="29"/>
      <c r="O4019" s="29"/>
      <c r="P4019" s="5" t="str">
        <f>IFERROR(__xludf.DUMMYFUNCTION("TEXTJOIN("" | "",TRUE,IF(OR(D4019="""",E4019="""",I4019="""",J4019="""",H4019=""""),""ফাঁকা ঘর"",""""),IF(AND(C4019&lt;&gt;"""",D4019&lt;&gt;"""",C4019=D4019),""gloss=figurative"",""""),IF(LEN(D4019)&lt;15,""figurative ছোট"",""""),IF(AND(I4019=""Positive"",REGEXMATCH(H4"&amp;"019,""মূর্খ|ভণ্ড|প্রতার|অলস|লোভ|স্বার্থ|অক্ষম|অযোগ্য|বোকা|কৃপণ|হিংস"")),""valence-target অমিল"",""""),IF(COUNTIF($B:$B,B4019)&gt;1,""ডুপ্লিকেট"",""""))"),"")</f>
        <v/>
      </c>
      <c r="Q4019" s="5" t="str">
        <f t="shared" si="1"/>
        <v>২ পরে</v>
      </c>
    </row>
    <row r="4020">
      <c r="A4020" s="4">
        <v>1836.0</v>
      </c>
      <c r="B4020" s="2" t="s">
        <v>16347</v>
      </c>
      <c r="C4020" s="2" t="s">
        <v>16348</v>
      </c>
      <c r="D4020" s="2" t="s">
        <v>16349</v>
      </c>
      <c r="E4020" s="2" t="s">
        <v>16350</v>
      </c>
      <c r="F4020" s="2" t="b">
        <v>1</v>
      </c>
      <c r="G4020" s="2" t="b">
        <v>1</v>
      </c>
      <c r="H4020" s="2" t="s">
        <v>16351</v>
      </c>
      <c r="I4020" s="2" t="s">
        <v>22</v>
      </c>
      <c r="J4020" s="2" t="s">
        <v>1315</v>
      </c>
      <c r="K4020" s="2" t="s">
        <v>376</v>
      </c>
      <c r="L4020" s="2" t="s">
        <v>391</v>
      </c>
      <c r="M4020" s="2" t="s">
        <v>26</v>
      </c>
      <c r="N4020" s="29"/>
      <c r="O4020" s="29"/>
      <c r="P4020" s="5" t="str">
        <f>IFERROR(__xludf.DUMMYFUNCTION("TEXTJOIN("" | "",TRUE,IF(OR(D4020="""",E4020="""",I4020="""",J4020="""",H4020=""""),""ফাঁকা ঘর"",""""),IF(AND(C4020&lt;&gt;"""",D4020&lt;&gt;"""",C4020=D4020),""gloss=figurative"",""""),IF(LEN(D4020)&lt;15,""figurative ছোট"",""""),IF(AND(I4020=""Positive"",REGEXMATCH(H4"&amp;"020,""মূর্খ|ভণ্ড|প্রতার|অলস|লোভ|স্বার্থ|অক্ষম|অযোগ্য|বোকা|কৃপণ|হিংস"")),""valence-target অমিল"",""""),IF(COUNTIF($B:$B,B4020)&gt;1,""ডুপ্লিকেট"",""""))"),"")</f>
        <v/>
      </c>
      <c r="Q4020" s="5" t="str">
        <f t="shared" si="1"/>
        <v>২ পরে</v>
      </c>
    </row>
    <row r="4021">
      <c r="A4021" s="4">
        <v>1837.0</v>
      </c>
      <c r="B4021" s="2" t="s">
        <v>16352</v>
      </c>
      <c r="C4021" s="2" t="s">
        <v>16353</v>
      </c>
      <c r="D4021" s="2" t="s">
        <v>16354</v>
      </c>
      <c r="E4021" s="2" t="s">
        <v>16355</v>
      </c>
      <c r="F4021" s="2" t="b">
        <v>1</v>
      </c>
      <c r="G4021" s="2" t="b">
        <v>0</v>
      </c>
      <c r="H4021" s="2" t="s">
        <v>8918</v>
      </c>
      <c r="I4021" s="2" t="s">
        <v>22</v>
      </c>
      <c r="J4021" s="2" t="s">
        <v>43</v>
      </c>
      <c r="K4021" s="2" t="s">
        <v>495</v>
      </c>
      <c r="L4021" s="13" t="s">
        <v>496</v>
      </c>
      <c r="M4021" s="2" t="s">
        <v>26</v>
      </c>
      <c r="N4021" s="29"/>
      <c r="O4021" s="29"/>
      <c r="P4021" s="5" t="str">
        <f>IFERROR(__xludf.DUMMYFUNCTION("TEXTJOIN("" | "",TRUE,IF(OR(D4021="""",E4021="""",I4021="""",J4021="""",H4021=""""),""ফাঁকা ঘর"",""""),IF(AND(C4021&lt;&gt;"""",D4021&lt;&gt;"""",C4021=D4021),""gloss=figurative"",""""),IF(LEN(D4021)&lt;15,""figurative ছোট"",""""),IF(AND(I4021=""Positive"",REGEXMATCH(H4"&amp;"021,""মূর্খ|ভণ্ড|প্রতার|অলস|লোভ|স্বার্থ|অক্ষম|অযোগ্য|বোকা|কৃপণ|হিংস"")),""valence-target অমিল"",""""),IF(COUNTIF($B:$B,B4021)&gt;1,""ডুপ্লিকেট"",""""))"),"")</f>
        <v/>
      </c>
      <c r="Q4021" s="5" t="str">
        <f t="shared" si="1"/>
        <v>২ পরে</v>
      </c>
    </row>
    <row r="4022">
      <c r="A4022" s="4">
        <v>1838.0</v>
      </c>
      <c r="B4022" s="2" t="s">
        <v>16356</v>
      </c>
      <c r="C4022" s="2" t="s">
        <v>16357</v>
      </c>
      <c r="D4022" s="2" t="s">
        <v>16358</v>
      </c>
      <c r="E4022" s="2" t="s">
        <v>16359</v>
      </c>
      <c r="F4022" s="2" t="b">
        <v>1</v>
      </c>
      <c r="G4022" s="2" t="b">
        <v>0</v>
      </c>
      <c r="H4022" s="2" t="s">
        <v>8918</v>
      </c>
      <c r="I4022" s="2" t="s">
        <v>22</v>
      </c>
      <c r="J4022" s="2" t="s">
        <v>43</v>
      </c>
      <c r="K4022" s="2" t="s">
        <v>495</v>
      </c>
      <c r="L4022" s="13" t="s">
        <v>496</v>
      </c>
      <c r="M4022" s="2" t="s">
        <v>26</v>
      </c>
      <c r="N4022" s="29"/>
      <c r="O4022" s="29"/>
      <c r="P4022" s="5" t="str">
        <f>IFERROR(__xludf.DUMMYFUNCTION("TEXTJOIN("" | "",TRUE,IF(OR(D4022="""",E4022="""",I4022="""",J4022="""",H4022=""""),""ফাঁকা ঘর"",""""),IF(AND(C4022&lt;&gt;"""",D4022&lt;&gt;"""",C4022=D4022),""gloss=figurative"",""""),IF(LEN(D4022)&lt;15,""figurative ছোট"",""""),IF(AND(I4022=""Positive"",REGEXMATCH(H4"&amp;"022,""মূর্খ|ভণ্ড|প্রতার|অলস|লোভ|স্বার্থ|অক্ষম|অযোগ্য|বোকা|কৃপণ|হিংস"")),""valence-target অমিল"",""""),IF(COUNTIF($B:$B,B4022)&gt;1,""ডুপ্লিকেট"",""""))"),"")</f>
        <v/>
      </c>
      <c r="Q4022" s="5" t="str">
        <f t="shared" si="1"/>
        <v>২ পরে</v>
      </c>
    </row>
    <row r="4023">
      <c r="A4023" s="4">
        <v>1839.0</v>
      </c>
      <c r="B4023" s="2" t="s">
        <v>16360</v>
      </c>
      <c r="C4023" s="2" t="s">
        <v>16361</v>
      </c>
      <c r="D4023" s="2" t="s">
        <v>16362</v>
      </c>
      <c r="E4023" s="2" t="s">
        <v>16363</v>
      </c>
      <c r="F4023" s="2" t="b">
        <v>1</v>
      </c>
      <c r="G4023" s="2" t="b">
        <v>0</v>
      </c>
      <c r="H4023" s="2" t="s">
        <v>37</v>
      </c>
      <c r="I4023" s="2" t="s">
        <v>32</v>
      </c>
      <c r="J4023" s="2" t="s">
        <v>10509</v>
      </c>
      <c r="K4023" s="2" t="s">
        <v>495</v>
      </c>
      <c r="L4023" s="13" t="s">
        <v>496</v>
      </c>
      <c r="M4023" s="2" t="s">
        <v>26</v>
      </c>
      <c r="N4023" s="29"/>
      <c r="O4023" s="29"/>
      <c r="P4023" s="5" t="str">
        <f>IFERROR(__xludf.DUMMYFUNCTION("TEXTJOIN("" | "",TRUE,IF(OR(D4023="""",E4023="""",I4023="""",J4023="""",H4023=""""),""ফাঁকা ঘর"",""""),IF(AND(C4023&lt;&gt;"""",D4023&lt;&gt;"""",C4023=D4023),""gloss=figurative"",""""),IF(LEN(D4023)&lt;15,""figurative ছোট"",""""),IF(AND(I4023=""Positive"",REGEXMATCH(H4"&amp;"023,""মূর্খ|ভণ্ড|প্রতার|অলস|লোভ|স্বার্থ|অক্ষম|অযোগ্য|বোকা|কৃপণ|হিংস"")),""valence-target অমিল"",""""),IF(COUNTIF($B:$B,B4023)&gt;1,""ডুপ্লিকেট"",""""))"),"")</f>
        <v/>
      </c>
      <c r="Q4023" s="5" t="str">
        <f t="shared" si="1"/>
        <v>২ পরে</v>
      </c>
    </row>
    <row r="4024">
      <c r="A4024" s="4">
        <v>1840.0</v>
      </c>
      <c r="B4024" s="2" t="s">
        <v>16364</v>
      </c>
      <c r="C4024" s="2" t="s">
        <v>16364</v>
      </c>
      <c r="D4024" s="2" t="s">
        <v>16365</v>
      </c>
      <c r="E4024" s="2" t="s">
        <v>16366</v>
      </c>
      <c r="F4024" s="2" t="b">
        <v>1</v>
      </c>
      <c r="G4024" s="2" t="b">
        <v>0</v>
      </c>
      <c r="H4024" s="2" t="s">
        <v>390</v>
      </c>
      <c r="I4024" s="2" t="s">
        <v>22</v>
      </c>
      <c r="J4024" s="2" t="s">
        <v>836</v>
      </c>
      <c r="K4024" s="2" t="s">
        <v>495</v>
      </c>
      <c r="L4024" s="13" t="s">
        <v>496</v>
      </c>
      <c r="M4024" s="2" t="s">
        <v>26</v>
      </c>
      <c r="N4024" s="29"/>
      <c r="O4024" s="29"/>
      <c r="P4024" s="5" t="str">
        <f>IFERROR(__xludf.DUMMYFUNCTION("TEXTJOIN("" | "",TRUE,IF(OR(D4024="""",E4024="""",I4024="""",J4024="""",H4024=""""),""ফাঁকা ঘর"",""""),IF(AND(C4024&lt;&gt;"""",D4024&lt;&gt;"""",C4024=D4024),""gloss=figurative"",""""),IF(LEN(D4024)&lt;15,""figurative ছোট"",""""),IF(AND(I4024=""Positive"",REGEXMATCH(H4"&amp;"024,""মূর্খ|ভণ্ড|প্রতার|অলস|লোভ|স্বার্থ|অক্ষম|অযোগ্য|বোকা|কৃপণ|হিংস"")),""valence-target অমিল"",""""),IF(COUNTIF($B:$B,B4024)&gt;1,""ডুপ্লিকেট"",""""))"),"")</f>
        <v/>
      </c>
      <c r="Q4024" s="5" t="str">
        <f t="shared" si="1"/>
        <v>২ পরে</v>
      </c>
    </row>
    <row r="4025">
      <c r="A4025" s="4">
        <v>1841.0</v>
      </c>
      <c r="B4025" s="2" t="s">
        <v>16367</v>
      </c>
      <c r="C4025" s="2" t="s">
        <v>16368</v>
      </c>
      <c r="D4025" s="2" t="s">
        <v>16369</v>
      </c>
      <c r="E4025" s="2" t="s">
        <v>16370</v>
      </c>
      <c r="F4025" s="2" t="b">
        <v>1</v>
      </c>
      <c r="G4025" s="2" t="b">
        <v>0</v>
      </c>
      <c r="H4025" s="2" t="s">
        <v>390</v>
      </c>
      <c r="I4025" s="2" t="s">
        <v>22</v>
      </c>
      <c r="J4025" s="2" t="s">
        <v>836</v>
      </c>
      <c r="K4025" s="2" t="s">
        <v>495</v>
      </c>
      <c r="L4025" s="13" t="s">
        <v>496</v>
      </c>
      <c r="M4025" s="2" t="s">
        <v>26</v>
      </c>
      <c r="N4025" s="29"/>
      <c r="O4025" s="29"/>
      <c r="P4025" s="5" t="str">
        <f>IFERROR(__xludf.DUMMYFUNCTION("TEXTJOIN("" | "",TRUE,IF(OR(D4025="""",E4025="""",I4025="""",J4025="""",H4025=""""),""ফাঁকা ঘর"",""""),IF(AND(C4025&lt;&gt;"""",D4025&lt;&gt;"""",C4025=D4025),""gloss=figurative"",""""),IF(LEN(D4025)&lt;15,""figurative ছোট"",""""),IF(AND(I4025=""Positive"",REGEXMATCH(H4"&amp;"025,""মূর্খ|ভণ্ড|প্রতার|অলস|লোভ|স্বার্থ|অক্ষম|অযোগ্য|বোকা|কৃপণ|হিংস"")),""valence-target অমিল"",""""),IF(COUNTIF($B:$B,B4025)&gt;1,""ডুপ্লিকেট"",""""))"),"")</f>
        <v/>
      </c>
      <c r="Q4025" s="5" t="str">
        <f t="shared" si="1"/>
        <v>২ পরে</v>
      </c>
    </row>
    <row r="4026">
      <c r="A4026" s="4">
        <v>1842.0</v>
      </c>
      <c r="B4026" s="2" t="s">
        <v>16371</v>
      </c>
      <c r="C4026" s="2" t="s">
        <v>16371</v>
      </c>
      <c r="D4026" s="2" t="s">
        <v>16372</v>
      </c>
      <c r="E4026" s="2" t="s">
        <v>16373</v>
      </c>
      <c r="F4026" s="2" t="b">
        <v>1</v>
      </c>
      <c r="G4026" s="2" t="b">
        <v>0</v>
      </c>
      <c r="H4026" s="2" t="s">
        <v>390</v>
      </c>
      <c r="I4026" s="2" t="s">
        <v>22</v>
      </c>
      <c r="J4026" s="2" t="s">
        <v>836</v>
      </c>
      <c r="K4026" s="2" t="s">
        <v>495</v>
      </c>
      <c r="L4026" s="13" t="s">
        <v>496</v>
      </c>
      <c r="M4026" s="2" t="s">
        <v>26</v>
      </c>
      <c r="N4026" s="29"/>
      <c r="O4026" s="29"/>
      <c r="P4026" s="5" t="str">
        <f>IFERROR(__xludf.DUMMYFUNCTION("TEXTJOIN("" | "",TRUE,IF(OR(D4026="""",E4026="""",I4026="""",J4026="""",H4026=""""),""ফাঁকা ঘর"",""""),IF(AND(C4026&lt;&gt;"""",D4026&lt;&gt;"""",C4026=D4026),""gloss=figurative"",""""),IF(LEN(D4026)&lt;15,""figurative ছোট"",""""),IF(AND(I4026=""Positive"",REGEXMATCH(H4"&amp;"026,""মূর্খ|ভণ্ড|প্রতার|অলস|লোভ|স্বার্থ|অক্ষম|অযোগ্য|বোকা|কৃপণ|হিংস"")),""valence-target অমিল"",""""),IF(COUNTIF($B:$B,B4026)&gt;1,""ডুপ্লিকেট"",""""))"),"")</f>
        <v/>
      </c>
      <c r="Q4026" s="5" t="str">
        <f t="shared" si="1"/>
        <v>২ পরে</v>
      </c>
    </row>
    <row r="4027">
      <c r="A4027" s="4">
        <v>1843.0</v>
      </c>
      <c r="B4027" s="2" t="s">
        <v>16374</v>
      </c>
      <c r="C4027" s="2" t="s">
        <v>16375</v>
      </c>
      <c r="D4027" s="2" t="s">
        <v>16376</v>
      </c>
      <c r="E4027" s="2" t="s">
        <v>16377</v>
      </c>
      <c r="F4027" s="2" t="b">
        <v>1</v>
      </c>
      <c r="G4027" s="2" t="b">
        <v>0</v>
      </c>
      <c r="H4027" s="2" t="s">
        <v>390</v>
      </c>
      <c r="I4027" s="2" t="s">
        <v>22</v>
      </c>
      <c r="J4027" s="2" t="s">
        <v>836</v>
      </c>
      <c r="K4027" s="2" t="s">
        <v>495</v>
      </c>
      <c r="L4027" s="13" t="s">
        <v>496</v>
      </c>
      <c r="M4027" s="2" t="s">
        <v>26</v>
      </c>
      <c r="N4027" s="29"/>
      <c r="O4027" s="29"/>
      <c r="P4027" s="5" t="str">
        <f>IFERROR(__xludf.DUMMYFUNCTION("TEXTJOIN("" | "",TRUE,IF(OR(D4027="""",E4027="""",I4027="""",J4027="""",H4027=""""),""ফাঁকা ঘর"",""""),IF(AND(C4027&lt;&gt;"""",D4027&lt;&gt;"""",C4027=D4027),""gloss=figurative"",""""),IF(LEN(D4027)&lt;15,""figurative ছোট"",""""),IF(AND(I4027=""Positive"",REGEXMATCH(H4"&amp;"027,""মূর্খ|ভণ্ড|প্রতার|অলস|লোভ|স্বার্থ|অক্ষম|অযোগ্য|বোকা|কৃপণ|হিংস"")),""valence-target অমিল"",""""),IF(COUNTIF($B:$B,B4027)&gt;1,""ডুপ্লিকেট"",""""))"),"")</f>
        <v/>
      </c>
      <c r="Q4027" s="5" t="str">
        <f t="shared" si="1"/>
        <v>২ পরে</v>
      </c>
    </row>
    <row r="4028">
      <c r="A4028" s="4">
        <v>1844.0</v>
      </c>
      <c r="B4028" s="2" t="s">
        <v>16378</v>
      </c>
      <c r="C4028" s="2" t="s">
        <v>16379</v>
      </c>
      <c r="D4028" s="2" t="s">
        <v>16380</v>
      </c>
      <c r="E4028" s="2" t="s">
        <v>16381</v>
      </c>
      <c r="F4028" s="2" t="b">
        <v>1</v>
      </c>
      <c r="G4028" s="2" t="b">
        <v>0</v>
      </c>
      <c r="H4028" s="2" t="s">
        <v>16382</v>
      </c>
      <c r="I4028" s="2" t="s">
        <v>32</v>
      </c>
      <c r="J4028" s="2" t="s">
        <v>1510</v>
      </c>
      <c r="K4028" s="2" t="s">
        <v>495</v>
      </c>
      <c r="L4028" s="13" t="s">
        <v>496</v>
      </c>
      <c r="M4028" s="2" t="s">
        <v>26</v>
      </c>
      <c r="N4028" s="29"/>
      <c r="O4028" s="29"/>
      <c r="P4028" s="5" t="str">
        <f>IFERROR(__xludf.DUMMYFUNCTION("TEXTJOIN("" | "",TRUE,IF(OR(D4028="""",E4028="""",I4028="""",J4028="""",H4028=""""),""ফাঁকা ঘর"",""""),IF(AND(C4028&lt;&gt;"""",D4028&lt;&gt;"""",C4028=D4028),""gloss=figurative"",""""),IF(LEN(D4028)&lt;15,""figurative ছোট"",""""),IF(AND(I4028=""Positive"",REGEXMATCH(H4"&amp;"028,""মূর্খ|ভণ্ড|প্রতার|অলস|লোভ|স্বার্থ|অক্ষম|অযোগ্য|বোকা|কৃপণ|হিংস"")),""valence-target অমিল"",""""),IF(COUNTIF($B:$B,B4028)&gt;1,""ডুপ্লিকেট"",""""))"),"")</f>
        <v/>
      </c>
      <c r="Q4028" s="5" t="str">
        <f t="shared" si="1"/>
        <v>২ পরে</v>
      </c>
    </row>
    <row r="4029">
      <c r="A4029" s="4">
        <v>1845.0</v>
      </c>
      <c r="B4029" s="2" t="s">
        <v>16383</v>
      </c>
      <c r="C4029" s="2" t="s">
        <v>16384</v>
      </c>
      <c r="D4029" s="2" t="s">
        <v>16385</v>
      </c>
      <c r="E4029" s="2" t="s">
        <v>16386</v>
      </c>
      <c r="F4029" s="2" t="b">
        <v>1</v>
      </c>
      <c r="G4029" s="2" t="b">
        <v>0</v>
      </c>
      <c r="H4029" s="2" t="s">
        <v>37</v>
      </c>
      <c r="I4029" s="2" t="s">
        <v>49</v>
      </c>
      <c r="J4029" s="2" t="s">
        <v>1060</v>
      </c>
      <c r="K4029" s="2" t="s">
        <v>495</v>
      </c>
      <c r="L4029" s="13" t="s">
        <v>496</v>
      </c>
      <c r="M4029" s="2" t="s">
        <v>26</v>
      </c>
      <c r="N4029" s="29"/>
      <c r="O4029" s="29"/>
      <c r="P4029" s="5" t="str">
        <f>IFERROR(__xludf.DUMMYFUNCTION("TEXTJOIN("" | "",TRUE,IF(OR(D4029="""",E4029="""",I4029="""",J4029="""",H4029=""""),""ফাঁকা ঘর"",""""),IF(AND(C4029&lt;&gt;"""",D4029&lt;&gt;"""",C4029=D4029),""gloss=figurative"",""""),IF(LEN(D4029)&lt;15,""figurative ছোট"",""""),IF(AND(I4029=""Positive"",REGEXMATCH(H4"&amp;"029,""মূর্খ|ভণ্ড|প্রতার|অলস|লোভ|স্বার্থ|অক্ষম|অযোগ্য|বোকা|কৃপণ|হিংস"")),""valence-target অমিল"",""""),IF(COUNTIF($B:$B,B4029)&gt;1,""ডুপ্লিকেট"",""""))"),"")</f>
        <v/>
      </c>
      <c r="Q4029" s="5" t="str">
        <f t="shared" si="1"/>
        <v>২ পরে</v>
      </c>
    </row>
    <row r="4030">
      <c r="A4030" s="4">
        <v>1846.0</v>
      </c>
      <c r="B4030" s="2" t="s">
        <v>16387</v>
      </c>
      <c r="C4030" s="2" t="s">
        <v>16388</v>
      </c>
      <c r="D4030" s="2" t="s">
        <v>16389</v>
      </c>
      <c r="E4030" s="2" t="s">
        <v>16390</v>
      </c>
      <c r="F4030" s="2" t="b">
        <v>1</v>
      </c>
      <c r="G4030" s="2" t="b">
        <v>0</v>
      </c>
      <c r="H4030" s="2" t="s">
        <v>37</v>
      </c>
      <c r="I4030" s="2" t="s">
        <v>49</v>
      </c>
      <c r="J4030" s="2" t="s">
        <v>739</v>
      </c>
      <c r="K4030" s="2" t="s">
        <v>495</v>
      </c>
      <c r="L4030" s="13" t="s">
        <v>496</v>
      </c>
      <c r="M4030" s="2" t="s">
        <v>26</v>
      </c>
      <c r="N4030" s="29"/>
      <c r="O4030" s="29"/>
      <c r="P4030" s="5" t="str">
        <f>IFERROR(__xludf.DUMMYFUNCTION("TEXTJOIN("" | "",TRUE,IF(OR(D4030="""",E4030="""",I4030="""",J4030="""",H4030=""""),""ফাঁকা ঘর"",""""),IF(AND(C4030&lt;&gt;"""",D4030&lt;&gt;"""",C4030=D4030),""gloss=figurative"",""""),IF(LEN(D4030)&lt;15,""figurative ছোট"",""""),IF(AND(I4030=""Positive"",REGEXMATCH(H4"&amp;"030,""মূর্খ|ভণ্ড|প্রতার|অলস|লোভ|স্বার্থ|অক্ষম|অযোগ্য|বোকা|কৃপণ|হিংস"")),""valence-target অমিল"",""""),IF(COUNTIF($B:$B,B4030)&gt;1,""ডুপ্লিকেট"",""""))"),"")</f>
        <v/>
      </c>
      <c r="Q4030" s="5" t="str">
        <f t="shared" si="1"/>
        <v>২ পরে</v>
      </c>
    </row>
    <row r="4031">
      <c r="A4031" s="4">
        <v>1847.0</v>
      </c>
      <c r="B4031" s="2" t="s">
        <v>16391</v>
      </c>
      <c r="C4031" s="2" t="s">
        <v>16392</v>
      </c>
      <c r="D4031" s="2" t="s">
        <v>16393</v>
      </c>
      <c r="E4031" s="2" t="s">
        <v>16394</v>
      </c>
      <c r="F4031" s="2" t="b">
        <v>1</v>
      </c>
      <c r="G4031" s="2" t="b">
        <v>0</v>
      </c>
      <c r="H4031" s="2" t="s">
        <v>37</v>
      </c>
      <c r="I4031" s="2" t="s">
        <v>32</v>
      </c>
      <c r="J4031" s="2" t="s">
        <v>162</v>
      </c>
      <c r="K4031" s="2" t="s">
        <v>495</v>
      </c>
      <c r="L4031" s="13" t="s">
        <v>496</v>
      </c>
      <c r="M4031" s="2" t="s">
        <v>26</v>
      </c>
      <c r="N4031" s="29"/>
      <c r="O4031" s="29"/>
      <c r="P4031" s="5" t="str">
        <f>IFERROR(__xludf.DUMMYFUNCTION("TEXTJOIN("" | "",TRUE,IF(OR(D4031="""",E4031="""",I4031="""",J4031="""",H4031=""""),""ফাঁকা ঘর"",""""),IF(AND(C4031&lt;&gt;"""",D4031&lt;&gt;"""",C4031=D4031),""gloss=figurative"",""""),IF(LEN(D4031)&lt;15,""figurative ছোট"",""""),IF(AND(I4031=""Positive"",REGEXMATCH(H4"&amp;"031,""মূর্খ|ভণ্ড|প্রতার|অলস|লোভ|স্বার্থ|অক্ষম|অযোগ্য|বোকা|কৃপণ|হিংস"")),""valence-target অমিল"",""""),IF(COUNTIF($B:$B,B4031)&gt;1,""ডুপ্লিকেট"",""""))"),"")</f>
        <v/>
      </c>
      <c r="Q4031" s="5" t="str">
        <f t="shared" si="1"/>
        <v>২ পরে</v>
      </c>
    </row>
    <row r="4032">
      <c r="A4032" s="4">
        <v>1848.0</v>
      </c>
      <c r="B4032" s="2" t="s">
        <v>16395</v>
      </c>
      <c r="C4032" s="2" t="s">
        <v>16396</v>
      </c>
      <c r="D4032" s="2" t="s">
        <v>16397</v>
      </c>
      <c r="E4032" s="2" t="s">
        <v>16398</v>
      </c>
      <c r="F4032" s="2" t="b">
        <v>1</v>
      </c>
      <c r="G4032" s="2" t="b">
        <v>0</v>
      </c>
      <c r="H4032" s="2" t="s">
        <v>8837</v>
      </c>
      <c r="I4032" s="2" t="s">
        <v>22</v>
      </c>
      <c r="J4032" s="2" t="s">
        <v>43</v>
      </c>
      <c r="K4032" s="2" t="s">
        <v>495</v>
      </c>
      <c r="L4032" s="13" t="s">
        <v>496</v>
      </c>
      <c r="M4032" s="2" t="s">
        <v>26</v>
      </c>
      <c r="N4032" s="29"/>
      <c r="O4032" s="29"/>
      <c r="P4032" s="5" t="str">
        <f>IFERROR(__xludf.DUMMYFUNCTION("TEXTJOIN("" | "",TRUE,IF(OR(D4032="""",E4032="""",I4032="""",J4032="""",H4032=""""),""ফাঁকা ঘর"",""""),IF(AND(C4032&lt;&gt;"""",D4032&lt;&gt;"""",C4032=D4032),""gloss=figurative"",""""),IF(LEN(D4032)&lt;15,""figurative ছোট"",""""),IF(AND(I4032=""Positive"",REGEXMATCH(H4"&amp;"032,""মূর্খ|ভণ্ড|প্রতার|অলস|লোভ|স্বার্থ|অক্ষম|অযোগ্য|বোকা|কৃপণ|হিংস"")),""valence-target অমিল"",""""),IF(COUNTIF($B:$B,B4032)&gt;1,""ডুপ্লিকেট"",""""))"),"")</f>
        <v/>
      </c>
      <c r="Q4032" s="5" t="str">
        <f t="shared" si="1"/>
        <v>২ পরে</v>
      </c>
    </row>
    <row r="4033">
      <c r="A4033" s="4">
        <v>1849.0</v>
      </c>
      <c r="B4033" s="2" t="s">
        <v>16399</v>
      </c>
      <c r="C4033" s="2" t="s">
        <v>16400</v>
      </c>
      <c r="D4033" s="2" t="s">
        <v>16401</v>
      </c>
      <c r="E4033" s="2" t="s">
        <v>16402</v>
      </c>
      <c r="F4033" s="2" t="b">
        <v>1</v>
      </c>
      <c r="G4033" s="2" t="b">
        <v>0</v>
      </c>
      <c r="H4033" s="2" t="s">
        <v>16403</v>
      </c>
      <c r="I4033" s="2" t="s">
        <v>32</v>
      </c>
      <c r="J4033" s="2" t="s">
        <v>8102</v>
      </c>
      <c r="K4033" s="2" t="s">
        <v>495</v>
      </c>
      <c r="L4033" s="13" t="s">
        <v>496</v>
      </c>
      <c r="M4033" s="2" t="s">
        <v>26</v>
      </c>
      <c r="N4033" s="29"/>
      <c r="O4033" s="29"/>
      <c r="P4033" s="5" t="str">
        <f>IFERROR(__xludf.DUMMYFUNCTION("TEXTJOIN("" | "",TRUE,IF(OR(D4033="""",E4033="""",I4033="""",J4033="""",H4033=""""),""ফাঁকা ঘর"",""""),IF(AND(C4033&lt;&gt;"""",D4033&lt;&gt;"""",C4033=D4033),""gloss=figurative"",""""),IF(LEN(D4033)&lt;15,""figurative ছোট"",""""),IF(AND(I4033=""Positive"",REGEXMATCH(H4"&amp;"033,""মূর্খ|ভণ্ড|প্রতার|অলস|লোভ|স্বার্থ|অক্ষম|অযোগ্য|বোকা|কৃপণ|হিংস"")),""valence-target অমিল"",""""),IF(COUNTIF($B:$B,B4033)&gt;1,""ডুপ্লিকেট"",""""))"),"")</f>
        <v/>
      </c>
      <c r="Q4033" s="5" t="str">
        <f t="shared" si="1"/>
        <v>২ পরে</v>
      </c>
    </row>
    <row r="4034">
      <c r="A4034" s="4">
        <v>1850.0</v>
      </c>
      <c r="B4034" s="2" t="s">
        <v>16404</v>
      </c>
      <c r="C4034" s="2" t="s">
        <v>16405</v>
      </c>
      <c r="D4034" s="2" t="s">
        <v>16406</v>
      </c>
      <c r="E4034" s="2" t="s">
        <v>16407</v>
      </c>
      <c r="F4034" s="2" t="b">
        <v>1</v>
      </c>
      <c r="G4034" s="2" t="b">
        <v>0</v>
      </c>
      <c r="H4034" s="2" t="s">
        <v>5283</v>
      </c>
      <c r="I4034" s="2" t="s">
        <v>22</v>
      </c>
      <c r="J4034" s="2" t="s">
        <v>16408</v>
      </c>
      <c r="K4034" s="2" t="s">
        <v>495</v>
      </c>
      <c r="L4034" s="13" t="s">
        <v>496</v>
      </c>
      <c r="M4034" s="2" t="s">
        <v>26</v>
      </c>
      <c r="N4034" s="29"/>
      <c r="O4034" s="29"/>
      <c r="P4034" s="5" t="str">
        <f>IFERROR(__xludf.DUMMYFUNCTION("TEXTJOIN("" | "",TRUE,IF(OR(D4034="""",E4034="""",I4034="""",J4034="""",H4034=""""),""ফাঁকা ঘর"",""""),IF(AND(C4034&lt;&gt;"""",D4034&lt;&gt;"""",C4034=D4034),""gloss=figurative"",""""),IF(LEN(D4034)&lt;15,""figurative ছোট"",""""),IF(AND(I4034=""Positive"",REGEXMATCH(H4"&amp;"034,""মূর্খ|ভণ্ড|প্রতার|অলস|লোভ|স্বার্থ|অক্ষম|অযোগ্য|বোকা|কৃপণ|হিংস"")),""valence-target অমিল"",""""),IF(COUNTIF($B:$B,B4034)&gt;1,""ডুপ্লিকেট"",""""))"),"")</f>
        <v/>
      </c>
      <c r="Q4034" s="5" t="str">
        <f t="shared" si="1"/>
        <v>২ পরে</v>
      </c>
    </row>
    <row r="4035">
      <c r="A4035" s="4">
        <v>1851.0</v>
      </c>
      <c r="B4035" s="2" t="s">
        <v>16409</v>
      </c>
      <c r="C4035" s="2" t="s">
        <v>16410</v>
      </c>
      <c r="D4035" s="2" t="s">
        <v>16411</v>
      </c>
      <c r="E4035" s="2" t="s">
        <v>16412</v>
      </c>
      <c r="F4035" s="2" t="b">
        <v>1</v>
      </c>
      <c r="G4035" s="2" t="b">
        <v>0</v>
      </c>
      <c r="H4035" s="2" t="s">
        <v>16413</v>
      </c>
      <c r="I4035" s="2" t="s">
        <v>22</v>
      </c>
      <c r="J4035" s="2" t="s">
        <v>43</v>
      </c>
      <c r="K4035" s="2" t="s">
        <v>495</v>
      </c>
      <c r="L4035" s="13" t="s">
        <v>496</v>
      </c>
      <c r="M4035" s="2" t="s">
        <v>26</v>
      </c>
      <c r="N4035" s="29"/>
      <c r="O4035" s="29"/>
      <c r="P4035" s="5" t="str">
        <f>IFERROR(__xludf.DUMMYFUNCTION("TEXTJOIN("" | "",TRUE,IF(OR(D4035="""",E4035="""",I4035="""",J4035="""",H4035=""""),""ফাঁকা ঘর"",""""),IF(AND(C4035&lt;&gt;"""",D4035&lt;&gt;"""",C4035=D4035),""gloss=figurative"",""""),IF(LEN(D4035)&lt;15,""figurative ছোট"",""""),IF(AND(I4035=""Positive"",REGEXMATCH(H4"&amp;"035,""মূর্খ|ভণ্ড|প্রতার|অলস|লোভ|স্বার্থ|অক্ষম|অযোগ্য|বোকা|কৃপণ|হিংস"")),""valence-target অমিল"",""""),IF(COUNTIF($B:$B,B4035)&gt;1,""ডুপ্লিকেট"",""""))"),"")</f>
        <v/>
      </c>
      <c r="Q4035" s="5" t="str">
        <f t="shared" si="1"/>
        <v>২ পরে</v>
      </c>
    </row>
    <row r="4036">
      <c r="A4036" s="4">
        <v>1852.0</v>
      </c>
      <c r="B4036" s="2" t="s">
        <v>16414</v>
      </c>
      <c r="C4036" s="2" t="s">
        <v>16415</v>
      </c>
      <c r="D4036" s="2" t="s">
        <v>16416</v>
      </c>
      <c r="E4036" s="2" t="s">
        <v>16417</v>
      </c>
      <c r="F4036" s="2" t="b">
        <v>1</v>
      </c>
      <c r="G4036" s="2" t="b">
        <v>1</v>
      </c>
      <c r="H4036" s="2" t="s">
        <v>16418</v>
      </c>
      <c r="I4036" s="2" t="s">
        <v>22</v>
      </c>
      <c r="J4036" s="2" t="s">
        <v>16419</v>
      </c>
      <c r="K4036" s="2" t="s">
        <v>495</v>
      </c>
      <c r="L4036" s="13" t="s">
        <v>496</v>
      </c>
      <c r="M4036" s="2" t="s">
        <v>26</v>
      </c>
      <c r="N4036" s="29"/>
      <c r="O4036" s="29"/>
      <c r="P4036" s="5" t="str">
        <f>IFERROR(__xludf.DUMMYFUNCTION("TEXTJOIN("" | "",TRUE,IF(OR(D4036="""",E4036="""",I4036="""",J4036="""",H4036=""""),""ফাঁকা ঘর"",""""),IF(AND(C4036&lt;&gt;"""",D4036&lt;&gt;"""",C4036=D4036),""gloss=figurative"",""""),IF(LEN(D4036)&lt;15,""figurative ছোট"",""""),IF(AND(I4036=""Positive"",REGEXMATCH(H4"&amp;"036,""মূর্খ|ভণ্ড|প্রতার|অলস|লোভ|স্বার্থ|অক্ষম|অযোগ্য|বোকা|কৃপণ|হিংস"")),""valence-target অমিল"",""""),IF(COUNTIF($B:$B,B4036)&gt;1,""ডুপ্লিকেট"",""""))"),"")</f>
        <v/>
      </c>
      <c r="Q4036" s="5" t="str">
        <f t="shared" si="1"/>
        <v>২ পরে</v>
      </c>
    </row>
    <row r="4037">
      <c r="A4037" s="4">
        <v>1853.0</v>
      </c>
      <c r="B4037" s="2" t="s">
        <v>16420</v>
      </c>
      <c r="C4037" s="2" t="s">
        <v>16421</v>
      </c>
      <c r="D4037" s="2" t="s">
        <v>16422</v>
      </c>
      <c r="E4037" s="2" t="s">
        <v>16423</v>
      </c>
      <c r="F4037" s="2" t="b">
        <v>1</v>
      </c>
      <c r="G4037" s="2" t="b">
        <v>0</v>
      </c>
      <c r="H4037" s="2" t="s">
        <v>7382</v>
      </c>
      <c r="I4037" s="2" t="s">
        <v>32</v>
      </c>
      <c r="J4037" s="2" t="s">
        <v>913</v>
      </c>
      <c r="K4037" s="2" t="s">
        <v>495</v>
      </c>
      <c r="L4037" s="13" t="s">
        <v>496</v>
      </c>
      <c r="M4037" s="2" t="s">
        <v>26</v>
      </c>
      <c r="N4037" s="29"/>
      <c r="O4037" s="29"/>
      <c r="P4037" s="5" t="str">
        <f>IFERROR(__xludf.DUMMYFUNCTION("TEXTJOIN("" | "",TRUE,IF(OR(D4037="""",E4037="""",I4037="""",J4037="""",H4037=""""),""ফাঁকা ঘর"",""""),IF(AND(C4037&lt;&gt;"""",D4037&lt;&gt;"""",C4037=D4037),""gloss=figurative"",""""),IF(LEN(D4037)&lt;15,""figurative ছোট"",""""),IF(AND(I4037=""Positive"",REGEXMATCH(H4"&amp;"037,""মূর্খ|ভণ্ড|প্রতার|অলস|লোভ|স্বার্থ|অক্ষম|অযোগ্য|বোকা|কৃপণ|হিংস"")),""valence-target অমিল"",""""),IF(COUNTIF($B:$B,B4037)&gt;1,""ডুপ্লিকেট"",""""))"),"")</f>
        <v/>
      </c>
      <c r="Q4037" s="5" t="str">
        <f t="shared" si="1"/>
        <v>২ পরে</v>
      </c>
    </row>
    <row r="4038">
      <c r="A4038" s="4">
        <v>1854.0</v>
      </c>
      <c r="B4038" s="2" t="s">
        <v>16424</v>
      </c>
      <c r="C4038" s="2" t="s">
        <v>16425</v>
      </c>
      <c r="D4038" s="2" t="s">
        <v>16426</v>
      </c>
      <c r="E4038" s="2" t="s">
        <v>16427</v>
      </c>
      <c r="F4038" s="2" t="b">
        <v>1</v>
      </c>
      <c r="G4038" s="2" t="b">
        <v>0</v>
      </c>
      <c r="H4038" s="2" t="s">
        <v>16428</v>
      </c>
      <c r="I4038" s="2" t="s">
        <v>22</v>
      </c>
      <c r="J4038" s="2" t="s">
        <v>43</v>
      </c>
      <c r="K4038" s="2" t="s">
        <v>495</v>
      </c>
      <c r="L4038" s="13" t="s">
        <v>496</v>
      </c>
      <c r="M4038" s="2" t="s">
        <v>26</v>
      </c>
      <c r="N4038" s="29"/>
      <c r="O4038" s="29"/>
      <c r="P4038" s="5" t="str">
        <f>IFERROR(__xludf.DUMMYFUNCTION("TEXTJOIN("" | "",TRUE,IF(OR(D4038="""",E4038="""",I4038="""",J4038="""",H4038=""""),""ফাঁকা ঘর"",""""),IF(AND(C4038&lt;&gt;"""",D4038&lt;&gt;"""",C4038=D4038),""gloss=figurative"",""""),IF(LEN(D4038)&lt;15,""figurative ছোট"",""""),IF(AND(I4038=""Positive"",REGEXMATCH(H4"&amp;"038,""মূর্খ|ভণ্ড|প্রতার|অলস|লোভ|স্বার্থ|অক্ষম|অযোগ্য|বোকা|কৃপণ|হিংস"")),""valence-target অমিল"",""""),IF(COUNTIF($B:$B,B4038)&gt;1,""ডুপ্লিকেট"",""""))"),"")</f>
        <v/>
      </c>
      <c r="Q4038" s="5" t="str">
        <f t="shared" si="1"/>
        <v>২ পরে</v>
      </c>
    </row>
    <row r="4039">
      <c r="A4039" s="4">
        <v>1855.0</v>
      </c>
      <c r="B4039" s="2" t="s">
        <v>16429</v>
      </c>
      <c r="C4039" s="2" t="s">
        <v>16430</v>
      </c>
      <c r="D4039" s="2" t="s">
        <v>16431</v>
      </c>
      <c r="E4039" s="2" t="s">
        <v>16432</v>
      </c>
      <c r="F4039" s="2" t="b">
        <v>1</v>
      </c>
      <c r="G4039" s="2" t="b">
        <v>0</v>
      </c>
      <c r="H4039" s="2" t="s">
        <v>8918</v>
      </c>
      <c r="I4039" s="2" t="s">
        <v>22</v>
      </c>
      <c r="J4039" s="2" t="s">
        <v>43</v>
      </c>
      <c r="K4039" s="2" t="s">
        <v>495</v>
      </c>
      <c r="L4039" s="13" t="s">
        <v>496</v>
      </c>
      <c r="M4039" s="2" t="s">
        <v>26</v>
      </c>
      <c r="N4039" s="29"/>
      <c r="O4039" s="29"/>
      <c r="P4039" s="5" t="str">
        <f>IFERROR(__xludf.DUMMYFUNCTION("TEXTJOIN("" | "",TRUE,IF(OR(D4039="""",E4039="""",I4039="""",J4039="""",H4039=""""),""ফাঁকা ঘর"",""""),IF(AND(C4039&lt;&gt;"""",D4039&lt;&gt;"""",C4039=D4039),""gloss=figurative"",""""),IF(LEN(D4039)&lt;15,""figurative ছোট"",""""),IF(AND(I4039=""Positive"",REGEXMATCH(H4"&amp;"039,""মূর্খ|ভণ্ড|প্রতার|অলস|লোভ|স্বার্থ|অক্ষম|অযোগ্য|বোকা|কৃপণ|হিংস"")),""valence-target অমিল"",""""),IF(COUNTIF($B:$B,B4039)&gt;1,""ডুপ্লিকেট"",""""))"),"")</f>
        <v/>
      </c>
      <c r="Q4039" s="5" t="str">
        <f t="shared" si="1"/>
        <v>২ পরে</v>
      </c>
    </row>
    <row r="4040">
      <c r="A4040" s="4">
        <v>1856.0</v>
      </c>
      <c r="B4040" s="2" t="s">
        <v>16433</v>
      </c>
      <c r="C4040" s="2" t="s">
        <v>16434</v>
      </c>
      <c r="D4040" s="2" t="s">
        <v>16435</v>
      </c>
      <c r="E4040" s="2" t="s">
        <v>16436</v>
      </c>
      <c r="F4040" s="2" t="b">
        <v>1</v>
      </c>
      <c r="G4040" s="2" t="b">
        <v>0</v>
      </c>
      <c r="H4040" s="2" t="s">
        <v>16437</v>
      </c>
      <c r="I4040" s="2" t="s">
        <v>22</v>
      </c>
      <c r="J4040" s="2" t="s">
        <v>16438</v>
      </c>
      <c r="K4040" s="2" t="s">
        <v>495</v>
      </c>
      <c r="L4040" s="13" t="s">
        <v>496</v>
      </c>
      <c r="M4040" s="2" t="s">
        <v>26</v>
      </c>
      <c r="N4040" s="29"/>
      <c r="O4040" s="29"/>
      <c r="P4040" s="5" t="str">
        <f>IFERROR(__xludf.DUMMYFUNCTION("TEXTJOIN("" | "",TRUE,IF(OR(D4040="""",E4040="""",I4040="""",J4040="""",H4040=""""),""ফাঁকা ঘর"",""""),IF(AND(C4040&lt;&gt;"""",D4040&lt;&gt;"""",C4040=D4040),""gloss=figurative"",""""),IF(LEN(D4040)&lt;15,""figurative ছোট"",""""),IF(AND(I4040=""Positive"",REGEXMATCH(H4"&amp;"040,""মূর্খ|ভণ্ড|প্রতার|অলস|লোভ|স্বার্থ|অক্ষম|অযোগ্য|বোকা|কৃপণ|হিংস"")),""valence-target অমিল"",""""),IF(COUNTIF($B:$B,B4040)&gt;1,""ডুপ্লিকেট"",""""))"),"")</f>
        <v/>
      </c>
      <c r="Q4040" s="5" t="str">
        <f t="shared" si="1"/>
        <v>২ পরে</v>
      </c>
    </row>
    <row r="4041">
      <c r="A4041" s="4">
        <v>1857.0</v>
      </c>
      <c r="B4041" s="2" t="s">
        <v>16439</v>
      </c>
      <c r="C4041" s="2" t="s">
        <v>16440</v>
      </c>
      <c r="D4041" s="2" t="s">
        <v>16441</v>
      </c>
      <c r="E4041" s="2" t="s">
        <v>16442</v>
      </c>
      <c r="F4041" s="2" t="b">
        <v>1</v>
      </c>
      <c r="G4041" s="2" t="b">
        <v>0</v>
      </c>
      <c r="H4041" s="2" t="s">
        <v>16443</v>
      </c>
      <c r="I4041" s="2" t="s">
        <v>22</v>
      </c>
      <c r="J4041" s="2" t="s">
        <v>16444</v>
      </c>
      <c r="K4041" s="2" t="s">
        <v>495</v>
      </c>
      <c r="L4041" s="13" t="s">
        <v>496</v>
      </c>
      <c r="M4041" s="2" t="s">
        <v>26</v>
      </c>
      <c r="N4041" s="29"/>
      <c r="O4041" s="29"/>
      <c r="P4041" s="5" t="str">
        <f>IFERROR(__xludf.DUMMYFUNCTION("TEXTJOIN("" | "",TRUE,IF(OR(D4041="""",E4041="""",I4041="""",J4041="""",H4041=""""),""ফাঁকা ঘর"",""""),IF(AND(C4041&lt;&gt;"""",D4041&lt;&gt;"""",C4041=D4041),""gloss=figurative"",""""),IF(LEN(D4041)&lt;15,""figurative ছোট"",""""),IF(AND(I4041=""Positive"",REGEXMATCH(H4"&amp;"041,""মূর্খ|ভণ্ড|প্রতার|অলস|লোভ|স্বার্থ|অক্ষম|অযোগ্য|বোকা|কৃপণ|হিংস"")),""valence-target অমিল"",""""),IF(COUNTIF($B:$B,B4041)&gt;1,""ডুপ্লিকেট"",""""))"),"")</f>
        <v/>
      </c>
      <c r="Q4041" s="5" t="str">
        <f t="shared" si="1"/>
        <v>২ পরে</v>
      </c>
    </row>
    <row r="4042">
      <c r="A4042" s="4">
        <v>1858.0</v>
      </c>
      <c r="B4042" s="2" t="s">
        <v>16445</v>
      </c>
      <c r="C4042" s="2" t="s">
        <v>16446</v>
      </c>
      <c r="D4042" s="2" t="s">
        <v>16447</v>
      </c>
      <c r="E4042" s="2" t="s">
        <v>16448</v>
      </c>
      <c r="F4042" s="2" t="b">
        <v>1</v>
      </c>
      <c r="G4042" s="2" t="b">
        <v>0</v>
      </c>
      <c r="H4042" s="2" t="s">
        <v>37</v>
      </c>
      <c r="I4042" s="2" t="s">
        <v>32</v>
      </c>
      <c r="J4042" s="2" t="s">
        <v>1644</v>
      </c>
      <c r="K4042" s="2" t="s">
        <v>495</v>
      </c>
      <c r="L4042" s="13" t="s">
        <v>496</v>
      </c>
      <c r="M4042" s="2" t="s">
        <v>26</v>
      </c>
      <c r="N4042" s="29"/>
      <c r="O4042" s="29"/>
      <c r="P4042" s="5" t="str">
        <f>IFERROR(__xludf.DUMMYFUNCTION("TEXTJOIN("" | "",TRUE,IF(OR(D4042="""",E4042="""",I4042="""",J4042="""",H4042=""""),""ফাঁকা ঘর"",""""),IF(AND(C4042&lt;&gt;"""",D4042&lt;&gt;"""",C4042=D4042),""gloss=figurative"",""""),IF(LEN(D4042)&lt;15,""figurative ছোট"",""""),IF(AND(I4042=""Positive"",REGEXMATCH(H4"&amp;"042,""মূর্খ|ভণ্ড|প্রতার|অলস|লোভ|স্বার্থ|অক্ষম|অযোগ্য|বোকা|কৃপণ|হিংস"")),""valence-target অমিল"",""""),IF(COUNTIF($B:$B,B4042)&gt;1,""ডুপ্লিকেট"",""""))"),"")</f>
        <v/>
      </c>
      <c r="Q4042" s="5" t="str">
        <f t="shared" si="1"/>
        <v>২ পরে</v>
      </c>
    </row>
    <row r="4043">
      <c r="A4043" s="4">
        <v>1859.0</v>
      </c>
      <c r="B4043" s="2" t="s">
        <v>16449</v>
      </c>
      <c r="C4043" s="2" t="s">
        <v>16450</v>
      </c>
      <c r="D4043" s="2" t="s">
        <v>16451</v>
      </c>
      <c r="E4043" s="2" t="s">
        <v>16452</v>
      </c>
      <c r="F4043" s="2" t="b">
        <v>1</v>
      </c>
      <c r="G4043" s="2" t="b">
        <v>1</v>
      </c>
      <c r="H4043" s="2" t="s">
        <v>16453</v>
      </c>
      <c r="I4043" s="2" t="s">
        <v>22</v>
      </c>
      <c r="J4043" s="2" t="s">
        <v>16454</v>
      </c>
      <c r="K4043" s="2" t="s">
        <v>495</v>
      </c>
      <c r="L4043" s="13" t="s">
        <v>496</v>
      </c>
      <c r="M4043" s="2" t="s">
        <v>26</v>
      </c>
      <c r="N4043" s="29"/>
      <c r="O4043" s="29"/>
      <c r="P4043" s="5" t="str">
        <f>IFERROR(__xludf.DUMMYFUNCTION("TEXTJOIN("" | "",TRUE,IF(OR(D4043="""",E4043="""",I4043="""",J4043="""",H4043=""""),""ফাঁকা ঘর"",""""),IF(AND(C4043&lt;&gt;"""",D4043&lt;&gt;"""",C4043=D4043),""gloss=figurative"",""""),IF(LEN(D4043)&lt;15,""figurative ছোট"",""""),IF(AND(I4043=""Positive"",REGEXMATCH(H4"&amp;"043,""মূর্খ|ভণ্ড|প্রতার|অলস|লোভ|স্বার্থ|অক্ষম|অযোগ্য|বোকা|কৃপণ|হিংস"")),""valence-target অমিল"",""""),IF(COUNTIF($B:$B,B4043)&gt;1,""ডুপ্লিকেট"",""""))"),"")</f>
        <v/>
      </c>
      <c r="Q4043" s="5" t="str">
        <f t="shared" si="1"/>
        <v>২ পরে</v>
      </c>
    </row>
    <row r="4044">
      <c r="A4044" s="4">
        <v>1860.0</v>
      </c>
      <c r="B4044" s="2" t="s">
        <v>16455</v>
      </c>
      <c r="C4044" s="2" t="s">
        <v>16456</v>
      </c>
      <c r="D4044" s="2" t="s">
        <v>16457</v>
      </c>
      <c r="E4044" s="2" t="s">
        <v>16458</v>
      </c>
      <c r="F4044" s="2" t="b">
        <v>1</v>
      </c>
      <c r="G4044" s="2" t="b">
        <v>1</v>
      </c>
      <c r="H4044" s="2" t="s">
        <v>16453</v>
      </c>
      <c r="I4044" s="2" t="s">
        <v>22</v>
      </c>
      <c r="J4044" s="2" t="s">
        <v>16459</v>
      </c>
      <c r="K4044" s="2" t="s">
        <v>495</v>
      </c>
      <c r="L4044" s="13" t="s">
        <v>496</v>
      </c>
      <c r="M4044" s="2" t="s">
        <v>26</v>
      </c>
      <c r="N4044" s="29"/>
      <c r="O4044" s="29"/>
      <c r="P4044" s="5" t="str">
        <f>IFERROR(__xludf.DUMMYFUNCTION("TEXTJOIN("" | "",TRUE,IF(OR(D4044="""",E4044="""",I4044="""",J4044="""",H4044=""""),""ফাঁকা ঘর"",""""),IF(AND(C4044&lt;&gt;"""",D4044&lt;&gt;"""",C4044=D4044),""gloss=figurative"",""""),IF(LEN(D4044)&lt;15,""figurative ছোট"",""""),IF(AND(I4044=""Positive"",REGEXMATCH(H4"&amp;"044,""মূর্খ|ভণ্ড|প্রতার|অলস|লোভ|স্বার্থ|অক্ষম|অযোগ্য|বোকা|কৃপণ|হিংস"")),""valence-target অমিল"",""""),IF(COUNTIF($B:$B,B4044)&gt;1,""ডুপ্লিকেট"",""""))"),"")</f>
        <v/>
      </c>
      <c r="Q4044" s="5" t="str">
        <f t="shared" si="1"/>
        <v>২ পরে</v>
      </c>
    </row>
    <row r="4045">
      <c r="A4045" s="4">
        <v>1861.0</v>
      </c>
      <c r="B4045" s="2" t="s">
        <v>16460</v>
      </c>
      <c r="C4045" s="2" t="s">
        <v>16461</v>
      </c>
      <c r="D4045" s="2" t="s">
        <v>16462</v>
      </c>
      <c r="E4045" s="2" t="s">
        <v>16463</v>
      </c>
      <c r="F4045" s="2" t="b">
        <v>1</v>
      </c>
      <c r="G4045" s="2" t="b">
        <v>0</v>
      </c>
      <c r="H4045" s="2" t="s">
        <v>37</v>
      </c>
      <c r="I4045" s="2" t="s">
        <v>22</v>
      </c>
      <c r="J4045" s="2" t="s">
        <v>7076</v>
      </c>
      <c r="K4045" s="2" t="s">
        <v>495</v>
      </c>
      <c r="L4045" s="13" t="s">
        <v>496</v>
      </c>
      <c r="M4045" s="2" t="s">
        <v>26</v>
      </c>
      <c r="N4045" s="29"/>
      <c r="O4045" s="29"/>
      <c r="P4045" s="5" t="str">
        <f>IFERROR(__xludf.DUMMYFUNCTION("TEXTJOIN("" | "",TRUE,IF(OR(D4045="""",E4045="""",I4045="""",J4045="""",H4045=""""),""ফাঁকা ঘর"",""""),IF(AND(C4045&lt;&gt;"""",D4045&lt;&gt;"""",C4045=D4045),""gloss=figurative"",""""),IF(LEN(D4045)&lt;15,""figurative ছোট"",""""),IF(AND(I4045=""Positive"",REGEXMATCH(H4"&amp;"045,""মূর্খ|ভণ্ড|প্রতার|অলস|লোভ|স্বার্থ|অক্ষম|অযোগ্য|বোকা|কৃপণ|হিংস"")),""valence-target অমিল"",""""),IF(COUNTIF($B:$B,B4045)&gt;1,""ডুপ্লিকেট"",""""))"),"")</f>
        <v/>
      </c>
      <c r="Q4045" s="5" t="str">
        <f t="shared" si="1"/>
        <v>২ পরে</v>
      </c>
    </row>
    <row r="4046">
      <c r="A4046" s="4">
        <v>1862.0</v>
      </c>
      <c r="B4046" s="2" t="s">
        <v>16464</v>
      </c>
      <c r="C4046" s="2" t="s">
        <v>16464</v>
      </c>
      <c r="D4046" s="2" t="s">
        <v>16465</v>
      </c>
      <c r="E4046" s="2" t="s">
        <v>16466</v>
      </c>
      <c r="F4046" s="2" t="b">
        <v>1</v>
      </c>
      <c r="G4046" s="2" t="b">
        <v>0</v>
      </c>
      <c r="H4046" s="2" t="s">
        <v>16467</v>
      </c>
      <c r="I4046" s="2" t="s">
        <v>22</v>
      </c>
      <c r="J4046" s="2" t="s">
        <v>43</v>
      </c>
      <c r="K4046" s="2" t="s">
        <v>495</v>
      </c>
      <c r="L4046" s="13" t="s">
        <v>496</v>
      </c>
      <c r="M4046" s="2" t="s">
        <v>26</v>
      </c>
      <c r="N4046" s="29"/>
      <c r="O4046" s="29"/>
      <c r="P4046" s="5" t="str">
        <f>IFERROR(__xludf.DUMMYFUNCTION("TEXTJOIN("" | "",TRUE,IF(OR(D4046="""",E4046="""",I4046="""",J4046="""",H4046=""""),""ফাঁকা ঘর"",""""),IF(AND(C4046&lt;&gt;"""",D4046&lt;&gt;"""",C4046=D4046),""gloss=figurative"",""""),IF(LEN(D4046)&lt;15,""figurative ছোট"",""""),IF(AND(I4046=""Positive"",REGEXMATCH(H4"&amp;"046,""মূর্খ|ভণ্ড|প্রতার|অলস|লোভ|স্বার্থ|অক্ষম|অযোগ্য|বোকা|কৃপণ|হিংস"")),""valence-target অমিল"",""""),IF(COUNTIF($B:$B,B4046)&gt;1,""ডুপ্লিকেট"",""""))"),"")</f>
        <v/>
      </c>
      <c r="Q4046" s="5" t="str">
        <f t="shared" si="1"/>
        <v>২ পরে</v>
      </c>
    </row>
    <row r="4047">
      <c r="A4047" s="4">
        <v>1863.0</v>
      </c>
      <c r="B4047" s="2" t="s">
        <v>16468</v>
      </c>
      <c r="C4047" s="2" t="s">
        <v>16469</v>
      </c>
      <c r="D4047" s="2" t="s">
        <v>16470</v>
      </c>
      <c r="E4047" s="2" t="s">
        <v>16471</v>
      </c>
      <c r="F4047" s="2" t="b">
        <v>1</v>
      </c>
      <c r="G4047" s="2" t="b">
        <v>0</v>
      </c>
      <c r="H4047" s="2" t="s">
        <v>37</v>
      </c>
      <c r="I4047" s="2" t="s">
        <v>22</v>
      </c>
      <c r="J4047" s="2" t="s">
        <v>16089</v>
      </c>
      <c r="K4047" s="2" t="s">
        <v>495</v>
      </c>
      <c r="L4047" s="13" t="s">
        <v>496</v>
      </c>
      <c r="M4047" s="2" t="s">
        <v>26</v>
      </c>
      <c r="N4047" s="29"/>
      <c r="O4047" s="29"/>
      <c r="P4047" s="5" t="str">
        <f>IFERROR(__xludf.DUMMYFUNCTION("TEXTJOIN("" | "",TRUE,IF(OR(D4047="""",E4047="""",I4047="""",J4047="""",H4047=""""),""ফাঁকা ঘর"",""""),IF(AND(C4047&lt;&gt;"""",D4047&lt;&gt;"""",C4047=D4047),""gloss=figurative"",""""),IF(LEN(D4047)&lt;15,""figurative ছোট"",""""),IF(AND(I4047=""Positive"",REGEXMATCH(H4"&amp;"047,""মূর্খ|ভণ্ড|প্রতার|অলস|লোভ|স্বার্থ|অক্ষম|অযোগ্য|বোকা|কৃপণ|হিংস"")),""valence-target অমিল"",""""),IF(COUNTIF($B:$B,B4047)&gt;1,""ডুপ্লিকেট"",""""))"),"")</f>
        <v/>
      </c>
      <c r="Q4047" s="5" t="str">
        <f t="shared" si="1"/>
        <v>২ পরে</v>
      </c>
    </row>
    <row r="4048">
      <c r="A4048" s="4">
        <v>1864.0</v>
      </c>
      <c r="B4048" s="2" t="s">
        <v>16472</v>
      </c>
      <c r="C4048" s="2" t="s">
        <v>16473</v>
      </c>
      <c r="D4048" s="2" t="s">
        <v>16474</v>
      </c>
      <c r="E4048" s="2" t="s">
        <v>16475</v>
      </c>
      <c r="F4048" s="2" t="b">
        <v>1</v>
      </c>
      <c r="G4048" s="2" t="b">
        <v>0</v>
      </c>
      <c r="H4048" s="2" t="s">
        <v>16476</v>
      </c>
      <c r="I4048" s="2" t="s">
        <v>22</v>
      </c>
      <c r="J4048" s="2" t="s">
        <v>43</v>
      </c>
      <c r="K4048" s="2" t="s">
        <v>495</v>
      </c>
      <c r="L4048" s="13" t="s">
        <v>496</v>
      </c>
      <c r="M4048" s="2" t="s">
        <v>26</v>
      </c>
      <c r="N4048" s="29"/>
      <c r="O4048" s="29"/>
      <c r="P4048" s="5" t="str">
        <f>IFERROR(__xludf.DUMMYFUNCTION("TEXTJOIN("" | "",TRUE,IF(OR(D4048="""",E4048="""",I4048="""",J4048="""",H4048=""""),""ফাঁকা ঘর"",""""),IF(AND(C4048&lt;&gt;"""",D4048&lt;&gt;"""",C4048=D4048),""gloss=figurative"",""""),IF(LEN(D4048)&lt;15,""figurative ছোট"",""""),IF(AND(I4048=""Positive"",REGEXMATCH(H4"&amp;"048,""মূর্খ|ভণ্ড|প্রতার|অলস|লোভ|স্বার্থ|অক্ষম|অযোগ্য|বোকা|কৃপণ|হিংস"")),""valence-target অমিল"",""""),IF(COUNTIF($B:$B,B4048)&gt;1,""ডুপ্লিকেট"",""""))"),"")</f>
        <v/>
      </c>
      <c r="Q4048" s="5" t="str">
        <f t="shared" si="1"/>
        <v>২ পরে</v>
      </c>
    </row>
    <row r="4049">
      <c r="A4049" s="4">
        <v>1865.0</v>
      </c>
      <c r="B4049" s="2" t="s">
        <v>16477</v>
      </c>
      <c r="C4049" s="2" t="s">
        <v>16478</v>
      </c>
      <c r="D4049" s="2" t="s">
        <v>16479</v>
      </c>
      <c r="E4049" s="2" t="s">
        <v>16480</v>
      </c>
      <c r="F4049" s="2" t="b">
        <v>1</v>
      </c>
      <c r="G4049" s="2" t="b">
        <v>0</v>
      </c>
      <c r="H4049" s="2" t="s">
        <v>16481</v>
      </c>
      <c r="I4049" s="2" t="s">
        <v>22</v>
      </c>
      <c r="J4049" s="2" t="s">
        <v>43</v>
      </c>
      <c r="K4049" s="2" t="s">
        <v>495</v>
      </c>
      <c r="L4049" s="13" t="s">
        <v>496</v>
      </c>
      <c r="M4049" s="2" t="s">
        <v>26</v>
      </c>
      <c r="N4049" s="29"/>
      <c r="O4049" s="29"/>
      <c r="P4049" s="5" t="str">
        <f>IFERROR(__xludf.DUMMYFUNCTION("TEXTJOIN("" | "",TRUE,IF(OR(D4049="""",E4049="""",I4049="""",J4049="""",H4049=""""),""ফাঁকা ঘর"",""""),IF(AND(C4049&lt;&gt;"""",D4049&lt;&gt;"""",C4049=D4049),""gloss=figurative"",""""),IF(LEN(D4049)&lt;15,""figurative ছোট"",""""),IF(AND(I4049=""Positive"",REGEXMATCH(H4"&amp;"049,""মূর্খ|ভণ্ড|প্রতার|অলস|লোভ|স্বার্থ|অক্ষম|অযোগ্য|বোকা|কৃপণ|হিংস"")),""valence-target অমিল"",""""),IF(COUNTIF($B:$B,B4049)&gt;1,""ডুপ্লিকেট"",""""))"),"")</f>
        <v/>
      </c>
      <c r="Q4049" s="5" t="str">
        <f t="shared" si="1"/>
        <v>২ পরে</v>
      </c>
    </row>
    <row r="4050">
      <c r="A4050" s="4">
        <v>1866.0</v>
      </c>
      <c r="B4050" s="2" t="s">
        <v>16482</v>
      </c>
      <c r="C4050" s="2" t="s">
        <v>16483</v>
      </c>
      <c r="D4050" s="2" t="s">
        <v>16484</v>
      </c>
      <c r="E4050" s="2" t="s">
        <v>16485</v>
      </c>
      <c r="F4050" s="2" t="b">
        <v>1</v>
      </c>
      <c r="G4050" s="2" t="b">
        <v>0</v>
      </c>
      <c r="H4050" s="2" t="s">
        <v>37</v>
      </c>
      <c r="I4050" s="2" t="s">
        <v>32</v>
      </c>
      <c r="J4050" s="2" t="s">
        <v>814</v>
      </c>
      <c r="K4050" s="2" t="s">
        <v>495</v>
      </c>
      <c r="L4050" s="13" t="s">
        <v>496</v>
      </c>
      <c r="M4050" s="2" t="s">
        <v>26</v>
      </c>
      <c r="N4050" s="29"/>
      <c r="O4050" s="29"/>
      <c r="P4050" s="5" t="str">
        <f>IFERROR(__xludf.DUMMYFUNCTION("TEXTJOIN("" | "",TRUE,IF(OR(D4050="""",E4050="""",I4050="""",J4050="""",H4050=""""),""ফাঁকা ঘর"",""""),IF(AND(C4050&lt;&gt;"""",D4050&lt;&gt;"""",C4050=D4050),""gloss=figurative"",""""),IF(LEN(D4050)&lt;15,""figurative ছোট"",""""),IF(AND(I4050=""Positive"",REGEXMATCH(H4"&amp;"050,""মূর্খ|ভণ্ড|প্রতার|অলস|লোভ|স্বার্থ|অক্ষম|অযোগ্য|বোকা|কৃপণ|হিংস"")),""valence-target অমিল"",""""),IF(COUNTIF($B:$B,B4050)&gt;1,""ডুপ্লিকেট"",""""))"),"")</f>
        <v/>
      </c>
      <c r="Q4050" s="5" t="str">
        <f t="shared" si="1"/>
        <v>২ পরে</v>
      </c>
    </row>
    <row r="4051">
      <c r="A4051" s="4">
        <v>1867.0</v>
      </c>
      <c r="B4051" s="2" t="s">
        <v>16486</v>
      </c>
      <c r="C4051" s="2" t="s">
        <v>16487</v>
      </c>
      <c r="D4051" s="2" t="s">
        <v>16488</v>
      </c>
      <c r="E4051" s="2" t="s">
        <v>16489</v>
      </c>
      <c r="F4051" s="2" t="b">
        <v>1</v>
      </c>
      <c r="G4051" s="2" t="b">
        <v>0</v>
      </c>
      <c r="H4051" s="2" t="s">
        <v>16490</v>
      </c>
      <c r="I4051" s="2" t="s">
        <v>32</v>
      </c>
      <c r="J4051" s="2" t="s">
        <v>762</v>
      </c>
      <c r="K4051" s="2" t="s">
        <v>495</v>
      </c>
      <c r="L4051" s="13" t="s">
        <v>496</v>
      </c>
      <c r="M4051" s="2" t="s">
        <v>26</v>
      </c>
      <c r="N4051" s="29"/>
      <c r="O4051" s="29"/>
      <c r="P4051" s="5" t="str">
        <f>IFERROR(__xludf.DUMMYFUNCTION("TEXTJOIN("" | "",TRUE,IF(OR(D4051="""",E4051="""",I4051="""",J4051="""",H4051=""""),""ফাঁকা ঘর"",""""),IF(AND(C4051&lt;&gt;"""",D4051&lt;&gt;"""",C4051=D4051),""gloss=figurative"",""""),IF(LEN(D4051)&lt;15,""figurative ছোট"",""""),IF(AND(I4051=""Positive"",REGEXMATCH(H4"&amp;"051,""মূর্খ|ভণ্ড|প্রতার|অলস|লোভ|স্বার্থ|অক্ষম|অযোগ্য|বোকা|কৃপণ|হিংস"")),""valence-target অমিল"",""""),IF(COUNTIF($B:$B,B4051)&gt;1,""ডুপ্লিকেট"",""""))"),"")</f>
        <v/>
      </c>
      <c r="Q4051" s="5" t="str">
        <f t="shared" si="1"/>
        <v>২ পরে</v>
      </c>
    </row>
    <row r="4052">
      <c r="A4052" s="4">
        <v>1868.0</v>
      </c>
      <c r="B4052" s="2" t="s">
        <v>16491</v>
      </c>
      <c r="C4052" s="2" t="s">
        <v>16492</v>
      </c>
      <c r="D4052" s="2" t="s">
        <v>16493</v>
      </c>
      <c r="E4052" s="2" t="s">
        <v>16494</v>
      </c>
      <c r="F4052" s="2" t="b">
        <v>1</v>
      </c>
      <c r="G4052" s="2" t="b">
        <v>0</v>
      </c>
      <c r="H4052" s="2" t="s">
        <v>16495</v>
      </c>
      <c r="I4052" s="2" t="s">
        <v>22</v>
      </c>
      <c r="J4052" s="2" t="s">
        <v>447</v>
      </c>
      <c r="K4052" s="2" t="s">
        <v>495</v>
      </c>
      <c r="L4052" s="13" t="s">
        <v>496</v>
      </c>
      <c r="M4052" s="2" t="s">
        <v>26</v>
      </c>
      <c r="N4052" s="29"/>
      <c r="O4052" s="29"/>
      <c r="P4052" s="5" t="str">
        <f>IFERROR(__xludf.DUMMYFUNCTION("TEXTJOIN("" | "",TRUE,IF(OR(D4052="""",E4052="""",I4052="""",J4052="""",H4052=""""),""ফাঁকা ঘর"",""""),IF(AND(C4052&lt;&gt;"""",D4052&lt;&gt;"""",C4052=D4052),""gloss=figurative"",""""),IF(LEN(D4052)&lt;15,""figurative ছোট"",""""),IF(AND(I4052=""Positive"",REGEXMATCH(H4"&amp;"052,""মূর্খ|ভণ্ড|প্রতার|অলস|লোভ|স্বার্থ|অক্ষম|অযোগ্য|বোকা|কৃপণ|হিংস"")),""valence-target অমিল"",""""),IF(COUNTIF($B:$B,B4052)&gt;1,""ডুপ্লিকেট"",""""))"),"")</f>
        <v/>
      </c>
      <c r="Q4052" s="5" t="str">
        <f t="shared" si="1"/>
        <v>২ পরে</v>
      </c>
    </row>
    <row r="4053">
      <c r="A4053" s="4">
        <v>1869.0</v>
      </c>
      <c r="B4053" s="2" t="s">
        <v>16496</v>
      </c>
      <c r="C4053" s="2" t="s">
        <v>16492</v>
      </c>
      <c r="D4053" s="2" t="s">
        <v>16497</v>
      </c>
      <c r="E4053" s="2" t="s">
        <v>16498</v>
      </c>
      <c r="F4053" s="2" t="b">
        <v>1</v>
      </c>
      <c r="G4053" s="2" t="b">
        <v>0</v>
      </c>
      <c r="H4053" s="2" t="s">
        <v>16499</v>
      </c>
      <c r="I4053" s="2" t="s">
        <v>22</v>
      </c>
      <c r="J4053" s="2" t="s">
        <v>447</v>
      </c>
      <c r="K4053" s="2" t="s">
        <v>495</v>
      </c>
      <c r="L4053" s="13" t="s">
        <v>496</v>
      </c>
      <c r="M4053" s="2" t="s">
        <v>26</v>
      </c>
      <c r="N4053" s="29"/>
      <c r="O4053" s="29"/>
      <c r="P4053" s="5" t="str">
        <f>IFERROR(__xludf.DUMMYFUNCTION("TEXTJOIN("" | "",TRUE,IF(OR(D4053="""",E4053="""",I4053="""",J4053="""",H4053=""""),""ফাঁকা ঘর"",""""),IF(AND(C4053&lt;&gt;"""",D4053&lt;&gt;"""",C4053=D4053),""gloss=figurative"",""""),IF(LEN(D4053)&lt;15,""figurative ছোট"",""""),IF(AND(I4053=""Positive"",REGEXMATCH(H4"&amp;"053,""মূর্খ|ভণ্ড|প্রতার|অলস|লোভ|স্বার্থ|অক্ষম|অযোগ্য|বোকা|কৃপণ|হিংস"")),""valence-target অমিল"",""""),IF(COUNTIF($B:$B,B4053)&gt;1,""ডুপ্লিকেট"",""""))"),"")</f>
        <v/>
      </c>
      <c r="Q4053" s="5" t="str">
        <f t="shared" si="1"/>
        <v>২ পরে</v>
      </c>
    </row>
    <row r="4054">
      <c r="A4054" s="4">
        <v>1870.0</v>
      </c>
      <c r="B4054" s="2" t="s">
        <v>16500</v>
      </c>
      <c r="C4054" s="2" t="s">
        <v>16501</v>
      </c>
      <c r="D4054" s="2" t="s">
        <v>16502</v>
      </c>
      <c r="E4054" s="2" t="s">
        <v>16503</v>
      </c>
      <c r="F4054" s="2" t="b">
        <v>1</v>
      </c>
      <c r="G4054" s="2" t="b">
        <v>0</v>
      </c>
      <c r="H4054" s="2" t="s">
        <v>37</v>
      </c>
      <c r="I4054" s="2" t="s">
        <v>49</v>
      </c>
      <c r="J4054" s="2" t="s">
        <v>16504</v>
      </c>
      <c r="K4054" s="2" t="s">
        <v>495</v>
      </c>
      <c r="L4054" s="13" t="s">
        <v>496</v>
      </c>
      <c r="M4054" s="2" t="s">
        <v>26</v>
      </c>
      <c r="N4054" s="29"/>
      <c r="O4054" s="29"/>
      <c r="P4054" s="5" t="str">
        <f>IFERROR(__xludf.DUMMYFUNCTION("TEXTJOIN("" | "",TRUE,IF(OR(D4054="""",E4054="""",I4054="""",J4054="""",H4054=""""),""ফাঁকা ঘর"",""""),IF(AND(C4054&lt;&gt;"""",D4054&lt;&gt;"""",C4054=D4054),""gloss=figurative"",""""),IF(LEN(D4054)&lt;15,""figurative ছোট"",""""),IF(AND(I4054=""Positive"",REGEXMATCH(H4"&amp;"054,""মূর্খ|ভণ্ড|প্রতার|অলস|লোভ|স্বার্থ|অক্ষম|অযোগ্য|বোকা|কৃপণ|হিংস"")),""valence-target অমিল"",""""),IF(COUNTIF($B:$B,B4054)&gt;1,""ডুপ্লিকেট"",""""))"),"")</f>
        <v/>
      </c>
      <c r="Q4054" s="5" t="str">
        <f t="shared" si="1"/>
        <v>২ পরে</v>
      </c>
    </row>
    <row r="4055">
      <c r="A4055" s="4">
        <v>1871.0</v>
      </c>
      <c r="B4055" s="2" t="s">
        <v>16505</v>
      </c>
      <c r="C4055" s="2" t="s">
        <v>16506</v>
      </c>
      <c r="D4055" s="2" t="s">
        <v>16507</v>
      </c>
      <c r="E4055" s="2" t="s">
        <v>16508</v>
      </c>
      <c r="F4055" s="2" t="b">
        <v>1</v>
      </c>
      <c r="G4055" s="2" t="b">
        <v>0</v>
      </c>
      <c r="H4055" s="2" t="s">
        <v>37</v>
      </c>
      <c r="I4055" s="2" t="s">
        <v>32</v>
      </c>
      <c r="J4055" s="2" t="s">
        <v>5350</v>
      </c>
      <c r="K4055" s="2" t="s">
        <v>495</v>
      </c>
      <c r="L4055" s="13" t="s">
        <v>496</v>
      </c>
      <c r="M4055" s="2" t="s">
        <v>26</v>
      </c>
      <c r="N4055" s="29"/>
      <c r="O4055" s="29"/>
      <c r="P4055" s="5" t="str">
        <f>IFERROR(__xludf.DUMMYFUNCTION("TEXTJOIN("" | "",TRUE,IF(OR(D4055="""",E4055="""",I4055="""",J4055="""",H4055=""""),""ফাঁকা ঘর"",""""),IF(AND(C4055&lt;&gt;"""",D4055&lt;&gt;"""",C4055=D4055),""gloss=figurative"",""""),IF(LEN(D4055)&lt;15,""figurative ছোট"",""""),IF(AND(I4055=""Positive"",REGEXMATCH(H4"&amp;"055,""মূর্খ|ভণ্ড|প্রতার|অলস|লোভ|স্বার্থ|অক্ষম|অযোগ্য|বোকা|কৃপণ|হিংস"")),""valence-target অমিল"",""""),IF(COUNTIF($B:$B,B4055)&gt;1,""ডুপ্লিকেট"",""""))"),"")</f>
        <v/>
      </c>
      <c r="Q4055" s="5" t="str">
        <f t="shared" si="1"/>
        <v>২ পরে</v>
      </c>
    </row>
    <row r="4056">
      <c r="A4056" s="4">
        <v>1872.0</v>
      </c>
      <c r="B4056" s="2" t="s">
        <v>16509</v>
      </c>
      <c r="C4056" s="2" t="s">
        <v>16510</v>
      </c>
      <c r="D4056" s="2" t="s">
        <v>16511</v>
      </c>
      <c r="E4056" s="2" t="s">
        <v>16512</v>
      </c>
      <c r="F4056" s="2" t="b">
        <v>1</v>
      </c>
      <c r="G4056" s="2" t="b">
        <v>0</v>
      </c>
      <c r="H4056" s="2" t="s">
        <v>16513</v>
      </c>
      <c r="I4056" s="2" t="s">
        <v>22</v>
      </c>
      <c r="J4056" s="2" t="s">
        <v>43</v>
      </c>
      <c r="K4056" s="2" t="s">
        <v>495</v>
      </c>
      <c r="L4056" s="13" t="s">
        <v>496</v>
      </c>
      <c r="M4056" s="2" t="s">
        <v>26</v>
      </c>
      <c r="N4056" s="29"/>
      <c r="O4056" s="29"/>
      <c r="P4056" s="5" t="str">
        <f>IFERROR(__xludf.DUMMYFUNCTION("TEXTJOIN("" | "",TRUE,IF(OR(D4056="""",E4056="""",I4056="""",J4056="""",H4056=""""),""ফাঁকা ঘর"",""""),IF(AND(C4056&lt;&gt;"""",D4056&lt;&gt;"""",C4056=D4056),""gloss=figurative"",""""),IF(LEN(D4056)&lt;15,""figurative ছোট"",""""),IF(AND(I4056=""Positive"",REGEXMATCH(H4"&amp;"056,""মূর্খ|ভণ্ড|প্রতার|অলস|লোভ|স্বার্থ|অক্ষম|অযোগ্য|বোকা|কৃপণ|হিংস"")),""valence-target অমিল"",""""),IF(COUNTIF($B:$B,B4056)&gt;1,""ডুপ্লিকেট"",""""))"),"")</f>
        <v/>
      </c>
      <c r="Q4056" s="5" t="str">
        <f t="shared" si="1"/>
        <v>২ পরে</v>
      </c>
    </row>
    <row r="4057">
      <c r="A4057" s="4">
        <v>1873.0</v>
      </c>
      <c r="B4057" s="2" t="s">
        <v>16514</v>
      </c>
      <c r="C4057" s="2" t="s">
        <v>16515</v>
      </c>
      <c r="D4057" s="2" t="s">
        <v>16516</v>
      </c>
      <c r="E4057" s="2" t="s">
        <v>16517</v>
      </c>
      <c r="F4057" s="2" t="b">
        <v>1</v>
      </c>
      <c r="G4057" s="2" t="b">
        <v>0</v>
      </c>
      <c r="H4057" s="2" t="s">
        <v>16518</v>
      </c>
      <c r="I4057" s="2" t="s">
        <v>22</v>
      </c>
      <c r="J4057" s="2" t="s">
        <v>43</v>
      </c>
      <c r="K4057" s="2" t="s">
        <v>495</v>
      </c>
      <c r="L4057" s="13" t="s">
        <v>496</v>
      </c>
      <c r="M4057" s="2" t="s">
        <v>26</v>
      </c>
      <c r="N4057" s="29"/>
      <c r="O4057" s="29"/>
      <c r="P4057" s="5" t="str">
        <f>IFERROR(__xludf.DUMMYFUNCTION("TEXTJOIN("" | "",TRUE,IF(OR(D4057="""",E4057="""",I4057="""",J4057="""",H4057=""""),""ফাঁকা ঘর"",""""),IF(AND(C4057&lt;&gt;"""",D4057&lt;&gt;"""",C4057=D4057),""gloss=figurative"",""""),IF(LEN(D4057)&lt;15,""figurative ছোট"",""""),IF(AND(I4057=""Positive"",REGEXMATCH(H4"&amp;"057,""মূর্খ|ভণ্ড|প্রতার|অলস|লোভ|স্বার্থ|অক্ষম|অযোগ্য|বোকা|কৃপণ|হিংস"")),""valence-target অমিল"",""""),IF(COUNTIF($B:$B,B4057)&gt;1,""ডুপ্লিকেট"",""""))"),"")</f>
        <v/>
      </c>
      <c r="Q4057" s="5" t="str">
        <f t="shared" si="1"/>
        <v>২ পরে</v>
      </c>
    </row>
    <row r="4058">
      <c r="A4058" s="4">
        <v>1874.0</v>
      </c>
      <c r="B4058" s="2" t="s">
        <v>16519</v>
      </c>
      <c r="C4058" s="2" t="s">
        <v>16520</v>
      </c>
      <c r="D4058" s="2" t="s">
        <v>16521</v>
      </c>
      <c r="E4058" s="2" t="s">
        <v>16522</v>
      </c>
      <c r="F4058" s="2" t="b">
        <v>1</v>
      </c>
      <c r="G4058" s="2" t="b">
        <v>0</v>
      </c>
      <c r="H4058" s="2" t="s">
        <v>16523</v>
      </c>
      <c r="I4058" s="2" t="s">
        <v>32</v>
      </c>
      <c r="J4058" s="2" t="s">
        <v>16524</v>
      </c>
      <c r="K4058" s="2" t="s">
        <v>495</v>
      </c>
      <c r="L4058" s="13" t="s">
        <v>496</v>
      </c>
      <c r="M4058" s="2" t="s">
        <v>26</v>
      </c>
      <c r="N4058" s="29"/>
      <c r="O4058" s="29"/>
      <c r="P4058" s="5" t="str">
        <f>IFERROR(__xludf.DUMMYFUNCTION("TEXTJOIN("" | "",TRUE,IF(OR(D4058="""",E4058="""",I4058="""",J4058="""",H4058=""""),""ফাঁকা ঘর"",""""),IF(AND(C4058&lt;&gt;"""",D4058&lt;&gt;"""",C4058=D4058),""gloss=figurative"",""""),IF(LEN(D4058)&lt;15,""figurative ছোট"",""""),IF(AND(I4058=""Positive"",REGEXMATCH(H4"&amp;"058,""মূর্খ|ভণ্ড|প্রতার|অলস|লোভ|স্বার্থ|অক্ষম|অযোগ্য|বোকা|কৃপণ|হিংস"")),""valence-target অমিল"",""""),IF(COUNTIF($B:$B,B4058)&gt;1,""ডুপ্লিকেট"",""""))"),"")</f>
        <v/>
      </c>
      <c r="Q4058" s="5" t="str">
        <f t="shared" si="1"/>
        <v>২ পরে</v>
      </c>
    </row>
    <row r="4059">
      <c r="A4059" s="4">
        <v>1875.0</v>
      </c>
      <c r="B4059" s="2" t="s">
        <v>16525</v>
      </c>
      <c r="C4059" s="2" t="s">
        <v>16526</v>
      </c>
      <c r="D4059" s="2" t="s">
        <v>16527</v>
      </c>
      <c r="E4059" s="2" t="s">
        <v>16528</v>
      </c>
      <c r="F4059" s="2" t="b">
        <v>1</v>
      </c>
      <c r="G4059" s="2" t="b">
        <v>0</v>
      </c>
      <c r="H4059" s="2" t="s">
        <v>37</v>
      </c>
      <c r="I4059" s="2" t="s">
        <v>22</v>
      </c>
      <c r="J4059" s="2" t="s">
        <v>16529</v>
      </c>
      <c r="K4059" s="2" t="s">
        <v>495</v>
      </c>
      <c r="L4059" s="13" t="s">
        <v>496</v>
      </c>
      <c r="M4059" s="2" t="s">
        <v>26</v>
      </c>
      <c r="N4059" s="29"/>
      <c r="O4059" s="29"/>
      <c r="P4059" s="5" t="str">
        <f>IFERROR(__xludf.DUMMYFUNCTION("TEXTJOIN("" | "",TRUE,IF(OR(D4059="""",E4059="""",I4059="""",J4059="""",H4059=""""),""ফাঁকা ঘর"",""""),IF(AND(C4059&lt;&gt;"""",D4059&lt;&gt;"""",C4059=D4059),""gloss=figurative"",""""),IF(LEN(D4059)&lt;15,""figurative ছোট"",""""),IF(AND(I4059=""Positive"",REGEXMATCH(H4"&amp;"059,""মূর্খ|ভণ্ড|প্রতার|অলস|লোভ|স্বার্থ|অক্ষম|অযোগ্য|বোকা|কৃপণ|হিংস"")),""valence-target অমিল"",""""),IF(COUNTIF($B:$B,B4059)&gt;1,""ডুপ্লিকেট"",""""))"),"")</f>
        <v/>
      </c>
      <c r="Q4059" s="5" t="str">
        <f t="shared" si="1"/>
        <v>২ পরে</v>
      </c>
    </row>
    <row r="4060">
      <c r="A4060" s="4">
        <v>1876.0</v>
      </c>
      <c r="B4060" s="2" t="s">
        <v>16530</v>
      </c>
      <c r="C4060" s="2" t="s">
        <v>16531</v>
      </c>
      <c r="D4060" s="2" t="s">
        <v>16532</v>
      </c>
      <c r="E4060" s="2" t="s">
        <v>16533</v>
      </c>
      <c r="F4060" s="2" t="b">
        <v>1</v>
      </c>
      <c r="G4060" s="2" t="b">
        <v>0</v>
      </c>
      <c r="H4060" s="2" t="s">
        <v>16534</v>
      </c>
      <c r="I4060" s="2" t="s">
        <v>22</v>
      </c>
      <c r="J4060" s="2" t="s">
        <v>5143</v>
      </c>
      <c r="K4060" s="2" t="s">
        <v>495</v>
      </c>
      <c r="L4060" s="13" t="s">
        <v>496</v>
      </c>
      <c r="M4060" s="2" t="s">
        <v>26</v>
      </c>
      <c r="N4060" s="29"/>
      <c r="O4060" s="29"/>
      <c r="P4060" s="5" t="str">
        <f>IFERROR(__xludf.DUMMYFUNCTION("TEXTJOIN("" | "",TRUE,IF(OR(D4060="""",E4060="""",I4060="""",J4060="""",H4060=""""),""ফাঁকা ঘর"",""""),IF(AND(C4060&lt;&gt;"""",D4060&lt;&gt;"""",C4060=D4060),""gloss=figurative"",""""),IF(LEN(D4060)&lt;15,""figurative ছোট"",""""),IF(AND(I4060=""Positive"",REGEXMATCH(H4"&amp;"060,""মূর্খ|ভণ্ড|প্রতার|অলস|লোভ|স্বার্থ|অক্ষম|অযোগ্য|বোকা|কৃপণ|হিংস"")),""valence-target অমিল"",""""),IF(COUNTIF($B:$B,B4060)&gt;1,""ডুপ্লিকেট"",""""))"),"")</f>
        <v/>
      </c>
      <c r="Q4060" s="5" t="str">
        <f t="shared" si="1"/>
        <v>২ পরে</v>
      </c>
    </row>
    <row r="4061">
      <c r="A4061" s="4">
        <v>1877.0</v>
      </c>
      <c r="B4061" s="2" t="s">
        <v>16535</v>
      </c>
      <c r="C4061" s="2" t="s">
        <v>16536</v>
      </c>
      <c r="D4061" s="2" t="s">
        <v>16537</v>
      </c>
      <c r="E4061" s="2" t="s">
        <v>16538</v>
      </c>
      <c r="F4061" s="2" t="b">
        <v>1</v>
      </c>
      <c r="G4061" s="2" t="b">
        <v>0</v>
      </c>
      <c r="H4061" s="2" t="s">
        <v>37</v>
      </c>
      <c r="I4061" s="2" t="s">
        <v>32</v>
      </c>
      <c r="J4061" s="2" t="s">
        <v>723</v>
      </c>
      <c r="K4061" s="2" t="s">
        <v>495</v>
      </c>
      <c r="L4061" s="13" t="s">
        <v>496</v>
      </c>
      <c r="M4061" s="2" t="s">
        <v>26</v>
      </c>
      <c r="N4061" s="29"/>
      <c r="O4061" s="29"/>
      <c r="P4061" s="5" t="str">
        <f>IFERROR(__xludf.DUMMYFUNCTION("TEXTJOIN("" | "",TRUE,IF(OR(D4061="""",E4061="""",I4061="""",J4061="""",H4061=""""),""ফাঁকা ঘর"",""""),IF(AND(C4061&lt;&gt;"""",D4061&lt;&gt;"""",C4061=D4061),""gloss=figurative"",""""),IF(LEN(D4061)&lt;15,""figurative ছোট"",""""),IF(AND(I4061=""Positive"",REGEXMATCH(H4"&amp;"061,""মূর্খ|ভণ্ড|প্রতার|অলস|লোভ|স্বার্থ|অক্ষম|অযোগ্য|বোকা|কৃপণ|হিংস"")),""valence-target অমিল"",""""),IF(COUNTIF($B:$B,B4061)&gt;1,""ডুপ্লিকেট"",""""))"),"")</f>
        <v/>
      </c>
      <c r="Q4061" s="5" t="str">
        <f t="shared" si="1"/>
        <v>২ পরে</v>
      </c>
    </row>
    <row r="4062">
      <c r="A4062" s="4">
        <v>1878.0</v>
      </c>
      <c r="B4062" s="2" t="s">
        <v>16539</v>
      </c>
      <c r="C4062" s="2" t="s">
        <v>16540</v>
      </c>
      <c r="D4062" s="2" t="s">
        <v>16541</v>
      </c>
      <c r="E4062" s="2" t="s">
        <v>16542</v>
      </c>
      <c r="F4062" s="2" t="b">
        <v>1</v>
      </c>
      <c r="G4062" s="2" t="b">
        <v>0</v>
      </c>
      <c r="H4062" s="2" t="s">
        <v>16543</v>
      </c>
      <c r="I4062" s="2" t="s">
        <v>32</v>
      </c>
      <c r="J4062" s="2" t="s">
        <v>5278</v>
      </c>
      <c r="K4062" s="2" t="s">
        <v>495</v>
      </c>
      <c r="L4062" s="13" t="s">
        <v>496</v>
      </c>
      <c r="M4062" s="2" t="s">
        <v>26</v>
      </c>
      <c r="N4062" s="29"/>
      <c r="O4062" s="29"/>
      <c r="P4062" s="5" t="str">
        <f>IFERROR(__xludf.DUMMYFUNCTION("TEXTJOIN("" | "",TRUE,IF(OR(D4062="""",E4062="""",I4062="""",J4062="""",H4062=""""),""ফাঁকা ঘর"",""""),IF(AND(C4062&lt;&gt;"""",D4062&lt;&gt;"""",C4062=D4062),""gloss=figurative"",""""),IF(LEN(D4062)&lt;15,""figurative ছোট"",""""),IF(AND(I4062=""Positive"",REGEXMATCH(H4"&amp;"062,""মূর্খ|ভণ্ড|প্রতার|অলস|লোভ|স্বার্থ|অক্ষম|অযোগ্য|বোকা|কৃপণ|হিংস"")),""valence-target অমিল"",""""),IF(COUNTIF($B:$B,B4062)&gt;1,""ডুপ্লিকেট"",""""))"),"")</f>
        <v/>
      </c>
      <c r="Q4062" s="5" t="str">
        <f t="shared" si="1"/>
        <v>২ পরে</v>
      </c>
    </row>
    <row r="4063">
      <c r="A4063" s="4">
        <v>1879.0</v>
      </c>
      <c r="B4063" s="2" t="s">
        <v>16544</v>
      </c>
      <c r="C4063" s="2" t="s">
        <v>16545</v>
      </c>
      <c r="D4063" s="2" t="s">
        <v>16546</v>
      </c>
      <c r="E4063" s="2" t="s">
        <v>16547</v>
      </c>
      <c r="F4063" s="2" t="b">
        <v>1</v>
      </c>
      <c r="G4063" s="2" t="b">
        <v>0</v>
      </c>
      <c r="H4063" s="2" t="s">
        <v>16548</v>
      </c>
      <c r="I4063" s="2" t="s">
        <v>22</v>
      </c>
      <c r="J4063" s="2" t="s">
        <v>3111</v>
      </c>
      <c r="K4063" s="2" t="s">
        <v>495</v>
      </c>
      <c r="L4063" s="13" t="s">
        <v>496</v>
      </c>
      <c r="M4063" s="2" t="s">
        <v>26</v>
      </c>
      <c r="N4063" s="29"/>
      <c r="O4063" s="29"/>
      <c r="P4063" s="5" t="str">
        <f>IFERROR(__xludf.DUMMYFUNCTION("TEXTJOIN("" | "",TRUE,IF(OR(D4063="""",E4063="""",I4063="""",J4063="""",H4063=""""),""ফাঁকা ঘর"",""""),IF(AND(C4063&lt;&gt;"""",D4063&lt;&gt;"""",C4063=D4063),""gloss=figurative"",""""),IF(LEN(D4063)&lt;15,""figurative ছোট"",""""),IF(AND(I4063=""Positive"",REGEXMATCH(H4"&amp;"063,""মূর্খ|ভণ্ড|প্রতার|অলস|লোভ|স্বার্থ|অক্ষম|অযোগ্য|বোকা|কৃপণ|হিংস"")),""valence-target অমিল"",""""),IF(COUNTIF($B:$B,B4063)&gt;1,""ডুপ্লিকেট"",""""))"),"")</f>
        <v/>
      </c>
      <c r="Q4063" s="5" t="str">
        <f t="shared" si="1"/>
        <v>২ পরে</v>
      </c>
    </row>
    <row r="4064">
      <c r="A4064" s="4">
        <v>1880.0</v>
      </c>
      <c r="B4064" s="2" t="s">
        <v>16549</v>
      </c>
      <c r="C4064" s="2" t="s">
        <v>16550</v>
      </c>
      <c r="D4064" s="2" t="s">
        <v>16551</v>
      </c>
      <c r="E4064" s="2" t="s">
        <v>16552</v>
      </c>
      <c r="F4064" s="2" t="b">
        <v>1</v>
      </c>
      <c r="G4064" s="2" t="b">
        <v>0</v>
      </c>
      <c r="H4064" s="2" t="s">
        <v>16553</v>
      </c>
      <c r="I4064" s="2" t="s">
        <v>22</v>
      </c>
      <c r="J4064" s="2" t="s">
        <v>1603</v>
      </c>
      <c r="K4064" s="2" t="s">
        <v>495</v>
      </c>
      <c r="L4064" s="13" t="s">
        <v>496</v>
      </c>
      <c r="M4064" s="2" t="s">
        <v>26</v>
      </c>
      <c r="N4064" s="29"/>
      <c r="O4064" s="29"/>
      <c r="P4064" s="5" t="str">
        <f>IFERROR(__xludf.DUMMYFUNCTION("TEXTJOIN("" | "",TRUE,IF(OR(D4064="""",E4064="""",I4064="""",J4064="""",H4064=""""),""ফাঁকা ঘর"",""""),IF(AND(C4064&lt;&gt;"""",D4064&lt;&gt;"""",C4064=D4064),""gloss=figurative"",""""),IF(LEN(D4064)&lt;15,""figurative ছোট"",""""),IF(AND(I4064=""Positive"",REGEXMATCH(H4"&amp;"064,""মূর্খ|ভণ্ড|প্রতার|অলস|লোভ|স্বার্থ|অক্ষম|অযোগ্য|বোকা|কৃপণ|হিংস"")),""valence-target অমিল"",""""),IF(COUNTIF($B:$B,B4064)&gt;1,""ডুপ্লিকেট"",""""))"),"")</f>
        <v/>
      </c>
      <c r="Q4064" s="5" t="str">
        <f t="shared" si="1"/>
        <v>২ পরে</v>
      </c>
    </row>
    <row r="4065">
      <c r="A4065" s="4">
        <v>1881.0</v>
      </c>
      <c r="B4065" s="2" t="s">
        <v>16554</v>
      </c>
      <c r="C4065" s="2" t="s">
        <v>16550</v>
      </c>
      <c r="D4065" s="2" t="s">
        <v>16555</v>
      </c>
      <c r="E4065" s="2" t="s">
        <v>16556</v>
      </c>
      <c r="F4065" s="2" t="b">
        <v>1</v>
      </c>
      <c r="G4065" s="2" t="b">
        <v>0</v>
      </c>
      <c r="H4065" s="2" t="s">
        <v>16557</v>
      </c>
      <c r="I4065" s="2" t="s">
        <v>22</v>
      </c>
      <c r="J4065" s="2" t="s">
        <v>565</v>
      </c>
      <c r="K4065" s="2" t="s">
        <v>495</v>
      </c>
      <c r="L4065" s="13" t="s">
        <v>496</v>
      </c>
      <c r="M4065" s="2" t="s">
        <v>26</v>
      </c>
      <c r="N4065" s="29"/>
      <c r="O4065" s="29"/>
      <c r="P4065" s="5" t="str">
        <f>IFERROR(__xludf.DUMMYFUNCTION("TEXTJOIN("" | "",TRUE,IF(OR(D4065="""",E4065="""",I4065="""",J4065="""",H4065=""""),""ফাঁকা ঘর"",""""),IF(AND(C4065&lt;&gt;"""",D4065&lt;&gt;"""",C4065=D4065),""gloss=figurative"",""""),IF(LEN(D4065)&lt;15,""figurative ছোট"",""""),IF(AND(I4065=""Positive"",REGEXMATCH(H4"&amp;"065,""মূর্খ|ভণ্ড|প্রতার|অলস|লোভ|স্বার্থ|অক্ষম|অযোগ্য|বোকা|কৃপণ|হিংস"")),""valence-target অমিল"",""""),IF(COUNTIF($B:$B,B4065)&gt;1,""ডুপ্লিকেট"",""""))"),"")</f>
        <v/>
      </c>
      <c r="Q4065" s="5" t="str">
        <f t="shared" si="1"/>
        <v>২ পরে</v>
      </c>
    </row>
    <row r="4066">
      <c r="A4066" s="4">
        <v>1882.0</v>
      </c>
      <c r="B4066" s="2" t="s">
        <v>16558</v>
      </c>
      <c r="C4066" s="2" t="s">
        <v>16559</v>
      </c>
      <c r="D4066" s="2" t="s">
        <v>16560</v>
      </c>
      <c r="E4066" s="2" t="s">
        <v>16561</v>
      </c>
      <c r="F4066" s="2" t="b">
        <v>1</v>
      </c>
      <c r="G4066" s="2" t="b">
        <v>0</v>
      </c>
      <c r="H4066" s="2" t="s">
        <v>16562</v>
      </c>
      <c r="I4066" s="2" t="s">
        <v>22</v>
      </c>
      <c r="J4066" s="2" t="s">
        <v>590</v>
      </c>
      <c r="K4066" s="2" t="s">
        <v>495</v>
      </c>
      <c r="L4066" s="13" t="s">
        <v>496</v>
      </c>
      <c r="M4066" s="2" t="s">
        <v>26</v>
      </c>
      <c r="N4066" s="29"/>
      <c r="O4066" s="29"/>
      <c r="P4066" s="5" t="str">
        <f>IFERROR(__xludf.DUMMYFUNCTION("TEXTJOIN("" | "",TRUE,IF(OR(D4066="""",E4066="""",I4066="""",J4066="""",H4066=""""),""ফাঁকা ঘর"",""""),IF(AND(C4066&lt;&gt;"""",D4066&lt;&gt;"""",C4066=D4066),""gloss=figurative"",""""),IF(LEN(D4066)&lt;15,""figurative ছোট"",""""),IF(AND(I4066=""Positive"",REGEXMATCH(H4"&amp;"066,""মূর্খ|ভণ্ড|প্রতার|অলস|লোভ|স্বার্থ|অক্ষম|অযোগ্য|বোকা|কৃপণ|হিংস"")),""valence-target অমিল"",""""),IF(COUNTIF($B:$B,B4066)&gt;1,""ডুপ্লিকেট"",""""))"),"")</f>
        <v/>
      </c>
      <c r="Q4066" s="5" t="str">
        <f t="shared" si="1"/>
        <v>২ পরে</v>
      </c>
    </row>
    <row r="4067">
      <c r="A4067" s="4">
        <v>1883.0</v>
      </c>
      <c r="B4067" s="2" t="s">
        <v>16563</v>
      </c>
      <c r="C4067" s="2" t="s">
        <v>16564</v>
      </c>
      <c r="D4067" s="2" t="s">
        <v>16565</v>
      </c>
      <c r="E4067" s="2" t="s">
        <v>16566</v>
      </c>
      <c r="F4067" s="2" t="b">
        <v>1</v>
      </c>
      <c r="G4067" s="2" t="b">
        <v>0</v>
      </c>
      <c r="H4067" s="2" t="s">
        <v>16567</v>
      </c>
      <c r="I4067" s="2" t="s">
        <v>22</v>
      </c>
      <c r="J4067" s="2" t="s">
        <v>16568</v>
      </c>
      <c r="K4067" s="2" t="s">
        <v>376</v>
      </c>
      <c r="L4067" s="2" t="s">
        <v>391</v>
      </c>
      <c r="M4067" s="2" t="s">
        <v>26</v>
      </c>
      <c r="N4067" s="29"/>
      <c r="O4067" s="29"/>
      <c r="P4067" s="5" t="str">
        <f>IFERROR(__xludf.DUMMYFUNCTION("TEXTJOIN("" | "",TRUE,IF(OR(D4067="""",E4067="""",I4067="""",J4067="""",H4067=""""),""ফাঁকা ঘর"",""""),IF(AND(C4067&lt;&gt;"""",D4067&lt;&gt;"""",C4067=D4067),""gloss=figurative"",""""),IF(LEN(D4067)&lt;15,""figurative ছোট"",""""),IF(AND(I4067=""Positive"",REGEXMATCH(H4"&amp;"067,""মূর্খ|ভণ্ড|প্রতার|অলস|লোভ|স্বার্থ|অক্ষম|অযোগ্য|বোকা|কৃপণ|হিংস"")),""valence-target অমিল"",""""),IF(COUNTIF($B:$B,B4067)&gt;1,""ডুপ্লিকেট"",""""))"),"")</f>
        <v/>
      </c>
      <c r="Q4067" s="5" t="str">
        <f t="shared" si="1"/>
        <v>২ পরে</v>
      </c>
    </row>
    <row r="4068">
      <c r="A4068" s="4">
        <v>1884.0</v>
      </c>
      <c r="B4068" s="2" t="s">
        <v>16569</v>
      </c>
      <c r="C4068" s="2" t="s">
        <v>16570</v>
      </c>
      <c r="D4068" s="2" t="s">
        <v>16571</v>
      </c>
      <c r="E4068" s="2" t="s">
        <v>16572</v>
      </c>
      <c r="F4068" s="2" t="b">
        <v>1</v>
      </c>
      <c r="G4068" s="2" t="b">
        <v>0</v>
      </c>
      <c r="H4068" s="2" t="s">
        <v>37</v>
      </c>
      <c r="I4068" s="2" t="s">
        <v>49</v>
      </c>
      <c r="J4068" s="2" t="s">
        <v>4708</v>
      </c>
      <c r="K4068" s="2" t="s">
        <v>376</v>
      </c>
      <c r="L4068" s="2" t="s">
        <v>391</v>
      </c>
      <c r="M4068" s="2" t="s">
        <v>26</v>
      </c>
      <c r="N4068" s="29"/>
      <c r="O4068" s="29"/>
      <c r="P4068" s="5" t="str">
        <f>IFERROR(__xludf.DUMMYFUNCTION("TEXTJOIN("" | "",TRUE,IF(OR(D4068="""",E4068="""",I4068="""",J4068="""",H4068=""""),""ফাঁকা ঘর"",""""),IF(AND(C4068&lt;&gt;"""",D4068&lt;&gt;"""",C4068=D4068),""gloss=figurative"",""""),IF(LEN(D4068)&lt;15,""figurative ছোট"",""""),IF(AND(I4068=""Positive"",REGEXMATCH(H4"&amp;"068,""মূর্খ|ভণ্ড|প্রতার|অলস|লোভ|স্বার্থ|অক্ষম|অযোগ্য|বোকা|কৃপণ|হিংস"")),""valence-target অমিল"",""""),IF(COUNTIF($B:$B,B4068)&gt;1,""ডুপ্লিকেট"",""""))"),"")</f>
        <v/>
      </c>
      <c r="Q4068" s="5" t="str">
        <f t="shared" si="1"/>
        <v>২ পরে</v>
      </c>
    </row>
    <row r="4069">
      <c r="A4069" s="4">
        <v>1885.0</v>
      </c>
      <c r="B4069" s="2" t="s">
        <v>16573</v>
      </c>
      <c r="C4069" s="2" t="s">
        <v>16574</v>
      </c>
      <c r="D4069" s="2" t="s">
        <v>16575</v>
      </c>
      <c r="E4069" s="2" t="s">
        <v>16576</v>
      </c>
      <c r="F4069" s="2" t="b">
        <v>1</v>
      </c>
      <c r="G4069" s="2" t="b">
        <v>0</v>
      </c>
      <c r="H4069" s="2" t="s">
        <v>37</v>
      </c>
      <c r="I4069" s="2" t="s">
        <v>49</v>
      </c>
      <c r="J4069" s="2" t="s">
        <v>3701</v>
      </c>
      <c r="K4069" s="2" t="s">
        <v>376</v>
      </c>
      <c r="L4069" s="2" t="s">
        <v>391</v>
      </c>
      <c r="M4069" s="2" t="s">
        <v>26</v>
      </c>
      <c r="N4069" s="29"/>
      <c r="O4069" s="29"/>
      <c r="P4069" s="5" t="str">
        <f>IFERROR(__xludf.DUMMYFUNCTION("TEXTJOIN("" | "",TRUE,IF(OR(D4069="""",E4069="""",I4069="""",J4069="""",H4069=""""),""ফাঁকা ঘর"",""""),IF(AND(C4069&lt;&gt;"""",D4069&lt;&gt;"""",C4069=D4069),""gloss=figurative"",""""),IF(LEN(D4069)&lt;15,""figurative ছোট"",""""),IF(AND(I4069=""Positive"",REGEXMATCH(H4"&amp;"069,""মূর্খ|ভণ্ড|প্রতার|অলস|লোভ|স্বার্থ|অক্ষম|অযোগ্য|বোকা|কৃপণ|হিংস"")),""valence-target অমিল"",""""),IF(COUNTIF($B:$B,B4069)&gt;1,""ডুপ্লিকেট"",""""))"),"")</f>
        <v/>
      </c>
      <c r="Q4069" s="5" t="str">
        <f t="shared" si="1"/>
        <v>২ পরে</v>
      </c>
    </row>
    <row r="4070">
      <c r="A4070" s="4">
        <v>1886.0</v>
      </c>
      <c r="B4070" s="2" t="s">
        <v>16577</v>
      </c>
      <c r="C4070" s="2" t="s">
        <v>16578</v>
      </c>
      <c r="D4070" s="2" t="s">
        <v>16579</v>
      </c>
      <c r="E4070" s="2" t="s">
        <v>16580</v>
      </c>
      <c r="F4070" s="2" t="b">
        <v>1</v>
      </c>
      <c r="G4070" s="2" t="b">
        <v>0</v>
      </c>
      <c r="H4070" s="2" t="s">
        <v>37</v>
      </c>
      <c r="I4070" s="2" t="s">
        <v>49</v>
      </c>
      <c r="J4070" s="2" t="s">
        <v>762</v>
      </c>
      <c r="K4070" s="2" t="s">
        <v>376</v>
      </c>
      <c r="L4070" s="2" t="s">
        <v>391</v>
      </c>
      <c r="M4070" s="2" t="s">
        <v>26</v>
      </c>
      <c r="N4070" s="29"/>
      <c r="O4070" s="29"/>
      <c r="P4070" s="5" t="str">
        <f>IFERROR(__xludf.DUMMYFUNCTION("TEXTJOIN("" | "",TRUE,IF(OR(D4070="""",E4070="""",I4070="""",J4070="""",H4070=""""),""ফাঁকা ঘর"",""""),IF(AND(C4070&lt;&gt;"""",D4070&lt;&gt;"""",C4070=D4070),""gloss=figurative"",""""),IF(LEN(D4070)&lt;15,""figurative ছোট"",""""),IF(AND(I4070=""Positive"",REGEXMATCH(H4"&amp;"070,""মূর্খ|ভণ্ড|প্রতার|অলস|লোভ|স্বার্থ|অক্ষম|অযোগ্য|বোকা|কৃপণ|হিংস"")),""valence-target অমিল"",""""),IF(COUNTIF($B:$B,B4070)&gt;1,""ডুপ্লিকেট"",""""))"),"")</f>
        <v/>
      </c>
      <c r="Q4070" s="5" t="str">
        <f t="shared" si="1"/>
        <v>২ পরে</v>
      </c>
    </row>
    <row r="4071">
      <c r="A4071" s="4">
        <v>1887.0</v>
      </c>
      <c r="B4071" s="2" t="s">
        <v>16581</v>
      </c>
      <c r="C4071" s="2" t="s">
        <v>16578</v>
      </c>
      <c r="D4071" s="2" t="s">
        <v>16582</v>
      </c>
      <c r="E4071" s="2" t="s">
        <v>16583</v>
      </c>
      <c r="F4071" s="2" t="b">
        <v>1</v>
      </c>
      <c r="G4071" s="2" t="b">
        <v>0</v>
      </c>
      <c r="H4071" s="2" t="s">
        <v>16584</v>
      </c>
      <c r="I4071" s="2" t="s">
        <v>22</v>
      </c>
      <c r="J4071" s="2" t="s">
        <v>447</v>
      </c>
      <c r="K4071" s="2" t="s">
        <v>376</v>
      </c>
      <c r="L4071" s="2" t="s">
        <v>391</v>
      </c>
      <c r="M4071" s="2" t="s">
        <v>26</v>
      </c>
      <c r="N4071" s="29"/>
      <c r="O4071" s="29"/>
      <c r="P4071" s="5" t="str">
        <f>IFERROR(__xludf.DUMMYFUNCTION("TEXTJOIN("" | "",TRUE,IF(OR(D4071="""",E4071="""",I4071="""",J4071="""",H4071=""""),""ফাঁকা ঘর"",""""),IF(AND(C4071&lt;&gt;"""",D4071&lt;&gt;"""",C4071=D4071),""gloss=figurative"",""""),IF(LEN(D4071)&lt;15,""figurative ছোট"",""""),IF(AND(I4071=""Positive"",REGEXMATCH(H4"&amp;"071,""মূর্খ|ভণ্ড|প্রতার|অলস|লোভ|স্বার্থ|অক্ষম|অযোগ্য|বোকা|কৃপণ|হিংস"")),""valence-target অমিল"",""""),IF(COUNTIF($B:$B,B4071)&gt;1,""ডুপ্লিকেট"",""""))"),"")</f>
        <v/>
      </c>
      <c r="Q4071" s="5" t="str">
        <f t="shared" si="1"/>
        <v>২ পরে</v>
      </c>
    </row>
    <row r="4072">
      <c r="A4072" s="4">
        <v>1888.0</v>
      </c>
      <c r="B4072" s="2" t="s">
        <v>16585</v>
      </c>
      <c r="C4072" s="2" t="s">
        <v>16586</v>
      </c>
      <c r="D4072" s="2" t="s">
        <v>16587</v>
      </c>
      <c r="E4072" s="2" t="s">
        <v>16588</v>
      </c>
      <c r="F4072" s="2" t="b">
        <v>1</v>
      </c>
      <c r="G4072" s="2" t="b">
        <v>1</v>
      </c>
      <c r="H4072" s="2" t="s">
        <v>16589</v>
      </c>
      <c r="I4072" s="2" t="s">
        <v>32</v>
      </c>
      <c r="J4072" s="2" t="s">
        <v>16590</v>
      </c>
      <c r="K4072" s="2" t="s">
        <v>376</v>
      </c>
      <c r="L4072" s="2" t="s">
        <v>391</v>
      </c>
      <c r="M4072" s="2" t="s">
        <v>26</v>
      </c>
      <c r="N4072" s="29"/>
      <c r="O4072" s="29"/>
      <c r="P4072" s="5" t="str">
        <f>IFERROR(__xludf.DUMMYFUNCTION("TEXTJOIN("" | "",TRUE,IF(OR(D4072="""",E4072="""",I4072="""",J4072="""",H4072=""""),""ফাঁকা ঘর"",""""),IF(AND(C4072&lt;&gt;"""",D4072&lt;&gt;"""",C4072=D4072),""gloss=figurative"",""""),IF(LEN(D4072)&lt;15,""figurative ছোট"",""""),IF(AND(I4072=""Positive"",REGEXMATCH(H4"&amp;"072,""মূর্খ|ভণ্ড|প্রতার|অলস|লোভ|স্বার্থ|অক্ষম|অযোগ্য|বোকা|কৃপণ|হিংস"")),""valence-target অমিল"",""""),IF(COUNTIF($B:$B,B4072)&gt;1,""ডুপ্লিকেট"",""""))"),"")</f>
        <v/>
      </c>
      <c r="Q4072" s="5" t="str">
        <f t="shared" si="1"/>
        <v>২ পরে</v>
      </c>
    </row>
    <row r="4073">
      <c r="A4073" s="4">
        <v>1889.0</v>
      </c>
      <c r="B4073" s="2" t="s">
        <v>16591</v>
      </c>
      <c r="C4073" s="2" t="s">
        <v>16592</v>
      </c>
      <c r="D4073" s="2" t="s">
        <v>16593</v>
      </c>
      <c r="E4073" s="2" t="s">
        <v>16594</v>
      </c>
      <c r="F4073" s="2" t="b">
        <v>1</v>
      </c>
      <c r="G4073" s="2" t="b">
        <v>0</v>
      </c>
      <c r="H4073" s="2" t="s">
        <v>37</v>
      </c>
      <c r="I4073" s="2" t="s">
        <v>32</v>
      </c>
      <c r="J4073" s="2" t="s">
        <v>1111</v>
      </c>
      <c r="K4073" s="2" t="s">
        <v>376</v>
      </c>
      <c r="L4073" s="2" t="s">
        <v>391</v>
      </c>
      <c r="M4073" s="2" t="s">
        <v>26</v>
      </c>
      <c r="N4073" s="29"/>
      <c r="O4073" s="29"/>
      <c r="P4073" s="5" t="str">
        <f>IFERROR(__xludf.DUMMYFUNCTION("TEXTJOIN("" | "",TRUE,IF(OR(D4073="""",E4073="""",I4073="""",J4073="""",H4073=""""),""ফাঁকা ঘর"",""""),IF(AND(C4073&lt;&gt;"""",D4073&lt;&gt;"""",C4073=D4073),""gloss=figurative"",""""),IF(LEN(D4073)&lt;15,""figurative ছোট"",""""),IF(AND(I4073=""Positive"",REGEXMATCH(H4"&amp;"073,""মূর্খ|ভণ্ড|প্রতার|অলস|লোভ|স্বার্থ|অক্ষম|অযোগ্য|বোকা|কৃপণ|হিংস"")),""valence-target অমিল"",""""),IF(COUNTIF($B:$B,B4073)&gt;1,""ডুপ্লিকেট"",""""))"),"")</f>
        <v/>
      </c>
      <c r="Q4073" s="5" t="str">
        <f t="shared" si="1"/>
        <v>২ পরে</v>
      </c>
    </row>
    <row r="4074">
      <c r="A4074" s="4">
        <v>1890.0</v>
      </c>
      <c r="B4074" s="2" t="s">
        <v>16595</v>
      </c>
      <c r="C4074" s="2" t="s">
        <v>16596</v>
      </c>
      <c r="D4074" s="2" t="s">
        <v>16597</v>
      </c>
      <c r="E4074" s="2" t="s">
        <v>16598</v>
      </c>
      <c r="F4074" s="2" t="b">
        <v>1</v>
      </c>
      <c r="G4074" s="2" t="b">
        <v>0</v>
      </c>
      <c r="H4074" s="2" t="s">
        <v>37</v>
      </c>
      <c r="I4074" s="2" t="s">
        <v>49</v>
      </c>
      <c r="J4074" s="2" t="s">
        <v>190</v>
      </c>
      <c r="K4074" s="2" t="s">
        <v>376</v>
      </c>
      <c r="L4074" s="2" t="s">
        <v>391</v>
      </c>
      <c r="M4074" s="2" t="s">
        <v>26</v>
      </c>
      <c r="N4074" s="29"/>
      <c r="O4074" s="29"/>
      <c r="P4074" s="5" t="str">
        <f>IFERROR(__xludf.DUMMYFUNCTION("TEXTJOIN("" | "",TRUE,IF(OR(D4074="""",E4074="""",I4074="""",J4074="""",H4074=""""),""ফাঁকা ঘর"",""""),IF(AND(C4074&lt;&gt;"""",D4074&lt;&gt;"""",C4074=D4074),""gloss=figurative"",""""),IF(LEN(D4074)&lt;15,""figurative ছোট"",""""),IF(AND(I4074=""Positive"",REGEXMATCH(H4"&amp;"074,""মূর্খ|ভণ্ড|প্রতার|অলস|লোভ|স্বার্থ|অক্ষম|অযোগ্য|বোকা|কৃপণ|হিংস"")),""valence-target অমিল"",""""),IF(COUNTIF($B:$B,B4074)&gt;1,""ডুপ্লিকেট"",""""))"),"")</f>
        <v/>
      </c>
      <c r="Q4074" s="5" t="str">
        <f t="shared" si="1"/>
        <v>২ পরে</v>
      </c>
    </row>
    <row r="4075">
      <c r="A4075" s="4">
        <v>1891.0</v>
      </c>
      <c r="B4075" s="2" t="s">
        <v>16599</v>
      </c>
      <c r="C4075" s="2" t="s">
        <v>16600</v>
      </c>
      <c r="D4075" s="2" t="s">
        <v>16601</v>
      </c>
      <c r="E4075" s="2" t="s">
        <v>16602</v>
      </c>
      <c r="F4075" s="2" t="b">
        <v>1</v>
      </c>
      <c r="G4075" s="2" t="b">
        <v>0</v>
      </c>
      <c r="H4075" s="2" t="s">
        <v>16603</v>
      </c>
      <c r="I4075" s="2" t="s">
        <v>32</v>
      </c>
      <c r="J4075" s="2" t="s">
        <v>1740</v>
      </c>
      <c r="K4075" s="2" t="s">
        <v>376</v>
      </c>
      <c r="L4075" s="2" t="s">
        <v>391</v>
      </c>
      <c r="M4075" s="2" t="s">
        <v>26</v>
      </c>
      <c r="N4075" s="29"/>
      <c r="O4075" s="29"/>
      <c r="P4075" s="5" t="str">
        <f>IFERROR(__xludf.DUMMYFUNCTION("TEXTJOIN("" | "",TRUE,IF(OR(D4075="""",E4075="""",I4075="""",J4075="""",H4075=""""),""ফাঁকা ঘর"",""""),IF(AND(C4075&lt;&gt;"""",D4075&lt;&gt;"""",C4075=D4075),""gloss=figurative"",""""),IF(LEN(D4075)&lt;15,""figurative ছোট"",""""),IF(AND(I4075=""Positive"",REGEXMATCH(H4"&amp;"075,""মূর্খ|ভণ্ড|প্রতার|অলস|লোভ|স্বার্থ|অক্ষম|অযোগ্য|বোকা|কৃপণ|হিংস"")),""valence-target অমিল"",""""),IF(COUNTIF($B:$B,B4075)&gt;1,""ডুপ্লিকেট"",""""))"),"")</f>
        <v/>
      </c>
      <c r="Q4075" s="5" t="str">
        <f t="shared" si="1"/>
        <v>২ পরে</v>
      </c>
    </row>
    <row r="4076">
      <c r="A4076" s="4">
        <v>1892.0</v>
      </c>
      <c r="B4076" s="2" t="s">
        <v>16604</v>
      </c>
      <c r="C4076" s="2" t="s">
        <v>16605</v>
      </c>
      <c r="D4076" s="2" t="s">
        <v>16606</v>
      </c>
      <c r="E4076" s="2" t="s">
        <v>16607</v>
      </c>
      <c r="F4076" s="2" t="b">
        <v>1</v>
      </c>
      <c r="G4076" s="2" t="b">
        <v>0</v>
      </c>
      <c r="H4076" s="2" t="s">
        <v>37</v>
      </c>
      <c r="I4076" s="2" t="s">
        <v>49</v>
      </c>
      <c r="J4076" s="2" t="s">
        <v>729</v>
      </c>
      <c r="K4076" s="2" t="s">
        <v>376</v>
      </c>
      <c r="L4076" s="2" t="s">
        <v>391</v>
      </c>
      <c r="M4076" s="2" t="s">
        <v>26</v>
      </c>
      <c r="N4076" s="29"/>
      <c r="O4076" s="29"/>
      <c r="P4076" s="5" t="str">
        <f>IFERROR(__xludf.DUMMYFUNCTION("TEXTJOIN("" | "",TRUE,IF(OR(D4076="""",E4076="""",I4076="""",J4076="""",H4076=""""),""ফাঁকা ঘর"",""""),IF(AND(C4076&lt;&gt;"""",D4076&lt;&gt;"""",C4076=D4076),""gloss=figurative"",""""),IF(LEN(D4076)&lt;15,""figurative ছোট"",""""),IF(AND(I4076=""Positive"",REGEXMATCH(H4"&amp;"076,""মূর্খ|ভণ্ড|প্রতার|অলস|লোভ|স্বার্থ|অক্ষম|অযোগ্য|বোকা|কৃপণ|হিংস"")),""valence-target অমিল"",""""),IF(COUNTIF($B:$B,B4076)&gt;1,""ডুপ্লিকেট"",""""))"),"")</f>
        <v/>
      </c>
      <c r="Q4076" s="5" t="str">
        <f t="shared" si="1"/>
        <v>২ পরে</v>
      </c>
    </row>
    <row r="4077">
      <c r="A4077" s="4">
        <v>1893.0</v>
      </c>
      <c r="B4077" s="2" t="s">
        <v>16608</v>
      </c>
      <c r="C4077" s="2" t="s">
        <v>16609</v>
      </c>
      <c r="D4077" s="2" t="s">
        <v>16610</v>
      </c>
      <c r="E4077" s="2" t="s">
        <v>16611</v>
      </c>
      <c r="F4077" s="2" t="b">
        <v>1</v>
      </c>
      <c r="G4077" s="2" t="b">
        <v>0</v>
      </c>
      <c r="H4077" s="2" t="s">
        <v>37</v>
      </c>
      <c r="I4077" s="2" t="s">
        <v>32</v>
      </c>
      <c r="J4077" s="2" t="s">
        <v>16612</v>
      </c>
      <c r="K4077" s="2" t="s">
        <v>376</v>
      </c>
      <c r="L4077" s="2" t="s">
        <v>391</v>
      </c>
      <c r="M4077" s="2" t="s">
        <v>26</v>
      </c>
      <c r="N4077" s="29"/>
      <c r="O4077" s="29"/>
      <c r="P4077" s="5" t="str">
        <f>IFERROR(__xludf.DUMMYFUNCTION("TEXTJOIN("" | "",TRUE,IF(OR(D4077="""",E4077="""",I4077="""",J4077="""",H4077=""""),""ফাঁকা ঘর"",""""),IF(AND(C4077&lt;&gt;"""",D4077&lt;&gt;"""",C4077=D4077),""gloss=figurative"",""""),IF(LEN(D4077)&lt;15,""figurative ছোট"",""""),IF(AND(I4077=""Positive"",REGEXMATCH(H4"&amp;"077,""মূর্খ|ভণ্ড|প্রতার|অলস|লোভ|স্বার্থ|অক্ষম|অযোগ্য|বোকা|কৃপণ|হিংস"")),""valence-target অমিল"",""""),IF(COUNTIF($B:$B,B4077)&gt;1,""ডুপ্লিকেট"",""""))"),"")</f>
        <v/>
      </c>
      <c r="Q4077" s="5" t="str">
        <f t="shared" si="1"/>
        <v>২ পরে</v>
      </c>
    </row>
    <row r="4078">
      <c r="A4078" s="4">
        <v>1894.0</v>
      </c>
      <c r="B4078" s="2" t="s">
        <v>16613</v>
      </c>
      <c r="C4078" s="2" t="s">
        <v>16614</v>
      </c>
      <c r="D4078" s="2" t="s">
        <v>16615</v>
      </c>
      <c r="E4078" s="2" t="s">
        <v>16616</v>
      </c>
      <c r="F4078" s="2" t="b">
        <v>1</v>
      </c>
      <c r="G4078" s="2" t="b">
        <v>0</v>
      </c>
      <c r="H4078" s="2" t="s">
        <v>16617</v>
      </c>
      <c r="I4078" s="2" t="s">
        <v>22</v>
      </c>
      <c r="J4078" s="2" t="s">
        <v>669</v>
      </c>
      <c r="K4078" s="2" t="s">
        <v>376</v>
      </c>
      <c r="L4078" s="2" t="s">
        <v>391</v>
      </c>
      <c r="M4078" s="2" t="s">
        <v>26</v>
      </c>
      <c r="N4078" s="29"/>
      <c r="O4078" s="29"/>
      <c r="P4078" s="5" t="str">
        <f>IFERROR(__xludf.DUMMYFUNCTION("TEXTJOIN("" | "",TRUE,IF(OR(D4078="""",E4078="""",I4078="""",J4078="""",H4078=""""),""ফাঁকা ঘর"",""""),IF(AND(C4078&lt;&gt;"""",D4078&lt;&gt;"""",C4078=D4078),""gloss=figurative"",""""),IF(LEN(D4078)&lt;15,""figurative ছোট"",""""),IF(AND(I4078=""Positive"",REGEXMATCH(H4"&amp;"078,""মূর্খ|ভণ্ড|প্রতার|অলস|লোভ|স্বার্থ|অক্ষম|অযোগ্য|বোকা|কৃপণ|হিংস"")),""valence-target অমিল"",""""),IF(COUNTIF($B:$B,B4078)&gt;1,""ডুপ্লিকেট"",""""))"),"")</f>
        <v/>
      </c>
      <c r="Q4078" s="5" t="str">
        <f t="shared" si="1"/>
        <v>২ পরে</v>
      </c>
    </row>
    <row r="4079">
      <c r="A4079" s="4">
        <v>1895.0</v>
      </c>
      <c r="B4079" s="2" t="s">
        <v>16618</v>
      </c>
      <c r="C4079" s="2" t="s">
        <v>16618</v>
      </c>
      <c r="D4079" s="2" t="s">
        <v>16619</v>
      </c>
      <c r="E4079" s="2" t="s">
        <v>16620</v>
      </c>
      <c r="F4079" s="2" t="b">
        <v>1</v>
      </c>
      <c r="G4079" s="2" t="b">
        <v>0</v>
      </c>
      <c r="H4079" s="2" t="s">
        <v>3161</v>
      </c>
      <c r="I4079" s="2" t="s">
        <v>22</v>
      </c>
      <c r="J4079" s="2" t="s">
        <v>15227</v>
      </c>
      <c r="K4079" s="2" t="s">
        <v>376</v>
      </c>
      <c r="L4079" s="2" t="s">
        <v>391</v>
      </c>
      <c r="M4079" s="2" t="s">
        <v>26</v>
      </c>
      <c r="N4079" s="29"/>
      <c r="O4079" s="29"/>
      <c r="P4079" s="5" t="str">
        <f>IFERROR(__xludf.DUMMYFUNCTION("TEXTJOIN("" | "",TRUE,IF(OR(D4079="""",E4079="""",I4079="""",J4079="""",H4079=""""),""ফাঁকা ঘর"",""""),IF(AND(C4079&lt;&gt;"""",D4079&lt;&gt;"""",C4079=D4079),""gloss=figurative"",""""),IF(LEN(D4079)&lt;15,""figurative ছোট"",""""),IF(AND(I4079=""Positive"",REGEXMATCH(H4"&amp;"079,""মূর্খ|ভণ্ড|প্রতার|অলস|লোভ|স্বার্থ|অক্ষম|অযোগ্য|বোকা|কৃপণ|হিংস"")),""valence-target অমিল"",""""),IF(COUNTIF($B:$B,B4079)&gt;1,""ডুপ্লিকেট"",""""))"),"")</f>
        <v/>
      </c>
      <c r="Q4079" s="5" t="str">
        <f t="shared" si="1"/>
        <v>২ পরে</v>
      </c>
    </row>
    <row r="4080">
      <c r="A4080" s="4">
        <v>1896.0</v>
      </c>
      <c r="B4080" s="2" t="s">
        <v>16621</v>
      </c>
      <c r="C4080" s="2" t="s">
        <v>16622</v>
      </c>
      <c r="D4080" s="2" t="s">
        <v>16623</v>
      </c>
      <c r="E4080" s="2" t="s">
        <v>16624</v>
      </c>
      <c r="F4080" s="2" t="b">
        <v>1</v>
      </c>
      <c r="G4080" s="2" t="b">
        <v>0</v>
      </c>
      <c r="H4080" s="2" t="s">
        <v>37</v>
      </c>
      <c r="I4080" s="2" t="s">
        <v>49</v>
      </c>
      <c r="J4080" s="2" t="s">
        <v>15227</v>
      </c>
      <c r="K4080" s="2" t="s">
        <v>376</v>
      </c>
      <c r="L4080" s="2" t="s">
        <v>391</v>
      </c>
      <c r="M4080" s="2" t="s">
        <v>26</v>
      </c>
      <c r="N4080" s="29"/>
      <c r="O4080" s="29"/>
      <c r="P4080" s="5" t="str">
        <f>IFERROR(__xludf.DUMMYFUNCTION("TEXTJOIN("" | "",TRUE,IF(OR(D4080="""",E4080="""",I4080="""",J4080="""",H4080=""""),""ফাঁকা ঘর"",""""),IF(AND(C4080&lt;&gt;"""",D4080&lt;&gt;"""",C4080=D4080),""gloss=figurative"",""""),IF(LEN(D4080)&lt;15,""figurative ছোট"",""""),IF(AND(I4080=""Positive"",REGEXMATCH(H4"&amp;"080,""মূর্খ|ভণ্ড|প্রতার|অলস|লোভ|স্বার্থ|অক্ষম|অযোগ্য|বোকা|কৃপণ|হিংস"")),""valence-target অমিল"",""""),IF(COUNTIF($B:$B,B4080)&gt;1,""ডুপ্লিকেট"",""""))"),"")</f>
        <v/>
      </c>
      <c r="Q4080" s="5" t="str">
        <f t="shared" si="1"/>
        <v>২ পরে</v>
      </c>
    </row>
    <row r="4081">
      <c r="A4081" s="4">
        <v>1897.0</v>
      </c>
      <c r="B4081" s="2" t="s">
        <v>16625</v>
      </c>
      <c r="C4081" s="2" t="s">
        <v>16626</v>
      </c>
      <c r="D4081" s="2" t="s">
        <v>16627</v>
      </c>
      <c r="E4081" s="2" t="s">
        <v>16628</v>
      </c>
      <c r="F4081" s="2" t="b">
        <v>1</v>
      </c>
      <c r="G4081" s="2" t="b">
        <v>0</v>
      </c>
      <c r="H4081" s="2" t="s">
        <v>37</v>
      </c>
      <c r="I4081" s="2" t="s">
        <v>49</v>
      </c>
      <c r="J4081" s="2" t="s">
        <v>15227</v>
      </c>
      <c r="K4081" s="2" t="s">
        <v>376</v>
      </c>
      <c r="L4081" s="2" t="s">
        <v>391</v>
      </c>
      <c r="M4081" s="2" t="s">
        <v>26</v>
      </c>
      <c r="N4081" s="29"/>
      <c r="O4081" s="29"/>
      <c r="P4081" s="5" t="str">
        <f>IFERROR(__xludf.DUMMYFUNCTION("TEXTJOIN("" | "",TRUE,IF(OR(D4081="""",E4081="""",I4081="""",J4081="""",H4081=""""),""ফাঁকা ঘর"",""""),IF(AND(C4081&lt;&gt;"""",D4081&lt;&gt;"""",C4081=D4081),""gloss=figurative"",""""),IF(LEN(D4081)&lt;15,""figurative ছোট"",""""),IF(AND(I4081=""Positive"",REGEXMATCH(H4"&amp;"081,""মূর্খ|ভণ্ড|প্রতার|অলস|লোভ|স্বার্থ|অক্ষম|অযোগ্য|বোকা|কৃপণ|হিংস"")),""valence-target অমিল"",""""),IF(COUNTIF($B:$B,B4081)&gt;1,""ডুপ্লিকেট"",""""))"),"")</f>
        <v/>
      </c>
      <c r="Q4081" s="5" t="str">
        <f t="shared" si="1"/>
        <v>২ পরে</v>
      </c>
    </row>
    <row r="4082">
      <c r="A4082" s="4">
        <v>1898.0</v>
      </c>
      <c r="B4082" s="2" t="s">
        <v>16629</v>
      </c>
      <c r="C4082" s="2" t="s">
        <v>16630</v>
      </c>
      <c r="D4082" s="2" t="s">
        <v>16631</v>
      </c>
      <c r="E4082" s="2" t="s">
        <v>16632</v>
      </c>
      <c r="F4082" s="2" t="b">
        <v>1</v>
      </c>
      <c r="G4082" s="2" t="b">
        <v>0</v>
      </c>
      <c r="H4082" s="2" t="s">
        <v>37</v>
      </c>
      <c r="I4082" s="2" t="s">
        <v>22</v>
      </c>
      <c r="J4082" s="2" t="s">
        <v>3111</v>
      </c>
      <c r="K4082" s="2" t="s">
        <v>495</v>
      </c>
      <c r="L4082" s="13" t="s">
        <v>496</v>
      </c>
      <c r="M4082" s="2" t="s">
        <v>26</v>
      </c>
      <c r="N4082" s="29"/>
      <c r="O4082" s="29"/>
      <c r="P4082" s="5" t="str">
        <f>IFERROR(__xludf.DUMMYFUNCTION("TEXTJOIN("" | "",TRUE,IF(OR(D4082="""",E4082="""",I4082="""",J4082="""",H4082=""""),""ফাঁকা ঘর"",""""),IF(AND(C4082&lt;&gt;"""",D4082&lt;&gt;"""",C4082=D4082),""gloss=figurative"",""""),IF(LEN(D4082)&lt;15,""figurative ছোট"",""""),IF(AND(I4082=""Positive"",REGEXMATCH(H4"&amp;"082,""মূর্খ|ভণ্ড|প্রতার|অলস|লোভ|স্বার্থ|অক্ষম|অযোগ্য|বোকা|কৃপণ|হিংস"")),""valence-target অমিল"",""""),IF(COUNTIF($B:$B,B4082)&gt;1,""ডুপ্লিকেট"",""""))"),"")</f>
        <v/>
      </c>
      <c r="Q4082" s="5" t="str">
        <f t="shared" si="1"/>
        <v>২ পরে</v>
      </c>
    </row>
    <row r="4083">
      <c r="A4083" s="4">
        <v>1899.0</v>
      </c>
      <c r="B4083" s="2" t="s">
        <v>16633</v>
      </c>
      <c r="C4083" s="2" t="s">
        <v>16634</v>
      </c>
      <c r="D4083" s="2" t="s">
        <v>16635</v>
      </c>
      <c r="E4083" s="2" t="s">
        <v>16636</v>
      </c>
      <c r="F4083" s="2" t="b">
        <v>1</v>
      </c>
      <c r="G4083" s="2" t="b">
        <v>0</v>
      </c>
      <c r="H4083" s="2" t="s">
        <v>37</v>
      </c>
      <c r="I4083" s="2" t="s">
        <v>32</v>
      </c>
      <c r="J4083" s="2" t="s">
        <v>15227</v>
      </c>
      <c r="K4083" s="2" t="s">
        <v>495</v>
      </c>
      <c r="L4083" s="13" t="s">
        <v>496</v>
      </c>
      <c r="M4083" s="2" t="s">
        <v>26</v>
      </c>
      <c r="N4083" s="29"/>
      <c r="O4083" s="29"/>
      <c r="P4083" s="5" t="str">
        <f>IFERROR(__xludf.DUMMYFUNCTION("TEXTJOIN("" | "",TRUE,IF(OR(D4083="""",E4083="""",I4083="""",J4083="""",H4083=""""),""ফাঁকা ঘর"",""""),IF(AND(C4083&lt;&gt;"""",D4083&lt;&gt;"""",C4083=D4083),""gloss=figurative"",""""),IF(LEN(D4083)&lt;15,""figurative ছোট"",""""),IF(AND(I4083=""Positive"",REGEXMATCH(H4"&amp;"083,""মূর্খ|ভণ্ড|প্রতার|অলস|লোভ|স্বার্থ|অক্ষম|অযোগ্য|বোকা|কৃপণ|হিংস"")),""valence-target অমিল"",""""),IF(COUNTIF($B:$B,B4083)&gt;1,""ডুপ্লিকেট"",""""))"),"")</f>
        <v/>
      </c>
      <c r="Q4083" s="5" t="str">
        <f t="shared" si="1"/>
        <v>২ পরে</v>
      </c>
    </row>
    <row r="4084">
      <c r="A4084" s="4">
        <v>1900.0</v>
      </c>
      <c r="B4084" s="2" t="s">
        <v>16637</v>
      </c>
      <c r="C4084" s="2" t="s">
        <v>16638</v>
      </c>
      <c r="D4084" s="2" t="s">
        <v>16639</v>
      </c>
      <c r="E4084" s="2" t="s">
        <v>16640</v>
      </c>
      <c r="F4084" s="2" t="b">
        <v>1</v>
      </c>
      <c r="G4084" s="2" t="b">
        <v>0</v>
      </c>
      <c r="H4084" s="2" t="s">
        <v>37</v>
      </c>
      <c r="I4084" s="2" t="s">
        <v>49</v>
      </c>
      <c r="J4084" s="2" t="s">
        <v>7413</v>
      </c>
      <c r="K4084" s="2" t="s">
        <v>495</v>
      </c>
      <c r="L4084" s="13" t="s">
        <v>496</v>
      </c>
      <c r="M4084" s="2" t="s">
        <v>26</v>
      </c>
      <c r="N4084" s="29"/>
      <c r="O4084" s="29"/>
      <c r="P4084" s="5" t="str">
        <f>IFERROR(__xludf.DUMMYFUNCTION("TEXTJOIN("" | "",TRUE,IF(OR(D4084="""",E4084="""",I4084="""",J4084="""",H4084=""""),""ফাঁকা ঘর"",""""),IF(AND(C4084&lt;&gt;"""",D4084&lt;&gt;"""",C4084=D4084),""gloss=figurative"",""""),IF(LEN(D4084)&lt;15,""figurative ছোট"",""""),IF(AND(I4084=""Positive"",REGEXMATCH(H4"&amp;"084,""মূর্খ|ভণ্ড|প্রতার|অলস|লোভ|স্বার্থ|অক্ষম|অযোগ্য|বোকা|কৃপণ|হিংস"")),""valence-target অমিল"",""""),IF(COUNTIF($B:$B,B4084)&gt;1,""ডুপ্লিকেট"",""""))"),"")</f>
        <v/>
      </c>
      <c r="Q4084" s="5" t="str">
        <f t="shared" si="1"/>
        <v>২ পরে</v>
      </c>
    </row>
    <row r="4085">
      <c r="A4085" s="4">
        <v>1901.0</v>
      </c>
      <c r="B4085" s="2" t="s">
        <v>16641</v>
      </c>
      <c r="C4085" s="2" t="s">
        <v>16642</v>
      </c>
      <c r="D4085" s="2" t="s">
        <v>16643</v>
      </c>
      <c r="E4085" s="2" t="s">
        <v>14918</v>
      </c>
      <c r="F4085" s="2" t="b">
        <v>1</v>
      </c>
      <c r="G4085" s="2" t="b">
        <v>0</v>
      </c>
      <c r="H4085" s="2" t="s">
        <v>16644</v>
      </c>
      <c r="I4085" s="2" t="s">
        <v>32</v>
      </c>
      <c r="J4085" s="2" t="s">
        <v>300</v>
      </c>
      <c r="K4085" s="2" t="s">
        <v>495</v>
      </c>
      <c r="L4085" s="13" t="s">
        <v>496</v>
      </c>
      <c r="M4085" s="2" t="s">
        <v>26</v>
      </c>
      <c r="N4085" s="29"/>
      <c r="O4085" s="29"/>
      <c r="P4085" s="5" t="str">
        <f>IFERROR(__xludf.DUMMYFUNCTION("TEXTJOIN("" | "",TRUE,IF(OR(D4085="""",E4085="""",I4085="""",J4085="""",H4085=""""),""ফাঁকা ঘর"",""""),IF(AND(C4085&lt;&gt;"""",D4085&lt;&gt;"""",C4085=D4085),""gloss=figurative"",""""),IF(LEN(D4085)&lt;15,""figurative ছোট"",""""),IF(AND(I4085=""Positive"",REGEXMATCH(H4"&amp;"085,""মূর্খ|ভণ্ড|প্রতার|অলস|লোভ|স্বার্থ|অক্ষম|অযোগ্য|বোকা|কৃপণ|হিংস"")),""valence-target অমিল"",""""),IF(COUNTIF($B:$B,B4085)&gt;1,""ডুপ্লিকেট"",""""))"),"")</f>
        <v/>
      </c>
      <c r="Q4085" s="5" t="str">
        <f t="shared" si="1"/>
        <v>২ পরে</v>
      </c>
    </row>
    <row r="4086">
      <c r="A4086" s="4">
        <v>1902.0</v>
      </c>
      <c r="B4086" s="2" t="s">
        <v>16645</v>
      </c>
      <c r="C4086" s="2" t="s">
        <v>16646</v>
      </c>
      <c r="D4086" s="2" t="s">
        <v>16647</v>
      </c>
      <c r="E4086" s="2" t="s">
        <v>16648</v>
      </c>
      <c r="F4086" s="2" t="b">
        <v>1</v>
      </c>
      <c r="G4086" s="2" t="b">
        <v>0</v>
      </c>
      <c r="H4086" s="2" t="s">
        <v>37</v>
      </c>
      <c r="I4086" s="2" t="s">
        <v>32</v>
      </c>
      <c r="J4086" s="2" t="s">
        <v>340</v>
      </c>
      <c r="K4086" s="2" t="s">
        <v>495</v>
      </c>
      <c r="L4086" s="13" t="s">
        <v>496</v>
      </c>
      <c r="M4086" s="2" t="s">
        <v>26</v>
      </c>
      <c r="N4086" s="29"/>
      <c r="O4086" s="29"/>
      <c r="P4086" s="5" t="str">
        <f>IFERROR(__xludf.DUMMYFUNCTION("TEXTJOIN("" | "",TRUE,IF(OR(D4086="""",E4086="""",I4086="""",J4086="""",H4086=""""),""ফাঁকা ঘর"",""""),IF(AND(C4086&lt;&gt;"""",D4086&lt;&gt;"""",C4086=D4086),""gloss=figurative"",""""),IF(LEN(D4086)&lt;15,""figurative ছোট"",""""),IF(AND(I4086=""Positive"",REGEXMATCH(H4"&amp;"086,""মূর্খ|ভণ্ড|প্রতার|অলস|লোভ|স্বার্থ|অক্ষম|অযোগ্য|বোকা|কৃপণ|হিংস"")),""valence-target অমিল"",""""),IF(COUNTIF($B:$B,B4086)&gt;1,""ডুপ্লিকেট"",""""))"),"")</f>
        <v/>
      </c>
      <c r="Q4086" s="5" t="str">
        <f t="shared" si="1"/>
        <v>২ পরে</v>
      </c>
    </row>
    <row r="4087">
      <c r="A4087" s="4">
        <v>1903.0</v>
      </c>
      <c r="B4087" s="2" t="s">
        <v>16649</v>
      </c>
      <c r="C4087" s="2" t="s">
        <v>16646</v>
      </c>
      <c r="D4087" s="2" t="s">
        <v>16650</v>
      </c>
      <c r="E4087" s="2" t="s">
        <v>16651</v>
      </c>
      <c r="F4087" s="2" t="b">
        <v>1</v>
      </c>
      <c r="G4087" s="2" t="b">
        <v>0</v>
      </c>
      <c r="H4087" s="2" t="s">
        <v>37</v>
      </c>
      <c r="I4087" s="2" t="s">
        <v>32</v>
      </c>
      <c r="J4087" s="2" t="s">
        <v>10509</v>
      </c>
      <c r="K4087" s="2" t="s">
        <v>495</v>
      </c>
      <c r="L4087" s="13" t="s">
        <v>496</v>
      </c>
      <c r="M4087" s="2" t="s">
        <v>26</v>
      </c>
      <c r="N4087" s="29"/>
      <c r="O4087" s="29"/>
      <c r="P4087" s="5" t="str">
        <f>IFERROR(__xludf.DUMMYFUNCTION("TEXTJOIN("" | "",TRUE,IF(OR(D4087="""",E4087="""",I4087="""",J4087="""",H4087=""""),""ফাঁকা ঘর"",""""),IF(AND(C4087&lt;&gt;"""",D4087&lt;&gt;"""",C4087=D4087),""gloss=figurative"",""""),IF(LEN(D4087)&lt;15,""figurative ছোট"",""""),IF(AND(I4087=""Positive"",REGEXMATCH(H4"&amp;"087,""মূর্খ|ভণ্ড|প্রতার|অলস|লোভ|স্বার্থ|অক্ষম|অযোগ্য|বোকা|কৃপণ|হিংস"")),""valence-target অমিল"",""""),IF(COUNTIF($B:$B,B4087)&gt;1,""ডুপ্লিকেট"",""""))"),"")</f>
        <v/>
      </c>
      <c r="Q4087" s="5" t="str">
        <f t="shared" si="1"/>
        <v>২ পরে</v>
      </c>
    </row>
    <row r="4088">
      <c r="A4088" s="4">
        <v>1904.0</v>
      </c>
      <c r="B4088" s="2" t="s">
        <v>16652</v>
      </c>
      <c r="C4088" s="2" t="s">
        <v>16653</v>
      </c>
      <c r="D4088" s="2" t="s">
        <v>16654</v>
      </c>
      <c r="E4088" s="2" t="s">
        <v>16655</v>
      </c>
      <c r="F4088" s="2" t="b">
        <v>1</v>
      </c>
      <c r="G4088" s="2" t="b">
        <v>0</v>
      </c>
      <c r="H4088" s="2" t="s">
        <v>37</v>
      </c>
      <c r="I4088" s="2" t="s">
        <v>32</v>
      </c>
      <c r="J4088" s="2" t="s">
        <v>16656</v>
      </c>
      <c r="K4088" s="2" t="s">
        <v>495</v>
      </c>
      <c r="L4088" s="13" t="s">
        <v>496</v>
      </c>
      <c r="M4088" s="2" t="s">
        <v>26</v>
      </c>
      <c r="N4088" s="29"/>
      <c r="O4088" s="29"/>
      <c r="P4088" s="5" t="str">
        <f>IFERROR(__xludf.DUMMYFUNCTION("TEXTJOIN("" | "",TRUE,IF(OR(D4088="""",E4088="""",I4088="""",J4088="""",H4088=""""),""ফাঁকা ঘর"",""""),IF(AND(C4088&lt;&gt;"""",D4088&lt;&gt;"""",C4088=D4088),""gloss=figurative"",""""),IF(LEN(D4088)&lt;15,""figurative ছোট"",""""),IF(AND(I4088=""Positive"",REGEXMATCH(H4"&amp;"088,""মূর্খ|ভণ্ড|প্রতার|অলস|লোভ|স্বার্থ|অক্ষম|অযোগ্য|বোকা|কৃপণ|হিংস"")),""valence-target অমিল"",""""),IF(COUNTIF($B:$B,B4088)&gt;1,""ডুপ্লিকেট"",""""))"),"")</f>
        <v/>
      </c>
      <c r="Q4088" s="5" t="str">
        <f t="shared" si="1"/>
        <v>২ পরে</v>
      </c>
    </row>
    <row r="4089">
      <c r="A4089" s="4">
        <v>1905.0</v>
      </c>
      <c r="B4089" s="2" t="s">
        <v>16657</v>
      </c>
      <c r="C4089" s="2" t="s">
        <v>16658</v>
      </c>
      <c r="D4089" s="2" t="s">
        <v>16659</v>
      </c>
      <c r="E4089" s="2" t="s">
        <v>16660</v>
      </c>
      <c r="F4089" s="2" t="b">
        <v>1</v>
      </c>
      <c r="G4089" s="2" t="b">
        <v>0</v>
      </c>
      <c r="H4089" s="2" t="s">
        <v>37</v>
      </c>
      <c r="I4089" s="2" t="s">
        <v>32</v>
      </c>
      <c r="J4089" s="2" t="s">
        <v>4804</v>
      </c>
      <c r="K4089" s="2" t="s">
        <v>495</v>
      </c>
      <c r="L4089" s="13" t="s">
        <v>496</v>
      </c>
      <c r="M4089" s="2" t="s">
        <v>26</v>
      </c>
      <c r="N4089" s="29"/>
      <c r="O4089" s="29"/>
      <c r="P4089" s="5" t="str">
        <f>IFERROR(__xludf.DUMMYFUNCTION("TEXTJOIN("" | "",TRUE,IF(OR(D4089="""",E4089="""",I4089="""",J4089="""",H4089=""""),""ফাঁকা ঘর"",""""),IF(AND(C4089&lt;&gt;"""",D4089&lt;&gt;"""",C4089=D4089),""gloss=figurative"",""""),IF(LEN(D4089)&lt;15,""figurative ছোট"",""""),IF(AND(I4089=""Positive"",REGEXMATCH(H4"&amp;"089,""মূর্খ|ভণ্ড|প্রতার|অলস|লোভ|স্বার্থ|অক্ষম|অযোগ্য|বোকা|কৃপণ|হিংস"")),""valence-target অমিল"",""""),IF(COUNTIF($B:$B,B4089)&gt;1,""ডুপ্লিকেট"",""""))"),"")</f>
        <v/>
      </c>
      <c r="Q4089" s="5" t="str">
        <f t="shared" si="1"/>
        <v>২ পরে</v>
      </c>
    </row>
    <row r="4090">
      <c r="A4090" s="4">
        <v>1906.0</v>
      </c>
      <c r="B4090" s="2" t="s">
        <v>16661</v>
      </c>
      <c r="C4090" s="2" t="s">
        <v>16662</v>
      </c>
      <c r="D4090" s="2" t="s">
        <v>16663</v>
      </c>
      <c r="E4090" s="2" t="s">
        <v>16664</v>
      </c>
      <c r="F4090" s="2" t="b">
        <v>1</v>
      </c>
      <c r="G4090" s="2" t="b">
        <v>0</v>
      </c>
      <c r="H4090" s="2" t="s">
        <v>16665</v>
      </c>
      <c r="I4090" s="2" t="s">
        <v>22</v>
      </c>
      <c r="J4090" s="2" t="s">
        <v>565</v>
      </c>
      <c r="K4090" s="2" t="s">
        <v>495</v>
      </c>
      <c r="L4090" s="13" t="s">
        <v>496</v>
      </c>
      <c r="M4090" s="2" t="s">
        <v>26</v>
      </c>
      <c r="N4090" s="29"/>
      <c r="O4090" s="29"/>
      <c r="P4090" s="5" t="str">
        <f>IFERROR(__xludf.DUMMYFUNCTION("TEXTJOIN("" | "",TRUE,IF(OR(D4090="""",E4090="""",I4090="""",J4090="""",H4090=""""),""ফাঁকা ঘর"",""""),IF(AND(C4090&lt;&gt;"""",D4090&lt;&gt;"""",C4090=D4090),""gloss=figurative"",""""),IF(LEN(D4090)&lt;15,""figurative ছোট"",""""),IF(AND(I4090=""Positive"",REGEXMATCH(H4"&amp;"090,""মূর্খ|ভণ্ড|প্রতার|অলস|লোভ|স্বার্থ|অক্ষম|অযোগ্য|বোকা|কৃপণ|হিংস"")),""valence-target অমিল"",""""),IF(COUNTIF($B:$B,B4090)&gt;1,""ডুপ্লিকেট"",""""))"),"")</f>
        <v/>
      </c>
      <c r="Q4090" s="5" t="str">
        <f t="shared" si="1"/>
        <v>২ পরে</v>
      </c>
    </row>
    <row r="4091">
      <c r="A4091" s="4">
        <v>1907.0</v>
      </c>
      <c r="B4091" s="2" t="s">
        <v>16666</v>
      </c>
      <c r="C4091" s="2" t="s">
        <v>16667</v>
      </c>
      <c r="D4091" s="2" t="s">
        <v>16668</v>
      </c>
      <c r="E4091" s="2" t="s">
        <v>16669</v>
      </c>
      <c r="F4091" s="2" t="b">
        <v>1</v>
      </c>
      <c r="G4091" s="2" t="b">
        <v>0</v>
      </c>
      <c r="H4091" s="2" t="s">
        <v>37</v>
      </c>
      <c r="I4091" s="2" t="s">
        <v>32</v>
      </c>
      <c r="J4091" s="2" t="s">
        <v>1387</v>
      </c>
      <c r="K4091" s="2" t="s">
        <v>495</v>
      </c>
      <c r="L4091" s="13" t="s">
        <v>496</v>
      </c>
      <c r="M4091" s="2" t="s">
        <v>26</v>
      </c>
      <c r="N4091" s="29"/>
      <c r="O4091" s="29"/>
      <c r="P4091" s="5" t="str">
        <f>IFERROR(__xludf.DUMMYFUNCTION("TEXTJOIN("" | "",TRUE,IF(OR(D4091="""",E4091="""",I4091="""",J4091="""",H4091=""""),""ফাঁকা ঘর"",""""),IF(AND(C4091&lt;&gt;"""",D4091&lt;&gt;"""",C4091=D4091),""gloss=figurative"",""""),IF(LEN(D4091)&lt;15,""figurative ছোট"",""""),IF(AND(I4091=""Positive"",REGEXMATCH(H4"&amp;"091,""মূর্খ|ভণ্ড|প্রতার|অলস|লোভ|স্বার্থ|অক্ষম|অযোগ্য|বোকা|কৃপণ|হিংস"")),""valence-target অমিল"",""""),IF(COUNTIF($B:$B,B4091)&gt;1,""ডুপ্লিকেট"",""""))"),"")</f>
        <v/>
      </c>
      <c r="Q4091" s="5" t="str">
        <f t="shared" si="1"/>
        <v>২ পরে</v>
      </c>
    </row>
    <row r="4092">
      <c r="A4092" s="4">
        <v>1908.0</v>
      </c>
      <c r="B4092" s="2" t="s">
        <v>16670</v>
      </c>
      <c r="C4092" s="2" t="s">
        <v>16671</v>
      </c>
      <c r="D4092" s="2" t="s">
        <v>16672</v>
      </c>
      <c r="E4092" s="2" t="s">
        <v>16673</v>
      </c>
      <c r="F4092" s="2" t="b">
        <v>1</v>
      </c>
      <c r="G4092" s="2" t="b">
        <v>1</v>
      </c>
      <c r="H4092" s="2" t="s">
        <v>16674</v>
      </c>
      <c r="I4092" s="2" t="s">
        <v>49</v>
      </c>
      <c r="J4092" s="2" t="s">
        <v>16675</v>
      </c>
      <c r="K4092" s="2" t="s">
        <v>495</v>
      </c>
      <c r="L4092" s="13" t="s">
        <v>496</v>
      </c>
      <c r="M4092" s="2" t="s">
        <v>26</v>
      </c>
      <c r="N4092" s="29"/>
      <c r="O4092" s="29"/>
      <c r="P4092" s="5" t="str">
        <f>IFERROR(__xludf.DUMMYFUNCTION("TEXTJOIN("" | "",TRUE,IF(OR(D4092="""",E4092="""",I4092="""",J4092="""",H4092=""""),""ফাঁকা ঘর"",""""),IF(AND(C4092&lt;&gt;"""",D4092&lt;&gt;"""",C4092=D4092),""gloss=figurative"",""""),IF(LEN(D4092)&lt;15,""figurative ছোট"",""""),IF(AND(I4092=""Positive"",REGEXMATCH(H4"&amp;"092,""মূর্খ|ভণ্ড|প্রতার|অলস|লোভ|স্বার্থ|অক্ষম|অযোগ্য|বোকা|কৃপণ|হিংস"")),""valence-target অমিল"",""""),IF(COUNTIF($B:$B,B4092)&gt;1,""ডুপ্লিকেট"",""""))"),"")</f>
        <v/>
      </c>
      <c r="Q4092" s="5" t="str">
        <f t="shared" si="1"/>
        <v>২ পরে</v>
      </c>
    </row>
    <row r="4093">
      <c r="A4093" s="4">
        <v>1909.0</v>
      </c>
      <c r="B4093" s="2" t="s">
        <v>16676</v>
      </c>
      <c r="C4093" s="2" t="s">
        <v>16677</v>
      </c>
      <c r="D4093" s="2" t="s">
        <v>16678</v>
      </c>
      <c r="E4093" s="2" t="s">
        <v>16679</v>
      </c>
      <c r="F4093" s="2" t="b">
        <v>1</v>
      </c>
      <c r="G4093" s="2" t="b">
        <v>0</v>
      </c>
      <c r="H4093" s="2" t="s">
        <v>37</v>
      </c>
      <c r="I4093" s="2" t="s">
        <v>32</v>
      </c>
      <c r="J4093" s="2" t="s">
        <v>565</v>
      </c>
      <c r="K4093" s="2" t="s">
        <v>495</v>
      </c>
      <c r="L4093" s="13" t="s">
        <v>496</v>
      </c>
      <c r="M4093" s="2" t="s">
        <v>26</v>
      </c>
      <c r="N4093" s="29"/>
      <c r="O4093" s="29"/>
      <c r="P4093" s="5" t="str">
        <f>IFERROR(__xludf.DUMMYFUNCTION("TEXTJOIN("" | "",TRUE,IF(OR(D4093="""",E4093="""",I4093="""",J4093="""",H4093=""""),""ফাঁকা ঘর"",""""),IF(AND(C4093&lt;&gt;"""",D4093&lt;&gt;"""",C4093=D4093),""gloss=figurative"",""""),IF(LEN(D4093)&lt;15,""figurative ছোট"",""""),IF(AND(I4093=""Positive"",REGEXMATCH(H4"&amp;"093,""মূর্খ|ভণ্ড|প্রতার|অলস|লোভ|স্বার্থ|অক্ষম|অযোগ্য|বোকা|কৃপণ|হিংস"")),""valence-target অমিল"",""""),IF(COUNTIF($B:$B,B4093)&gt;1,""ডুপ্লিকেট"",""""))"),"")</f>
        <v/>
      </c>
      <c r="Q4093" s="5" t="str">
        <f t="shared" si="1"/>
        <v>২ পরে</v>
      </c>
    </row>
    <row r="4094">
      <c r="A4094" s="4">
        <v>1910.0</v>
      </c>
      <c r="B4094" s="2" t="s">
        <v>16680</v>
      </c>
      <c r="C4094" s="2" t="s">
        <v>16681</v>
      </c>
      <c r="D4094" s="2" t="s">
        <v>16682</v>
      </c>
      <c r="E4094" s="2" t="s">
        <v>16683</v>
      </c>
      <c r="F4094" s="2" t="b">
        <v>1</v>
      </c>
      <c r="G4094" s="2" t="b">
        <v>0</v>
      </c>
      <c r="H4094" s="2" t="s">
        <v>1826</v>
      </c>
      <c r="I4094" s="2" t="s">
        <v>22</v>
      </c>
      <c r="J4094" s="2" t="s">
        <v>1603</v>
      </c>
      <c r="K4094" s="2" t="s">
        <v>495</v>
      </c>
      <c r="L4094" s="13" t="s">
        <v>496</v>
      </c>
      <c r="M4094" s="2" t="s">
        <v>26</v>
      </c>
      <c r="N4094" s="29"/>
      <c r="O4094" s="29"/>
      <c r="P4094" s="5" t="str">
        <f>IFERROR(__xludf.DUMMYFUNCTION("TEXTJOIN("" | "",TRUE,IF(OR(D4094="""",E4094="""",I4094="""",J4094="""",H4094=""""),""ফাঁকা ঘর"",""""),IF(AND(C4094&lt;&gt;"""",D4094&lt;&gt;"""",C4094=D4094),""gloss=figurative"",""""),IF(LEN(D4094)&lt;15,""figurative ছোট"",""""),IF(AND(I4094=""Positive"",REGEXMATCH(H4"&amp;"094,""মূর্খ|ভণ্ড|প্রতার|অলস|লোভ|স্বার্থ|অক্ষম|অযোগ্য|বোকা|কৃপণ|হিংস"")),""valence-target অমিল"",""""),IF(COUNTIF($B:$B,B4094)&gt;1,""ডুপ্লিকেট"",""""))"),"")</f>
        <v/>
      </c>
      <c r="Q4094" s="5" t="str">
        <f t="shared" si="1"/>
        <v>২ পরে</v>
      </c>
    </row>
    <row r="4095">
      <c r="A4095" s="4">
        <v>1911.0</v>
      </c>
      <c r="B4095" s="2" t="s">
        <v>16684</v>
      </c>
      <c r="C4095" s="2" t="s">
        <v>16684</v>
      </c>
      <c r="D4095" s="2" t="s">
        <v>16685</v>
      </c>
      <c r="E4095" s="2" t="s">
        <v>16686</v>
      </c>
      <c r="F4095" s="2" t="b">
        <v>1</v>
      </c>
      <c r="G4095" s="2" t="b">
        <v>0</v>
      </c>
      <c r="H4095" s="2" t="s">
        <v>16687</v>
      </c>
      <c r="I4095" s="2" t="s">
        <v>22</v>
      </c>
      <c r="J4095" s="2" t="s">
        <v>43</v>
      </c>
      <c r="K4095" s="2" t="s">
        <v>495</v>
      </c>
      <c r="L4095" s="13" t="s">
        <v>496</v>
      </c>
      <c r="M4095" s="2" t="s">
        <v>26</v>
      </c>
      <c r="N4095" s="29"/>
      <c r="O4095" s="29"/>
      <c r="P4095" s="5" t="str">
        <f>IFERROR(__xludf.DUMMYFUNCTION("TEXTJOIN("" | "",TRUE,IF(OR(D4095="""",E4095="""",I4095="""",J4095="""",H4095=""""),""ফাঁকা ঘর"",""""),IF(AND(C4095&lt;&gt;"""",D4095&lt;&gt;"""",C4095=D4095),""gloss=figurative"",""""),IF(LEN(D4095)&lt;15,""figurative ছোট"",""""),IF(AND(I4095=""Positive"",REGEXMATCH(H4"&amp;"095,""মূর্খ|ভণ্ড|প্রতার|অলস|লোভ|স্বার্থ|অক্ষম|অযোগ্য|বোকা|কৃপণ|হিংস"")),""valence-target অমিল"",""""),IF(COUNTIF($B:$B,B4095)&gt;1,""ডুপ্লিকেট"",""""))"),"")</f>
        <v/>
      </c>
      <c r="Q4095" s="5" t="str">
        <f t="shared" si="1"/>
        <v>২ পরে</v>
      </c>
    </row>
    <row r="4096">
      <c r="A4096" s="4">
        <v>1912.0</v>
      </c>
      <c r="B4096" s="2" t="s">
        <v>16688</v>
      </c>
      <c r="C4096" s="2" t="s">
        <v>16688</v>
      </c>
      <c r="D4096" s="2" t="s">
        <v>16689</v>
      </c>
      <c r="E4096" s="2" t="s">
        <v>16690</v>
      </c>
      <c r="F4096" s="2" t="b">
        <v>1</v>
      </c>
      <c r="G4096" s="2" t="b">
        <v>0</v>
      </c>
      <c r="H4096" s="2" t="s">
        <v>37</v>
      </c>
      <c r="I4096" s="2" t="s">
        <v>49</v>
      </c>
      <c r="J4096" s="2" t="s">
        <v>565</v>
      </c>
      <c r="K4096" s="2" t="s">
        <v>495</v>
      </c>
      <c r="L4096" s="13" t="s">
        <v>496</v>
      </c>
      <c r="M4096" s="2" t="s">
        <v>26</v>
      </c>
      <c r="N4096" s="29"/>
      <c r="O4096" s="29"/>
      <c r="P4096" s="5" t="str">
        <f>IFERROR(__xludf.DUMMYFUNCTION("TEXTJOIN("" | "",TRUE,IF(OR(D4096="""",E4096="""",I4096="""",J4096="""",H4096=""""),""ফাঁকা ঘর"",""""),IF(AND(C4096&lt;&gt;"""",D4096&lt;&gt;"""",C4096=D4096),""gloss=figurative"",""""),IF(LEN(D4096)&lt;15,""figurative ছোট"",""""),IF(AND(I4096=""Positive"",REGEXMATCH(H4"&amp;"096,""মূর্খ|ভণ্ড|প্রতার|অলস|লোভ|স্বার্থ|অক্ষম|অযোগ্য|বোকা|কৃপণ|হিংস"")),""valence-target অমিল"",""""),IF(COUNTIF($B:$B,B4096)&gt;1,""ডুপ্লিকেট"",""""))"),"")</f>
        <v/>
      </c>
      <c r="Q4096" s="5" t="str">
        <f t="shared" si="1"/>
        <v>২ পরে</v>
      </c>
    </row>
    <row r="4097">
      <c r="A4097" s="4">
        <v>1913.0</v>
      </c>
      <c r="B4097" s="2" t="s">
        <v>16691</v>
      </c>
      <c r="C4097" s="2" t="s">
        <v>16692</v>
      </c>
      <c r="D4097" s="2" t="s">
        <v>16693</v>
      </c>
      <c r="E4097" s="2" t="s">
        <v>16694</v>
      </c>
      <c r="F4097" s="2" t="b">
        <v>1</v>
      </c>
      <c r="G4097" s="2" t="b">
        <v>0</v>
      </c>
      <c r="H4097" s="2" t="s">
        <v>37</v>
      </c>
      <c r="I4097" s="2" t="s">
        <v>32</v>
      </c>
      <c r="J4097" s="2" t="s">
        <v>16695</v>
      </c>
      <c r="K4097" s="2" t="s">
        <v>495</v>
      </c>
      <c r="L4097" s="13" t="s">
        <v>496</v>
      </c>
      <c r="M4097" s="2" t="s">
        <v>26</v>
      </c>
      <c r="N4097" s="29"/>
      <c r="O4097" s="29"/>
      <c r="P4097" s="5" t="str">
        <f>IFERROR(__xludf.DUMMYFUNCTION("TEXTJOIN("" | "",TRUE,IF(OR(D4097="""",E4097="""",I4097="""",J4097="""",H4097=""""),""ফাঁকা ঘর"",""""),IF(AND(C4097&lt;&gt;"""",D4097&lt;&gt;"""",C4097=D4097),""gloss=figurative"",""""),IF(LEN(D4097)&lt;15,""figurative ছোট"",""""),IF(AND(I4097=""Positive"",REGEXMATCH(H4"&amp;"097,""মূর্খ|ভণ্ড|প্রতার|অলস|লোভ|স্বার্থ|অক্ষম|অযোগ্য|বোকা|কৃপণ|হিংস"")),""valence-target অমিল"",""""),IF(COUNTIF($B:$B,B4097)&gt;1,""ডুপ্লিকেট"",""""))"),"")</f>
        <v/>
      </c>
      <c r="Q4097" s="5" t="str">
        <f t="shared" si="1"/>
        <v>২ পরে</v>
      </c>
    </row>
    <row r="4098">
      <c r="A4098" s="4">
        <v>1914.0</v>
      </c>
      <c r="B4098" s="2" t="s">
        <v>16696</v>
      </c>
      <c r="C4098" s="2" t="s">
        <v>16697</v>
      </c>
      <c r="D4098" s="2" t="s">
        <v>16698</v>
      </c>
      <c r="E4098" s="2" t="s">
        <v>16699</v>
      </c>
      <c r="F4098" s="2" t="b">
        <v>1</v>
      </c>
      <c r="G4098" s="2" t="b">
        <v>0</v>
      </c>
      <c r="H4098" s="2" t="s">
        <v>16700</v>
      </c>
      <c r="I4098" s="2" t="s">
        <v>22</v>
      </c>
      <c r="J4098" s="2" t="s">
        <v>43</v>
      </c>
      <c r="K4098" s="2" t="s">
        <v>495</v>
      </c>
      <c r="L4098" s="13" t="s">
        <v>496</v>
      </c>
      <c r="M4098" s="2" t="s">
        <v>26</v>
      </c>
      <c r="N4098" s="29"/>
      <c r="O4098" s="29"/>
      <c r="P4098" s="5" t="str">
        <f>IFERROR(__xludf.DUMMYFUNCTION("TEXTJOIN("" | "",TRUE,IF(OR(D4098="""",E4098="""",I4098="""",J4098="""",H4098=""""),""ফাঁকা ঘর"",""""),IF(AND(C4098&lt;&gt;"""",D4098&lt;&gt;"""",C4098=D4098),""gloss=figurative"",""""),IF(LEN(D4098)&lt;15,""figurative ছোট"",""""),IF(AND(I4098=""Positive"",REGEXMATCH(H4"&amp;"098,""মূর্খ|ভণ্ড|প্রতার|অলস|লোভ|স্বার্থ|অক্ষম|অযোগ্য|বোকা|কৃপণ|হিংস"")),""valence-target অমিল"",""""),IF(COUNTIF($B:$B,B4098)&gt;1,""ডুপ্লিকেট"",""""))"),"")</f>
        <v/>
      </c>
      <c r="Q4098" s="5" t="str">
        <f t="shared" si="1"/>
        <v>২ পরে</v>
      </c>
    </row>
    <row r="4099">
      <c r="A4099" s="4">
        <v>1915.0</v>
      </c>
      <c r="B4099" s="2" t="s">
        <v>16701</v>
      </c>
      <c r="C4099" s="2" t="s">
        <v>16702</v>
      </c>
      <c r="D4099" s="2" t="s">
        <v>16703</v>
      </c>
      <c r="E4099" s="2" t="s">
        <v>16704</v>
      </c>
      <c r="F4099" s="2" t="b">
        <v>1</v>
      </c>
      <c r="G4099" s="2" t="b">
        <v>0</v>
      </c>
      <c r="H4099" s="2" t="s">
        <v>488</v>
      </c>
      <c r="I4099" s="2" t="s">
        <v>22</v>
      </c>
      <c r="J4099" s="2" t="s">
        <v>43</v>
      </c>
      <c r="K4099" s="2" t="s">
        <v>495</v>
      </c>
      <c r="L4099" s="13" t="s">
        <v>496</v>
      </c>
      <c r="M4099" s="2" t="s">
        <v>26</v>
      </c>
      <c r="N4099" s="29"/>
      <c r="O4099" s="29"/>
      <c r="P4099" s="5" t="str">
        <f>IFERROR(__xludf.DUMMYFUNCTION("TEXTJOIN("" | "",TRUE,IF(OR(D4099="""",E4099="""",I4099="""",J4099="""",H4099=""""),""ফাঁকা ঘর"",""""),IF(AND(C4099&lt;&gt;"""",D4099&lt;&gt;"""",C4099=D4099),""gloss=figurative"",""""),IF(LEN(D4099)&lt;15,""figurative ছোট"",""""),IF(AND(I4099=""Positive"",REGEXMATCH(H4"&amp;"099,""মূর্খ|ভণ্ড|প্রতার|অলস|লোভ|স্বার্থ|অক্ষম|অযোগ্য|বোকা|কৃপণ|হিংস"")),""valence-target অমিল"",""""),IF(COUNTIF($B:$B,B4099)&gt;1,""ডুপ্লিকেট"",""""))"),"")</f>
        <v/>
      </c>
      <c r="Q4099" s="5" t="str">
        <f t="shared" si="1"/>
        <v>২ পরে</v>
      </c>
    </row>
    <row r="4100">
      <c r="A4100" s="4">
        <v>1916.0</v>
      </c>
      <c r="B4100" s="2" t="s">
        <v>16705</v>
      </c>
      <c r="C4100" s="2" t="s">
        <v>16706</v>
      </c>
      <c r="D4100" s="2" t="s">
        <v>16707</v>
      </c>
      <c r="E4100" s="2" t="s">
        <v>16708</v>
      </c>
      <c r="F4100" s="2" t="b">
        <v>1</v>
      </c>
      <c r="G4100" s="2" t="b">
        <v>0</v>
      </c>
      <c r="H4100" s="2" t="s">
        <v>110</v>
      </c>
      <c r="I4100" s="2" t="s">
        <v>22</v>
      </c>
      <c r="J4100" s="2" t="s">
        <v>43</v>
      </c>
      <c r="K4100" s="2" t="s">
        <v>495</v>
      </c>
      <c r="L4100" s="13" t="s">
        <v>496</v>
      </c>
      <c r="M4100" s="2" t="s">
        <v>26</v>
      </c>
      <c r="N4100" s="29"/>
      <c r="O4100" s="29"/>
      <c r="P4100" s="5" t="str">
        <f>IFERROR(__xludf.DUMMYFUNCTION("TEXTJOIN("" | "",TRUE,IF(OR(D4100="""",E4100="""",I4100="""",J4100="""",H4100=""""),""ফাঁকা ঘর"",""""),IF(AND(C4100&lt;&gt;"""",D4100&lt;&gt;"""",C4100=D4100),""gloss=figurative"",""""),IF(LEN(D4100)&lt;15,""figurative ছোট"",""""),IF(AND(I4100=""Positive"",REGEXMATCH(H4"&amp;"100,""মূর্খ|ভণ্ড|প্রতার|অলস|লোভ|স্বার্থ|অক্ষম|অযোগ্য|বোকা|কৃপণ|হিংস"")),""valence-target অমিল"",""""),IF(COUNTIF($B:$B,B4100)&gt;1,""ডুপ্লিকেট"",""""))"),"")</f>
        <v/>
      </c>
      <c r="Q4100" s="5" t="str">
        <f t="shared" si="1"/>
        <v>২ পরে</v>
      </c>
    </row>
    <row r="4101">
      <c r="A4101" s="4">
        <v>1917.0</v>
      </c>
      <c r="B4101" s="2" t="s">
        <v>16709</v>
      </c>
      <c r="C4101" s="2" t="s">
        <v>16710</v>
      </c>
      <c r="D4101" s="2" t="s">
        <v>16711</v>
      </c>
      <c r="E4101" s="2" t="s">
        <v>16712</v>
      </c>
      <c r="F4101" s="2" t="b">
        <v>1</v>
      </c>
      <c r="G4101" s="2" t="b">
        <v>0</v>
      </c>
      <c r="H4101" s="2" t="s">
        <v>37</v>
      </c>
      <c r="I4101" s="2" t="s">
        <v>49</v>
      </c>
      <c r="J4101" s="2" t="s">
        <v>1621</v>
      </c>
      <c r="K4101" s="2" t="s">
        <v>495</v>
      </c>
      <c r="L4101" s="13" t="s">
        <v>496</v>
      </c>
      <c r="M4101" s="2" t="s">
        <v>26</v>
      </c>
      <c r="N4101" s="29"/>
      <c r="O4101" s="29"/>
      <c r="P4101" s="5" t="str">
        <f>IFERROR(__xludf.DUMMYFUNCTION("TEXTJOIN("" | "",TRUE,IF(OR(D4101="""",E4101="""",I4101="""",J4101="""",H4101=""""),""ফাঁকা ঘর"",""""),IF(AND(C4101&lt;&gt;"""",D4101&lt;&gt;"""",C4101=D4101),""gloss=figurative"",""""),IF(LEN(D4101)&lt;15,""figurative ছোট"",""""),IF(AND(I4101=""Positive"",REGEXMATCH(H4"&amp;"101,""মূর্খ|ভণ্ড|প্রতার|অলস|লোভ|স্বার্থ|অক্ষম|অযোগ্য|বোকা|কৃপণ|হিংস"")),""valence-target অমিল"",""""),IF(COUNTIF($B:$B,B4101)&gt;1,""ডুপ্লিকেট"",""""))"),"")</f>
        <v/>
      </c>
      <c r="Q4101" s="5" t="str">
        <f t="shared" si="1"/>
        <v>২ পরে</v>
      </c>
    </row>
    <row r="4102">
      <c r="A4102" s="4">
        <v>1918.0</v>
      </c>
      <c r="B4102" s="2" t="s">
        <v>16713</v>
      </c>
      <c r="C4102" s="2" t="s">
        <v>16714</v>
      </c>
      <c r="D4102" s="2" t="s">
        <v>16715</v>
      </c>
      <c r="E4102" s="2" t="s">
        <v>16716</v>
      </c>
      <c r="F4102" s="2" t="b">
        <v>1</v>
      </c>
      <c r="G4102" s="2" t="b">
        <v>0</v>
      </c>
      <c r="H4102" s="2" t="s">
        <v>16717</v>
      </c>
      <c r="I4102" s="2" t="s">
        <v>32</v>
      </c>
      <c r="J4102" s="2" t="s">
        <v>729</v>
      </c>
      <c r="K4102" s="2" t="s">
        <v>495</v>
      </c>
      <c r="L4102" s="13" t="s">
        <v>496</v>
      </c>
      <c r="M4102" s="2" t="s">
        <v>26</v>
      </c>
      <c r="N4102" s="29"/>
      <c r="O4102" s="29"/>
      <c r="P4102" s="5" t="str">
        <f>IFERROR(__xludf.DUMMYFUNCTION("TEXTJOIN("" | "",TRUE,IF(OR(D4102="""",E4102="""",I4102="""",J4102="""",H4102=""""),""ফাঁকা ঘর"",""""),IF(AND(C4102&lt;&gt;"""",D4102&lt;&gt;"""",C4102=D4102),""gloss=figurative"",""""),IF(LEN(D4102)&lt;15,""figurative ছোট"",""""),IF(AND(I4102=""Positive"",REGEXMATCH(H4"&amp;"102,""মূর্খ|ভণ্ড|প্রতার|অলস|লোভ|স্বার্থ|অক্ষম|অযোগ্য|বোকা|কৃপণ|হিংস"")),""valence-target অমিল"",""""),IF(COUNTIF($B:$B,B4102)&gt;1,""ডুপ্লিকেট"",""""))"),"")</f>
        <v/>
      </c>
      <c r="Q4102" s="5" t="str">
        <f t="shared" si="1"/>
        <v>২ পরে</v>
      </c>
    </row>
    <row r="4103">
      <c r="A4103" s="4">
        <v>1919.0</v>
      </c>
      <c r="B4103" s="2" t="s">
        <v>16718</v>
      </c>
      <c r="C4103" s="2" t="s">
        <v>16719</v>
      </c>
      <c r="D4103" s="2" t="s">
        <v>16720</v>
      </c>
      <c r="E4103" s="2" t="s">
        <v>16721</v>
      </c>
      <c r="F4103" s="2" t="b">
        <v>1</v>
      </c>
      <c r="G4103" s="2" t="b">
        <v>0</v>
      </c>
      <c r="H4103" s="2" t="s">
        <v>16162</v>
      </c>
      <c r="I4103" s="2" t="s">
        <v>49</v>
      </c>
      <c r="J4103" s="2" t="s">
        <v>708</v>
      </c>
      <c r="K4103" s="2" t="s">
        <v>495</v>
      </c>
      <c r="L4103" s="13" t="s">
        <v>496</v>
      </c>
      <c r="M4103" s="2" t="s">
        <v>26</v>
      </c>
      <c r="N4103" s="29"/>
      <c r="O4103" s="29"/>
      <c r="P4103" s="5" t="str">
        <f>IFERROR(__xludf.DUMMYFUNCTION("TEXTJOIN("" | "",TRUE,IF(OR(D4103="""",E4103="""",I4103="""",J4103="""",H4103=""""),""ফাঁকা ঘর"",""""),IF(AND(C4103&lt;&gt;"""",D4103&lt;&gt;"""",C4103=D4103),""gloss=figurative"",""""),IF(LEN(D4103)&lt;15,""figurative ছোট"",""""),IF(AND(I4103=""Positive"",REGEXMATCH(H4"&amp;"103,""মূর্খ|ভণ্ড|প্রতার|অলস|লোভ|স্বার্থ|অক্ষম|অযোগ্য|বোকা|কৃপণ|হিংস"")),""valence-target অমিল"",""""),IF(COUNTIF($B:$B,B4103)&gt;1,""ডুপ্লিকেট"",""""))"),"")</f>
        <v/>
      </c>
      <c r="Q4103" s="5" t="str">
        <f t="shared" si="1"/>
        <v>২ পরে</v>
      </c>
    </row>
    <row r="4104">
      <c r="A4104" s="4">
        <v>1920.0</v>
      </c>
      <c r="B4104" s="2" t="s">
        <v>16722</v>
      </c>
      <c r="C4104" s="2" t="s">
        <v>16723</v>
      </c>
      <c r="D4104" s="2" t="s">
        <v>16724</v>
      </c>
      <c r="E4104" s="2" t="s">
        <v>16725</v>
      </c>
      <c r="F4104" s="2" t="b">
        <v>1</v>
      </c>
      <c r="G4104" s="2" t="b">
        <v>0</v>
      </c>
      <c r="H4104" s="2" t="s">
        <v>8744</v>
      </c>
      <c r="I4104" s="2" t="s">
        <v>22</v>
      </c>
      <c r="J4104" s="2" t="s">
        <v>1644</v>
      </c>
      <c r="K4104" s="2" t="s">
        <v>495</v>
      </c>
      <c r="L4104" s="13" t="s">
        <v>496</v>
      </c>
      <c r="M4104" s="2" t="s">
        <v>26</v>
      </c>
      <c r="N4104" s="29"/>
      <c r="O4104" s="29"/>
      <c r="P4104" s="5" t="str">
        <f>IFERROR(__xludf.DUMMYFUNCTION("TEXTJOIN("" | "",TRUE,IF(OR(D4104="""",E4104="""",I4104="""",J4104="""",H4104=""""),""ফাঁকা ঘর"",""""),IF(AND(C4104&lt;&gt;"""",D4104&lt;&gt;"""",C4104=D4104),""gloss=figurative"",""""),IF(LEN(D4104)&lt;15,""figurative ছোট"",""""),IF(AND(I4104=""Positive"",REGEXMATCH(H4"&amp;"104,""মূর্খ|ভণ্ড|প্রতার|অলস|লোভ|স্বার্থ|অক্ষম|অযোগ্য|বোকা|কৃপণ|হিংস"")),""valence-target অমিল"",""""),IF(COUNTIF($B:$B,B4104)&gt;1,""ডুপ্লিকেট"",""""))"),"")</f>
        <v/>
      </c>
      <c r="Q4104" s="5" t="str">
        <f t="shared" si="1"/>
        <v>২ পরে</v>
      </c>
    </row>
    <row r="4105">
      <c r="A4105" s="4">
        <v>1921.0</v>
      </c>
      <c r="B4105" s="2" t="s">
        <v>16726</v>
      </c>
      <c r="C4105" s="2" t="s">
        <v>16727</v>
      </c>
      <c r="D4105" s="2" t="s">
        <v>16728</v>
      </c>
      <c r="E4105" s="2" t="s">
        <v>16729</v>
      </c>
      <c r="F4105" s="2" t="b">
        <v>1</v>
      </c>
      <c r="G4105" s="2" t="b">
        <v>0</v>
      </c>
      <c r="H4105" s="2" t="s">
        <v>16730</v>
      </c>
      <c r="I4105" s="2" t="s">
        <v>32</v>
      </c>
      <c r="J4105" s="2" t="s">
        <v>739</v>
      </c>
      <c r="K4105" s="2" t="s">
        <v>495</v>
      </c>
      <c r="L4105" s="13" t="s">
        <v>496</v>
      </c>
      <c r="M4105" s="2" t="s">
        <v>26</v>
      </c>
      <c r="N4105" s="29"/>
      <c r="O4105" s="29"/>
      <c r="P4105" s="5" t="str">
        <f>IFERROR(__xludf.DUMMYFUNCTION("TEXTJOIN("" | "",TRUE,IF(OR(D4105="""",E4105="""",I4105="""",J4105="""",H4105=""""),""ফাঁকা ঘর"",""""),IF(AND(C4105&lt;&gt;"""",D4105&lt;&gt;"""",C4105=D4105),""gloss=figurative"",""""),IF(LEN(D4105)&lt;15,""figurative ছোট"",""""),IF(AND(I4105=""Positive"",REGEXMATCH(H4"&amp;"105,""মূর্খ|ভণ্ড|প্রতার|অলস|লোভ|স্বার্থ|অক্ষম|অযোগ্য|বোকা|কৃপণ|হিংস"")),""valence-target অমিল"",""""),IF(COUNTIF($B:$B,B4105)&gt;1,""ডুপ্লিকেট"",""""))"),"")</f>
        <v/>
      </c>
      <c r="Q4105" s="5" t="str">
        <f t="shared" si="1"/>
        <v>২ পরে</v>
      </c>
    </row>
    <row r="4106">
      <c r="A4106" s="4">
        <v>1922.0</v>
      </c>
      <c r="B4106" s="2" t="s">
        <v>16731</v>
      </c>
      <c r="C4106" s="2" t="s">
        <v>16732</v>
      </c>
      <c r="D4106" s="2" t="s">
        <v>16733</v>
      </c>
      <c r="E4106" s="2" t="s">
        <v>16734</v>
      </c>
      <c r="F4106" s="2" t="b">
        <v>1</v>
      </c>
      <c r="G4106" s="2" t="b">
        <v>0</v>
      </c>
      <c r="H4106" s="2" t="s">
        <v>37</v>
      </c>
      <c r="I4106" s="2" t="s">
        <v>22</v>
      </c>
      <c r="J4106" s="2" t="s">
        <v>1644</v>
      </c>
      <c r="K4106" s="2" t="s">
        <v>495</v>
      </c>
      <c r="L4106" s="13" t="s">
        <v>496</v>
      </c>
      <c r="M4106" s="2" t="s">
        <v>26</v>
      </c>
      <c r="N4106" s="29"/>
      <c r="O4106" s="29"/>
      <c r="P4106" s="5" t="str">
        <f>IFERROR(__xludf.DUMMYFUNCTION("TEXTJOIN("" | "",TRUE,IF(OR(D4106="""",E4106="""",I4106="""",J4106="""",H4106=""""),""ফাঁকা ঘর"",""""),IF(AND(C4106&lt;&gt;"""",D4106&lt;&gt;"""",C4106=D4106),""gloss=figurative"",""""),IF(LEN(D4106)&lt;15,""figurative ছোট"",""""),IF(AND(I4106=""Positive"",REGEXMATCH(H4"&amp;"106,""মূর্খ|ভণ্ড|প্রতার|অলস|লোভ|স্বার্থ|অক্ষম|অযোগ্য|বোকা|কৃপণ|হিংস"")),""valence-target অমিল"",""""),IF(COUNTIF($B:$B,B4106)&gt;1,""ডুপ্লিকেট"",""""))"),"")</f>
        <v/>
      </c>
      <c r="Q4106" s="5" t="str">
        <f t="shared" si="1"/>
        <v>২ পরে</v>
      </c>
    </row>
    <row r="4107">
      <c r="A4107" s="4">
        <v>1923.0</v>
      </c>
      <c r="B4107" s="2" t="s">
        <v>16735</v>
      </c>
      <c r="C4107" s="2" t="s">
        <v>16736</v>
      </c>
      <c r="D4107" s="2" t="s">
        <v>16737</v>
      </c>
      <c r="E4107" s="2" t="s">
        <v>16738</v>
      </c>
      <c r="F4107" s="2" t="b">
        <v>1</v>
      </c>
      <c r="G4107" s="2" t="b">
        <v>0</v>
      </c>
      <c r="H4107" s="2" t="s">
        <v>16739</v>
      </c>
      <c r="I4107" s="2" t="s">
        <v>22</v>
      </c>
      <c r="J4107" s="2" t="s">
        <v>1644</v>
      </c>
      <c r="K4107" s="2" t="s">
        <v>495</v>
      </c>
      <c r="L4107" s="13" t="s">
        <v>496</v>
      </c>
      <c r="M4107" s="2" t="s">
        <v>26</v>
      </c>
      <c r="N4107" s="29"/>
      <c r="O4107" s="29"/>
      <c r="P4107" s="5" t="str">
        <f>IFERROR(__xludf.DUMMYFUNCTION("TEXTJOIN("" | "",TRUE,IF(OR(D4107="""",E4107="""",I4107="""",J4107="""",H4107=""""),""ফাঁকা ঘর"",""""),IF(AND(C4107&lt;&gt;"""",D4107&lt;&gt;"""",C4107=D4107),""gloss=figurative"",""""),IF(LEN(D4107)&lt;15,""figurative ছোট"",""""),IF(AND(I4107=""Positive"",REGEXMATCH(H4"&amp;"107,""মূর্খ|ভণ্ড|প্রতার|অলস|লোভ|স্বার্থ|অক্ষম|অযোগ্য|বোকা|কৃপণ|হিংস"")),""valence-target অমিল"",""""),IF(COUNTIF($B:$B,B4107)&gt;1,""ডুপ্লিকেট"",""""))"),"")</f>
        <v/>
      </c>
      <c r="Q4107" s="5" t="str">
        <f t="shared" si="1"/>
        <v>২ পরে</v>
      </c>
    </row>
    <row r="4108">
      <c r="A4108" s="4">
        <v>1924.0</v>
      </c>
      <c r="B4108" s="2" t="s">
        <v>16740</v>
      </c>
      <c r="C4108" s="2" t="s">
        <v>16736</v>
      </c>
      <c r="D4108" s="2" t="s">
        <v>16741</v>
      </c>
      <c r="E4108" s="2" t="s">
        <v>16742</v>
      </c>
      <c r="F4108" s="2" t="b">
        <v>1</v>
      </c>
      <c r="G4108" s="2" t="b">
        <v>0</v>
      </c>
      <c r="H4108" s="2" t="s">
        <v>16743</v>
      </c>
      <c r="I4108" s="2" t="s">
        <v>22</v>
      </c>
      <c r="J4108" s="2" t="s">
        <v>1644</v>
      </c>
      <c r="K4108" s="2" t="s">
        <v>495</v>
      </c>
      <c r="L4108" s="13" t="s">
        <v>496</v>
      </c>
      <c r="M4108" s="2" t="s">
        <v>26</v>
      </c>
      <c r="N4108" s="29"/>
      <c r="O4108" s="29"/>
      <c r="P4108" s="5" t="str">
        <f>IFERROR(__xludf.DUMMYFUNCTION("TEXTJOIN("" | "",TRUE,IF(OR(D4108="""",E4108="""",I4108="""",J4108="""",H4108=""""),""ফাঁকা ঘর"",""""),IF(AND(C4108&lt;&gt;"""",D4108&lt;&gt;"""",C4108=D4108),""gloss=figurative"",""""),IF(LEN(D4108)&lt;15,""figurative ছোট"",""""),IF(AND(I4108=""Positive"",REGEXMATCH(H4"&amp;"108,""মূর্খ|ভণ্ড|প্রতার|অলস|লোভ|স্বার্থ|অক্ষম|অযোগ্য|বোকা|কৃপণ|হিংস"")),""valence-target অমিল"",""""),IF(COUNTIF($B:$B,B4108)&gt;1,""ডুপ্লিকেট"",""""))"),"")</f>
        <v/>
      </c>
      <c r="Q4108" s="5" t="str">
        <f t="shared" si="1"/>
        <v>২ পরে</v>
      </c>
    </row>
    <row r="4109">
      <c r="A4109" s="4">
        <v>1925.0</v>
      </c>
      <c r="B4109" s="2" t="s">
        <v>16744</v>
      </c>
      <c r="C4109" s="2" t="s">
        <v>16745</v>
      </c>
      <c r="D4109" s="2" t="s">
        <v>16746</v>
      </c>
      <c r="E4109" s="2" t="s">
        <v>16747</v>
      </c>
      <c r="F4109" s="2" t="b">
        <v>1</v>
      </c>
      <c r="G4109" s="2" t="b">
        <v>1</v>
      </c>
      <c r="H4109" s="2" t="s">
        <v>16748</v>
      </c>
      <c r="I4109" s="2" t="s">
        <v>22</v>
      </c>
      <c r="J4109" s="2" t="s">
        <v>16749</v>
      </c>
      <c r="K4109" s="2" t="s">
        <v>495</v>
      </c>
      <c r="L4109" s="13" t="s">
        <v>496</v>
      </c>
      <c r="M4109" s="2" t="s">
        <v>26</v>
      </c>
      <c r="N4109" s="29"/>
      <c r="O4109" s="29"/>
      <c r="P4109" s="5" t="str">
        <f>IFERROR(__xludf.DUMMYFUNCTION("TEXTJOIN("" | "",TRUE,IF(OR(D4109="""",E4109="""",I4109="""",J4109="""",H4109=""""),""ফাঁকা ঘর"",""""),IF(AND(C4109&lt;&gt;"""",D4109&lt;&gt;"""",C4109=D4109),""gloss=figurative"",""""),IF(LEN(D4109)&lt;15,""figurative ছোট"",""""),IF(AND(I4109=""Positive"",REGEXMATCH(H4"&amp;"109,""মূর্খ|ভণ্ড|প্রতার|অলস|লোভ|স্বার্থ|অক্ষম|অযোগ্য|বোকা|কৃপণ|হিংস"")),""valence-target অমিল"",""""),IF(COUNTIF($B:$B,B4109)&gt;1,""ডুপ্লিকেট"",""""))"),"")</f>
        <v/>
      </c>
      <c r="Q4109" s="5" t="str">
        <f t="shared" si="1"/>
        <v>২ পরে</v>
      </c>
    </row>
    <row r="4110">
      <c r="A4110" s="4">
        <v>1926.0</v>
      </c>
      <c r="B4110" s="2" t="s">
        <v>16750</v>
      </c>
      <c r="C4110" s="2" t="s">
        <v>16751</v>
      </c>
      <c r="D4110" s="2" t="s">
        <v>16752</v>
      </c>
      <c r="E4110" s="2" t="s">
        <v>16753</v>
      </c>
      <c r="F4110" s="2" t="b">
        <v>1</v>
      </c>
      <c r="G4110" s="2" t="b">
        <v>0</v>
      </c>
      <c r="H4110" s="2" t="s">
        <v>16754</v>
      </c>
      <c r="I4110" s="2" t="s">
        <v>22</v>
      </c>
      <c r="J4110" s="2" t="s">
        <v>2165</v>
      </c>
      <c r="K4110" s="2" t="s">
        <v>495</v>
      </c>
      <c r="L4110" s="13" t="s">
        <v>496</v>
      </c>
      <c r="M4110" s="2" t="s">
        <v>26</v>
      </c>
      <c r="N4110" s="29"/>
      <c r="O4110" s="29"/>
      <c r="P4110" s="5" t="str">
        <f>IFERROR(__xludf.DUMMYFUNCTION("TEXTJOIN("" | "",TRUE,IF(OR(D4110="""",E4110="""",I4110="""",J4110="""",H4110=""""),""ফাঁকা ঘর"",""""),IF(AND(C4110&lt;&gt;"""",D4110&lt;&gt;"""",C4110=D4110),""gloss=figurative"",""""),IF(LEN(D4110)&lt;15,""figurative ছোট"",""""),IF(AND(I4110=""Positive"",REGEXMATCH(H4"&amp;"110,""মূর্খ|ভণ্ড|প্রতার|অলস|লোভ|স্বার্থ|অক্ষম|অযোগ্য|বোকা|কৃপণ|হিংস"")),""valence-target অমিল"",""""),IF(COUNTIF($B:$B,B4110)&gt;1,""ডুপ্লিকেট"",""""))"),"")</f>
        <v/>
      </c>
      <c r="Q4110" s="5" t="str">
        <f t="shared" si="1"/>
        <v>২ পরে</v>
      </c>
    </row>
    <row r="4111">
      <c r="A4111" s="4">
        <v>1927.0</v>
      </c>
      <c r="B4111" s="2" t="s">
        <v>16755</v>
      </c>
      <c r="C4111" s="2" t="s">
        <v>16756</v>
      </c>
      <c r="D4111" s="2" t="s">
        <v>16757</v>
      </c>
      <c r="E4111" s="2" t="s">
        <v>16758</v>
      </c>
      <c r="F4111" s="2" t="b">
        <v>1</v>
      </c>
      <c r="G4111" s="2" t="b">
        <v>0</v>
      </c>
      <c r="H4111" s="2" t="s">
        <v>37</v>
      </c>
      <c r="I4111" s="2" t="s">
        <v>32</v>
      </c>
      <c r="J4111" s="2" t="s">
        <v>225</v>
      </c>
      <c r="K4111" s="2" t="s">
        <v>495</v>
      </c>
      <c r="L4111" s="13" t="s">
        <v>496</v>
      </c>
      <c r="M4111" s="2" t="s">
        <v>26</v>
      </c>
      <c r="N4111" s="29"/>
      <c r="O4111" s="29"/>
      <c r="P4111" s="5" t="str">
        <f>IFERROR(__xludf.DUMMYFUNCTION("TEXTJOIN("" | "",TRUE,IF(OR(D4111="""",E4111="""",I4111="""",J4111="""",H4111=""""),""ফাঁকা ঘর"",""""),IF(AND(C4111&lt;&gt;"""",D4111&lt;&gt;"""",C4111=D4111),""gloss=figurative"",""""),IF(LEN(D4111)&lt;15,""figurative ছোট"",""""),IF(AND(I4111=""Positive"",REGEXMATCH(H4"&amp;"111,""মূর্খ|ভণ্ড|প্রতার|অলস|লোভ|স্বার্থ|অক্ষম|অযোগ্য|বোকা|কৃপণ|হিংস"")),""valence-target অমিল"",""""),IF(COUNTIF($B:$B,B4111)&gt;1,""ডুপ্লিকেট"",""""))"),"")</f>
        <v/>
      </c>
      <c r="Q4111" s="5" t="str">
        <f t="shared" si="1"/>
        <v>২ পরে</v>
      </c>
    </row>
    <row r="4112">
      <c r="A4112" s="4">
        <v>1928.0</v>
      </c>
      <c r="B4112" s="2" t="s">
        <v>16759</v>
      </c>
      <c r="C4112" s="2" t="s">
        <v>16760</v>
      </c>
      <c r="D4112" s="2" t="s">
        <v>16761</v>
      </c>
      <c r="E4112" s="2" t="s">
        <v>16762</v>
      </c>
      <c r="F4112" s="2" t="b">
        <v>1</v>
      </c>
      <c r="G4112" s="2" t="b">
        <v>1</v>
      </c>
      <c r="H4112" s="2" t="s">
        <v>16319</v>
      </c>
      <c r="I4112" s="2" t="s">
        <v>22</v>
      </c>
      <c r="J4112" s="2" t="s">
        <v>16763</v>
      </c>
      <c r="K4112" s="2" t="s">
        <v>495</v>
      </c>
      <c r="L4112" s="13" t="s">
        <v>496</v>
      </c>
      <c r="M4112" s="2" t="s">
        <v>26</v>
      </c>
      <c r="N4112" s="29"/>
      <c r="O4112" s="29"/>
      <c r="P4112" s="5" t="str">
        <f>IFERROR(__xludf.DUMMYFUNCTION("TEXTJOIN("" | "",TRUE,IF(OR(D4112="""",E4112="""",I4112="""",J4112="""",H4112=""""),""ফাঁকা ঘর"",""""),IF(AND(C4112&lt;&gt;"""",D4112&lt;&gt;"""",C4112=D4112),""gloss=figurative"",""""),IF(LEN(D4112)&lt;15,""figurative ছোট"",""""),IF(AND(I4112=""Positive"",REGEXMATCH(H4"&amp;"112,""মূর্খ|ভণ্ড|প্রতার|অলস|লোভ|স্বার্থ|অক্ষম|অযোগ্য|বোকা|কৃপণ|হিংস"")),""valence-target অমিল"",""""),IF(COUNTIF($B:$B,B4112)&gt;1,""ডুপ্লিকেট"",""""))"),"")</f>
        <v/>
      </c>
      <c r="Q4112" s="5" t="str">
        <f t="shared" si="1"/>
        <v>২ পরে</v>
      </c>
    </row>
    <row r="4113">
      <c r="A4113" s="4">
        <v>1929.0</v>
      </c>
      <c r="B4113" s="2" t="s">
        <v>16764</v>
      </c>
      <c r="C4113" s="2" t="s">
        <v>16765</v>
      </c>
      <c r="D4113" s="2" t="s">
        <v>16766</v>
      </c>
      <c r="E4113" s="2" t="s">
        <v>16767</v>
      </c>
      <c r="F4113" s="2" t="b">
        <v>1</v>
      </c>
      <c r="G4113" s="2" t="b">
        <v>0</v>
      </c>
      <c r="H4113" s="2" t="s">
        <v>37</v>
      </c>
      <c r="I4113" s="2" t="s">
        <v>49</v>
      </c>
      <c r="J4113" s="2" t="s">
        <v>162</v>
      </c>
      <c r="K4113" s="2" t="s">
        <v>495</v>
      </c>
      <c r="L4113" s="13" t="s">
        <v>496</v>
      </c>
      <c r="M4113" s="2" t="s">
        <v>26</v>
      </c>
      <c r="N4113" s="29"/>
      <c r="O4113" s="29"/>
      <c r="P4113" s="5" t="str">
        <f>IFERROR(__xludf.DUMMYFUNCTION("TEXTJOIN("" | "",TRUE,IF(OR(D4113="""",E4113="""",I4113="""",J4113="""",H4113=""""),""ফাঁকা ঘর"",""""),IF(AND(C4113&lt;&gt;"""",D4113&lt;&gt;"""",C4113=D4113),""gloss=figurative"",""""),IF(LEN(D4113)&lt;15,""figurative ছোট"",""""),IF(AND(I4113=""Positive"",REGEXMATCH(H4"&amp;"113,""মূর্খ|ভণ্ড|প্রতার|অলস|লোভ|স্বার্থ|অক্ষম|অযোগ্য|বোকা|কৃপণ|হিংস"")),""valence-target অমিল"",""""),IF(COUNTIF($B:$B,B4113)&gt;1,""ডুপ্লিকেট"",""""))"),"")</f>
        <v/>
      </c>
      <c r="Q4113" s="5" t="str">
        <f t="shared" si="1"/>
        <v>২ পরে</v>
      </c>
    </row>
    <row r="4114">
      <c r="A4114" s="4">
        <v>1930.0</v>
      </c>
      <c r="B4114" s="2" t="s">
        <v>16768</v>
      </c>
      <c r="C4114" s="2" t="s">
        <v>16769</v>
      </c>
      <c r="D4114" s="2" t="s">
        <v>16770</v>
      </c>
      <c r="E4114" s="2" t="s">
        <v>16771</v>
      </c>
      <c r="F4114" s="2" t="b">
        <v>1</v>
      </c>
      <c r="G4114" s="2" t="b">
        <v>0</v>
      </c>
      <c r="H4114" s="2" t="s">
        <v>37</v>
      </c>
      <c r="I4114" s="2" t="s">
        <v>49</v>
      </c>
      <c r="J4114" s="2" t="s">
        <v>1679</v>
      </c>
      <c r="K4114" s="2" t="s">
        <v>495</v>
      </c>
      <c r="L4114" s="13" t="s">
        <v>496</v>
      </c>
      <c r="M4114" s="2" t="s">
        <v>26</v>
      </c>
      <c r="N4114" s="29"/>
      <c r="O4114" s="29"/>
      <c r="P4114" s="5" t="str">
        <f>IFERROR(__xludf.DUMMYFUNCTION("TEXTJOIN("" | "",TRUE,IF(OR(D4114="""",E4114="""",I4114="""",J4114="""",H4114=""""),""ফাঁকা ঘর"",""""),IF(AND(C4114&lt;&gt;"""",D4114&lt;&gt;"""",C4114=D4114),""gloss=figurative"",""""),IF(LEN(D4114)&lt;15,""figurative ছোট"",""""),IF(AND(I4114=""Positive"",REGEXMATCH(H4"&amp;"114,""মূর্খ|ভণ্ড|প্রতার|অলস|লোভ|স্বার্থ|অক্ষম|অযোগ্য|বোকা|কৃপণ|হিংস"")),""valence-target অমিল"",""""),IF(COUNTIF($B:$B,B4114)&gt;1,""ডুপ্লিকেট"",""""))"),"")</f>
        <v/>
      </c>
      <c r="Q4114" s="5" t="str">
        <f t="shared" si="1"/>
        <v>২ পরে</v>
      </c>
    </row>
    <row r="4115">
      <c r="A4115" s="4">
        <v>1931.0</v>
      </c>
      <c r="B4115" s="2" t="s">
        <v>16772</v>
      </c>
      <c r="C4115" s="2" t="s">
        <v>16773</v>
      </c>
      <c r="D4115" s="2" t="s">
        <v>16774</v>
      </c>
      <c r="E4115" s="2" t="s">
        <v>16775</v>
      </c>
      <c r="F4115" s="2" t="b">
        <v>1</v>
      </c>
      <c r="G4115" s="2" t="b">
        <v>0</v>
      </c>
      <c r="H4115" s="2" t="s">
        <v>16776</v>
      </c>
      <c r="I4115" s="2" t="s">
        <v>32</v>
      </c>
      <c r="J4115" s="2" t="s">
        <v>176</v>
      </c>
      <c r="K4115" s="2" t="s">
        <v>495</v>
      </c>
      <c r="L4115" s="13" t="s">
        <v>496</v>
      </c>
      <c r="M4115" s="2" t="s">
        <v>26</v>
      </c>
      <c r="N4115" s="29"/>
      <c r="O4115" s="29"/>
      <c r="P4115" s="5" t="str">
        <f>IFERROR(__xludf.DUMMYFUNCTION("TEXTJOIN("" | "",TRUE,IF(OR(D4115="""",E4115="""",I4115="""",J4115="""",H4115=""""),""ফাঁকা ঘর"",""""),IF(AND(C4115&lt;&gt;"""",D4115&lt;&gt;"""",C4115=D4115),""gloss=figurative"",""""),IF(LEN(D4115)&lt;15,""figurative ছোট"",""""),IF(AND(I4115=""Positive"",REGEXMATCH(H4"&amp;"115,""মূর্খ|ভণ্ড|প্রতার|অলস|লোভ|স্বার্থ|অক্ষম|অযোগ্য|বোকা|কৃপণ|হিংস"")),""valence-target অমিল"",""""),IF(COUNTIF($B:$B,B4115)&gt;1,""ডুপ্লিকেট"",""""))"),"")</f>
        <v/>
      </c>
      <c r="Q4115" s="5" t="str">
        <f t="shared" si="1"/>
        <v>২ পরে</v>
      </c>
    </row>
    <row r="4116">
      <c r="A4116" s="4">
        <v>1932.0</v>
      </c>
      <c r="B4116" s="2" t="s">
        <v>16777</v>
      </c>
      <c r="C4116" s="2" t="s">
        <v>16778</v>
      </c>
      <c r="D4116" s="2" t="s">
        <v>16779</v>
      </c>
      <c r="E4116" s="2" t="s">
        <v>16780</v>
      </c>
      <c r="F4116" s="2" t="b">
        <v>1</v>
      </c>
      <c r="G4116" s="2" t="b">
        <v>0</v>
      </c>
      <c r="H4116" s="2" t="s">
        <v>37</v>
      </c>
      <c r="I4116" s="2" t="s">
        <v>49</v>
      </c>
      <c r="J4116" s="2" t="s">
        <v>3701</v>
      </c>
      <c r="K4116" s="2" t="s">
        <v>495</v>
      </c>
      <c r="L4116" s="13" t="s">
        <v>496</v>
      </c>
      <c r="M4116" s="2" t="s">
        <v>26</v>
      </c>
      <c r="N4116" s="29"/>
      <c r="O4116" s="29"/>
      <c r="P4116" s="5" t="str">
        <f>IFERROR(__xludf.DUMMYFUNCTION("TEXTJOIN("" | "",TRUE,IF(OR(D4116="""",E4116="""",I4116="""",J4116="""",H4116=""""),""ফাঁকা ঘর"",""""),IF(AND(C4116&lt;&gt;"""",D4116&lt;&gt;"""",C4116=D4116),""gloss=figurative"",""""),IF(LEN(D4116)&lt;15,""figurative ছোট"",""""),IF(AND(I4116=""Positive"",REGEXMATCH(H4"&amp;"116,""মূর্খ|ভণ্ড|প্রতার|অলস|লোভ|স্বার্থ|অক্ষম|অযোগ্য|বোকা|কৃপণ|হিংস"")),""valence-target অমিল"",""""),IF(COUNTIF($B:$B,B4116)&gt;1,""ডুপ্লিকেট"",""""))"),"")</f>
        <v/>
      </c>
      <c r="Q4116" s="5" t="str">
        <f t="shared" si="1"/>
        <v>২ পরে</v>
      </c>
    </row>
    <row r="4117">
      <c r="A4117" s="4">
        <v>1933.0</v>
      </c>
      <c r="B4117" s="2" t="s">
        <v>16781</v>
      </c>
      <c r="C4117" s="2" t="s">
        <v>16782</v>
      </c>
      <c r="D4117" s="2" t="s">
        <v>16783</v>
      </c>
      <c r="E4117" s="2" t="s">
        <v>16784</v>
      </c>
      <c r="F4117" s="2" t="b">
        <v>1</v>
      </c>
      <c r="G4117" s="2" t="b">
        <v>0</v>
      </c>
      <c r="H4117" s="2" t="s">
        <v>16785</v>
      </c>
      <c r="I4117" s="2" t="s">
        <v>32</v>
      </c>
      <c r="J4117" s="2" t="s">
        <v>729</v>
      </c>
      <c r="K4117" s="2" t="s">
        <v>495</v>
      </c>
      <c r="L4117" s="13" t="s">
        <v>496</v>
      </c>
      <c r="M4117" s="2" t="s">
        <v>26</v>
      </c>
      <c r="N4117" s="29"/>
      <c r="O4117" s="29"/>
      <c r="P4117" s="5" t="str">
        <f>IFERROR(__xludf.DUMMYFUNCTION("TEXTJOIN("" | "",TRUE,IF(OR(D4117="""",E4117="""",I4117="""",J4117="""",H4117=""""),""ফাঁকা ঘর"",""""),IF(AND(C4117&lt;&gt;"""",D4117&lt;&gt;"""",C4117=D4117),""gloss=figurative"",""""),IF(LEN(D4117)&lt;15,""figurative ছোট"",""""),IF(AND(I4117=""Positive"",REGEXMATCH(H4"&amp;"117,""মূর্খ|ভণ্ড|প্রতার|অলস|লোভ|স্বার্থ|অক্ষম|অযোগ্য|বোকা|কৃপণ|হিংস"")),""valence-target অমিল"",""""),IF(COUNTIF($B:$B,B4117)&gt;1,""ডুপ্লিকেট"",""""))"),"")</f>
        <v/>
      </c>
      <c r="Q4117" s="5" t="str">
        <f t="shared" si="1"/>
        <v>২ পরে</v>
      </c>
    </row>
    <row r="4118">
      <c r="A4118" s="4">
        <v>1934.0</v>
      </c>
      <c r="B4118" s="2" t="s">
        <v>16786</v>
      </c>
      <c r="C4118" s="2" t="s">
        <v>16787</v>
      </c>
      <c r="D4118" s="2" t="s">
        <v>16788</v>
      </c>
      <c r="E4118" s="2" t="s">
        <v>16789</v>
      </c>
      <c r="F4118" s="2" t="b">
        <v>1</v>
      </c>
      <c r="G4118" s="2" t="b">
        <v>0</v>
      </c>
      <c r="H4118" s="2" t="s">
        <v>11988</v>
      </c>
      <c r="I4118" s="2" t="s">
        <v>49</v>
      </c>
      <c r="J4118" s="2" t="s">
        <v>565</v>
      </c>
      <c r="K4118" s="2" t="s">
        <v>495</v>
      </c>
      <c r="L4118" s="13" t="s">
        <v>496</v>
      </c>
      <c r="M4118" s="2" t="s">
        <v>26</v>
      </c>
      <c r="N4118" s="29"/>
      <c r="O4118" s="29"/>
      <c r="P4118" s="5" t="str">
        <f>IFERROR(__xludf.DUMMYFUNCTION("TEXTJOIN("" | "",TRUE,IF(OR(D4118="""",E4118="""",I4118="""",J4118="""",H4118=""""),""ফাঁকা ঘর"",""""),IF(AND(C4118&lt;&gt;"""",D4118&lt;&gt;"""",C4118=D4118),""gloss=figurative"",""""),IF(LEN(D4118)&lt;15,""figurative ছোট"",""""),IF(AND(I4118=""Positive"",REGEXMATCH(H4"&amp;"118,""মূর্খ|ভণ্ড|প্রতার|অলস|লোভ|স্বার্থ|অক্ষম|অযোগ্য|বোকা|কৃপণ|হিংস"")),""valence-target অমিল"",""""),IF(COUNTIF($B:$B,B4118)&gt;1,""ডুপ্লিকেট"",""""))"),"")</f>
        <v/>
      </c>
      <c r="Q4118" s="5" t="str">
        <f t="shared" si="1"/>
        <v>২ পরে</v>
      </c>
    </row>
    <row r="4119">
      <c r="A4119" s="4">
        <v>1935.0</v>
      </c>
      <c r="B4119" s="2" t="s">
        <v>16790</v>
      </c>
      <c r="C4119" s="2" t="s">
        <v>16791</v>
      </c>
      <c r="D4119" s="2" t="s">
        <v>16792</v>
      </c>
      <c r="E4119" s="2" t="s">
        <v>16793</v>
      </c>
      <c r="F4119" s="2" t="b">
        <v>1</v>
      </c>
      <c r="G4119" s="2" t="b">
        <v>0</v>
      </c>
      <c r="H4119" s="2" t="s">
        <v>37</v>
      </c>
      <c r="I4119" s="2" t="s">
        <v>49</v>
      </c>
      <c r="J4119" s="2" t="s">
        <v>2732</v>
      </c>
      <c r="K4119" s="2" t="s">
        <v>495</v>
      </c>
      <c r="L4119" s="13" t="s">
        <v>496</v>
      </c>
      <c r="M4119" s="2" t="s">
        <v>26</v>
      </c>
      <c r="N4119" s="29"/>
      <c r="O4119" s="29"/>
      <c r="P4119" s="5" t="str">
        <f>IFERROR(__xludf.DUMMYFUNCTION("TEXTJOIN("" | "",TRUE,IF(OR(D4119="""",E4119="""",I4119="""",J4119="""",H4119=""""),""ফাঁকা ঘর"",""""),IF(AND(C4119&lt;&gt;"""",D4119&lt;&gt;"""",C4119=D4119),""gloss=figurative"",""""),IF(LEN(D4119)&lt;15,""figurative ছোট"",""""),IF(AND(I4119=""Positive"",REGEXMATCH(H4"&amp;"119,""মূর্খ|ভণ্ড|প্রতার|অলস|লোভ|স্বার্থ|অক্ষম|অযোগ্য|বোকা|কৃপণ|হিংস"")),""valence-target অমিল"",""""),IF(COUNTIF($B:$B,B4119)&gt;1,""ডুপ্লিকেট"",""""))"),"")</f>
        <v/>
      </c>
      <c r="Q4119" s="5" t="str">
        <f t="shared" si="1"/>
        <v>২ পরে</v>
      </c>
    </row>
    <row r="4120">
      <c r="A4120" s="4">
        <v>1936.0</v>
      </c>
      <c r="B4120" s="2" t="s">
        <v>16794</v>
      </c>
      <c r="C4120" s="2" t="s">
        <v>16795</v>
      </c>
      <c r="D4120" s="2" t="s">
        <v>16796</v>
      </c>
      <c r="E4120" s="2" t="s">
        <v>16797</v>
      </c>
      <c r="F4120" s="2" t="b">
        <v>1</v>
      </c>
      <c r="G4120" s="2" t="b">
        <v>0</v>
      </c>
      <c r="H4120" s="2" t="s">
        <v>16798</v>
      </c>
      <c r="I4120" s="2" t="s">
        <v>22</v>
      </c>
      <c r="J4120" s="2" t="s">
        <v>1621</v>
      </c>
      <c r="K4120" s="2" t="s">
        <v>495</v>
      </c>
      <c r="L4120" s="13" t="s">
        <v>496</v>
      </c>
      <c r="M4120" s="2" t="s">
        <v>26</v>
      </c>
      <c r="N4120" s="29"/>
      <c r="O4120" s="29"/>
      <c r="P4120" s="5" t="str">
        <f>IFERROR(__xludf.DUMMYFUNCTION("TEXTJOIN("" | "",TRUE,IF(OR(D4120="""",E4120="""",I4120="""",J4120="""",H4120=""""),""ফাঁকা ঘর"",""""),IF(AND(C4120&lt;&gt;"""",D4120&lt;&gt;"""",C4120=D4120),""gloss=figurative"",""""),IF(LEN(D4120)&lt;15,""figurative ছোট"",""""),IF(AND(I4120=""Positive"",REGEXMATCH(H4"&amp;"120,""মূর্খ|ভণ্ড|প্রতার|অলস|লোভ|স্বার্থ|অক্ষম|অযোগ্য|বোকা|কৃপণ|হিংস"")),""valence-target অমিল"",""""),IF(COUNTIF($B:$B,B4120)&gt;1,""ডুপ্লিকেট"",""""))"),"")</f>
        <v/>
      </c>
      <c r="Q4120" s="5" t="str">
        <f t="shared" si="1"/>
        <v>২ পরে</v>
      </c>
    </row>
    <row r="4121">
      <c r="A4121" s="4">
        <v>1937.0</v>
      </c>
      <c r="B4121" s="2" t="s">
        <v>16799</v>
      </c>
      <c r="C4121" s="2" t="s">
        <v>16800</v>
      </c>
      <c r="D4121" s="2" t="s">
        <v>16801</v>
      </c>
      <c r="E4121" s="2" t="s">
        <v>16802</v>
      </c>
      <c r="F4121" s="2" t="b">
        <v>1</v>
      </c>
      <c r="G4121" s="2" t="b">
        <v>0</v>
      </c>
      <c r="H4121" s="2" t="s">
        <v>37</v>
      </c>
      <c r="I4121" s="2" t="s">
        <v>49</v>
      </c>
      <c r="J4121" s="2" t="s">
        <v>225</v>
      </c>
      <c r="K4121" s="2" t="s">
        <v>495</v>
      </c>
      <c r="L4121" s="13" t="s">
        <v>496</v>
      </c>
      <c r="M4121" s="2" t="s">
        <v>26</v>
      </c>
      <c r="N4121" s="29"/>
      <c r="O4121" s="29"/>
      <c r="P4121" s="5" t="str">
        <f>IFERROR(__xludf.DUMMYFUNCTION("TEXTJOIN("" | "",TRUE,IF(OR(D4121="""",E4121="""",I4121="""",J4121="""",H4121=""""),""ফাঁকা ঘর"",""""),IF(AND(C4121&lt;&gt;"""",D4121&lt;&gt;"""",C4121=D4121),""gloss=figurative"",""""),IF(LEN(D4121)&lt;15,""figurative ছোট"",""""),IF(AND(I4121=""Positive"",REGEXMATCH(H4"&amp;"121,""মূর্খ|ভণ্ড|প্রতার|অলস|লোভ|স্বার্থ|অক্ষম|অযোগ্য|বোকা|কৃপণ|হিংস"")),""valence-target অমিল"",""""),IF(COUNTIF($B:$B,B4121)&gt;1,""ডুপ্লিকেট"",""""))"),"")</f>
        <v/>
      </c>
      <c r="Q4121" s="5" t="str">
        <f t="shared" si="1"/>
        <v>২ পরে</v>
      </c>
    </row>
    <row r="4122">
      <c r="A4122" s="4">
        <v>1938.0</v>
      </c>
      <c r="B4122" s="2" t="s">
        <v>16803</v>
      </c>
      <c r="C4122" s="2" t="s">
        <v>16804</v>
      </c>
      <c r="D4122" s="2" t="s">
        <v>16805</v>
      </c>
      <c r="E4122" s="2" t="s">
        <v>16806</v>
      </c>
      <c r="F4122" s="2" t="b">
        <v>1</v>
      </c>
      <c r="G4122" s="2" t="b">
        <v>0</v>
      </c>
      <c r="H4122" s="2" t="s">
        <v>16807</v>
      </c>
      <c r="I4122" s="2" t="s">
        <v>22</v>
      </c>
      <c r="J4122" s="2" t="s">
        <v>43</v>
      </c>
      <c r="K4122" s="2" t="s">
        <v>495</v>
      </c>
      <c r="L4122" s="13" t="s">
        <v>496</v>
      </c>
      <c r="M4122" s="2" t="s">
        <v>26</v>
      </c>
      <c r="N4122" s="29"/>
      <c r="O4122" s="29"/>
      <c r="P4122" s="5" t="str">
        <f>IFERROR(__xludf.DUMMYFUNCTION("TEXTJOIN("" | "",TRUE,IF(OR(D4122="""",E4122="""",I4122="""",J4122="""",H4122=""""),""ফাঁকা ঘর"",""""),IF(AND(C4122&lt;&gt;"""",D4122&lt;&gt;"""",C4122=D4122),""gloss=figurative"",""""),IF(LEN(D4122)&lt;15,""figurative ছোট"",""""),IF(AND(I4122=""Positive"",REGEXMATCH(H4"&amp;"122,""মূর্খ|ভণ্ড|প্রতার|অলস|লোভ|স্বার্থ|অক্ষম|অযোগ্য|বোকা|কৃপণ|হিংস"")),""valence-target অমিল"",""""),IF(COUNTIF($B:$B,B4122)&gt;1,""ডুপ্লিকেট"",""""))"),"")</f>
        <v/>
      </c>
      <c r="Q4122" s="5" t="str">
        <f t="shared" si="1"/>
        <v>২ পরে</v>
      </c>
    </row>
    <row r="4123">
      <c r="A4123" s="4">
        <v>1939.0</v>
      </c>
      <c r="B4123" s="2" t="s">
        <v>16808</v>
      </c>
      <c r="C4123" s="2" t="s">
        <v>16809</v>
      </c>
      <c r="D4123" s="2" t="s">
        <v>16810</v>
      </c>
      <c r="E4123" s="2" t="s">
        <v>16811</v>
      </c>
      <c r="F4123" s="2" t="b">
        <v>1</v>
      </c>
      <c r="G4123" s="2" t="b">
        <v>0</v>
      </c>
      <c r="H4123" s="2" t="s">
        <v>16812</v>
      </c>
      <c r="I4123" s="2" t="s">
        <v>22</v>
      </c>
      <c r="J4123" s="2" t="s">
        <v>447</v>
      </c>
      <c r="K4123" s="2" t="s">
        <v>495</v>
      </c>
      <c r="L4123" s="13" t="s">
        <v>496</v>
      </c>
      <c r="M4123" s="2" t="s">
        <v>26</v>
      </c>
      <c r="N4123" s="29"/>
      <c r="O4123" s="29"/>
      <c r="P4123" s="5" t="str">
        <f>IFERROR(__xludf.DUMMYFUNCTION("TEXTJOIN("" | "",TRUE,IF(OR(D4123="""",E4123="""",I4123="""",J4123="""",H4123=""""),""ফাঁকা ঘর"",""""),IF(AND(C4123&lt;&gt;"""",D4123&lt;&gt;"""",C4123=D4123),""gloss=figurative"",""""),IF(LEN(D4123)&lt;15,""figurative ছোট"",""""),IF(AND(I4123=""Positive"",REGEXMATCH(H4"&amp;"123,""মূর্খ|ভণ্ড|প্রতার|অলস|লোভ|স্বার্থ|অক্ষম|অযোগ্য|বোকা|কৃপণ|হিংস"")),""valence-target অমিল"",""""),IF(COUNTIF($B:$B,B4123)&gt;1,""ডুপ্লিকেট"",""""))"),"")</f>
        <v/>
      </c>
      <c r="Q4123" s="5" t="str">
        <f t="shared" si="1"/>
        <v>২ পরে</v>
      </c>
    </row>
    <row r="4124">
      <c r="A4124" s="4">
        <v>1940.0</v>
      </c>
      <c r="B4124" s="2" t="s">
        <v>16813</v>
      </c>
      <c r="C4124" s="2" t="s">
        <v>16814</v>
      </c>
      <c r="D4124" s="2" t="s">
        <v>16815</v>
      </c>
      <c r="E4124" s="2" t="s">
        <v>16816</v>
      </c>
      <c r="F4124" s="2" t="b">
        <v>1</v>
      </c>
      <c r="G4124" s="2" t="b">
        <v>0</v>
      </c>
      <c r="H4124" s="2" t="s">
        <v>37</v>
      </c>
      <c r="I4124" s="2" t="s">
        <v>49</v>
      </c>
      <c r="J4124" s="2" t="s">
        <v>565</v>
      </c>
      <c r="K4124" s="2" t="s">
        <v>495</v>
      </c>
      <c r="L4124" s="13" t="s">
        <v>496</v>
      </c>
      <c r="M4124" s="2" t="s">
        <v>26</v>
      </c>
      <c r="N4124" s="29"/>
      <c r="O4124" s="29"/>
      <c r="P4124" s="5" t="str">
        <f>IFERROR(__xludf.DUMMYFUNCTION("TEXTJOIN("" | "",TRUE,IF(OR(D4124="""",E4124="""",I4124="""",J4124="""",H4124=""""),""ফাঁকা ঘর"",""""),IF(AND(C4124&lt;&gt;"""",D4124&lt;&gt;"""",C4124=D4124),""gloss=figurative"",""""),IF(LEN(D4124)&lt;15,""figurative ছোট"",""""),IF(AND(I4124=""Positive"",REGEXMATCH(H4"&amp;"124,""মূর্খ|ভণ্ড|প্রতার|অলস|লোভ|স্বার্থ|অক্ষম|অযোগ্য|বোকা|কৃপণ|হিংস"")),""valence-target অমিল"",""""),IF(COUNTIF($B:$B,B4124)&gt;1,""ডুপ্লিকেট"",""""))"),"")</f>
        <v/>
      </c>
      <c r="Q4124" s="5" t="str">
        <f t="shared" si="1"/>
        <v>২ পরে</v>
      </c>
    </row>
    <row r="4125">
      <c r="A4125" s="4">
        <v>1941.0</v>
      </c>
      <c r="B4125" s="2" t="s">
        <v>16817</v>
      </c>
      <c r="C4125" s="2" t="s">
        <v>16818</v>
      </c>
      <c r="D4125" s="2" t="s">
        <v>16819</v>
      </c>
      <c r="E4125" s="2" t="s">
        <v>16820</v>
      </c>
      <c r="F4125" s="2" t="b">
        <v>1</v>
      </c>
      <c r="G4125" s="2" t="b">
        <v>0</v>
      </c>
      <c r="H4125" s="2" t="s">
        <v>16821</v>
      </c>
      <c r="I4125" s="2" t="s">
        <v>22</v>
      </c>
      <c r="J4125" s="2" t="s">
        <v>16822</v>
      </c>
      <c r="K4125" s="2" t="s">
        <v>495</v>
      </c>
      <c r="L4125" s="13" t="s">
        <v>496</v>
      </c>
      <c r="M4125" s="2" t="s">
        <v>26</v>
      </c>
      <c r="N4125" s="29"/>
      <c r="O4125" s="29"/>
      <c r="P4125" s="5" t="str">
        <f>IFERROR(__xludf.DUMMYFUNCTION("TEXTJOIN("" | "",TRUE,IF(OR(D4125="""",E4125="""",I4125="""",J4125="""",H4125=""""),""ফাঁকা ঘর"",""""),IF(AND(C4125&lt;&gt;"""",D4125&lt;&gt;"""",C4125=D4125),""gloss=figurative"",""""),IF(LEN(D4125)&lt;15,""figurative ছোট"",""""),IF(AND(I4125=""Positive"",REGEXMATCH(H4"&amp;"125,""মূর্খ|ভণ্ড|প্রতার|অলস|লোভ|স্বার্থ|অক্ষম|অযোগ্য|বোকা|কৃপণ|হিংস"")),""valence-target অমিল"",""""),IF(COUNTIF($B:$B,B4125)&gt;1,""ডুপ্লিকেট"",""""))"),"")</f>
        <v/>
      </c>
      <c r="Q4125" s="5" t="str">
        <f t="shared" si="1"/>
        <v>২ পরে</v>
      </c>
    </row>
    <row r="4126">
      <c r="A4126" s="4">
        <v>1942.0</v>
      </c>
      <c r="B4126" s="2" t="s">
        <v>16823</v>
      </c>
      <c r="C4126" s="2" t="s">
        <v>16824</v>
      </c>
      <c r="D4126" s="2" t="s">
        <v>16825</v>
      </c>
      <c r="E4126" s="2" t="s">
        <v>16826</v>
      </c>
      <c r="F4126" s="2" t="b">
        <v>1</v>
      </c>
      <c r="G4126" s="2" t="b">
        <v>0</v>
      </c>
      <c r="H4126" s="2" t="s">
        <v>16827</v>
      </c>
      <c r="I4126" s="2" t="s">
        <v>22</v>
      </c>
      <c r="J4126" s="2" t="s">
        <v>750</v>
      </c>
      <c r="K4126" s="2" t="s">
        <v>495</v>
      </c>
      <c r="L4126" s="13" t="s">
        <v>496</v>
      </c>
      <c r="M4126" s="2" t="s">
        <v>26</v>
      </c>
      <c r="N4126" s="29"/>
      <c r="O4126" s="29"/>
      <c r="P4126" s="5" t="str">
        <f>IFERROR(__xludf.DUMMYFUNCTION("TEXTJOIN("" | "",TRUE,IF(OR(D4126="""",E4126="""",I4126="""",J4126="""",H4126=""""),""ফাঁকা ঘর"",""""),IF(AND(C4126&lt;&gt;"""",D4126&lt;&gt;"""",C4126=D4126),""gloss=figurative"",""""),IF(LEN(D4126)&lt;15,""figurative ছোট"",""""),IF(AND(I4126=""Positive"",REGEXMATCH(H4"&amp;"126,""মূর্খ|ভণ্ড|প্রতার|অলস|লোভ|স্বার্থ|অক্ষম|অযোগ্য|বোকা|কৃপণ|হিংস"")),""valence-target অমিল"",""""),IF(COUNTIF($B:$B,B4126)&gt;1,""ডুপ্লিকেট"",""""))"),"")</f>
        <v/>
      </c>
      <c r="Q4126" s="5" t="str">
        <f t="shared" si="1"/>
        <v>২ পরে</v>
      </c>
    </row>
    <row r="4127">
      <c r="A4127" s="4">
        <v>1943.0</v>
      </c>
      <c r="B4127" s="2" t="s">
        <v>16828</v>
      </c>
      <c r="C4127" s="2" t="s">
        <v>16829</v>
      </c>
      <c r="D4127" s="2" t="s">
        <v>16830</v>
      </c>
      <c r="E4127" s="2" t="s">
        <v>16831</v>
      </c>
      <c r="F4127" s="2" t="b">
        <v>1</v>
      </c>
      <c r="G4127" s="2" t="b">
        <v>0</v>
      </c>
      <c r="H4127" s="2" t="s">
        <v>37</v>
      </c>
      <c r="I4127" s="2" t="s">
        <v>49</v>
      </c>
      <c r="J4127" s="2" t="s">
        <v>15227</v>
      </c>
      <c r="K4127" s="2" t="s">
        <v>495</v>
      </c>
      <c r="L4127" s="13" t="s">
        <v>496</v>
      </c>
      <c r="M4127" s="2" t="s">
        <v>26</v>
      </c>
      <c r="N4127" s="29"/>
      <c r="O4127" s="29"/>
      <c r="P4127" s="5" t="str">
        <f>IFERROR(__xludf.DUMMYFUNCTION("TEXTJOIN("" | "",TRUE,IF(OR(D4127="""",E4127="""",I4127="""",J4127="""",H4127=""""),""ফাঁকা ঘর"",""""),IF(AND(C4127&lt;&gt;"""",D4127&lt;&gt;"""",C4127=D4127),""gloss=figurative"",""""),IF(LEN(D4127)&lt;15,""figurative ছোট"",""""),IF(AND(I4127=""Positive"",REGEXMATCH(H4"&amp;"127,""মূর্খ|ভণ্ড|প্রতার|অলস|লোভ|স্বার্থ|অক্ষম|অযোগ্য|বোকা|কৃপণ|হিংস"")),""valence-target অমিল"",""""),IF(COUNTIF($B:$B,B4127)&gt;1,""ডুপ্লিকেট"",""""))"),"")</f>
        <v/>
      </c>
      <c r="Q4127" s="5" t="str">
        <f t="shared" si="1"/>
        <v>২ পরে</v>
      </c>
    </row>
    <row r="4128">
      <c r="A4128" s="4">
        <v>1944.0</v>
      </c>
      <c r="B4128" s="2" t="s">
        <v>16832</v>
      </c>
      <c r="C4128" s="2" t="s">
        <v>16833</v>
      </c>
      <c r="D4128" s="2" t="s">
        <v>16834</v>
      </c>
      <c r="E4128" s="2" t="s">
        <v>16835</v>
      </c>
      <c r="F4128" s="2" t="b">
        <v>1</v>
      </c>
      <c r="G4128" s="2" t="b">
        <v>0</v>
      </c>
      <c r="H4128" s="2" t="s">
        <v>16836</v>
      </c>
      <c r="I4128" s="2" t="s">
        <v>49</v>
      </c>
      <c r="J4128" s="2" t="s">
        <v>1553</v>
      </c>
      <c r="K4128" s="2" t="s">
        <v>376</v>
      </c>
      <c r="L4128" s="2" t="s">
        <v>391</v>
      </c>
      <c r="M4128" s="2" t="s">
        <v>26</v>
      </c>
      <c r="N4128" s="29"/>
      <c r="O4128" s="29"/>
      <c r="P4128" s="5" t="str">
        <f>IFERROR(__xludf.DUMMYFUNCTION("TEXTJOIN("" | "",TRUE,IF(OR(D4128="""",E4128="""",I4128="""",J4128="""",H4128=""""),""ফাঁকা ঘর"",""""),IF(AND(C4128&lt;&gt;"""",D4128&lt;&gt;"""",C4128=D4128),""gloss=figurative"",""""),IF(LEN(D4128)&lt;15,""figurative ছোট"",""""),IF(AND(I4128=""Positive"",REGEXMATCH(H4"&amp;"128,""মূর্খ|ভণ্ড|প্রতার|অলস|লোভ|স্বার্থ|অক্ষম|অযোগ্য|বোকা|কৃপণ|হিংস"")),""valence-target অমিল"",""""),IF(COUNTIF($B:$B,B4128)&gt;1,""ডুপ্লিকেট"",""""))"),"")</f>
        <v/>
      </c>
      <c r="Q4128" s="5" t="str">
        <f t="shared" si="1"/>
        <v>২ পরে</v>
      </c>
    </row>
    <row r="4129">
      <c r="A4129" s="4">
        <v>1945.0</v>
      </c>
      <c r="B4129" s="2" t="s">
        <v>16837</v>
      </c>
      <c r="C4129" s="2" t="s">
        <v>16838</v>
      </c>
      <c r="D4129" s="2" t="s">
        <v>16839</v>
      </c>
      <c r="E4129" s="2" t="s">
        <v>16840</v>
      </c>
      <c r="F4129" s="2" t="b">
        <v>1</v>
      </c>
      <c r="G4129" s="2" t="b">
        <v>0</v>
      </c>
      <c r="H4129" s="2" t="s">
        <v>16603</v>
      </c>
      <c r="I4129" s="2" t="s">
        <v>32</v>
      </c>
      <c r="J4129" s="2" t="s">
        <v>1740</v>
      </c>
      <c r="K4129" s="2" t="s">
        <v>376</v>
      </c>
      <c r="L4129" s="2" t="s">
        <v>391</v>
      </c>
      <c r="M4129" s="2" t="s">
        <v>26</v>
      </c>
      <c r="N4129" s="29"/>
      <c r="O4129" s="29"/>
      <c r="P4129" s="5" t="str">
        <f>IFERROR(__xludf.DUMMYFUNCTION("TEXTJOIN("" | "",TRUE,IF(OR(D4129="""",E4129="""",I4129="""",J4129="""",H4129=""""),""ফাঁকা ঘর"",""""),IF(AND(C4129&lt;&gt;"""",D4129&lt;&gt;"""",C4129=D4129),""gloss=figurative"",""""),IF(LEN(D4129)&lt;15,""figurative ছোট"",""""),IF(AND(I4129=""Positive"",REGEXMATCH(H4"&amp;"129,""মূর্খ|ভণ্ড|প্রতার|অলস|লোভ|স্বার্থ|অক্ষম|অযোগ্য|বোকা|কৃপণ|হিংস"")),""valence-target অমিল"",""""),IF(COUNTIF($B:$B,B4129)&gt;1,""ডুপ্লিকেট"",""""))"),"")</f>
        <v/>
      </c>
      <c r="Q4129" s="5" t="str">
        <f t="shared" si="1"/>
        <v>২ পরে</v>
      </c>
    </row>
    <row r="4130">
      <c r="A4130" s="4">
        <v>1946.0</v>
      </c>
      <c r="B4130" s="2" t="s">
        <v>16841</v>
      </c>
      <c r="C4130" s="2" t="s">
        <v>16842</v>
      </c>
      <c r="D4130" s="2" t="s">
        <v>16843</v>
      </c>
      <c r="E4130" s="2" t="s">
        <v>16844</v>
      </c>
      <c r="F4130" s="2" t="b">
        <v>1</v>
      </c>
      <c r="G4130" s="2" t="b">
        <v>0</v>
      </c>
      <c r="H4130" s="2" t="s">
        <v>16845</v>
      </c>
      <c r="I4130" s="2" t="s">
        <v>49</v>
      </c>
      <c r="J4130" s="2" t="s">
        <v>1060</v>
      </c>
      <c r="K4130" s="2" t="s">
        <v>376</v>
      </c>
      <c r="L4130" s="2" t="s">
        <v>391</v>
      </c>
      <c r="M4130" s="2" t="s">
        <v>26</v>
      </c>
      <c r="N4130" s="29"/>
      <c r="O4130" s="29"/>
      <c r="P4130" s="5" t="str">
        <f>IFERROR(__xludf.DUMMYFUNCTION("TEXTJOIN("" | "",TRUE,IF(OR(D4130="""",E4130="""",I4130="""",J4130="""",H4130=""""),""ফাঁকা ঘর"",""""),IF(AND(C4130&lt;&gt;"""",D4130&lt;&gt;"""",C4130=D4130),""gloss=figurative"",""""),IF(LEN(D4130)&lt;15,""figurative ছোট"",""""),IF(AND(I4130=""Positive"",REGEXMATCH(H4"&amp;"130,""মূর্খ|ভণ্ড|প্রতার|অলস|লোভ|স্বার্থ|অক্ষম|অযোগ্য|বোকা|কৃপণ|হিংস"")),""valence-target অমিল"",""""),IF(COUNTIF($B:$B,B4130)&gt;1,""ডুপ্লিকেট"",""""))"),"")</f>
        <v/>
      </c>
      <c r="Q4130" s="5" t="str">
        <f t="shared" si="1"/>
        <v>২ পরে</v>
      </c>
    </row>
    <row r="4131">
      <c r="A4131" s="4">
        <v>1947.0</v>
      </c>
      <c r="B4131" s="2" t="s">
        <v>16846</v>
      </c>
      <c r="C4131" s="2" t="s">
        <v>16847</v>
      </c>
      <c r="D4131" s="2" t="s">
        <v>16848</v>
      </c>
      <c r="E4131" s="2" t="s">
        <v>16849</v>
      </c>
      <c r="F4131" s="2" t="b">
        <v>1</v>
      </c>
      <c r="G4131" s="2" t="b">
        <v>0</v>
      </c>
      <c r="H4131" s="2" t="s">
        <v>9380</v>
      </c>
      <c r="I4131" s="2" t="s">
        <v>22</v>
      </c>
      <c r="J4131" s="2" t="s">
        <v>2857</v>
      </c>
      <c r="K4131" s="2" t="s">
        <v>376</v>
      </c>
      <c r="L4131" s="2" t="s">
        <v>391</v>
      </c>
      <c r="M4131" s="2" t="s">
        <v>26</v>
      </c>
      <c r="N4131" s="29"/>
      <c r="O4131" s="29"/>
      <c r="P4131" s="5" t="str">
        <f>IFERROR(__xludf.DUMMYFUNCTION("TEXTJOIN("" | "",TRUE,IF(OR(D4131="""",E4131="""",I4131="""",J4131="""",H4131=""""),""ফাঁকা ঘর"",""""),IF(AND(C4131&lt;&gt;"""",D4131&lt;&gt;"""",C4131=D4131),""gloss=figurative"",""""),IF(LEN(D4131)&lt;15,""figurative ছোট"",""""),IF(AND(I4131=""Positive"",REGEXMATCH(H4"&amp;"131,""মূর্খ|ভণ্ড|প্রতার|অলস|লোভ|স্বার্থ|অক্ষম|অযোগ্য|বোকা|কৃপণ|হিংস"")),""valence-target অমিল"",""""),IF(COUNTIF($B:$B,B4131)&gt;1,""ডুপ্লিকেট"",""""))"),"")</f>
        <v/>
      </c>
      <c r="Q4131" s="5" t="str">
        <f t="shared" si="1"/>
        <v>২ পরে</v>
      </c>
    </row>
    <row r="4132">
      <c r="A4132" s="4">
        <v>1948.0</v>
      </c>
      <c r="B4132" s="2" t="s">
        <v>16850</v>
      </c>
      <c r="C4132" s="2" t="s">
        <v>16851</v>
      </c>
      <c r="D4132" s="2" t="s">
        <v>16852</v>
      </c>
      <c r="E4132" s="2" t="s">
        <v>16853</v>
      </c>
      <c r="F4132" s="2" t="b">
        <v>1</v>
      </c>
      <c r="G4132" s="2" t="b">
        <v>0</v>
      </c>
      <c r="H4132" s="2" t="s">
        <v>37</v>
      </c>
      <c r="I4132" s="2" t="s">
        <v>49</v>
      </c>
      <c r="J4132" s="2" t="s">
        <v>708</v>
      </c>
      <c r="K4132" s="2" t="s">
        <v>376</v>
      </c>
      <c r="L4132" s="2" t="s">
        <v>391</v>
      </c>
      <c r="M4132" s="2" t="s">
        <v>26</v>
      </c>
      <c r="N4132" s="29"/>
      <c r="O4132" s="29"/>
      <c r="P4132" s="5" t="str">
        <f>IFERROR(__xludf.DUMMYFUNCTION("TEXTJOIN("" | "",TRUE,IF(OR(D4132="""",E4132="""",I4132="""",J4132="""",H4132=""""),""ফাঁকা ঘর"",""""),IF(AND(C4132&lt;&gt;"""",D4132&lt;&gt;"""",C4132=D4132),""gloss=figurative"",""""),IF(LEN(D4132)&lt;15,""figurative ছোট"",""""),IF(AND(I4132=""Positive"",REGEXMATCH(H4"&amp;"132,""মূর্খ|ভণ্ড|প্রতার|অলস|লোভ|স্বার্থ|অক্ষম|অযোগ্য|বোকা|কৃপণ|হিংস"")),""valence-target অমিল"",""""),IF(COUNTIF($B:$B,B4132)&gt;1,""ডুপ্লিকেট"",""""))"),"")</f>
        <v/>
      </c>
      <c r="Q4132" s="5" t="str">
        <f t="shared" si="1"/>
        <v>২ পরে</v>
      </c>
    </row>
    <row r="4133">
      <c r="A4133" s="4">
        <v>1949.0</v>
      </c>
      <c r="B4133" s="2" t="s">
        <v>16854</v>
      </c>
      <c r="C4133" s="2" t="s">
        <v>16855</v>
      </c>
      <c r="D4133" s="2" t="s">
        <v>16856</v>
      </c>
      <c r="E4133" s="2" t="s">
        <v>16857</v>
      </c>
      <c r="F4133" s="2" t="b">
        <v>1</v>
      </c>
      <c r="G4133" s="2" t="b">
        <v>0</v>
      </c>
      <c r="H4133" s="2" t="s">
        <v>37</v>
      </c>
      <c r="I4133" s="2" t="s">
        <v>32</v>
      </c>
      <c r="J4133" s="2" t="s">
        <v>1859</v>
      </c>
      <c r="K4133" s="2" t="s">
        <v>376</v>
      </c>
      <c r="L4133" s="2" t="s">
        <v>391</v>
      </c>
      <c r="M4133" s="2" t="s">
        <v>26</v>
      </c>
      <c r="N4133" s="29"/>
      <c r="O4133" s="29"/>
      <c r="P4133" s="5" t="str">
        <f>IFERROR(__xludf.DUMMYFUNCTION("TEXTJOIN("" | "",TRUE,IF(OR(D4133="""",E4133="""",I4133="""",J4133="""",H4133=""""),""ফাঁকা ঘর"",""""),IF(AND(C4133&lt;&gt;"""",D4133&lt;&gt;"""",C4133=D4133),""gloss=figurative"",""""),IF(LEN(D4133)&lt;15,""figurative ছোট"",""""),IF(AND(I4133=""Positive"",REGEXMATCH(H4"&amp;"133,""মূর্খ|ভণ্ড|প্রতার|অলস|লোভ|স্বার্থ|অক্ষম|অযোগ্য|বোকা|কৃপণ|হিংস"")),""valence-target অমিল"",""""),IF(COUNTIF($B:$B,B4133)&gt;1,""ডুপ্লিকেট"",""""))"),"")</f>
        <v/>
      </c>
      <c r="Q4133" s="5" t="str">
        <f t="shared" si="1"/>
        <v>২ পরে</v>
      </c>
    </row>
    <row r="4134">
      <c r="A4134" s="4">
        <v>1950.0</v>
      </c>
      <c r="B4134" s="2" t="s">
        <v>16858</v>
      </c>
      <c r="C4134" s="2" t="s">
        <v>16859</v>
      </c>
      <c r="D4134" s="2" t="s">
        <v>16860</v>
      </c>
      <c r="E4134" s="2" t="s">
        <v>16861</v>
      </c>
      <c r="F4134" s="2" t="b">
        <v>1</v>
      </c>
      <c r="G4134" s="2" t="b">
        <v>1</v>
      </c>
      <c r="H4134" s="2" t="s">
        <v>16862</v>
      </c>
      <c r="I4134" s="2" t="s">
        <v>22</v>
      </c>
      <c r="J4134" s="2" t="s">
        <v>16863</v>
      </c>
      <c r="K4134" s="2" t="s">
        <v>376</v>
      </c>
      <c r="L4134" s="2" t="s">
        <v>391</v>
      </c>
      <c r="M4134" s="2" t="s">
        <v>26</v>
      </c>
      <c r="N4134" s="29"/>
      <c r="O4134" s="29"/>
      <c r="P4134" s="5" t="str">
        <f>IFERROR(__xludf.DUMMYFUNCTION("TEXTJOIN("" | "",TRUE,IF(OR(D4134="""",E4134="""",I4134="""",J4134="""",H4134=""""),""ফাঁকা ঘর"",""""),IF(AND(C4134&lt;&gt;"""",D4134&lt;&gt;"""",C4134=D4134),""gloss=figurative"",""""),IF(LEN(D4134)&lt;15,""figurative ছোট"",""""),IF(AND(I4134=""Positive"",REGEXMATCH(H4"&amp;"134,""মূর্খ|ভণ্ড|প্রতার|অলস|লোভ|স্বার্থ|অক্ষম|অযোগ্য|বোকা|কৃপণ|হিংস"")),""valence-target অমিল"",""""),IF(COUNTIF($B:$B,B4134)&gt;1,""ডুপ্লিকেট"",""""))"),"")</f>
        <v/>
      </c>
      <c r="Q4134" s="5" t="str">
        <f t="shared" si="1"/>
        <v>২ পরে</v>
      </c>
    </row>
    <row r="4135">
      <c r="A4135" s="4">
        <v>1951.0</v>
      </c>
      <c r="B4135" s="2" t="s">
        <v>16864</v>
      </c>
      <c r="C4135" s="2" t="s">
        <v>16864</v>
      </c>
      <c r="D4135" s="2" t="s">
        <v>16865</v>
      </c>
      <c r="E4135" s="2" t="s">
        <v>16866</v>
      </c>
      <c r="F4135" s="2" t="b">
        <v>1</v>
      </c>
      <c r="G4135" s="2" t="b">
        <v>0</v>
      </c>
      <c r="H4135" s="2" t="s">
        <v>16867</v>
      </c>
      <c r="I4135" s="2" t="s">
        <v>32</v>
      </c>
      <c r="J4135" s="2" t="s">
        <v>16868</v>
      </c>
      <c r="K4135" s="2" t="s">
        <v>376</v>
      </c>
      <c r="L4135" s="2" t="s">
        <v>391</v>
      </c>
      <c r="M4135" s="2" t="s">
        <v>26</v>
      </c>
      <c r="N4135" s="29"/>
      <c r="O4135" s="29"/>
      <c r="P4135" s="5" t="str">
        <f>IFERROR(__xludf.DUMMYFUNCTION("TEXTJOIN("" | "",TRUE,IF(OR(D4135="""",E4135="""",I4135="""",J4135="""",H4135=""""),""ফাঁকা ঘর"",""""),IF(AND(C4135&lt;&gt;"""",D4135&lt;&gt;"""",C4135=D4135),""gloss=figurative"",""""),IF(LEN(D4135)&lt;15,""figurative ছোট"",""""),IF(AND(I4135=""Positive"",REGEXMATCH(H4"&amp;"135,""মূর্খ|ভণ্ড|প্রতার|অলস|লোভ|স্বার্থ|অক্ষম|অযোগ্য|বোকা|কৃপণ|হিংস"")),""valence-target অমিল"",""""),IF(COUNTIF($B:$B,B4135)&gt;1,""ডুপ্লিকেট"",""""))"),"")</f>
        <v/>
      </c>
      <c r="Q4135" s="5" t="str">
        <f t="shared" si="1"/>
        <v>২ পরে</v>
      </c>
    </row>
    <row r="4136">
      <c r="A4136" s="4">
        <v>1952.0</v>
      </c>
      <c r="B4136" s="2" t="s">
        <v>16869</v>
      </c>
      <c r="C4136" s="2" t="s">
        <v>16870</v>
      </c>
      <c r="D4136" s="2" t="s">
        <v>16871</v>
      </c>
      <c r="E4136" s="2" t="s">
        <v>16872</v>
      </c>
      <c r="F4136" s="2" t="b">
        <v>1</v>
      </c>
      <c r="G4136" s="2" t="b">
        <v>0</v>
      </c>
      <c r="H4136" s="2" t="s">
        <v>37</v>
      </c>
      <c r="I4136" s="2" t="s">
        <v>32</v>
      </c>
      <c r="J4136" s="2" t="s">
        <v>1603</v>
      </c>
      <c r="K4136" s="2" t="s">
        <v>376</v>
      </c>
      <c r="L4136" s="2" t="s">
        <v>391</v>
      </c>
      <c r="M4136" s="2" t="s">
        <v>26</v>
      </c>
      <c r="N4136" s="29"/>
      <c r="O4136" s="29"/>
      <c r="P4136" s="5" t="str">
        <f>IFERROR(__xludf.DUMMYFUNCTION("TEXTJOIN("" | "",TRUE,IF(OR(D4136="""",E4136="""",I4136="""",J4136="""",H4136=""""),""ফাঁকা ঘর"",""""),IF(AND(C4136&lt;&gt;"""",D4136&lt;&gt;"""",C4136=D4136),""gloss=figurative"",""""),IF(LEN(D4136)&lt;15,""figurative ছোট"",""""),IF(AND(I4136=""Positive"",REGEXMATCH(H4"&amp;"136,""মূর্খ|ভণ্ড|প্রতার|অলস|লোভ|স্বার্থ|অক্ষম|অযোগ্য|বোকা|কৃপণ|হিংস"")),""valence-target অমিল"",""""),IF(COUNTIF($B:$B,B4136)&gt;1,""ডুপ্লিকেট"",""""))"),"")</f>
        <v/>
      </c>
      <c r="Q4136" s="5" t="str">
        <f t="shared" si="1"/>
        <v>২ পরে</v>
      </c>
    </row>
    <row r="4137">
      <c r="A4137" s="4">
        <v>1953.0</v>
      </c>
      <c r="B4137" s="2" t="s">
        <v>16873</v>
      </c>
      <c r="C4137" s="2" t="s">
        <v>16873</v>
      </c>
      <c r="D4137" s="2" t="s">
        <v>16874</v>
      </c>
      <c r="E4137" s="2" t="s">
        <v>16875</v>
      </c>
      <c r="F4137" s="2" t="b">
        <v>1</v>
      </c>
      <c r="G4137" s="2" t="b">
        <v>0</v>
      </c>
      <c r="H4137" s="2" t="s">
        <v>37</v>
      </c>
      <c r="I4137" s="2" t="s">
        <v>22</v>
      </c>
      <c r="J4137" s="2" t="s">
        <v>8648</v>
      </c>
      <c r="K4137" s="2" t="s">
        <v>376</v>
      </c>
      <c r="L4137" s="2" t="s">
        <v>391</v>
      </c>
      <c r="M4137" s="2" t="s">
        <v>26</v>
      </c>
      <c r="N4137" s="29"/>
      <c r="O4137" s="29"/>
      <c r="P4137" s="5" t="str">
        <f>IFERROR(__xludf.DUMMYFUNCTION("TEXTJOIN("" | "",TRUE,IF(OR(D4137="""",E4137="""",I4137="""",J4137="""",H4137=""""),""ফাঁকা ঘর"",""""),IF(AND(C4137&lt;&gt;"""",D4137&lt;&gt;"""",C4137=D4137),""gloss=figurative"",""""),IF(LEN(D4137)&lt;15,""figurative ছোট"",""""),IF(AND(I4137=""Positive"",REGEXMATCH(H4"&amp;"137,""মূর্খ|ভণ্ড|প্রতার|অলস|লোভ|স্বার্থ|অক্ষম|অযোগ্য|বোকা|কৃপণ|হিংস"")),""valence-target অমিল"",""""),IF(COUNTIF($B:$B,B4137)&gt;1,""ডুপ্লিকেট"",""""))"),"")</f>
        <v/>
      </c>
      <c r="Q4137" s="5" t="str">
        <f t="shared" si="1"/>
        <v>২ পরে</v>
      </c>
    </row>
    <row r="4138">
      <c r="A4138" s="4">
        <v>1954.0</v>
      </c>
      <c r="B4138" s="2" t="s">
        <v>16876</v>
      </c>
      <c r="C4138" s="2" t="s">
        <v>16877</v>
      </c>
      <c r="D4138" s="2" t="s">
        <v>16878</v>
      </c>
      <c r="E4138" s="2" t="s">
        <v>16879</v>
      </c>
      <c r="F4138" s="2" t="b">
        <v>1</v>
      </c>
      <c r="G4138" s="2" t="b">
        <v>0</v>
      </c>
      <c r="H4138" s="2" t="s">
        <v>37</v>
      </c>
      <c r="I4138" s="2" t="s">
        <v>22</v>
      </c>
      <c r="J4138" s="2" t="s">
        <v>590</v>
      </c>
      <c r="K4138" s="2" t="s">
        <v>376</v>
      </c>
      <c r="L4138" s="2" t="s">
        <v>391</v>
      </c>
      <c r="M4138" s="2" t="s">
        <v>26</v>
      </c>
      <c r="N4138" s="29"/>
      <c r="O4138" s="29"/>
      <c r="P4138" s="5" t="str">
        <f>IFERROR(__xludf.DUMMYFUNCTION("TEXTJOIN("" | "",TRUE,IF(OR(D4138="""",E4138="""",I4138="""",J4138="""",H4138=""""),""ফাঁকা ঘর"",""""),IF(AND(C4138&lt;&gt;"""",D4138&lt;&gt;"""",C4138=D4138),""gloss=figurative"",""""),IF(LEN(D4138)&lt;15,""figurative ছোট"",""""),IF(AND(I4138=""Positive"",REGEXMATCH(H4"&amp;"138,""মূর্খ|ভণ্ড|প্রতার|অলস|লোভ|স্বার্থ|অক্ষম|অযোগ্য|বোকা|কৃপণ|হিংস"")),""valence-target অমিল"",""""),IF(COUNTIF($B:$B,B4138)&gt;1,""ডুপ্লিকেট"",""""))"),"")</f>
        <v/>
      </c>
      <c r="Q4138" s="5" t="str">
        <f t="shared" si="1"/>
        <v>২ পরে</v>
      </c>
    </row>
    <row r="4139">
      <c r="A4139" s="4">
        <v>1955.0</v>
      </c>
      <c r="B4139" s="2" t="s">
        <v>16880</v>
      </c>
      <c r="C4139" s="2" t="s">
        <v>16881</v>
      </c>
      <c r="D4139" s="2" t="s">
        <v>16882</v>
      </c>
      <c r="E4139" s="2" t="s">
        <v>16883</v>
      </c>
      <c r="F4139" s="2" t="b">
        <v>1</v>
      </c>
      <c r="G4139" s="2" t="b">
        <v>0</v>
      </c>
      <c r="H4139" s="2" t="s">
        <v>16884</v>
      </c>
      <c r="I4139" s="2" t="s">
        <v>22</v>
      </c>
      <c r="J4139" s="2" t="s">
        <v>836</v>
      </c>
      <c r="K4139" s="2" t="s">
        <v>376</v>
      </c>
      <c r="L4139" s="2" t="s">
        <v>391</v>
      </c>
      <c r="M4139" s="2" t="s">
        <v>26</v>
      </c>
      <c r="N4139" s="29"/>
      <c r="O4139" s="29"/>
      <c r="P4139" s="5" t="str">
        <f>IFERROR(__xludf.DUMMYFUNCTION("TEXTJOIN("" | "",TRUE,IF(OR(D4139="""",E4139="""",I4139="""",J4139="""",H4139=""""),""ফাঁকা ঘর"",""""),IF(AND(C4139&lt;&gt;"""",D4139&lt;&gt;"""",C4139=D4139),""gloss=figurative"",""""),IF(LEN(D4139)&lt;15,""figurative ছোট"",""""),IF(AND(I4139=""Positive"",REGEXMATCH(H4"&amp;"139,""মূর্খ|ভণ্ড|প্রতার|অলস|লোভ|স্বার্থ|অক্ষম|অযোগ্য|বোকা|কৃপণ|হিংস"")),""valence-target অমিল"",""""),IF(COUNTIF($B:$B,B4139)&gt;1,""ডুপ্লিকেট"",""""))"),"")</f>
        <v/>
      </c>
      <c r="Q4139" s="5" t="str">
        <f t="shared" si="1"/>
        <v>২ পরে</v>
      </c>
    </row>
    <row r="4140">
      <c r="A4140" s="4">
        <v>1956.0</v>
      </c>
      <c r="B4140" s="2" t="s">
        <v>16885</v>
      </c>
      <c r="C4140" s="2" t="s">
        <v>16886</v>
      </c>
      <c r="D4140" s="2" t="s">
        <v>16887</v>
      </c>
      <c r="E4140" s="2" t="s">
        <v>16888</v>
      </c>
      <c r="F4140" s="2" t="b">
        <v>1</v>
      </c>
      <c r="G4140" s="2" t="b">
        <v>0</v>
      </c>
      <c r="H4140" s="2" t="s">
        <v>16889</v>
      </c>
      <c r="I4140" s="2" t="s">
        <v>22</v>
      </c>
      <c r="J4140" s="2" t="s">
        <v>836</v>
      </c>
      <c r="K4140" s="2" t="s">
        <v>376</v>
      </c>
      <c r="L4140" s="2" t="s">
        <v>391</v>
      </c>
      <c r="M4140" s="2" t="s">
        <v>26</v>
      </c>
      <c r="N4140" s="29"/>
      <c r="O4140" s="29"/>
      <c r="P4140" s="5" t="str">
        <f>IFERROR(__xludf.DUMMYFUNCTION("TEXTJOIN("" | "",TRUE,IF(OR(D4140="""",E4140="""",I4140="""",J4140="""",H4140=""""),""ফাঁকা ঘর"",""""),IF(AND(C4140&lt;&gt;"""",D4140&lt;&gt;"""",C4140=D4140),""gloss=figurative"",""""),IF(LEN(D4140)&lt;15,""figurative ছোট"",""""),IF(AND(I4140=""Positive"",REGEXMATCH(H4"&amp;"140,""মূর্খ|ভণ্ড|প্রতার|অলস|লোভ|স্বার্থ|অক্ষম|অযোগ্য|বোকা|কৃপণ|হিংস"")),""valence-target অমিল"",""""),IF(COUNTIF($B:$B,B4140)&gt;1,""ডুপ্লিকেট"",""""))"),"")</f>
        <v/>
      </c>
      <c r="Q4140" s="5" t="str">
        <f t="shared" si="1"/>
        <v>২ পরে</v>
      </c>
    </row>
    <row r="4141">
      <c r="A4141" s="4">
        <v>1957.0</v>
      </c>
      <c r="B4141" s="2" t="s">
        <v>16890</v>
      </c>
      <c r="C4141" s="2" t="s">
        <v>16891</v>
      </c>
      <c r="D4141" s="2" t="s">
        <v>16892</v>
      </c>
      <c r="E4141" s="2" t="s">
        <v>16893</v>
      </c>
      <c r="F4141" s="2" t="b">
        <v>1</v>
      </c>
      <c r="G4141" s="2" t="b">
        <v>0</v>
      </c>
      <c r="H4141" s="2" t="s">
        <v>37</v>
      </c>
      <c r="I4141" s="2" t="s">
        <v>32</v>
      </c>
      <c r="J4141" s="2" t="s">
        <v>424</v>
      </c>
      <c r="K4141" s="2" t="s">
        <v>376</v>
      </c>
      <c r="L4141" s="2" t="s">
        <v>391</v>
      </c>
      <c r="M4141" s="2" t="s">
        <v>26</v>
      </c>
      <c r="N4141" s="29"/>
      <c r="O4141" s="29"/>
      <c r="P4141" s="5" t="str">
        <f>IFERROR(__xludf.DUMMYFUNCTION("TEXTJOIN("" | "",TRUE,IF(OR(D4141="""",E4141="""",I4141="""",J4141="""",H4141=""""),""ফাঁকা ঘর"",""""),IF(AND(C4141&lt;&gt;"""",D4141&lt;&gt;"""",C4141=D4141),""gloss=figurative"",""""),IF(LEN(D4141)&lt;15,""figurative ছোট"",""""),IF(AND(I4141=""Positive"",REGEXMATCH(H4"&amp;"141,""মূর্খ|ভণ্ড|প্রতার|অলস|লোভ|স্বার্থ|অক্ষম|অযোগ্য|বোকা|কৃপণ|হিংস"")),""valence-target অমিল"",""""),IF(COUNTIF($B:$B,B4141)&gt;1,""ডুপ্লিকেট"",""""))"),"")</f>
        <v/>
      </c>
      <c r="Q4141" s="5" t="str">
        <f t="shared" si="1"/>
        <v>২ পরে</v>
      </c>
    </row>
    <row r="4142">
      <c r="A4142" s="4">
        <v>1958.0</v>
      </c>
      <c r="B4142" s="2" t="s">
        <v>16894</v>
      </c>
      <c r="C4142" s="2" t="s">
        <v>16895</v>
      </c>
      <c r="D4142" s="2" t="s">
        <v>16896</v>
      </c>
      <c r="E4142" s="2" t="s">
        <v>16897</v>
      </c>
      <c r="F4142" s="2" t="b">
        <v>1</v>
      </c>
      <c r="G4142" s="2" t="b">
        <v>0</v>
      </c>
      <c r="H4142" s="2" t="s">
        <v>37</v>
      </c>
      <c r="I4142" s="2" t="s">
        <v>32</v>
      </c>
      <c r="J4142" s="2" t="s">
        <v>424</v>
      </c>
      <c r="K4142" s="2" t="s">
        <v>376</v>
      </c>
      <c r="L4142" s="2" t="s">
        <v>391</v>
      </c>
      <c r="M4142" s="2" t="s">
        <v>26</v>
      </c>
      <c r="N4142" s="29"/>
      <c r="O4142" s="29"/>
      <c r="P4142" s="5" t="str">
        <f>IFERROR(__xludf.DUMMYFUNCTION("TEXTJOIN("" | "",TRUE,IF(OR(D4142="""",E4142="""",I4142="""",J4142="""",H4142=""""),""ফাঁকা ঘর"",""""),IF(AND(C4142&lt;&gt;"""",D4142&lt;&gt;"""",C4142=D4142),""gloss=figurative"",""""),IF(LEN(D4142)&lt;15,""figurative ছোট"",""""),IF(AND(I4142=""Positive"",REGEXMATCH(H4"&amp;"142,""মূর্খ|ভণ্ড|প্রতার|অলস|লোভ|স্বার্থ|অক্ষম|অযোগ্য|বোকা|কৃপণ|হিংস"")),""valence-target অমিল"",""""),IF(COUNTIF($B:$B,B4142)&gt;1,""ডুপ্লিকেট"",""""))"),"")</f>
        <v/>
      </c>
      <c r="Q4142" s="5" t="str">
        <f t="shared" si="1"/>
        <v>২ পরে</v>
      </c>
    </row>
    <row r="4143">
      <c r="A4143" s="4">
        <v>1959.0</v>
      </c>
      <c r="B4143" s="2" t="s">
        <v>16898</v>
      </c>
      <c r="C4143" s="2" t="s">
        <v>16899</v>
      </c>
      <c r="D4143" s="2" t="s">
        <v>16900</v>
      </c>
      <c r="E4143" s="2" t="s">
        <v>16901</v>
      </c>
      <c r="F4143" s="2" t="b">
        <v>1</v>
      </c>
      <c r="G4143" s="2" t="b">
        <v>0</v>
      </c>
      <c r="H4143" s="2" t="s">
        <v>16902</v>
      </c>
      <c r="I4143" s="2" t="s">
        <v>22</v>
      </c>
      <c r="J4143" s="2" t="s">
        <v>16903</v>
      </c>
      <c r="K4143" s="2" t="s">
        <v>495</v>
      </c>
      <c r="L4143" s="13" t="s">
        <v>496</v>
      </c>
      <c r="M4143" s="2" t="s">
        <v>26</v>
      </c>
      <c r="N4143" s="29"/>
      <c r="O4143" s="29"/>
      <c r="P4143" s="5" t="str">
        <f>IFERROR(__xludf.DUMMYFUNCTION("TEXTJOIN("" | "",TRUE,IF(OR(D4143="""",E4143="""",I4143="""",J4143="""",H4143=""""),""ফাঁকা ঘর"",""""),IF(AND(C4143&lt;&gt;"""",D4143&lt;&gt;"""",C4143=D4143),""gloss=figurative"",""""),IF(LEN(D4143)&lt;15,""figurative ছোট"",""""),IF(AND(I4143=""Positive"",REGEXMATCH(H4"&amp;"143,""মূর্খ|ভণ্ড|প্রতার|অলস|লোভ|স্বার্থ|অক্ষম|অযোগ্য|বোকা|কৃপণ|হিংস"")),""valence-target অমিল"",""""),IF(COUNTIF($B:$B,B4143)&gt;1,""ডুপ্লিকেট"",""""))"),"")</f>
        <v/>
      </c>
      <c r="Q4143" s="5" t="str">
        <f t="shared" si="1"/>
        <v>২ পরে</v>
      </c>
    </row>
    <row r="4144">
      <c r="A4144" s="4">
        <v>1960.0</v>
      </c>
      <c r="B4144" s="2" t="s">
        <v>16904</v>
      </c>
      <c r="C4144" s="2" t="s">
        <v>16905</v>
      </c>
      <c r="D4144" s="2" t="s">
        <v>16906</v>
      </c>
      <c r="E4144" s="2" t="s">
        <v>16907</v>
      </c>
      <c r="F4144" s="2" t="b">
        <v>1</v>
      </c>
      <c r="G4144" s="2" t="b">
        <v>0</v>
      </c>
      <c r="H4144" s="2" t="s">
        <v>16908</v>
      </c>
      <c r="I4144" s="2" t="s">
        <v>22</v>
      </c>
      <c r="J4144" s="2" t="s">
        <v>43</v>
      </c>
      <c r="K4144" s="2" t="s">
        <v>495</v>
      </c>
      <c r="L4144" s="13" t="s">
        <v>496</v>
      </c>
      <c r="M4144" s="2" t="s">
        <v>26</v>
      </c>
      <c r="N4144" s="29"/>
      <c r="O4144" s="29"/>
      <c r="P4144" s="5" t="str">
        <f>IFERROR(__xludf.DUMMYFUNCTION("TEXTJOIN("" | "",TRUE,IF(OR(D4144="""",E4144="""",I4144="""",J4144="""",H4144=""""),""ফাঁকা ঘর"",""""),IF(AND(C4144&lt;&gt;"""",D4144&lt;&gt;"""",C4144=D4144),""gloss=figurative"",""""),IF(LEN(D4144)&lt;15,""figurative ছোট"",""""),IF(AND(I4144=""Positive"",REGEXMATCH(H4"&amp;"144,""মূর্খ|ভণ্ড|প্রতার|অলস|লোভ|স্বার্থ|অক্ষম|অযোগ্য|বোকা|কৃপণ|হিংস"")),""valence-target অমিল"",""""),IF(COUNTIF($B:$B,B4144)&gt;1,""ডুপ্লিকেট"",""""))"),"")</f>
        <v/>
      </c>
      <c r="Q4144" s="5" t="str">
        <f t="shared" si="1"/>
        <v>২ পরে</v>
      </c>
    </row>
    <row r="4145">
      <c r="A4145" s="4">
        <v>1961.0</v>
      </c>
      <c r="B4145" s="2" t="s">
        <v>16909</v>
      </c>
      <c r="C4145" s="2" t="s">
        <v>16910</v>
      </c>
      <c r="D4145" s="2" t="s">
        <v>16911</v>
      </c>
      <c r="E4145" s="2" t="s">
        <v>16912</v>
      </c>
      <c r="F4145" s="2" t="b">
        <v>1</v>
      </c>
      <c r="G4145" s="2" t="b">
        <v>0</v>
      </c>
      <c r="H4145" s="2" t="s">
        <v>9320</v>
      </c>
      <c r="I4145" s="2" t="s">
        <v>49</v>
      </c>
      <c r="J4145" s="2" t="s">
        <v>447</v>
      </c>
      <c r="K4145" s="2" t="s">
        <v>495</v>
      </c>
      <c r="L4145" s="13" t="s">
        <v>496</v>
      </c>
      <c r="M4145" s="2" t="s">
        <v>26</v>
      </c>
      <c r="N4145" s="29"/>
      <c r="O4145" s="29"/>
      <c r="P4145" s="5" t="str">
        <f>IFERROR(__xludf.DUMMYFUNCTION("TEXTJOIN("" | "",TRUE,IF(OR(D4145="""",E4145="""",I4145="""",J4145="""",H4145=""""),""ফাঁকা ঘর"",""""),IF(AND(C4145&lt;&gt;"""",D4145&lt;&gt;"""",C4145=D4145),""gloss=figurative"",""""),IF(LEN(D4145)&lt;15,""figurative ছোট"",""""),IF(AND(I4145=""Positive"",REGEXMATCH(H4"&amp;"145,""মূর্খ|ভণ্ড|প্রতার|অলস|লোভ|স্বার্থ|অক্ষম|অযোগ্য|বোকা|কৃপণ|হিংস"")),""valence-target অমিল"",""""),IF(COUNTIF($B:$B,B4145)&gt;1,""ডুপ্লিকেট"",""""))"),"")</f>
        <v/>
      </c>
      <c r="Q4145" s="5" t="str">
        <f t="shared" si="1"/>
        <v>২ পরে</v>
      </c>
    </row>
    <row r="4146">
      <c r="A4146" s="4">
        <v>1962.0</v>
      </c>
      <c r="B4146" s="2" t="s">
        <v>16913</v>
      </c>
      <c r="C4146" s="2" t="s">
        <v>16914</v>
      </c>
      <c r="D4146" s="2" t="s">
        <v>16915</v>
      </c>
      <c r="E4146" s="2" t="s">
        <v>16916</v>
      </c>
      <c r="F4146" s="2" t="b">
        <v>1</v>
      </c>
      <c r="G4146" s="2" t="b">
        <v>0</v>
      </c>
      <c r="H4146" s="2" t="s">
        <v>16162</v>
      </c>
      <c r="I4146" s="2" t="s">
        <v>49</v>
      </c>
      <c r="J4146" s="2" t="s">
        <v>708</v>
      </c>
      <c r="K4146" s="2" t="s">
        <v>495</v>
      </c>
      <c r="L4146" s="13" t="s">
        <v>496</v>
      </c>
      <c r="M4146" s="2" t="s">
        <v>26</v>
      </c>
      <c r="N4146" s="29"/>
      <c r="O4146" s="29"/>
      <c r="P4146" s="5" t="str">
        <f>IFERROR(__xludf.DUMMYFUNCTION("TEXTJOIN("" | "",TRUE,IF(OR(D4146="""",E4146="""",I4146="""",J4146="""",H4146=""""),""ফাঁকা ঘর"",""""),IF(AND(C4146&lt;&gt;"""",D4146&lt;&gt;"""",C4146=D4146),""gloss=figurative"",""""),IF(LEN(D4146)&lt;15,""figurative ছোট"",""""),IF(AND(I4146=""Positive"",REGEXMATCH(H4"&amp;"146,""মূর্খ|ভণ্ড|প্রতার|অলস|লোভ|স্বার্থ|অক্ষম|অযোগ্য|বোকা|কৃপণ|হিংস"")),""valence-target অমিল"",""""),IF(COUNTIF($B:$B,B4146)&gt;1,""ডুপ্লিকেট"",""""))"),"")</f>
        <v/>
      </c>
      <c r="Q4146" s="5" t="str">
        <f t="shared" si="1"/>
        <v>২ পরে</v>
      </c>
    </row>
    <row r="4147">
      <c r="A4147" s="4">
        <v>1963.0</v>
      </c>
      <c r="B4147" s="2" t="s">
        <v>16917</v>
      </c>
      <c r="C4147" s="2" t="s">
        <v>16918</v>
      </c>
      <c r="D4147" s="2" t="s">
        <v>16919</v>
      </c>
      <c r="E4147" s="2" t="s">
        <v>16920</v>
      </c>
      <c r="F4147" s="2" t="b">
        <v>1</v>
      </c>
      <c r="G4147" s="2" t="b">
        <v>0</v>
      </c>
      <c r="H4147" s="2" t="s">
        <v>16921</v>
      </c>
      <c r="I4147" s="2" t="s">
        <v>22</v>
      </c>
      <c r="J4147" s="2" t="s">
        <v>1553</v>
      </c>
      <c r="K4147" s="2" t="s">
        <v>495</v>
      </c>
      <c r="L4147" s="13" t="s">
        <v>496</v>
      </c>
      <c r="M4147" s="2" t="s">
        <v>26</v>
      </c>
      <c r="N4147" s="29"/>
      <c r="O4147" s="29"/>
      <c r="P4147" s="5" t="str">
        <f>IFERROR(__xludf.DUMMYFUNCTION("TEXTJOIN("" | "",TRUE,IF(OR(D4147="""",E4147="""",I4147="""",J4147="""",H4147=""""),""ফাঁকা ঘর"",""""),IF(AND(C4147&lt;&gt;"""",D4147&lt;&gt;"""",C4147=D4147),""gloss=figurative"",""""),IF(LEN(D4147)&lt;15,""figurative ছোট"",""""),IF(AND(I4147=""Positive"",REGEXMATCH(H4"&amp;"147,""মূর্খ|ভণ্ড|প্রতার|অলস|লোভ|স্বার্থ|অক্ষম|অযোগ্য|বোকা|কৃপণ|হিংস"")),""valence-target অমিল"",""""),IF(COUNTIF($B:$B,B4147)&gt;1,""ডুপ্লিকেট"",""""))"),"")</f>
        <v/>
      </c>
      <c r="Q4147" s="5" t="str">
        <f t="shared" si="1"/>
        <v>২ পরে</v>
      </c>
    </row>
    <row r="4148">
      <c r="A4148" s="4">
        <v>1964.0</v>
      </c>
      <c r="B4148" s="2" t="s">
        <v>16922</v>
      </c>
      <c r="C4148" s="2" t="s">
        <v>16923</v>
      </c>
      <c r="D4148" s="2" t="s">
        <v>16924</v>
      </c>
      <c r="E4148" s="2" t="s">
        <v>16925</v>
      </c>
      <c r="F4148" s="2" t="b">
        <v>1</v>
      </c>
      <c r="G4148" s="2" t="b">
        <v>0</v>
      </c>
      <c r="H4148" s="2" t="s">
        <v>16926</v>
      </c>
      <c r="I4148" s="2" t="s">
        <v>22</v>
      </c>
      <c r="J4148" s="2" t="s">
        <v>739</v>
      </c>
      <c r="K4148" s="2" t="s">
        <v>495</v>
      </c>
      <c r="L4148" s="13" t="s">
        <v>496</v>
      </c>
      <c r="M4148" s="2" t="s">
        <v>26</v>
      </c>
      <c r="N4148" s="29"/>
      <c r="O4148" s="29"/>
      <c r="P4148" s="5" t="str">
        <f>IFERROR(__xludf.DUMMYFUNCTION("TEXTJOIN("" | "",TRUE,IF(OR(D4148="""",E4148="""",I4148="""",J4148="""",H4148=""""),""ফাঁকা ঘর"",""""),IF(AND(C4148&lt;&gt;"""",D4148&lt;&gt;"""",C4148=D4148),""gloss=figurative"",""""),IF(LEN(D4148)&lt;15,""figurative ছোট"",""""),IF(AND(I4148=""Positive"",REGEXMATCH(H4"&amp;"148,""মূর্খ|ভণ্ড|প্রতার|অলস|লোভ|স্বার্থ|অক্ষম|অযোগ্য|বোকা|কৃপণ|হিংস"")),""valence-target অমিল"",""""),IF(COUNTIF($B:$B,B4148)&gt;1,""ডুপ্লিকেট"",""""))"),"")</f>
        <v/>
      </c>
      <c r="Q4148" s="5" t="str">
        <f t="shared" si="1"/>
        <v>২ পরে</v>
      </c>
    </row>
    <row r="4149">
      <c r="A4149" s="4">
        <v>1965.0</v>
      </c>
      <c r="B4149" s="2" t="s">
        <v>16927</v>
      </c>
      <c r="C4149" s="2" t="s">
        <v>16928</v>
      </c>
      <c r="D4149" s="2" t="s">
        <v>16929</v>
      </c>
      <c r="E4149" s="2" t="s">
        <v>16930</v>
      </c>
      <c r="F4149" s="2" t="b">
        <v>1</v>
      </c>
      <c r="G4149" s="2" t="b">
        <v>0</v>
      </c>
      <c r="H4149" s="2" t="s">
        <v>16931</v>
      </c>
      <c r="I4149" s="2" t="s">
        <v>32</v>
      </c>
      <c r="J4149" s="2" t="s">
        <v>739</v>
      </c>
      <c r="K4149" s="2" t="s">
        <v>495</v>
      </c>
      <c r="L4149" s="13" t="s">
        <v>496</v>
      </c>
      <c r="M4149" s="2" t="s">
        <v>26</v>
      </c>
      <c r="N4149" s="29"/>
      <c r="O4149" s="29"/>
      <c r="P4149" s="5" t="str">
        <f>IFERROR(__xludf.DUMMYFUNCTION("TEXTJOIN("" | "",TRUE,IF(OR(D4149="""",E4149="""",I4149="""",J4149="""",H4149=""""),""ফাঁকা ঘর"",""""),IF(AND(C4149&lt;&gt;"""",D4149&lt;&gt;"""",C4149=D4149),""gloss=figurative"",""""),IF(LEN(D4149)&lt;15,""figurative ছোট"",""""),IF(AND(I4149=""Positive"",REGEXMATCH(H4"&amp;"149,""মূর্খ|ভণ্ড|প্রতার|অলস|লোভ|স্বার্থ|অক্ষম|অযোগ্য|বোকা|কৃপণ|হিংস"")),""valence-target অমিল"",""""),IF(COUNTIF($B:$B,B4149)&gt;1,""ডুপ্লিকেট"",""""))"),"")</f>
        <v/>
      </c>
      <c r="Q4149" s="5" t="str">
        <f t="shared" si="1"/>
        <v>২ পরে</v>
      </c>
    </row>
    <row r="4150">
      <c r="A4150" s="4">
        <v>1966.0</v>
      </c>
      <c r="B4150" s="2" t="s">
        <v>16932</v>
      </c>
      <c r="C4150" s="2" t="s">
        <v>16933</v>
      </c>
      <c r="D4150" s="2" t="s">
        <v>16934</v>
      </c>
      <c r="E4150" s="2" t="s">
        <v>16935</v>
      </c>
      <c r="F4150" s="2" t="b">
        <v>1</v>
      </c>
      <c r="G4150" s="2" t="b">
        <v>0</v>
      </c>
      <c r="H4150" s="2" t="s">
        <v>37</v>
      </c>
      <c r="I4150" s="2" t="s">
        <v>49</v>
      </c>
      <c r="J4150" s="2" t="s">
        <v>646</v>
      </c>
      <c r="K4150" s="2" t="s">
        <v>495</v>
      </c>
      <c r="L4150" s="13" t="s">
        <v>496</v>
      </c>
      <c r="M4150" s="2" t="s">
        <v>26</v>
      </c>
      <c r="N4150" s="29"/>
      <c r="O4150" s="29"/>
      <c r="P4150" s="5" t="str">
        <f>IFERROR(__xludf.DUMMYFUNCTION("TEXTJOIN("" | "",TRUE,IF(OR(D4150="""",E4150="""",I4150="""",J4150="""",H4150=""""),""ফাঁকা ঘর"",""""),IF(AND(C4150&lt;&gt;"""",D4150&lt;&gt;"""",C4150=D4150),""gloss=figurative"",""""),IF(LEN(D4150)&lt;15,""figurative ছোট"",""""),IF(AND(I4150=""Positive"",REGEXMATCH(H4"&amp;"150,""মূর্খ|ভণ্ড|প্রতার|অলস|লোভ|স্বার্থ|অক্ষম|অযোগ্য|বোকা|কৃপণ|হিংস"")),""valence-target অমিল"",""""),IF(COUNTIF($B:$B,B4150)&gt;1,""ডুপ্লিকেট"",""""))"),"")</f>
        <v/>
      </c>
      <c r="Q4150" s="5" t="str">
        <f t="shared" si="1"/>
        <v>২ পরে</v>
      </c>
    </row>
    <row r="4151">
      <c r="A4151" s="4">
        <v>1967.0</v>
      </c>
      <c r="B4151" s="2" t="s">
        <v>16936</v>
      </c>
      <c r="C4151" s="2" t="s">
        <v>16937</v>
      </c>
      <c r="D4151" s="2" t="s">
        <v>16938</v>
      </c>
      <c r="E4151" s="2" t="s">
        <v>16939</v>
      </c>
      <c r="F4151" s="2" t="b">
        <v>1</v>
      </c>
      <c r="G4151" s="2" t="b">
        <v>0</v>
      </c>
      <c r="H4151" s="2" t="s">
        <v>16940</v>
      </c>
      <c r="I4151" s="2" t="s">
        <v>22</v>
      </c>
      <c r="J4151" s="2" t="s">
        <v>3105</v>
      </c>
      <c r="K4151" s="2" t="s">
        <v>495</v>
      </c>
      <c r="L4151" s="13" t="s">
        <v>496</v>
      </c>
      <c r="M4151" s="2" t="s">
        <v>26</v>
      </c>
      <c r="N4151" s="29"/>
      <c r="O4151" s="29"/>
      <c r="P4151" s="5" t="str">
        <f>IFERROR(__xludf.DUMMYFUNCTION("TEXTJOIN("" | "",TRUE,IF(OR(D4151="""",E4151="""",I4151="""",J4151="""",H4151=""""),""ফাঁকা ঘর"",""""),IF(AND(C4151&lt;&gt;"""",D4151&lt;&gt;"""",C4151=D4151),""gloss=figurative"",""""),IF(LEN(D4151)&lt;15,""figurative ছোট"",""""),IF(AND(I4151=""Positive"",REGEXMATCH(H4"&amp;"151,""মূর্খ|ভণ্ড|প্রতার|অলস|লোভ|স্বার্থ|অক্ষম|অযোগ্য|বোকা|কৃপণ|হিংস"")),""valence-target অমিল"",""""),IF(COUNTIF($B:$B,B4151)&gt;1,""ডুপ্লিকেট"",""""))"),"")</f>
        <v/>
      </c>
      <c r="Q4151" s="5" t="str">
        <f t="shared" si="1"/>
        <v>২ পরে</v>
      </c>
    </row>
    <row r="4152">
      <c r="A4152" s="4">
        <v>1968.0</v>
      </c>
      <c r="B4152" s="2" t="s">
        <v>16941</v>
      </c>
      <c r="C4152" s="2" t="s">
        <v>16942</v>
      </c>
      <c r="D4152" s="2" t="s">
        <v>16943</v>
      </c>
      <c r="E4152" s="2" t="s">
        <v>16944</v>
      </c>
      <c r="F4152" s="2" t="b">
        <v>1</v>
      </c>
      <c r="G4152" s="2" t="b">
        <v>0</v>
      </c>
      <c r="H4152" s="2" t="s">
        <v>16945</v>
      </c>
      <c r="I4152" s="2" t="s">
        <v>22</v>
      </c>
      <c r="J4152" s="2" t="s">
        <v>43</v>
      </c>
      <c r="K4152" s="2" t="s">
        <v>495</v>
      </c>
      <c r="L4152" s="13" t="s">
        <v>496</v>
      </c>
      <c r="M4152" s="2" t="s">
        <v>26</v>
      </c>
      <c r="N4152" s="29"/>
      <c r="O4152" s="29"/>
      <c r="P4152" s="5" t="str">
        <f>IFERROR(__xludf.DUMMYFUNCTION("TEXTJOIN("" | "",TRUE,IF(OR(D4152="""",E4152="""",I4152="""",J4152="""",H4152=""""),""ফাঁকা ঘর"",""""),IF(AND(C4152&lt;&gt;"""",D4152&lt;&gt;"""",C4152=D4152),""gloss=figurative"",""""),IF(LEN(D4152)&lt;15,""figurative ছোট"",""""),IF(AND(I4152=""Positive"",REGEXMATCH(H4"&amp;"152,""মূর্খ|ভণ্ড|প্রতার|অলস|লোভ|স্বার্থ|অক্ষম|অযোগ্য|বোকা|কৃপণ|হিংস"")),""valence-target অমিল"",""""),IF(COUNTIF($B:$B,B4152)&gt;1,""ডুপ্লিকেট"",""""))"),"")</f>
        <v/>
      </c>
      <c r="Q4152" s="5" t="str">
        <f t="shared" si="1"/>
        <v>২ পরে</v>
      </c>
    </row>
    <row r="4153">
      <c r="A4153" s="4">
        <v>1969.0</v>
      </c>
      <c r="B4153" s="2" t="s">
        <v>16946</v>
      </c>
      <c r="C4153" s="2" t="s">
        <v>16947</v>
      </c>
      <c r="D4153" s="2" t="s">
        <v>16948</v>
      </c>
      <c r="E4153" s="2" t="s">
        <v>16949</v>
      </c>
      <c r="F4153" s="2" t="b">
        <v>1</v>
      </c>
      <c r="G4153" s="2" t="b">
        <v>0</v>
      </c>
      <c r="H4153" s="2" t="s">
        <v>37</v>
      </c>
      <c r="I4153" s="2" t="s">
        <v>49</v>
      </c>
      <c r="J4153" s="2" t="s">
        <v>729</v>
      </c>
      <c r="K4153" s="2" t="s">
        <v>495</v>
      </c>
      <c r="L4153" s="13" t="s">
        <v>496</v>
      </c>
      <c r="M4153" s="2" t="s">
        <v>26</v>
      </c>
      <c r="N4153" s="29"/>
      <c r="O4153" s="29"/>
      <c r="P4153" s="5" t="str">
        <f>IFERROR(__xludf.DUMMYFUNCTION("TEXTJOIN("" | "",TRUE,IF(OR(D4153="""",E4153="""",I4153="""",J4153="""",H4153=""""),""ফাঁকা ঘর"",""""),IF(AND(C4153&lt;&gt;"""",D4153&lt;&gt;"""",C4153=D4153),""gloss=figurative"",""""),IF(LEN(D4153)&lt;15,""figurative ছোট"",""""),IF(AND(I4153=""Positive"",REGEXMATCH(H4"&amp;"153,""মূর্খ|ভণ্ড|প্রতার|অলস|লোভ|স্বার্থ|অক্ষম|অযোগ্য|বোকা|কৃপণ|হিংস"")),""valence-target অমিল"",""""),IF(COUNTIF($B:$B,B4153)&gt;1,""ডুপ্লিকেট"",""""))"),"")</f>
        <v/>
      </c>
      <c r="Q4153" s="5" t="str">
        <f t="shared" si="1"/>
        <v>২ পরে</v>
      </c>
    </row>
    <row r="4154">
      <c r="A4154" s="4">
        <v>1970.0</v>
      </c>
      <c r="B4154" s="2" t="s">
        <v>16950</v>
      </c>
      <c r="C4154" s="2" t="s">
        <v>16951</v>
      </c>
      <c r="D4154" s="2" t="s">
        <v>16952</v>
      </c>
      <c r="E4154" s="2" t="s">
        <v>16953</v>
      </c>
      <c r="F4154" s="2" t="b">
        <v>1</v>
      </c>
      <c r="G4154" s="2" t="b">
        <v>0</v>
      </c>
      <c r="H4154" s="2" t="s">
        <v>16954</v>
      </c>
      <c r="I4154" s="2" t="s">
        <v>22</v>
      </c>
      <c r="J4154" s="2" t="s">
        <v>646</v>
      </c>
      <c r="K4154" s="2" t="s">
        <v>495</v>
      </c>
      <c r="L4154" s="13" t="s">
        <v>496</v>
      </c>
      <c r="M4154" s="2" t="s">
        <v>26</v>
      </c>
      <c r="N4154" s="29"/>
      <c r="O4154" s="29"/>
      <c r="P4154" s="5" t="str">
        <f>IFERROR(__xludf.DUMMYFUNCTION("TEXTJOIN("" | "",TRUE,IF(OR(D4154="""",E4154="""",I4154="""",J4154="""",H4154=""""),""ফাঁকা ঘর"",""""),IF(AND(C4154&lt;&gt;"""",D4154&lt;&gt;"""",C4154=D4154),""gloss=figurative"",""""),IF(LEN(D4154)&lt;15,""figurative ছোট"",""""),IF(AND(I4154=""Positive"",REGEXMATCH(H4"&amp;"154,""মূর্খ|ভণ্ড|প্রতার|অলস|লোভ|স্বার্থ|অক্ষম|অযোগ্য|বোকা|কৃপণ|হিংস"")),""valence-target অমিল"",""""),IF(COUNTIF($B:$B,B4154)&gt;1,""ডুপ্লিকেট"",""""))"),"")</f>
        <v/>
      </c>
      <c r="Q4154" s="5" t="str">
        <f t="shared" si="1"/>
        <v>২ পরে</v>
      </c>
    </row>
    <row r="4155">
      <c r="A4155" s="4">
        <v>1971.0</v>
      </c>
      <c r="B4155" s="2" t="s">
        <v>16955</v>
      </c>
      <c r="C4155" s="2" t="s">
        <v>16956</v>
      </c>
      <c r="D4155" s="2" t="s">
        <v>16957</v>
      </c>
      <c r="E4155" s="2" t="s">
        <v>16958</v>
      </c>
      <c r="F4155" s="2" t="b">
        <v>1</v>
      </c>
      <c r="G4155" s="2" t="b">
        <v>0</v>
      </c>
      <c r="H4155" s="2" t="s">
        <v>37</v>
      </c>
      <c r="I4155" s="2" t="s">
        <v>32</v>
      </c>
      <c r="J4155" s="2" t="s">
        <v>1510</v>
      </c>
      <c r="K4155" s="2" t="s">
        <v>495</v>
      </c>
      <c r="L4155" s="13" t="s">
        <v>496</v>
      </c>
      <c r="M4155" s="2" t="s">
        <v>26</v>
      </c>
      <c r="N4155" s="29"/>
      <c r="O4155" s="29"/>
      <c r="P4155" s="5" t="str">
        <f>IFERROR(__xludf.DUMMYFUNCTION("TEXTJOIN("" | "",TRUE,IF(OR(D4155="""",E4155="""",I4155="""",J4155="""",H4155=""""),""ফাঁকা ঘর"",""""),IF(AND(C4155&lt;&gt;"""",D4155&lt;&gt;"""",C4155=D4155),""gloss=figurative"",""""),IF(LEN(D4155)&lt;15,""figurative ছোট"",""""),IF(AND(I4155=""Positive"",REGEXMATCH(H4"&amp;"155,""মূর্খ|ভণ্ড|প্রতার|অলস|লোভ|স্বার্থ|অক্ষম|অযোগ্য|বোকা|কৃপণ|হিংস"")),""valence-target অমিল"",""""),IF(COUNTIF($B:$B,B4155)&gt;1,""ডুপ্লিকেট"",""""))"),"")</f>
        <v/>
      </c>
      <c r="Q4155" s="5" t="str">
        <f t="shared" si="1"/>
        <v>২ পরে</v>
      </c>
    </row>
    <row r="4156">
      <c r="A4156" s="4">
        <v>1972.0</v>
      </c>
      <c r="B4156" s="2" t="s">
        <v>16959</v>
      </c>
      <c r="C4156" s="2" t="s">
        <v>16960</v>
      </c>
      <c r="D4156" s="2" t="s">
        <v>16961</v>
      </c>
      <c r="E4156" s="2" t="s">
        <v>16962</v>
      </c>
      <c r="F4156" s="2" t="b">
        <v>1</v>
      </c>
      <c r="G4156" s="2" t="b">
        <v>0</v>
      </c>
      <c r="H4156" s="2" t="s">
        <v>16963</v>
      </c>
      <c r="I4156" s="2" t="s">
        <v>32</v>
      </c>
      <c r="J4156" s="2" t="s">
        <v>16964</v>
      </c>
      <c r="K4156" s="2" t="s">
        <v>495</v>
      </c>
      <c r="L4156" s="13" t="s">
        <v>496</v>
      </c>
      <c r="M4156" s="2" t="s">
        <v>26</v>
      </c>
      <c r="N4156" s="29"/>
      <c r="O4156" s="29"/>
      <c r="P4156" s="5" t="str">
        <f>IFERROR(__xludf.DUMMYFUNCTION("TEXTJOIN("" | "",TRUE,IF(OR(D4156="""",E4156="""",I4156="""",J4156="""",H4156=""""),""ফাঁকা ঘর"",""""),IF(AND(C4156&lt;&gt;"""",D4156&lt;&gt;"""",C4156=D4156),""gloss=figurative"",""""),IF(LEN(D4156)&lt;15,""figurative ছোট"",""""),IF(AND(I4156=""Positive"",REGEXMATCH(H4"&amp;"156,""মূর্খ|ভণ্ড|প্রতার|অলস|লোভ|স্বার্থ|অক্ষম|অযোগ্য|বোকা|কৃপণ|হিংস"")),""valence-target অমিল"",""""),IF(COUNTIF($B:$B,B4156)&gt;1,""ডুপ্লিকেট"",""""))"),"")</f>
        <v/>
      </c>
      <c r="Q4156" s="5" t="str">
        <f t="shared" si="1"/>
        <v>২ পরে</v>
      </c>
    </row>
    <row r="4157">
      <c r="A4157" s="4">
        <v>1973.0</v>
      </c>
      <c r="B4157" s="2" t="s">
        <v>16965</v>
      </c>
      <c r="C4157" s="2" t="s">
        <v>16966</v>
      </c>
      <c r="D4157" s="2" t="s">
        <v>16967</v>
      </c>
      <c r="E4157" s="2" t="s">
        <v>16968</v>
      </c>
      <c r="F4157" s="2" t="b">
        <v>1</v>
      </c>
      <c r="G4157" s="2" t="b">
        <v>0</v>
      </c>
      <c r="H4157" s="2" t="s">
        <v>16884</v>
      </c>
      <c r="I4157" s="2" t="s">
        <v>22</v>
      </c>
      <c r="J4157" s="2" t="s">
        <v>836</v>
      </c>
      <c r="K4157" s="2" t="s">
        <v>495</v>
      </c>
      <c r="L4157" s="13" t="s">
        <v>496</v>
      </c>
      <c r="M4157" s="2" t="s">
        <v>26</v>
      </c>
      <c r="N4157" s="29"/>
      <c r="O4157" s="29"/>
      <c r="P4157" s="5" t="str">
        <f>IFERROR(__xludf.DUMMYFUNCTION("TEXTJOIN("" | "",TRUE,IF(OR(D4157="""",E4157="""",I4157="""",J4157="""",H4157=""""),""ফাঁকা ঘর"",""""),IF(AND(C4157&lt;&gt;"""",D4157&lt;&gt;"""",C4157=D4157),""gloss=figurative"",""""),IF(LEN(D4157)&lt;15,""figurative ছোট"",""""),IF(AND(I4157=""Positive"",REGEXMATCH(H4"&amp;"157,""মূর্খ|ভণ্ড|প্রতার|অলস|লোভ|স্বার্থ|অক্ষম|অযোগ্য|বোকা|কৃপণ|হিংস"")),""valence-target অমিল"",""""),IF(COUNTIF($B:$B,B4157)&gt;1,""ডুপ্লিকেট"",""""))"),"")</f>
        <v/>
      </c>
      <c r="Q4157" s="5" t="str">
        <f t="shared" si="1"/>
        <v>২ পরে</v>
      </c>
    </row>
    <row r="4158">
      <c r="A4158" s="4">
        <v>1974.0</v>
      </c>
      <c r="B4158" s="2" t="s">
        <v>16969</v>
      </c>
      <c r="C4158" s="2" t="s">
        <v>16970</v>
      </c>
      <c r="D4158" s="2" t="s">
        <v>16971</v>
      </c>
      <c r="E4158" s="2" t="s">
        <v>16972</v>
      </c>
      <c r="F4158" s="2" t="b">
        <v>1</v>
      </c>
      <c r="G4158" s="2" t="b">
        <v>0</v>
      </c>
      <c r="H4158" s="2" t="s">
        <v>16973</v>
      </c>
      <c r="I4158" s="2" t="s">
        <v>22</v>
      </c>
      <c r="J4158" s="2" t="s">
        <v>447</v>
      </c>
      <c r="K4158" s="2" t="s">
        <v>495</v>
      </c>
      <c r="L4158" s="13" t="s">
        <v>496</v>
      </c>
      <c r="M4158" s="2" t="s">
        <v>26</v>
      </c>
      <c r="N4158" s="29"/>
      <c r="O4158" s="29"/>
      <c r="P4158" s="5" t="str">
        <f>IFERROR(__xludf.DUMMYFUNCTION("TEXTJOIN("" | "",TRUE,IF(OR(D4158="""",E4158="""",I4158="""",J4158="""",H4158=""""),""ফাঁকা ঘর"",""""),IF(AND(C4158&lt;&gt;"""",D4158&lt;&gt;"""",C4158=D4158),""gloss=figurative"",""""),IF(LEN(D4158)&lt;15,""figurative ছোট"",""""),IF(AND(I4158=""Positive"",REGEXMATCH(H4"&amp;"158,""মূর্খ|ভণ্ড|প্রতার|অলস|লোভ|স্বার্থ|অক্ষম|অযোগ্য|বোকা|কৃপণ|হিংস"")),""valence-target অমিল"",""""),IF(COUNTIF($B:$B,B4158)&gt;1,""ডুপ্লিকেট"",""""))"),"")</f>
        <v/>
      </c>
      <c r="Q4158" s="5" t="str">
        <f t="shared" si="1"/>
        <v>২ পরে</v>
      </c>
    </row>
    <row r="4159">
      <c r="A4159" s="4">
        <v>1975.0</v>
      </c>
      <c r="B4159" s="2" t="s">
        <v>16974</v>
      </c>
      <c r="C4159" s="2" t="s">
        <v>16975</v>
      </c>
      <c r="D4159" s="2" t="s">
        <v>16976</v>
      </c>
      <c r="E4159" s="2" t="s">
        <v>16977</v>
      </c>
      <c r="F4159" s="2" t="b">
        <v>1</v>
      </c>
      <c r="G4159" s="2" t="b">
        <v>0</v>
      </c>
      <c r="H4159" s="2" t="s">
        <v>10389</v>
      </c>
      <c r="I4159" s="2" t="s">
        <v>49</v>
      </c>
      <c r="J4159" s="2" t="s">
        <v>565</v>
      </c>
      <c r="K4159" s="2" t="s">
        <v>495</v>
      </c>
      <c r="L4159" s="13" t="s">
        <v>496</v>
      </c>
      <c r="M4159" s="2" t="s">
        <v>26</v>
      </c>
      <c r="N4159" s="29"/>
      <c r="O4159" s="29"/>
      <c r="P4159" s="5" t="str">
        <f>IFERROR(__xludf.DUMMYFUNCTION("TEXTJOIN("" | "",TRUE,IF(OR(D4159="""",E4159="""",I4159="""",J4159="""",H4159=""""),""ফাঁকা ঘর"",""""),IF(AND(C4159&lt;&gt;"""",D4159&lt;&gt;"""",C4159=D4159),""gloss=figurative"",""""),IF(LEN(D4159)&lt;15,""figurative ছোট"",""""),IF(AND(I4159=""Positive"",REGEXMATCH(H4"&amp;"159,""মূর্খ|ভণ্ড|প্রতার|অলস|লোভ|স্বার্থ|অক্ষম|অযোগ্য|বোকা|কৃপণ|হিংস"")),""valence-target অমিল"",""""),IF(COUNTIF($B:$B,B4159)&gt;1,""ডুপ্লিকেট"",""""))"),"")</f>
        <v/>
      </c>
      <c r="Q4159" s="5" t="str">
        <f t="shared" si="1"/>
        <v>২ পরে</v>
      </c>
    </row>
    <row r="4160">
      <c r="A4160" s="4">
        <v>1976.0</v>
      </c>
      <c r="B4160" s="2" t="s">
        <v>16978</v>
      </c>
      <c r="C4160" s="2" t="s">
        <v>16979</v>
      </c>
      <c r="D4160" s="2" t="s">
        <v>16980</v>
      </c>
      <c r="E4160" s="2" t="s">
        <v>16981</v>
      </c>
      <c r="F4160" s="2" t="b">
        <v>1</v>
      </c>
      <c r="G4160" s="2" t="b">
        <v>0</v>
      </c>
      <c r="H4160" s="2" t="s">
        <v>37</v>
      </c>
      <c r="I4160" s="2" t="s">
        <v>49</v>
      </c>
      <c r="J4160" s="2" t="s">
        <v>565</v>
      </c>
      <c r="K4160" s="2" t="s">
        <v>495</v>
      </c>
      <c r="L4160" s="13" t="s">
        <v>496</v>
      </c>
      <c r="M4160" s="2" t="s">
        <v>26</v>
      </c>
      <c r="N4160" s="29"/>
      <c r="O4160" s="29"/>
      <c r="P4160" s="5" t="str">
        <f>IFERROR(__xludf.DUMMYFUNCTION("TEXTJOIN("" | "",TRUE,IF(OR(D4160="""",E4160="""",I4160="""",J4160="""",H4160=""""),""ফাঁকা ঘর"",""""),IF(AND(C4160&lt;&gt;"""",D4160&lt;&gt;"""",C4160=D4160),""gloss=figurative"",""""),IF(LEN(D4160)&lt;15,""figurative ছোট"",""""),IF(AND(I4160=""Positive"",REGEXMATCH(H4"&amp;"160,""মূর্খ|ভণ্ড|প্রতার|অলস|লোভ|স্বার্থ|অক্ষম|অযোগ্য|বোকা|কৃপণ|হিংস"")),""valence-target অমিল"",""""),IF(COUNTIF($B:$B,B4160)&gt;1,""ডুপ্লিকেট"",""""))"),"")</f>
        <v/>
      </c>
      <c r="Q4160" s="5" t="str">
        <f t="shared" si="1"/>
        <v>২ পরে</v>
      </c>
    </row>
    <row r="4161">
      <c r="A4161" s="4">
        <v>1977.0</v>
      </c>
      <c r="B4161" s="2" t="s">
        <v>16982</v>
      </c>
      <c r="C4161" s="2" t="s">
        <v>16983</v>
      </c>
      <c r="D4161" s="2" t="s">
        <v>16984</v>
      </c>
      <c r="E4161" s="2" t="s">
        <v>16985</v>
      </c>
      <c r="F4161" s="2" t="b">
        <v>1</v>
      </c>
      <c r="G4161" s="2" t="b">
        <v>0</v>
      </c>
      <c r="H4161" s="2" t="s">
        <v>2078</v>
      </c>
      <c r="I4161" s="2" t="s">
        <v>22</v>
      </c>
      <c r="J4161" s="2" t="s">
        <v>739</v>
      </c>
      <c r="K4161" s="2" t="s">
        <v>495</v>
      </c>
      <c r="L4161" s="13" t="s">
        <v>496</v>
      </c>
      <c r="M4161" s="2" t="s">
        <v>26</v>
      </c>
      <c r="N4161" s="29"/>
      <c r="O4161" s="29"/>
      <c r="P4161" s="5" t="str">
        <f>IFERROR(__xludf.DUMMYFUNCTION("TEXTJOIN("" | "",TRUE,IF(OR(D4161="""",E4161="""",I4161="""",J4161="""",H4161=""""),""ফাঁকা ঘর"",""""),IF(AND(C4161&lt;&gt;"""",D4161&lt;&gt;"""",C4161=D4161),""gloss=figurative"",""""),IF(LEN(D4161)&lt;15,""figurative ছোট"",""""),IF(AND(I4161=""Positive"",REGEXMATCH(H4"&amp;"161,""মূর্খ|ভণ্ড|প্রতার|অলস|লোভ|স্বার্থ|অক্ষম|অযোগ্য|বোকা|কৃপণ|হিংস"")),""valence-target অমিল"",""""),IF(COUNTIF($B:$B,B4161)&gt;1,""ডুপ্লিকেট"",""""))"),"")</f>
        <v/>
      </c>
      <c r="Q4161" s="5" t="str">
        <f t="shared" si="1"/>
        <v>২ পরে</v>
      </c>
    </row>
    <row r="4162">
      <c r="A4162" s="4">
        <v>1978.0</v>
      </c>
      <c r="B4162" s="2" t="s">
        <v>16986</v>
      </c>
      <c r="C4162" s="2" t="s">
        <v>16987</v>
      </c>
      <c r="D4162" s="2" t="s">
        <v>16988</v>
      </c>
      <c r="E4162" s="2" t="s">
        <v>16989</v>
      </c>
      <c r="F4162" s="2" t="b">
        <v>1</v>
      </c>
      <c r="G4162" s="2" t="b">
        <v>0</v>
      </c>
      <c r="H4162" s="2" t="s">
        <v>37</v>
      </c>
      <c r="I4162" s="2" t="s">
        <v>32</v>
      </c>
      <c r="J4162" s="2" t="s">
        <v>8707</v>
      </c>
      <c r="K4162" s="2" t="s">
        <v>495</v>
      </c>
      <c r="L4162" s="13" t="s">
        <v>496</v>
      </c>
      <c r="M4162" s="2" t="s">
        <v>26</v>
      </c>
      <c r="N4162" s="29"/>
      <c r="O4162" s="29"/>
      <c r="P4162" s="5" t="str">
        <f>IFERROR(__xludf.DUMMYFUNCTION("TEXTJOIN("" | "",TRUE,IF(OR(D4162="""",E4162="""",I4162="""",J4162="""",H4162=""""),""ফাঁকা ঘর"",""""),IF(AND(C4162&lt;&gt;"""",D4162&lt;&gt;"""",C4162=D4162),""gloss=figurative"",""""),IF(LEN(D4162)&lt;15,""figurative ছোট"",""""),IF(AND(I4162=""Positive"",REGEXMATCH(H4"&amp;"162,""মূর্খ|ভণ্ড|প্রতার|অলস|লোভ|স্বার্থ|অক্ষম|অযোগ্য|বোকা|কৃপণ|হিংস"")),""valence-target অমিল"",""""),IF(COUNTIF($B:$B,B4162)&gt;1,""ডুপ্লিকেট"",""""))"),"")</f>
        <v/>
      </c>
      <c r="Q4162" s="5" t="str">
        <f t="shared" si="1"/>
        <v>২ পরে</v>
      </c>
    </row>
    <row r="4163">
      <c r="A4163" s="4">
        <v>1979.0</v>
      </c>
      <c r="B4163" s="2" t="s">
        <v>16990</v>
      </c>
      <c r="C4163" s="2" t="s">
        <v>16991</v>
      </c>
      <c r="D4163" s="2" t="s">
        <v>16992</v>
      </c>
      <c r="E4163" s="2" t="s">
        <v>16993</v>
      </c>
      <c r="F4163" s="2" t="b">
        <v>1</v>
      </c>
      <c r="G4163" s="2" t="b">
        <v>0</v>
      </c>
      <c r="H4163" s="2" t="s">
        <v>37</v>
      </c>
      <c r="I4163" s="2" t="s">
        <v>22</v>
      </c>
      <c r="J4163" s="2" t="s">
        <v>16089</v>
      </c>
      <c r="K4163" s="2" t="s">
        <v>495</v>
      </c>
      <c r="L4163" s="13" t="s">
        <v>496</v>
      </c>
      <c r="M4163" s="2" t="s">
        <v>26</v>
      </c>
      <c r="N4163" s="29"/>
      <c r="O4163" s="29"/>
      <c r="P4163" s="5" t="str">
        <f>IFERROR(__xludf.DUMMYFUNCTION("TEXTJOIN("" | "",TRUE,IF(OR(D4163="""",E4163="""",I4163="""",J4163="""",H4163=""""),""ফাঁকা ঘর"",""""),IF(AND(C4163&lt;&gt;"""",D4163&lt;&gt;"""",C4163=D4163),""gloss=figurative"",""""),IF(LEN(D4163)&lt;15,""figurative ছোট"",""""),IF(AND(I4163=""Positive"",REGEXMATCH(H4"&amp;"163,""মূর্খ|ভণ্ড|প্রতার|অলস|লোভ|স্বার্থ|অক্ষম|অযোগ্য|বোকা|কৃপণ|হিংস"")),""valence-target অমিল"",""""),IF(COUNTIF($B:$B,B4163)&gt;1,""ডুপ্লিকেট"",""""))"),"")</f>
        <v/>
      </c>
      <c r="Q4163" s="5" t="str">
        <f t="shared" si="1"/>
        <v>২ পরে</v>
      </c>
    </row>
    <row r="4164">
      <c r="A4164" s="4">
        <v>1980.0</v>
      </c>
      <c r="B4164" s="2" t="s">
        <v>16994</v>
      </c>
      <c r="C4164" s="2" t="s">
        <v>16995</v>
      </c>
      <c r="D4164" s="2" t="s">
        <v>16996</v>
      </c>
      <c r="E4164" s="2" t="s">
        <v>16997</v>
      </c>
      <c r="F4164" s="2" t="b">
        <v>1</v>
      </c>
      <c r="G4164" s="2" t="b">
        <v>0</v>
      </c>
      <c r="H4164" s="2" t="s">
        <v>16998</v>
      </c>
      <c r="I4164" s="2" t="s">
        <v>22</v>
      </c>
      <c r="J4164" s="2" t="s">
        <v>646</v>
      </c>
      <c r="K4164" s="2" t="s">
        <v>495</v>
      </c>
      <c r="L4164" s="13" t="s">
        <v>496</v>
      </c>
      <c r="M4164" s="2" t="s">
        <v>26</v>
      </c>
      <c r="N4164" s="29"/>
      <c r="O4164" s="29"/>
      <c r="P4164" s="5" t="str">
        <f>IFERROR(__xludf.DUMMYFUNCTION("TEXTJOIN("" | "",TRUE,IF(OR(D4164="""",E4164="""",I4164="""",J4164="""",H4164=""""),""ফাঁকা ঘর"",""""),IF(AND(C4164&lt;&gt;"""",D4164&lt;&gt;"""",C4164=D4164),""gloss=figurative"",""""),IF(LEN(D4164)&lt;15,""figurative ছোট"",""""),IF(AND(I4164=""Positive"",REGEXMATCH(H4"&amp;"164,""মূর্খ|ভণ্ড|প্রতার|অলস|লোভ|স্বার্থ|অক্ষম|অযোগ্য|বোকা|কৃপণ|হিংস"")),""valence-target অমিল"",""""),IF(COUNTIF($B:$B,B4164)&gt;1,""ডুপ্লিকেট"",""""))"),"")</f>
        <v/>
      </c>
      <c r="Q4164" s="5" t="str">
        <f t="shared" si="1"/>
        <v>২ পরে</v>
      </c>
    </row>
    <row r="4165">
      <c r="A4165" s="4">
        <v>1981.0</v>
      </c>
      <c r="B4165" s="2" t="s">
        <v>16999</v>
      </c>
      <c r="C4165" s="2" t="s">
        <v>17000</v>
      </c>
      <c r="D4165" s="2" t="s">
        <v>17001</v>
      </c>
      <c r="E4165" s="2" t="s">
        <v>17002</v>
      </c>
      <c r="F4165" s="2" t="b">
        <v>1</v>
      </c>
      <c r="G4165" s="2" t="b">
        <v>0</v>
      </c>
      <c r="H4165" s="2" t="s">
        <v>21</v>
      </c>
      <c r="I4165" s="2" t="s">
        <v>22</v>
      </c>
      <c r="J4165" s="2" t="s">
        <v>43</v>
      </c>
      <c r="K4165" s="2" t="s">
        <v>495</v>
      </c>
      <c r="L4165" s="13" t="s">
        <v>496</v>
      </c>
      <c r="M4165" s="2" t="s">
        <v>26</v>
      </c>
      <c r="N4165" s="29"/>
      <c r="O4165" s="29"/>
      <c r="P4165" s="5" t="str">
        <f>IFERROR(__xludf.DUMMYFUNCTION("TEXTJOIN("" | "",TRUE,IF(OR(D4165="""",E4165="""",I4165="""",J4165="""",H4165=""""),""ফাঁকা ঘর"",""""),IF(AND(C4165&lt;&gt;"""",D4165&lt;&gt;"""",C4165=D4165),""gloss=figurative"",""""),IF(LEN(D4165)&lt;15,""figurative ছোট"",""""),IF(AND(I4165=""Positive"",REGEXMATCH(H4"&amp;"165,""মূর্খ|ভণ্ড|প্রতার|অলস|লোভ|স্বার্থ|অক্ষম|অযোগ্য|বোকা|কৃপণ|হিংস"")),""valence-target অমিল"",""""),IF(COUNTIF($B:$B,B4165)&gt;1,""ডুপ্লিকেট"",""""))"),"")</f>
        <v/>
      </c>
      <c r="Q4165" s="5" t="str">
        <f t="shared" si="1"/>
        <v>২ পরে</v>
      </c>
    </row>
    <row r="4166">
      <c r="A4166" s="4">
        <v>1982.0</v>
      </c>
      <c r="B4166" s="2" t="s">
        <v>17003</v>
      </c>
      <c r="C4166" s="2" t="s">
        <v>17000</v>
      </c>
      <c r="D4166" s="2" t="s">
        <v>17004</v>
      </c>
      <c r="E4166" s="2" t="s">
        <v>17005</v>
      </c>
      <c r="F4166" s="2" t="b">
        <v>1</v>
      </c>
      <c r="G4166" s="2" t="b">
        <v>0</v>
      </c>
      <c r="H4166" s="2" t="s">
        <v>17006</v>
      </c>
      <c r="I4166" s="2" t="s">
        <v>22</v>
      </c>
      <c r="J4166" s="2" t="s">
        <v>43</v>
      </c>
      <c r="K4166" s="2" t="s">
        <v>495</v>
      </c>
      <c r="L4166" s="13" t="s">
        <v>496</v>
      </c>
      <c r="M4166" s="2" t="s">
        <v>26</v>
      </c>
      <c r="N4166" s="29"/>
      <c r="O4166" s="29"/>
      <c r="P4166" s="5" t="str">
        <f>IFERROR(__xludf.DUMMYFUNCTION("TEXTJOIN("" | "",TRUE,IF(OR(D4166="""",E4166="""",I4166="""",J4166="""",H4166=""""),""ফাঁকা ঘর"",""""),IF(AND(C4166&lt;&gt;"""",D4166&lt;&gt;"""",C4166=D4166),""gloss=figurative"",""""),IF(LEN(D4166)&lt;15,""figurative ছোট"",""""),IF(AND(I4166=""Positive"",REGEXMATCH(H4"&amp;"166,""মূর্খ|ভণ্ড|প্রতার|অলস|লোভ|স্বার্থ|অক্ষম|অযোগ্য|বোকা|কৃপণ|হিংস"")),""valence-target অমিল"",""""),IF(COUNTIF($B:$B,B4166)&gt;1,""ডুপ্লিকেট"",""""))"),"")</f>
        <v/>
      </c>
      <c r="Q4166" s="5" t="str">
        <f t="shared" si="1"/>
        <v>২ পরে</v>
      </c>
    </row>
    <row r="4167">
      <c r="A4167" s="4">
        <v>1983.0</v>
      </c>
      <c r="B4167" s="2" t="s">
        <v>17007</v>
      </c>
      <c r="C4167" s="2" t="s">
        <v>17008</v>
      </c>
      <c r="D4167" s="2" t="s">
        <v>17009</v>
      </c>
      <c r="E4167" s="2" t="s">
        <v>17010</v>
      </c>
      <c r="F4167" s="2" t="b">
        <v>1</v>
      </c>
      <c r="G4167" s="2" t="b">
        <v>0</v>
      </c>
      <c r="H4167" s="2" t="s">
        <v>37</v>
      </c>
      <c r="I4167" s="2" t="s">
        <v>32</v>
      </c>
      <c r="J4167" s="2" t="s">
        <v>43</v>
      </c>
      <c r="K4167" s="2" t="s">
        <v>495</v>
      </c>
      <c r="L4167" s="13" t="s">
        <v>496</v>
      </c>
      <c r="M4167" s="2" t="s">
        <v>26</v>
      </c>
      <c r="N4167" s="29"/>
      <c r="O4167" s="29"/>
      <c r="P4167" s="5" t="str">
        <f>IFERROR(__xludf.DUMMYFUNCTION("TEXTJOIN("" | "",TRUE,IF(OR(D4167="""",E4167="""",I4167="""",J4167="""",H4167=""""),""ফাঁকা ঘর"",""""),IF(AND(C4167&lt;&gt;"""",D4167&lt;&gt;"""",C4167=D4167),""gloss=figurative"",""""),IF(LEN(D4167)&lt;15,""figurative ছোট"",""""),IF(AND(I4167=""Positive"",REGEXMATCH(H4"&amp;"167,""মূর্খ|ভণ্ড|প্রতার|অলস|লোভ|স্বার্থ|অক্ষম|অযোগ্য|বোকা|কৃপণ|হিংস"")),""valence-target অমিল"",""""),IF(COUNTIF($B:$B,B4167)&gt;1,""ডুপ্লিকেট"",""""))"),"")</f>
        <v/>
      </c>
      <c r="Q4167" s="5" t="str">
        <f t="shared" si="1"/>
        <v>২ পরে</v>
      </c>
    </row>
    <row r="4168">
      <c r="A4168" s="4">
        <v>1984.0</v>
      </c>
      <c r="B4168" s="2" t="s">
        <v>17011</v>
      </c>
      <c r="C4168" s="2" t="s">
        <v>17012</v>
      </c>
      <c r="D4168" s="2" t="s">
        <v>17013</v>
      </c>
      <c r="E4168" s="2" t="s">
        <v>17014</v>
      </c>
      <c r="F4168" s="2" t="b">
        <v>1</v>
      </c>
      <c r="G4168" s="2" t="b">
        <v>0</v>
      </c>
      <c r="H4168" s="2" t="s">
        <v>17015</v>
      </c>
      <c r="I4168" s="2" t="s">
        <v>22</v>
      </c>
      <c r="J4168" s="2" t="s">
        <v>43</v>
      </c>
      <c r="K4168" s="2" t="s">
        <v>495</v>
      </c>
      <c r="L4168" s="13" t="s">
        <v>496</v>
      </c>
      <c r="M4168" s="2" t="s">
        <v>26</v>
      </c>
      <c r="N4168" s="29"/>
      <c r="O4168" s="29"/>
      <c r="P4168" s="5" t="str">
        <f>IFERROR(__xludf.DUMMYFUNCTION("TEXTJOIN("" | "",TRUE,IF(OR(D4168="""",E4168="""",I4168="""",J4168="""",H4168=""""),""ফাঁকা ঘর"",""""),IF(AND(C4168&lt;&gt;"""",D4168&lt;&gt;"""",C4168=D4168),""gloss=figurative"",""""),IF(LEN(D4168)&lt;15,""figurative ছোট"",""""),IF(AND(I4168=""Positive"",REGEXMATCH(H4"&amp;"168,""মূর্খ|ভণ্ড|প্রতার|অলস|লোভ|স্বার্থ|অক্ষম|অযোগ্য|বোকা|কৃপণ|হিংস"")),""valence-target অমিল"",""""),IF(COUNTIF($B:$B,B4168)&gt;1,""ডুপ্লিকেট"",""""))"),"")</f>
        <v/>
      </c>
      <c r="Q4168" s="5" t="str">
        <f t="shared" si="1"/>
        <v>২ পরে</v>
      </c>
    </row>
    <row r="4169">
      <c r="A4169" s="4">
        <v>1985.0</v>
      </c>
      <c r="B4169" s="2" t="s">
        <v>17016</v>
      </c>
      <c r="C4169" s="2" t="s">
        <v>17012</v>
      </c>
      <c r="D4169" s="2" t="s">
        <v>17017</v>
      </c>
      <c r="E4169" s="2" t="s">
        <v>17018</v>
      </c>
      <c r="F4169" s="2" t="b">
        <v>1</v>
      </c>
      <c r="G4169" s="2" t="b">
        <v>0</v>
      </c>
      <c r="H4169" s="2" t="s">
        <v>17019</v>
      </c>
      <c r="I4169" s="2" t="s">
        <v>32</v>
      </c>
      <c r="J4169" s="2" t="s">
        <v>43</v>
      </c>
      <c r="K4169" s="2" t="s">
        <v>495</v>
      </c>
      <c r="L4169" s="13" t="s">
        <v>496</v>
      </c>
      <c r="M4169" s="2" t="s">
        <v>26</v>
      </c>
      <c r="N4169" s="29"/>
      <c r="O4169" s="29"/>
      <c r="P4169" s="5" t="str">
        <f>IFERROR(__xludf.DUMMYFUNCTION("TEXTJOIN("" | "",TRUE,IF(OR(D4169="""",E4169="""",I4169="""",J4169="""",H4169=""""),""ফাঁকা ঘর"",""""),IF(AND(C4169&lt;&gt;"""",D4169&lt;&gt;"""",C4169=D4169),""gloss=figurative"",""""),IF(LEN(D4169)&lt;15,""figurative ছোট"",""""),IF(AND(I4169=""Positive"",REGEXMATCH(H4"&amp;"169,""মূর্খ|ভণ্ড|প্রতার|অলস|লোভ|স্বার্থ|অক্ষম|অযোগ্য|বোকা|কৃপণ|হিংস"")),""valence-target অমিল"",""""),IF(COUNTIF($B:$B,B4169)&gt;1,""ডুপ্লিকেট"",""""))"),"")</f>
        <v/>
      </c>
      <c r="Q4169" s="5" t="str">
        <f t="shared" si="1"/>
        <v>২ পরে</v>
      </c>
    </row>
    <row r="4170">
      <c r="A4170" s="4">
        <v>1986.0</v>
      </c>
      <c r="B4170" s="2" t="s">
        <v>17020</v>
      </c>
      <c r="C4170" s="2" t="s">
        <v>17021</v>
      </c>
      <c r="D4170" s="2" t="s">
        <v>17022</v>
      </c>
      <c r="E4170" s="2" t="s">
        <v>17023</v>
      </c>
      <c r="F4170" s="2" t="b">
        <v>1</v>
      </c>
      <c r="G4170" s="2" t="b">
        <v>0</v>
      </c>
      <c r="H4170" s="2" t="s">
        <v>2709</v>
      </c>
      <c r="I4170" s="2" t="s">
        <v>22</v>
      </c>
      <c r="J4170" s="2" t="s">
        <v>17024</v>
      </c>
      <c r="K4170" s="2" t="s">
        <v>495</v>
      </c>
      <c r="L4170" s="13" t="s">
        <v>496</v>
      </c>
      <c r="M4170" s="2" t="s">
        <v>26</v>
      </c>
      <c r="N4170" s="29"/>
      <c r="O4170" s="29"/>
      <c r="P4170" s="5" t="str">
        <f>IFERROR(__xludf.DUMMYFUNCTION("TEXTJOIN("" | "",TRUE,IF(OR(D4170="""",E4170="""",I4170="""",J4170="""",H4170=""""),""ফাঁকা ঘর"",""""),IF(AND(C4170&lt;&gt;"""",D4170&lt;&gt;"""",C4170=D4170),""gloss=figurative"",""""),IF(LEN(D4170)&lt;15,""figurative ছোট"",""""),IF(AND(I4170=""Positive"",REGEXMATCH(H4"&amp;"170,""মূর্খ|ভণ্ড|প্রতার|অলস|লোভ|স্বার্থ|অক্ষম|অযোগ্য|বোকা|কৃপণ|হিংস"")),""valence-target অমিল"",""""),IF(COUNTIF($B:$B,B4170)&gt;1,""ডুপ্লিকেট"",""""))"),"")</f>
        <v/>
      </c>
      <c r="Q4170" s="5" t="str">
        <f t="shared" si="1"/>
        <v>২ পরে</v>
      </c>
    </row>
    <row r="4171">
      <c r="A4171" s="4">
        <v>1987.0</v>
      </c>
      <c r="B4171" s="2" t="s">
        <v>17025</v>
      </c>
      <c r="C4171" s="2" t="s">
        <v>17026</v>
      </c>
      <c r="D4171" s="2" t="s">
        <v>17027</v>
      </c>
      <c r="E4171" s="2" t="s">
        <v>17028</v>
      </c>
      <c r="F4171" s="2" t="b">
        <v>1</v>
      </c>
      <c r="G4171" s="2" t="b">
        <v>0</v>
      </c>
      <c r="H4171" s="2" t="s">
        <v>17029</v>
      </c>
      <c r="I4171" s="2" t="s">
        <v>22</v>
      </c>
      <c r="J4171" s="2" t="s">
        <v>225</v>
      </c>
      <c r="K4171" s="2" t="s">
        <v>495</v>
      </c>
      <c r="L4171" s="13" t="s">
        <v>496</v>
      </c>
      <c r="M4171" s="2" t="s">
        <v>26</v>
      </c>
      <c r="N4171" s="29"/>
      <c r="O4171" s="29"/>
      <c r="P4171" s="5" t="str">
        <f>IFERROR(__xludf.DUMMYFUNCTION("TEXTJOIN("" | "",TRUE,IF(OR(D4171="""",E4171="""",I4171="""",J4171="""",H4171=""""),""ফাঁকা ঘর"",""""),IF(AND(C4171&lt;&gt;"""",D4171&lt;&gt;"""",C4171=D4171),""gloss=figurative"",""""),IF(LEN(D4171)&lt;15,""figurative ছোট"",""""),IF(AND(I4171=""Positive"",REGEXMATCH(H4"&amp;"171,""মূর্খ|ভণ্ড|প্রতার|অলস|লোভ|স্বার্থ|অক্ষম|অযোগ্য|বোকা|কৃপণ|হিংস"")),""valence-target অমিল"",""""),IF(COUNTIF($B:$B,B4171)&gt;1,""ডুপ্লিকেট"",""""))"),"")</f>
        <v/>
      </c>
      <c r="Q4171" s="5" t="str">
        <f t="shared" si="1"/>
        <v>২ পরে</v>
      </c>
    </row>
    <row r="4172">
      <c r="A4172" s="4">
        <v>1988.0</v>
      </c>
      <c r="B4172" s="2" t="s">
        <v>17030</v>
      </c>
      <c r="C4172" s="2" t="s">
        <v>17031</v>
      </c>
      <c r="D4172" s="2" t="s">
        <v>17032</v>
      </c>
      <c r="E4172" s="2" t="s">
        <v>17033</v>
      </c>
      <c r="F4172" s="2" t="b">
        <v>1</v>
      </c>
      <c r="G4172" s="2" t="b">
        <v>0</v>
      </c>
      <c r="H4172" s="2" t="s">
        <v>14074</v>
      </c>
      <c r="I4172" s="2" t="s">
        <v>32</v>
      </c>
      <c r="J4172" s="2" t="s">
        <v>1008</v>
      </c>
      <c r="K4172" s="2" t="s">
        <v>495</v>
      </c>
      <c r="L4172" s="13" t="s">
        <v>496</v>
      </c>
      <c r="M4172" s="2" t="s">
        <v>26</v>
      </c>
      <c r="N4172" s="29"/>
      <c r="O4172" s="29"/>
      <c r="P4172" s="5" t="str">
        <f>IFERROR(__xludf.DUMMYFUNCTION("TEXTJOIN("" | "",TRUE,IF(OR(D4172="""",E4172="""",I4172="""",J4172="""",H4172=""""),""ফাঁকা ঘর"",""""),IF(AND(C4172&lt;&gt;"""",D4172&lt;&gt;"""",C4172=D4172),""gloss=figurative"",""""),IF(LEN(D4172)&lt;15,""figurative ছোট"",""""),IF(AND(I4172=""Positive"",REGEXMATCH(H4"&amp;"172,""মূর্খ|ভণ্ড|প্রতার|অলস|লোভ|স্বার্থ|অক্ষম|অযোগ্য|বোকা|কৃপণ|হিংস"")),""valence-target অমিল"",""""),IF(COUNTIF($B:$B,B4172)&gt;1,""ডুপ্লিকেট"",""""))"),"")</f>
        <v/>
      </c>
      <c r="Q4172" s="5" t="str">
        <f t="shared" si="1"/>
        <v>২ পরে</v>
      </c>
    </row>
    <row r="4173">
      <c r="A4173" s="4">
        <v>1989.0</v>
      </c>
      <c r="B4173" s="2" t="s">
        <v>17034</v>
      </c>
      <c r="C4173" s="2" t="s">
        <v>17035</v>
      </c>
      <c r="D4173" s="2" t="s">
        <v>17036</v>
      </c>
      <c r="E4173" s="2" t="s">
        <v>17037</v>
      </c>
      <c r="F4173" s="2" t="b">
        <v>1</v>
      </c>
      <c r="G4173" s="2" t="b">
        <v>0</v>
      </c>
      <c r="H4173" s="2" t="s">
        <v>17038</v>
      </c>
      <c r="I4173" s="2" t="s">
        <v>22</v>
      </c>
      <c r="J4173" s="2" t="s">
        <v>225</v>
      </c>
      <c r="K4173" s="2" t="s">
        <v>495</v>
      </c>
      <c r="L4173" s="13" t="s">
        <v>496</v>
      </c>
      <c r="M4173" s="2" t="s">
        <v>26</v>
      </c>
      <c r="N4173" s="29"/>
      <c r="O4173" s="29"/>
      <c r="P4173" s="5" t="str">
        <f>IFERROR(__xludf.DUMMYFUNCTION("TEXTJOIN("" | "",TRUE,IF(OR(D4173="""",E4173="""",I4173="""",J4173="""",H4173=""""),""ফাঁকা ঘর"",""""),IF(AND(C4173&lt;&gt;"""",D4173&lt;&gt;"""",C4173=D4173),""gloss=figurative"",""""),IF(LEN(D4173)&lt;15,""figurative ছোট"",""""),IF(AND(I4173=""Positive"",REGEXMATCH(H4"&amp;"173,""মূর্খ|ভণ্ড|প্রতার|অলস|লোভ|স্বার্থ|অক্ষম|অযোগ্য|বোকা|কৃপণ|হিংস"")),""valence-target অমিল"",""""),IF(COUNTIF($B:$B,B4173)&gt;1,""ডুপ্লিকেট"",""""))"),"")</f>
        <v/>
      </c>
      <c r="Q4173" s="5" t="str">
        <f t="shared" si="1"/>
        <v>২ পরে</v>
      </c>
    </row>
    <row r="4174">
      <c r="A4174" s="4">
        <v>1990.0</v>
      </c>
      <c r="B4174" s="2" t="s">
        <v>17039</v>
      </c>
      <c r="C4174" s="2" t="s">
        <v>17040</v>
      </c>
      <c r="D4174" s="2" t="s">
        <v>17041</v>
      </c>
      <c r="E4174" s="2" t="s">
        <v>17042</v>
      </c>
      <c r="F4174" s="2" t="b">
        <v>1</v>
      </c>
      <c r="G4174" s="2" t="b">
        <v>0</v>
      </c>
      <c r="H4174" s="2" t="s">
        <v>17043</v>
      </c>
      <c r="I4174" s="2" t="s">
        <v>22</v>
      </c>
      <c r="J4174" s="2" t="s">
        <v>447</v>
      </c>
      <c r="K4174" s="2" t="s">
        <v>495</v>
      </c>
      <c r="L4174" s="13" t="s">
        <v>496</v>
      </c>
      <c r="M4174" s="2" t="s">
        <v>26</v>
      </c>
      <c r="N4174" s="29"/>
      <c r="O4174" s="29"/>
      <c r="P4174" s="5" t="str">
        <f>IFERROR(__xludf.DUMMYFUNCTION("TEXTJOIN("" | "",TRUE,IF(OR(D4174="""",E4174="""",I4174="""",J4174="""",H4174=""""),""ফাঁকা ঘর"",""""),IF(AND(C4174&lt;&gt;"""",D4174&lt;&gt;"""",C4174=D4174),""gloss=figurative"",""""),IF(LEN(D4174)&lt;15,""figurative ছোট"",""""),IF(AND(I4174=""Positive"",REGEXMATCH(H4"&amp;"174,""মূর্খ|ভণ্ড|প্রতার|অলস|লোভ|স্বার্থ|অক্ষম|অযোগ্য|বোকা|কৃপণ|হিংস"")),""valence-target অমিল"",""""),IF(COUNTIF($B:$B,B4174)&gt;1,""ডুপ্লিকেট"",""""))"),"")</f>
        <v/>
      </c>
      <c r="Q4174" s="5" t="str">
        <f t="shared" si="1"/>
        <v>২ পরে</v>
      </c>
    </row>
    <row r="4175">
      <c r="A4175" s="4">
        <v>1991.0</v>
      </c>
      <c r="B4175" s="2" t="s">
        <v>17044</v>
      </c>
      <c r="C4175" s="2" t="s">
        <v>17045</v>
      </c>
      <c r="D4175" s="2" t="s">
        <v>17046</v>
      </c>
      <c r="E4175" s="2" t="s">
        <v>17047</v>
      </c>
      <c r="F4175" s="2" t="b">
        <v>1</v>
      </c>
      <c r="G4175" s="2" t="b">
        <v>0</v>
      </c>
      <c r="H4175" s="2" t="s">
        <v>37</v>
      </c>
      <c r="I4175" s="2" t="s">
        <v>49</v>
      </c>
      <c r="J4175" s="2" t="s">
        <v>300</v>
      </c>
      <c r="K4175" s="2" t="s">
        <v>495</v>
      </c>
      <c r="L4175" s="13" t="s">
        <v>496</v>
      </c>
      <c r="M4175" s="2" t="s">
        <v>26</v>
      </c>
      <c r="N4175" s="29"/>
      <c r="O4175" s="29"/>
      <c r="P4175" s="5" t="str">
        <f>IFERROR(__xludf.DUMMYFUNCTION("TEXTJOIN("" | "",TRUE,IF(OR(D4175="""",E4175="""",I4175="""",J4175="""",H4175=""""),""ফাঁকা ঘর"",""""),IF(AND(C4175&lt;&gt;"""",D4175&lt;&gt;"""",C4175=D4175),""gloss=figurative"",""""),IF(LEN(D4175)&lt;15,""figurative ছোট"",""""),IF(AND(I4175=""Positive"",REGEXMATCH(H4"&amp;"175,""মূর্খ|ভণ্ড|প্রতার|অলস|লোভ|স্বার্থ|অক্ষম|অযোগ্য|বোকা|কৃপণ|হিংস"")),""valence-target অমিল"",""""),IF(COUNTIF($B:$B,B4175)&gt;1,""ডুপ্লিকেট"",""""))"),"")</f>
        <v/>
      </c>
      <c r="Q4175" s="5" t="str">
        <f t="shared" si="1"/>
        <v>২ পরে</v>
      </c>
    </row>
    <row r="4176">
      <c r="A4176" s="4">
        <v>1992.0</v>
      </c>
      <c r="B4176" s="2" t="s">
        <v>17048</v>
      </c>
      <c r="C4176" s="2" t="s">
        <v>17049</v>
      </c>
      <c r="D4176" s="2" t="s">
        <v>17050</v>
      </c>
      <c r="E4176" s="2" t="s">
        <v>17051</v>
      </c>
      <c r="F4176" s="2" t="b">
        <v>1</v>
      </c>
      <c r="G4176" s="2" t="b">
        <v>1</v>
      </c>
      <c r="H4176" s="2" t="s">
        <v>17052</v>
      </c>
      <c r="I4176" s="2" t="s">
        <v>32</v>
      </c>
      <c r="J4176" s="2" t="s">
        <v>43</v>
      </c>
      <c r="K4176" s="2" t="s">
        <v>495</v>
      </c>
      <c r="L4176" s="13" t="s">
        <v>496</v>
      </c>
      <c r="M4176" s="2" t="s">
        <v>26</v>
      </c>
      <c r="N4176" s="29"/>
      <c r="O4176" s="29"/>
      <c r="P4176" s="5" t="str">
        <f>IFERROR(__xludf.DUMMYFUNCTION("TEXTJOIN("" | "",TRUE,IF(OR(D4176="""",E4176="""",I4176="""",J4176="""",H4176=""""),""ফাঁকা ঘর"",""""),IF(AND(C4176&lt;&gt;"""",D4176&lt;&gt;"""",C4176=D4176),""gloss=figurative"",""""),IF(LEN(D4176)&lt;15,""figurative ছোট"",""""),IF(AND(I4176=""Positive"",REGEXMATCH(H4"&amp;"176,""মূর্খ|ভণ্ড|প্রতার|অলস|লোভ|স্বার্থ|অক্ষম|অযোগ্য|বোকা|কৃপণ|হিংস"")),""valence-target অমিল"",""""),IF(COUNTIF($B:$B,B4176)&gt;1,""ডুপ্লিকেট"",""""))"),"")</f>
        <v/>
      </c>
      <c r="Q4176" s="5" t="str">
        <f t="shared" si="1"/>
        <v>২ পরে</v>
      </c>
    </row>
    <row r="4177">
      <c r="A4177" s="4">
        <v>1993.0</v>
      </c>
      <c r="B4177" s="2" t="s">
        <v>17053</v>
      </c>
      <c r="C4177" s="2" t="s">
        <v>17054</v>
      </c>
      <c r="D4177" s="2" t="s">
        <v>17055</v>
      </c>
      <c r="E4177" s="2" t="s">
        <v>17056</v>
      </c>
      <c r="F4177" s="2" t="b">
        <v>1</v>
      </c>
      <c r="G4177" s="2" t="b">
        <v>0</v>
      </c>
      <c r="H4177" s="2" t="s">
        <v>17057</v>
      </c>
      <c r="I4177" s="2" t="s">
        <v>49</v>
      </c>
      <c r="J4177" s="2" t="s">
        <v>300</v>
      </c>
      <c r="K4177" s="2" t="s">
        <v>495</v>
      </c>
      <c r="L4177" s="13" t="s">
        <v>496</v>
      </c>
      <c r="M4177" s="2" t="s">
        <v>26</v>
      </c>
      <c r="N4177" s="29"/>
      <c r="O4177" s="29"/>
      <c r="P4177" s="5" t="str">
        <f>IFERROR(__xludf.DUMMYFUNCTION("TEXTJOIN("" | "",TRUE,IF(OR(D4177="""",E4177="""",I4177="""",J4177="""",H4177=""""),""ফাঁকা ঘর"",""""),IF(AND(C4177&lt;&gt;"""",D4177&lt;&gt;"""",C4177=D4177),""gloss=figurative"",""""),IF(LEN(D4177)&lt;15,""figurative ছোট"",""""),IF(AND(I4177=""Positive"",REGEXMATCH(H4"&amp;"177,""মূর্খ|ভণ্ড|প্রতার|অলস|লোভ|স্বার্থ|অক্ষম|অযোগ্য|বোকা|কৃপণ|হিংস"")),""valence-target অমিল"",""""),IF(COUNTIF($B:$B,B4177)&gt;1,""ডুপ্লিকেট"",""""))"),"")</f>
        <v/>
      </c>
      <c r="Q4177" s="5" t="str">
        <f t="shared" si="1"/>
        <v>২ পরে</v>
      </c>
    </row>
    <row r="4178">
      <c r="A4178" s="4">
        <v>1994.0</v>
      </c>
      <c r="B4178" s="2" t="s">
        <v>17058</v>
      </c>
      <c r="C4178" s="2" t="s">
        <v>17059</v>
      </c>
      <c r="D4178" s="2" t="s">
        <v>17060</v>
      </c>
      <c r="E4178" s="2" t="s">
        <v>17061</v>
      </c>
      <c r="F4178" s="2" t="b">
        <v>1</v>
      </c>
      <c r="G4178" s="2" t="b">
        <v>0</v>
      </c>
      <c r="H4178" s="2" t="s">
        <v>37</v>
      </c>
      <c r="I4178" s="2" t="s">
        <v>32</v>
      </c>
      <c r="J4178" s="2" t="s">
        <v>1249</v>
      </c>
      <c r="K4178" s="2" t="s">
        <v>495</v>
      </c>
      <c r="L4178" s="13" t="s">
        <v>496</v>
      </c>
      <c r="M4178" s="2" t="s">
        <v>26</v>
      </c>
      <c r="N4178" s="29"/>
      <c r="O4178" s="29"/>
      <c r="P4178" s="5" t="str">
        <f>IFERROR(__xludf.DUMMYFUNCTION("TEXTJOIN("" | "",TRUE,IF(OR(D4178="""",E4178="""",I4178="""",J4178="""",H4178=""""),""ফাঁকা ঘর"",""""),IF(AND(C4178&lt;&gt;"""",D4178&lt;&gt;"""",C4178=D4178),""gloss=figurative"",""""),IF(LEN(D4178)&lt;15,""figurative ছোট"",""""),IF(AND(I4178=""Positive"",REGEXMATCH(H4"&amp;"178,""মূর্খ|ভণ্ড|প্রতার|অলস|লোভ|স্বার্থ|অক্ষম|অযোগ্য|বোকা|কৃপণ|হিংস"")),""valence-target অমিল"",""""),IF(COUNTIF($B:$B,B4178)&gt;1,""ডুপ্লিকেট"",""""))"),"")</f>
        <v/>
      </c>
      <c r="Q4178" s="5" t="str">
        <f t="shared" si="1"/>
        <v>২ পরে</v>
      </c>
    </row>
    <row r="4179">
      <c r="A4179" s="4">
        <v>1995.0</v>
      </c>
      <c r="B4179" s="2" t="s">
        <v>17062</v>
      </c>
      <c r="C4179" s="2" t="s">
        <v>17063</v>
      </c>
      <c r="D4179" s="2" t="s">
        <v>17064</v>
      </c>
      <c r="E4179" s="2" t="s">
        <v>17065</v>
      </c>
      <c r="F4179" s="2" t="b">
        <v>1</v>
      </c>
      <c r="G4179" s="2" t="b">
        <v>0</v>
      </c>
      <c r="H4179" s="2" t="s">
        <v>37</v>
      </c>
      <c r="I4179" s="2" t="s">
        <v>49</v>
      </c>
      <c r="J4179" s="2" t="s">
        <v>2732</v>
      </c>
      <c r="K4179" s="2" t="s">
        <v>495</v>
      </c>
      <c r="L4179" s="13" t="s">
        <v>496</v>
      </c>
      <c r="M4179" s="2" t="s">
        <v>26</v>
      </c>
      <c r="N4179" s="29"/>
      <c r="O4179" s="29"/>
      <c r="P4179" s="5" t="str">
        <f>IFERROR(__xludf.DUMMYFUNCTION("TEXTJOIN("" | "",TRUE,IF(OR(D4179="""",E4179="""",I4179="""",J4179="""",H4179=""""),""ফাঁকা ঘর"",""""),IF(AND(C4179&lt;&gt;"""",D4179&lt;&gt;"""",C4179=D4179),""gloss=figurative"",""""),IF(LEN(D4179)&lt;15,""figurative ছোট"",""""),IF(AND(I4179=""Positive"",REGEXMATCH(H4"&amp;"179,""মূর্খ|ভণ্ড|প্রতার|অলস|লোভ|স্বার্থ|অক্ষম|অযোগ্য|বোকা|কৃপণ|হিংস"")),""valence-target অমিল"",""""),IF(COUNTIF($B:$B,B4179)&gt;1,""ডুপ্লিকেট"",""""))"),"")</f>
        <v/>
      </c>
      <c r="Q4179" s="5" t="str">
        <f t="shared" si="1"/>
        <v>২ পরে</v>
      </c>
    </row>
    <row r="4180">
      <c r="A4180" s="4">
        <v>1996.0</v>
      </c>
      <c r="B4180" s="2" t="s">
        <v>17066</v>
      </c>
      <c r="C4180" s="2" t="s">
        <v>17067</v>
      </c>
      <c r="D4180" s="2" t="s">
        <v>17068</v>
      </c>
      <c r="E4180" s="2" t="s">
        <v>17069</v>
      </c>
      <c r="F4180" s="2" t="b">
        <v>1</v>
      </c>
      <c r="G4180" s="2" t="b">
        <v>1</v>
      </c>
      <c r="H4180" s="2" t="s">
        <v>1982</v>
      </c>
      <c r="I4180" s="2" t="s">
        <v>32</v>
      </c>
      <c r="J4180" s="2" t="s">
        <v>43</v>
      </c>
      <c r="K4180" s="2" t="s">
        <v>495</v>
      </c>
      <c r="L4180" s="13" t="s">
        <v>496</v>
      </c>
      <c r="M4180" s="2" t="s">
        <v>26</v>
      </c>
      <c r="N4180" s="29"/>
      <c r="O4180" s="29"/>
      <c r="P4180" s="5" t="str">
        <f>IFERROR(__xludf.DUMMYFUNCTION("TEXTJOIN("" | "",TRUE,IF(OR(D4180="""",E4180="""",I4180="""",J4180="""",H4180=""""),""ফাঁকা ঘর"",""""),IF(AND(C4180&lt;&gt;"""",D4180&lt;&gt;"""",C4180=D4180),""gloss=figurative"",""""),IF(LEN(D4180)&lt;15,""figurative ছোট"",""""),IF(AND(I4180=""Positive"",REGEXMATCH(H4"&amp;"180,""মূর্খ|ভণ্ড|প্রতার|অলস|লোভ|স্বার্থ|অক্ষম|অযোগ্য|বোকা|কৃপণ|হিংস"")),""valence-target অমিল"",""""),IF(COUNTIF($B:$B,B4180)&gt;1,""ডুপ্লিকেট"",""""))"),"")</f>
        <v/>
      </c>
      <c r="Q4180" s="5" t="str">
        <f t="shared" si="1"/>
        <v>২ পরে</v>
      </c>
    </row>
    <row r="4181">
      <c r="A4181" s="4">
        <v>1997.0</v>
      </c>
      <c r="B4181" s="2" t="s">
        <v>17070</v>
      </c>
      <c r="C4181" s="2" t="s">
        <v>17071</v>
      </c>
      <c r="D4181" s="2" t="s">
        <v>17072</v>
      </c>
      <c r="E4181" s="2" t="s">
        <v>17073</v>
      </c>
      <c r="F4181" s="2" t="b">
        <v>1</v>
      </c>
      <c r="G4181" s="2" t="b">
        <v>0</v>
      </c>
      <c r="H4181" s="2" t="s">
        <v>37</v>
      </c>
      <c r="I4181" s="2" t="s">
        <v>49</v>
      </c>
      <c r="J4181" s="2" t="s">
        <v>708</v>
      </c>
      <c r="K4181" s="2" t="s">
        <v>495</v>
      </c>
      <c r="L4181" s="13" t="s">
        <v>496</v>
      </c>
      <c r="M4181" s="2" t="s">
        <v>26</v>
      </c>
      <c r="N4181" s="29"/>
      <c r="O4181" s="29"/>
      <c r="P4181" s="5" t="str">
        <f>IFERROR(__xludf.DUMMYFUNCTION("TEXTJOIN("" | "",TRUE,IF(OR(D4181="""",E4181="""",I4181="""",J4181="""",H4181=""""),""ফাঁকা ঘর"",""""),IF(AND(C4181&lt;&gt;"""",D4181&lt;&gt;"""",C4181=D4181),""gloss=figurative"",""""),IF(LEN(D4181)&lt;15,""figurative ছোট"",""""),IF(AND(I4181=""Positive"",REGEXMATCH(H4"&amp;"181,""মূর্খ|ভণ্ড|প্রতার|অলস|লোভ|স্বার্থ|অক্ষম|অযোগ্য|বোকা|কৃপণ|হিংস"")),""valence-target অমিল"",""""),IF(COUNTIF($B:$B,B4181)&gt;1,""ডুপ্লিকেট"",""""))"),"")</f>
        <v/>
      </c>
      <c r="Q4181" s="5" t="str">
        <f t="shared" si="1"/>
        <v>২ পরে</v>
      </c>
    </row>
    <row r="4182">
      <c r="A4182" s="4">
        <v>1998.0</v>
      </c>
      <c r="B4182" s="2" t="s">
        <v>17074</v>
      </c>
      <c r="C4182" s="2" t="s">
        <v>17075</v>
      </c>
      <c r="D4182" s="2" t="s">
        <v>17076</v>
      </c>
      <c r="E4182" s="2" t="s">
        <v>17077</v>
      </c>
      <c r="F4182" s="2" t="b">
        <v>1</v>
      </c>
      <c r="G4182" s="2" t="b">
        <v>0</v>
      </c>
      <c r="H4182" s="2" t="s">
        <v>37</v>
      </c>
      <c r="I4182" s="2" t="s">
        <v>32</v>
      </c>
      <c r="J4182" s="2" t="s">
        <v>1510</v>
      </c>
      <c r="K4182" s="2" t="s">
        <v>495</v>
      </c>
      <c r="L4182" s="13" t="s">
        <v>496</v>
      </c>
      <c r="M4182" s="2" t="s">
        <v>26</v>
      </c>
      <c r="N4182" s="29"/>
      <c r="O4182" s="29"/>
      <c r="P4182" s="5" t="str">
        <f>IFERROR(__xludf.DUMMYFUNCTION("TEXTJOIN("" | "",TRUE,IF(OR(D4182="""",E4182="""",I4182="""",J4182="""",H4182=""""),""ফাঁকা ঘর"",""""),IF(AND(C4182&lt;&gt;"""",D4182&lt;&gt;"""",C4182=D4182),""gloss=figurative"",""""),IF(LEN(D4182)&lt;15,""figurative ছোট"",""""),IF(AND(I4182=""Positive"",REGEXMATCH(H4"&amp;"182,""মূর্খ|ভণ্ড|প্রতার|অলস|লোভ|স্বার্থ|অক্ষম|অযোগ্য|বোকা|কৃপণ|হিংস"")),""valence-target অমিল"",""""),IF(COUNTIF($B:$B,B4182)&gt;1,""ডুপ্লিকেট"",""""))"),"")</f>
        <v/>
      </c>
      <c r="Q4182" s="5" t="str">
        <f t="shared" si="1"/>
        <v>২ পরে</v>
      </c>
    </row>
    <row r="4183">
      <c r="A4183" s="4">
        <v>1999.0</v>
      </c>
      <c r="B4183" s="2" t="s">
        <v>17078</v>
      </c>
      <c r="C4183" s="2" t="s">
        <v>17079</v>
      </c>
      <c r="D4183" s="2" t="s">
        <v>17080</v>
      </c>
      <c r="E4183" s="2" t="s">
        <v>17081</v>
      </c>
      <c r="F4183" s="2" t="b">
        <v>1</v>
      </c>
      <c r="G4183" s="2" t="b">
        <v>0</v>
      </c>
      <c r="H4183" s="2" t="s">
        <v>488</v>
      </c>
      <c r="I4183" s="2" t="s">
        <v>22</v>
      </c>
      <c r="J4183" s="2" t="s">
        <v>1438</v>
      </c>
      <c r="K4183" s="2" t="s">
        <v>495</v>
      </c>
      <c r="L4183" s="13" t="s">
        <v>496</v>
      </c>
      <c r="M4183" s="2" t="s">
        <v>26</v>
      </c>
      <c r="N4183" s="29"/>
      <c r="O4183" s="29"/>
      <c r="P4183" s="5" t="str">
        <f>IFERROR(__xludf.DUMMYFUNCTION("TEXTJOIN("" | "",TRUE,IF(OR(D4183="""",E4183="""",I4183="""",J4183="""",H4183=""""),""ফাঁকা ঘর"",""""),IF(AND(C4183&lt;&gt;"""",D4183&lt;&gt;"""",C4183=D4183),""gloss=figurative"",""""),IF(LEN(D4183)&lt;15,""figurative ছোট"",""""),IF(AND(I4183=""Positive"",REGEXMATCH(H4"&amp;"183,""মূর্খ|ভণ্ড|প্রতার|অলস|লোভ|স্বার্থ|অক্ষম|অযোগ্য|বোকা|কৃপণ|হিংস"")),""valence-target অমিল"",""""),IF(COUNTIF($B:$B,B4183)&gt;1,""ডুপ্লিকেট"",""""))"),"")</f>
        <v/>
      </c>
      <c r="Q4183" s="5" t="str">
        <f t="shared" si="1"/>
        <v>২ পরে</v>
      </c>
    </row>
    <row r="4184">
      <c r="A4184" s="4">
        <v>2000.0</v>
      </c>
      <c r="B4184" s="2" t="s">
        <v>17082</v>
      </c>
      <c r="C4184" s="2" t="s">
        <v>17083</v>
      </c>
      <c r="D4184" s="2" t="s">
        <v>17084</v>
      </c>
      <c r="E4184" s="2" t="s">
        <v>17085</v>
      </c>
      <c r="F4184" s="2" t="b">
        <v>1</v>
      </c>
      <c r="G4184" s="2" t="b">
        <v>0</v>
      </c>
      <c r="H4184" s="2" t="s">
        <v>17086</v>
      </c>
      <c r="I4184" s="2" t="s">
        <v>22</v>
      </c>
      <c r="J4184" s="2" t="s">
        <v>2671</v>
      </c>
      <c r="K4184" s="2" t="s">
        <v>495</v>
      </c>
      <c r="L4184" s="13" t="s">
        <v>496</v>
      </c>
      <c r="M4184" s="2" t="s">
        <v>26</v>
      </c>
      <c r="N4184" s="29"/>
      <c r="O4184" s="29"/>
      <c r="P4184" s="5" t="str">
        <f>IFERROR(__xludf.DUMMYFUNCTION("TEXTJOIN("" | "",TRUE,IF(OR(D4184="""",E4184="""",I4184="""",J4184="""",H4184=""""),""ফাঁকা ঘর"",""""),IF(AND(C4184&lt;&gt;"""",D4184&lt;&gt;"""",C4184=D4184),""gloss=figurative"",""""),IF(LEN(D4184)&lt;15,""figurative ছোট"",""""),IF(AND(I4184=""Positive"",REGEXMATCH(H4"&amp;"184,""মূর্খ|ভণ্ড|প্রতার|অলস|লোভ|স্বার্থ|অক্ষম|অযোগ্য|বোকা|কৃপণ|হিংস"")),""valence-target অমিল"",""""),IF(COUNTIF($B:$B,B4184)&gt;1,""ডুপ্লিকেট"",""""))"),"")</f>
        <v/>
      </c>
      <c r="Q4184" s="5" t="str">
        <f t="shared" si="1"/>
        <v>২ পরে</v>
      </c>
    </row>
    <row r="4185">
      <c r="A4185" s="4">
        <v>2001.0</v>
      </c>
      <c r="B4185" s="2" t="s">
        <v>17087</v>
      </c>
      <c r="C4185" s="2" t="s">
        <v>17088</v>
      </c>
      <c r="D4185" s="2" t="s">
        <v>17089</v>
      </c>
      <c r="E4185" s="2" t="s">
        <v>17090</v>
      </c>
      <c r="F4185" s="2" t="b">
        <v>1</v>
      </c>
      <c r="G4185" s="2" t="b">
        <v>1</v>
      </c>
      <c r="H4185" s="2" t="s">
        <v>17091</v>
      </c>
      <c r="I4185" s="2" t="s">
        <v>22</v>
      </c>
      <c r="J4185" s="2" t="s">
        <v>15837</v>
      </c>
      <c r="K4185" s="2" t="s">
        <v>495</v>
      </c>
      <c r="L4185" s="13" t="s">
        <v>496</v>
      </c>
      <c r="M4185" s="2" t="s">
        <v>26</v>
      </c>
      <c r="N4185" s="29"/>
      <c r="O4185" s="29"/>
      <c r="P4185" s="5" t="str">
        <f>IFERROR(__xludf.DUMMYFUNCTION("TEXTJOIN("" | "",TRUE,IF(OR(D4185="""",E4185="""",I4185="""",J4185="""",H4185=""""),""ফাঁকা ঘর"",""""),IF(AND(C4185&lt;&gt;"""",D4185&lt;&gt;"""",C4185=D4185),""gloss=figurative"",""""),IF(LEN(D4185)&lt;15,""figurative ছোট"",""""),IF(AND(I4185=""Positive"",REGEXMATCH(H4"&amp;"185,""মূর্খ|ভণ্ড|প্রতার|অলস|লোভ|স্বার্থ|অক্ষম|অযোগ্য|বোকা|কৃপণ|হিংস"")),""valence-target অমিল"",""""),IF(COUNTIF($B:$B,B4185)&gt;1,""ডুপ্লিকেট"",""""))"),"")</f>
        <v/>
      </c>
      <c r="Q4185" s="5" t="str">
        <f t="shared" si="1"/>
        <v>২ পরে</v>
      </c>
    </row>
    <row r="4186">
      <c r="A4186" s="4">
        <v>2002.0</v>
      </c>
      <c r="B4186" s="2" t="s">
        <v>17092</v>
      </c>
      <c r="C4186" s="2" t="s">
        <v>17093</v>
      </c>
      <c r="D4186" s="2" t="s">
        <v>17094</v>
      </c>
      <c r="E4186" s="2" t="s">
        <v>17095</v>
      </c>
      <c r="F4186" s="2" t="b">
        <v>1</v>
      </c>
      <c r="G4186" s="2" t="b">
        <v>0</v>
      </c>
      <c r="H4186" s="2" t="s">
        <v>17096</v>
      </c>
      <c r="I4186" s="2" t="s">
        <v>32</v>
      </c>
      <c r="J4186" s="2" t="s">
        <v>2002</v>
      </c>
      <c r="K4186" s="2" t="s">
        <v>495</v>
      </c>
      <c r="L4186" s="13" t="s">
        <v>496</v>
      </c>
      <c r="M4186" s="2" t="s">
        <v>26</v>
      </c>
      <c r="N4186" s="29"/>
      <c r="O4186" s="29"/>
      <c r="P4186" s="5" t="str">
        <f>IFERROR(__xludf.DUMMYFUNCTION("TEXTJOIN("" | "",TRUE,IF(OR(D4186="""",E4186="""",I4186="""",J4186="""",H4186=""""),""ফাঁকা ঘর"",""""),IF(AND(C4186&lt;&gt;"""",D4186&lt;&gt;"""",C4186=D4186),""gloss=figurative"",""""),IF(LEN(D4186)&lt;15,""figurative ছোট"",""""),IF(AND(I4186=""Positive"",REGEXMATCH(H4"&amp;"186,""মূর্খ|ভণ্ড|প্রতার|অলস|লোভ|স্বার্থ|অক্ষম|অযোগ্য|বোকা|কৃপণ|হিংস"")),""valence-target অমিল"",""""),IF(COUNTIF($B:$B,B4186)&gt;1,""ডুপ্লিকেট"",""""))"),"")</f>
        <v/>
      </c>
      <c r="Q4186" s="5" t="str">
        <f t="shared" si="1"/>
        <v>২ পরে</v>
      </c>
    </row>
    <row r="4187">
      <c r="A4187" s="4">
        <v>2003.0</v>
      </c>
      <c r="B4187" s="2" t="s">
        <v>17097</v>
      </c>
      <c r="C4187" s="2" t="s">
        <v>17098</v>
      </c>
      <c r="D4187" s="2" t="s">
        <v>17099</v>
      </c>
      <c r="E4187" s="2" t="s">
        <v>17100</v>
      </c>
      <c r="F4187" s="2" t="b">
        <v>1</v>
      </c>
      <c r="G4187" s="2" t="b">
        <v>0</v>
      </c>
      <c r="H4187" s="2" t="s">
        <v>17101</v>
      </c>
      <c r="I4187" s="2" t="s">
        <v>22</v>
      </c>
      <c r="J4187" s="2" t="s">
        <v>1621</v>
      </c>
      <c r="K4187" s="2" t="s">
        <v>495</v>
      </c>
      <c r="L4187" s="13" t="s">
        <v>496</v>
      </c>
      <c r="M4187" s="2" t="s">
        <v>26</v>
      </c>
      <c r="N4187" s="29"/>
      <c r="O4187" s="29"/>
      <c r="P4187" s="5" t="str">
        <f>IFERROR(__xludf.DUMMYFUNCTION("TEXTJOIN("" | "",TRUE,IF(OR(D4187="""",E4187="""",I4187="""",J4187="""",H4187=""""),""ফাঁকা ঘর"",""""),IF(AND(C4187&lt;&gt;"""",D4187&lt;&gt;"""",C4187=D4187),""gloss=figurative"",""""),IF(LEN(D4187)&lt;15,""figurative ছোট"",""""),IF(AND(I4187=""Positive"",REGEXMATCH(H4"&amp;"187,""মূর্খ|ভণ্ড|প্রতার|অলস|লোভ|স্বার্থ|অক্ষম|অযোগ্য|বোকা|কৃপণ|হিংস"")),""valence-target অমিল"",""""),IF(COUNTIF($B:$B,B4187)&gt;1,""ডুপ্লিকেট"",""""))"),"")</f>
        <v/>
      </c>
      <c r="Q4187" s="5" t="str">
        <f t="shared" si="1"/>
        <v>২ পরে</v>
      </c>
    </row>
    <row r="4188">
      <c r="A4188" s="4">
        <v>2004.0</v>
      </c>
      <c r="B4188" s="2" t="s">
        <v>17102</v>
      </c>
      <c r="C4188" s="2" t="s">
        <v>17103</v>
      </c>
      <c r="D4188" s="2" t="s">
        <v>17104</v>
      </c>
      <c r="E4188" s="2" t="s">
        <v>17105</v>
      </c>
      <c r="F4188" s="2" t="b">
        <v>1</v>
      </c>
      <c r="G4188" s="2" t="b">
        <v>0</v>
      </c>
      <c r="H4188" s="2" t="s">
        <v>37</v>
      </c>
      <c r="I4188" s="2" t="s">
        <v>49</v>
      </c>
      <c r="J4188" s="2" t="s">
        <v>2002</v>
      </c>
      <c r="K4188" s="2" t="s">
        <v>495</v>
      </c>
      <c r="L4188" s="13" t="s">
        <v>496</v>
      </c>
      <c r="M4188" s="2" t="s">
        <v>26</v>
      </c>
      <c r="N4188" s="29"/>
      <c r="O4188" s="29"/>
      <c r="P4188" s="5" t="str">
        <f>IFERROR(__xludf.DUMMYFUNCTION("TEXTJOIN("" | "",TRUE,IF(OR(D4188="""",E4188="""",I4188="""",J4188="""",H4188=""""),""ফাঁকা ঘর"",""""),IF(AND(C4188&lt;&gt;"""",D4188&lt;&gt;"""",C4188=D4188),""gloss=figurative"",""""),IF(LEN(D4188)&lt;15,""figurative ছোট"",""""),IF(AND(I4188=""Positive"",REGEXMATCH(H4"&amp;"188,""মূর্খ|ভণ্ড|প্রতার|অলস|লোভ|স্বার্থ|অক্ষম|অযোগ্য|বোকা|কৃপণ|হিংস"")),""valence-target অমিল"",""""),IF(COUNTIF($B:$B,B4188)&gt;1,""ডুপ্লিকেট"",""""))"),"")</f>
        <v/>
      </c>
      <c r="Q4188" s="5" t="str">
        <f t="shared" si="1"/>
        <v>২ পরে</v>
      </c>
    </row>
    <row r="4189">
      <c r="A4189" s="4">
        <v>2005.0</v>
      </c>
      <c r="B4189" s="2" t="s">
        <v>17106</v>
      </c>
      <c r="C4189" s="2" t="s">
        <v>17107</v>
      </c>
      <c r="D4189" s="2" t="s">
        <v>17108</v>
      </c>
      <c r="E4189" s="2" t="s">
        <v>17109</v>
      </c>
      <c r="F4189" s="2" t="b">
        <v>1</v>
      </c>
      <c r="G4189" s="2" t="b">
        <v>0</v>
      </c>
      <c r="H4189" s="2" t="s">
        <v>37</v>
      </c>
      <c r="I4189" s="2" t="s">
        <v>49</v>
      </c>
      <c r="J4189" s="2" t="s">
        <v>1008</v>
      </c>
      <c r="K4189" s="2" t="s">
        <v>376</v>
      </c>
      <c r="L4189" s="2" t="s">
        <v>391</v>
      </c>
      <c r="M4189" s="2" t="s">
        <v>26</v>
      </c>
      <c r="N4189" s="29"/>
      <c r="O4189" s="29"/>
      <c r="P4189" s="5" t="str">
        <f>IFERROR(__xludf.DUMMYFUNCTION("TEXTJOIN("" | "",TRUE,IF(OR(D4189="""",E4189="""",I4189="""",J4189="""",H4189=""""),""ফাঁকা ঘর"",""""),IF(AND(C4189&lt;&gt;"""",D4189&lt;&gt;"""",C4189=D4189),""gloss=figurative"",""""),IF(LEN(D4189)&lt;15,""figurative ছোট"",""""),IF(AND(I4189=""Positive"",REGEXMATCH(H4"&amp;"189,""মূর্খ|ভণ্ড|প্রতার|অলস|লোভ|স্বার্থ|অক্ষম|অযোগ্য|বোকা|কৃপণ|হিংস"")),""valence-target অমিল"",""""),IF(COUNTIF($B:$B,B4189)&gt;1,""ডুপ্লিকেট"",""""))"),"")</f>
        <v/>
      </c>
      <c r="Q4189" s="5" t="str">
        <f t="shared" si="1"/>
        <v>২ পরে</v>
      </c>
    </row>
    <row r="4190">
      <c r="A4190" s="4">
        <v>2006.0</v>
      </c>
      <c r="B4190" s="2" t="s">
        <v>17110</v>
      </c>
      <c r="C4190" s="2" t="s">
        <v>17111</v>
      </c>
      <c r="D4190" s="2" t="s">
        <v>17112</v>
      </c>
      <c r="E4190" s="2" t="s">
        <v>17113</v>
      </c>
      <c r="F4190" s="2" t="b">
        <v>1</v>
      </c>
      <c r="G4190" s="2" t="b">
        <v>0</v>
      </c>
      <c r="H4190" s="2" t="s">
        <v>37</v>
      </c>
      <c r="I4190" s="2" t="s">
        <v>32</v>
      </c>
      <c r="J4190" s="2" t="s">
        <v>17114</v>
      </c>
      <c r="K4190" s="2" t="s">
        <v>376</v>
      </c>
      <c r="L4190" s="2" t="s">
        <v>391</v>
      </c>
      <c r="M4190" s="2" t="s">
        <v>26</v>
      </c>
      <c r="N4190" s="29"/>
      <c r="O4190" s="29"/>
      <c r="P4190" s="5" t="str">
        <f>IFERROR(__xludf.DUMMYFUNCTION("TEXTJOIN("" | "",TRUE,IF(OR(D4190="""",E4190="""",I4190="""",J4190="""",H4190=""""),""ফাঁকা ঘর"",""""),IF(AND(C4190&lt;&gt;"""",D4190&lt;&gt;"""",C4190=D4190),""gloss=figurative"",""""),IF(LEN(D4190)&lt;15,""figurative ছোট"",""""),IF(AND(I4190=""Positive"",REGEXMATCH(H4"&amp;"190,""মূর্খ|ভণ্ড|প্রতার|অলস|লোভ|স্বার্থ|অক্ষম|অযোগ্য|বোকা|কৃপণ|হিংস"")),""valence-target অমিল"",""""),IF(COUNTIF($B:$B,B4190)&gt;1,""ডুপ্লিকেট"",""""))"),"")</f>
        <v/>
      </c>
      <c r="Q4190" s="5" t="str">
        <f t="shared" si="1"/>
        <v>২ পরে</v>
      </c>
    </row>
    <row r="4191">
      <c r="A4191" s="4">
        <v>2007.0</v>
      </c>
      <c r="B4191" s="2" t="s">
        <v>17115</v>
      </c>
      <c r="C4191" s="2" t="s">
        <v>17116</v>
      </c>
      <c r="D4191" s="2" t="s">
        <v>17117</v>
      </c>
      <c r="E4191" s="2" t="s">
        <v>17118</v>
      </c>
      <c r="F4191" s="2" t="b">
        <v>1</v>
      </c>
      <c r="G4191" s="2" t="b">
        <v>0</v>
      </c>
      <c r="H4191" s="2" t="s">
        <v>260</v>
      </c>
      <c r="I4191" s="2" t="s">
        <v>49</v>
      </c>
      <c r="J4191" s="2" t="s">
        <v>1553</v>
      </c>
      <c r="K4191" s="2" t="s">
        <v>376</v>
      </c>
      <c r="L4191" s="2" t="s">
        <v>391</v>
      </c>
      <c r="M4191" s="2" t="s">
        <v>26</v>
      </c>
      <c r="N4191" s="29"/>
      <c r="O4191" s="29"/>
      <c r="P4191" s="5" t="str">
        <f>IFERROR(__xludf.DUMMYFUNCTION("TEXTJOIN("" | "",TRUE,IF(OR(D4191="""",E4191="""",I4191="""",J4191="""",H4191=""""),""ফাঁকা ঘর"",""""),IF(AND(C4191&lt;&gt;"""",D4191&lt;&gt;"""",C4191=D4191),""gloss=figurative"",""""),IF(LEN(D4191)&lt;15,""figurative ছোট"",""""),IF(AND(I4191=""Positive"",REGEXMATCH(H4"&amp;"191,""মূর্খ|ভণ্ড|প্রতার|অলস|লোভ|স্বার্থ|অক্ষম|অযোগ্য|বোকা|কৃপণ|হিংস"")),""valence-target অমিল"",""""),IF(COUNTIF($B:$B,B4191)&gt;1,""ডুপ্লিকেট"",""""))"),"")</f>
        <v/>
      </c>
      <c r="Q4191" s="5" t="str">
        <f t="shared" si="1"/>
        <v>২ পরে</v>
      </c>
    </row>
    <row r="4192">
      <c r="A4192" s="4">
        <v>2008.0</v>
      </c>
      <c r="B4192" s="2" t="s">
        <v>17119</v>
      </c>
      <c r="C4192" s="2" t="s">
        <v>17120</v>
      </c>
      <c r="D4192" s="2" t="s">
        <v>17121</v>
      </c>
      <c r="E4192" s="2" t="s">
        <v>17122</v>
      </c>
      <c r="F4192" s="2" t="b">
        <v>1</v>
      </c>
      <c r="G4192" s="2" t="b">
        <v>0</v>
      </c>
      <c r="H4192" s="2" t="s">
        <v>17123</v>
      </c>
      <c r="I4192" s="2" t="s">
        <v>22</v>
      </c>
      <c r="J4192" s="2" t="s">
        <v>43</v>
      </c>
      <c r="K4192" s="2" t="s">
        <v>376</v>
      </c>
      <c r="L4192" s="2" t="s">
        <v>391</v>
      </c>
      <c r="M4192" s="2" t="s">
        <v>26</v>
      </c>
      <c r="N4192" s="29"/>
      <c r="O4192" s="29"/>
      <c r="P4192" s="5" t="str">
        <f>IFERROR(__xludf.DUMMYFUNCTION("TEXTJOIN("" | "",TRUE,IF(OR(D4192="""",E4192="""",I4192="""",J4192="""",H4192=""""),""ফাঁকা ঘর"",""""),IF(AND(C4192&lt;&gt;"""",D4192&lt;&gt;"""",C4192=D4192),""gloss=figurative"",""""),IF(LEN(D4192)&lt;15,""figurative ছোট"",""""),IF(AND(I4192=""Positive"",REGEXMATCH(H4"&amp;"192,""মূর্খ|ভণ্ড|প্রতার|অলস|লোভ|স্বার্থ|অক্ষম|অযোগ্য|বোকা|কৃপণ|হিংস"")),""valence-target অমিল"",""""),IF(COUNTIF($B:$B,B4192)&gt;1,""ডুপ্লিকেট"",""""))"),"")</f>
        <v/>
      </c>
      <c r="Q4192" s="5" t="str">
        <f t="shared" si="1"/>
        <v>২ পরে</v>
      </c>
    </row>
    <row r="4193">
      <c r="A4193" s="4">
        <v>2009.0</v>
      </c>
      <c r="B4193" s="2" t="s">
        <v>17124</v>
      </c>
      <c r="C4193" s="2" t="s">
        <v>17125</v>
      </c>
      <c r="D4193" s="2" t="s">
        <v>17126</v>
      </c>
      <c r="E4193" s="2" t="s">
        <v>17127</v>
      </c>
      <c r="F4193" s="2" t="b">
        <v>1</v>
      </c>
      <c r="G4193" s="2" t="b">
        <v>0</v>
      </c>
      <c r="H4193" s="2" t="s">
        <v>9320</v>
      </c>
      <c r="I4193" s="2" t="s">
        <v>49</v>
      </c>
      <c r="J4193" s="2" t="s">
        <v>762</v>
      </c>
      <c r="K4193" s="2" t="s">
        <v>376</v>
      </c>
      <c r="L4193" s="2" t="s">
        <v>391</v>
      </c>
      <c r="M4193" s="2" t="s">
        <v>26</v>
      </c>
      <c r="N4193" s="29"/>
      <c r="O4193" s="29"/>
      <c r="P4193" s="5" t="str">
        <f>IFERROR(__xludf.DUMMYFUNCTION("TEXTJOIN("" | "",TRUE,IF(OR(D4193="""",E4193="""",I4193="""",J4193="""",H4193=""""),""ফাঁকা ঘর"",""""),IF(AND(C4193&lt;&gt;"""",D4193&lt;&gt;"""",C4193=D4193),""gloss=figurative"",""""),IF(LEN(D4193)&lt;15,""figurative ছোট"",""""),IF(AND(I4193=""Positive"",REGEXMATCH(H4"&amp;"193,""মূর্খ|ভণ্ড|প্রতার|অলস|লোভ|স্বার্থ|অক্ষম|অযোগ্য|বোকা|কৃপণ|হিংস"")),""valence-target অমিল"",""""),IF(COUNTIF($B:$B,B4193)&gt;1,""ডুপ্লিকেট"",""""))"),"")</f>
        <v/>
      </c>
      <c r="Q4193" s="5" t="str">
        <f t="shared" si="1"/>
        <v>২ পরে</v>
      </c>
    </row>
    <row r="4194">
      <c r="A4194" s="4">
        <v>2010.0</v>
      </c>
      <c r="B4194" s="2" t="s">
        <v>17128</v>
      </c>
      <c r="C4194" s="2" t="s">
        <v>17129</v>
      </c>
      <c r="D4194" s="2" t="s">
        <v>17130</v>
      </c>
      <c r="E4194" s="2" t="s">
        <v>17131</v>
      </c>
      <c r="F4194" s="2" t="b">
        <v>1</v>
      </c>
      <c r="G4194" s="2" t="b">
        <v>0</v>
      </c>
      <c r="H4194" s="2" t="s">
        <v>17132</v>
      </c>
      <c r="I4194" s="2" t="s">
        <v>22</v>
      </c>
      <c r="J4194" s="2" t="s">
        <v>4112</v>
      </c>
      <c r="K4194" s="2" t="s">
        <v>376</v>
      </c>
      <c r="L4194" s="2" t="s">
        <v>391</v>
      </c>
      <c r="M4194" s="2" t="s">
        <v>26</v>
      </c>
      <c r="N4194" s="29"/>
      <c r="O4194" s="29"/>
      <c r="P4194" s="5" t="str">
        <f>IFERROR(__xludf.DUMMYFUNCTION("TEXTJOIN("" | "",TRUE,IF(OR(D4194="""",E4194="""",I4194="""",J4194="""",H4194=""""),""ফাঁকা ঘর"",""""),IF(AND(C4194&lt;&gt;"""",D4194&lt;&gt;"""",C4194=D4194),""gloss=figurative"",""""),IF(LEN(D4194)&lt;15,""figurative ছোট"",""""),IF(AND(I4194=""Positive"",REGEXMATCH(H4"&amp;"194,""মূর্খ|ভণ্ড|প্রতার|অলস|লোভ|স্বার্থ|অক্ষম|অযোগ্য|বোকা|কৃপণ|হিংস"")),""valence-target অমিল"",""""),IF(COUNTIF($B:$B,B4194)&gt;1,""ডুপ্লিকেট"",""""))"),"")</f>
        <v/>
      </c>
      <c r="Q4194" s="5" t="str">
        <f t="shared" si="1"/>
        <v>২ পরে</v>
      </c>
    </row>
    <row r="4195">
      <c r="A4195" s="4">
        <v>2011.0</v>
      </c>
      <c r="B4195" s="2" t="s">
        <v>17133</v>
      </c>
      <c r="C4195" s="2" t="s">
        <v>17134</v>
      </c>
      <c r="D4195" s="2" t="s">
        <v>17135</v>
      </c>
      <c r="E4195" s="2" t="s">
        <v>17136</v>
      </c>
      <c r="F4195" s="2" t="b">
        <v>1</v>
      </c>
      <c r="G4195" s="2" t="b">
        <v>0</v>
      </c>
      <c r="H4195" s="2" t="s">
        <v>37</v>
      </c>
      <c r="I4195" s="2" t="s">
        <v>32</v>
      </c>
      <c r="J4195" s="2" t="s">
        <v>17114</v>
      </c>
      <c r="K4195" s="2" t="s">
        <v>376</v>
      </c>
      <c r="L4195" s="2" t="s">
        <v>391</v>
      </c>
      <c r="M4195" s="2" t="s">
        <v>26</v>
      </c>
      <c r="N4195" s="29"/>
      <c r="O4195" s="29"/>
      <c r="P4195" s="5" t="str">
        <f>IFERROR(__xludf.DUMMYFUNCTION("TEXTJOIN("" | "",TRUE,IF(OR(D4195="""",E4195="""",I4195="""",J4195="""",H4195=""""),""ফাঁকা ঘর"",""""),IF(AND(C4195&lt;&gt;"""",D4195&lt;&gt;"""",C4195=D4195),""gloss=figurative"",""""),IF(LEN(D4195)&lt;15,""figurative ছোট"",""""),IF(AND(I4195=""Positive"",REGEXMATCH(H4"&amp;"195,""মূর্খ|ভণ্ড|প্রতার|অলস|লোভ|স্বার্থ|অক্ষম|অযোগ্য|বোকা|কৃপণ|হিংস"")),""valence-target অমিল"",""""),IF(COUNTIF($B:$B,B4195)&gt;1,""ডুপ্লিকেট"",""""))"),"")</f>
        <v/>
      </c>
      <c r="Q4195" s="5" t="str">
        <f t="shared" si="1"/>
        <v>২ পরে</v>
      </c>
    </row>
    <row r="4196">
      <c r="A4196" s="4">
        <v>2012.0</v>
      </c>
      <c r="B4196" s="2" t="s">
        <v>17137</v>
      </c>
      <c r="C4196" s="2" t="s">
        <v>17138</v>
      </c>
      <c r="D4196" s="2" t="s">
        <v>17139</v>
      </c>
      <c r="E4196" s="2" t="s">
        <v>17140</v>
      </c>
      <c r="F4196" s="2" t="b">
        <v>1</v>
      </c>
      <c r="G4196" s="2" t="b">
        <v>0</v>
      </c>
      <c r="H4196" s="2" t="s">
        <v>17141</v>
      </c>
      <c r="I4196" s="2" t="s">
        <v>22</v>
      </c>
      <c r="J4196" s="2" t="s">
        <v>43</v>
      </c>
      <c r="K4196" s="2" t="s">
        <v>376</v>
      </c>
      <c r="L4196" s="2" t="s">
        <v>391</v>
      </c>
      <c r="M4196" s="2" t="s">
        <v>26</v>
      </c>
      <c r="N4196" s="29"/>
      <c r="O4196" s="29"/>
      <c r="P4196" s="5" t="str">
        <f>IFERROR(__xludf.DUMMYFUNCTION("TEXTJOIN("" | "",TRUE,IF(OR(D4196="""",E4196="""",I4196="""",J4196="""",H4196=""""),""ফাঁকা ঘর"",""""),IF(AND(C4196&lt;&gt;"""",D4196&lt;&gt;"""",C4196=D4196),""gloss=figurative"",""""),IF(LEN(D4196)&lt;15,""figurative ছোট"",""""),IF(AND(I4196=""Positive"",REGEXMATCH(H4"&amp;"196,""মূর্খ|ভণ্ড|প্রতার|অলস|লোভ|স্বার্থ|অক্ষম|অযোগ্য|বোকা|কৃপণ|হিংস"")),""valence-target অমিল"",""""),IF(COUNTIF($B:$B,B4196)&gt;1,""ডুপ্লিকেট"",""""))"),"")</f>
        <v/>
      </c>
      <c r="Q4196" s="5" t="str">
        <f t="shared" si="1"/>
        <v>২ পরে</v>
      </c>
    </row>
    <row r="4197">
      <c r="A4197" s="4">
        <v>2013.0</v>
      </c>
      <c r="B4197" s="2" t="s">
        <v>17142</v>
      </c>
      <c r="C4197" s="2" t="s">
        <v>17143</v>
      </c>
      <c r="D4197" s="2" t="s">
        <v>17144</v>
      </c>
      <c r="E4197" s="2" t="s">
        <v>17145</v>
      </c>
      <c r="F4197" s="2" t="b">
        <v>1</v>
      </c>
      <c r="G4197" s="2" t="b">
        <v>0</v>
      </c>
      <c r="H4197" s="2" t="s">
        <v>37</v>
      </c>
      <c r="I4197" s="2" t="s">
        <v>32</v>
      </c>
      <c r="J4197" s="2" t="s">
        <v>300</v>
      </c>
      <c r="K4197" s="2" t="s">
        <v>376</v>
      </c>
      <c r="L4197" s="2" t="s">
        <v>391</v>
      </c>
      <c r="M4197" s="2" t="s">
        <v>26</v>
      </c>
      <c r="N4197" s="29"/>
      <c r="O4197" s="29"/>
      <c r="P4197" s="5" t="str">
        <f>IFERROR(__xludf.DUMMYFUNCTION("TEXTJOIN("" | "",TRUE,IF(OR(D4197="""",E4197="""",I4197="""",J4197="""",H4197=""""),""ফাঁকা ঘর"",""""),IF(AND(C4197&lt;&gt;"""",D4197&lt;&gt;"""",C4197=D4197),""gloss=figurative"",""""),IF(LEN(D4197)&lt;15,""figurative ছোট"",""""),IF(AND(I4197=""Positive"",REGEXMATCH(H4"&amp;"197,""মূর্খ|ভণ্ড|প্রতার|অলস|লোভ|স্বার্থ|অক্ষম|অযোগ্য|বোকা|কৃপণ|হিংস"")),""valence-target অমিল"",""""),IF(COUNTIF($B:$B,B4197)&gt;1,""ডুপ্লিকেট"",""""))"),"")</f>
        <v/>
      </c>
      <c r="Q4197" s="5" t="str">
        <f t="shared" si="1"/>
        <v>২ পরে</v>
      </c>
    </row>
    <row r="4198">
      <c r="A4198" s="4">
        <v>2014.0</v>
      </c>
      <c r="B4198" s="2" t="s">
        <v>17146</v>
      </c>
      <c r="C4198" s="2" t="s">
        <v>17147</v>
      </c>
      <c r="D4198" s="2" t="s">
        <v>17148</v>
      </c>
      <c r="E4198" s="2" t="s">
        <v>17149</v>
      </c>
      <c r="F4198" s="2" t="b">
        <v>1</v>
      </c>
      <c r="G4198" s="2" t="b">
        <v>0</v>
      </c>
      <c r="H4198" s="2" t="s">
        <v>17150</v>
      </c>
      <c r="I4198" s="2" t="s">
        <v>22</v>
      </c>
      <c r="J4198" s="2" t="s">
        <v>14950</v>
      </c>
      <c r="K4198" s="2" t="s">
        <v>376</v>
      </c>
      <c r="L4198" s="2" t="s">
        <v>391</v>
      </c>
      <c r="M4198" s="2" t="s">
        <v>26</v>
      </c>
      <c r="N4198" s="29"/>
      <c r="O4198" s="29"/>
      <c r="P4198" s="5" t="str">
        <f>IFERROR(__xludf.DUMMYFUNCTION("TEXTJOIN("" | "",TRUE,IF(OR(D4198="""",E4198="""",I4198="""",J4198="""",H4198=""""),""ফাঁকা ঘর"",""""),IF(AND(C4198&lt;&gt;"""",D4198&lt;&gt;"""",C4198=D4198),""gloss=figurative"",""""),IF(LEN(D4198)&lt;15,""figurative ছোট"",""""),IF(AND(I4198=""Positive"",REGEXMATCH(H4"&amp;"198,""মূর্খ|ভণ্ড|প্রতার|অলস|লোভ|স্বার্থ|অক্ষম|অযোগ্য|বোকা|কৃপণ|হিংস"")),""valence-target অমিল"",""""),IF(COUNTIF($B:$B,B4198)&gt;1,""ডুপ্লিকেট"",""""))"),"")</f>
        <v/>
      </c>
      <c r="Q4198" s="5" t="str">
        <f t="shared" si="1"/>
        <v>২ পরে</v>
      </c>
    </row>
    <row r="4199">
      <c r="A4199" s="4">
        <v>2015.0</v>
      </c>
      <c r="B4199" s="2" t="s">
        <v>17151</v>
      </c>
      <c r="C4199" s="2" t="s">
        <v>17152</v>
      </c>
      <c r="D4199" s="2" t="s">
        <v>17153</v>
      </c>
      <c r="E4199" s="2" t="s">
        <v>17154</v>
      </c>
      <c r="F4199" s="2" t="b">
        <v>1</v>
      </c>
      <c r="G4199" s="2" t="b">
        <v>1</v>
      </c>
      <c r="H4199" s="2" t="s">
        <v>17155</v>
      </c>
      <c r="I4199" s="2" t="s">
        <v>22</v>
      </c>
      <c r="J4199" s="2" t="s">
        <v>17156</v>
      </c>
      <c r="K4199" s="2" t="s">
        <v>376</v>
      </c>
      <c r="L4199" s="2" t="s">
        <v>391</v>
      </c>
      <c r="M4199" s="2" t="s">
        <v>26</v>
      </c>
      <c r="N4199" s="29"/>
      <c r="O4199" s="29"/>
      <c r="P4199" s="5" t="str">
        <f>IFERROR(__xludf.DUMMYFUNCTION("TEXTJOIN("" | "",TRUE,IF(OR(D4199="""",E4199="""",I4199="""",J4199="""",H4199=""""),""ফাঁকা ঘর"",""""),IF(AND(C4199&lt;&gt;"""",D4199&lt;&gt;"""",C4199=D4199),""gloss=figurative"",""""),IF(LEN(D4199)&lt;15,""figurative ছোট"",""""),IF(AND(I4199=""Positive"",REGEXMATCH(H4"&amp;"199,""মূর্খ|ভণ্ড|প্রতার|অলস|লোভ|স্বার্থ|অক্ষম|অযোগ্য|বোকা|কৃপণ|হিংস"")),""valence-target অমিল"",""""),IF(COUNTIF($B:$B,B4199)&gt;1,""ডুপ্লিকেট"",""""))"),"")</f>
        <v/>
      </c>
      <c r="Q4199" s="5" t="str">
        <f t="shared" si="1"/>
        <v>২ পরে</v>
      </c>
    </row>
    <row r="4200">
      <c r="A4200" s="4">
        <v>2016.0</v>
      </c>
      <c r="B4200" s="2" t="s">
        <v>17157</v>
      </c>
      <c r="C4200" s="2" t="s">
        <v>17158</v>
      </c>
      <c r="D4200" s="2" t="s">
        <v>17159</v>
      </c>
      <c r="E4200" s="2" t="s">
        <v>17160</v>
      </c>
      <c r="F4200" s="2" t="b">
        <v>1</v>
      </c>
      <c r="G4200" s="2" t="b">
        <v>1</v>
      </c>
      <c r="H4200" s="2" t="s">
        <v>17161</v>
      </c>
      <c r="I4200" s="2" t="s">
        <v>22</v>
      </c>
      <c r="J4200" s="2" t="s">
        <v>14971</v>
      </c>
      <c r="K4200" s="2" t="s">
        <v>376</v>
      </c>
      <c r="L4200" s="2" t="s">
        <v>391</v>
      </c>
      <c r="M4200" s="2" t="s">
        <v>26</v>
      </c>
      <c r="N4200" s="29"/>
      <c r="O4200" s="29"/>
      <c r="P4200" s="5" t="str">
        <f>IFERROR(__xludf.DUMMYFUNCTION("TEXTJOIN("" | "",TRUE,IF(OR(D4200="""",E4200="""",I4200="""",J4200="""",H4200=""""),""ফাঁকা ঘর"",""""),IF(AND(C4200&lt;&gt;"""",D4200&lt;&gt;"""",C4200=D4200),""gloss=figurative"",""""),IF(LEN(D4200)&lt;15,""figurative ছোট"",""""),IF(AND(I4200=""Positive"",REGEXMATCH(H4"&amp;"200,""মূর্খ|ভণ্ড|প্রতার|অলস|লোভ|স্বার্থ|অক্ষম|অযোগ্য|বোকা|কৃপণ|হিংস"")),""valence-target অমিল"",""""),IF(COUNTIF($B:$B,B4200)&gt;1,""ডুপ্লিকেট"",""""))"),"")</f>
        <v/>
      </c>
      <c r="Q4200" s="5" t="str">
        <f t="shared" si="1"/>
        <v>২ পরে</v>
      </c>
    </row>
    <row r="4201">
      <c r="A4201" s="4">
        <v>2017.0</v>
      </c>
      <c r="B4201" s="2" t="s">
        <v>17162</v>
      </c>
      <c r="C4201" s="2" t="s">
        <v>17163</v>
      </c>
      <c r="D4201" s="2" t="s">
        <v>17164</v>
      </c>
      <c r="E4201" s="2" t="s">
        <v>17165</v>
      </c>
      <c r="F4201" s="2" t="b">
        <v>1</v>
      </c>
      <c r="G4201" s="2" t="b">
        <v>1</v>
      </c>
      <c r="H4201" s="2" t="s">
        <v>17166</v>
      </c>
      <c r="I4201" s="2" t="s">
        <v>22</v>
      </c>
      <c r="J4201" s="2" t="s">
        <v>17167</v>
      </c>
      <c r="K4201" s="2" t="s">
        <v>376</v>
      </c>
      <c r="L4201" s="2" t="s">
        <v>391</v>
      </c>
      <c r="M4201" s="2" t="s">
        <v>26</v>
      </c>
      <c r="N4201" s="29"/>
      <c r="O4201" s="29"/>
      <c r="P4201" s="5" t="str">
        <f>IFERROR(__xludf.DUMMYFUNCTION("TEXTJOIN("" | "",TRUE,IF(OR(D4201="""",E4201="""",I4201="""",J4201="""",H4201=""""),""ফাঁকা ঘর"",""""),IF(AND(C4201&lt;&gt;"""",D4201&lt;&gt;"""",C4201=D4201),""gloss=figurative"",""""),IF(LEN(D4201)&lt;15,""figurative ছোট"",""""),IF(AND(I4201=""Positive"",REGEXMATCH(H4"&amp;"201,""মূর্খ|ভণ্ড|প্রতার|অলস|লোভ|স্বার্থ|অক্ষম|অযোগ্য|বোকা|কৃপণ|হিংস"")),""valence-target অমিল"",""""),IF(COUNTIF($B:$B,B4201)&gt;1,""ডুপ্লিকেট"",""""))"),"")</f>
        <v/>
      </c>
      <c r="Q4201" s="5" t="str">
        <f t="shared" si="1"/>
        <v>২ পরে</v>
      </c>
    </row>
    <row r="4202">
      <c r="A4202" s="4">
        <v>2018.0</v>
      </c>
      <c r="B4202" s="2" t="s">
        <v>17168</v>
      </c>
      <c r="C4202" s="2" t="s">
        <v>17169</v>
      </c>
      <c r="D4202" s="2" t="s">
        <v>17170</v>
      </c>
      <c r="E4202" s="2" t="s">
        <v>17171</v>
      </c>
      <c r="F4202" s="2" t="b">
        <v>1</v>
      </c>
      <c r="G4202" s="2" t="b">
        <v>0</v>
      </c>
      <c r="H4202" s="2" t="s">
        <v>37</v>
      </c>
      <c r="I4202" s="2" t="s">
        <v>32</v>
      </c>
      <c r="J4202" s="2" t="s">
        <v>1239</v>
      </c>
      <c r="K4202" s="2" t="s">
        <v>376</v>
      </c>
      <c r="L4202" s="2" t="s">
        <v>391</v>
      </c>
      <c r="M4202" s="2" t="s">
        <v>26</v>
      </c>
      <c r="N4202" s="29"/>
      <c r="O4202" s="29"/>
      <c r="P4202" s="5" t="str">
        <f>IFERROR(__xludf.DUMMYFUNCTION("TEXTJOIN("" | "",TRUE,IF(OR(D4202="""",E4202="""",I4202="""",J4202="""",H4202=""""),""ফাঁকা ঘর"",""""),IF(AND(C4202&lt;&gt;"""",D4202&lt;&gt;"""",C4202=D4202),""gloss=figurative"",""""),IF(LEN(D4202)&lt;15,""figurative ছোট"",""""),IF(AND(I4202=""Positive"",REGEXMATCH(H4"&amp;"202,""মূর্খ|ভণ্ড|প্রতার|অলস|লোভ|স্বার্থ|অক্ষম|অযোগ্য|বোকা|কৃপণ|হিংস"")),""valence-target অমিল"",""""),IF(COUNTIF($B:$B,B4202)&gt;1,""ডুপ্লিকেট"",""""))"),"")</f>
        <v/>
      </c>
      <c r="Q4202" s="5" t="str">
        <f t="shared" si="1"/>
        <v>২ পরে</v>
      </c>
    </row>
    <row r="4203">
      <c r="A4203" s="4">
        <v>2019.0</v>
      </c>
      <c r="B4203" s="2" t="s">
        <v>17172</v>
      </c>
      <c r="C4203" s="2" t="s">
        <v>17173</v>
      </c>
      <c r="D4203" s="2" t="s">
        <v>17174</v>
      </c>
      <c r="E4203" s="2" t="s">
        <v>17175</v>
      </c>
      <c r="F4203" s="2" t="b">
        <v>1</v>
      </c>
      <c r="G4203" s="2" t="b">
        <v>0</v>
      </c>
      <c r="H4203" s="2" t="s">
        <v>17176</v>
      </c>
      <c r="I4203" s="2" t="s">
        <v>22</v>
      </c>
      <c r="J4203" s="2" t="s">
        <v>15368</v>
      </c>
      <c r="K4203" s="2" t="s">
        <v>376</v>
      </c>
      <c r="L4203" s="2" t="s">
        <v>391</v>
      </c>
      <c r="M4203" s="2" t="s">
        <v>26</v>
      </c>
      <c r="N4203" s="29"/>
      <c r="O4203" s="29"/>
      <c r="P4203" s="5" t="str">
        <f>IFERROR(__xludf.DUMMYFUNCTION("TEXTJOIN("" | "",TRUE,IF(OR(D4203="""",E4203="""",I4203="""",J4203="""",H4203=""""),""ফাঁকা ঘর"",""""),IF(AND(C4203&lt;&gt;"""",D4203&lt;&gt;"""",C4203=D4203),""gloss=figurative"",""""),IF(LEN(D4203)&lt;15,""figurative ছোট"",""""),IF(AND(I4203=""Positive"",REGEXMATCH(H4"&amp;"203,""মূর্খ|ভণ্ড|প্রতার|অলস|লোভ|স্বার্থ|অক্ষম|অযোগ্য|বোকা|কৃপণ|হিংস"")),""valence-target অমিল"",""""),IF(COUNTIF($B:$B,B4203)&gt;1,""ডুপ্লিকেট"",""""))"),"")</f>
        <v/>
      </c>
      <c r="Q4203" s="5" t="str">
        <f t="shared" si="1"/>
        <v>২ পরে</v>
      </c>
    </row>
    <row r="4204">
      <c r="A4204" s="4">
        <v>2020.0</v>
      </c>
      <c r="B4204" s="2" t="s">
        <v>17177</v>
      </c>
      <c r="C4204" s="2" t="s">
        <v>17177</v>
      </c>
      <c r="D4204" s="2" t="s">
        <v>17178</v>
      </c>
      <c r="E4204" s="2" t="s">
        <v>17179</v>
      </c>
      <c r="F4204" s="2" t="b">
        <v>1</v>
      </c>
      <c r="G4204" s="2" t="b">
        <v>0</v>
      </c>
      <c r="H4204" s="2" t="s">
        <v>37</v>
      </c>
      <c r="I4204" s="2" t="s">
        <v>22</v>
      </c>
      <c r="J4204" s="2" t="s">
        <v>3585</v>
      </c>
      <c r="K4204" s="2" t="s">
        <v>495</v>
      </c>
      <c r="L4204" s="13" t="s">
        <v>496</v>
      </c>
      <c r="M4204" s="2" t="s">
        <v>26</v>
      </c>
      <c r="N4204" s="29"/>
      <c r="O4204" s="29"/>
      <c r="P4204" s="5" t="str">
        <f>IFERROR(__xludf.DUMMYFUNCTION("TEXTJOIN("" | "",TRUE,IF(OR(D4204="""",E4204="""",I4204="""",J4204="""",H4204=""""),""ফাঁকা ঘর"",""""),IF(AND(C4204&lt;&gt;"""",D4204&lt;&gt;"""",C4204=D4204),""gloss=figurative"",""""),IF(LEN(D4204)&lt;15,""figurative ছোট"",""""),IF(AND(I4204=""Positive"",REGEXMATCH(H4"&amp;"204,""মূর্খ|ভণ্ড|প্রতার|অলস|লোভ|স্বার্থ|অক্ষম|অযোগ্য|বোকা|কৃপণ|হিংস"")),""valence-target অমিল"",""""),IF(COUNTIF($B:$B,B4204)&gt;1,""ডুপ্লিকেট"",""""))"),"")</f>
        <v/>
      </c>
      <c r="Q4204" s="5" t="str">
        <f t="shared" si="1"/>
        <v>২ পরে</v>
      </c>
    </row>
    <row r="4205">
      <c r="A4205" s="4">
        <v>2021.0</v>
      </c>
      <c r="B4205" s="2" t="s">
        <v>17180</v>
      </c>
      <c r="C4205" s="2" t="s">
        <v>17181</v>
      </c>
      <c r="D4205" s="2" t="s">
        <v>17182</v>
      </c>
      <c r="E4205" s="2" t="s">
        <v>17183</v>
      </c>
      <c r="F4205" s="2" t="b">
        <v>1</v>
      </c>
      <c r="G4205" s="2" t="b">
        <v>0</v>
      </c>
      <c r="H4205" s="2" t="s">
        <v>17184</v>
      </c>
      <c r="I4205" s="2" t="s">
        <v>32</v>
      </c>
      <c r="J4205" s="2" t="s">
        <v>43</v>
      </c>
      <c r="K4205" s="2" t="s">
        <v>495</v>
      </c>
      <c r="L4205" s="13" t="s">
        <v>496</v>
      </c>
      <c r="M4205" s="2" t="s">
        <v>26</v>
      </c>
      <c r="N4205" s="29"/>
      <c r="O4205" s="29"/>
      <c r="P4205" s="5" t="str">
        <f>IFERROR(__xludf.DUMMYFUNCTION("TEXTJOIN("" | "",TRUE,IF(OR(D4205="""",E4205="""",I4205="""",J4205="""",H4205=""""),""ফাঁকা ঘর"",""""),IF(AND(C4205&lt;&gt;"""",D4205&lt;&gt;"""",C4205=D4205),""gloss=figurative"",""""),IF(LEN(D4205)&lt;15,""figurative ছোট"",""""),IF(AND(I4205=""Positive"",REGEXMATCH(H4"&amp;"205,""মূর্খ|ভণ্ড|প্রতার|অলস|লোভ|স্বার্থ|অক্ষম|অযোগ্য|বোকা|কৃপণ|হিংস"")),""valence-target অমিল"",""""),IF(COUNTIF($B:$B,B4205)&gt;1,""ডুপ্লিকেট"",""""))"),"")</f>
        <v/>
      </c>
      <c r="Q4205" s="5" t="str">
        <f t="shared" si="1"/>
        <v>২ পরে</v>
      </c>
    </row>
    <row r="4206">
      <c r="A4206" s="4">
        <v>2022.0</v>
      </c>
      <c r="B4206" s="2" t="s">
        <v>17185</v>
      </c>
      <c r="C4206" s="2" t="s">
        <v>17186</v>
      </c>
      <c r="D4206" s="2" t="s">
        <v>17187</v>
      </c>
      <c r="E4206" s="2" t="s">
        <v>17188</v>
      </c>
      <c r="F4206" s="2" t="b">
        <v>1</v>
      </c>
      <c r="G4206" s="2" t="b">
        <v>0</v>
      </c>
      <c r="H4206" s="2" t="s">
        <v>9923</v>
      </c>
      <c r="I4206" s="2" t="s">
        <v>22</v>
      </c>
      <c r="J4206" s="2" t="s">
        <v>43</v>
      </c>
      <c r="K4206" s="2" t="s">
        <v>495</v>
      </c>
      <c r="L4206" s="13" t="s">
        <v>496</v>
      </c>
      <c r="M4206" s="2" t="s">
        <v>26</v>
      </c>
      <c r="N4206" s="29"/>
      <c r="O4206" s="29"/>
      <c r="P4206" s="5" t="str">
        <f>IFERROR(__xludf.DUMMYFUNCTION("TEXTJOIN("" | "",TRUE,IF(OR(D4206="""",E4206="""",I4206="""",J4206="""",H4206=""""),""ফাঁকা ঘর"",""""),IF(AND(C4206&lt;&gt;"""",D4206&lt;&gt;"""",C4206=D4206),""gloss=figurative"",""""),IF(LEN(D4206)&lt;15,""figurative ছোট"",""""),IF(AND(I4206=""Positive"",REGEXMATCH(H4"&amp;"206,""মূর্খ|ভণ্ড|প্রতার|অলস|লোভ|স্বার্থ|অক্ষম|অযোগ্য|বোকা|কৃপণ|হিংস"")),""valence-target অমিল"",""""),IF(COUNTIF($B:$B,B4206)&gt;1,""ডুপ্লিকেট"",""""))"),"")</f>
        <v/>
      </c>
      <c r="Q4206" s="5" t="str">
        <f t="shared" si="1"/>
        <v>২ পরে</v>
      </c>
    </row>
    <row r="4207">
      <c r="A4207" s="4">
        <v>2023.0</v>
      </c>
      <c r="B4207" s="2" t="s">
        <v>17189</v>
      </c>
      <c r="C4207" s="2" t="s">
        <v>17190</v>
      </c>
      <c r="D4207" s="2" t="s">
        <v>17191</v>
      </c>
      <c r="E4207" s="2" t="s">
        <v>17192</v>
      </c>
      <c r="F4207" s="2" t="b">
        <v>1</v>
      </c>
      <c r="G4207" s="2" t="b">
        <v>1</v>
      </c>
      <c r="H4207" s="2" t="s">
        <v>17193</v>
      </c>
      <c r="I4207" s="2" t="s">
        <v>22</v>
      </c>
      <c r="J4207" s="2" t="s">
        <v>16590</v>
      </c>
      <c r="K4207" s="2" t="s">
        <v>495</v>
      </c>
      <c r="L4207" s="13" t="s">
        <v>496</v>
      </c>
      <c r="M4207" s="2" t="s">
        <v>26</v>
      </c>
      <c r="N4207" s="29"/>
      <c r="O4207" s="29"/>
      <c r="P4207" s="5" t="str">
        <f>IFERROR(__xludf.DUMMYFUNCTION("TEXTJOIN("" | "",TRUE,IF(OR(D4207="""",E4207="""",I4207="""",J4207="""",H4207=""""),""ফাঁকা ঘর"",""""),IF(AND(C4207&lt;&gt;"""",D4207&lt;&gt;"""",C4207=D4207),""gloss=figurative"",""""),IF(LEN(D4207)&lt;15,""figurative ছোট"",""""),IF(AND(I4207=""Positive"",REGEXMATCH(H4"&amp;"207,""মূর্খ|ভণ্ড|প্রতার|অলস|লোভ|স্বার্থ|অক্ষম|অযোগ্য|বোকা|কৃপণ|হিংস"")),""valence-target অমিল"",""""),IF(COUNTIF($B:$B,B4207)&gt;1,""ডুপ্লিকেট"",""""))"),"")</f>
        <v/>
      </c>
      <c r="Q4207" s="5" t="str">
        <f t="shared" si="1"/>
        <v>২ পরে</v>
      </c>
    </row>
    <row r="4208">
      <c r="A4208" s="4">
        <v>2024.0</v>
      </c>
      <c r="B4208" s="2" t="s">
        <v>17194</v>
      </c>
      <c r="C4208" s="2" t="s">
        <v>17195</v>
      </c>
      <c r="D4208" s="2" t="s">
        <v>17196</v>
      </c>
      <c r="E4208" s="2" t="s">
        <v>17197</v>
      </c>
      <c r="F4208" s="2" t="b">
        <v>1</v>
      </c>
      <c r="G4208" s="2" t="b">
        <v>1</v>
      </c>
      <c r="H4208" s="2" t="s">
        <v>17198</v>
      </c>
      <c r="I4208" s="2" t="s">
        <v>22</v>
      </c>
      <c r="J4208" s="2" t="s">
        <v>15837</v>
      </c>
      <c r="K4208" s="2" t="s">
        <v>495</v>
      </c>
      <c r="L4208" s="13" t="s">
        <v>496</v>
      </c>
      <c r="M4208" s="2" t="s">
        <v>26</v>
      </c>
      <c r="N4208" s="29"/>
      <c r="O4208" s="29"/>
      <c r="P4208" s="5" t="str">
        <f>IFERROR(__xludf.DUMMYFUNCTION("TEXTJOIN("" | "",TRUE,IF(OR(D4208="""",E4208="""",I4208="""",J4208="""",H4208=""""),""ফাঁকা ঘর"",""""),IF(AND(C4208&lt;&gt;"""",D4208&lt;&gt;"""",C4208=D4208),""gloss=figurative"",""""),IF(LEN(D4208)&lt;15,""figurative ছোট"",""""),IF(AND(I4208=""Positive"",REGEXMATCH(H4"&amp;"208,""মূর্খ|ভণ্ড|প্রতার|অলস|লোভ|স্বার্থ|অক্ষম|অযোগ্য|বোকা|কৃপণ|হিংস"")),""valence-target অমিল"",""""),IF(COUNTIF($B:$B,B4208)&gt;1,""ডুপ্লিকেট"",""""))"),"")</f>
        <v/>
      </c>
      <c r="Q4208" s="5" t="str">
        <f t="shared" si="1"/>
        <v>২ পরে</v>
      </c>
    </row>
    <row r="4209">
      <c r="A4209" s="4">
        <v>2025.0</v>
      </c>
      <c r="B4209" s="2" t="s">
        <v>17199</v>
      </c>
      <c r="C4209" s="2" t="s">
        <v>17200</v>
      </c>
      <c r="D4209" s="2" t="s">
        <v>17201</v>
      </c>
      <c r="E4209" s="2" t="s">
        <v>17202</v>
      </c>
      <c r="F4209" s="2" t="b">
        <v>1</v>
      </c>
      <c r="G4209" s="2" t="b">
        <v>0</v>
      </c>
      <c r="H4209" s="2" t="s">
        <v>37</v>
      </c>
      <c r="I4209" s="2" t="s">
        <v>49</v>
      </c>
      <c r="J4209" s="2" t="s">
        <v>15227</v>
      </c>
      <c r="K4209" s="2" t="s">
        <v>495</v>
      </c>
      <c r="L4209" s="13" t="s">
        <v>496</v>
      </c>
      <c r="M4209" s="2" t="s">
        <v>26</v>
      </c>
      <c r="N4209" s="29"/>
      <c r="O4209" s="29"/>
      <c r="P4209" s="5" t="str">
        <f>IFERROR(__xludf.DUMMYFUNCTION("TEXTJOIN("" | "",TRUE,IF(OR(D4209="""",E4209="""",I4209="""",J4209="""",H4209=""""),""ফাঁকা ঘর"",""""),IF(AND(C4209&lt;&gt;"""",D4209&lt;&gt;"""",C4209=D4209),""gloss=figurative"",""""),IF(LEN(D4209)&lt;15,""figurative ছোট"",""""),IF(AND(I4209=""Positive"",REGEXMATCH(H4"&amp;"209,""মূর্খ|ভণ্ড|প্রতার|অলস|লোভ|স্বার্থ|অক্ষম|অযোগ্য|বোকা|কৃপণ|হিংস"")),""valence-target অমিল"",""""),IF(COUNTIF($B:$B,B4209)&gt;1,""ডুপ্লিকেট"",""""))"),"")</f>
        <v/>
      </c>
      <c r="Q4209" s="5" t="str">
        <f t="shared" si="1"/>
        <v>২ পরে</v>
      </c>
    </row>
    <row r="4210">
      <c r="A4210" s="4">
        <v>2026.0</v>
      </c>
      <c r="B4210" s="2" t="s">
        <v>17203</v>
      </c>
      <c r="C4210" s="2" t="s">
        <v>17204</v>
      </c>
      <c r="D4210" s="2" t="s">
        <v>17205</v>
      </c>
      <c r="E4210" s="2" t="s">
        <v>17206</v>
      </c>
      <c r="F4210" s="2" t="b">
        <v>1</v>
      </c>
      <c r="G4210" s="2" t="b">
        <v>0</v>
      </c>
      <c r="H4210" s="2" t="s">
        <v>17207</v>
      </c>
      <c r="I4210" s="2" t="s">
        <v>22</v>
      </c>
      <c r="J4210" s="2" t="s">
        <v>43</v>
      </c>
      <c r="K4210" s="2" t="s">
        <v>495</v>
      </c>
      <c r="L4210" s="13" t="s">
        <v>496</v>
      </c>
      <c r="M4210" s="2" t="s">
        <v>26</v>
      </c>
      <c r="N4210" s="29"/>
      <c r="O4210" s="29"/>
      <c r="P4210" s="5" t="str">
        <f>IFERROR(__xludf.DUMMYFUNCTION("TEXTJOIN("" | "",TRUE,IF(OR(D4210="""",E4210="""",I4210="""",J4210="""",H4210=""""),""ফাঁকা ঘর"",""""),IF(AND(C4210&lt;&gt;"""",D4210&lt;&gt;"""",C4210=D4210),""gloss=figurative"",""""),IF(LEN(D4210)&lt;15,""figurative ছোট"",""""),IF(AND(I4210=""Positive"",REGEXMATCH(H4"&amp;"210,""মূর্খ|ভণ্ড|প্রতার|অলস|লোভ|স্বার্থ|অক্ষম|অযোগ্য|বোকা|কৃপণ|হিংস"")),""valence-target অমিল"",""""),IF(COUNTIF($B:$B,B4210)&gt;1,""ডুপ্লিকেট"",""""))"),"")</f>
        <v/>
      </c>
      <c r="Q4210" s="5" t="str">
        <f t="shared" si="1"/>
        <v>২ পরে</v>
      </c>
    </row>
    <row r="4211">
      <c r="A4211" s="4">
        <v>2027.0</v>
      </c>
      <c r="B4211" s="2" t="s">
        <v>17208</v>
      </c>
      <c r="C4211" s="2" t="s">
        <v>17209</v>
      </c>
      <c r="D4211" s="2" t="s">
        <v>17210</v>
      </c>
      <c r="E4211" s="2" t="s">
        <v>17211</v>
      </c>
      <c r="F4211" s="2" t="b">
        <v>1</v>
      </c>
      <c r="G4211" s="2" t="b">
        <v>0</v>
      </c>
      <c r="H4211" s="2" t="s">
        <v>15491</v>
      </c>
      <c r="I4211" s="2" t="s">
        <v>22</v>
      </c>
      <c r="J4211" s="2" t="s">
        <v>1934</v>
      </c>
      <c r="K4211" s="2" t="s">
        <v>495</v>
      </c>
      <c r="L4211" s="13" t="s">
        <v>496</v>
      </c>
      <c r="M4211" s="2" t="s">
        <v>26</v>
      </c>
      <c r="N4211" s="29"/>
      <c r="O4211" s="29"/>
      <c r="P4211" s="5" t="str">
        <f>IFERROR(__xludf.DUMMYFUNCTION("TEXTJOIN("" | "",TRUE,IF(OR(D4211="""",E4211="""",I4211="""",J4211="""",H4211=""""),""ফাঁকা ঘর"",""""),IF(AND(C4211&lt;&gt;"""",D4211&lt;&gt;"""",C4211=D4211),""gloss=figurative"",""""),IF(LEN(D4211)&lt;15,""figurative ছোট"",""""),IF(AND(I4211=""Positive"",REGEXMATCH(H4"&amp;"211,""মূর্খ|ভণ্ড|প্রতার|অলস|লোভ|স্বার্থ|অক্ষম|অযোগ্য|বোকা|কৃপণ|হিংস"")),""valence-target অমিল"",""""),IF(COUNTIF($B:$B,B4211)&gt;1,""ডুপ্লিকেট"",""""))"),"")</f>
        <v/>
      </c>
      <c r="Q4211" s="5" t="str">
        <f t="shared" si="1"/>
        <v>২ পরে</v>
      </c>
    </row>
    <row r="4212">
      <c r="A4212" s="4">
        <v>2028.0</v>
      </c>
      <c r="B4212" s="2" t="s">
        <v>17212</v>
      </c>
      <c r="C4212" s="2" t="s">
        <v>17213</v>
      </c>
      <c r="D4212" s="2" t="s">
        <v>17214</v>
      </c>
      <c r="E4212" s="2" t="s">
        <v>17215</v>
      </c>
      <c r="F4212" s="2" t="b">
        <v>1</v>
      </c>
      <c r="G4212" s="2" t="b">
        <v>0</v>
      </c>
      <c r="H4212" s="2" t="s">
        <v>17216</v>
      </c>
      <c r="I4212" s="2" t="s">
        <v>22</v>
      </c>
      <c r="J4212" s="2" t="s">
        <v>1934</v>
      </c>
      <c r="K4212" s="2" t="s">
        <v>495</v>
      </c>
      <c r="L4212" s="13" t="s">
        <v>496</v>
      </c>
      <c r="M4212" s="2" t="s">
        <v>26</v>
      </c>
      <c r="N4212" s="29"/>
      <c r="O4212" s="29"/>
      <c r="P4212" s="5" t="str">
        <f>IFERROR(__xludf.DUMMYFUNCTION("TEXTJOIN("" | "",TRUE,IF(OR(D4212="""",E4212="""",I4212="""",J4212="""",H4212=""""),""ফাঁকা ঘর"",""""),IF(AND(C4212&lt;&gt;"""",D4212&lt;&gt;"""",C4212=D4212),""gloss=figurative"",""""),IF(LEN(D4212)&lt;15,""figurative ছোট"",""""),IF(AND(I4212=""Positive"",REGEXMATCH(H4"&amp;"212,""মূর্খ|ভণ্ড|প্রতার|অলস|লোভ|স্বার্থ|অক্ষম|অযোগ্য|বোকা|কৃপণ|হিংস"")),""valence-target অমিল"",""""),IF(COUNTIF($B:$B,B4212)&gt;1,""ডুপ্লিকেট"",""""))"),"")</f>
        <v/>
      </c>
      <c r="Q4212" s="5" t="str">
        <f t="shared" si="1"/>
        <v>২ পরে</v>
      </c>
    </row>
    <row r="4213">
      <c r="A4213" s="4">
        <v>2029.0</v>
      </c>
      <c r="B4213" s="2" t="s">
        <v>17217</v>
      </c>
      <c r="C4213" s="2" t="s">
        <v>17218</v>
      </c>
      <c r="D4213" s="2" t="s">
        <v>17219</v>
      </c>
      <c r="E4213" s="2" t="s">
        <v>17220</v>
      </c>
      <c r="F4213" s="2" t="b">
        <v>1</v>
      </c>
      <c r="G4213" s="2" t="b">
        <v>0</v>
      </c>
      <c r="H4213" s="2" t="s">
        <v>17221</v>
      </c>
      <c r="I4213" s="2" t="s">
        <v>22</v>
      </c>
      <c r="J4213" s="2" t="s">
        <v>17222</v>
      </c>
      <c r="K4213" s="2" t="s">
        <v>495</v>
      </c>
      <c r="L4213" s="13" t="s">
        <v>496</v>
      </c>
      <c r="M4213" s="2" t="s">
        <v>26</v>
      </c>
      <c r="N4213" s="29"/>
      <c r="O4213" s="29"/>
      <c r="P4213" s="5" t="str">
        <f>IFERROR(__xludf.DUMMYFUNCTION("TEXTJOIN("" | "",TRUE,IF(OR(D4213="""",E4213="""",I4213="""",J4213="""",H4213=""""),""ফাঁকা ঘর"",""""),IF(AND(C4213&lt;&gt;"""",D4213&lt;&gt;"""",C4213=D4213),""gloss=figurative"",""""),IF(LEN(D4213)&lt;15,""figurative ছোট"",""""),IF(AND(I4213=""Positive"",REGEXMATCH(H4"&amp;"213,""মূর্খ|ভণ্ড|প্রতার|অলস|লোভ|স্বার্থ|অক্ষম|অযোগ্য|বোকা|কৃপণ|হিংস"")),""valence-target অমিল"",""""),IF(COUNTIF($B:$B,B4213)&gt;1,""ডুপ্লিকেট"",""""))"),"")</f>
        <v/>
      </c>
      <c r="Q4213" s="5" t="str">
        <f t="shared" si="1"/>
        <v>২ পরে</v>
      </c>
    </row>
    <row r="4214">
      <c r="A4214" s="4">
        <v>2030.0</v>
      </c>
      <c r="B4214" s="2" t="s">
        <v>17223</v>
      </c>
      <c r="C4214" s="2" t="s">
        <v>17224</v>
      </c>
      <c r="D4214" s="2" t="s">
        <v>17225</v>
      </c>
      <c r="E4214" s="2" t="s">
        <v>17226</v>
      </c>
      <c r="F4214" s="2" t="b">
        <v>1</v>
      </c>
      <c r="G4214" s="2" t="b">
        <v>0</v>
      </c>
      <c r="H4214" s="2" t="s">
        <v>37</v>
      </c>
      <c r="I4214" s="2" t="s">
        <v>22</v>
      </c>
      <c r="J4214" s="2" t="s">
        <v>842</v>
      </c>
      <c r="K4214" s="2" t="s">
        <v>495</v>
      </c>
      <c r="L4214" s="13" t="s">
        <v>496</v>
      </c>
      <c r="M4214" s="2" t="s">
        <v>26</v>
      </c>
      <c r="N4214" s="29"/>
      <c r="O4214" s="29"/>
      <c r="P4214" s="5" t="str">
        <f>IFERROR(__xludf.DUMMYFUNCTION("TEXTJOIN("" | "",TRUE,IF(OR(D4214="""",E4214="""",I4214="""",J4214="""",H4214=""""),""ফাঁকা ঘর"",""""),IF(AND(C4214&lt;&gt;"""",D4214&lt;&gt;"""",C4214=D4214),""gloss=figurative"",""""),IF(LEN(D4214)&lt;15,""figurative ছোট"",""""),IF(AND(I4214=""Positive"",REGEXMATCH(H4"&amp;"214,""মূর্খ|ভণ্ড|প্রতার|অলস|লোভ|স্বার্থ|অক্ষম|অযোগ্য|বোকা|কৃপণ|হিংস"")),""valence-target অমিল"",""""),IF(COUNTIF($B:$B,B4214)&gt;1,""ডুপ্লিকেট"",""""))"),"")</f>
        <v/>
      </c>
      <c r="Q4214" s="5" t="str">
        <f t="shared" si="1"/>
        <v>২ পরে</v>
      </c>
    </row>
    <row r="4215">
      <c r="A4215" s="4">
        <v>2031.0</v>
      </c>
      <c r="B4215" s="2" t="s">
        <v>17227</v>
      </c>
      <c r="C4215" s="2" t="s">
        <v>17228</v>
      </c>
      <c r="D4215" s="2" t="s">
        <v>17229</v>
      </c>
      <c r="E4215" s="2" t="s">
        <v>17230</v>
      </c>
      <c r="F4215" s="2" t="b">
        <v>1</v>
      </c>
      <c r="G4215" s="2" t="b">
        <v>0</v>
      </c>
      <c r="H4215" s="2" t="s">
        <v>37</v>
      </c>
      <c r="I4215" s="2" t="s">
        <v>49</v>
      </c>
      <c r="J4215" s="2" t="s">
        <v>1249</v>
      </c>
      <c r="K4215" s="2" t="s">
        <v>495</v>
      </c>
      <c r="L4215" s="13" t="s">
        <v>496</v>
      </c>
      <c r="M4215" s="2" t="s">
        <v>26</v>
      </c>
      <c r="N4215" s="29"/>
      <c r="O4215" s="29"/>
      <c r="P4215" s="5" t="str">
        <f>IFERROR(__xludf.DUMMYFUNCTION("TEXTJOIN("" | "",TRUE,IF(OR(D4215="""",E4215="""",I4215="""",J4215="""",H4215=""""),""ফাঁকা ঘর"",""""),IF(AND(C4215&lt;&gt;"""",D4215&lt;&gt;"""",C4215=D4215),""gloss=figurative"",""""),IF(LEN(D4215)&lt;15,""figurative ছোট"",""""),IF(AND(I4215=""Positive"",REGEXMATCH(H4"&amp;"215,""মূর্খ|ভণ্ড|প্রতার|অলস|লোভ|স্বার্থ|অক্ষম|অযোগ্য|বোকা|কৃপণ|হিংস"")),""valence-target অমিল"",""""),IF(COUNTIF($B:$B,B4215)&gt;1,""ডুপ্লিকেট"",""""))"),"")</f>
        <v/>
      </c>
      <c r="Q4215" s="5" t="str">
        <f t="shared" si="1"/>
        <v>২ পরে</v>
      </c>
    </row>
    <row r="4216">
      <c r="A4216" s="4">
        <v>2032.0</v>
      </c>
      <c r="B4216" s="2" t="s">
        <v>17231</v>
      </c>
      <c r="C4216" s="2" t="s">
        <v>17232</v>
      </c>
      <c r="D4216" s="2" t="s">
        <v>17233</v>
      </c>
      <c r="E4216" s="2" t="s">
        <v>17234</v>
      </c>
      <c r="F4216" s="2" t="b">
        <v>1</v>
      </c>
      <c r="G4216" s="2" t="b">
        <v>0</v>
      </c>
      <c r="H4216" s="2" t="s">
        <v>37</v>
      </c>
      <c r="I4216" s="2" t="s">
        <v>49</v>
      </c>
      <c r="J4216" s="2" t="s">
        <v>1239</v>
      </c>
      <c r="K4216" s="2" t="s">
        <v>495</v>
      </c>
      <c r="L4216" s="13" t="s">
        <v>496</v>
      </c>
      <c r="M4216" s="2" t="s">
        <v>26</v>
      </c>
      <c r="N4216" s="29"/>
      <c r="O4216" s="29"/>
      <c r="P4216" s="5" t="str">
        <f>IFERROR(__xludf.DUMMYFUNCTION("TEXTJOIN("" | "",TRUE,IF(OR(D4216="""",E4216="""",I4216="""",J4216="""",H4216=""""),""ফাঁকা ঘর"",""""),IF(AND(C4216&lt;&gt;"""",D4216&lt;&gt;"""",C4216=D4216),""gloss=figurative"",""""),IF(LEN(D4216)&lt;15,""figurative ছোট"",""""),IF(AND(I4216=""Positive"",REGEXMATCH(H4"&amp;"216,""মূর্খ|ভণ্ড|প্রতার|অলস|লোভ|স্বার্থ|অক্ষম|অযোগ্য|বোকা|কৃপণ|হিংস"")),""valence-target অমিল"",""""),IF(COUNTIF($B:$B,B4216)&gt;1,""ডুপ্লিকেট"",""""))"),"")</f>
        <v/>
      </c>
      <c r="Q4216" s="5" t="str">
        <f t="shared" si="1"/>
        <v>২ পরে</v>
      </c>
    </row>
    <row r="4217">
      <c r="A4217" s="4">
        <v>2033.0</v>
      </c>
      <c r="B4217" s="2" t="s">
        <v>17235</v>
      </c>
      <c r="C4217" s="2" t="s">
        <v>17236</v>
      </c>
      <c r="D4217" s="2" t="s">
        <v>17237</v>
      </c>
      <c r="E4217" s="2" t="s">
        <v>17238</v>
      </c>
      <c r="F4217" s="2" t="b">
        <v>1</v>
      </c>
      <c r="G4217" s="2" t="b">
        <v>0</v>
      </c>
      <c r="H4217" s="2" t="s">
        <v>17239</v>
      </c>
      <c r="I4217" s="2" t="s">
        <v>49</v>
      </c>
      <c r="J4217" s="2" t="s">
        <v>636</v>
      </c>
      <c r="K4217" s="2" t="s">
        <v>495</v>
      </c>
      <c r="L4217" s="13" t="s">
        <v>496</v>
      </c>
      <c r="M4217" s="2" t="s">
        <v>26</v>
      </c>
      <c r="N4217" s="29"/>
      <c r="O4217" s="29"/>
      <c r="P4217" s="5" t="str">
        <f>IFERROR(__xludf.DUMMYFUNCTION("TEXTJOIN("" | "",TRUE,IF(OR(D4217="""",E4217="""",I4217="""",J4217="""",H4217=""""),""ফাঁকা ঘর"",""""),IF(AND(C4217&lt;&gt;"""",D4217&lt;&gt;"""",C4217=D4217),""gloss=figurative"",""""),IF(LEN(D4217)&lt;15,""figurative ছোট"",""""),IF(AND(I4217=""Positive"",REGEXMATCH(H4"&amp;"217,""মূর্খ|ভণ্ড|প্রতার|অলস|লোভ|স্বার্থ|অক্ষম|অযোগ্য|বোকা|কৃপণ|হিংস"")),""valence-target অমিল"",""""),IF(COUNTIF($B:$B,B4217)&gt;1,""ডুপ্লিকেট"",""""))"),"")</f>
        <v/>
      </c>
      <c r="Q4217" s="5" t="str">
        <f t="shared" si="1"/>
        <v>২ পরে</v>
      </c>
    </row>
    <row r="4218">
      <c r="A4218" s="4">
        <v>2034.0</v>
      </c>
      <c r="B4218" s="2" t="s">
        <v>17240</v>
      </c>
      <c r="C4218" s="2" t="s">
        <v>17241</v>
      </c>
      <c r="D4218" s="2" t="s">
        <v>17242</v>
      </c>
      <c r="E4218" s="2" t="s">
        <v>17243</v>
      </c>
      <c r="F4218" s="2" t="b">
        <v>1</v>
      </c>
      <c r="G4218" s="2" t="b">
        <v>0</v>
      </c>
      <c r="H4218" s="2" t="s">
        <v>110</v>
      </c>
      <c r="I4218" s="2" t="s">
        <v>22</v>
      </c>
      <c r="J4218" s="2" t="s">
        <v>1438</v>
      </c>
      <c r="K4218" s="2" t="s">
        <v>495</v>
      </c>
      <c r="L4218" s="13" t="s">
        <v>496</v>
      </c>
      <c r="M4218" s="2" t="s">
        <v>26</v>
      </c>
      <c r="N4218" s="29"/>
      <c r="O4218" s="29"/>
      <c r="P4218" s="5" t="str">
        <f>IFERROR(__xludf.DUMMYFUNCTION("TEXTJOIN("" | "",TRUE,IF(OR(D4218="""",E4218="""",I4218="""",J4218="""",H4218=""""),""ফাঁকা ঘর"",""""),IF(AND(C4218&lt;&gt;"""",D4218&lt;&gt;"""",C4218=D4218),""gloss=figurative"",""""),IF(LEN(D4218)&lt;15,""figurative ছোট"",""""),IF(AND(I4218=""Positive"",REGEXMATCH(H4"&amp;"218,""মূর্খ|ভণ্ড|প্রতার|অলস|লোভ|স্বার্থ|অক্ষম|অযোগ্য|বোকা|কৃপণ|হিংস"")),""valence-target অমিল"",""""),IF(COUNTIF($B:$B,B4218)&gt;1,""ডুপ্লিকেট"",""""))"),"")</f>
        <v/>
      </c>
      <c r="Q4218" s="5" t="str">
        <f t="shared" si="1"/>
        <v>২ পরে</v>
      </c>
    </row>
    <row r="4219">
      <c r="A4219" s="4">
        <v>2035.0</v>
      </c>
      <c r="B4219" s="2" t="s">
        <v>17244</v>
      </c>
      <c r="C4219" s="2" t="s">
        <v>17245</v>
      </c>
      <c r="D4219" s="2" t="s">
        <v>17246</v>
      </c>
      <c r="E4219" s="2" t="s">
        <v>17247</v>
      </c>
      <c r="F4219" s="2" t="b">
        <v>1</v>
      </c>
      <c r="G4219" s="2" t="b">
        <v>0</v>
      </c>
      <c r="H4219" s="2" t="s">
        <v>17248</v>
      </c>
      <c r="I4219" s="2" t="s">
        <v>22</v>
      </c>
      <c r="J4219" s="2" t="s">
        <v>4112</v>
      </c>
      <c r="K4219" s="2" t="s">
        <v>495</v>
      </c>
      <c r="L4219" s="13" t="s">
        <v>496</v>
      </c>
      <c r="M4219" s="2" t="s">
        <v>26</v>
      </c>
      <c r="N4219" s="29"/>
      <c r="O4219" s="29"/>
      <c r="P4219" s="5" t="str">
        <f>IFERROR(__xludf.DUMMYFUNCTION("TEXTJOIN("" | "",TRUE,IF(OR(D4219="""",E4219="""",I4219="""",J4219="""",H4219=""""),""ফাঁকা ঘর"",""""),IF(AND(C4219&lt;&gt;"""",D4219&lt;&gt;"""",C4219=D4219),""gloss=figurative"",""""),IF(LEN(D4219)&lt;15,""figurative ছোট"",""""),IF(AND(I4219=""Positive"",REGEXMATCH(H4"&amp;"219,""মূর্খ|ভণ্ড|প্রতার|অলস|লোভ|স্বার্থ|অক্ষম|অযোগ্য|বোকা|কৃপণ|হিংস"")),""valence-target অমিল"",""""),IF(COUNTIF($B:$B,B4219)&gt;1,""ডুপ্লিকেট"",""""))"),"")</f>
        <v/>
      </c>
      <c r="Q4219" s="5" t="str">
        <f t="shared" si="1"/>
        <v>২ পরে</v>
      </c>
    </row>
    <row r="4220">
      <c r="A4220" s="4">
        <v>2036.0</v>
      </c>
      <c r="B4220" s="2" t="s">
        <v>17249</v>
      </c>
      <c r="C4220" s="2" t="s">
        <v>17250</v>
      </c>
      <c r="D4220" s="2" t="s">
        <v>17251</v>
      </c>
      <c r="E4220" s="2" t="s">
        <v>17252</v>
      </c>
      <c r="F4220" s="2" t="b">
        <v>1</v>
      </c>
      <c r="G4220" s="2" t="b">
        <v>0</v>
      </c>
      <c r="H4220" s="2" t="s">
        <v>17253</v>
      </c>
      <c r="I4220" s="2" t="s">
        <v>22</v>
      </c>
      <c r="J4220" s="2" t="s">
        <v>2732</v>
      </c>
      <c r="K4220" s="2" t="s">
        <v>495</v>
      </c>
      <c r="L4220" s="13" t="s">
        <v>496</v>
      </c>
      <c r="M4220" s="2" t="s">
        <v>26</v>
      </c>
      <c r="N4220" s="29"/>
      <c r="O4220" s="29"/>
      <c r="P4220" s="5" t="str">
        <f>IFERROR(__xludf.DUMMYFUNCTION("TEXTJOIN("" | "",TRUE,IF(OR(D4220="""",E4220="""",I4220="""",J4220="""",H4220=""""),""ফাঁকা ঘর"",""""),IF(AND(C4220&lt;&gt;"""",D4220&lt;&gt;"""",C4220=D4220),""gloss=figurative"",""""),IF(LEN(D4220)&lt;15,""figurative ছোট"",""""),IF(AND(I4220=""Positive"",REGEXMATCH(H4"&amp;"220,""মূর্খ|ভণ্ড|প্রতার|অলস|লোভ|স্বার্থ|অক্ষম|অযোগ্য|বোকা|কৃপণ|হিংস"")),""valence-target অমিল"",""""),IF(COUNTIF($B:$B,B4220)&gt;1,""ডুপ্লিকেট"",""""))"),"")</f>
        <v/>
      </c>
      <c r="Q4220" s="5" t="str">
        <f t="shared" si="1"/>
        <v>২ পরে</v>
      </c>
    </row>
    <row r="4221">
      <c r="A4221" s="4">
        <v>2037.0</v>
      </c>
      <c r="B4221" s="2" t="s">
        <v>17254</v>
      </c>
      <c r="C4221" s="2" t="s">
        <v>17255</v>
      </c>
      <c r="D4221" s="2" t="s">
        <v>17256</v>
      </c>
      <c r="E4221" s="2" t="s">
        <v>17257</v>
      </c>
      <c r="F4221" s="2" t="b">
        <v>1</v>
      </c>
      <c r="G4221" s="2" t="b">
        <v>0</v>
      </c>
      <c r="H4221" s="2" t="s">
        <v>37</v>
      </c>
      <c r="I4221" s="2" t="s">
        <v>49</v>
      </c>
      <c r="J4221" s="2" t="s">
        <v>17258</v>
      </c>
      <c r="K4221" s="2" t="s">
        <v>495</v>
      </c>
      <c r="L4221" s="13" t="s">
        <v>496</v>
      </c>
      <c r="M4221" s="2" t="s">
        <v>26</v>
      </c>
      <c r="N4221" s="29"/>
      <c r="O4221" s="29"/>
      <c r="P4221" s="5" t="str">
        <f>IFERROR(__xludf.DUMMYFUNCTION("TEXTJOIN("" | "",TRUE,IF(OR(D4221="""",E4221="""",I4221="""",J4221="""",H4221=""""),""ফাঁকা ঘর"",""""),IF(AND(C4221&lt;&gt;"""",D4221&lt;&gt;"""",C4221=D4221),""gloss=figurative"",""""),IF(LEN(D4221)&lt;15,""figurative ছোট"",""""),IF(AND(I4221=""Positive"",REGEXMATCH(H4"&amp;"221,""মূর্খ|ভণ্ড|প্রতার|অলস|লোভ|স্বার্থ|অক্ষম|অযোগ্য|বোকা|কৃপণ|হিংস"")),""valence-target অমিল"",""""),IF(COUNTIF($B:$B,B4221)&gt;1,""ডুপ্লিকেট"",""""))"),"")</f>
        <v/>
      </c>
      <c r="Q4221" s="5" t="str">
        <f t="shared" si="1"/>
        <v>২ পরে</v>
      </c>
    </row>
    <row r="4222">
      <c r="A4222" s="4">
        <v>2038.0</v>
      </c>
      <c r="B4222" s="2" t="s">
        <v>17259</v>
      </c>
      <c r="C4222" s="2" t="s">
        <v>17260</v>
      </c>
      <c r="D4222" s="2" t="s">
        <v>17261</v>
      </c>
      <c r="E4222" s="2" t="s">
        <v>17262</v>
      </c>
      <c r="F4222" s="2" t="b">
        <v>1</v>
      </c>
      <c r="G4222" s="2" t="b">
        <v>0</v>
      </c>
      <c r="H4222" s="2" t="s">
        <v>37</v>
      </c>
      <c r="I4222" s="2" t="s">
        <v>49</v>
      </c>
      <c r="J4222" s="2" t="s">
        <v>1264</v>
      </c>
      <c r="K4222" s="2" t="s">
        <v>495</v>
      </c>
      <c r="L4222" s="13" t="s">
        <v>496</v>
      </c>
      <c r="M4222" s="2" t="s">
        <v>26</v>
      </c>
      <c r="N4222" s="29"/>
      <c r="O4222" s="29"/>
      <c r="P4222" s="5" t="str">
        <f>IFERROR(__xludf.DUMMYFUNCTION("TEXTJOIN("" | "",TRUE,IF(OR(D4222="""",E4222="""",I4222="""",J4222="""",H4222=""""),""ফাঁকা ঘর"",""""),IF(AND(C4222&lt;&gt;"""",D4222&lt;&gt;"""",C4222=D4222),""gloss=figurative"",""""),IF(LEN(D4222)&lt;15,""figurative ছোট"",""""),IF(AND(I4222=""Positive"",REGEXMATCH(H4"&amp;"222,""মূর্খ|ভণ্ড|প্রতার|অলস|লোভ|স্বার্থ|অক্ষম|অযোগ্য|বোকা|কৃপণ|হিংস"")),""valence-target অমিল"",""""),IF(COUNTIF($B:$B,B4222)&gt;1,""ডুপ্লিকেট"",""""))"),"")</f>
        <v/>
      </c>
      <c r="Q4222" s="5" t="str">
        <f t="shared" si="1"/>
        <v>২ পরে</v>
      </c>
    </row>
    <row r="4223">
      <c r="A4223" s="4">
        <v>2039.0</v>
      </c>
      <c r="B4223" s="2" t="s">
        <v>17263</v>
      </c>
      <c r="C4223" s="2" t="s">
        <v>17264</v>
      </c>
      <c r="D4223" s="2" t="s">
        <v>17265</v>
      </c>
      <c r="E4223" s="2" t="s">
        <v>17266</v>
      </c>
      <c r="F4223" s="2" t="b">
        <v>1</v>
      </c>
      <c r="G4223" s="2" t="b">
        <v>0</v>
      </c>
      <c r="H4223" s="2" t="s">
        <v>17267</v>
      </c>
      <c r="I4223" s="2" t="s">
        <v>22</v>
      </c>
      <c r="J4223" s="2" t="s">
        <v>43</v>
      </c>
      <c r="K4223" s="2" t="s">
        <v>495</v>
      </c>
      <c r="L4223" s="13" t="s">
        <v>496</v>
      </c>
      <c r="M4223" s="2" t="s">
        <v>26</v>
      </c>
      <c r="N4223" s="29"/>
      <c r="O4223" s="29"/>
      <c r="P4223" s="5" t="str">
        <f>IFERROR(__xludf.DUMMYFUNCTION("TEXTJOIN("" | "",TRUE,IF(OR(D4223="""",E4223="""",I4223="""",J4223="""",H4223=""""),""ফাঁকা ঘর"",""""),IF(AND(C4223&lt;&gt;"""",D4223&lt;&gt;"""",C4223=D4223),""gloss=figurative"",""""),IF(LEN(D4223)&lt;15,""figurative ছোট"",""""),IF(AND(I4223=""Positive"",REGEXMATCH(H4"&amp;"223,""মূর্খ|ভণ্ড|প্রতার|অলস|লোভ|স্বার্থ|অক্ষম|অযোগ্য|বোকা|কৃপণ|হিংস"")),""valence-target অমিল"",""""),IF(COUNTIF($B:$B,B4223)&gt;1,""ডুপ্লিকেট"",""""))"),"")</f>
        <v/>
      </c>
      <c r="Q4223" s="5" t="str">
        <f t="shared" si="1"/>
        <v>২ পরে</v>
      </c>
    </row>
    <row r="4224">
      <c r="A4224" s="4">
        <v>2040.0</v>
      </c>
      <c r="B4224" s="2" t="s">
        <v>17268</v>
      </c>
      <c r="C4224" s="2" t="s">
        <v>17269</v>
      </c>
      <c r="D4224" s="2" t="s">
        <v>17270</v>
      </c>
      <c r="E4224" s="2" t="s">
        <v>17271</v>
      </c>
      <c r="F4224" s="2" t="b">
        <v>1</v>
      </c>
      <c r="G4224" s="2" t="b">
        <v>0</v>
      </c>
      <c r="H4224" s="2" t="s">
        <v>37</v>
      </c>
      <c r="I4224" s="2" t="s">
        <v>49</v>
      </c>
      <c r="J4224" s="2" t="s">
        <v>708</v>
      </c>
      <c r="K4224" s="2" t="s">
        <v>495</v>
      </c>
      <c r="L4224" s="13" t="s">
        <v>496</v>
      </c>
      <c r="M4224" s="2" t="s">
        <v>26</v>
      </c>
      <c r="N4224" s="29"/>
      <c r="O4224" s="29"/>
      <c r="P4224" s="5" t="str">
        <f>IFERROR(__xludf.DUMMYFUNCTION("TEXTJOIN("" | "",TRUE,IF(OR(D4224="""",E4224="""",I4224="""",J4224="""",H4224=""""),""ফাঁকা ঘর"",""""),IF(AND(C4224&lt;&gt;"""",D4224&lt;&gt;"""",C4224=D4224),""gloss=figurative"",""""),IF(LEN(D4224)&lt;15,""figurative ছোট"",""""),IF(AND(I4224=""Positive"",REGEXMATCH(H4"&amp;"224,""মূর্খ|ভণ্ড|প্রতার|অলস|লোভ|স্বার্থ|অক্ষম|অযোগ্য|বোকা|কৃপণ|হিংস"")),""valence-target অমিল"",""""),IF(COUNTIF($B:$B,B4224)&gt;1,""ডুপ্লিকেট"",""""))"),"")</f>
        <v/>
      </c>
      <c r="Q4224" s="5" t="str">
        <f t="shared" si="1"/>
        <v>২ পরে</v>
      </c>
    </row>
    <row r="4225">
      <c r="A4225" s="4">
        <v>2041.0</v>
      </c>
      <c r="B4225" s="2" t="s">
        <v>17272</v>
      </c>
      <c r="C4225" s="2" t="s">
        <v>17273</v>
      </c>
      <c r="D4225" s="2" t="s">
        <v>17274</v>
      </c>
      <c r="E4225" s="2" t="s">
        <v>17275</v>
      </c>
      <c r="F4225" s="2" t="b">
        <v>1</v>
      </c>
      <c r="G4225" s="2" t="b">
        <v>0</v>
      </c>
      <c r="H4225" s="2" t="s">
        <v>17276</v>
      </c>
      <c r="I4225" s="2" t="s">
        <v>22</v>
      </c>
      <c r="J4225" s="2" t="s">
        <v>1239</v>
      </c>
      <c r="K4225" s="2" t="s">
        <v>495</v>
      </c>
      <c r="L4225" s="13" t="s">
        <v>496</v>
      </c>
      <c r="M4225" s="2" t="s">
        <v>26</v>
      </c>
      <c r="N4225" s="29"/>
      <c r="O4225" s="29"/>
      <c r="P4225" s="5" t="str">
        <f>IFERROR(__xludf.DUMMYFUNCTION("TEXTJOIN("" | "",TRUE,IF(OR(D4225="""",E4225="""",I4225="""",J4225="""",H4225=""""),""ফাঁকা ঘর"",""""),IF(AND(C4225&lt;&gt;"""",D4225&lt;&gt;"""",C4225=D4225),""gloss=figurative"",""""),IF(LEN(D4225)&lt;15,""figurative ছোট"",""""),IF(AND(I4225=""Positive"",REGEXMATCH(H4"&amp;"225,""মূর্খ|ভণ্ড|প্রতার|অলস|লোভ|স্বার্থ|অক্ষম|অযোগ্য|বোকা|কৃপণ|হিংস"")),""valence-target অমিল"",""""),IF(COUNTIF($B:$B,B4225)&gt;1,""ডুপ্লিকেট"",""""))"),"")</f>
        <v/>
      </c>
      <c r="Q4225" s="5" t="str">
        <f t="shared" si="1"/>
        <v>২ পরে</v>
      </c>
    </row>
    <row r="4226">
      <c r="A4226" s="4">
        <v>2042.0</v>
      </c>
      <c r="B4226" s="2" t="s">
        <v>17277</v>
      </c>
      <c r="C4226" s="2" t="s">
        <v>17278</v>
      </c>
      <c r="D4226" s="2" t="s">
        <v>17279</v>
      </c>
      <c r="E4226" s="2" t="s">
        <v>17280</v>
      </c>
      <c r="F4226" s="2" t="b">
        <v>1</v>
      </c>
      <c r="G4226" s="2" t="b">
        <v>0</v>
      </c>
      <c r="H4226" s="2" t="s">
        <v>17281</v>
      </c>
      <c r="I4226" s="2" t="s">
        <v>22</v>
      </c>
      <c r="J4226" s="2" t="s">
        <v>2732</v>
      </c>
      <c r="K4226" s="2" t="s">
        <v>495</v>
      </c>
      <c r="L4226" s="13" t="s">
        <v>496</v>
      </c>
      <c r="M4226" s="2" t="s">
        <v>26</v>
      </c>
      <c r="N4226" s="29"/>
      <c r="O4226" s="29"/>
      <c r="P4226" s="5" t="str">
        <f>IFERROR(__xludf.DUMMYFUNCTION("TEXTJOIN("" | "",TRUE,IF(OR(D4226="""",E4226="""",I4226="""",J4226="""",H4226=""""),""ফাঁকা ঘর"",""""),IF(AND(C4226&lt;&gt;"""",D4226&lt;&gt;"""",C4226=D4226),""gloss=figurative"",""""),IF(LEN(D4226)&lt;15,""figurative ছোট"",""""),IF(AND(I4226=""Positive"",REGEXMATCH(H4"&amp;"226,""মূর্খ|ভণ্ড|প্রতার|অলস|লোভ|স্বার্থ|অক্ষম|অযোগ্য|বোকা|কৃপণ|হিংস"")),""valence-target অমিল"",""""),IF(COUNTIF($B:$B,B4226)&gt;1,""ডুপ্লিকেট"",""""))"),"")</f>
        <v/>
      </c>
      <c r="Q4226" s="5" t="str">
        <f t="shared" si="1"/>
        <v>২ পরে</v>
      </c>
    </row>
    <row r="4227">
      <c r="A4227" s="4">
        <v>2043.0</v>
      </c>
      <c r="B4227" s="2" t="s">
        <v>17282</v>
      </c>
      <c r="C4227" s="2" t="s">
        <v>17035</v>
      </c>
      <c r="D4227" s="2" t="s">
        <v>17283</v>
      </c>
      <c r="E4227" s="2" t="s">
        <v>17284</v>
      </c>
      <c r="F4227" s="2" t="b">
        <v>1</v>
      </c>
      <c r="G4227" s="2" t="b">
        <v>0</v>
      </c>
      <c r="H4227" s="2" t="s">
        <v>17038</v>
      </c>
      <c r="I4227" s="2" t="s">
        <v>22</v>
      </c>
      <c r="J4227" s="2" t="s">
        <v>225</v>
      </c>
      <c r="K4227" s="2" t="s">
        <v>495</v>
      </c>
      <c r="L4227" s="13" t="s">
        <v>496</v>
      </c>
      <c r="M4227" s="2" t="s">
        <v>26</v>
      </c>
      <c r="N4227" s="29"/>
      <c r="O4227" s="29"/>
      <c r="P4227" s="5" t="str">
        <f>IFERROR(__xludf.DUMMYFUNCTION("TEXTJOIN("" | "",TRUE,IF(OR(D4227="""",E4227="""",I4227="""",J4227="""",H4227=""""),""ফাঁকা ঘর"",""""),IF(AND(C4227&lt;&gt;"""",D4227&lt;&gt;"""",C4227=D4227),""gloss=figurative"",""""),IF(LEN(D4227)&lt;15,""figurative ছোট"",""""),IF(AND(I4227=""Positive"",REGEXMATCH(H4"&amp;"227,""মূর্খ|ভণ্ড|প্রতার|অলস|লোভ|স্বার্থ|অক্ষম|অযোগ্য|বোকা|কৃপণ|হিংস"")),""valence-target অমিল"",""""),IF(COUNTIF($B:$B,B4227)&gt;1,""ডুপ্লিকেট"",""""))"),"")</f>
        <v/>
      </c>
      <c r="Q4227" s="5" t="str">
        <f t="shared" si="1"/>
        <v>২ পরে</v>
      </c>
    </row>
    <row r="4228">
      <c r="A4228" s="4">
        <v>2044.0</v>
      </c>
      <c r="B4228" s="2" t="s">
        <v>17285</v>
      </c>
      <c r="C4228" s="2" t="s">
        <v>17286</v>
      </c>
      <c r="D4228" s="2" t="s">
        <v>17287</v>
      </c>
      <c r="E4228" s="2" t="s">
        <v>17288</v>
      </c>
      <c r="F4228" s="2" t="b">
        <v>1</v>
      </c>
      <c r="G4228" s="2" t="b">
        <v>0</v>
      </c>
      <c r="H4228" s="2" t="s">
        <v>17289</v>
      </c>
      <c r="I4228" s="2" t="s">
        <v>22</v>
      </c>
      <c r="J4228" s="2" t="s">
        <v>43</v>
      </c>
      <c r="K4228" s="2" t="s">
        <v>495</v>
      </c>
      <c r="L4228" s="13" t="s">
        <v>496</v>
      </c>
      <c r="M4228" s="2" t="s">
        <v>26</v>
      </c>
      <c r="N4228" s="29"/>
      <c r="O4228" s="29"/>
      <c r="P4228" s="5" t="str">
        <f>IFERROR(__xludf.DUMMYFUNCTION("TEXTJOIN("" | "",TRUE,IF(OR(D4228="""",E4228="""",I4228="""",J4228="""",H4228=""""),""ফাঁকা ঘর"",""""),IF(AND(C4228&lt;&gt;"""",D4228&lt;&gt;"""",C4228=D4228),""gloss=figurative"",""""),IF(LEN(D4228)&lt;15,""figurative ছোট"",""""),IF(AND(I4228=""Positive"",REGEXMATCH(H4"&amp;"228,""মূর্খ|ভণ্ড|প্রতার|অলস|লোভ|স্বার্থ|অক্ষম|অযোগ্য|বোকা|কৃপণ|হিংস"")),""valence-target অমিল"",""""),IF(COUNTIF($B:$B,B4228)&gt;1,""ডুপ্লিকেট"",""""))"),"")</f>
        <v/>
      </c>
      <c r="Q4228" s="5" t="str">
        <f t="shared" si="1"/>
        <v>২ পরে</v>
      </c>
    </row>
    <row r="4229">
      <c r="A4229" s="4">
        <v>2045.0</v>
      </c>
      <c r="B4229" s="2" t="s">
        <v>17290</v>
      </c>
      <c r="C4229" s="2" t="s">
        <v>17291</v>
      </c>
      <c r="D4229" s="2" t="s">
        <v>17292</v>
      </c>
      <c r="E4229" s="2" t="s">
        <v>17293</v>
      </c>
      <c r="F4229" s="2" t="b">
        <v>1</v>
      </c>
      <c r="G4229" s="2" t="b">
        <v>0</v>
      </c>
      <c r="H4229" s="2" t="s">
        <v>17294</v>
      </c>
      <c r="I4229" s="2" t="s">
        <v>22</v>
      </c>
      <c r="J4229" s="2" t="s">
        <v>10356</v>
      </c>
      <c r="K4229" s="2" t="s">
        <v>495</v>
      </c>
      <c r="L4229" s="13" t="s">
        <v>496</v>
      </c>
      <c r="M4229" s="2" t="s">
        <v>26</v>
      </c>
      <c r="N4229" s="29"/>
      <c r="O4229" s="29"/>
      <c r="P4229" s="5" t="str">
        <f>IFERROR(__xludf.DUMMYFUNCTION("TEXTJOIN("" | "",TRUE,IF(OR(D4229="""",E4229="""",I4229="""",J4229="""",H4229=""""),""ফাঁকা ঘর"",""""),IF(AND(C4229&lt;&gt;"""",D4229&lt;&gt;"""",C4229=D4229),""gloss=figurative"",""""),IF(LEN(D4229)&lt;15,""figurative ছোট"",""""),IF(AND(I4229=""Positive"",REGEXMATCH(H4"&amp;"229,""মূর্খ|ভণ্ড|প্রতার|অলস|লোভ|স্বার্থ|অক্ষম|অযোগ্য|বোকা|কৃপণ|হিংস"")),""valence-target অমিল"",""""),IF(COUNTIF($B:$B,B4229)&gt;1,""ডুপ্লিকেট"",""""))"),"")</f>
        <v/>
      </c>
      <c r="Q4229" s="5" t="str">
        <f t="shared" si="1"/>
        <v>২ পরে</v>
      </c>
    </row>
    <row r="4230">
      <c r="A4230" s="4">
        <v>2046.0</v>
      </c>
      <c r="B4230" s="2" t="s">
        <v>17295</v>
      </c>
      <c r="C4230" s="2" t="s">
        <v>17296</v>
      </c>
      <c r="D4230" s="2" t="s">
        <v>17297</v>
      </c>
      <c r="E4230" s="2" t="s">
        <v>17298</v>
      </c>
      <c r="F4230" s="2" t="b">
        <v>1</v>
      </c>
      <c r="G4230" s="2" t="b">
        <v>0</v>
      </c>
      <c r="H4230" s="2" t="s">
        <v>3946</v>
      </c>
      <c r="I4230" s="2" t="s">
        <v>49</v>
      </c>
      <c r="J4230" s="2" t="s">
        <v>636</v>
      </c>
      <c r="K4230" s="2" t="s">
        <v>495</v>
      </c>
      <c r="L4230" s="13" t="s">
        <v>496</v>
      </c>
      <c r="M4230" s="2" t="s">
        <v>26</v>
      </c>
      <c r="N4230" s="29"/>
      <c r="O4230" s="29"/>
      <c r="P4230" s="5" t="str">
        <f>IFERROR(__xludf.DUMMYFUNCTION("TEXTJOIN("" | "",TRUE,IF(OR(D4230="""",E4230="""",I4230="""",J4230="""",H4230=""""),""ফাঁকা ঘর"",""""),IF(AND(C4230&lt;&gt;"""",D4230&lt;&gt;"""",C4230=D4230),""gloss=figurative"",""""),IF(LEN(D4230)&lt;15,""figurative ছোট"",""""),IF(AND(I4230=""Positive"",REGEXMATCH(H4"&amp;"230,""মূর্খ|ভণ্ড|প্রতার|অলস|লোভ|স্বার্থ|অক্ষম|অযোগ্য|বোকা|কৃপণ|হিংস"")),""valence-target অমিল"",""""),IF(COUNTIF($B:$B,B4230)&gt;1,""ডুপ্লিকেট"",""""))"),"")</f>
        <v/>
      </c>
      <c r="Q4230" s="5" t="str">
        <f t="shared" si="1"/>
        <v>২ পরে</v>
      </c>
    </row>
    <row r="4231">
      <c r="A4231" s="4">
        <v>2047.0</v>
      </c>
      <c r="B4231" s="2" t="s">
        <v>17299</v>
      </c>
      <c r="C4231" s="2" t="s">
        <v>17300</v>
      </c>
      <c r="D4231" s="2" t="s">
        <v>17301</v>
      </c>
      <c r="E4231" s="2" t="s">
        <v>17302</v>
      </c>
      <c r="F4231" s="2" t="b">
        <v>1</v>
      </c>
      <c r="G4231" s="2" t="b">
        <v>1</v>
      </c>
      <c r="H4231" s="2" t="s">
        <v>17303</v>
      </c>
      <c r="I4231" s="2" t="s">
        <v>22</v>
      </c>
      <c r="J4231" s="2" t="s">
        <v>14971</v>
      </c>
      <c r="K4231" s="2" t="s">
        <v>495</v>
      </c>
      <c r="L4231" s="13" t="s">
        <v>496</v>
      </c>
      <c r="M4231" s="2" t="s">
        <v>26</v>
      </c>
      <c r="N4231" s="29"/>
      <c r="O4231" s="29"/>
      <c r="P4231" s="5" t="str">
        <f>IFERROR(__xludf.DUMMYFUNCTION("TEXTJOIN("" | "",TRUE,IF(OR(D4231="""",E4231="""",I4231="""",J4231="""",H4231=""""),""ফাঁকা ঘর"",""""),IF(AND(C4231&lt;&gt;"""",D4231&lt;&gt;"""",C4231=D4231),""gloss=figurative"",""""),IF(LEN(D4231)&lt;15,""figurative ছোট"",""""),IF(AND(I4231=""Positive"",REGEXMATCH(H4"&amp;"231,""মূর্খ|ভণ্ড|প্রতার|অলস|লোভ|স্বার্থ|অক্ষম|অযোগ্য|বোকা|কৃপণ|হিংস"")),""valence-target অমিল"",""""),IF(COUNTIF($B:$B,B4231)&gt;1,""ডুপ্লিকেট"",""""))"),"")</f>
        <v/>
      </c>
      <c r="Q4231" s="5" t="str">
        <f t="shared" si="1"/>
        <v>২ পরে</v>
      </c>
    </row>
    <row r="4232">
      <c r="A4232" s="4">
        <v>2048.0</v>
      </c>
      <c r="B4232" s="2" t="s">
        <v>17304</v>
      </c>
      <c r="C4232" s="2" t="s">
        <v>17305</v>
      </c>
      <c r="D4232" s="2" t="s">
        <v>17306</v>
      </c>
      <c r="E4232" s="2" t="s">
        <v>17307</v>
      </c>
      <c r="F4232" s="2" t="b">
        <v>1</v>
      </c>
      <c r="G4232" s="2" t="b">
        <v>0</v>
      </c>
      <c r="H4232" s="2" t="s">
        <v>978</v>
      </c>
      <c r="I4232" s="2" t="s">
        <v>22</v>
      </c>
      <c r="J4232" s="2" t="s">
        <v>43</v>
      </c>
      <c r="K4232" s="2" t="s">
        <v>495</v>
      </c>
      <c r="L4232" s="13" t="s">
        <v>496</v>
      </c>
      <c r="M4232" s="2" t="s">
        <v>26</v>
      </c>
      <c r="N4232" s="29"/>
      <c r="O4232" s="29"/>
      <c r="P4232" s="5" t="str">
        <f>IFERROR(__xludf.DUMMYFUNCTION("TEXTJOIN("" | "",TRUE,IF(OR(D4232="""",E4232="""",I4232="""",J4232="""",H4232=""""),""ফাঁকা ঘর"",""""),IF(AND(C4232&lt;&gt;"""",D4232&lt;&gt;"""",C4232=D4232),""gloss=figurative"",""""),IF(LEN(D4232)&lt;15,""figurative ছোট"",""""),IF(AND(I4232=""Positive"",REGEXMATCH(H4"&amp;"232,""মূর্খ|ভণ্ড|প্রতার|অলস|লোভ|স্বার্থ|অক্ষম|অযোগ্য|বোকা|কৃপণ|হিংস"")),""valence-target অমিল"",""""),IF(COUNTIF($B:$B,B4232)&gt;1,""ডুপ্লিকেট"",""""))"),"")</f>
        <v/>
      </c>
      <c r="Q4232" s="5" t="str">
        <f t="shared" si="1"/>
        <v>২ পরে</v>
      </c>
    </row>
    <row r="4233">
      <c r="A4233" s="4">
        <v>2049.0</v>
      </c>
      <c r="B4233" s="2" t="s">
        <v>17308</v>
      </c>
      <c r="C4233" s="2" t="s">
        <v>17309</v>
      </c>
      <c r="D4233" s="2" t="s">
        <v>17310</v>
      </c>
      <c r="E4233" s="2" t="s">
        <v>17311</v>
      </c>
      <c r="F4233" s="2" t="b">
        <v>1</v>
      </c>
      <c r="G4233" s="2" t="b">
        <v>0</v>
      </c>
      <c r="H4233" s="2" t="s">
        <v>17312</v>
      </c>
      <c r="I4233" s="2" t="s">
        <v>22</v>
      </c>
      <c r="J4233" s="2" t="s">
        <v>2732</v>
      </c>
      <c r="K4233" s="2" t="s">
        <v>495</v>
      </c>
      <c r="L4233" s="13" t="s">
        <v>496</v>
      </c>
      <c r="M4233" s="2" t="s">
        <v>26</v>
      </c>
      <c r="N4233" s="29"/>
      <c r="O4233" s="29"/>
      <c r="P4233" s="5" t="str">
        <f>IFERROR(__xludf.DUMMYFUNCTION("TEXTJOIN("" | "",TRUE,IF(OR(D4233="""",E4233="""",I4233="""",J4233="""",H4233=""""),""ফাঁকা ঘর"",""""),IF(AND(C4233&lt;&gt;"""",D4233&lt;&gt;"""",C4233=D4233),""gloss=figurative"",""""),IF(LEN(D4233)&lt;15,""figurative ছোট"",""""),IF(AND(I4233=""Positive"",REGEXMATCH(H4"&amp;"233,""মূর্খ|ভণ্ড|প্রতার|অলস|লোভ|স্বার্থ|অক্ষম|অযোগ্য|বোকা|কৃপণ|হিংস"")),""valence-target অমিল"",""""),IF(COUNTIF($B:$B,B4233)&gt;1,""ডুপ্লিকেট"",""""))"),"")</f>
        <v/>
      </c>
      <c r="Q4233" s="5" t="str">
        <f t="shared" si="1"/>
        <v>২ পরে</v>
      </c>
    </row>
    <row r="4234">
      <c r="A4234" s="4">
        <v>2050.0</v>
      </c>
      <c r="B4234" s="2" t="s">
        <v>17313</v>
      </c>
      <c r="C4234" s="2" t="s">
        <v>17314</v>
      </c>
      <c r="D4234" s="2" t="s">
        <v>17315</v>
      </c>
      <c r="E4234" s="2" t="s">
        <v>17316</v>
      </c>
      <c r="F4234" s="2" t="b">
        <v>1</v>
      </c>
      <c r="G4234" s="2" t="b">
        <v>0</v>
      </c>
      <c r="H4234" s="2" t="s">
        <v>17317</v>
      </c>
      <c r="I4234" s="2" t="s">
        <v>49</v>
      </c>
      <c r="J4234" s="2" t="s">
        <v>2732</v>
      </c>
      <c r="K4234" s="2" t="s">
        <v>495</v>
      </c>
      <c r="L4234" s="13" t="s">
        <v>496</v>
      </c>
      <c r="M4234" s="2" t="s">
        <v>26</v>
      </c>
      <c r="N4234" s="29"/>
      <c r="O4234" s="29"/>
      <c r="P4234" s="5" t="str">
        <f>IFERROR(__xludf.DUMMYFUNCTION("TEXTJOIN("" | "",TRUE,IF(OR(D4234="""",E4234="""",I4234="""",J4234="""",H4234=""""),""ফাঁকা ঘর"",""""),IF(AND(C4234&lt;&gt;"""",D4234&lt;&gt;"""",C4234=D4234),""gloss=figurative"",""""),IF(LEN(D4234)&lt;15,""figurative ছোট"",""""),IF(AND(I4234=""Positive"",REGEXMATCH(H4"&amp;"234,""মূর্খ|ভণ্ড|প্রতার|অলস|লোভ|স্বার্থ|অক্ষম|অযোগ্য|বোকা|কৃপণ|হিংস"")),""valence-target অমিল"",""""),IF(COUNTIF($B:$B,B4234)&gt;1,""ডুপ্লিকেট"",""""))"),"")</f>
        <v/>
      </c>
      <c r="Q4234" s="5" t="str">
        <f t="shared" si="1"/>
        <v>২ পরে</v>
      </c>
    </row>
    <row r="4235">
      <c r="A4235" s="4">
        <v>2051.0</v>
      </c>
      <c r="B4235" s="2" t="s">
        <v>17318</v>
      </c>
      <c r="C4235" s="2" t="s">
        <v>17319</v>
      </c>
      <c r="D4235" s="2" t="s">
        <v>17320</v>
      </c>
      <c r="E4235" s="2" t="s">
        <v>17321</v>
      </c>
      <c r="F4235" s="2" t="b">
        <v>1</v>
      </c>
      <c r="G4235" s="2" t="b">
        <v>0</v>
      </c>
      <c r="H4235" s="2" t="s">
        <v>17322</v>
      </c>
      <c r="I4235" s="2" t="s">
        <v>22</v>
      </c>
      <c r="J4235" s="2" t="s">
        <v>43</v>
      </c>
      <c r="K4235" s="2" t="s">
        <v>495</v>
      </c>
      <c r="L4235" s="13" t="s">
        <v>496</v>
      </c>
      <c r="M4235" s="2" t="s">
        <v>26</v>
      </c>
      <c r="N4235" s="29"/>
      <c r="O4235" s="29"/>
      <c r="P4235" s="5" t="str">
        <f>IFERROR(__xludf.DUMMYFUNCTION("TEXTJOIN("" | "",TRUE,IF(OR(D4235="""",E4235="""",I4235="""",J4235="""",H4235=""""),""ফাঁকা ঘর"",""""),IF(AND(C4235&lt;&gt;"""",D4235&lt;&gt;"""",C4235=D4235),""gloss=figurative"",""""),IF(LEN(D4235)&lt;15,""figurative ছোট"",""""),IF(AND(I4235=""Positive"",REGEXMATCH(H4"&amp;"235,""মূর্খ|ভণ্ড|প্রতার|অলস|লোভ|স্বার্থ|অক্ষম|অযোগ্য|বোকা|কৃপণ|হিংস"")),""valence-target অমিল"",""""),IF(COUNTIF($B:$B,B4235)&gt;1,""ডুপ্লিকেট"",""""))"),"")</f>
        <v/>
      </c>
      <c r="Q4235" s="5" t="str">
        <f t="shared" si="1"/>
        <v>২ পরে</v>
      </c>
    </row>
    <row r="4236">
      <c r="A4236" s="4">
        <v>2052.0</v>
      </c>
      <c r="B4236" s="2" t="s">
        <v>17323</v>
      </c>
      <c r="C4236" s="2" t="s">
        <v>17324</v>
      </c>
      <c r="D4236" s="2" t="s">
        <v>17325</v>
      </c>
      <c r="E4236" s="2" t="s">
        <v>17326</v>
      </c>
      <c r="F4236" s="2" t="b">
        <v>1</v>
      </c>
      <c r="G4236" s="2" t="b">
        <v>0</v>
      </c>
      <c r="H4236" s="2" t="s">
        <v>17327</v>
      </c>
      <c r="I4236" s="2" t="s">
        <v>22</v>
      </c>
      <c r="J4236" s="2" t="s">
        <v>43</v>
      </c>
      <c r="K4236" s="2" t="s">
        <v>495</v>
      </c>
      <c r="L4236" s="13" t="s">
        <v>496</v>
      </c>
      <c r="M4236" s="2" t="s">
        <v>26</v>
      </c>
      <c r="N4236" s="29"/>
      <c r="O4236" s="29"/>
      <c r="P4236" s="5" t="str">
        <f>IFERROR(__xludf.DUMMYFUNCTION("TEXTJOIN("" | "",TRUE,IF(OR(D4236="""",E4236="""",I4236="""",J4236="""",H4236=""""),""ফাঁকা ঘর"",""""),IF(AND(C4236&lt;&gt;"""",D4236&lt;&gt;"""",C4236=D4236),""gloss=figurative"",""""),IF(LEN(D4236)&lt;15,""figurative ছোট"",""""),IF(AND(I4236=""Positive"",REGEXMATCH(H4"&amp;"236,""মূর্খ|ভণ্ড|প্রতার|অলস|লোভ|স্বার্থ|অক্ষম|অযোগ্য|বোকা|কৃপণ|হিংস"")),""valence-target অমিল"",""""),IF(COUNTIF($B:$B,B4236)&gt;1,""ডুপ্লিকেট"",""""))"),"")</f>
        <v/>
      </c>
      <c r="Q4236" s="5" t="str">
        <f t="shared" si="1"/>
        <v>২ পরে</v>
      </c>
    </row>
    <row r="4237">
      <c r="A4237" s="4">
        <v>2053.0</v>
      </c>
      <c r="B4237" s="2" t="s">
        <v>17328</v>
      </c>
      <c r="C4237" s="2" t="s">
        <v>17329</v>
      </c>
      <c r="D4237" s="2" t="s">
        <v>17330</v>
      </c>
      <c r="E4237" s="2" t="s">
        <v>17331</v>
      </c>
      <c r="F4237" s="2" t="b">
        <v>1</v>
      </c>
      <c r="G4237" s="2" t="b">
        <v>1</v>
      </c>
      <c r="H4237" s="2" t="s">
        <v>17332</v>
      </c>
      <c r="I4237" s="2" t="s">
        <v>22</v>
      </c>
      <c r="J4237" s="2" t="s">
        <v>15837</v>
      </c>
      <c r="K4237" s="2" t="s">
        <v>495</v>
      </c>
      <c r="L4237" s="13" t="s">
        <v>496</v>
      </c>
      <c r="M4237" s="2" t="s">
        <v>26</v>
      </c>
      <c r="N4237" s="29"/>
      <c r="O4237" s="29"/>
      <c r="P4237" s="5" t="str">
        <f>IFERROR(__xludf.DUMMYFUNCTION("TEXTJOIN("" | "",TRUE,IF(OR(D4237="""",E4237="""",I4237="""",J4237="""",H4237=""""),""ফাঁকা ঘর"",""""),IF(AND(C4237&lt;&gt;"""",D4237&lt;&gt;"""",C4237=D4237),""gloss=figurative"",""""),IF(LEN(D4237)&lt;15,""figurative ছোট"",""""),IF(AND(I4237=""Positive"",REGEXMATCH(H4"&amp;"237,""মূর্খ|ভণ্ড|প্রতার|অলস|লোভ|স্বার্থ|অক্ষম|অযোগ্য|বোকা|কৃপণ|হিংস"")),""valence-target অমিল"",""""),IF(COUNTIF($B:$B,B4237)&gt;1,""ডুপ্লিকেট"",""""))"),"")</f>
        <v/>
      </c>
      <c r="Q4237" s="5" t="str">
        <f t="shared" si="1"/>
        <v>২ পরে</v>
      </c>
    </row>
    <row r="4238">
      <c r="A4238" s="4">
        <v>2054.0</v>
      </c>
      <c r="B4238" s="2" t="s">
        <v>17333</v>
      </c>
      <c r="C4238" s="2" t="s">
        <v>17228</v>
      </c>
      <c r="D4238" s="2" t="s">
        <v>17334</v>
      </c>
      <c r="E4238" s="2" t="s">
        <v>17335</v>
      </c>
      <c r="F4238" s="2" t="b">
        <v>1</v>
      </c>
      <c r="G4238" s="2" t="b">
        <v>0</v>
      </c>
      <c r="H4238" s="2" t="s">
        <v>37</v>
      </c>
      <c r="I4238" s="2" t="s">
        <v>49</v>
      </c>
      <c r="J4238" s="2" t="s">
        <v>1249</v>
      </c>
      <c r="K4238" s="2" t="s">
        <v>495</v>
      </c>
      <c r="L4238" s="13" t="s">
        <v>496</v>
      </c>
      <c r="M4238" s="2" t="s">
        <v>26</v>
      </c>
      <c r="N4238" s="29"/>
      <c r="O4238" s="29"/>
      <c r="P4238" s="5" t="str">
        <f>IFERROR(__xludf.DUMMYFUNCTION("TEXTJOIN("" | "",TRUE,IF(OR(D4238="""",E4238="""",I4238="""",J4238="""",H4238=""""),""ফাঁকা ঘর"",""""),IF(AND(C4238&lt;&gt;"""",D4238&lt;&gt;"""",C4238=D4238),""gloss=figurative"",""""),IF(LEN(D4238)&lt;15,""figurative ছোট"",""""),IF(AND(I4238=""Positive"",REGEXMATCH(H4"&amp;"238,""মূর্খ|ভণ্ড|প্রতার|অলস|লোভ|স্বার্থ|অক্ষম|অযোগ্য|বোকা|কৃপণ|হিংস"")),""valence-target অমিল"",""""),IF(COUNTIF($B:$B,B4238)&gt;1,""ডুপ্লিকেট"",""""))"),"")</f>
        <v/>
      </c>
      <c r="Q4238" s="5" t="str">
        <f t="shared" si="1"/>
        <v>২ পরে</v>
      </c>
    </row>
    <row r="4239">
      <c r="A4239" s="4">
        <v>2055.0</v>
      </c>
      <c r="B4239" s="2" t="s">
        <v>17336</v>
      </c>
      <c r="C4239" s="2" t="s">
        <v>17337</v>
      </c>
      <c r="D4239" s="2" t="s">
        <v>17338</v>
      </c>
      <c r="E4239" s="2" t="s">
        <v>17339</v>
      </c>
      <c r="F4239" s="2" t="b">
        <v>1</v>
      </c>
      <c r="G4239" s="2" t="b">
        <v>0</v>
      </c>
      <c r="H4239" s="2" t="s">
        <v>17340</v>
      </c>
      <c r="I4239" s="2" t="s">
        <v>32</v>
      </c>
      <c r="J4239" s="2" t="s">
        <v>1438</v>
      </c>
      <c r="K4239" s="2" t="s">
        <v>495</v>
      </c>
      <c r="L4239" s="13" t="s">
        <v>496</v>
      </c>
      <c r="M4239" s="2" t="s">
        <v>26</v>
      </c>
      <c r="N4239" s="29"/>
      <c r="O4239" s="29"/>
      <c r="P4239" s="5" t="str">
        <f>IFERROR(__xludf.DUMMYFUNCTION("TEXTJOIN("" | "",TRUE,IF(OR(D4239="""",E4239="""",I4239="""",J4239="""",H4239=""""),""ফাঁকা ঘর"",""""),IF(AND(C4239&lt;&gt;"""",D4239&lt;&gt;"""",C4239=D4239),""gloss=figurative"",""""),IF(LEN(D4239)&lt;15,""figurative ছোট"",""""),IF(AND(I4239=""Positive"",REGEXMATCH(H4"&amp;"239,""মূর্খ|ভণ্ড|প্রতার|অলস|লোভ|স্বার্থ|অক্ষম|অযোগ্য|বোকা|কৃপণ|হিংস"")),""valence-target অমিল"",""""),IF(COUNTIF($B:$B,B4239)&gt;1,""ডুপ্লিকেট"",""""))"),"")</f>
        <v/>
      </c>
      <c r="Q4239" s="5" t="str">
        <f t="shared" si="1"/>
        <v>২ পরে</v>
      </c>
    </row>
    <row r="4240">
      <c r="A4240" s="4">
        <v>2056.0</v>
      </c>
      <c r="B4240" s="2" t="s">
        <v>17341</v>
      </c>
      <c r="C4240" s="2" t="s">
        <v>17342</v>
      </c>
      <c r="D4240" s="2" t="s">
        <v>17343</v>
      </c>
      <c r="E4240" s="2" t="s">
        <v>17344</v>
      </c>
      <c r="F4240" s="2" t="b">
        <v>1</v>
      </c>
      <c r="G4240" s="2" t="b">
        <v>0</v>
      </c>
      <c r="H4240" s="2" t="s">
        <v>37</v>
      </c>
      <c r="I4240" s="2" t="s">
        <v>49</v>
      </c>
      <c r="J4240" s="2" t="s">
        <v>1221</v>
      </c>
      <c r="K4240" s="2" t="s">
        <v>495</v>
      </c>
      <c r="L4240" s="13" t="s">
        <v>496</v>
      </c>
      <c r="M4240" s="2" t="s">
        <v>26</v>
      </c>
      <c r="N4240" s="29"/>
      <c r="O4240" s="29"/>
      <c r="P4240" s="5" t="str">
        <f>IFERROR(__xludf.DUMMYFUNCTION("TEXTJOIN("" | "",TRUE,IF(OR(D4240="""",E4240="""",I4240="""",J4240="""",H4240=""""),""ফাঁকা ঘর"",""""),IF(AND(C4240&lt;&gt;"""",D4240&lt;&gt;"""",C4240=D4240),""gloss=figurative"",""""),IF(LEN(D4240)&lt;15,""figurative ছোট"",""""),IF(AND(I4240=""Positive"",REGEXMATCH(H4"&amp;"240,""মূর্খ|ভণ্ড|প্রতার|অলস|লোভ|স্বার্থ|অক্ষম|অযোগ্য|বোকা|কৃপণ|হিংস"")),""valence-target অমিল"",""""),IF(COUNTIF($B:$B,B4240)&gt;1,""ডুপ্লিকেট"",""""))"),"")</f>
        <v/>
      </c>
      <c r="Q4240" s="5" t="str">
        <f t="shared" si="1"/>
        <v>২ পরে</v>
      </c>
    </row>
    <row r="4241">
      <c r="A4241" s="4">
        <v>2057.0</v>
      </c>
      <c r="B4241" s="2" t="s">
        <v>17345</v>
      </c>
      <c r="C4241" s="2" t="s">
        <v>17346</v>
      </c>
      <c r="D4241" s="2" t="s">
        <v>17347</v>
      </c>
      <c r="E4241" s="2" t="s">
        <v>17348</v>
      </c>
      <c r="F4241" s="2" t="b">
        <v>1</v>
      </c>
      <c r="G4241" s="2" t="b">
        <v>0</v>
      </c>
      <c r="H4241" s="2" t="s">
        <v>17349</v>
      </c>
      <c r="I4241" s="2" t="s">
        <v>22</v>
      </c>
      <c r="J4241" s="2" t="s">
        <v>2085</v>
      </c>
      <c r="K4241" s="2" t="s">
        <v>495</v>
      </c>
      <c r="L4241" s="13" t="s">
        <v>496</v>
      </c>
      <c r="M4241" s="2" t="s">
        <v>26</v>
      </c>
      <c r="N4241" s="29"/>
      <c r="O4241" s="29"/>
      <c r="P4241" s="5" t="str">
        <f>IFERROR(__xludf.DUMMYFUNCTION("TEXTJOIN("" | "",TRUE,IF(OR(D4241="""",E4241="""",I4241="""",J4241="""",H4241=""""),""ফাঁকা ঘর"",""""),IF(AND(C4241&lt;&gt;"""",D4241&lt;&gt;"""",C4241=D4241),""gloss=figurative"",""""),IF(LEN(D4241)&lt;15,""figurative ছোট"",""""),IF(AND(I4241=""Positive"",REGEXMATCH(H4"&amp;"241,""মূর্খ|ভণ্ড|প্রতার|অলস|লোভ|স্বার্থ|অক্ষম|অযোগ্য|বোকা|কৃপণ|হিংস"")),""valence-target অমিল"",""""),IF(COUNTIF($B:$B,B4241)&gt;1,""ডুপ্লিকেট"",""""))"),"")</f>
        <v/>
      </c>
      <c r="Q4241" s="5" t="str">
        <f t="shared" si="1"/>
        <v>২ পরে</v>
      </c>
    </row>
    <row r="4242">
      <c r="A4242" s="4">
        <v>2058.0</v>
      </c>
      <c r="B4242" s="2" t="s">
        <v>17350</v>
      </c>
      <c r="C4242" s="2" t="s">
        <v>17351</v>
      </c>
      <c r="D4242" s="2" t="s">
        <v>17352</v>
      </c>
      <c r="E4242" s="2" t="s">
        <v>17353</v>
      </c>
      <c r="F4242" s="2" t="b">
        <v>1</v>
      </c>
      <c r="G4242" s="2" t="b">
        <v>0</v>
      </c>
      <c r="H4242" s="2" t="s">
        <v>17354</v>
      </c>
      <c r="I4242" s="2" t="s">
        <v>22</v>
      </c>
      <c r="J4242" s="2" t="s">
        <v>2085</v>
      </c>
      <c r="K4242" s="2" t="s">
        <v>495</v>
      </c>
      <c r="L4242" s="13" t="s">
        <v>496</v>
      </c>
      <c r="M4242" s="2" t="s">
        <v>26</v>
      </c>
      <c r="N4242" s="29"/>
      <c r="O4242" s="29"/>
      <c r="P4242" s="5" t="str">
        <f>IFERROR(__xludf.DUMMYFUNCTION("TEXTJOIN("" | "",TRUE,IF(OR(D4242="""",E4242="""",I4242="""",J4242="""",H4242=""""),""ফাঁকা ঘর"",""""),IF(AND(C4242&lt;&gt;"""",D4242&lt;&gt;"""",C4242=D4242),""gloss=figurative"",""""),IF(LEN(D4242)&lt;15,""figurative ছোট"",""""),IF(AND(I4242=""Positive"",REGEXMATCH(H4"&amp;"242,""মূর্খ|ভণ্ড|প্রতার|অলস|লোভ|স্বার্থ|অক্ষম|অযোগ্য|বোকা|কৃপণ|হিংস"")),""valence-target অমিল"",""""),IF(COUNTIF($B:$B,B4242)&gt;1,""ডুপ্লিকেট"",""""))"),"")</f>
        <v/>
      </c>
      <c r="Q4242" s="5" t="str">
        <f t="shared" si="1"/>
        <v>২ পরে</v>
      </c>
    </row>
    <row r="4243">
      <c r="A4243" s="4">
        <v>2059.0</v>
      </c>
      <c r="B4243" s="2" t="s">
        <v>17355</v>
      </c>
      <c r="C4243" s="2" t="s">
        <v>17356</v>
      </c>
      <c r="D4243" s="2" t="s">
        <v>17357</v>
      </c>
      <c r="E4243" s="2" t="s">
        <v>17358</v>
      </c>
      <c r="F4243" s="2" t="b">
        <v>1</v>
      </c>
      <c r="G4243" s="2" t="b">
        <v>0</v>
      </c>
      <c r="H4243" s="2" t="s">
        <v>1612</v>
      </c>
      <c r="I4243" s="2" t="s">
        <v>22</v>
      </c>
      <c r="J4243" s="2" t="s">
        <v>43</v>
      </c>
      <c r="K4243" s="2" t="s">
        <v>495</v>
      </c>
      <c r="L4243" s="13" t="s">
        <v>496</v>
      </c>
      <c r="M4243" s="2" t="s">
        <v>26</v>
      </c>
      <c r="N4243" s="29"/>
      <c r="O4243" s="29"/>
      <c r="P4243" s="5" t="str">
        <f>IFERROR(__xludf.DUMMYFUNCTION("TEXTJOIN("" | "",TRUE,IF(OR(D4243="""",E4243="""",I4243="""",J4243="""",H4243=""""),""ফাঁকা ঘর"",""""),IF(AND(C4243&lt;&gt;"""",D4243&lt;&gt;"""",C4243=D4243),""gloss=figurative"",""""),IF(LEN(D4243)&lt;15,""figurative ছোট"",""""),IF(AND(I4243=""Positive"",REGEXMATCH(H4"&amp;"243,""মূর্খ|ভণ্ড|প্রতার|অলস|লোভ|স্বার্থ|অক্ষম|অযোগ্য|বোকা|কৃপণ|হিংস"")),""valence-target অমিল"",""""),IF(COUNTIF($B:$B,B4243)&gt;1,""ডুপ্লিকেট"",""""))"),"")</f>
        <v/>
      </c>
      <c r="Q4243" s="5" t="str">
        <f t="shared" si="1"/>
        <v>২ পরে</v>
      </c>
    </row>
    <row r="4244">
      <c r="A4244" s="4">
        <v>2060.0</v>
      </c>
      <c r="B4244" s="2" t="s">
        <v>17359</v>
      </c>
      <c r="C4244" s="2" t="s">
        <v>17360</v>
      </c>
      <c r="D4244" s="2" t="s">
        <v>17361</v>
      </c>
      <c r="E4244" s="2" t="s">
        <v>17362</v>
      </c>
      <c r="F4244" s="2" t="b">
        <v>1</v>
      </c>
      <c r="G4244" s="2" t="b">
        <v>0</v>
      </c>
      <c r="H4244" s="2" t="s">
        <v>37</v>
      </c>
      <c r="I4244" s="2" t="s">
        <v>22</v>
      </c>
      <c r="J4244" s="2" t="s">
        <v>17363</v>
      </c>
      <c r="K4244" s="2" t="s">
        <v>495</v>
      </c>
      <c r="L4244" s="13" t="s">
        <v>496</v>
      </c>
      <c r="M4244" s="2" t="s">
        <v>26</v>
      </c>
      <c r="N4244" s="29"/>
      <c r="O4244" s="29"/>
      <c r="P4244" s="5" t="str">
        <f>IFERROR(__xludf.DUMMYFUNCTION("TEXTJOIN("" | "",TRUE,IF(OR(D4244="""",E4244="""",I4244="""",J4244="""",H4244=""""),""ফাঁকা ঘর"",""""),IF(AND(C4244&lt;&gt;"""",D4244&lt;&gt;"""",C4244=D4244),""gloss=figurative"",""""),IF(LEN(D4244)&lt;15,""figurative ছোট"",""""),IF(AND(I4244=""Positive"",REGEXMATCH(H4"&amp;"244,""মূর্খ|ভণ্ড|প্রতার|অলস|লোভ|স্বার্থ|অক্ষম|অযোগ্য|বোকা|কৃপণ|হিংস"")),""valence-target অমিল"",""""),IF(COUNTIF($B:$B,B4244)&gt;1,""ডুপ্লিকেট"",""""))"),"")</f>
        <v/>
      </c>
      <c r="Q4244" s="5" t="str">
        <f t="shared" si="1"/>
        <v>২ পরে</v>
      </c>
    </row>
    <row r="4245">
      <c r="A4245" s="4">
        <v>2061.0</v>
      </c>
      <c r="B4245" s="2" t="s">
        <v>17364</v>
      </c>
      <c r="C4245" s="2" t="s">
        <v>17365</v>
      </c>
      <c r="D4245" s="2" t="s">
        <v>17366</v>
      </c>
      <c r="E4245" s="2" t="s">
        <v>17367</v>
      </c>
      <c r="F4245" s="2" t="b">
        <v>1</v>
      </c>
      <c r="G4245" s="2" t="b">
        <v>0</v>
      </c>
      <c r="H4245" s="2" t="s">
        <v>37</v>
      </c>
      <c r="I4245" s="2" t="s">
        <v>22</v>
      </c>
      <c r="J4245" s="2" t="s">
        <v>17368</v>
      </c>
      <c r="K4245" s="2" t="s">
        <v>495</v>
      </c>
      <c r="L4245" s="13" t="s">
        <v>496</v>
      </c>
      <c r="M4245" s="2" t="s">
        <v>26</v>
      </c>
      <c r="N4245" s="29"/>
      <c r="O4245" s="29"/>
      <c r="P4245" s="5" t="str">
        <f>IFERROR(__xludf.DUMMYFUNCTION("TEXTJOIN("" | "",TRUE,IF(OR(D4245="""",E4245="""",I4245="""",J4245="""",H4245=""""),""ফাঁকা ঘর"",""""),IF(AND(C4245&lt;&gt;"""",D4245&lt;&gt;"""",C4245=D4245),""gloss=figurative"",""""),IF(LEN(D4245)&lt;15,""figurative ছোট"",""""),IF(AND(I4245=""Positive"",REGEXMATCH(H4"&amp;"245,""মূর্খ|ভণ্ড|প্রতার|অলস|লোভ|স্বার্থ|অক্ষম|অযোগ্য|বোকা|কৃপণ|হিংস"")),""valence-target অমিল"",""""),IF(COUNTIF($B:$B,B4245)&gt;1,""ডুপ্লিকেট"",""""))"),"")</f>
        <v/>
      </c>
      <c r="Q4245" s="5" t="str">
        <f t="shared" si="1"/>
        <v>২ পরে</v>
      </c>
    </row>
    <row r="4246">
      <c r="A4246" s="4">
        <v>2062.0</v>
      </c>
      <c r="B4246" s="2" t="s">
        <v>17369</v>
      </c>
      <c r="C4246" s="2" t="s">
        <v>17370</v>
      </c>
      <c r="D4246" s="2" t="s">
        <v>17371</v>
      </c>
      <c r="E4246" s="2" t="s">
        <v>17372</v>
      </c>
      <c r="F4246" s="2" t="b">
        <v>1</v>
      </c>
      <c r="G4246" s="2" t="b">
        <v>0</v>
      </c>
      <c r="H4246" s="2" t="s">
        <v>17373</v>
      </c>
      <c r="I4246" s="2" t="s">
        <v>22</v>
      </c>
      <c r="J4246" s="2" t="s">
        <v>43</v>
      </c>
      <c r="K4246" s="2" t="s">
        <v>495</v>
      </c>
      <c r="L4246" s="13" t="s">
        <v>496</v>
      </c>
      <c r="M4246" s="2" t="s">
        <v>26</v>
      </c>
      <c r="N4246" s="29"/>
      <c r="O4246" s="29"/>
      <c r="P4246" s="5" t="str">
        <f>IFERROR(__xludf.DUMMYFUNCTION("TEXTJOIN("" | "",TRUE,IF(OR(D4246="""",E4246="""",I4246="""",J4246="""",H4246=""""),""ফাঁকা ঘর"",""""),IF(AND(C4246&lt;&gt;"""",D4246&lt;&gt;"""",C4246=D4246),""gloss=figurative"",""""),IF(LEN(D4246)&lt;15,""figurative ছোট"",""""),IF(AND(I4246=""Positive"",REGEXMATCH(H4"&amp;"246,""মূর্খ|ভণ্ড|প্রতার|অলস|লোভ|স্বার্থ|অক্ষম|অযোগ্য|বোকা|কৃপণ|হিংস"")),""valence-target অমিল"",""""),IF(COUNTIF($B:$B,B4246)&gt;1,""ডুপ্লিকেট"",""""))"),"")</f>
        <v/>
      </c>
      <c r="Q4246" s="5" t="str">
        <f t="shared" si="1"/>
        <v>২ পরে</v>
      </c>
    </row>
    <row r="4247">
      <c r="A4247" s="4">
        <v>2063.0</v>
      </c>
      <c r="B4247" s="2" t="s">
        <v>17374</v>
      </c>
      <c r="C4247" s="2" t="s">
        <v>17375</v>
      </c>
      <c r="D4247" s="2" t="s">
        <v>17376</v>
      </c>
      <c r="E4247" s="2" t="s">
        <v>17377</v>
      </c>
      <c r="F4247" s="2" t="b">
        <v>1</v>
      </c>
      <c r="G4247" s="2" t="b">
        <v>0</v>
      </c>
      <c r="H4247" s="2" t="s">
        <v>3946</v>
      </c>
      <c r="I4247" s="2" t="s">
        <v>49</v>
      </c>
      <c r="J4247" s="2" t="s">
        <v>708</v>
      </c>
      <c r="K4247" s="2" t="s">
        <v>495</v>
      </c>
      <c r="L4247" s="13" t="s">
        <v>496</v>
      </c>
      <c r="M4247" s="2" t="s">
        <v>26</v>
      </c>
      <c r="N4247" s="29"/>
      <c r="O4247" s="29"/>
      <c r="P4247" s="5" t="str">
        <f>IFERROR(__xludf.DUMMYFUNCTION("TEXTJOIN("" | "",TRUE,IF(OR(D4247="""",E4247="""",I4247="""",J4247="""",H4247=""""),""ফাঁকা ঘর"",""""),IF(AND(C4247&lt;&gt;"""",D4247&lt;&gt;"""",C4247=D4247),""gloss=figurative"",""""),IF(LEN(D4247)&lt;15,""figurative ছোট"",""""),IF(AND(I4247=""Positive"",REGEXMATCH(H4"&amp;"247,""মূর্খ|ভণ্ড|প্রতার|অলস|লোভ|স্বার্থ|অক্ষম|অযোগ্য|বোকা|কৃপণ|হিংস"")),""valence-target অমিল"",""""),IF(COUNTIF($B:$B,B4247)&gt;1,""ডুপ্লিকেট"",""""))"),"")</f>
        <v/>
      </c>
      <c r="Q4247" s="5" t="str">
        <f t="shared" si="1"/>
        <v>২ পরে</v>
      </c>
    </row>
    <row r="4248">
      <c r="A4248" s="4">
        <v>2064.0</v>
      </c>
      <c r="B4248" s="2" t="s">
        <v>17378</v>
      </c>
      <c r="C4248" s="2" t="s">
        <v>17379</v>
      </c>
      <c r="D4248" s="2" t="s">
        <v>17380</v>
      </c>
      <c r="E4248" s="2" t="s">
        <v>17381</v>
      </c>
      <c r="F4248" s="2" t="b">
        <v>1</v>
      </c>
      <c r="G4248" s="2" t="b">
        <v>0</v>
      </c>
      <c r="H4248" s="2" t="s">
        <v>17382</v>
      </c>
      <c r="I4248" s="2" t="s">
        <v>49</v>
      </c>
      <c r="J4248" s="2" t="s">
        <v>708</v>
      </c>
      <c r="K4248" s="2" t="s">
        <v>495</v>
      </c>
      <c r="L4248" s="13" t="s">
        <v>496</v>
      </c>
      <c r="M4248" s="2" t="s">
        <v>26</v>
      </c>
      <c r="N4248" s="29"/>
      <c r="O4248" s="29"/>
      <c r="P4248" s="5" t="str">
        <f>IFERROR(__xludf.DUMMYFUNCTION("TEXTJOIN("" | "",TRUE,IF(OR(D4248="""",E4248="""",I4248="""",J4248="""",H4248=""""),""ফাঁকা ঘর"",""""),IF(AND(C4248&lt;&gt;"""",D4248&lt;&gt;"""",C4248=D4248),""gloss=figurative"",""""),IF(LEN(D4248)&lt;15,""figurative ছোট"",""""),IF(AND(I4248=""Positive"",REGEXMATCH(H4"&amp;"248,""মূর্খ|ভণ্ড|প্রতার|অলস|লোভ|স্বার্থ|অক্ষম|অযোগ্য|বোকা|কৃপণ|হিংস"")),""valence-target অমিল"",""""),IF(COUNTIF($B:$B,B4248)&gt;1,""ডুপ্লিকেট"",""""))"),"")</f>
        <v/>
      </c>
      <c r="Q4248" s="5" t="str">
        <f t="shared" si="1"/>
        <v>২ পরে</v>
      </c>
    </row>
    <row r="4249">
      <c r="A4249" s="4">
        <v>2065.0</v>
      </c>
      <c r="B4249" s="2" t="s">
        <v>17383</v>
      </c>
      <c r="C4249" s="2" t="s">
        <v>17384</v>
      </c>
      <c r="D4249" s="2" t="s">
        <v>17385</v>
      </c>
      <c r="E4249" s="2" t="s">
        <v>17386</v>
      </c>
      <c r="F4249" s="2" t="b">
        <v>1</v>
      </c>
      <c r="G4249" s="2" t="b">
        <v>0</v>
      </c>
      <c r="H4249" s="2" t="s">
        <v>482</v>
      </c>
      <c r="I4249" s="2" t="s">
        <v>22</v>
      </c>
      <c r="J4249" s="2" t="s">
        <v>2165</v>
      </c>
      <c r="K4249" s="2" t="s">
        <v>495</v>
      </c>
      <c r="L4249" s="13" t="s">
        <v>496</v>
      </c>
      <c r="M4249" s="2" t="s">
        <v>26</v>
      </c>
      <c r="N4249" s="29"/>
      <c r="O4249" s="29"/>
      <c r="P4249" s="5" t="str">
        <f>IFERROR(__xludf.DUMMYFUNCTION("TEXTJOIN("" | "",TRUE,IF(OR(D4249="""",E4249="""",I4249="""",J4249="""",H4249=""""),""ফাঁকা ঘর"",""""),IF(AND(C4249&lt;&gt;"""",D4249&lt;&gt;"""",C4249=D4249),""gloss=figurative"",""""),IF(LEN(D4249)&lt;15,""figurative ছোট"",""""),IF(AND(I4249=""Positive"",REGEXMATCH(H4"&amp;"249,""মূর্খ|ভণ্ড|প্রতার|অলস|লোভ|স্বার্থ|অক্ষম|অযোগ্য|বোকা|কৃপণ|হিংস"")),""valence-target অমিল"",""""),IF(COUNTIF($B:$B,B4249)&gt;1,""ডুপ্লিকেট"",""""))"),"")</f>
        <v/>
      </c>
      <c r="Q4249" s="5" t="str">
        <f t="shared" si="1"/>
        <v>২ পরে</v>
      </c>
    </row>
    <row r="4250">
      <c r="A4250" s="4">
        <v>2066.0</v>
      </c>
      <c r="B4250" s="2" t="s">
        <v>17387</v>
      </c>
      <c r="C4250" s="2" t="s">
        <v>17388</v>
      </c>
      <c r="D4250" s="2" t="s">
        <v>17389</v>
      </c>
      <c r="E4250" s="2" t="s">
        <v>17390</v>
      </c>
      <c r="F4250" s="2" t="b">
        <v>1</v>
      </c>
      <c r="G4250" s="2" t="b">
        <v>0</v>
      </c>
      <c r="H4250" s="2" t="s">
        <v>37</v>
      </c>
      <c r="I4250" s="2" t="s">
        <v>32</v>
      </c>
      <c r="J4250" s="2" t="s">
        <v>169</v>
      </c>
      <c r="K4250" s="2" t="s">
        <v>376</v>
      </c>
      <c r="L4250" s="2" t="s">
        <v>391</v>
      </c>
      <c r="M4250" s="2" t="s">
        <v>26</v>
      </c>
      <c r="N4250" s="29"/>
      <c r="O4250" s="29"/>
      <c r="P4250" s="5" t="str">
        <f>IFERROR(__xludf.DUMMYFUNCTION("TEXTJOIN("" | "",TRUE,IF(OR(D4250="""",E4250="""",I4250="""",J4250="""",H4250=""""),""ফাঁকা ঘর"",""""),IF(AND(C4250&lt;&gt;"""",D4250&lt;&gt;"""",C4250=D4250),""gloss=figurative"",""""),IF(LEN(D4250)&lt;15,""figurative ছোট"",""""),IF(AND(I4250=""Positive"",REGEXMATCH(H4"&amp;"250,""মূর্খ|ভণ্ড|প্রতার|অলস|লোভ|স্বার্থ|অক্ষম|অযোগ্য|বোকা|কৃপণ|হিংস"")),""valence-target অমিল"",""""),IF(COUNTIF($B:$B,B4250)&gt;1,""ডুপ্লিকেট"",""""))"),"")</f>
        <v/>
      </c>
      <c r="Q4250" s="5" t="str">
        <f t="shared" si="1"/>
        <v>২ পরে</v>
      </c>
    </row>
    <row r="4251">
      <c r="A4251" s="4">
        <v>2067.0</v>
      </c>
      <c r="B4251" s="2" t="s">
        <v>17391</v>
      </c>
      <c r="C4251" s="2" t="s">
        <v>17392</v>
      </c>
      <c r="D4251" s="2" t="s">
        <v>17393</v>
      </c>
      <c r="E4251" s="2" t="s">
        <v>17394</v>
      </c>
      <c r="F4251" s="2" t="b">
        <v>1</v>
      </c>
      <c r="G4251" s="2" t="b">
        <v>0</v>
      </c>
      <c r="H4251" s="2" t="s">
        <v>17317</v>
      </c>
      <c r="I4251" s="2" t="s">
        <v>49</v>
      </c>
      <c r="J4251" s="2" t="s">
        <v>636</v>
      </c>
      <c r="K4251" s="2" t="s">
        <v>376</v>
      </c>
      <c r="L4251" s="2" t="s">
        <v>391</v>
      </c>
      <c r="M4251" s="2" t="s">
        <v>26</v>
      </c>
      <c r="N4251" s="29"/>
      <c r="O4251" s="29"/>
      <c r="P4251" s="5" t="str">
        <f>IFERROR(__xludf.DUMMYFUNCTION("TEXTJOIN("" | "",TRUE,IF(OR(D4251="""",E4251="""",I4251="""",J4251="""",H4251=""""),""ফাঁকা ঘর"",""""),IF(AND(C4251&lt;&gt;"""",D4251&lt;&gt;"""",C4251=D4251),""gloss=figurative"",""""),IF(LEN(D4251)&lt;15,""figurative ছোট"",""""),IF(AND(I4251=""Positive"",REGEXMATCH(H4"&amp;"251,""মূর্খ|ভণ্ড|প্রতার|অলস|লোভ|স্বার্থ|অক্ষম|অযোগ্য|বোকা|কৃপণ|হিংস"")),""valence-target অমিল"",""""),IF(COUNTIF($B:$B,B4251)&gt;1,""ডুপ্লিকেট"",""""))"),"")</f>
        <v/>
      </c>
      <c r="Q4251" s="5" t="str">
        <f t="shared" si="1"/>
        <v>২ পরে</v>
      </c>
    </row>
    <row r="4252">
      <c r="A4252" s="4">
        <v>2068.0</v>
      </c>
      <c r="B4252" s="2" t="s">
        <v>17395</v>
      </c>
      <c r="C4252" s="2" t="s">
        <v>17396</v>
      </c>
      <c r="D4252" s="2" t="s">
        <v>17397</v>
      </c>
      <c r="E4252" s="2" t="s">
        <v>17398</v>
      </c>
      <c r="F4252" s="2" t="b">
        <v>1</v>
      </c>
      <c r="G4252" s="2" t="b">
        <v>1</v>
      </c>
      <c r="H4252" s="2" t="s">
        <v>17399</v>
      </c>
      <c r="I4252" s="2" t="s">
        <v>22</v>
      </c>
      <c r="J4252" s="2" t="s">
        <v>14971</v>
      </c>
      <c r="K4252" s="2" t="s">
        <v>376</v>
      </c>
      <c r="L4252" s="2" t="s">
        <v>391</v>
      </c>
      <c r="M4252" s="2" t="s">
        <v>26</v>
      </c>
      <c r="N4252" s="29"/>
      <c r="O4252" s="29"/>
      <c r="P4252" s="5" t="str">
        <f>IFERROR(__xludf.DUMMYFUNCTION("TEXTJOIN("" | "",TRUE,IF(OR(D4252="""",E4252="""",I4252="""",J4252="""",H4252=""""),""ফাঁকা ঘর"",""""),IF(AND(C4252&lt;&gt;"""",D4252&lt;&gt;"""",C4252=D4252),""gloss=figurative"",""""),IF(LEN(D4252)&lt;15,""figurative ছোট"",""""),IF(AND(I4252=""Positive"",REGEXMATCH(H4"&amp;"252,""মূর্খ|ভণ্ড|প্রতার|অলস|লোভ|স্বার্থ|অক্ষম|অযোগ্য|বোকা|কৃপণ|হিংস"")),""valence-target অমিল"",""""),IF(COUNTIF($B:$B,B4252)&gt;1,""ডুপ্লিকেট"",""""))"),"")</f>
        <v/>
      </c>
      <c r="Q4252" s="5" t="str">
        <f t="shared" si="1"/>
        <v>২ পরে</v>
      </c>
    </row>
    <row r="4253">
      <c r="A4253" s="4">
        <v>2070.0</v>
      </c>
      <c r="B4253" s="2" t="s">
        <v>17400</v>
      </c>
      <c r="C4253" s="2" t="s">
        <v>17401</v>
      </c>
      <c r="D4253" s="2" t="s">
        <v>17402</v>
      </c>
      <c r="E4253" s="2" t="s">
        <v>17403</v>
      </c>
      <c r="F4253" s="2" t="b">
        <v>1</v>
      </c>
      <c r="G4253" s="2" t="b">
        <v>0</v>
      </c>
      <c r="H4253" s="2" t="s">
        <v>37</v>
      </c>
      <c r="I4253" s="2" t="s">
        <v>32</v>
      </c>
      <c r="J4253" s="2" t="s">
        <v>169</v>
      </c>
      <c r="K4253" s="2" t="s">
        <v>376</v>
      </c>
      <c r="L4253" s="2" t="s">
        <v>391</v>
      </c>
      <c r="M4253" s="2" t="s">
        <v>26</v>
      </c>
      <c r="N4253" s="29"/>
      <c r="O4253" s="29"/>
      <c r="P4253" s="5" t="str">
        <f>IFERROR(__xludf.DUMMYFUNCTION("TEXTJOIN("" | "",TRUE,IF(OR(D4253="""",E4253="""",I4253="""",J4253="""",H4253=""""),""ফাঁকা ঘর"",""""),IF(AND(C4253&lt;&gt;"""",D4253&lt;&gt;"""",C4253=D4253),""gloss=figurative"",""""),IF(LEN(D4253)&lt;15,""figurative ছোট"",""""),IF(AND(I4253=""Positive"",REGEXMATCH(H4"&amp;"253,""মূর্খ|ভণ্ড|প্রতার|অলস|লোভ|স্বার্থ|অক্ষম|অযোগ্য|বোকা|কৃপণ|হিংস"")),""valence-target অমিল"",""""),IF(COUNTIF($B:$B,B4253)&gt;1,""ডুপ্লিকেট"",""""))"),"")</f>
        <v/>
      </c>
      <c r="Q4253" s="5" t="str">
        <f t="shared" si="1"/>
        <v>২ পরে</v>
      </c>
    </row>
    <row r="4254">
      <c r="A4254" s="4">
        <v>2071.0</v>
      </c>
      <c r="B4254" s="2" t="s">
        <v>17404</v>
      </c>
      <c r="C4254" s="2" t="s">
        <v>17405</v>
      </c>
      <c r="D4254" s="2" t="s">
        <v>17406</v>
      </c>
      <c r="E4254" s="2" t="s">
        <v>17407</v>
      </c>
      <c r="F4254" s="2" t="b">
        <v>1</v>
      </c>
      <c r="G4254" s="2" t="b">
        <v>0</v>
      </c>
      <c r="H4254" s="2" t="s">
        <v>17038</v>
      </c>
      <c r="I4254" s="2" t="s">
        <v>22</v>
      </c>
      <c r="J4254" s="2" t="s">
        <v>225</v>
      </c>
      <c r="K4254" s="2" t="s">
        <v>376</v>
      </c>
      <c r="L4254" s="2" t="s">
        <v>391</v>
      </c>
      <c r="M4254" s="2" t="s">
        <v>26</v>
      </c>
      <c r="N4254" s="29"/>
      <c r="O4254" s="29"/>
      <c r="P4254" s="5" t="str">
        <f>IFERROR(__xludf.DUMMYFUNCTION("TEXTJOIN("" | "",TRUE,IF(OR(D4254="""",E4254="""",I4254="""",J4254="""",H4254=""""),""ফাঁকা ঘর"",""""),IF(AND(C4254&lt;&gt;"""",D4254&lt;&gt;"""",C4254=D4254),""gloss=figurative"",""""),IF(LEN(D4254)&lt;15,""figurative ছোট"",""""),IF(AND(I4254=""Positive"",REGEXMATCH(H4"&amp;"254,""মূর্খ|ভণ্ড|প্রতার|অলস|লোভ|স্বার্থ|অক্ষম|অযোগ্য|বোকা|কৃপণ|হিংস"")),""valence-target অমিল"",""""),IF(COUNTIF($B:$B,B4254)&gt;1,""ডুপ্লিকেট"",""""))"),"")</f>
        <v/>
      </c>
      <c r="Q4254" s="5" t="str">
        <f t="shared" si="1"/>
        <v>২ পরে</v>
      </c>
    </row>
    <row r="4255">
      <c r="A4255" s="4">
        <v>2072.0</v>
      </c>
      <c r="B4255" s="2" t="s">
        <v>17408</v>
      </c>
      <c r="C4255" s="2" t="s">
        <v>17264</v>
      </c>
      <c r="D4255" s="2" t="s">
        <v>17409</v>
      </c>
      <c r="E4255" s="2" t="s">
        <v>17410</v>
      </c>
      <c r="F4255" s="2" t="b">
        <v>1</v>
      </c>
      <c r="G4255" s="2" t="b">
        <v>0</v>
      </c>
      <c r="H4255" s="2" t="s">
        <v>17267</v>
      </c>
      <c r="I4255" s="2" t="s">
        <v>22</v>
      </c>
      <c r="J4255" s="2" t="s">
        <v>43</v>
      </c>
      <c r="K4255" s="2" t="s">
        <v>376</v>
      </c>
      <c r="L4255" s="2" t="s">
        <v>391</v>
      </c>
      <c r="M4255" s="2" t="s">
        <v>26</v>
      </c>
      <c r="N4255" s="29"/>
      <c r="O4255" s="29"/>
      <c r="P4255" s="5" t="str">
        <f>IFERROR(__xludf.DUMMYFUNCTION("TEXTJOIN("" | "",TRUE,IF(OR(D4255="""",E4255="""",I4255="""",J4255="""",H4255=""""),""ফাঁকা ঘর"",""""),IF(AND(C4255&lt;&gt;"""",D4255&lt;&gt;"""",C4255=D4255),""gloss=figurative"",""""),IF(LEN(D4255)&lt;15,""figurative ছোট"",""""),IF(AND(I4255=""Positive"",REGEXMATCH(H4"&amp;"255,""মূর্খ|ভণ্ড|প্রতার|অলস|লোভ|স্বার্থ|অক্ষম|অযোগ্য|বোকা|কৃপণ|হিংস"")),""valence-target অমিল"",""""),IF(COUNTIF($B:$B,B4255)&gt;1,""ডুপ্লিকেট"",""""))"),"")</f>
        <v/>
      </c>
      <c r="Q4255" s="5" t="str">
        <f t="shared" si="1"/>
        <v>২ পরে</v>
      </c>
    </row>
    <row r="4256">
      <c r="A4256" s="4">
        <v>2073.0</v>
      </c>
      <c r="B4256" s="2" t="s">
        <v>17411</v>
      </c>
      <c r="C4256" s="2" t="s">
        <v>17264</v>
      </c>
      <c r="D4256" s="2" t="s">
        <v>17412</v>
      </c>
      <c r="E4256" s="2" t="s">
        <v>17413</v>
      </c>
      <c r="F4256" s="2" t="b">
        <v>1</v>
      </c>
      <c r="G4256" s="2" t="b">
        <v>0</v>
      </c>
      <c r="H4256" s="2" t="s">
        <v>17414</v>
      </c>
      <c r="I4256" s="2" t="s">
        <v>22</v>
      </c>
      <c r="J4256" s="2" t="s">
        <v>43</v>
      </c>
      <c r="K4256" s="2" t="s">
        <v>376</v>
      </c>
      <c r="L4256" s="2" t="s">
        <v>391</v>
      </c>
      <c r="M4256" s="2" t="s">
        <v>26</v>
      </c>
      <c r="N4256" s="29"/>
      <c r="O4256" s="29"/>
      <c r="P4256" s="5" t="str">
        <f>IFERROR(__xludf.DUMMYFUNCTION("TEXTJOIN("" | "",TRUE,IF(OR(D4256="""",E4256="""",I4256="""",J4256="""",H4256=""""),""ফাঁকা ঘর"",""""),IF(AND(C4256&lt;&gt;"""",D4256&lt;&gt;"""",C4256=D4256),""gloss=figurative"",""""),IF(LEN(D4256)&lt;15,""figurative ছোট"",""""),IF(AND(I4256=""Positive"",REGEXMATCH(H4"&amp;"256,""মূর্খ|ভণ্ড|প্রতার|অলস|লোভ|স্বার্থ|অক্ষম|অযোগ্য|বোকা|কৃপণ|হিংস"")),""valence-target অমিল"",""""),IF(COUNTIF($B:$B,B4256)&gt;1,""ডুপ্লিকেট"",""""))"),"")</f>
        <v/>
      </c>
      <c r="Q4256" s="5" t="str">
        <f t="shared" si="1"/>
        <v>২ পরে</v>
      </c>
    </row>
    <row r="4257">
      <c r="A4257" s="4">
        <v>2074.0</v>
      </c>
      <c r="B4257" s="2" t="s">
        <v>17415</v>
      </c>
      <c r="C4257" s="2" t="s">
        <v>17269</v>
      </c>
      <c r="D4257" s="2" t="s">
        <v>17416</v>
      </c>
      <c r="E4257" s="2" t="s">
        <v>17271</v>
      </c>
      <c r="F4257" s="2" t="b">
        <v>1</v>
      </c>
      <c r="G4257" s="2" t="b">
        <v>0</v>
      </c>
      <c r="H4257" s="2" t="s">
        <v>37</v>
      </c>
      <c r="I4257" s="2" t="s">
        <v>49</v>
      </c>
      <c r="J4257" s="2" t="s">
        <v>708</v>
      </c>
      <c r="K4257" s="2" t="s">
        <v>376</v>
      </c>
      <c r="L4257" s="2" t="s">
        <v>391</v>
      </c>
      <c r="M4257" s="2" t="s">
        <v>26</v>
      </c>
      <c r="N4257" s="29"/>
      <c r="O4257" s="29"/>
      <c r="P4257" s="5" t="str">
        <f>IFERROR(__xludf.DUMMYFUNCTION("TEXTJOIN("" | "",TRUE,IF(OR(D4257="""",E4257="""",I4257="""",J4257="""",H4257=""""),""ফাঁকা ঘর"",""""),IF(AND(C4257&lt;&gt;"""",D4257&lt;&gt;"""",C4257=D4257),""gloss=figurative"",""""),IF(LEN(D4257)&lt;15,""figurative ছোট"",""""),IF(AND(I4257=""Positive"",REGEXMATCH(H4"&amp;"257,""মূর্খ|ভণ্ড|প্রতার|অলস|লোভ|স্বার্থ|অক্ষম|অযোগ্য|বোকা|কৃপণ|হিংস"")),""valence-target অমিল"",""""),IF(COUNTIF($B:$B,B4257)&gt;1,""ডুপ্লিকেট"",""""))"),"")</f>
        <v/>
      </c>
      <c r="Q4257" s="5" t="str">
        <f t="shared" si="1"/>
        <v>২ পরে</v>
      </c>
    </row>
    <row r="4258">
      <c r="A4258" s="4">
        <v>2075.0</v>
      </c>
      <c r="B4258" s="2" t="s">
        <v>17417</v>
      </c>
      <c r="C4258" s="2" t="s">
        <v>17418</v>
      </c>
      <c r="D4258" s="2" t="s">
        <v>17419</v>
      </c>
      <c r="E4258" s="2" t="s">
        <v>17420</v>
      </c>
      <c r="F4258" s="2" t="b">
        <v>1</v>
      </c>
      <c r="G4258" s="2" t="b">
        <v>0</v>
      </c>
      <c r="H4258" s="2" t="s">
        <v>17421</v>
      </c>
      <c r="I4258" s="2" t="s">
        <v>22</v>
      </c>
      <c r="J4258" s="2" t="s">
        <v>1239</v>
      </c>
      <c r="K4258" s="2" t="s">
        <v>376</v>
      </c>
      <c r="L4258" s="2" t="s">
        <v>391</v>
      </c>
      <c r="M4258" s="2" t="s">
        <v>26</v>
      </c>
      <c r="N4258" s="29"/>
      <c r="O4258" s="29"/>
      <c r="P4258" s="5" t="str">
        <f>IFERROR(__xludf.DUMMYFUNCTION("TEXTJOIN("" | "",TRUE,IF(OR(D4258="""",E4258="""",I4258="""",J4258="""",H4258=""""),""ফাঁকা ঘর"",""""),IF(AND(C4258&lt;&gt;"""",D4258&lt;&gt;"""",C4258=D4258),""gloss=figurative"",""""),IF(LEN(D4258)&lt;15,""figurative ছোট"",""""),IF(AND(I4258=""Positive"",REGEXMATCH(H4"&amp;"258,""মূর্খ|ভণ্ড|প্রতার|অলস|লোভ|স্বার্থ|অক্ষম|অযোগ্য|বোকা|কৃপণ|হিংস"")),""valence-target অমিল"",""""),IF(COUNTIF($B:$B,B4258)&gt;1,""ডুপ্লিকেট"",""""))"),"")</f>
        <v/>
      </c>
      <c r="Q4258" s="5" t="str">
        <f t="shared" si="1"/>
        <v>২ পরে</v>
      </c>
    </row>
    <row r="4259">
      <c r="A4259" s="4">
        <v>2076.0</v>
      </c>
      <c r="B4259" s="2" t="s">
        <v>17422</v>
      </c>
      <c r="C4259" s="2" t="s">
        <v>17035</v>
      </c>
      <c r="D4259" s="2" t="s">
        <v>17423</v>
      </c>
      <c r="E4259" s="2" t="s">
        <v>17424</v>
      </c>
      <c r="F4259" s="2" t="b">
        <v>1</v>
      </c>
      <c r="G4259" s="2" t="b">
        <v>0</v>
      </c>
      <c r="H4259" s="2" t="s">
        <v>17038</v>
      </c>
      <c r="I4259" s="2" t="s">
        <v>22</v>
      </c>
      <c r="J4259" s="2" t="s">
        <v>225</v>
      </c>
      <c r="K4259" s="2" t="s">
        <v>376</v>
      </c>
      <c r="L4259" s="2" t="s">
        <v>391</v>
      </c>
      <c r="M4259" s="2" t="s">
        <v>26</v>
      </c>
      <c r="N4259" s="29"/>
      <c r="O4259" s="29"/>
      <c r="P4259" s="5" t="str">
        <f>IFERROR(__xludf.DUMMYFUNCTION("TEXTJOIN("" | "",TRUE,IF(OR(D4259="""",E4259="""",I4259="""",J4259="""",H4259=""""),""ফাঁকা ঘর"",""""),IF(AND(C4259&lt;&gt;"""",D4259&lt;&gt;"""",C4259=D4259),""gloss=figurative"",""""),IF(LEN(D4259)&lt;15,""figurative ছোট"",""""),IF(AND(I4259=""Positive"",REGEXMATCH(H4"&amp;"259,""মূর্খ|ভণ্ড|প্রতার|অলস|লোভ|স্বার্থ|অক্ষম|অযোগ্য|বোকা|কৃপণ|হিংস"")),""valence-target অমিল"",""""),IF(COUNTIF($B:$B,B4259)&gt;1,""ডুপ্লিকেট"",""""))"),"")</f>
        <v/>
      </c>
      <c r="Q4259" s="5" t="str">
        <f t="shared" si="1"/>
        <v>২ পরে</v>
      </c>
    </row>
    <row r="4260">
      <c r="A4260" s="4">
        <v>2077.0</v>
      </c>
      <c r="B4260" s="2" t="s">
        <v>17425</v>
      </c>
      <c r="C4260" s="2" t="s">
        <v>17426</v>
      </c>
      <c r="D4260" s="2" t="s">
        <v>17427</v>
      </c>
      <c r="E4260" s="2" t="s">
        <v>17428</v>
      </c>
      <c r="F4260" s="2" t="b">
        <v>1</v>
      </c>
      <c r="G4260" s="2" t="b">
        <v>0</v>
      </c>
      <c r="H4260" s="2" t="s">
        <v>17429</v>
      </c>
      <c r="I4260" s="2" t="s">
        <v>22</v>
      </c>
      <c r="J4260" s="2" t="s">
        <v>640</v>
      </c>
      <c r="K4260" s="2" t="s">
        <v>376</v>
      </c>
      <c r="L4260" s="2" t="s">
        <v>391</v>
      </c>
      <c r="M4260" s="2" t="s">
        <v>26</v>
      </c>
      <c r="N4260" s="29"/>
      <c r="O4260" s="29"/>
      <c r="P4260" s="5" t="str">
        <f>IFERROR(__xludf.DUMMYFUNCTION("TEXTJOIN("" | "",TRUE,IF(OR(D4260="""",E4260="""",I4260="""",J4260="""",H4260=""""),""ফাঁকা ঘর"",""""),IF(AND(C4260&lt;&gt;"""",D4260&lt;&gt;"""",C4260=D4260),""gloss=figurative"",""""),IF(LEN(D4260)&lt;15,""figurative ছোট"",""""),IF(AND(I4260=""Positive"",REGEXMATCH(H4"&amp;"260,""মূর্খ|ভণ্ড|প্রতার|অলস|লোভ|স্বার্থ|অক্ষম|অযোগ্য|বোকা|কৃপণ|হিংস"")),""valence-target অমিল"",""""),IF(COUNTIF($B:$B,B4260)&gt;1,""ডুপ্লিকেট"",""""))"),"")</f>
        <v/>
      </c>
      <c r="Q4260" s="5" t="str">
        <f t="shared" si="1"/>
        <v>২ পরে</v>
      </c>
    </row>
    <row r="4261">
      <c r="A4261" s="4">
        <v>2080.0</v>
      </c>
      <c r="B4261" s="2" t="s">
        <v>17430</v>
      </c>
      <c r="C4261" s="2" t="s">
        <v>17431</v>
      </c>
      <c r="D4261" s="2" t="s">
        <v>17432</v>
      </c>
      <c r="E4261" s="2" t="s">
        <v>17433</v>
      </c>
      <c r="F4261" s="2" t="b">
        <v>1</v>
      </c>
      <c r="G4261" s="2" t="b">
        <v>1</v>
      </c>
      <c r="H4261" s="2" t="s">
        <v>17434</v>
      </c>
      <c r="I4261" s="2" t="s">
        <v>22</v>
      </c>
      <c r="J4261" s="2" t="s">
        <v>17435</v>
      </c>
      <c r="K4261" s="2" t="s">
        <v>376</v>
      </c>
      <c r="L4261" s="2" t="s">
        <v>391</v>
      </c>
      <c r="M4261" s="2" t="s">
        <v>26</v>
      </c>
      <c r="N4261" s="29"/>
      <c r="O4261" s="29"/>
      <c r="P4261" s="5" t="str">
        <f>IFERROR(__xludf.DUMMYFUNCTION("TEXTJOIN("" | "",TRUE,IF(OR(D4261="""",E4261="""",I4261="""",J4261="""",H4261=""""),""ফাঁকা ঘর"",""""),IF(AND(C4261&lt;&gt;"""",D4261&lt;&gt;"""",C4261=D4261),""gloss=figurative"",""""),IF(LEN(D4261)&lt;15,""figurative ছোট"",""""),IF(AND(I4261=""Positive"",REGEXMATCH(H4"&amp;"261,""মূর্খ|ভণ্ড|প্রতার|অলস|লোভ|স্বার্থ|অক্ষম|অযোগ্য|বোকা|কৃপণ|হিংস"")),""valence-target অমিল"",""""),IF(COUNTIF($B:$B,B4261)&gt;1,""ডুপ্লিকেট"",""""))"),"")</f>
        <v/>
      </c>
      <c r="Q4261" s="5" t="str">
        <f t="shared" si="1"/>
        <v>২ পরে</v>
      </c>
    </row>
    <row r="4262">
      <c r="A4262" s="4">
        <v>2081.0</v>
      </c>
      <c r="B4262" s="2" t="s">
        <v>17436</v>
      </c>
      <c r="C4262" s="2" t="s">
        <v>17437</v>
      </c>
      <c r="D4262" s="2" t="s">
        <v>17438</v>
      </c>
      <c r="E4262" s="2" t="s">
        <v>17439</v>
      </c>
      <c r="F4262" s="2" t="b">
        <v>1</v>
      </c>
      <c r="G4262" s="2" t="b">
        <v>0</v>
      </c>
      <c r="H4262" s="2" t="s">
        <v>17289</v>
      </c>
      <c r="I4262" s="2" t="s">
        <v>22</v>
      </c>
      <c r="J4262" s="2" t="s">
        <v>43</v>
      </c>
      <c r="K4262" s="2" t="s">
        <v>495</v>
      </c>
      <c r="L4262" s="13" t="s">
        <v>496</v>
      </c>
      <c r="M4262" s="2" t="s">
        <v>26</v>
      </c>
      <c r="N4262" s="29"/>
      <c r="O4262" s="29"/>
      <c r="P4262" s="5" t="str">
        <f>IFERROR(__xludf.DUMMYFUNCTION("TEXTJOIN("" | "",TRUE,IF(OR(D4262="""",E4262="""",I4262="""",J4262="""",H4262=""""),""ফাঁকা ঘর"",""""),IF(AND(C4262&lt;&gt;"""",D4262&lt;&gt;"""",C4262=D4262),""gloss=figurative"",""""),IF(LEN(D4262)&lt;15,""figurative ছোট"",""""),IF(AND(I4262=""Positive"",REGEXMATCH(H4"&amp;"262,""মূর্খ|ভণ্ড|প্রতার|অলস|লোভ|স্বার্থ|অক্ষম|অযোগ্য|বোকা|কৃপণ|হিংস"")),""valence-target অমিল"",""""),IF(COUNTIF($B:$B,B4262)&gt;1,""ডুপ্লিকেট"",""""))"),"")</f>
        <v/>
      </c>
      <c r="Q4262" s="5" t="str">
        <f t="shared" si="1"/>
        <v>২ পরে</v>
      </c>
    </row>
    <row r="4263">
      <c r="A4263" s="4">
        <v>2082.0</v>
      </c>
      <c r="B4263" s="2" t="s">
        <v>17440</v>
      </c>
      <c r="C4263" s="2" t="s">
        <v>17441</v>
      </c>
      <c r="D4263" s="2" t="s">
        <v>17442</v>
      </c>
      <c r="E4263" s="2" t="s">
        <v>17443</v>
      </c>
      <c r="F4263" s="2" t="b">
        <v>1</v>
      </c>
      <c r="G4263" s="2" t="b">
        <v>0</v>
      </c>
      <c r="H4263" s="2" t="s">
        <v>17444</v>
      </c>
      <c r="I4263" s="2" t="s">
        <v>22</v>
      </c>
      <c r="J4263" s="2" t="s">
        <v>10356</v>
      </c>
      <c r="K4263" s="2" t="s">
        <v>495</v>
      </c>
      <c r="L4263" s="13" t="s">
        <v>496</v>
      </c>
      <c r="M4263" s="2" t="s">
        <v>26</v>
      </c>
      <c r="N4263" s="29"/>
      <c r="O4263" s="29"/>
      <c r="P4263" s="5" t="str">
        <f>IFERROR(__xludf.DUMMYFUNCTION("TEXTJOIN("" | "",TRUE,IF(OR(D4263="""",E4263="""",I4263="""",J4263="""",H4263=""""),""ফাঁকা ঘর"",""""),IF(AND(C4263&lt;&gt;"""",D4263&lt;&gt;"""",C4263=D4263),""gloss=figurative"",""""),IF(LEN(D4263)&lt;15,""figurative ছোট"",""""),IF(AND(I4263=""Positive"",REGEXMATCH(H4"&amp;"263,""মূর্খ|ভণ্ড|প্রতার|অলস|লোভ|স্বার্থ|অক্ষম|অযোগ্য|বোকা|কৃপণ|হিংস"")),""valence-target অমিল"",""""),IF(COUNTIF($B:$B,B4263)&gt;1,""ডুপ্লিকেট"",""""))"),"")</f>
        <v/>
      </c>
      <c r="Q4263" s="5" t="str">
        <f t="shared" si="1"/>
        <v>২ পরে</v>
      </c>
    </row>
    <row r="4264">
      <c r="A4264" s="4">
        <v>2083.0</v>
      </c>
      <c r="B4264" s="2" t="s">
        <v>17445</v>
      </c>
      <c r="C4264" s="2" t="s">
        <v>17446</v>
      </c>
      <c r="D4264" s="2" t="s">
        <v>17447</v>
      </c>
      <c r="E4264" s="2" t="s">
        <v>17448</v>
      </c>
      <c r="F4264" s="2" t="b">
        <v>1</v>
      </c>
      <c r="G4264" s="2" t="b">
        <v>0</v>
      </c>
      <c r="H4264" s="2" t="s">
        <v>3946</v>
      </c>
      <c r="I4264" s="2" t="s">
        <v>49</v>
      </c>
      <c r="J4264" s="2" t="s">
        <v>636</v>
      </c>
      <c r="K4264" s="2" t="s">
        <v>495</v>
      </c>
      <c r="L4264" s="13" t="s">
        <v>496</v>
      </c>
      <c r="M4264" s="2" t="s">
        <v>26</v>
      </c>
      <c r="N4264" s="29"/>
      <c r="O4264" s="29"/>
      <c r="P4264" s="5" t="str">
        <f>IFERROR(__xludf.DUMMYFUNCTION("TEXTJOIN("" | "",TRUE,IF(OR(D4264="""",E4264="""",I4264="""",J4264="""",H4264=""""),""ফাঁকা ঘর"",""""),IF(AND(C4264&lt;&gt;"""",D4264&lt;&gt;"""",C4264=D4264),""gloss=figurative"",""""),IF(LEN(D4264)&lt;15,""figurative ছোট"",""""),IF(AND(I4264=""Positive"",REGEXMATCH(H4"&amp;"264,""মূর্খ|ভণ্ড|প্রতার|অলস|লোভ|স্বার্থ|অক্ষম|অযোগ্য|বোকা|কৃপণ|হিংস"")),""valence-target অমিল"",""""),IF(COUNTIF($B:$B,B4264)&gt;1,""ডুপ্লিকেট"",""""))"),"")</f>
        <v/>
      </c>
      <c r="Q4264" s="5" t="str">
        <f t="shared" si="1"/>
        <v>২ পরে</v>
      </c>
    </row>
    <row r="4265">
      <c r="A4265" s="4">
        <v>2084.0</v>
      </c>
      <c r="B4265" s="2" t="s">
        <v>17449</v>
      </c>
      <c r="C4265" s="2" t="s">
        <v>17450</v>
      </c>
      <c r="D4265" s="2" t="s">
        <v>17451</v>
      </c>
      <c r="E4265" s="2" t="s">
        <v>17452</v>
      </c>
      <c r="F4265" s="2" t="b">
        <v>1</v>
      </c>
      <c r="G4265" s="2" t="b">
        <v>0</v>
      </c>
      <c r="H4265" s="2" t="s">
        <v>978</v>
      </c>
      <c r="I4265" s="2" t="s">
        <v>22</v>
      </c>
      <c r="J4265" s="2" t="s">
        <v>43</v>
      </c>
      <c r="K4265" s="2" t="s">
        <v>495</v>
      </c>
      <c r="L4265" s="13" t="s">
        <v>496</v>
      </c>
      <c r="M4265" s="2" t="s">
        <v>26</v>
      </c>
      <c r="N4265" s="29"/>
      <c r="O4265" s="29"/>
      <c r="P4265" s="5" t="str">
        <f>IFERROR(__xludf.DUMMYFUNCTION("TEXTJOIN("" | "",TRUE,IF(OR(D4265="""",E4265="""",I4265="""",J4265="""",H4265=""""),""ফাঁকা ঘর"",""""),IF(AND(C4265&lt;&gt;"""",D4265&lt;&gt;"""",C4265=D4265),""gloss=figurative"",""""),IF(LEN(D4265)&lt;15,""figurative ছোট"",""""),IF(AND(I4265=""Positive"",REGEXMATCH(H4"&amp;"265,""মূর্খ|ভণ্ড|প্রতার|অলস|লোভ|স্বার্থ|অক্ষম|অযোগ্য|বোকা|কৃপণ|হিংস"")),""valence-target অমিল"",""""),IF(COUNTIF($B:$B,B4265)&gt;1,""ডুপ্লিকেট"",""""))"),"")</f>
        <v/>
      </c>
      <c r="Q4265" s="5" t="str">
        <f t="shared" si="1"/>
        <v>২ পরে</v>
      </c>
    </row>
    <row r="4266">
      <c r="A4266" s="4">
        <v>2085.0</v>
      </c>
      <c r="B4266" s="2" t="s">
        <v>17453</v>
      </c>
      <c r="C4266" s="2" t="s">
        <v>17454</v>
      </c>
      <c r="D4266" s="2" t="s">
        <v>17455</v>
      </c>
      <c r="E4266" s="2" t="s">
        <v>17456</v>
      </c>
      <c r="F4266" s="2" t="b">
        <v>1</v>
      </c>
      <c r="G4266" s="2" t="b">
        <v>0</v>
      </c>
      <c r="H4266" s="2" t="s">
        <v>17322</v>
      </c>
      <c r="I4266" s="2" t="s">
        <v>22</v>
      </c>
      <c r="J4266" s="2" t="s">
        <v>43</v>
      </c>
      <c r="K4266" s="2" t="s">
        <v>495</v>
      </c>
      <c r="L4266" s="13" t="s">
        <v>496</v>
      </c>
      <c r="M4266" s="2" t="s">
        <v>26</v>
      </c>
      <c r="N4266" s="29"/>
      <c r="O4266" s="29"/>
      <c r="P4266" s="5" t="str">
        <f>IFERROR(__xludf.DUMMYFUNCTION("TEXTJOIN("" | "",TRUE,IF(OR(D4266="""",E4266="""",I4266="""",J4266="""",H4266=""""),""ফাঁকা ঘর"",""""),IF(AND(C4266&lt;&gt;"""",D4266&lt;&gt;"""",C4266=D4266),""gloss=figurative"",""""),IF(LEN(D4266)&lt;15,""figurative ছোট"",""""),IF(AND(I4266=""Positive"",REGEXMATCH(H4"&amp;"266,""মূর্খ|ভণ্ড|প্রতার|অলস|লোভ|স্বার্থ|অক্ষম|অযোগ্য|বোকা|কৃপণ|হিংস"")),""valence-target অমিল"",""""),IF(COUNTIF($B:$B,B4266)&gt;1,""ডুপ্লিকেট"",""""))"),"")</f>
        <v/>
      </c>
      <c r="Q4266" s="5" t="str">
        <f t="shared" si="1"/>
        <v>২ পরে</v>
      </c>
    </row>
    <row r="4267">
      <c r="A4267" s="4">
        <v>2086.0</v>
      </c>
      <c r="B4267" s="2" t="s">
        <v>17457</v>
      </c>
      <c r="C4267" s="2" t="s">
        <v>17458</v>
      </c>
      <c r="D4267" s="2" t="s">
        <v>17459</v>
      </c>
      <c r="E4267" s="2" t="s">
        <v>17460</v>
      </c>
      <c r="F4267" s="2" t="b">
        <v>1</v>
      </c>
      <c r="G4267" s="2" t="b">
        <v>0</v>
      </c>
      <c r="H4267" s="2" t="s">
        <v>246</v>
      </c>
      <c r="I4267" s="2" t="s">
        <v>22</v>
      </c>
      <c r="J4267" s="2" t="s">
        <v>43</v>
      </c>
      <c r="K4267" s="2" t="s">
        <v>495</v>
      </c>
      <c r="L4267" s="13" t="s">
        <v>496</v>
      </c>
      <c r="M4267" s="2" t="s">
        <v>26</v>
      </c>
      <c r="N4267" s="29"/>
      <c r="O4267" s="29"/>
      <c r="P4267" s="5" t="str">
        <f>IFERROR(__xludf.DUMMYFUNCTION("TEXTJOIN("" | "",TRUE,IF(OR(D4267="""",E4267="""",I4267="""",J4267="""",H4267=""""),""ফাঁকা ঘর"",""""),IF(AND(C4267&lt;&gt;"""",D4267&lt;&gt;"""",C4267=D4267),""gloss=figurative"",""""),IF(LEN(D4267)&lt;15,""figurative ছোট"",""""),IF(AND(I4267=""Positive"",REGEXMATCH(H4"&amp;"267,""মূর্খ|ভণ্ড|প্রতার|অলস|লোভ|স্বার্থ|অক্ষম|অযোগ্য|বোকা|কৃপণ|হিংস"")),""valence-target অমিল"",""""),IF(COUNTIF($B:$B,B4267)&gt;1,""ডুপ্লিকেট"",""""))"),"")</f>
        <v/>
      </c>
      <c r="Q4267" s="5" t="str">
        <f t="shared" si="1"/>
        <v>২ পরে</v>
      </c>
    </row>
    <row r="4268">
      <c r="A4268" s="4">
        <v>2087.0</v>
      </c>
      <c r="B4268" s="2" t="s">
        <v>17461</v>
      </c>
      <c r="C4268" s="2" t="s">
        <v>17462</v>
      </c>
      <c r="D4268" s="2" t="s">
        <v>17463</v>
      </c>
      <c r="E4268" s="2" t="s">
        <v>17464</v>
      </c>
      <c r="F4268" s="2" t="b">
        <v>1</v>
      </c>
      <c r="G4268" s="2" t="b">
        <v>0</v>
      </c>
      <c r="H4268" s="2" t="s">
        <v>1985</v>
      </c>
      <c r="I4268" s="2" t="s">
        <v>22</v>
      </c>
      <c r="J4268" s="2" t="s">
        <v>43</v>
      </c>
      <c r="K4268" s="2" t="s">
        <v>495</v>
      </c>
      <c r="L4268" s="13" t="s">
        <v>496</v>
      </c>
      <c r="M4268" s="2" t="s">
        <v>26</v>
      </c>
      <c r="N4268" s="29"/>
      <c r="O4268" s="29"/>
      <c r="P4268" s="5" t="str">
        <f>IFERROR(__xludf.DUMMYFUNCTION("TEXTJOIN("" | "",TRUE,IF(OR(D4268="""",E4268="""",I4268="""",J4268="""",H4268=""""),""ফাঁকা ঘর"",""""),IF(AND(C4268&lt;&gt;"""",D4268&lt;&gt;"""",C4268=D4268),""gloss=figurative"",""""),IF(LEN(D4268)&lt;15,""figurative ছোট"",""""),IF(AND(I4268=""Positive"",REGEXMATCH(H4"&amp;"268,""মূর্খ|ভণ্ড|প্রতার|অলস|লোভ|স্বার্থ|অক্ষম|অযোগ্য|বোকা|কৃপণ|হিংস"")),""valence-target অমিল"",""""),IF(COUNTIF($B:$B,B4268)&gt;1,""ডুপ্লিকেট"",""""))"),"")</f>
        <v/>
      </c>
      <c r="Q4268" s="5" t="str">
        <f t="shared" si="1"/>
        <v>২ পরে</v>
      </c>
    </row>
    <row r="4269">
      <c r="A4269" s="4">
        <v>2088.0</v>
      </c>
      <c r="B4269" s="2" t="s">
        <v>17465</v>
      </c>
      <c r="C4269" s="2" t="s">
        <v>17337</v>
      </c>
      <c r="D4269" s="2" t="s">
        <v>17338</v>
      </c>
      <c r="E4269" s="2" t="s">
        <v>17466</v>
      </c>
      <c r="F4269" s="2" t="b">
        <v>1</v>
      </c>
      <c r="G4269" s="2" t="b">
        <v>0</v>
      </c>
      <c r="H4269" s="2" t="s">
        <v>1629</v>
      </c>
      <c r="I4269" s="2" t="s">
        <v>32</v>
      </c>
      <c r="J4269" s="2" t="s">
        <v>1438</v>
      </c>
      <c r="K4269" s="2" t="s">
        <v>495</v>
      </c>
      <c r="L4269" s="13" t="s">
        <v>496</v>
      </c>
      <c r="M4269" s="2" t="s">
        <v>26</v>
      </c>
      <c r="N4269" s="29"/>
      <c r="O4269" s="29"/>
      <c r="P4269" s="5" t="str">
        <f>IFERROR(__xludf.DUMMYFUNCTION("TEXTJOIN("" | "",TRUE,IF(OR(D4269="""",E4269="""",I4269="""",J4269="""",H4269=""""),""ফাঁকা ঘর"",""""),IF(AND(C4269&lt;&gt;"""",D4269&lt;&gt;"""",C4269=D4269),""gloss=figurative"",""""),IF(LEN(D4269)&lt;15,""figurative ছোট"",""""),IF(AND(I4269=""Positive"",REGEXMATCH(H4"&amp;"269,""মূর্খ|ভণ্ড|প্রতার|অলস|লোভ|স্বার্থ|অক্ষম|অযোগ্য|বোকা|কৃপণ|হিংস"")),""valence-target অমিল"",""""),IF(COUNTIF($B:$B,B4269)&gt;1,""ডুপ্লিকেট"",""""))"),"")</f>
        <v/>
      </c>
      <c r="Q4269" s="5" t="str">
        <f t="shared" si="1"/>
        <v>২ পরে</v>
      </c>
    </row>
    <row r="4270">
      <c r="A4270" s="4">
        <v>2089.0</v>
      </c>
      <c r="B4270" s="2" t="s">
        <v>17467</v>
      </c>
      <c r="C4270" s="2" t="s">
        <v>17468</v>
      </c>
      <c r="D4270" s="2" t="s">
        <v>17469</v>
      </c>
      <c r="E4270" s="2" t="s">
        <v>17470</v>
      </c>
      <c r="F4270" s="2" t="b">
        <v>1</v>
      </c>
      <c r="G4270" s="2" t="b">
        <v>0</v>
      </c>
      <c r="H4270" s="2" t="s">
        <v>17471</v>
      </c>
      <c r="I4270" s="2" t="s">
        <v>32</v>
      </c>
      <c r="J4270" s="2" t="s">
        <v>1249</v>
      </c>
      <c r="K4270" s="2" t="s">
        <v>495</v>
      </c>
      <c r="L4270" s="13" t="s">
        <v>496</v>
      </c>
      <c r="M4270" s="2" t="s">
        <v>26</v>
      </c>
      <c r="N4270" s="29"/>
      <c r="O4270" s="29"/>
      <c r="P4270" s="5" t="str">
        <f>IFERROR(__xludf.DUMMYFUNCTION("TEXTJOIN("" | "",TRUE,IF(OR(D4270="""",E4270="""",I4270="""",J4270="""",H4270=""""),""ফাঁকা ঘর"",""""),IF(AND(C4270&lt;&gt;"""",D4270&lt;&gt;"""",C4270=D4270),""gloss=figurative"",""""),IF(LEN(D4270)&lt;15,""figurative ছোট"",""""),IF(AND(I4270=""Positive"",REGEXMATCH(H4"&amp;"270,""মূর্খ|ভণ্ড|প্রতার|অলস|লোভ|স্বার্থ|অক্ষম|অযোগ্য|বোকা|কৃপণ|হিংস"")),""valence-target অমিল"",""""),IF(COUNTIF($B:$B,B4270)&gt;1,""ডুপ্লিকেট"",""""))"),"")</f>
        <v/>
      </c>
      <c r="Q4270" s="5" t="str">
        <f t="shared" si="1"/>
        <v>২ পরে</v>
      </c>
    </row>
    <row r="4271">
      <c r="A4271" s="4">
        <v>2090.0</v>
      </c>
      <c r="B4271" s="2" t="s">
        <v>17472</v>
      </c>
      <c r="C4271" s="2" t="s">
        <v>17473</v>
      </c>
      <c r="D4271" s="2" t="s">
        <v>17451</v>
      </c>
      <c r="E4271" s="2" t="s">
        <v>17474</v>
      </c>
      <c r="F4271" s="2" t="b">
        <v>1</v>
      </c>
      <c r="G4271" s="2" t="b">
        <v>0</v>
      </c>
      <c r="H4271" s="2" t="s">
        <v>978</v>
      </c>
      <c r="I4271" s="2" t="s">
        <v>22</v>
      </c>
      <c r="J4271" s="2" t="s">
        <v>43</v>
      </c>
      <c r="K4271" s="2" t="s">
        <v>495</v>
      </c>
      <c r="L4271" s="13" t="s">
        <v>496</v>
      </c>
      <c r="M4271" s="2" t="s">
        <v>26</v>
      </c>
      <c r="N4271" s="29"/>
      <c r="O4271" s="29"/>
      <c r="P4271" s="5" t="str">
        <f>IFERROR(__xludf.DUMMYFUNCTION("TEXTJOIN("" | "",TRUE,IF(OR(D4271="""",E4271="""",I4271="""",J4271="""",H4271=""""),""ফাঁকা ঘর"",""""),IF(AND(C4271&lt;&gt;"""",D4271&lt;&gt;"""",C4271=D4271),""gloss=figurative"",""""),IF(LEN(D4271)&lt;15,""figurative ছোট"",""""),IF(AND(I4271=""Positive"",REGEXMATCH(H4"&amp;"271,""মূর্খ|ভণ্ড|প্রতার|অলস|লোভ|স্বার্থ|অক্ষম|অযোগ্য|বোকা|কৃপণ|হিংস"")),""valence-target অমিল"",""""),IF(COUNTIF($B:$B,B4271)&gt;1,""ডুপ্লিকেট"",""""))"),"")</f>
        <v/>
      </c>
      <c r="Q4271" s="5" t="str">
        <f t="shared" si="1"/>
        <v>২ পরে</v>
      </c>
    </row>
    <row r="4272">
      <c r="A4272" s="4">
        <v>2091.0</v>
      </c>
      <c r="B4272" s="2" t="s">
        <v>17475</v>
      </c>
      <c r="C4272" s="2" t="s">
        <v>17476</v>
      </c>
      <c r="D4272" s="2" t="s">
        <v>17477</v>
      </c>
      <c r="E4272" s="2" t="s">
        <v>17478</v>
      </c>
      <c r="F4272" s="2" t="b">
        <v>1</v>
      </c>
      <c r="G4272" s="2" t="b">
        <v>0</v>
      </c>
      <c r="H4272" s="2" t="s">
        <v>37</v>
      </c>
      <c r="I4272" s="2" t="s">
        <v>32</v>
      </c>
      <c r="J4272" s="2" t="s">
        <v>15657</v>
      </c>
      <c r="K4272" s="2" t="s">
        <v>495</v>
      </c>
      <c r="L4272" s="13" t="s">
        <v>496</v>
      </c>
      <c r="M4272" s="2" t="s">
        <v>26</v>
      </c>
      <c r="N4272" s="29"/>
      <c r="O4272" s="29"/>
      <c r="P4272" s="5" t="str">
        <f>IFERROR(__xludf.DUMMYFUNCTION("TEXTJOIN("" | "",TRUE,IF(OR(D4272="""",E4272="""",I4272="""",J4272="""",H4272=""""),""ফাঁকা ঘর"",""""),IF(AND(C4272&lt;&gt;"""",D4272&lt;&gt;"""",C4272=D4272),""gloss=figurative"",""""),IF(LEN(D4272)&lt;15,""figurative ছোট"",""""),IF(AND(I4272=""Positive"",REGEXMATCH(H4"&amp;"272,""মূর্খ|ভণ্ড|প্রতার|অলস|লোভ|স্বার্থ|অক্ষম|অযোগ্য|বোকা|কৃপণ|হিংস"")),""valence-target অমিল"",""""),IF(COUNTIF($B:$B,B4272)&gt;1,""ডুপ্লিকেট"",""""))"),"")</f>
        <v/>
      </c>
      <c r="Q4272" s="5" t="str">
        <f t="shared" si="1"/>
        <v>২ পরে</v>
      </c>
    </row>
    <row r="4273">
      <c r="A4273" s="4">
        <v>2092.0</v>
      </c>
      <c r="B4273" s="2" t="s">
        <v>17479</v>
      </c>
      <c r="C4273" s="2" t="s">
        <v>17480</v>
      </c>
      <c r="D4273" s="2" t="s">
        <v>17481</v>
      </c>
      <c r="E4273" s="2" t="s">
        <v>1434</v>
      </c>
      <c r="F4273" s="2" t="b">
        <v>1</v>
      </c>
      <c r="G4273" s="2" t="b">
        <v>0</v>
      </c>
      <c r="H4273" s="2" t="s">
        <v>17349</v>
      </c>
      <c r="I4273" s="2" t="s">
        <v>22</v>
      </c>
      <c r="J4273" s="2" t="s">
        <v>2085</v>
      </c>
      <c r="K4273" s="2" t="s">
        <v>495</v>
      </c>
      <c r="L4273" s="13" t="s">
        <v>496</v>
      </c>
      <c r="M4273" s="2" t="s">
        <v>26</v>
      </c>
      <c r="N4273" s="29"/>
      <c r="O4273" s="29"/>
      <c r="P4273" s="5" t="str">
        <f>IFERROR(__xludf.DUMMYFUNCTION("TEXTJOIN("" | "",TRUE,IF(OR(D4273="""",E4273="""",I4273="""",J4273="""",H4273=""""),""ফাঁকা ঘর"",""""),IF(AND(C4273&lt;&gt;"""",D4273&lt;&gt;"""",C4273=D4273),""gloss=figurative"",""""),IF(LEN(D4273)&lt;15,""figurative ছোট"",""""),IF(AND(I4273=""Positive"",REGEXMATCH(H4"&amp;"273,""মূর্খ|ভণ্ড|প্রতার|অলস|লোভ|স্বার্থ|অক্ষম|অযোগ্য|বোকা|কৃপণ|হিংস"")),""valence-target অমিল"",""""),IF(COUNTIF($B:$B,B4273)&gt;1,""ডুপ্লিকেট"",""""))"),"")</f>
        <v/>
      </c>
      <c r="Q4273" s="5" t="str">
        <f t="shared" si="1"/>
        <v>২ পরে</v>
      </c>
    </row>
    <row r="4274">
      <c r="A4274" s="4">
        <v>2093.0</v>
      </c>
      <c r="B4274" s="2" t="s">
        <v>17482</v>
      </c>
      <c r="C4274" s="2" t="s">
        <v>17483</v>
      </c>
      <c r="D4274" s="2" t="s">
        <v>17484</v>
      </c>
      <c r="E4274" s="2" t="s">
        <v>17485</v>
      </c>
      <c r="F4274" s="2" t="b">
        <v>1</v>
      </c>
      <c r="G4274" s="2" t="b">
        <v>0</v>
      </c>
      <c r="H4274" s="2" t="s">
        <v>978</v>
      </c>
      <c r="I4274" s="2" t="s">
        <v>22</v>
      </c>
      <c r="J4274" s="2" t="s">
        <v>43</v>
      </c>
      <c r="K4274" s="2" t="s">
        <v>495</v>
      </c>
      <c r="L4274" s="13" t="s">
        <v>496</v>
      </c>
      <c r="M4274" s="2" t="s">
        <v>26</v>
      </c>
      <c r="N4274" s="29"/>
      <c r="O4274" s="29"/>
      <c r="P4274" s="5" t="str">
        <f>IFERROR(__xludf.DUMMYFUNCTION("TEXTJOIN("" | "",TRUE,IF(OR(D4274="""",E4274="""",I4274="""",J4274="""",H4274=""""),""ফাঁকা ঘর"",""""),IF(AND(C4274&lt;&gt;"""",D4274&lt;&gt;"""",C4274=D4274),""gloss=figurative"",""""),IF(LEN(D4274)&lt;15,""figurative ছোট"",""""),IF(AND(I4274=""Positive"",REGEXMATCH(H4"&amp;"274,""মূর্খ|ভণ্ড|প্রতার|অলস|লোভ|স্বার্থ|অক্ষম|অযোগ্য|বোকা|কৃপণ|হিংস"")),""valence-target অমিল"",""""),IF(COUNTIF($B:$B,B4274)&gt;1,""ডুপ্লিকেট"",""""))"),"")</f>
        <v/>
      </c>
      <c r="Q4274" s="5" t="str">
        <f t="shared" si="1"/>
        <v>২ পরে</v>
      </c>
    </row>
    <row r="4275">
      <c r="A4275" s="4">
        <v>2095.0</v>
      </c>
      <c r="B4275" s="2" t="s">
        <v>17486</v>
      </c>
      <c r="C4275" s="2" t="s">
        <v>17487</v>
      </c>
      <c r="D4275" s="2" t="s">
        <v>17488</v>
      </c>
      <c r="E4275" s="2" t="s">
        <v>17489</v>
      </c>
      <c r="F4275" s="2" t="b">
        <v>1</v>
      </c>
      <c r="G4275" s="2" t="b">
        <v>0</v>
      </c>
      <c r="H4275" s="2" t="s">
        <v>17490</v>
      </c>
      <c r="I4275" s="2" t="s">
        <v>22</v>
      </c>
      <c r="J4275" s="2" t="s">
        <v>43</v>
      </c>
      <c r="K4275" s="2" t="s">
        <v>495</v>
      </c>
      <c r="L4275" s="13" t="s">
        <v>496</v>
      </c>
      <c r="M4275" s="2" t="s">
        <v>26</v>
      </c>
      <c r="N4275" s="29"/>
      <c r="O4275" s="29"/>
      <c r="P4275" s="5" t="str">
        <f>IFERROR(__xludf.DUMMYFUNCTION("TEXTJOIN("" | "",TRUE,IF(OR(D4275="""",E4275="""",I4275="""",J4275="""",H4275=""""),""ফাঁকা ঘর"",""""),IF(AND(C4275&lt;&gt;"""",D4275&lt;&gt;"""",C4275=D4275),""gloss=figurative"",""""),IF(LEN(D4275)&lt;15,""figurative ছোট"",""""),IF(AND(I4275=""Positive"",REGEXMATCH(H4"&amp;"275,""মূর্খ|ভণ্ড|প্রতার|অলস|লোভ|স্বার্থ|অক্ষম|অযোগ্য|বোকা|কৃপণ|হিংস"")),""valence-target অমিল"",""""),IF(COUNTIF($B:$B,B4275)&gt;1,""ডুপ্লিকেট"",""""))"),"")</f>
        <v/>
      </c>
      <c r="Q4275" s="5" t="str">
        <f t="shared" si="1"/>
        <v>২ পরে</v>
      </c>
    </row>
    <row r="4276">
      <c r="A4276" s="4">
        <v>2096.0</v>
      </c>
      <c r="B4276" s="2" t="s">
        <v>17491</v>
      </c>
      <c r="C4276" s="2" t="s">
        <v>17492</v>
      </c>
      <c r="D4276" s="2" t="s">
        <v>17493</v>
      </c>
      <c r="E4276" s="2" t="s">
        <v>17494</v>
      </c>
      <c r="F4276" s="2" t="b">
        <v>1</v>
      </c>
      <c r="G4276" s="2" t="b">
        <v>0</v>
      </c>
      <c r="H4276" s="2" t="s">
        <v>17471</v>
      </c>
      <c r="I4276" s="2" t="s">
        <v>22</v>
      </c>
      <c r="J4276" s="2" t="s">
        <v>3710</v>
      </c>
      <c r="K4276" s="2" t="s">
        <v>495</v>
      </c>
      <c r="L4276" s="13" t="s">
        <v>496</v>
      </c>
      <c r="M4276" s="2" t="s">
        <v>26</v>
      </c>
      <c r="N4276" s="29"/>
      <c r="O4276" s="29"/>
      <c r="P4276" s="5" t="str">
        <f>IFERROR(__xludf.DUMMYFUNCTION("TEXTJOIN("" | "",TRUE,IF(OR(D4276="""",E4276="""",I4276="""",J4276="""",H4276=""""),""ফাঁকা ঘর"",""""),IF(AND(C4276&lt;&gt;"""",D4276&lt;&gt;"""",C4276=D4276),""gloss=figurative"",""""),IF(LEN(D4276)&lt;15,""figurative ছোট"",""""),IF(AND(I4276=""Positive"",REGEXMATCH(H4"&amp;"276,""মূর্খ|ভণ্ড|প্রতার|অলস|লোভ|স্বার্থ|অক্ষম|অযোগ্য|বোকা|কৃপণ|হিংস"")),""valence-target অমিল"",""""),IF(COUNTIF($B:$B,B4276)&gt;1,""ডুপ্লিকেট"",""""))"),"")</f>
        <v/>
      </c>
      <c r="Q4276" s="5" t="str">
        <f t="shared" si="1"/>
        <v>২ পরে</v>
      </c>
    </row>
    <row r="4277">
      <c r="A4277" s="4">
        <v>2097.0</v>
      </c>
      <c r="B4277" s="2" t="s">
        <v>17495</v>
      </c>
      <c r="C4277" s="2" t="s">
        <v>17496</v>
      </c>
      <c r="D4277" s="2" t="s">
        <v>17497</v>
      </c>
      <c r="E4277" s="2" t="s">
        <v>17498</v>
      </c>
      <c r="F4277" s="2" t="b">
        <v>1</v>
      </c>
      <c r="G4277" s="2" t="b">
        <v>0</v>
      </c>
      <c r="H4277" s="2" t="s">
        <v>482</v>
      </c>
      <c r="I4277" s="2" t="s">
        <v>22</v>
      </c>
      <c r="J4277" s="2" t="s">
        <v>2165</v>
      </c>
      <c r="K4277" s="2" t="s">
        <v>495</v>
      </c>
      <c r="L4277" s="13" t="s">
        <v>496</v>
      </c>
      <c r="M4277" s="2" t="s">
        <v>26</v>
      </c>
      <c r="N4277" s="29"/>
      <c r="O4277" s="29"/>
      <c r="P4277" s="5" t="str">
        <f>IFERROR(__xludf.DUMMYFUNCTION("TEXTJOIN("" | "",TRUE,IF(OR(D4277="""",E4277="""",I4277="""",J4277="""",H4277=""""),""ফাঁকা ঘর"",""""),IF(AND(C4277&lt;&gt;"""",D4277&lt;&gt;"""",C4277=D4277),""gloss=figurative"",""""),IF(LEN(D4277)&lt;15,""figurative ছোট"",""""),IF(AND(I4277=""Positive"",REGEXMATCH(H4"&amp;"277,""মূর্খ|ভণ্ড|প্রতার|অলস|লোভ|স্বার্থ|অক্ষম|অযোগ্য|বোকা|কৃপণ|হিংস"")),""valence-target অমিল"",""""),IF(COUNTIF($B:$B,B4277)&gt;1,""ডুপ্লিকেট"",""""))"),"")</f>
        <v/>
      </c>
      <c r="Q4277" s="5" t="str">
        <f t="shared" si="1"/>
        <v>২ পরে</v>
      </c>
    </row>
    <row r="4278">
      <c r="A4278" s="4">
        <v>2098.0</v>
      </c>
      <c r="B4278" s="2" t="s">
        <v>17499</v>
      </c>
      <c r="C4278" s="2" t="s">
        <v>17500</v>
      </c>
      <c r="D4278" s="2" t="s">
        <v>17501</v>
      </c>
      <c r="E4278" s="2" t="s">
        <v>17502</v>
      </c>
      <c r="F4278" s="2" t="b">
        <v>1</v>
      </c>
      <c r="G4278" s="2" t="b">
        <v>0</v>
      </c>
      <c r="H4278" s="2" t="s">
        <v>37</v>
      </c>
      <c r="I4278" s="2" t="s">
        <v>49</v>
      </c>
      <c r="J4278" s="2" t="s">
        <v>225</v>
      </c>
      <c r="K4278" s="2" t="s">
        <v>495</v>
      </c>
      <c r="L4278" s="13" t="s">
        <v>496</v>
      </c>
      <c r="M4278" s="2" t="s">
        <v>26</v>
      </c>
      <c r="N4278" s="29"/>
      <c r="O4278" s="29"/>
      <c r="P4278" s="5" t="str">
        <f>IFERROR(__xludf.DUMMYFUNCTION("TEXTJOIN("" | "",TRUE,IF(OR(D4278="""",E4278="""",I4278="""",J4278="""",H4278=""""),""ফাঁকা ঘর"",""""),IF(AND(C4278&lt;&gt;"""",D4278&lt;&gt;"""",C4278=D4278),""gloss=figurative"",""""),IF(LEN(D4278)&lt;15,""figurative ছোট"",""""),IF(AND(I4278=""Positive"",REGEXMATCH(H4"&amp;"278,""মূর্খ|ভণ্ড|প্রতার|অলস|লোভ|স্বার্থ|অক্ষম|অযোগ্য|বোকা|কৃপণ|হিংস"")),""valence-target অমিল"",""""),IF(COUNTIF($B:$B,B4278)&gt;1,""ডুপ্লিকেট"",""""))"),"")</f>
        <v/>
      </c>
      <c r="Q4278" s="5" t="str">
        <f t="shared" si="1"/>
        <v>২ পরে</v>
      </c>
    </row>
    <row r="4279">
      <c r="A4279" s="4">
        <v>2099.0</v>
      </c>
      <c r="B4279" s="2" t="s">
        <v>17503</v>
      </c>
      <c r="C4279" s="2" t="s">
        <v>17504</v>
      </c>
      <c r="D4279" s="2" t="s">
        <v>17505</v>
      </c>
      <c r="E4279" s="2" t="s">
        <v>17506</v>
      </c>
      <c r="F4279" s="2" t="b">
        <v>1</v>
      </c>
      <c r="G4279" s="2" t="b">
        <v>0</v>
      </c>
      <c r="H4279" s="2" t="s">
        <v>15783</v>
      </c>
      <c r="I4279" s="2" t="s">
        <v>22</v>
      </c>
      <c r="J4279" s="2" t="s">
        <v>820</v>
      </c>
      <c r="K4279" s="2" t="s">
        <v>495</v>
      </c>
      <c r="L4279" s="13" t="s">
        <v>496</v>
      </c>
      <c r="M4279" s="2" t="s">
        <v>26</v>
      </c>
      <c r="N4279" s="29"/>
      <c r="O4279" s="29"/>
      <c r="P4279" s="5" t="str">
        <f>IFERROR(__xludf.DUMMYFUNCTION("TEXTJOIN("" | "",TRUE,IF(OR(D4279="""",E4279="""",I4279="""",J4279="""",H4279=""""),""ফাঁকা ঘর"",""""),IF(AND(C4279&lt;&gt;"""",D4279&lt;&gt;"""",C4279=D4279),""gloss=figurative"",""""),IF(LEN(D4279)&lt;15,""figurative ছোট"",""""),IF(AND(I4279=""Positive"",REGEXMATCH(H4"&amp;"279,""মূর্খ|ভণ্ড|প্রতার|অলস|লোভ|স্বার্থ|অক্ষম|অযোগ্য|বোকা|কৃপণ|হিংস"")),""valence-target অমিল"",""""),IF(COUNTIF($B:$B,B4279)&gt;1,""ডুপ্লিকেট"",""""))"),"")</f>
        <v/>
      </c>
      <c r="Q4279" s="5" t="str">
        <f t="shared" si="1"/>
        <v>২ পরে</v>
      </c>
    </row>
    <row r="4280">
      <c r="A4280" s="4">
        <v>2100.0</v>
      </c>
      <c r="B4280" s="2" t="s">
        <v>17507</v>
      </c>
      <c r="C4280" s="2" t="s">
        <v>17250</v>
      </c>
      <c r="D4280" s="2" t="s">
        <v>17508</v>
      </c>
      <c r="E4280" s="2" t="s">
        <v>17509</v>
      </c>
      <c r="F4280" s="2" t="b">
        <v>1</v>
      </c>
      <c r="G4280" s="2" t="b">
        <v>0</v>
      </c>
      <c r="H4280" s="2" t="s">
        <v>17510</v>
      </c>
      <c r="I4280" s="2" t="s">
        <v>22</v>
      </c>
      <c r="J4280" s="2" t="s">
        <v>2732</v>
      </c>
      <c r="K4280" s="2" t="s">
        <v>495</v>
      </c>
      <c r="L4280" s="13" t="s">
        <v>496</v>
      </c>
      <c r="M4280" s="2" t="s">
        <v>26</v>
      </c>
      <c r="N4280" s="29"/>
      <c r="O4280" s="29"/>
      <c r="P4280" s="5" t="str">
        <f>IFERROR(__xludf.DUMMYFUNCTION("TEXTJOIN("" | "",TRUE,IF(OR(D4280="""",E4280="""",I4280="""",J4280="""",H4280=""""),""ফাঁকা ঘর"",""""),IF(AND(C4280&lt;&gt;"""",D4280&lt;&gt;"""",C4280=D4280),""gloss=figurative"",""""),IF(LEN(D4280)&lt;15,""figurative ছোট"",""""),IF(AND(I4280=""Positive"",REGEXMATCH(H4"&amp;"280,""মূর্খ|ভণ্ড|প্রতার|অলস|লোভ|স্বার্থ|অক্ষম|অযোগ্য|বোকা|কৃপণ|হিংস"")),""valence-target অমিল"",""""),IF(COUNTIF($B:$B,B4280)&gt;1,""ডুপ্লিকেট"",""""))"),"")</f>
        <v/>
      </c>
      <c r="Q4280" s="5" t="str">
        <f t="shared" si="1"/>
        <v>২ পরে</v>
      </c>
    </row>
    <row r="4281">
      <c r="A4281" s="4">
        <v>2101.0</v>
      </c>
      <c r="B4281" s="2" t="s">
        <v>17511</v>
      </c>
      <c r="C4281" s="2" t="s">
        <v>17512</v>
      </c>
      <c r="D4281" s="2" t="s">
        <v>17513</v>
      </c>
      <c r="E4281" s="2" t="s">
        <v>17514</v>
      </c>
      <c r="F4281" s="2" t="b">
        <v>1</v>
      </c>
      <c r="G4281" s="2" t="b">
        <v>0</v>
      </c>
      <c r="H4281" s="2" t="s">
        <v>17515</v>
      </c>
      <c r="I4281" s="2" t="s">
        <v>49</v>
      </c>
      <c r="J4281" s="2" t="s">
        <v>1249</v>
      </c>
      <c r="K4281" s="2" t="s">
        <v>495</v>
      </c>
      <c r="L4281" s="13" t="s">
        <v>496</v>
      </c>
      <c r="M4281" s="2" t="s">
        <v>26</v>
      </c>
      <c r="N4281" s="29"/>
      <c r="O4281" s="29"/>
      <c r="P4281" s="5" t="str">
        <f>IFERROR(__xludf.DUMMYFUNCTION("TEXTJOIN("" | "",TRUE,IF(OR(D4281="""",E4281="""",I4281="""",J4281="""",H4281=""""),""ফাঁকা ঘর"",""""),IF(AND(C4281&lt;&gt;"""",D4281&lt;&gt;"""",C4281=D4281),""gloss=figurative"",""""),IF(LEN(D4281)&lt;15,""figurative ছোট"",""""),IF(AND(I4281=""Positive"",REGEXMATCH(H4"&amp;"281,""মূর্খ|ভণ্ড|প্রতার|অলস|লোভ|স্বার্থ|অক্ষম|অযোগ্য|বোকা|কৃপণ|হিংস"")),""valence-target অমিল"",""""),IF(COUNTIF($B:$B,B4281)&gt;1,""ডুপ্লিকেট"",""""))"),"")</f>
        <v/>
      </c>
      <c r="Q4281" s="5" t="str">
        <f t="shared" si="1"/>
        <v>২ পরে</v>
      </c>
    </row>
    <row r="4282">
      <c r="A4282" s="4">
        <v>2102.0</v>
      </c>
      <c r="B4282" s="2" t="s">
        <v>17516</v>
      </c>
      <c r="C4282" s="2" t="s">
        <v>17517</v>
      </c>
      <c r="D4282" s="2" t="s">
        <v>17518</v>
      </c>
      <c r="E4282" s="2" t="s">
        <v>17519</v>
      </c>
      <c r="F4282" s="2" t="b">
        <v>1</v>
      </c>
      <c r="G4282" s="2" t="b">
        <v>1</v>
      </c>
      <c r="H4282" s="2" t="s">
        <v>17520</v>
      </c>
      <c r="I4282" s="2" t="s">
        <v>22</v>
      </c>
      <c r="J4282" s="2" t="s">
        <v>17521</v>
      </c>
      <c r="K4282" s="2" t="s">
        <v>495</v>
      </c>
      <c r="L4282" s="13" t="s">
        <v>496</v>
      </c>
      <c r="M4282" s="2" t="s">
        <v>26</v>
      </c>
      <c r="N4282" s="29"/>
      <c r="O4282" s="29"/>
      <c r="P4282" s="5" t="str">
        <f>IFERROR(__xludf.DUMMYFUNCTION("TEXTJOIN("" | "",TRUE,IF(OR(D4282="""",E4282="""",I4282="""",J4282="""",H4282=""""),""ফাঁকা ঘর"",""""),IF(AND(C4282&lt;&gt;"""",D4282&lt;&gt;"""",C4282=D4282),""gloss=figurative"",""""),IF(LEN(D4282)&lt;15,""figurative ছোট"",""""),IF(AND(I4282=""Positive"",REGEXMATCH(H4"&amp;"282,""মূর্খ|ভণ্ড|প্রতার|অলস|লোভ|স্বার্থ|অক্ষম|অযোগ্য|বোকা|কৃপণ|হিংস"")),""valence-target অমিল"",""""),IF(COUNTIF($B:$B,B4282)&gt;1,""ডুপ্লিকেট"",""""))"),"")</f>
        <v/>
      </c>
      <c r="Q4282" s="5" t="str">
        <f t="shared" si="1"/>
        <v>২ পরে</v>
      </c>
    </row>
    <row r="4283">
      <c r="A4283" s="4">
        <v>2103.0</v>
      </c>
      <c r="B4283" s="2" t="s">
        <v>17522</v>
      </c>
      <c r="C4283" s="2" t="s">
        <v>17523</v>
      </c>
      <c r="D4283" s="2" t="s">
        <v>17524</v>
      </c>
      <c r="E4283" s="2" t="s">
        <v>17525</v>
      </c>
      <c r="F4283" s="2" t="b">
        <v>1</v>
      </c>
      <c r="G4283" s="2" t="b">
        <v>0</v>
      </c>
      <c r="H4283" s="2" t="s">
        <v>17526</v>
      </c>
      <c r="I4283" s="2" t="s">
        <v>22</v>
      </c>
      <c r="J4283" s="2" t="s">
        <v>820</v>
      </c>
      <c r="K4283" s="2" t="s">
        <v>495</v>
      </c>
      <c r="L4283" s="13" t="s">
        <v>496</v>
      </c>
      <c r="M4283" s="2" t="s">
        <v>26</v>
      </c>
      <c r="N4283" s="29"/>
      <c r="O4283" s="29"/>
      <c r="P4283" s="5" t="str">
        <f>IFERROR(__xludf.DUMMYFUNCTION("TEXTJOIN("" | "",TRUE,IF(OR(D4283="""",E4283="""",I4283="""",J4283="""",H4283=""""),""ফাঁকা ঘর"",""""),IF(AND(C4283&lt;&gt;"""",D4283&lt;&gt;"""",C4283=D4283),""gloss=figurative"",""""),IF(LEN(D4283)&lt;15,""figurative ছোট"",""""),IF(AND(I4283=""Positive"",REGEXMATCH(H4"&amp;"283,""মূর্খ|ভণ্ড|প্রতার|অলস|লোভ|স্বার্থ|অক্ষম|অযোগ্য|বোকা|কৃপণ|হিংস"")),""valence-target অমিল"",""""),IF(COUNTIF($B:$B,B4283)&gt;1,""ডুপ্লিকেট"",""""))"),"")</f>
        <v/>
      </c>
      <c r="Q4283" s="5" t="str">
        <f t="shared" si="1"/>
        <v>২ পরে</v>
      </c>
    </row>
    <row r="4284">
      <c r="A4284" s="4">
        <v>2104.0</v>
      </c>
      <c r="B4284" s="2" t="s">
        <v>17527</v>
      </c>
      <c r="C4284" s="2" t="s">
        <v>17528</v>
      </c>
      <c r="D4284" s="2" t="s">
        <v>17529</v>
      </c>
      <c r="E4284" s="2" t="s">
        <v>17530</v>
      </c>
      <c r="F4284" s="2" t="b">
        <v>1</v>
      </c>
      <c r="G4284" s="2" t="b">
        <v>0</v>
      </c>
      <c r="H4284" s="2" t="s">
        <v>2243</v>
      </c>
      <c r="I4284" s="2" t="s">
        <v>22</v>
      </c>
      <c r="J4284" s="2" t="s">
        <v>43</v>
      </c>
      <c r="K4284" s="2" t="s">
        <v>495</v>
      </c>
      <c r="L4284" s="13" t="s">
        <v>496</v>
      </c>
      <c r="M4284" s="2" t="s">
        <v>26</v>
      </c>
      <c r="N4284" s="29"/>
      <c r="O4284" s="29"/>
      <c r="P4284" s="5" t="str">
        <f>IFERROR(__xludf.DUMMYFUNCTION("TEXTJOIN("" | "",TRUE,IF(OR(D4284="""",E4284="""",I4284="""",J4284="""",H4284=""""),""ফাঁকা ঘর"",""""),IF(AND(C4284&lt;&gt;"""",D4284&lt;&gt;"""",C4284=D4284),""gloss=figurative"",""""),IF(LEN(D4284)&lt;15,""figurative ছোট"",""""),IF(AND(I4284=""Positive"",REGEXMATCH(H4"&amp;"284,""মূর্খ|ভণ্ড|প্রতার|অলস|লোভ|স্বার্থ|অক্ষম|অযোগ্য|বোকা|কৃপণ|হিংস"")),""valence-target অমিল"",""""),IF(COUNTIF($B:$B,B4284)&gt;1,""ডুপ্লিকেট"",""""))"),"")</f>
        <v/>
      </c>
      <c r="Q4284" s="5" t="str">
        <f t="shared" si="1"/>
        <v>২ পরে</v>
      </c>
    </row>
    <row r="4285">
      <c r="A4285" s="4">
        <v>2105.0</v>
      </c>
      <c r="B4285" s="2" t="s">
        <v>17531</v>
      </c>
      <c r="C4285" s="2" t="s">
        <v>17532</v>
      </c>
      <c r="D4285" s="2" t="s">
        <v>17533</v>
      </c>
      <c r="E4285" s="2" t="s">
        <v>17534</v>
      </c>
      <c r="F4285" s="2" t="b">
        <v>1</v>
      </c>
      <c r="G4285" s="2" t="b">
        <v>0</v>
      </c>
      <c r="H4285" s="2" t="s">
        <v>37</v>
      </c>
      <c r="I4285" s="2" t="s">
        <v>32</v>
      </c>
      <c r="J4285" s="2" t="s">
        <v>1244</v>
      </c>
      <c r="K4285" s="2" t="s">
        <v>495</v>
      </c>
      <c r="L4285" s="13" t="s">
        <v>496</v>
      </c>
      <c r="M4285" s="2" t="s">
        <v>26</v>
      </c>
      <c r="N4285" s="29"/>
      <c r="O4285" s="29"/>
      <c r="P4285" s="5" t="str">
        <f>IFERROR(__xludf.DUMMYFUNCTION("TEXTJOIN("" | "",TRUE,IF(OR(D4285="""",E4285="""",I4285="""",J4285="""",H4285=""""),""ফাঁকা ঘর"",""""),IF(AND(C4285&lt;&gt;"""",D4285&lt;&gt;"""",C4285=D4285),""gloss=figurative"",""""),IF(LEN(D4285)&lt;15,""figurative ছোট"",""""),IF(AND(I4285=""Positive"",REGEXMATCH(H4"&amp;"285,""মূর্খ|ভণ্ড|প্রতার|অলস|লোভ|স্বার্থ|অক্ষম|অযোগ্য|বোকা|কৃপণ|হিংস"")),""valence-target অমিল"",""""),IF(COUNTIF($B:$B,B4285)&gt;1,""ডুপ্লিকেট"",""""))"),"")</f>
        <v/>
      </c>
      <c r="Q4285" s="5" t="str">
        <f t="shared" si="1"/>
        <v>২ পরে</v>
      </c>
    </row>
    <row r="4286">
      <c r="A4286" s="4">
        <v>2106.0</v>
      </c>
      <c r="B4286" s="2" t="s">
        <v>17535</v>
      </c>
      <c r="C4286" s="2" t="s">
        <v>17536</v>
      </c>
      <c r="D4286" s="2" t="s">
        <v>17537</v>
      </c>
      <c r="E4286" s="2" t="s">
        <v>17335</v>
      </c>
      <c r="F4286" s="2" t="b">
        <v>1</v>
      </c>
      <c r="G4286" s="2" t="b">
        <v>0</v>
      </c>
      <c r="H4286" s="2" t="s">
        <v>37</v>
      </c>
      <c r="I4286" s="2" t="s">
        <v>49</v>
      </c>
      <c r="J4286" s="2" t="s">
        <v>1249</v>
      </c>
      <c r="K4286" s="2" t="s">
        <v>495</v>
      </c>
      <c r="L4286" s="13" t="s">
        <v>496</v>
      </c>
      <c r="M4286" s="2" t="s">
        <v>26</v>
      </c>
      <c r="N4286" s="29"/>
      <c r="O4286" s="29"/>
      <c r="P4286" s="5" t="str">
        <f>IFERROR(__xludf.DUMMYFUNCTION("TEXTJOIN("" | "",TRUE,IF(OR(D4286="""",E4286="""",I4286="""",J4286="""",H4286=""""),""ফাঁকা ঘর"",""""),IF(AND(C4286&lt;&gt;"""",D4286&lt;&gt;"""",C4286=D4286),""gloss=figurative"",""""),IF(LEN(D4286)&lt;15,""figurative ছোট"",""""),IF(AND(I4286=""Positive"",REGEXMATCH(H4"&amp;"286,""মূর্খ|ভণ্ড|প্রতার|অলস|লোভ|স্বার্থ|অক্ষম|অযোগ্য|বোকা|কৃপণ|হিংস"")),""valence-target অমিল"",""""),IF(COUNTIF($B:$B,B4286)&gt;1,""ডুপ্লিকেট"",""""))"),"")</f>
        <v/>
      </c>
      <c r="Q4286" s="5" t="str">
        <f t="shared" si="1"/>
        <v>২ পরে</v>
      </c>
    </row>
    <row r="4287">
      <c r="A4287" s="4">
        <v>2107.0</v>
      </c>
      <c r="B4287" s="2" t="s">
        <v>17538</v>
      </c>
      <c r="C4287" s="2" t="s">
        <v>17539</v>
      </c>
      <c r="D4287" s="2" t="s">
        <v>17540</v>
      </c>
      <c r="E4287" s="2" t="s">
        <v>17541</v>
      </c>
      <c r="F4287" s="2" t="b">
        <v>1</v>
      </c>
      <c r="G4287" s="2" t="b">
        <v>0</v>
      </c>
      <c r="H4287" s="2" t="s">
        <v>37</v>
      </c>
      <c r="I4287" s="2" t="s">
        <v>49</v>
      </c>
      <c r="J4287" s="2" t="s">
        <v>447</v>
      </c>
      <c r="K4287" s="2" t="s">
        <v>495</v>
      </c>
      <c r="L4287" s="13" t="s">
        <v>496</v>
      </c>
      <c r="M4287" s="2" t="s">
        <v>26</v>
      </c>
      <c r="N4287" s="29"/>
      <c r="O4287" s="29"/>
      <c r="P4287" s="5" t="str">
        <f>IFERROR(__xludf.DUMMYFUNCTION("TEXTJOIN("" | "",TRUE,IF(OR(D4287="""",E4287="""",I4287="""",J4287="""",H4287=""""),""ফাঁকা ঘর"",""""),IF(AND(C4287&lt;&gt;"""",D4287&lt;&gt;"""",C4287=D4287),""gloss=figurative"",""""),IF(LEN(D4287)&lt;15,""figurative ছোট"",""""),IF(AND(I4287=""Positive"",REGEXMATCH(H4"&amp;"287,""মূর্খ|ভণ্ড|প্রতার|অলস|লোভ|স্বার্থ|অক্ষম|অযোগ্য|বোকা|কৃপণ|হিংস"")),""valence-target অমিল"",""""),IF(COUNTIF($B:$B,B4287)&gt;1,""ডুপ্লিকেট"",""""))"),"")</f>
        <v/>
      </c>
      <c r="Q4287" s="5" t="str">
        <f t="shared" si="1"/>
        <v>২ পরে</v>
      </c>
    </row>
    <row r="4288">
      <c r="A4288" s="4">
        <v>2108.0</v>
      </c>
      <c r="B4288" s="2" t="s">
        <v>17542</v>
      </c>
      <c r="C4288" s="2" t="s">
        <v>17543</v>
      </c>
      <c r="D4288" s="2" t="s">
        <v>17544</v>
      </c>
      <c r="E4288" s="2" t="s">
        <v>17545</v>
      </c>
      <c r="F4288" s="2" t="b">
        <v>1</v>
      </c>
      <c r="G4288" s="2" t="b">
        <v>0</v>
      </c>
      <c r="H4288" s="2" t="s">
        <v>37</v>
      </c>
      <c r="I4288" s="2" t="s">
        <v>32</v>
      </c>
      <c r="J4288" s="2" t="s">
        <v>1249</v>
      </c>
      <c r="K4288" s="2" t="s">
        <v>495</v>
      </c>
      <c r="L4288" s="13" t="s">
        <v>496</v>
      </c>
      <c r="M4288" s="2" t="s">
        <v>26</v>
      </c>
      <c r="N4288" s="29"/>
      <c r="O4288" s="29"/>
      <c r="P4288" s="5" t="str">
        <f>IFERROR(__xludf.DUMMYFUNCTION("TEXTJOIN("" | "",TRUE,IF(OR(D4288="""",E4288="""",I4288="""",J4288="""",H4288=""""),""ফাঁকা ঘর"",""""),IF(AND(C4288&lt;&gt;"""",D4288&lt;&gt;"""",C4288=D4288),""gloss=figurative"",""""),IF(LEN(D4288)&lt;15,""figurative ছোট"",""""),IF(AND(I4288=""Positive"",REGEXMATCH(H4"&amp;"288,""মূর্খ|ভণ্ড|প্রতার|অলস|লোভ|স্বার্থ|অক্ষম|অযোগ্য|বোকা|কৃপণ|হিংস"")),""valence-target অমিল"",""""),IF(COUNTIF($B:$B,B4288)&gt;1,""ডুপ্লিকেট"",""""))"),"")</f>
        <v/>
      </c>
      <c r="Q4288" s="5" t="str">
        <f t="shared" si="1"/>
        <v>২ পরে</v>
      </c>
    </row>
    <row r="4289">
      <c r="A4289" s="4">
        <v>2109.0</v>
      </c>
      <c r="B4289" s="2" t="s">
        <v>17546</v>
      </c>
      <c r="C4289" s="2" t="s">
        <v>17547</v>
      </c>
      <c r="D4289" s="2" t="s">
        <v>17548</v>
      </c>
      <c r="E4289" s="2" t="s">
        <v>17549</v>
      </c>
      <c r="F4289" s="2" t="b">
        <v>1</v>
      </c>
      <c r="G4289" s="2" t="b">
        <v>0</v>
      </c>
      <c r="H4289" s="2" t="s">
        <v>37</v>
      </c>
      <c r="I4289" s="2" t="s">
        <v>32</v>
      </c>
      <c r="J4289" s="2" t="s">
        <v>1249</v>
      </c>
      <c r="K4289" s="2" t="s">
        <v>495</v>
      </c>
      <c r="L4289" s="13" t="s">
        <v>496</v>
      </c>
      <c r="M4289" s="2" t="s">
        <v>26</v>
      </c>
      <c r="N4289" s="29"/>
      <c r="O4289" s="29"/>
      <c r="P4289" s="5" t="str">
        <f>IFERROR(__xludf.DUMMYFUNCTION("TEXTJOIN("" | "",TRUE,IF(OR(D4289="""",E4289="""",I4289="""",J4289="""",H4289=""""),""ফাঁকা ঘর"",""""),IF(AND(C4289&lt;&gt;"""",D4289&lt;&gt;"""",C4289=D4289),""gloss=figurative"",""""),IF(LEN(D4289)&lt;15,""figurative ছোট"",""""),IF(AND(I4289=""Positive"",REGEXMATCH(H4"&amp;"289,""মূর্খ|ভণ্ড|প্রতার|অলস|লোভ|স্বার্থ|অক্ষম|অযোগ্য|বোকা|কৃপণ|হিংস"")),""valence-target অমিল"",""""),IF(COUNTIF($B:$B,B4289)&gt;1,""ডুপ্লিকেট"",""""))"),"")</f>
        <v/>
      </c>
      <c r="Q4289" s="5" t="str">
        <f t="shared" si="1"/>
        <v>২ পরে</v>
      </c>
    </row>
    <row r="4290">
      <c r="A4290" s="4">
        <v>2110.0</v>
      </c>
      <c r="B4290" s="2" t="s">
        <v>17550</v>
      </c>
      <c r="C4290" s="2" t="s">
        <v>17551</v>
      </c>
      <c r="D4290" s="2" t="s">
        <v>17552</v>
      </c>
      <c r="E4290" s="2" t="s">
        <v>17553</v>
      </c>
      <c r="F4290" s="2" t="b">
        <v>1</v>
      </c>
      <c r="G4290" s="2" t="b">
        <v>0</v>
      </c>
      <c r="H4290" s="2" t="s">
        <v>37</v>
      </c>
      <c r="I4290" s="2" t="s">
        <v>49</v>
      </c>
      <c r="J4290" s="2" t="s">
        <v>1603</v>
      </c>
      <c r="K4290" s="2" t="s">
        <v>495</v>
      </c>
      <c r="L4290" s="13" t="s">
        <v>496</v>
      </c>
      <c r="M4290" s="2" t="s">
        <v>26</v>
      </c>
      <c r="N4290" s="29"/>
      <c r="O4290" s="29"/>
      <c r="P4290" s="5" t="str">
        <f>IFERROR(__xludf.DUMMYFUNCTION("TEXTJOIN("" | "",TRUE,IF(OR(D4290="""",E4290="""",I4290="""",J4290="""",H4290=""""),""ফাঁকা ঘর"",""""),IF(AND(C4290&lt;&gt;"""",D4290&lt;&gt;"""",C4290=D4290),""gloss=figurative"",""""),IF(LEN(D4290)&lt;15,""figurative ছোট"",""""),IF(AND(I4290=""Positive"",REGEXMATCH(H4"&amp;"290,""মূর্খ|ভণ্ড|প্রতার|অলস|লোভ|স্বার্থ|অক্ষম|অযোগ্য|বোকা|কৃপণ|হিংস"")),""valence-target অমিল"",""""),IF(COUNTIF($B:$B,B4290)&gt;1,""ডুপ্লিকেট"",""""))"),"")</f>
        <v/>
      </c>
      <c r="Q4290" s="5" t="str">
        <f t="shared" si="1"/>
        <v>২ পরে</v>
      </c>
    </row>
    <row r="4291">
      <c r="A4291" s="4">
        <v>2111.0</v>
      </c>
      <c r="B4291" s="2" t="s">
        <v>17554</v>
      </c>
      <c r="C4291" s="2" t="s">
        <v>17555</v>
      </c>
      <c r="D4291" s="2" t="s">
        <v>17556</v>
      </c>
      <c r="E4291" s="2" t="s">
        <v>17557</v>
      </c>
      <c r="F4291" s="2" t="b">
        <v>1</v>
      </c>
      <c r="G4291" s="2" t="b">
        <v>0</v>
      </c>
      <c r="H4291" s="2" t="s">
        <v>1334</v>
      </c>
      <c r="I4291" s="2" t="s">
        <v>22</v>
      </c>
      <c r="J4291" s="2" t="s">
        <v>820</v>
      </c>
      <c r="K4291" s="2" t="s">
        <v>495</v>
      </c>
      <c r="L4291" s="13" t="s">
        <v>496</v>
      </c>
      <c r="M4291" s="2" t="s">
        <v>26</v>
      </c>
      <c r="N4291" s="29"/>
      <c r="O4291" s="29"/>
      <c r="P4291" s="5" t="str">
        <f>IFERROR(__xludf.DUMMYFUNCTION("TEXTJOIN("" | "",TRUE,IF(OR(D4291="""",E4291="""",I4291="""",J4291="""",H4291=""""),""ফাঁকা ঘর"",""""),IF(AND(C4291&lt;&gt;"""",D4291&lt;&gt;"""",C4291=D4291),""gloss=figurative"",""""),IF(LEN(D4291)&lt;15,""figurative ছোট"",""""),IF(AND(I4291=""Positive"",REGEXMATCH(H4"&amp;"291,""মূর্খ|ভণ্ড|প্রতার|অলস|লোভ|স্বার্থ|অক্ষম|অযোগ্য|বোকা|কৃপণ|হিংস"")),""valence-target অমিল"",""""),IF(COUNTIF($B:$B,B4291)&gt;1,""ডুপ্লিকেট"",""""))"),"")</f>
        <v/>
      </c>
      <c r="Q4291" s="5" t="str">
        <f t="shared" si="1"/>
        <v>২ পরে</v>
      </c>
    </row>
    <row r="4292">
      <c r="A4292" s="4">
        <v>2112.0</v>
      </c>
      <c r="B4292" s="2" t="s">
        <v>17558</v>
      </c>
      <c r="C4292" s="2" t="s">
        <v>17559</v>
      </c>
      <c r="D4292" s="2" t="s">
        <v>17560</v>
      </c>
      <c r="E4292" s="2" t="s">
        <v>17561</v>
      </c>
      <c r="F4292" s="2" t="b">
        <v>1</v>
      </c>
      <c r="G4292" s="2" t="b">
        <v>0</v>
      </c>
      <c r="H4292" s="2" t="s">
        <v>1612</v>
      </c>
      <c r="I4292" s="2" t="s">
        <v>22</v>
      </c>
      <c r="J4292" s="2" t="s">
        <v>43</v>
      </c>
      <c r="K4292" s="2" t="s">
        <v>495</v>
      </c>
      <c r="L4292" s="13" t="s">
        <v>496</v>
      </c>
      <c r="M4292" s="2" t="s">
        <v>26</v>
      </c>
      <c r="N4292" s="29"/>
      <c r="O4292" s="29"/>
      <c r="P4292" s="5" t="str">
        <f>IFERROR(__xludf.DUMMYFUNCTION("TEXTJOIN("" | "",TRUE,IF(OR(D4292="""",E4292="""",I4292="""",J4292="""",H4292=""""),""ফাঁকা ঘর"",""""),IF(AND(C4292&lt;&gt;"""",D4292&lt;&gt;"""",C4292=D4292),""gloss=figurative"",""""),IF(LEN(D4292)&lt;15,""figurative ছোট"",""""),IF(AND(I4292=""Positive"",REGEXMATCH(H4"&amp;"292,""মূর্খ|ভণ্ড|প্রতার|অলস|লোভ|স্বার্থ|অক্ষম|অযোগ্য|বোকা|কৃপণ|হিংস"")),""valence-target অমিল"",""""),IF(COUNTIF($B:$B,B4292)&gt;1,""ডুপ্লিকেট"",""""))"),"")</f>
        <v/>
      </c>
      <c r="Q4292" s="5" t="str">
        <f t="shared" si="1"/>
        <v>২ পরে</v>
      </c>
    </row>
    <row r="4293">
      <c r="A4293" s="4">
        <v>2113.0</v>
      </c>
      <c r="B4293" s="2" t="s">
        <v>17562</v>
      </c>
      <c r="C4293" s="2" t="s">
        <v>17563</v>
      </c>
      <c r="D4293" s="2" t="s">
        <v>17564</v>
      </c>
      <c r="E4293" s="2" t="s">
        <v>17565</v>
      </c>
      <c r="F4293" s="2" t="b">
        <v>1</v>
      </c>
      <c r="G4293" s="2" t="b">
        <v>0</v>
      </c>
      <c r="H4293" s="2" t="s">
        <v>6161</v>
      </c>
      <c r="I4293" s="2" t="s">
        <v>49</v>
      </c>
      <c r="J4293" s="2" t="s">
        <v>1060</v>
      </c>
      <c r="K4293" s="2" t="s">
        <v>495</v>
      </c>
      <c r="L4293" s="13" t="s">
        <v>496</v>
      </c>
      <c r="M4293" s="2" t="s">
        <v>26</v>
      </c>
      <c r="N4293" s="29"/>
      <c r="O4293" s="29"/>
      <c r="P4293" s="5" t="str">
        <f>IFERROR(__xludf.DUMMYFUNCTION("TEXTJOIN("" | "",TRUE,IF(OR(D4293="""",E4293="""",I4293="""",J4293="""",H4293=""""),""ফাঁকা ঘর"",""""),IF(AND(C4293&lt;&gt;"""",D4293&lt;&gt;"""",C4293=D4293),""gloss=figurative"",""""),IF(LEN(D4293)&lt;15,""figurative ছোট"",""""),IF(AND(I4293=""Positive"",REGEXMATCH(H4"&amp;"293,""মূর্খ|ভণ্ড|প্রতার|অলস|লোভ|স্বার্থ|অক্ষম|অযোগ্য|বোকা|কৃপণ|হিংস"")),""valence-target অমিল"",""""),IF(COUNTIF($B:$B,B4293)&gt;1,""ডুপ্লিকেট"",""""))"),"")</f>
        <v/>
      </c>
      <c r="Q4293" s="5" t="str">
        <f t="shared" si="1"/>
        <v>২ পরে</v>
      </c>
    </row>
    <row r="4294">
      <c r="A4294" s="4">
        <v>2114.0</v>
      </c>
      <c r="B4294" s="2" t="s">
        <v>17566</v>
      </c>
      <c r="C4294" s="2" t="s">
        <v>17535</v>
      </c>
      <c r="D4294" s="2" t="s">
        <v>17567</v>
      </c>
      <c r="E4294" s="2" t="s">
        <v>17335</v>
      </c>
      <c r="F4294" s="2" t="b">
        <v>1</v>
      </c>
      <c r="G4294" s="2" t="b">
        <v>0</v>
      </c>
      <c r="H4294" s="2" t="s">
        <v>37</v>
      </c>
      <c r="I4294" s="2" t="s">
        <v>49</v>
      </c>
      <c r="J4294" s="2" t="s">
        <v>1249</v>
      </c>
      <c r="K4294" s="2" t="s">
        <v>495</v>
      </c>
      <c r="L4294" s="13" t="s">
        <v>496</v>
      </c>
      <c r="M4294" s="2" t="s">
        <v>26</v>
      </c>
      <c r="N4294" s="29"/>
      <c r="O4294" s="29"/>
      <c r="P4294" s="5" t="str">
        <f>IFERROR(__xludf.DUMMYFUNCTION("TEXTJOIN("" | "",TRUE,IF(OR(D4294="""",E4294="""",I4294="""",J4294="""",H4294=""""),""ফাঁকা ঘর"",""""),IF(AND(C4294&lt;&gt;"""",D4294&lt;&gt;"""",C4294=D4294),""gloss=figurative"",""""),IF(LEN(D4294)&lt;15,""figurative ছোট"",""""),IF(AND(I4294=""Positive"",REGEXMATCH(H4"&amp;"294,""মূর্খ|ভণ্ড|প্রতার|অলস|লোভ|স্বার্থ|অক্ষম|অযোগ্য|বোকা|কৃপণ|হিংস"")),""valence-target অমিল"",""""),IF(COUNTIF($B:$B,B4294)&gt;1,""ডুপ্লিকেট"",""""))"),"")</f>
        <v/>
      </c>
      <c r="Q4294" s="5" t="str">
        <f t="shared" si="1"/>
        <v>২ পরে</v>
      </c>
    </row>
    <row r="4295">
      <c r="A4295" s="4">
        <v>2115.0</v>
      </c>
      <c r="B4295" s="2" t="s">
        <v>17568</v>
      </c>
      <c r="C4295" s="2" t="s">
        <v>17569</v>
      </c>
      <c r="D4295" s="2" t="s">
        <v>17570</v>
      </c>
      <c r="E4295" s="2" t="s">
        <v>17571</v>
      </c>
      <c r="F4295" s="2" t="b">
        <v>1</v>
      </c>
      <c r="G4295" s="2" t="b">
        <v>0</v>
      </c>
      <c r="H4295" s="2" t="s">
        <v>37</v>
      </c>
      <c r="I4295" s="2" t="s">
        <v>32</v>
      </c>
      <c r="J4295" s="2" t="s">
        <v>17572</v>
      </c>
      <c r="K4295" s="2" t="s">
        <v>495</v>
      </c>
      <c r="L4295" s="13" t="s">
        <v>496</v>
      </c>
      <c r="M4295" s="2" t="s">
        <v>26</v>
      </c>
      <c r="N4295" s="29"/>
      <c r="O4295" s="29"/>
      <c r="P4295" s="5" t="str">
        <f>IFERROR(__xludf.DUMMYFUNCTION("TEXTJOIN("" | "",TRUE,IF(OR(D4295="""",E4295="""",I4295="""",J4295="""",H4295=""""),""ফাঁকা ঘর"",""""),IF(AND(C4295&lt;&gt;"""",D4295&lt;&gt;"""",C4295=D4295),""gloss=figurative"",""""),IF(LEN(D4295)&lt;15,""figurative ছোট"",""""),IF(AND(I4295=""Positive"",REGEXMATCH(H4"&amp;"295,""মূর্খ|ভণ্ড|প্রতার|অলস|লোভ|স্বার্থ|অক্ষম|অযোগ্য|বোকা|কৃপণ|হিংস"")),""valence-target অমিল"",""""),IF(COUNTIF($B:$B,B4295)&gt;1,""ডুপ্লিকেট"",""""))"),"")</f>
        <v/>
      </c>
      <c r="Q4295" s="5" t="str">
        <f t="shared" si="1"/>
        <v>২ পরে</v>
      </c>
    </row>
    <row r="4296">
      <c r="A4296" s="4">
        <v>2116.0</v>
      </c>
      <c r="B4296" s="2" t="s">
        <v>17573</v>
      </c>
      <c r="C4296" s="2" t="s">
        <v>17574</v>
      </c>
      <c r="D4296" s="2" t="s">
        <v>17575</v>
      </c>
      <c r="E4296" s="2" t="s">
        <v>17576</v>
      </c>
      <c r="F4296" s="2" t="b">
        <v>1</v>
      </c>
      <c r="G4296" s="2" t="b">
        <v>0</v>
      </c>
      <c r="H4296" s="2" t="s">
        <v>12000</v>
      </c>
      <c r="I4296" s="2" t="s">
        <v>32</v>
      </c>
      <c r="J4296" s="2" t="s">
        <v>669</v>
      </c>
      <c r="K4296" s="2" t="s">
        <v>495</v>
      </c>
      <c r="L4296" s="13" t="s">
        <v>496</v>
      </c>
      <c r="M4296" s="2" t="s">
        <v>26</v>
      </c>
      <c r="N4296" s="29"/>
      <c r="O4296" s="29"/>
      <c r="P4296" s="5" t="str">
        <f>IFERROR(__xludf.DUMMYFUNCTION("TEXTJOIN("" | "",TRUE,IF(OR(D4296="""",E4296="""",I4296="""",J4296="""",H4296=""""),""ফাঁকা ঘর"",""""),IF(AND(C4296&lt;&gt;"""",D4296&lt;&gt;"""",C4296=D4296),""gloss=figurative"",""""),IF(LEN(D4296)&lt;15,""figurative ছোট"",""""),IF(AND(I4296=""Positive"",REGEXMATCH(H4"&amp;"296,""মূর্খ|ভণ্ড|প্রতার|অলস|লোভ|স্বার্থ|অক্ষম|অযোগ্য|বোকা|কৃপণ|হিংস"")),""valence-target অমিল"",""""),IF(COUNTIF($B:$B,B4296)&gt;1,""ডুপ্লিকেট"",""""))"),"")</f>
        <v/>
      </c>
      <c r="Q4296" s="5" t="str">
        <f t="shared" si="1"/>
        <v>২ পরে</v>
      </c>
    </row>
    <row r="4297">
      <c r="A4297" s="4">
        <v>2117.0</v>
      </c>
      <c r="B4297" s="2" t="s">
        <v>17577</v>
      </c>
      <c r="C4297" s="2" t="s">
        <v>17578</v>
      </c>
      <c r="D4297" s="2" t="s">
        <v>17579</v>
      </c>
      <c r="E4297" s="2" t="s">
        <v>17580</v>
      </c>
      <c r="F4297" s="2" t="b">
        <v>1</v>
      </c>
      <c r="G4297" s="2" t="b">
        <v>1</v>
      </c>
      <c r="H4297" s="2" t="s">
        <v>17581</v>
      </c>
      <c r="I4297" s="2" t="s">
        <v>22</v>
      </c>
      <c r="J4297" s="2" t="s">
        <v>17582</v>
      </c>
      <c r="K4297" s="2" t="s">
        <v>495</v>
      </c>
      <c r="L4297" s="13" t="s">
        <v>496</v>
      </c>
      <c r="M4297" s="2" t="s">
        <v>26</v>
      </c>
      <c r="N4297" s="29"/>
      <c r="O4297" s="29"/>
      <c r="P4297" s="5" t="str">
        <f>IFERROR(__xludf.DUMMYFUNCTION("TEXTJOIN("" | "",TRUE,IF(OR(D4297="""",E4297="""",I4297="""",J4297="""",H4297=""""),""ফাঁকা ঘর"",""""),IF(AND(C4297&lt;&gt;"""",D4297&lt;&gt;"""",C4297=D4297),""gloss=figurative"",""""),IF(LEN(D4297)&lt;15,""figurative ছোট"",""""),IF(AND(I4297=""Positive"",REGEXMATCH(H4"&amp;"297,""মূর্খ|ভণ্ড|প্রতার|অলস|লোভ|স্বার্থ|অক্ষম|অযোগ্য|বোকা|কৃপণ|হিংস"")),""valence-target অমিল"",""""),IF(COUNTIF($B:$B,B4297)&gt;1,""ডুপ্লিকেট"",""""))"),"")</f>
        <v/>
      </c>
      <c r="Q4297" s="5" t="str">
        <f t="shared" si="1"/>
        <v>২ পরে</v>
      </c>
    </row>
    <row r="4298">
      <c r="A4298" s="4">
        <v>2118.0</v>
      </c>
      <c r="B4298" s="2" t="s">
        <v>17583</v>
      </c>
      <c r="C4298" s="2" t="s">
        <v>17584</v>
      </c>
      <c r="D4298" s="2" t="s">
        <v>17585</v>
      </c>
      <c r="E4298" s="2" t="s">
        <v>17586</v>
      </c>
      <c r="F4298" s="2" t="b">
        <v>1</v>
      </c>
      <c r="G4298" s="2" t="b">
        <v>1</v>
      </c>
      <c r="H4298" s="2" t="s">
        <v>17587</v>
      </c>
      <c r="I4298" s="2" t="s">
        <v>22</v>
      </c>
      <c r="J4298" s="2" t="s">
        <v>1137</v>
      </c>
      <c r="K4298" s="2" t="s">
        <v>495</v>
      </c>
      <c r="L4298" s="13" t="s">
        <v>496</v>
      </c>
      <c r="M4298" s="2" t="s">
        <v>26</v>
      </c>
      <c r="N4298" s="29"/>
      <c r="O4298" s="29"/>
      <c r="P4298" s="5" t="str">
        <f>IFERROR(__xludf.DUMMYFUNCTION("TEXTJOIN("" | "",TRUE,IF(OR(D4298="""",E4298="""",I4298="""",J4298="""",H4298=""""),""ফাঁকা ঘর"",""""),IF(AND(C4298&lt;&gt;"""",D4298&lt;&gt;"""",C4298=D4298),""gloss=figurative"",""""),IF(LEN(D4298)&lt;15,""figurative ছোট"",""""),IF(AND(I4298=""Positive"",REGEXMATCH(H4"&amp;"298,""মূর্খ|ভণ্ড|প্রতার|অলস|লোভ|স্বার্থ|অক্ষম|অযোগ্য|বোকা|কৃপণ|হিংস"")),""valence-target অমিল"",""""),IF(COUNTIF($B:$B,B4298)&gt;1,""ডুপ্লিকেট"",""""))"),"")</f>
        <v/>
      </c>
      <c r="Q4298" s="5" t="str">
        <f t="shared" si="1"/>
        <v>২ পরে</v>
      </c>
    </row>
    <row r="4299">
      <c r="A4299" s="4">
        <v>2119.0</v>
      </c>
      <c r="B4299" s="2" t="s">
        <v>17588</v>
      </c>
      <c r="C4299" s="2" t="s">
        <v>17589</v>
      </c>
      <c r="D4299" s="2" t="s">
        <v>17590</v>
      </c>
      <c r="E4299" s="2" t="s">
        <v>17591</v>
      </c>
      <c r="F4299" s="2" t="b">
        <v>1</v>
      </c>
      <c r="G4299" s="2" t="b">
        <v>0</v>
      </c>
      <c r="H4299" s="2" t="s">
        <v>17592</v>
      </c>
      <c r="I4299" s="2" t="s">
        <v>22</v>
      </c>
      <c r="J4299" s="2" t="s">
        <v>1621</v>
      </c>
      <c r="K4299" s="2" t="s">
        <v>495</v>
      </c>
      <c r="L4299" s="13" t="s">
        <v>496</v>
      </c>
      <c r="M4299" s="2" t="s">
        <v>26</v>
      </c>
      <c r="N4299" s="29"/>
      <c r="O4299" s="29"/>
      <c r="P4299" s="5" t="str">
        <f>IFERROR(__xludf.DUMMYFUNCTION("TEXTJOIN("" | "",TRUE,IF(OR(D4299="""",E4299="""",I4299="""",J4299="""",H4299=""""),""ফাঁকা ঘর"",""""),IF(AND(C4299&lt;&gt;"""",D4299&lt;&gt;"""",C4299=D4299),""gloss=figurative"",""""),IF(LEN(D4299)&lt;15,""figurative ছোট"",""""),IF(AND(I4299=""Positive"",REGEXMATCH(H4"&amp;"299,""মূর্খ|ভণ্ড|প্রতার|অলস|লোভ|স্বার্থ|অক্ষম|অযোগ্য|বোকা|কৃপণ|হিংস"")),""valence-target অমিল"",""""),IF(COUNTIF($B:$B,B4299)&gt;1,""ডুপ্লিকেট"",""""))"),"")</f>
        <v/>
      </c>
      <c r="Q4299" s="5" t="str">
        <f t="shared" si="1"/>
        <v>২ পরে</v>
      </c>
    </row>
    <row r="4300">
      <c r="A4300" s="4">
        <v>2120.0</v>
      </c>
      <c r="B4300" s="2" t="s">
        <v>17593</v>
      </c>
      <c r="C4300" s="2" t="s">
        <v>17594</v>
      </c>
      <c r="D4300" s="2" t="s">
        <v>17595</v>
      </c>
      <c r="E4300" s="2" t="s">
        <v>17596</v>
      </c>
      <c r="F4300" s="2" t="b">
        <v>1</v>
      </c>
      <c r="G4300" s="2" t="b">
        <v>0</v>
      </c>
      <c r="H4300" s="2" t="s">
        <v>17597</v>
      </c>
      <c r="I4300" s="2" t="s">
        <v>22</v>
      </c>
      <c r="J4300" s="2" t="s">
        <v>3710</v>
      </c>
      <c r="K4300" s="2" t="s">
        <v>495</v>
      </c>
      <c r="L4300" s="13" t="s">
        <v>496</v>
      </c>
      <c r="M4300" s="2" t="s">
        <v>26</v>
      </c>
      <c r="N4300" s="29"/>
      <c r="O4300" s="29"/>
      <c r="P4300" s="5" t="str">
        <f>IFERROR(__xludf.DUMMYFUNCTION("TEXTJOIN("" | "",TRUE,IF(OR(D4300="""",E4300="""",I4300="""",J4300="""",H4300=""""),""ফাঁকা ঘর"",""""),IF(AND(C4300&lt;&gt;"""",D4300&lt;&gt;"""",C4300=D4300),""gloss=figurative"",""""),IF(LEN(D4300)&lt;15,""figurative ছোট"",""""),IF(AND(I4300=""Positive"",REGEXMATCH(H4"&amp;"300,""মূর্খ|ভণ্ড|প্রতার|অলস|লোভ|স্বার্থ|অক্ষম|অযোগ্য|বোকা|কৃপণ|হিংস"")),""valence-target অমিল"",""""),IF(COUNTIF($B:$B,B4300)&gt;1,""ডুপ্লিকেট"",""""))"),"")</f>
        <v/>
      </c>
      <c r="Q4300" s="5" t="str">
        <f t="shared" si="1"/>
        <v>২ পরে</v>
      </c>
    </row>
    <row r="4301">
      <c r="A4301" s="4">
        <v>2121.0</v>
      </c>
      <c r="B4301" s="2" t="s">
        <v>17598</v>
      </c>
      <c r="C4301" s="2" t="s">
        <v>17599</v>
      </c>
      <c r="D4301" s="2" t="s">
        <v>17600</v>
      </c>
      <c r="E4301" s="2" t="s">
        <v>17601</v>
      </c>
      <c r="F4301" s="2" t="b">
        <v>1</v>
      </c>
      <c r="G4301" s="2" t="b">
        <v>0</v>
      </c>
      <c r="H4301" s="2" t="s">
        <v>17602</v>
      </c>
      <c r="I4301" s="2" t="s">
        <v>22</v>
      </c>
      <c r="J4301" s="2" t="s">
        <v>1859</v>
      </c>
      <c r="K4301" s="2" t="s">
        <v>495</v>
      </c>
      <c r="L4301" s="13" t="s">
        <v>496</v>
      </c>
      <c r="M4301" s="2" t="s">
        <v>26</v>
      </c>
      <c r="N4301" s="29"/>
      <c r="O4301" s="29"/>
      <c r="P4301" s="5" t="str">
        <f>IFERROR(__xludf.DUMMYFUNCTION("TEXTJOIN("" | "",TRUE,IF(OR(D4301="""",E4301="""",I4301="""",J4301="""",H4301=""""),""ফাঁকা ঘর"",""""),IF(AND(C4301&lt;&gt;"""",D4301&lt;&gt;"""",C4301=D4301),""gloss=figurative"",""""),IF(LEN(D4301)&lt;15,""figurative ছোট"",""""),IF(AND(I4301=""Positive"",REGEXMATCH(H4"&amp;"301,""মূর্খ|ভণ্ড|প্রতার|অলস|লোভ|স্বার্থ|অক্ষম|অযোগ্য|বোকা|কৃপণ|হিংস"")),""valence-target অমিল"",""""),IF(COUNTIF($B:$B,B4301)&gt;1,""ডুপ্লিকেট"",""""))"),"")</f>
        <v/>
      </c>
      <c r="Q4301" s="5" t="str">
        <f t="shared" si="1"/>
        <v>২ পরে</v>
      </c>
    </row>
    <row r="4302">
      <c r="A4302" s="4">
        <v>2122.0</v>
      </c>
      <c r="B4302" s="2" t="s">
        <v>17603</v>
      </c>
      <c r="C4302" s="2" t="s">
        <v>17604</v>
      </c>
      <c r="D4302" s="2" t="s">
        <v>17605</v>
      </c>
      <c r="E4302" s="2" t="s">
        <v>17606</v>
      </c>
      <c r="F4302" s="2" t="b">
        <v>1</v>
      </c>
      <c r="G4302" s="2" t="b">
        <v>0</v>
      </c>
      <c r="H4302" s="2" t="s">
        <v>37</v>
      </c>
      <c r="I4302" s="2" t="s">
        <v>49</v>
      </c>
      <c r="J4302" s="2" t="s">
        <v>1621</v>
      </c>
      <c r="K4302" s="2" t="s">
        <v>495</v>
      </c>
      <c r="L4302" s="13" t="s">
        <v>496</v>
      </c>
      <c r="M4302" s="2" t="s">
        <v>26</v>
      </c>
      <c r="N4302" s="29"/>
      <c r="O4302" s="29"/>
      <c r="P4302" s="5" t="str">
        <f>IFERROR(__xludf.DUMMYFUNCTION("TEXTJOIN("" | "",TRUE,IF(OR(D4302="""",E4302="""",I4302="""",J4302="""",H4302=""""),""ফাঁকা ঘর"",""""),IF(AND(C4302&lt;&gt;"""",D4302&lt;&gt;"""",C4302=D4302),""gloss=figurative"",""""),IF(LEN(D4302)&lt;15,""figurative ছোট"",""""),IF(AND(I4302=""Positive"",REGEXMATCH(H4"&amp;"302,""মূর্খ|ভণ্ড|প্রতার|অলস|লোভ|স্বার্থ|অক্ষম|অযোগ্য|বোকা|কৃপণ|হিংস"")),""valence-target অমিল"",""""),IF(COUNTIF($B:$B,B4302)&gt;1,""ডুপ্লিকেট"",""""))"),"")</f>
        <v/>
      </c>
      <c r="Q4302" s="5" t="str">
        <f t="shared" si="1"/>
        <v>২ পরে</v>
      </c>
    </row>
    <row r="4303">
      <c r="A4303" s="4">
        <v>2123.0</v>
      </c>
      <c r="B4303" s="2" t="s">
        <v>17607</v>
      </c>
      <c r="C4303" s="2" t="s">
        <v>17608</v>
      </c>
      <c r="D4303" s="2" t="s">
        <v>17609</v>
      </c>
      <c r="E4303" s="2" t="s">
        <v>17610</v>
      </c>
      <c r="F4303" s="2" t="b">
        <v>1</v>
      </c>
      <c r="G4303" s="2" t="b">
        <v>0</v>
      </c>
      <c r="H4303" s="2" t="s">
        <v>17611</v>
      </c>
      <c r="I4303" s="2" t="s">
        <v>32</v>
      </c>
      <c r="J4303" s="2" t="s">
        <v>3105</v>
      </c>
      <c r="K4303" s="2" t="s">
        <v>495</v>
      </c>
      <c r="L4303" s="13" t="s">
        <v>496</v>
      </c>
      <c r="M4303" s="2" t="s">
        <v>26</v>
      </c>
      <c r="N4303" s="29"/>
      <c r="O4303" s="29"/>
      <c r="P4303" s="5" t="str">
        <f>IFERROR(__xludf.DUMMYFUNCTION("TEXTJOIN("" | "",TRUE,IF(OR(D4303="""",E4303="""",I4303="""",J4303="""",H4303=""""),""ফাঁকা ঘর"",""""),IF(AND(C4303&lt;&gt;"""",D4303&lt;&gt;"""",C4303=D4303),""gloss=figurative"",""""),IF(LEN(D4303)&lt;15,""figurative ছোট"",""""),IF(AND(I4303=""Positive"",REGEXMATCH(H4"&amp;"303,""মূর্খ|ভণ্ড|প্রতার|অলস|লোভ|স্বার্থ|অক্ষম|অযোগ্য|বোকা|কৃপণ|হিংস"")),""valence-target অমিল"",""""),IF(COUNTIF($B:$B,B4303)&gt;1,""ডুপ্লিকেট"",""""))"),"")</f>
        <v/>
      </c>
      <c r="Q4303" s="5" t="str">
        <f t="shared" si="1"/>
        <v>২ পরে</v>
      </c>
    </row>
    <row r="4304">
      <c r="A4304" s="4">
        <v>2124.0</v>
      </c>
      <c r="B4304" s="2" t="s">
        <v>17612</v>
      </c>
      <c r="C4304" s="2" t="s">
        <v>17613</v>
      </c>
      <c r="D4304" s="2" t="s">
        <v>17614</v>
      </c>
      <c r="E4304" s="2" t="s">
        <v>17615</v>
      </c>
      <c r="F4304" s="2" t="b">
        <v>1</v>
      </c>
      <c r="G4304" s="2" t="b">
        <v>0</v>
      </c>
      <c r="H4304" s="2" t="s">
        <v>17616</v>
      </c>
      <c r="I4304" s="2" t="s">
        <v>22</v>
      </c>
      <c r="J4304" s="2" t="s">
        <v>43</v>
      </c>
      <c r="K4304" s="2" t="s">
        <v>495</v>
      </c>
      <c r="L4304" s="13" t="s">
        <v>496</v>
      </c>
      <c r="M4304" s="2" t="s">
        <v>26</v>
      </c>
      <c r="N4304" s="29"/>
      <c r="O4304" s="29"/>
      <c r="P4304" s="5" t="str">
        <f>IFERROR(__xludf.DUMMYFUNCTION("TEXTJOIN("" | "",TRUE,IF(OR(D4304="""",E4304="""",I4304="""",J4304="""",H4304=""""),""ফাঁকা ঘর"",""""),IF(AND(C4304&lt;&gt;"""",D4304&lt;&gt;"""",C4304=D4304),""gloss=figurative"",""""),IF(LEN(D4304)&lt;15,""figurative ছোট"",""""),IF(AND(I4304=""Positive"",REGEXMATCH(H4"&amp;"304,""মূর্খ|ভণ্ড|প্রতার|অলস|লোভ|স্বার্থ|অক্ষম|অযোগ্য|বোকা|কৃপণ|হিংস"")),""valence-target অমিল"",""""),IF(COUNTIF($B:$B,B4304)&gt;1,""ডুপ্লিকেট"",""""))"),"")</f>
        <v/>
      </c>
      <c r="Q4304" s="5" t="str">
        <f t="shared" si="1"/>
        <v>২ পরে</v>
      </c>
    </row>
    <row r="4305">
      <c r="A4305" s="4">
        <v>2125.0</v>
      </c>
      <c r="B4305" s="2" t="s">
        <v>17617</v>
      </c>
      <c r="C4305" s="2" t="s">
        <v>17618</v>
      </c>
      <c r="D4305" s="2" t="s">
        <v>17619</v>
      </c>
      <c r="E4305" s="2" t="s">
        <v>17620</v>
      </c>
      <c r="F4305" s="2" t="b">
        <v>1</v>
      </c>
      <c r="G4305" s="2" t="b">
        <v>0</v>
      </c>
      <c r="H4305" s="2" t="s">
        <v>17621</v>
      </c>
      <c r="I4305" s="2" t="s">
        <v>22</v>
      </c>
      <c r="J4305" s="2" t="s">
        <v>669</v>
      </c>
      <c r="K4305" s="2" t="s">
        <v>495</v>
      </c>
      <c r="L4305" s="13" t="s">
        <v>496</v>
      </c>
      <c r="M4305" s="2" t="s">
        <v>26</v>
      </c>
      <c r="N4305" s="29"/>
      <c r="O4305" s="29"/>
      <c r="P4305" s="5" t="str">
        <f>IFERROR(__xludf.DUMMYFUNCTION("TEXTJOIN("" | "",TRUE,IF(OR(D4305="""",E4305="""",I4305="""",J4305="""",H4305=""""),""ফাঁকা ঘর"",""""),IF(AND(C4305&lt;&gt;"""",D4305&lt;&gt;"""",C4305=D4305),""gloss=figurative"",""""),IF(LEN(D4305)&lt;15,""figurative ছোট"",""""),IF(AND(I4305=""Positive"",REGEXMATCH(H4"&amp;"305,""মূর্খ|ভণ্ড|প্রতার|অলস|লোভ|স্বার্থ|অক্ষম|অযোগ্য|বোকা|কৃপণ|হিংস"")),""valence-target অমিল"",""""),IF(COUNTIF($B:$B,B4305)&gt;1,""ডুপ্লিকেট"",""""))"),"")</f>
        <v/>
      </c>
      <c r="Q4305" s="5" t="str">
        <f t="shared" si="1"/>
        <v>২ পরে</v>
      </c>
    </row>
    <row r="4306">
      <c r="A4306" s="4">
        <v>2126.0</v>
      </c>
      <c r="B4306" s="2" t="s">
        <v>17622</v>
      </c>
      <c r="C4306" s="2" t="s">
        <v>17623</v>
      </c>
      <c r="D4306" s="2" t="s">
        <v>17624</v>
      </c>
      <c r="E4306" s="2" t="s">
        <v>17625</v>
      </c>
      <c r="F4306" s="2" t="b">
        <v>1</v>
      </c>
      <c r="G4306" s="2" t="b">
        <v>0</v>
      </c>
      <c r="H4306" s="2" t="s">
        <v>16798</v>
      </c>
      <c r="I4306" s="2" t="s">
        <v>22</v>
      </c>
      <c r="J4306" s="2" t="s">
        <v>15227</v>
      </c>
      <c r="K4306" s="2" t="s">
        <v>495</v>
      </c>
      <c r="L4306" s="13" t="s">
        <v>496</v>
      </c>
      <c r="M4306" s="2" t="s">
        <v>26</v>
      </c>
      <c r="N4306" s="29"/>
      <c r="O4306" s="29"/>
      <c r="P4306" s="5" t="str">
        <f>IFERROR(__xludf.DUMMYFUNCTION("TEXTJOIN("" | "",TRUE,IF(OR(D4306="""",E4306="""",I4306="""",J4306="""",H4306=""""),""ফাঁকা ঘর"",""""),IF(AND(C4306&lt;&gt;"""",D4306&lt;&gt;"""",C4306=D4306),""gloss=figurative"",""""),IF(LEN(D4306)&lt;15,""figurative ছোট"",""""),IF(AND(I4306=""Positive"",REGEXMATCH(H4"&amp;"306,""মূর্খ|ভণ্ড|প্রতার|অলস|লোভ|স্বার্থ|অক্ষম|অযোগ্য|বোকা|কৃপণ|হিংস"")),""valence-target অমিল"",""""),IF(COUNTIF($B:$B,B4306)&gt;1,""ডুপ্লিকেট"",""""))"),"")</f>
        <v/>
      </c>
      <c r="Q4306" s="5" t="str">
        <f t="shared" si="1"/>
        <v>২ পরে</v>
      </c>
    </row>
    <row r="4307">
      <c r="A4307" s="4">
        <v>2127.0</v>
      </c>
      <c r="B4307" s="2" t="s">
        <v>17626</v>
      </c>
      <c r="C4307" s="2" t="s">
        <v>17627</v>
      </c>
      <c r="D4307" s="2" t="s">
        <v>17628</v>
      </c>
      <c r="E4307" s="2" t="s">
        <v>17629</v>
      </c>
      <c r="F4307" s="2" t="b">
        <v>1</v>
      </c>
      <c r="G4307" s="2" t="b">
        <v>0</v>
      </c>
      <c r="H4307" s="2" t="s">
        <v>17630</v>
      </c>
      <c r="I4307" s="2" t="s">
        <v>22</v>
      </c>
      <c r="J4307" s="2" t="s">
        <v>1117</v>
      </c>
      <c r="K4307" s="2" t="s">
        <v>376</v>
      </c>
      <c r="L4307" s="2" t="s">
        <v>391</v>
      </c>
      <c r="M4307" s="2" t="s">
        <v>26</v>
      </c>
      <c r="N4307" s="29"/>
      <c r="O4307" s="29"/>
      <c r="P4307" s="5" t="str">
        <f>IFERROR(__xludf.DUMMYFUNCTION("TEXTJOIN("" | "",TRUE,IF(OR(D4307="""",E4307="""",I4307="""",J4307="""",H4307=""""),""ফাঁকা ঘর"",""""),IF(AND(C4307&lt;&gt;"""",D4307&lt;&gt;"""",C4307=D4307),""gloss=figurative"",""""),IF(LEN(D4307)&lt;15,""figurative ছোট"",""""),IF(AND(I4307=""Positive"",REGEXMATCH(H4"&amp;"307,""মূর্খ|ভণ্ড|প্রতার|অলস|লোভ|স্বার্থ|অক্ষম|অযোগ্য|বোকা|কৃপণ|হিংস"")),""valence-target অমিল"",""""),IF(COUNTIF($B:$B,B4307)&gt;1,""ডুপ্লিকেট"",""""))"),"")</f>
        <v/>
      </c>
      <c r="Q4307" s="5" t="str">
        <f t="shared" si="1"/>
        <v>২ পরে</v>
      </c>
    </row>
    <row r="4308">
      <c r="A4308" s="4">
        <v>2128.0</v>
      </c>
      <c r="B4308" s="2" t="s">
        <v>17631</v>
      </c>
      <c r="C4308" s="2" t="s">
        <v>17632</v>
      </c>
      <c r="D4308" s="2" t="s">
        <v>17633</v>
      </c>
      <c r="E4308" s="2" t="s">
        <v>17634</v>
      </c>
      <c r="F4308" s="2" t="b">
        <v>1</v>
      </c>
      <c r="G4308" s="2" t="b">
        <v>0</v>
      </c>
      <c r="H4308" s="2" t="s">
        <v>1065</v>
      </c>
      <c r="I4308" s="2" t="s">
        <v>32</v>
      </c>
      <c r="J4308" s="2" t="s">
        <v>669</v>
      </c>
      <c r="K4308" s="2" t="s">
        <v>376</v>
      </c>
      <c r="L4308" s="2" t="s">
        <v>391</v>
      </c>
      <c r="M4308" s="2" t="s">
        <v>26</v>
      </c>
      <c r="N4308" s="29"/>
      <c r="O4308" s="29"/>
      <c r="P4308" s="5" t="str">
        <f>IFERROR(__xludf.DUMMYFUNCTION("TEXTJOIN("" | "",TRUE,IF(OR(D4308="""",E4308="""",I4308="""",J4308="""",H4308=""""),""ফাঁকা ঘর"",""""),IF(AND(C4308&lt;&gt;"""",D4308&lt;&gt;"""",C4308=D4308),""gloss=figurative"",""""),IF(LEN(D4308)&lt;15,""figurative ছোট"",""""),IF(AND(I4308=""Positive"",REGEXMATCH(H4"&amp;"308,""মূর্খ|ভণ্ড|প্রতার|অলস|লোভ|স্বার্থ|অক্ষম|অযোগ্য|বোকা|কৃপণ|হিংস"")),""valence-target অমিল"",""""),IF(COUNTIF($B:$B,B4308)&gt;1,""ডুপ্লিকেট"",""""))"),"")</f>
        <v/>
      </c>
      <c r="Q4308" s="5" t="str">
        <f t="shared" si="1"/>
        <v>২ পরে</v>
      </c>
    </row>
    <row r="4309">
      <c r="A4309" s="4">
        <v>2129.0</v>
      </c>
      <c r="B4309" s="2" t="s">
        <v>17635</v>
      </c>
      <c r="C4309" s="2" t="s">
        <v>17636</v>
      </c>
      <c r="D4309" s="2" t="s">
        <v>17637</v>
      </c>
      <c r="E4309" s="2" t="s">
        <v>17638</v>
      </c>
      <c r="F4309" s="2" t="b">
        <v>1</v>
      </c>
      <c r="G4309" s="2" t="b">
        <v>0</v>
      </c>
      <c r="H4309" s="2" t="s">
        <v>37</v>
      </c>
      <c r="I4309" s="2" t="s">
        <v>32</v>
      </c>
      <c r="J4309" s="2" t="s">
        <v>1027</v>
      </c>
      <c r="K4309" s="2" t="s">
        <v>376</v>
      </c>
      <c r="L4309" s="2" t="s">
        <v>391</v>
      </c>
      <c r="M4309" s="2" t="s">
        <v>26</v>
      </c>
      <c r="N4309" s="29"/>
      <c r="O4309" s="29"/>
      <c r="P4309" s="5" t="str">
        <f>IFERROR(__xludf.DUMMYFUNCTION("TEXTJOIN("" | "",TRUE,IF(OR(D4309="""",E4309="""",I4309="""",J4309="""",H4309=""""),""ফাঁকা ঘর"",""""),IF(AND(C4309&lt;&gt;"""",D4309&lt;&gt;"""",C4309=D4309),""gloss=figurative"",""""),IF(LEN(D4309)&lt;15,""figurative ছোট"",""""),IF(AND(I4309=""Positive"",REGEXMATCH(H4"&amp;"309,""মূর্খ|ভণ্ড|প্রতার|অলস|লোভ|স্বার্থ|অক্ষম|অযোগ্য|বোকা|কৃপণ|হিংস"")),""valence-target অমিল"",""""),IF(COUNTIF($B:$B,B4309)&gt;1,""ডুপ্লিকেট"",""""))"),"")</f>
        <v/>
      </c>
      <c r="Q4309" s="5" t="str">
        <f t="shared" si="1"/>
        <v>২ পরে</v>
      </c>
    </row>
    <row r="4310">
      <c r="A4310" s="4">
        <v>2130.0</v>
      </c>
      <c r="B4310" s="2" t="s">
        <v>17639</v>
      </c>
      <c r="C4310" s="2" t="s">
        <v>17639</v>
      </c>
      <c r="D4310" s="2" t="s">
        <v>17640</v>
      </c>
      <c r="E4310" s="2" t="s">
        <v>17641</v>
      </c>
      <c r="F4310" s="2" t="b">
        <v>1</v>
      </c>
      <c r="G4310" s="2" t="b">
        <v>0</v>
      </c>
      <c r="H4310" s="2" t="s">
        <v>37</v>
      </c>
      <c r="I4310" s="2" t="s">
        <v>32</v>
      </c>
      <c r="J4310" s="2" t="s">
        <v>162</v>
      </c>
      <c r="K4310" s="2" t="s">
        <v>376</v>
      </c>
      <c r="L4310" s="2" t="s">
        <v>391</v>
      </c>
      <c r="M4310" s="2" t="s">
        <v>26</v>
      </c>
      <c r="N4310" s="29"/>
      <c r="O4310" s="29"/>
      <c r="P4310" s="5" t="str">
        <f>IFERROR(__xludf.DUMMYFUNCTION("TEXTJOIN("" | "",TRUE,IF(OR(D4310="""",E4310="""",I4310="""",J4310="""",H4310=""""),""ফাঁকা ঘর"",""""),IF(AND(C4310&lt;&gt;"""",D4310&lt;&gt;"""",C4310=D4310),""gloss=figurative"",""""),IF(LEN(D4310)&lt;15,""figurative ছোট"",""""),IF(AND(I4310=""Positive"",REGEXMATCH(H4"&amp;"310,""মূর্খ|ভণ্ড|প্রতার|অলস|লোভ|স্বার্থ|অক্ষম|অযোগ্য|বোকা|কৃপণ|হিংস"")),""valence-target অমিল"",""""),IF(COUNTIF($B:$B,B4310)&gt;1,""ডুপ্লিকেট"",""""))"),"")</f>
        <v/>
      </c>
      <c r="Q4310" s="5" t="str">
        <f t="shared" si="1"/>
        <v>২ পরে</v>
      </c>
    </row>
    <row r="4311">
      <c r="A4311" s="4">
        <v>2131.0</v>
      </c>
      <c r="B4311" s="2" t="s">
        <v>17642</v>
      </c>
      <c r="C4311" s="2" t="s">
        <v>17643</v>
      </c>
      <c r="D4311" s="2" t="s">
        <v>17644</v>
      </c>
      <c r="E4311" s="2" t="s">
        <v>17645</v>
      </c>
      <c r="F4311" s="2" t="b">
        <v>1</v>
      </c>
      <c r="G4311" s="2" t="b">
        <v>0</v>
      </c>
      <c r="H4311" s="2" t="s">
        <v>37</v>
      </c>
      <c r="I4311" s="2" t="s">
        <v>49</v>
      </c>
      <c r="J4311" s="2" t="s">
        <v>300</v>
      </c>
      <c r="K4311" s="2" t="s">
        <v>376</v>
      </c>
      <c r="L4311" s="2" t="s">
        <v>391</v>
      </c>
      <c r="M4311" s="2" t="s">
        <v>26</v>
      </c>
      <c r="N4311" s="29"/>
      <c r="O4311" s="29"/>
      <c r="P4311" s="5" t="str">
        <f>IFERROR(__xludf.DUMMYFUNCTION("TEXTJOIN("" | "",TRUE,IF(OR(D4311="""",E4311="""",I4311="""",J4311="""",H4311=""""),""ফাঁকা ঘর"",""""),IF(AND(C4311&lt;&gt;"""",D4311&lt;&gt;"""",C4311=D4311),""gloss=figurative"",""""),IF(LEN(D4311)&lt;15,""figurative ছোট"",""""),IF(AND(I4311=""Positive"",REGEXMATCH(H4"&amp;"311,""মূর্খ|ভণ্ড|প্রতার|অলস|লোভ|স্বার্থ|অক্ষম|অযোগ্য|বোকা|কৃপণ|হিংস"")),""valence-target অমিল"",""""),IF(COUNTIF($B:$B,B4311)&gt;1,""ডুপ্লিকেট"",""""))"),"")</f>
        <v/>
      </c>
      <c r="Q4311" s="5" t="str">
        <f t="shared" si="1"/>
        <v>২ পরে</v>
      </c>
    </row>
    <row r="4312">
      <c r="A4312" s="4">
        <v>2132.0</v>
      </c>
      <c r="B4312" s="2" t="s">
        <v>17646</v>
      </c>
      <c r="C4312" s="2" t="s">
        <v>17647</v>
      </c>
      <c r="D4312" s="2" t="s">
        <v>17648</v>
      </c>
      <c r="E4312" s="2" t="s">
        <v>17649</v>
      </c>
      <c r="F4312" s="2" t="b">
        <v>1</v>
      </c>
      <c r="G4312" s="2" t="b">
        <v>0</v>
      </c>
      <c r="H4312" s="2" t="s">
        <v>37</v>
      </c>
      <c r="I4312" s="2" t="s">
        <v>22</v>
      </c>
      <c r="J4312" s="2" t="s">
        <v>5350</v>
      </c>
      <c r="K4312" s="2" t="s">
        <v>376</v>
      </c>
      <c r="L4312" s="2" t="s">
        <v>391</v>
      </c>
      <c r="M4312" s="2" t="s">
        <v>26</v>
      </c>
      <c r="N4312" s="29"/>
      <c r="O4312" s="29"/>
      <c r="P4312" s="5" t="str">
        <f>IFERROR(__xludf.DUMMYFUNCTION("TEXTJOIN("" | "",TRUE,IF(OR(D4312="""",E4312="""",I4312="""",J4312="""",H4312=""""),""ফাঁকা ঘর"",""""),IF(AND(C4312&lt;&gt;"""",D4312&lt;&gt;"""",C4312=D4312),""gloss=figurative"",""""),IF(LEN(D4312)&lt;15,""figurative ছোট"",""""),IF(AND(I4312=""Positive"",REGEXMATCH(H4"&amp;"312,""মূর্খ|ভণ্ড|প্রতার|অলস|লোভ|স্বার্থ|অক্ষম|অযোগ্য|বোকা|কৃপণ|হিংস"")),""valence-target অমিল"",""""),IF(COUNTIF($B:$B,B4312)&gt;1,""ডুপ্লিকেট"",""""))"),"")</f>
        <v/>
      </c>
      <c r="Q4312" s="5" t="str">
        <f t="shared" si="1"/>
        <v>২ পরে</v>
      </c>
    </row>
    <row r="4313">
      <c r="A4313" s="4">
        <v>2133.0</v>
      </c>
      <c r="B4313" s="2" t="s">
        <v>17650</v>
      </c>
      <c r="C4313" s="2" t="s">
        <v>17651</v>
      </c>
      <c r="D4313" s="2" t="s">
        <v>17652</v>
      </c>
      <c r="E4313" s="2" t="s">
        <v>17653</v>
      </c>
      <c r="F4313" s="2" t="b">
        <v>1</v>
      </c>
      <c r="G4313" s="2" t="b">
        <v>0</v>
      </c>
      <c r="H4313" s="2" t="s">
        <v>749</v>
      </c>
      <c r="I4313" s="2" t="s">
        <v>22</v>
      </c>
      <c r="J4313" s="2" t="s">
        <v>750</v>
      </c>
      <c r="K4313" s="2" t="s">
        <v>376</v>
      </c>
      <c r="L4313" s="2" t="s">
        <v>391</v>
      </c>
      <c r="M4313" s="2" t="s">
        <v>26</v>
      </c>
      <c r="N4313" s="29"/>
      <c r="O4313" s="29"/>
      <c r="P4313" s="5" t="str">
        <f>IFERROR(__xludf.DUMMYFUNCTION("TEXTJOIN("" | "",TRUE,IF(OR(D4313="""",E4313="""",I4313="""",J4313="""",H4313=""""),""ফাঁকা ঘর"",""""),IF(AND(C4313&lt;&gt;"""",D4313&lt;&gt;"""",C4313=D4313),""gloss=figurative"",""""),IF(LEN(D4313)&lt;15,""figurative ছোট"",""""),IF(AND(I4313=""Positive"",REGEXMATCH(H4"&amp;"313,""মূর্খ|ভণ্ড|প্রতার|অলস|লোভ|স্বার্থ|অক্ষম|অযোগ্য|বোকা|কৃপণ|হিংস"")),""valence-target অমিল"",""""),IF(COUNTIF($B:$B,B4313)&gt;1,""ডুপ্লিকেট"",""""))"),"")</f>
        <v/>
      </c>
      <c r="Q4313" s="5" t="str">
        <f t="shared" si="1"/>
        <v>২ পরে</v>
      </c>
    </row>
    <row r="4314">
      <c r="A4314" s="4">
        <v>2134.0</v>
      </c>
      <c r="B4314" s="2" t="s">
        <v>17654</v>
      </c>
      <c r="C4314" s="2" t="s">
        <v>17655</v>
      </c>
      <c r="D4314" s="2" t="s">
        <v>17656</v>
      </c>
      <c r="E4314" s="2" t="s">
        <v>17657</v>
      </c>
      <c r="F4314" s="2" t="b">
        <v>1</v>
      </c>
      <c r="G4314" s="2" t="b">
        <v>0</v>
      </c>
      <c r="H4314" s="2" t="s">
        <v>17658</v>
      </c>
      <c r="I4314" s="2" t="s">
        <v>22</v>
      </c>
      <c r="J4314" s="2" t="s">
        <v>43</v>
      </c>
      <c r="K4314" s="2" t="s">
        <v>376</v>
      </c>
      <c r="L4314" s="2" t="s">
        <v>391</v>
      </c>
      <c r="M4314" s="2" t="s">
        <v>26</v>
      </c>
      <c r="N4314" s="29"/>
      <c r="O4314" s="29"/>
      <c r="P4314" s="5" t="str">
        <f>IFERROR(__xludf.DUMMYFUNCTION("TEXTJOIN("" | "",TRUE,IF(OR(D4314="""",E4314="""",I4314="""",J4314="""",H4314=""""),""ফাঁকা ঘর"",""""),IF(AND(C4314&lt;&gt;"""",D4314&lt;&gt;"""",C4314=D4314),""gloss=figurative"",""""),IF(LEN(D4314)&lt;15,""figurative ছোট"",""""),IF(AND(I4314=""Positive"",REGEXMATCH(H4"&amp;"314,""মূর্খ|ভণ্ড|প্রতার|অলস|লোভ|স্বার্থ|অক্ষম|অযোগ্য|বোকা|কৃপণ|হিংস"")),""valence-target অমিল"",""""),IF(COUNTIF($B:$B,B4314)&gt;1,""ডুপ্লিকেট"",""""))"),"")</f>
        <v/>
      </c>
      <c r="Q4314" s="5" t="str">
        <f t="shared" si="1"/>
        <v>২ পরে</v>
      </c>
    </row>
    <row r="4315">
      <c r="A4315" s="4">
        <v>2135.0</v>
      </c>
      <c r="B4315" s="2" t="s">
        <v>17659</v>
      </c>
      <c r="C4315" s="2" t="s">
        <v>17660</v>
      </c>
      <c r="D4315" s="2" t="s">
        <v>17661</v>
      </c>
      <c r="E4315" s="2" t="s">
        <v>17662</v>
      </c>
      <c r="F4315" s="2" t="b">
        <v>1</v>
      </c>
      <c r="G4315" s="2" t="b">
        <v>0</v>
      </c>
      <c r="H4315" s="2" t="s">
        <v>488</v>
      </c>
      <c r="I4315" s="2" t="s">
        <v>22</v>
      </c>
      <c r="J4315" s="2" t="s">
        <v>1438</v>
      </c>
      <c r="K4315" s="2" t="s">
        <v>376</v>
      </c>
      <c r="L4315" s="2" t="s">
        <v>391</v>
      </c>
      <c r="M4315" s="2" t="s">
        <v>26</v>
      </c>
      <c r="N4315" s="29"/>
      <c r="O4315" s="29"/>
      <c r="P4315" s="5" t="str">
        <f>IFERROR(__xludf.DUMMYFUNCTION("TEXTJOIN("" | "",TRUE,IF(OR(D4315="""",E4315="""",I4315="""",J4315="""",H4315=""""),""ফাঁকা ঘর"",""""),IF(AND(C4315&lt;&gt;"""",D4315&lt;&gt;"""",C4315=D4315),""gloss=figurative"",""""),IF(LEN(D4315)&lt;15,""figurative ছোট"",""""),IF(AND(I4315=""Positive"",REGEXMATCH(H4"&amp;"315,""মূর্খ|ভণ্ড|প্রতার|অলস|লোভ|স্বার্থ|অক্ষম|অযোগ্য|বোকা|কৃপণ|হিংস"")),""valence-target অমিল"",""""),IF(COUNTIF($B:$B,B4315)&gt;1,""ডুপ্লিকেট"",""""))"),"")</f>
        <v/>
      </c>
      <c r="Q4315" s="5" t="str">
        <f t="shared" si="1"/>
        <v>২ পরে</v>
      </c>
    </row>
    <row r="4316">
      <c r="A4316" s="4">
        <v>2136.0</v>
      </c>
      <c r="B4316" s="2" t="s">
        <v>17663</v>
      </c>
      <c r="C4316" s="2" t="s">
        <v>17664</v>
      </c>
      <c r="D4316" s="2" t="s">
        <v>17665</v>
      </c>
      <c r="E4316" s="2" t="s">
        <v>17666</v>
      </c>
      <c r="F4316" s="2" t="b">
        <v>1</v>
      </c>
      <c r="G4316" s="2" t="b">
        <v>0</v>
      </c>
      <c r="H4316" s="2" t="s">
        <v>17667</v>
      </c>
      <c r="I4316" s="2" t="s">
        <v>22</v>
      </c>
      <c r="J4316" s="2" t="s">
        <v>2732</v>
      </c>
      <c r="K4316" s="2" t="s">
        <v>376</v>
      </c>
      <c r="L4316" s="2" t="s">
        <v>391</v>
      </c>
      <c r="M4316" s="2" t="s">
        <v>26</v>
      </c>
      <c r="N4316" s="29"/>
      <c r="O4316" s="29"/>
      <c r="P4316" s="5" t="str">
        <f>IFERROR(__xludf.DUMMYFUNCTION("TEXTJOIN("" | "",TRUE,IF(OR(D4316="""",E4316="""",I4316="""",J4316="""",H4316=""""),""ফাঁকা ঘর"",""""),IF(AND(C4316&lt;&gt;"""",D4316&lt;&gt;"""",C4316=D4316),""gloss=figurative"",""""),IF(LEN(D4316)&lt;15,""figurative ছোট"",""""),IF(AND(I4316=""Positive"",REGEXMATCH(H4"&amp;"316,""মূর্খ|ভণ্ড|প্রতার|অলস|লোভ|স্বার্থ|অক্ষম|অযোগ্য|বোকা|কৃপণ|হিংস"")),""valence-target অমিল"",""""),IF(COUNTIF($B:$B,B4316)&gt;1,""ডুপ্লিকেট"",""""))"),"")</f>
        <v/>
      </c>
      <c r="Q4316" s="5" t="str">
        <f t="shared" si="1"/>
        <v>২ পরে</v>
      </c>
    </row>
    <row r="4317">
      <c r="A4317" s="4">
        <v>2137.0</v>
      </c>
      <c r="B4317" s="2" t="s">
        <v>17668</v>
      </c>
      <c r="C4317" s="2" t="s">
        <v>17669</v>
      </c>
      <c r="D4317" s="2" t="s">
        <v>17670</v>
      </c>
      <c r="E4317" s="2" t="s">
        <v>17671</v>
      </c>
      <c r="F4317" s="2" t="b">
        <v>1</v>
      </c>
      <c r="G4317" s="2" t="b">
        <v>0</v>
      </c>
      <c r="H4317" s="2" t="s">
        <v>37</v>
      </c>
      <c r="I4317" s="2" t="s">
        <v>49</v>
      </c>
      <c r="J4317" s="2" t="s">
        <v>4110</v>
      </c>
      <c r="K4317" s="2" t="s">
        <v>376</v>
      </c>
      <c r="L4317" s="2" t="s">
        <v>391</v>
      </c>
      <c r="M4317" s="2" t="s">
        <v>26</v>
      </c>
      <c r="N4317" s="29"/>
      <c r="O4317" s="29"/>
      <c r="P4317" s="5" t="str">
        <f>IFERROR(__xludf.DUMMYFUNCTION("TEXTJOIN("" | "",TRUE,IF(OR(D4317="""",E4317="""",I4317="""",J4317="""",H4317=""""),""ফাঁকা ঘর"",""""),IF(AND(C4317&lt;&gt;"""",D4317&lt;&gt;"""",C4317=D4317),""gloss=figurative"",""""),IF(LEN(D4317)&lt;15,""figurative ছোট"",""""),IF(AND(I4317=""Positive"",REGEXMATCH(H4"&amp;"317,""মূর্খ|ভণ্ড|প্রতার|অলস|লোভ|স্বার্থ|অক্ষম|অযোগ্য|বোকা|কৃপণ|হিংস"")),""valence-target অমিল"",""""),IF(COUNTIF($B:$B,B4317)&gt;1,""ডুপ্লিকেট"",""""))"),"")</f>
        <v/>
      </c>
      <c r="Q4317" s="5" t="str">
        <f t="shared" si="1"/>
        <v>২ পরে</v>
      </c>
    </row>
    <row r="4318">
      <c r="A4318" s="4">
        <v>2138.0</v>
      </c>
      <c r="B4318" s="15" t="s">
        <v>17672</v>
      </c>
      <c r="C4318" s="2" t="s">
        <v>17673</v>
      </c>
      <c r="D4318" s="2" t="s">
        <v>17674</v>
      </c>
      <c r="E4318" s="2" t="s">
        <v>17675</v>
      </c>
      <c r="F4318" s="2" t="b">
        <v>1</v>
      </c>
      <c r="G4318" s="2" t="b">
        <v>0</v>
      </c>
      <c r="H4318" s="2" t="s">
        <v>1612</v>
      </c>
      <c r="I4318" s="2" t="s">
        <v>22</v>
      </c>
      <c r="J4318" s="2" t="s">
        <v>836</v>
      </c>
      <c r="K4318" s="2" t="s">
        <v>376</v>
      </c>
      <c r="L4318" s="2" t="s">
        <v>391</v>
      </c>
      <c r="M4318" s="2" t="s">
        <v>26</v>
      </c>
      <c r="N4318" s="29"/>
      <c r="O4318" s="29"/>
      <c r="P4318" s="5" t="str">
        <f>IFERROR(__xludf.DUMMYFUNCTION("TEXTJOIN("" | "",TRUE,IF(OR(D4318="""",E4318="""",I4318="""",J4318="""",H4318=""""),""ফাঁকা ঘর"",""""),IF(AND(C4318&lt;&gt;"""",D4318&lt;&gt;"""",C4318=D4318),""gloss=figurative"",""""),IF(LEN(D4318)&lt;15,""figurative ছোট"",""""),IF(AND(I4318=""Positive"",REGEXMATCH(H4"&amp;"318,""মূর্খ|ভণ্ড|প্রতার|অলস|লোভ|স্বার্থ|অক্ষম|অযোগ্য|বোকা|কৃপণ|হিংস"")),""valence-target অমিল"",""""),IF(COUNTIF($B:$B,B4318)&gt;1,""ডুপ্লিকেট"",""""))"),"")</f>
        <v/>
      </c>
      <c r="Q4318" s="5" t="str">
        <f t="shared" si="1"/>
        <v>২ পরে</v>
      </c>
    </row>
    <row r="4319">
      <c r="A4319" s="4">
        <v>2139.0</v>
      </c>
      <c r="B4319" s="2" t="s">
        <v>17676</v>
      </c>
      <c r="C4319" s="2" t="s">
        <v>17677</v>
      </c>
      <c r="D4319" s="2" t="s">
        <v>17678</v>
      </c>
      <c r="E4319" s="2" t="s">
        <v>17679</v>
      </c>
      <c r="F4319" s="2" t="b">
        <v>1</v>
      </c>
      <c r="G4319" s="2" t="b">
        <v>0</v>
      </c>
      <c r="H4319" s="2" t="s">
        <v>2078</v>
      </c>
      <c r="I4319" s="2" t="s">
        <v>22</v>
      </c>
      <c r="J4319" s="2" t="s">
        <v>739</v>
      </c>
      <c r="K4319" s="2" t="s">
        <v>376</v>
      </c>
      <c r="L4319" s="2" t="s">
        <v>391</v>
      </c>
      <c r="M4319" s="2" t="s">
        <v>26</v>
      </c>
      <c r="N4319" s="29"/>
      <c r="O4319" s="29"/>
      <c r="P4319" s="5" t="str">
        <f>IFERROR(__xludf.DUMMYFUNCTION("TEXTJOIN("" | "",TRUE,IF(OR(D4319="""",E4319="""",I4319="""",J4319="""",H4319=""""),""ফাঁকা ঘর"",""""),IF(AND(C4319&lt;&gt;"""",D4319&lt;&gt;"""",C4319=D4319),""gloss=figurative"",""""),IF(LEN(D4319)&lt;15,""figurative ছোট"",""""),IF(AND(I4319=""Positive"",REGEXMATCH(H4"&amp;"319,""মূর্খ|ভণ্ড|প্রতার|অলস|লোভ|স্বার্থ|অক্ষম|অযোগ্য|বোকা|কৃপণ|হিংস"")),""valence-target অমিল"",""""),IF(COUNTIF($B:$B,B4319)&gt;1,""ডুপ্লিকেট"",""""))"),"")</f>
        <v/>
      </c>
      <c r="Q4319" s="5" t="str">
        <f t="shared" si="1"/>
        <v>২ পরে</v>
      </c>
    </row>
    <row r="4320">
      <c r="A4320" s="4">
        <v>2140.0</v>
      </c>
      <c r="B4320" s="2" t="s">
        <v>17680</v>
      </c>
      <c r="C4320" s="2" t="s">
        <v>17681</v>
      </c>
      <c r="D4320" s="2" t="s">
        <v>17682</v>
      </c>
      <c r="E4320" s="2" t="s">
        <v>17683</v>
      </c>
      <c r="F4320" s="2" t="b">
        <v>1</v>
      </c>
      <c r="G4320" s="2" t="b">
        <v>0</v>
      </c>
      <c r="H4320" s="2" t="s">
        <v>17684</v>
      </c>
      <c r="I4320" s="2" t="s">
        <v>22</v>
      </c>
      <c r="J4320" s="2" t="s">
        <v>424</v>
      </c>
      <c r="K4320" s="2" t="s">
        <v>376</v>
      </c>
      <c r="L4320" s="2" t="s">
        <v>391</v>
      </c>
      <c r="M4320" s="2" t="s">
        <v>26</v>
      </c>
      <c r="N4320" s="29"/>
      <c r="O4320" s="29"/>
      <c r="P4320" s="5" t="str">
        <f>IFERROR(__xludf.DUMMYFUNCTION("TEXTJOIN("" | "",TRUE,IF(OR(D4320="""",E4320="""",I4320="""",J4320="""",H4320=""""),""ফাঁকা ঘর"",""""),IF(AND(C4320&lt;&gt;"""",D4320&lt;&gt;"""",C4320=D4320),""gloss=figurative"",""""),IF(LEN(D4320)&lt;15,""figurative ছোট"",""""),IF(AND(I4320=""Positive"",REGEXMATCH(H4"&amp;"320,""মূর্খ|ভণ্ড|প্রতার|অলস|লোভ|স্বার্থ|অক্ষম|অযোগ্য|বোকা|কৃপণ|হিংস"")),""valence-target অমিল"",""""),IF(COUNTIF($B:$B,B4320)&gt;1,""ডুপ্লিকেট"",""""))"),"")</f>
        <v/>
      </c>
      <c r="Q4320" s="5" t="str">
        <f t="shared" si="1"/>
        <v>২ পরে</v>
      </c>
    </row>
    <row r="4321">
      <c r="A4321" s="4">
        <v>2141.0</v>
      </c>
      <c r="B4321" s="2" t="s">
        <v>17685</v>
      </c>
      <c r="C4321" s="2" t="s">
        <v>17686</v>
      </c>
      <c r="D4321" s="2" t="s">
        <v>17687</v>
      </c>
      <c r="E4321" s="2" t="s">
        <v>17688</v>
      </c>
      <c r="F4321" s="2" t="b">
        <v>1</v>
      </c>
      <c r="G4321" s="2" t="b">
        <v>0</v>
      </c>
      <c r="H4321" s="2" t="s">
        <v>17689</v>
      </c>
      <c r="I4321" s="2" t="s">
        <v>22</v>
      </c>
      <c r="J4321" s="2" t="s">
        <v>43</v>
      </c>
      <c r="K4321" s="2" t="s">
        <v>376</v>
      </c>
      <c r="L4321" s="2" t="s">
        <v>391</v>
      </c>
      <c r="M4321" s="2" t="s">
        <v>26</v>
      </c>
      <c r="N4321" s="29"/>
      <c r="O4321" s="29"/>
      <c r="P4321" s="5" t="str">
        <f>IFERROR(__xludf.DUMMYFUNCTION("TEXTJOIN("" | "",TRUE,IF(OR(D4321="""",E4321="""",I4321="""",J4321="""",H4321=""""),""ফাঁকা ঘর"",""""),IF(AND(C4321&lt;&gt;"""",D4321&lt;&gt;"""",C4321=D4321),""gloss=figurative"",""""),IF(LEN(D4321)&lt;15,""figurative ছোট"",""""),IF(AND(I4321=""Positive"",REGEXMATCH(H4"&amp;"321,""মূর্খ|ভণ্ড|প্রতার|অলস|লোভ|স্বার্থ|অক্ষম|অযোগ্য|বোকা|কৃপণ|হিংস"")),""valence-target অমিল"",""""),IF(COUNTIF($B:$B,B4321)&gt;1,""ডুপ্লিকেট"",""""))"),"")</f>
        <v/>
      </c>
      <c r="Q4321" s="5" t="str">
        <f t="shared" si="1"/>
        <v>২ পরে</v>
      </c>
    </row>
    <row r="4322">
      <c r="A4322" s="4">
        <v>2142.0</v>
      </c>
      <c r="B4322" s="2" t="s">
        <v>17690</v>
      </c>
      <c r="C4322" s="2" t="s">
        <v>17691</v>
      </c>
      <c r="D4322" s="2" t="s">
        <v>17692</v>
      </c>
      <c r="E4322" s="2" t="s">
        <v>17693</v>
      </c>
      <c r="F4322" s="2" t="b">
        <v>1</v>
      </c>
      <c r="G4322" s="2" t="b">
        <v>0</v>
      </c>
      <c r="H4322" s="2" t="s">
        <v>17694</v>
      </c>
      <c r="I4322" s="2" t="s">
        <v>22</v>
      </c>
      <c r="J4322" s="2" t="s">
        <v>43</v>
      </c>
      <c r="K4322" s="2" t="s">
        <v>495</v>
      </c>
      <c r="L4322" s="13" t="s">
        <v>496</v>
      </c>
      <c r="M4322" s="2" t="s">
        <v>26</v>
      </c>
      <c r="N4322" s="29"/>
      <c r="O4322" s="29"/>
      <c r="P4322" s="5" t="str">
        <f>IFERROR(__xludf.DUMMYFUNCTION("TEXTJOIN("" | "",TRUE,IF(OR(D4322="""",E4322="""",I4322="""",J4322="""",H4322=""""),""ফাঁকা ঘর"",""""),IF(AND(C4322&lt;&gt;"""",D4322&lt;&gt;"""",C4322=D4322),""gloss=figurative"",""""),IF(LEN(D4322)&lt;15,""figurative ছোট"",""""),IF(AND(I4322=""Positive"",REGEXMATCH(H4"&amp;"322,""মূর্খ|ভণ্ড|প্রতার|অলস|লোভ|স্বার্থ|অক্ষম|অযোগ্য|বোকা|কৃপণ|হিংস"")),""valence-target অমিল"",""""),IF(COUNTIF($B:$B,B4322)&gt;1,""ডুপ্লিকেট"",""""))"),"")</f>
        <v/>
      </c>
      <c r="Q4322" s="5" t="str">
        <f t="shared" si="1"/>
        <v>২ পরে</v>
      </c>
    </row>
    <row r="4323">
      <c r="A4323" s="4">
        <v>2143.0</v>
      </c>
      <c r="B4323" s="2" t="s">
        <v>17695</v>
      </c>
      <c r="C4323" s="2" t="s">
        <v>17696</v>
      </c>
      <c r="D4323" s="2" t="s">
        <v>17697</v>
      </c>
      <c r="E4323" s="2" t="s">
        <v>17698</v>
      </c>
      <c r="F4323" s="2" t="b">
        <v>1</v>
      </c>
      <c r="G4323" s="2" t="b">
        <v>0</v>
      </c>
      <c r="H4323" s="2" t="s">
        <v>37</v>
      </c>
      <c r="I4323" s="2" t="s">
        <v>49</v>
      </c>
      <c r="J4323" s="2" t="s">
        <v>300</v>
      </c>
      <c r="K4323" s="2" t="s">
        <v>495</v>
      </c>
      <c r="L4323" s="13" t="s">
        <v>496</v>
      </c>
      <c r="M4323" s="2" t="s">
        <v>26</v>
      </c>
      <c r="N4323" s="29"/>
      <c r="O4323" s="29"/>
      <c r="P4323" s="5" t="str">
        <f>IFERROR(__xludf.DUMMYFUNCTION("TEXTJOIN("" | "",TRUE,IF(OR(D4323="""",E4323="""",I4323="""",J4323="""",H4323=""""),""ফাঁকা ঘর"",""""),IF(AND(C4323&lt;&gt;"""",D4323&lt;&gt;"""",C4323=D4323),""gloss=figurative"",""""),IF(LEN(D4323)&lt;15,""figurative ছোট"",""""),IF(AND(I4323=""Positive"",REGEXMATCH(H4"&amp;"323,""মূর্খ|ভণ্ড|প্রতার|অলস|লোভ|স্বার্থ|অক্ষম|অযোগ্য|বোকা|কৃপণ|হিংস"")),""valence-target অমিল"",""""),IF(COUNTIF($B:$B,B4323)&gt;1,""ডুপ্লিকেট"",""""))"),"")</f>
        <v/>
      </c>
      <c r="Q4323" s="5" t="str">
        <f t="shared" si="1"/>
        <v>২ পরে</v>
      </c>
    </row>
    <row r="4324">
      <c r="A4324" s="4">
        <v>2144.0</v>
      </c>
      <c r="B4324" s="2" t="s">
        <v>17699</v>
      </c>
      <c r="C4324" s="2" t="s">
        <v>17700</v>
      </c>
      <c r="D4324" s="2" t="s">
        <v>17701</v>
      </c>
      <c r="E4324" s="2" t="s">
        <v>17702</v>
      </c>
      <c r="F4324" s="2" t="b">
        <v>1</v>
      </c>
      <c r="G4324" s="2" t="b">
        <v>0</v>
      </c>
      <c r="H4324" s="2" t="s">
        <v>17703</v>
      </c>
      <c r="I4324" s="2" t="s">
        <v>49</v>
      </c>
      <c r="J4324" s="2" t="s">
        <v>162</v>
      </c>
      <c r="K4324" s="2" t="s">
        <v>495</v>
      </c>
      <c r="L4324" s="13" t="s">
        <v>496</v>
      </c>
      <c r="M4324" s="2" t="s">
        <v>26</v>
      </c>
      <c r="N4324" s="29"/>
      <c r="O4324" s="29"/>
      <c r="P4324" s="5" t="str">
        <f>IFERROR(__xludf.DUMMYFUNCTION("TEXTJOIN("" | "",TRUE,IF(OR(D4324="""",E4324="""",I4324="""",J4324="""",H4324=""""),""ফাঁকা ঘর"",""""),IF(AND(C4324&lt;&gt;"""",D4324&lt;&gt;"""",C4324=D4324),""gloss=figurative"",""""),IF(LEN(D4324)&lt;15,""figurative ছোট"",""""),IF(AND(I4324=""Positive"",REGEXMATCH(H4"&amp;"324,""মূর্খ|ভণ্ড|প্রতার|অলস|লোভ|স্বার্থ|অক্ষম|অযোগ্য|বোকা|কৃপণ|হিংস"")),""valence-target অমিল"",""""),IF(COUNTIF($B:$B,B4324)&gt;1,""ডুপ্লিকেট"",""""))"),"")</f>
        <v/>
      </c>
      <c r="Q4324" s="5" t="str">
        <f t="shared" si="1"/>
        <v>২ পরে</v>
      </c>
    </row>
    <row r="4325">
      <c r="A4325" s="4">
        <v>2145.0</v>
      </c>
      <c r="B4325" s="2" t="s">
        <v>17704</v>
      </c>
      <c r="C4325" s="2" t="s">
        <v>17704</v>
      </c>
      <c r="D4325" s="2" t="s">
        <v>17705</v>
      </c>
      <c r="E4325" s="2" t="s">
        <v>17706</v>
      </c>
      <c r="F4325" s="2" t="b">
        <v>1</v>
      </c>
      <c r="G4325" s="2" t="b">
        <v>0</v>
      </c>
      <c r="H4325" s="2" t="s">
        <v>17471</v>
      </c>
      <c r="I4325" s="2" t="s">
        <v>22</v>
      </c>
      <c r="J4325" s="2" t="s">
        <v>1249</v>
      </c>
      <c r="K4325" s="2" t="s">
        <v>495</v>
      </c>
      <c r="L4325" s="13" t="s">
        <v>496</v>
      </c>
      <c r="M4325" s="2" t="s">
        <v>26</v>
      </c>
      <c r="N4325" s="29"/>
      <c r="O4325" s="29"/>
      <c r="P4325" s="5" t="str">
        <f>IFERROR(__xludf.DUMMYFUNCTION("TEXTJOIN("" | "",TRUE,IF(OR(D4325="""",E4325="""",I4325="""",J4325="""",H4325=""""),""ফাঁকা ঘর"",""""),IF(AND(C4325&lt;&gt;"""",D4325&lt;&gt;"""",C4325=D4325),""gloss=figurative"",""""),IF(LEN(D4325)&lt;15,""figurative ছোট"",""""),IF(AND(I4325=""Positive"",REGEXMATCH(H4"&amp;"325,""মূর্খ|ভণ্ড|প্রতার|অলস|লোভ|স্বার্থ|অক্ষম|অযোগ্য|বোকা|কৃপণ|হিংস"")),""valence-target অমিল"",""""),IF(COUNTIF($B:$B,B4325)&gt;1,""ডুপ্লিকেট"",""""))"),"")</f>
        <v/>
      </c>
      <c r="Q4325" s="5" t="str">
        <f t="shared" si="1"/>
        <v>২ পরে</v>
      </c>
    </row>
    <row r="4326">
      <c r="A4326" s="4">
        <v>2146.0</v>
      </c>
      <c r="B4326" s="2" t="s">
        <v>17707</v>
      </c>
      <c r="C4326" s="2" t="s">
        <v>17708</v>
      </c>
      <c r="D4326" s="2" t="s">
        <v>17709</v>
      </c>
      <c r="E4326" s="2" t="s">
        <v>17710</v>
      </c>
      <c r="F4326" s="2" t="b">
        <v>1</v>
      </c>
      <c r="G4326" s="2" t="b">
        <v>0</v>
      </c>
      <c r="H4326" s="2" t="s">
        <v>2078</v>
      </c>
      <c r="I4326" s="2" t="s">
        <v>22</v>
      </c>
      <c r="J4326" s="2" t="s">
        <v>739</v>
      </c>
      <c r="K4326" s="2" t="s">
        <v>495</v>
      </c>
      <c r="L4326" s="13" t="s">
        <v>496</v>
      </c>
      <c r="M4326" s="2" t="s">
        <v>26</v>
      </c>
      <c r="N4326" s="29"/>
      <c r="O4326" s="29"/>
      <c r="P4326" s="5" t="str">
        <f>IFERROR(__xludf.DUMMYFUNCTION("TEXTJOIN("" | "",TRUE,IF(OR(D4326="""",E4326="""",I4326="""",J4326="""",H4326=""""),""ফাঁকা ঘর"",""""),IF(AND(C4326&lt;&gt;"""",D4326&lt;&gt;"""",C4326=D4326),""gloss=figurative"",""""),IF(LEN(D4326)&lt;15,""figurative ছোট"",""""),IF(AND(I4326=""Positive"",REGEXMATCH(H4"&amp;"326,""মূর্খ|ভণ্ড|প্রতার|অলস|লোভ|স্বার্থ|অক্ষম|অযোগ্য|বোকা|কৃপণ|হিংস"")),""valence-target অমিল"",""""),IF(COUNTIF($B:$B,B4326)&gt;1,""ডুপ্লিকেট"",""""))"),"")</f>
        <v/>
      </c>
      <c r="Q4326" s="5" t="str">
        <f t="shared" si="1"/>
        <v>২ পরে</v>
      </c>
    </row>
    <row r="4327">
      <c r="A4327" s="4">
        <v>2147.0</v>
      </c>
      <c r="B4327" s="2" t="s">
        <v>17711</v>
      </c>
      <c r="C4327" s="2" t="s">
        <v>17712</v>
      </c>
      <c r="D4327" s="2" t="s">
        <v>17713</v>
      </c>
      <c r="E4327" s="2" t="s">
        <v>17714</v>
      </c>
      <c r="F4327" s="2" t="b">
        <v>1</v>
      </c>
      <c r="G4327" s="2" t="b">
        <v>0</v>
      </c>
      <c r="H4327" s="2" t="s">
        <v>17715</v>
      </c>
      <c r="I4327" s="2" t="s">
        <v>22</v>
      </c>
      <c r="J4327" s="2" t="s">
        <v>43</v>
      </c>
      <c r="K4327" s="2" t="s">
        <v>495</v>
      </c>
      <c r="L4327" s="13" t="s">
        <v>496</v>
      </c>
      <c r="M4327" s="2" t="s">
        <v>26</v>
      </c>
      <c r="N4327" s="29"/>
      <c r="O4327" s="29"/>
      <c r="P4327" s="5" t="str">
        <f>IFERROR(__xludf.DUMMYFUNCTION("TEXTJOIN("" | "",TRUE,IF(OR(D4327="""",E4327="""",I4327="""",J4327="""",H4327=""""),""ফাঁকা ঘর"",""""),IF(AND(C4327&lt;&gt;"""",D4327&lt;&gt;"""",C4327=D4327),""gloss=figurative"",""""),IF(LEN(D4327)&lt;15,""figurative ছোট"",""""),IF(AND(I4327=""Positive"",REGEXMATCH(H4"&amp;"327,""মূর্খ|ভণ্ড|প্রতার|অলস|লোভ|স্বার্থ|অক্ষম|অযোগ্য|বোকা|কৃপণ|হিংস"")),""valence-target অমিল"",""""),IF(COUNTIF($B:$B,B4327)&gt;1,""ডুপ্লিকেট"",""""))"),"")</f>
        <v/>
      </c>
      <c r="Q4327" s="5" t="str">
        <f t="shared" si="1"/>
        <v>২ পরে</v>
      </c>
    </row>
    <row r="4328">
      <c r="A4328" s="4">
        <v>2148.0</v>
      </c>
      <c r="B4328" s="15" t="s">
        <v>17716</v>
      </c>
      <c r="C4328" s="15" t="s">
        <v>17717</v>
      </c>
      <c r="D4328" s="2" t="s">
        <v>17718</v>
      </c>
      <c r="E4328" s="2" t="s">
        <v>17719</v>
      </c>
      <c r="F4328" s="2" t="b">
        <v>1</v>
      </c>
      <c r="G4328" s="2" t="b">
        <v>0</v>
      </c>
      <c r="H4328" s="2" t="s">
        <v>1612</v>
      </c>
      <c r="I4328" s="2" t="s">
        <v>49</v>
      </c>
      <c r="J4328" s="2" t="s">
        <v>836</v>
      </c>
      <c r="K4328" s="2" t="s">
        <v>495</v>
      </c>
      <c r="L4328" s="13" t="s">
        <v>496</v>
      </c>
      <c r="M4328" s="2" t="s">
        <v>26</v>
      </c>
      <c r="N4328" s="29"/>
      <c r="O4328" s="29"/>
      <c r="P4328" s="5" t="str">
        <f>IFERROR(__xludf.DUMMYFUNCTION("TEXTJOIN("" | "",TRUE,IF(OR(D4328="""",E4328="""",I4328="""",J4328="""",H4328=""""),""ফাঁকা ঘর"",""""),IF(AND(C4328&lt;&gt;"""",D4328&lt;&gt;"""",C4328=D4328),""gloss=figurative"",""""),IF(LEN(D4328)&lt;15,""figurative ছোট"",""""),IF(AND(I4328=""Positive"",REGEXMATCH(H4"&amp;"328,""মূর্খ|ভণ্ড|প্রতার|অলস|লোভ|স্বার্থ|অক্ষম|অযোগ্য|বোকা|কৃপণ|হিংস"")),""valence-target অমিল"",""""),IF(COUNTIF($B:$B,B4328)&gt;1,""ডুপ্লিকেট"",""""))"),"")</f>
        <v/>
      </c>
      <c r="Q4328" s="5" t="str">
        <f t="shared" si="1"/>
        <v>২ পরে</v>
      </c>
    </row>
    <row r="4329">
      <c r="A4329" s="4">
        <v>2149.0</v>
      </c>
      <c r="B4329" s="2" t="s">
        <v>17720</v>
      </c>
      <c r="C4329" s="2" t="s">
        <v>17721</v>
      </c>
      <c r="D4329" s="2" t="s">
        <v>17722</v>
      </c>
      <c r="E4329" s="2" t="s">
        <v>17723</v>
      </c>
      <c r="F4329" s="2" t="b">
        <v>1</v>
      </c>
      <c r="G4329" s="2" t="b">
        <v>0</v>
      </c>
      <c r="H4329" s="2" t="s">
        <v>17724</v>
      </c>
      <c r="I4329" s="2" t="s">
        <v>22</v>
      </c>
      <c r="J4329" s="2" t="s">
        <v>739</v>
      </c>
      <c r="K4329" s="2" t="s">
        <v>495</v>
      </c>
      <c r="L4329" s="13" t="s">
        <v>496</v>
      </c>
      <c r="M4329" s="2" t="s">
        <v>26</v>
      </c>
      <c r="N4329" s="29"/>
      <c r="O4329" s="29"/>
      <c r="P4329" s="5" t="str">
        <f>IFERROR(__xludf.DUMMYFUNCTION("TEXTJOIN("" | "",TRUE,IF(OR(D4329="""",E4329="""",I4329="""",J4329="""",H4329=""""),""ফাঁকা ঘর"",""""),IF(AND(C4329&lt;&gt;"""",D4329&lt;&gt;"""",C4329=D4329),""gloss=figurative"",""""),IF(LEN(D4329)&lt;15,""figurative ছোট"",""""),IF(AND(I4329=""Positive"",REGEXMATCH(H4"&amp;"329,""মূর্খ|ভণ্ড|প্রতার|অলস|লোভ|স্বার্থ|অক্ষম|অযোগ্য|বোকা|কৃপণ|হিংস"")),""valence-target অমিল"",""""),IF(COUNTIF($B:$B,B4329)&gt;1,""ডুপ্লিকেট"",""""))"),"")</f>
        <v/>
      </c>
      <c r="Q4329" s="5" t="str">
        <f t="shared" si="1"/>
        <v>২ পরে</v>
      </c>
    </row>
    <row r="4330">
      <c r="A4330" s="4">
        <v>2150.0</v>
      </c>
      <c r="B4330" s="2" t="s">
        <v>17725</v>
      </c>
      <c r="C4330" s="2" t="s">
        <v>17726</v>
      </c>
      <c r="D4330" s="2" t="s">
        <v>17727</v>
      </c>
      <c r="E4330" s="2" t="s">
        <v>17728</v>
      </c>
      <c r="F4330" s="2" t="b">
        <v>1</v>
      </c>
      <c r="G4330" s="2" t="b">
        <v>0</v>
      </c>
      <c r="H4330" s="2" t="s">
        <v>37</v>
      </c>
      <c r="I4330" s="2" t="s">
        <v>32</v>
      </c>
      <c r="J4330" s="2" t="s">
        <v>655</v>
      </c>
      <c r="K4330" s="2" t="s">
        <v>495</v>
      </c>
      <c r="L4330" s="13" t="s">
        <v>496</v>
      </c>
      <c r="M4330" s="2" t="s">
        <v>26</v>
      </c>
      <c r="N4330" s="29"/>
      <c r="O4330" s="29"/>
      <c r="P4330" s="5" t="str">
        <f>IFERROR(__xludf.DUMMYFUNCTION("TEXTJOIN("" | "",TRUE,IF(OR(D4330="""",E4330="""",I4330="""",J4330="""",H4330=""""),""ফাঁকা ঘর"",""""),IF(AND(C4330&lt;&gt;"""",D4330&lt;&gt;"""",C4330=D4330),""gloss=figurative"",""""),IF(LEN(D4330)&lt;15,""figurative ছোট"",""""),IF(AND(I4330=""Positive"",REGEXMATCH(H4"&amp;"330,""মূর্খ|ভণ্ড|প্রতার|অলস|লোভ|স্বার্থ|অক্ষম|অযোগ্য|বোকা|কৃপণ|হিংস"")),""valence-target অমিল"",""""),IF(COUNTIF($B:$B,B4330)&gt;1,""ডুপ্লিকেট"",""""))"),"")</f>
        <v/>
      </c>
      <c r="Q4330" s="5" t="str">
        <f t="shared" si="1"/>
        <v>২ পরে</v>
      </c>
    </row>
    <row r="4331">
      <c r="A4331" s="4">
        <v>2151.0</v>
      </c>
      <c r="B4331" s="2" t="s">
        <v>17729</v>
      </c>
      <c r="C4331" s="2" t="s">
        <v>17730</v>
      </c>
      <c r="D4331" s="2" t="s">
        <v>17731</v>
      </c>
      <c r="E4331" s="2" t="s">
        <v>17732</v>
      </c>
      <c r="F4331" s="2" t="b">
        <v>1</v>
      </c>
      <c r="G4331" s="2" t="b">
        <v>0</v>
      </c>
      <c r="H4331" s="2" t="s">
        <v>37</v>
      </c>
      <c r="I4331" s="2" t="s">
        <v>32</v>
      </c>
      <c r="J4331" s="2" t="s">
        <v>655</v>
      </c>
      <c r="K4331" s="2" t="s">
        <v>495</v>
      </c>
      <c r="L4331" s="13" t="s">
        <v>496</v>
      </c>
      <c r="M4331" s="2" t="s">
        <v>26</v>
      </c>
      <c r="N4331" s="29"/>
      <c r="O4331" s="29"/>
      <c r="P4331" s="5" t="str">
        <f>IFERROR(__xludf.DUMMYFUNCTION("TEXTJOIN("" | "",TRUE,IF(OR(D4331="""",E4331="""",I4331="""",J4331="""",H4331=""""),""ফাঁকা ঘর"",""""),IF(AND(C4331&lt;&gt;"""",D4331&lt;&gt;"""",C4331=D4331),""gloss=figurative"",""""),IF(LEN(D4331)&lt;15,""figurative ছোট"",""""),IF(AND(I4331=""Positive"",REGEXMATCH(H4"&amp;"331,""মূর্খ|ভণ্ড|প্রতার|অলস|লোভ|স্বার্থ|অক্ষম|অযোগ্য|বোকা|কৃপণ|হিংস"")),""valence-target অমিল"",""""),IF(COUNTIF($B:$B,B4331)&gt;1,""ডুপ্লিকেট"",""""))"),"")</f>
        <v/>
      </c>
      <c r="Q4331" s="5" t="str">
        <f t="shared" si="1"/>
        <v>২ পরে</v>
      </c>
    </row>
    <row r="4332">
      <c r="A4332" s="4">
        <v>2152.0</v>
      </c>
      <c r="B4332" s="2" t="s">
        <v>17733</v>
      </c>
      <c r="C4332" s="2" t="s">
        <v>17734</v>
      </c>
      <c r="D4332" s="2" t="s">
        <v>17735</v>
      </c>
      <c r="E4332" s="2" t="s">
        <v>17736</v>
      </c>
      <c r="F4332" s="2" t="b">
        <v>1</v>
      </c>
      <c r="G4332" s="2" t="b">
        <v>0</v>
      </c>
      <c r="H4332" s="2" t="s">
        <v>37</v>
      </c>
      <c r="I4332" s="2" t="s">
        <v>32</v>
      </c>
      <c r="J4332" s="2" t="s">
        <v>17737</v>
      </c>
      <c r="K4332" s="2" t="s">
        <v>495</v>
      </c>
      <c r="L4332" s="13" t="s">
        <v>496</v>
      </c>
      <c r="M4332" s="2" t="s">
        <v>26</v>
      </c>
      <c r="N4332" s="29"/>
      <c r="O4332" s="29"/>
      <c r="P4332" s="5" t="str">
        <f>IFERROR(__xludf.DUMMYFUNCTION("TEXTJOIN("" | "",TRUE,IF(OR(D4332="""",E4332="""",I4332="""",J4332="""",H4332=""""),""ফাঁকা ঘর"",""""),IF(AND(C4332&lt;&gt;"""",D4332&lt;&gt;"""",C4332=D4332),""gloss=figurative"",""""),IF(LEN(D4332)&lt;15,""figurative ছোট"",""""),IF(AND(I4332=""Positive"",REGEXMATCH(H4"&amp;"332,""মূর্খ|ভণ্ড|প্রতার|অলস|লোভ|স্বার্থ|অক্ষম|অযোগ্য|বোকা|কৃপণ|হিংস"")),""valence-target অমিল"",""""),IF(COUNTIF($B:$B,B4332)&gt;1,""ডুপ্লিকেট"",""""))"),"")</f>
        <v/>
      </c>
      <c r="Q4332" s="5" t="str">
        <f t="shared" si="1"/>
        <v>২ পরে</v>
      </c>
    </row>
    <row r="4333">
      <c r="A4333" s="4">
        <v>2153.0</v>
      </c>
      <c r="B4333" s="2" t="s">
        <v>17738</v>
      </c>
      <c r="C4333" s="2" t="s">
        <v>17739</v>
      </c>
      <c r="D4333" s="2" t="s">
        <v>17740</v>
      </c>
      <c r="E4333" s="2" t="s">
        <v>17741</v>
      </c>
      <c r="F4333" s="2" t="b">
        <v>1</v>
      </c>
      <c r="G4333" s="2" t="b">
        <v>0</v>
      </c>
      <c r="H4333" s="2" t="s">
        <v>7382</v>
      </c>
      <c r="I4333" s="2" t="s">
        <v>32</v>
      </c>
      <c r="J4333" s="2" t="s">
        <v>913</v>
      </c>
      <c r="K4333" s="2" t="s">
        <v>495</v>
      </c>
      <c r="L4333" s="13" t="s">
        <v>496</v>
      </c>
      <c r="M4333" s="2" t="s">
        <v>26</v>
      </c>
      <c r="N4333" s="29"/>
      <c r="O4333" s="29"/>
      <c r="P4333" s="5" t="str">
        <f>IFERROR(__xludf.DUMMYFUNCTION("TEXTJOIN("" | "",TRUE,IF(OR(D4333="""",E4333="""",I4333="""",J4333="""",H4333=""""),""ফাঁকা ঘর"",""""),IF(AND(C4333&lt;&gt;"""",D4333&lt;&gt;"""",C4333=D4333),""gloss=figurative"",""""),IF(LEN(D4333)&lt;15,""figurative ছোট"",""""),IF(AND(I4333=""Positive"",REGEXMATCH(H4"&amp;"333,""মূর্খ|ভণ্ড|প্রতার|অলস|লোভ|স্বার্থ|অক্ষম|অযোগ্য|বোকা|কৃপণ|হিংস"")),""valence-target অমিল"",""""),IF(COUNTIF($B:$B,B4333)&gt;1,""ডুপ্লিকেট"",""""))"),"")</f>
        <v/>
      </c>
      <c r="Q4333" s="5" t="str">
        <f t="shared" si="1"/>
        <v>২ পরে</v>
      </c>
    </row>
    <row r="4334">
      <c r="A4334" s="4">
        <v>2154.0</v>
      </c>
      <c r="B4334" s="2" t="s">
        <v>2687</v>
      </c>
      <c r="C4334" s="2" t="s">
        <v>17742</v>
      </c>
      <c r="D4334" s="2" t="s">
        <v>17743</v>
      </c>
      <c r="E4334" s="2" t="s">
        <v>17744</v>
      </c>
      <c r="F4334" s="2" t="b">
        <v>1</v>
      </c>
      <c r="G4334" s="2" t="b">
        <v>0</v>
      </c>
      <c r="H4334" s="2" t="s">
        <v>37</v>
      </c>
      <c r="I4334" s="2" t="s">
        <v>49</v>
      </c>
      <c r="J4334" s="2" t="s">
        <v>729</v>
      </c>
      <c r="K4334" s="2" t="s">
        <v>495</v>
      </c>
      <c r="L4334" s="13" t="s">
        <v>496</v>
      </c>
      <c r="M4334" s="2" t="s">
        <v>26</v>
      </c>
      <c r="N4334" s="29"/>
      <c r="O4334" s="29"/>
      <c r="P4334" s="5" t="str">
        <f>IFERROR(__xludf.DUMMYFUNCTION("TEXTJOIN("" | "",TRUE,IF(OR(D4334="""",E4334="""",I4334="""",J4334="""",H4334=""""),""ফাঁকা ঘর"",""""),IF(AND(C4334&lt;&gt;"""",D4334&lt;&gt;"""",C4334=D4334),""gloss=figurative"",""""),IF(LEN(D4334)&lt;15,""figurative ছোট"",""""),IF(AND(I4334=""Positive"",REGEXMATCH(H4"&amp;"334,""মূর্খ|ভণ্ড|প্রতার|অলস|লোভ|স্বার্থ|অক্ষম|অযোগ্য|বোকা|কৃপণ|হিংস"")),""valence-target অমিল"",""""),IF(COUNTIF($B:$B,B4334)&gt;1,""ডুপ্লিকেট"",""""))"),"")</f>
        <v/>
      </c>
      <c r="Q4334" s="5" t="str">
        <f t="shared" si="1"/>
        <v>২ পরে</v>
      </c>
    </row>
    <row r="4335">
      <c r="A4335" s="4">
        <v>2155.0</v>
      </c>
      <c r="B4335" s="2" t="s">
        <v>17745</v>
      </c>
      <c r="C4335" s="2" t="s">
        <v>17746</v>
      </c>
      <c r="D4335" s="2" t="s">
        <v>17747</v>
      </c>
      <c r="E4335" s="2" t="s">
        <v>17748</v>
      </c>
      <c r="F4335" s="2" t="b">
        <v>1</v>
      </c>
      <c r="G4335" s="2" t="b">
        <v>0</v>
      </c>
      <c r="H4335" s="2" t="s">
        <v>37</v>
      </c>
      <c r="I4335" s="2" t="s">
        <v>32</v>
      </c>
      <c r="J4335" s="2" t="s">
        <v>17749</v>
      </c>
      <c r="K4335" s="2" t="s">
        <v>495</v>
      </c>
      <c r="L4335" s="13" t="s">
        <v>496</v>
      </c>
      <c r="M4335" s="2" t="s">
        <v>26</v>
      </c>
      <c r="N4335" s="29"/>
      <c r="O4335" s="29"/>
      <c r="P4335" s="5" t="str">
        <f>IFERROR(__xludf.DUMMYFUNCTION("TEXTJOIN("" | "",TRUE,IF(OR(D4335="""",E4335="""",I4335="""",J4335="""",H4335=""""),""ফাঁকা ঘর"",""""),IF(AND(C4335&lt;&gt;"""",D4335&lt;&gt;"""",C4335=D4335),""gloss=figurative"",""""),IF(LEN(D4335)&lt;15,""figurative ছোট"",""""),IF(AND(I4335=""Positive"",REGEXMATCH(H4"&amp;"335,""মূর্খ|ভণ্ড|প্রতার|অলস|লোভ|স্বার্থ|অক্ষম|অযোগ্য|বোকা|কৃপণ|হিংস"")),""valence-target অমিল"",""""),IF(COUNTIF($B:$B,B4335)&gt;1,""ডুপ্লিকেট"",""""))"),"")</f>
        <v/>
      </c>
      <c r="Q4335" s="5" t="str">
        <f t="shared" si="1"/>
        <v>২ পরে</v>
      </c>
    </row>
    <row r="4336">
      <c r="A4336" s="4">
        <v>2156.0</v>
      </c>
      <c r="B4336" s="2" t="s">
        <v>17750</v>
      </c>
      <c r="C4336" s="2" t="s">
        <v>17751</v>
      </c>
      <c r="D4336" s="2" t="s">
        <v>17752</v>
      </c>
      <c r="E4336" s="2" t="s">
        <v>17753</v>
      </c>
      <c r="F4336" s="2" t="b">
        <v>1</v>
      </c>
      <c r="G4336" s="2" t="b">
        <v>0</v>
      </c>
      <c r="H4336" s="2" t="s">
        <v>37</v>
      </c>
      <c r="I4336" s="2" t="s">
        <v>32</v>
      </c>
      <c r="J4336" s="2" t="s">
        <v>729</v>
      </c>
      <c r="K4336" s="2" t="s">
        <v>495</v>
      </c>
      <c r="L4336" s="13" t="s">
        <v>496</v>
      </c>
      <c r="M4336" s="2" t="s">
        <v>26</v>
      </c>
      <c r="N4336" s="29"/>
      <c r="O4336" s="29"/>
      <c r="P4336" s="5" t="str">
        <f>IFERROR(__xludf.DUMMYFUNCTION("TEXTJOIN("" | "",TRUE,IF(OR(D4336="""",E4336="""",I4336="""",J4336="""",H4336=""""),""ফাঁকা ঘর"",""""),IF(AND(C4336&lt;&gt;"""",D4336&lt;&gt;"""",C4336=D4336),""gloss=figurative"",""""),IF(LEN(D4336)&lt;15,""figurative ছোট"",""""),IF(AND(I4336=""Positive"",REGEXMATCH(H4"&amp;"336,""মূর্খ|ভণ্ড|প্রতার|অলস|লোভ|স্বার্থ|অক্ষম|অযোগ্য|বোকা|কৃপণ|হিংস"")),""valence-target অমিল"",""""),IF(COUNTIF($B:$B,B4336)&gt;1,""ডুপ্লিকেট"",""""))"),"")</f>
        <v/>
      </c>
      <c r="Q4336" s="5" t="str">
        <f t="shared" si="1"/>
        <v>২ পরে</v>
      </c>
    </row>
    <row r="4337">
      <c r="A4337" s="4">
        <v>2157.0</v>
      </c>
      <c r="B4337" s="2" t="s">
        <v>17754</v>
      </c>
      <c r="C4337" s="2" t="s">
        <v>17755</v>
      </c>
      <c r="D4337" s="2" t="s">
        <v>17756</v>
      </c>
      <c r="E4337" s="2" t="s">
        <v>17757</v>
      </c>
      <c r="F4337" s="2" t="b">
        <v>1</v>
      </c>
      <c r="G4337" s="2" t="b">
        <v>0</v>
      </c>
      <c r="H4337" s="2" t="s">
        <v>37</v>
      </c>
      <c r="I4337" s="2" t="s">
        <v>49</v>
      </c>
      <c r="J4337" s="2" t="s">
        <v>1008</v>
      </c>
      <c r="K4337" s="2" t="s">
        <v>495</v>
      </c>
      <c r="L4337" s="13" t="s">
        <v>496</v>
      </c>
      <c r="M4337" s="2" t="s">
        <v>26</v>
      </c>
      <c r="N4337" s="29"/>
      <c r="O4337" s="29"/>
      <c r="P4337" s="5" t="str">
        <f>IFERROR(__xludf.DUMMYFUNCTION("TEXTJOIN("" | "",TRUE,IF(OR(D4337="""",E4337="""",I4337="""",J4337="""",H4337=""""),""ফাঁকা ঘর"",""""),IF(AND(C4337&lt;&gt;"""",D4337&lt;&gt;"""",C4337=D4337),""gloss=figurative"",""""),IF(LEN(D4337)&lt;15,""figurative ছোট"",""""),IF(AND(I4337=""Positive"",REGEXMATCH(H4"&amp;"337,""মূর্খ|ভণ্ড|প্রতার|অলস|লোভ|স্বার্থ|অক্ষম|অযোগ্য|বোকা|কৃপণ|হিংস"")),""valence-target অমিল"",""""),IF(COUNTIF($B:$B,B4337)&gt;1,""ডুপ্লিকেট"",""""))"),"")</f>
        <v/>
      </c>
      <c r="Q4337" s="5" t="str">
        <f t="shared" si="1"/>
        <v>২ পরে</v>
      </c>
    </row>
    <row r="4338">
      <c r="A4338" s="4">
        <v>2158.0</v>
      </c>
      <c r="B4338" s="2" t="s">
        <v>17758</v>
      </c>
      <c r="C4338" s="2" t="s">
        <v>17759</v>
      </c>
      <c r="D4338" s="2" t="s">
        <v>17760</v>
      </c>
      <c r="E4338" s="2" t="s">
        <v>17761</v>
      </c>
      <c r="F4338" s="2" t="b">
        <v>1</v>
      </c>
      <c r="G4338" s="2" t="b">
        <v>0</v>
      </c>
      <c r="H4338" s="2" t="s">
        <v>37</v>
      </c>
      <c r="I4338" s="2" t="s">
        <v>32</v>
      </c>
      <c r="J4338" s="2" t="s">
        <v>15227</v>
      </c>
      <c r="K4338" s="2" t="s">
        <v>495</v>
      </c>
      <c r="L4338" s="13" t="s">
        <v>496</v>
      </c>
      <c r="M4338" s="2" t="s">
        <v>26</v>
      </c>
      <c r="N4338" s="29"/>
      <c r="O4338" s="29"/>
      <c r="P4338" s="5" t="str">
        <f>IFERROR(__xludf.DUMMYFUNCTION("TEXTJOIN("" | "",TRUE,IF(OR(D4338="""",E4338="""",I4338="""",J4338="""",H4338=""""),""ফাঁকা ঘর"",""""),IF(AND(C4338&lt;&gt;"""",D4338&lt;&gt;"""",C4338=D4338),""gloss=figurative"",""""),IF(LEN(D4338)&lt;15,""figurative ছোট"",""""),IF(AND(I4338=""Positive"",REGEXMATCH(H4"&amp;"338,""মূর্খ|ভণ্ড|প্রতার|অলস|লোভ|স্বার্থ|অক্ষম|অযোগ্য|বোকা|কৃপণ|হিংস"")),""valence-target অমিল"",""""),IF(COUNTIF($B:$B,B4338)&gt;1,""ডুপ্লিকেট"",""""))"),"")</f>
        <v/>
      </c>
      <c r="Q4338" s="5" t="str">
        <f t="shared" si="1"/>
        <v>২ পরে</v>
      </c>
    </row>
    <row r="4339">
      <c r="A4339" s="4">
        <v>2159.0</v>
      </c>
      <c r="B4339" s="2" t="s">
        <v>17762</v>
      </c>
      <c r="C4339" s="2" t="s">
        <v>17763</v>
      </c>
      <c r="D4339" s="2" t="s">
        <v>17764</v>
      </c>
      <c r="E4339" s="2" t="s">
        <v>17765</v>
      </c>
      <c r="F4339" s="2" t="b">
        <v>1</v>
      </c>
      <c r="G4339" s="2" t="b">
        <v>0</v>
      </c>
      <c r="H4339" s="2" t="s">
        <v>17766</v>
      </c>
      <c r="I4339" s="2" t="s">
        <v>22</v>
      </c>
      <c r="J4339" s="2" t="s">
        <v>565</v>
      </c>
      <c r="K4339" s="2" t="s">
        <v>495</v>
      </c>
      <c r="L4339" s="13" t="s">
        <v>496</v>
      </c>
      <c r="M4339" s="2" t="s">
        <v>26</v>
      </c>
      <c r="N4339" s="29"/>
      <c r="O4339" s="29"/>
      <c r="P4339" s="5" t="str">
        <f>IFERROR(__xludf.DUMMYFUNCTION("TEXTJOIN("" | "",TRUE,IF(OR(D4339="""",E4339="""",I4339="""",J4339="""",H4339=""""),""ফাঁকা ঘর"",""""),IF(AND(C4339&lt;&gt;"""",D4339&lt;&gt;"""",C4339=D4339),""gloss=figurative"",""""),IF(LEN(D4339)&lt;15,""figurative ছোট"",""""),IF(AND(I4339=""Positive"",REGEXMATCH(H4"&amp;"339,""মূর্খ|ভণ্ড|প্রতার|অলস|লোভ|স্বার্থ|অক্ষম|অযোগ্য|বোকা|কৃপণ|হিংস"")),""valence-target অমিল"",""""),IF(COUNTIF($B:$B,B4339)&gt;1,""ডুপ্লিকেট"",""""))"),"")</f>
        <v/>
      </c>
      <c r="Q4339" s="5" t="str">
        <f t="shared" si="1"/>
        <v>২ পরে</v>
      </c>
    </row>
    <row r="4340">
      <c r="A4340" s="4">
        <v>2160.0</v>
      </c>
      <c r="B4340" s="2" t="s">
        <v>17767</v>
      </c>
      <c r="C4340" s="2" t="s">
        <v>17768</v>
      </c>
      <c r="D4340" s="2" t="s">
        <v>17769</v>
      </c>
      <c r="E4340" s="2" t="s">
        <v>17770</v>
      </c>
      <c r="F4340" s="2" t="b">
        <v>1</v>
      </c>
      <c r="G4340" s="2" t="b">
        <v>0</v>
      </c>
      <c r="H4340" s="2" t="s">
        <v>17771</v>
      </c>
      <c r="I4340" s="2" t="s">
        <v>22</v>
      </c>
      <c r="J4340" s="2" t="s">
        <v>424</v>
      </c>
      <c r="K4340" s="2" t="s">
        <v>495</v>
      </c>
      <c r="L4340" s="13" t="s">
        <v>496</v>
      </c>
      <c r="M4340" s="2" t="s">
        <v>26</v>
      </c>
      <c r="N4340" s="29"/>
      <c r="O4340" s="29"/>
      <c r="P4340" s="5" t="str">
        <f>IFERROR(__xludf.DUMMYFUNCTION("TEXTJOIN("" | "",TRUE,IF(OR(D4340="""",E4340="""",I4340="""",J4340="""",H4340=""""),""ফাঁকা ঘর"",""""),IF(AND(C4340&lt;&gt;"""",D4340&lt;&gt;"""",C4340=D4340),""gloss=figurative"",""""),IF(LEN(D4340)&lt;15,""figurative ছোট"",""""),IF(AND(I4340=""Positive"",REGEXMATCH(H4"&amp;"340,""মূর্খ|ভণ্ড|প্রতার|অলস|লোভ|স্বার্থ|অক্ষম|অযোগ্য|বোকা|কৃপণ|হিংস"")),""valence-target অমিল"",""""),IF(COUNTIF($B:$B,B4340)&gt;1,""ডুপ্লিকেট"",""""))"),"")</f>
        <v/>
      </c>
      <c r="Q4340" s="5" t="str">
        <f t="shared" si="1"/>
        <v>২ পরে</v>
      </c>
    </row>
    <row r="4341">
      <c r="A4341" s="4">
        <v>2161.0</v>
      </c>
      <c r="B4341" s="2" t="s">
        <v>17772</v>
      </c>
      <c r="C4341" s="2" t="s">
        <v>17773</v>
      </c>
      <c r="D4341" s="2" t="s">
        <v>17774</v>
      </c>
      <c r="E4341" s="2" t="s">
        <v>17775</v>
      </c>
      <c r="F4341" s="2" t="b">
        <v>1</v>
      </c>
      <c r="G4341" s="2" t="b">
        <v>0</v>
      </c>
      <c r="H4341" s="2" t="s">
        <v>17776</v>
      </c>
      <c r="I4341" s="2" t="s">
        <v>22</v>
      </c>
      <c r="J4341" s="2" t="s">
        <v>447</v>
      </c>
      <c r="K4341" s="2" t="s">
        <v>495</v>
      </c>
      <c r="L4341" s="13" t="s">
        <v>496</v>
      </c>
      <c r="M4341" s="2" t="s">
        <v>26</v>
      </c>
      <c r="N4341" s="29"/>
      <c r="O4341" s="29"/>
      <c r="P4341" s="5" t="str">
        <f>IFERROR(__xludf.DUMMYFUNCTION("TEXTJOIN("" | "",TRUE,IF(OR(D4341="""",E4341="""",I4341="""",J4341="""",H4341=""""),""ফাঁকা ঘর"",""""),IF(AND(C4341&lt;&gt;"""",D4341&lt;&gt;"""",C4341=D4341),""gloss=figurative"",""""),IF(LEN(D4341)&lt;15,""figurative ছোট"",""""),IF(AND(I4341=""Positive"",REGEXMATCH(H4"&amp;"341,""মূর্খ|ভণ্ড|প্রতার|অলস|লোভ|স্বার্থ|অক্ষম|অযোগ্য|বোকা|কৃপণ|হিংস"")),""valence-target অমিল"",""""),IF(COUNTIF($B:$B,B4341)&gt;1,""ডুপ্লিকেট"",""""))"),"")</f>
        <v/>
      </c>
      <c r="Q4341" s="5" t="str">
        <f t="shared" si="1"/>
        <v>২ পরে</v>
      </c>
    </row>
    <row r="4342">
      <c r="A4342" s="4">
        <v>2162.0</v>
      </c>
      <c r="B4342" s="2" t="s">
        <v>17777</v>
      </c>
      <c r="C4342" s="2" t="s">
        <v>17777</v>
      </c>
      <c r="D4342" s="2" t="s">
        <v>17778</v>
      </c>
      <c r="E4342" s="2" t="s">
        <v>17779</v>
      </c>
      <c r="F4342" s="2" t="b">
        <v>1</v>
      </c>
      <c r="G4342" s="2" t="b">
        <v>0</v>
      </c>
      <c r="H4342" s="2" t="s">
        <v>37</v>
      </c>
      <c r="I4342" s="2" t="s">
        <v>49</v>
      </c>
      <c r="J4342" s="2" t="s">
        <v>708</v>
      </c>
      <c r="K4342" s="2" t="s">
        <v>495</v>
      </c>
      <c r="L4342" s="13" t="s">
        <v>496</v>
      </c>
      <c r="M4342" s="2" t="s">
        <v>26</v>
      </c>
      <c r="N4342" s="29"/>
      <c r="O4342" s="29"/>
      <c r="P4342" s="5" t="str">
        <f>IFERROR(__xludf.DUMMYFUNCTION("TEXTJOIN("" | "",TRUE,IF(OR(D4342="""",E4342="""",I4342="""",J4342="""",H4342=""""),""ফাঁকা ঘর"",""""),IF(AND(C4342&lt;&gt;"""",D4342&lt;&gt;"""",C4342=D4342),""gloss=figurative"",""""),IF(LEN(D4342)&lt;15,""figurative ছোট"",""""),IF(AND(I4342=""Positive"",REGEXMATCH(H4"&amp;"342,""মূর্খ|ভণ্ড|প্রতার|অলস|লোভ|স্বার্থ|অক্ষম|অযোগ্য|বোকা|কৃপণ|হিংস"")),""valence-target অমিল"",""""),IF(COUNTIF($B:$B,B4342)&gt;1,""ডুপ্লিকেট"",""""))"),"")</f>
        <v/>
      </c>
      <c r="Q4342" s="5" t="str">
        <f t="shared" si="1"/>
        <v>২ পরে</v>
      </c>
    </row>
    <row r="4343">
      <c r="A4343" s="4">
        <v>2163.0</v>
      </c>
      <c r="B4343" s="2" t="s">
        <v>17780</v>
      </c>
      <c r="C4343" s="2" t="s">
        <v>17781</v>
      </c>
      <c r="D4343" s="2" t="s">
        <v>17782</v>
      </c>
      <c r="E4343" s="2" t="s">
        <v>17783</v>
      </c>
      <c r="F4343" s="2" t="b">
        <v>1</v>
      </c>
      <c r="G4343" s="2" t="b">
        <v>0</v>
      </c>
      <c r="H4343" s="2" t="s">
        <v>37</v>
      </c>
      <c r="I4343" s="2" t="s">
        <v>49</v>
      </c>
      <c r="J4343" s="2" t="s">
        <v>708</v>
      </c>
      <c r="K4343" s="2" t="s">
        <v>495</v>
      </c>
      <c r="L4343" s="13" t="s">
        <v>496</v>
      </c>
      <c r="M4343" s="2" t="s">
        <v>26</v>
      </c>
      <c r="N4343" s="29"/>
      <c r="O4343" s="29"/>
      <c r="P4343" s="5" t="str">
        <f>IFERROR(__xludf.DUMMYFUNCTION("TEXTJOIN("" | "",TRUE,IF(OR(D4343="""",E4343="""",I4343="""",J4343="""",H4343=""""),""ফাঁকা ঘর"",""""),IF(AND(C4343&lt;&gt;"""",D4343&lt;&gt;"""",C4343=D4343),""gloss=figurative"",""""),IF(LEN(D4343)&lt;15,""figurative ছোট"",""""),IF(AND(I4343=""Positive"",REGEXMATCH(H4"&amp;"343,""মূর্খ|ভণ্ড|প্রতার|অলস|লোভ|স্বার্থ|অক্ষম|অযোগ্য|বোকা|কৃপণ|হিংস"")),""valence-target অমিল"",""""),IF(COUNTIF($B:$B,B4343)&gt;1,""ডুপ্লিকেট"",""""))"),"")</f>
        <v/>
      </c>
      <c r="Q4343" s="5" t="str">
        <f t="shared" si="1"/>
        <v>২ পরে</v>
      </c>
    </row>
    <row r="4344">
      <c r="A4344" s="4">
        <v>2164.0</v>
      </c>
      <c r="B4344" s="2" t="s">
        <v>17784</v>
      </c>
      <c r="C4344" s="2" t="s">
        <v>17785</v>
      </c>
      <c r="D4344" s="2" t="s">
        <v>17786</v>
      </c>
      <c r="E4344" s="2" t="s">
        <v>17787</v>
      </c>
      <c r="F4344" s="2" t="b">
        <v>1</v>
      </c>
      <c r="G4344" s="2" t="b">
        <v>0</v>
      </c>
      <c r="H4344" s="2" t="s">
        <v>37</v>
      </c>
      <c r="I4344" s="2" t="s">
        <v>32</v>
      </c>
      <c r="J4344" s="2" t="s">
        <v>708</v>
      </c>
      <c r="K4344" s="2" t="s">
        <v>495</v>
      </c>
      <c r="L4344" s="13" t="s">
        <v>496</v>
      </c>
      <c r="M4344" s="2" t="s">
        <v>26</v>
      </c>
      <c r="N4344" s="29"/>
      <c r="O4344" s="29"/>
      <c r="P4344" s="5" t="str">
        <f>IFERROR(__xludf.DUMMYFUNCTION("TEXTJOIN("" | "",TRUE,IF(OR(D4344="""",E4344="""",I4344="""",J4344="""",H4344=""""),""ফাঁকা ঘর"",""""),IF(AND(C4344&lt;&gt;"""",D4344&lt;&gt;"""",C4344=D4344),""gloss=figurative"",""""),IF(LEN(D4344)&lt;15,""figurative ছোট"",""""),IF(AND(I4344=""Positive"",REGEXMATCH(H4"&amp;"344,""মূর্খ|ভণ্ড|প্রতার|অলস|লোভ|স্বার্থ|অক্ষম|অযোগ্য|বোকা|কৃপণ|হিংস"")),""valence-target অমিল"",""""),IF(COUNTIF($B:$B,B4344)&gt;1,""ডুপ্লিকেট"",""""))"),"")</f>
        <v/>
      </c>
      <c r="Q4344" s="5" t="str">
        <f t="shared" si="1"/>
        <v>২ পরে</v>
      </c>
    </row>
    <row r="4345">
      <c r="A4345" s="4">
        <v>2165.0</v>
      </c>
      <c r="B4345" s="2" t="s">
        <v>17788</v>
      </c>
      <c r="C4345" s="2" t="s">
        <v>17789</v>
      </c>
      <c r="D4345" s="2" t="s">
        <v>17790</v>
      </c>
      <c r="E4345" s="2" t="s">
        <v>17791</v>
      </c>
      <c r="F4345" s="2" t="b">
        <v>1</v>
      </c>
      <c r="G4345" s="2" t="b">
        <v>0</v>
      </c>
      <c r="H4345" s="2" t="s">
        <v>37</v>
      </c>
      <c r="I4345" s="2" t="s">
        <v>32</v>
      </c>
      <c r="J4345" s="2" t="s">
        <v>1859</v>
      </c>
      <c r="K4345" s="2" t="s">
        <v>495</v>
      </c>
      <c r="L4345" s="13" t="s">
        <v>496</v>
      </c>
      <c r="M4345" s="2" t="s">
        <v>26</v>
      </c>
      <c r="N4345" s="29"/>
      <c r="O4345" s="29"/>
      <c r="P4345" s="5" t="str">
        <f>IFERROR(__xludf.DUMMYFUNCTION("TEXTJOIN("" | "",TRUE,IF(OR(D4345="""",E4345="""",I4345="""",J4345="""",H4345=""""),""ফাঁকা ঘর"",""""),IF(AND(C4345&lt;&gt;"""",D4345&lt;&gt;"""",C4345=D4345),""gloss=figurative"",""""),IF(LEN(D4345)&lt;15,""figurative ছোট"",""""),IF(AND(I4345=""Positive"",REGEXMATCH(H4"&amp;"345,""মূর্খ|ভণ্ড|প্রতার|অলস|লোভ|স্বার্থ|অক্ষম|অযোগ্য|বোকা|কৃপণ|হিংস"")),""valence-target অমিল"",""""),IF(COUNTIF($B:$B,B4345)&gt;1,""ডুপ্লিকেট"",""""))"),"")</f>
        <v/>
      </c>
      <c r="Q4345" s="5" t="str">
        <f t="shared" si="1"/>
        <v>২ পরে</v>
      </c>
    </row>
    <row r="4346">
      <c r="A4346" s="4">
        <v>2166.0</v>
      </c>
      <c r="B4346" s="2" t="s">
        <v>17792</v>
      </c>
      <c r="C4346" s="2" t="s">
        <v>17793</v>
      </c>
      <c r="D4346" s="2" t="s">
        <v>17794</v>
      </c>
      <c r="E4346" s="2" t="s">
        <v>17795</v>
      </c>
      <c r="F4346" s="2" t="b">
        <v>1</v>
      </c>
      <c r="G4346" s="2" t="b">
        <v>0</v>
      </c>
      <c r="H4346" s="2" t="s">
        <v>189</v>
      </c>
      <c r="I4346" s="2" t="s">
        <v>22</v>
      </c>
      <c r="J4346" s="2" t="s">
        <v>43</v>
      </c>
      <c r="K4346" s="2" t="s">
        <v>495</v>
      </c>
      <c r="L4346" s="13" t="s">
        <v>496</v>
      </c>
      <c r="M4346" s="2" t="s">
        <v>26</v>
      </c>
      <c r="N4346" s="29"/>
      <c r="O4346" s="29"/>
      <c r="P4346" s="5" t="str">
        <f>IFERROR(__xludf.DUMMYFUNCTION("TEXTJOIN("" | "",TRUE,IF(OR(D4346="""",E4346="""",I4346="""",J4346="""",H4346=""""),""ফাঁকা ঘর"",""""),IF(AND(C4346&lt;&gt;"""",D4346&lt;&gt;"""",C4346=D4346),""gloss=figurative"",""""),IF(LEN(D4346)&lt;15,""figurative ছোট"",""""),IF(AND(I4346=""Positive"",REGEXMATCH(H4"&amp;"346,""মূর্খ|ভণ্ড|প্রতার|অলস|লোভ|স্বার্থ|অক্ষম|অযোগ্য|বোকা|কৃপণ|হিংস"")),""valence-target অমিল"",""""),IF(COUNTIF($B:$B,B4346)&gt;1,""ডুপ্লিকেট"",""""))"),"")</f>
        <v/>
      </c>
      <c r="Q4346" s="5" t="str">
        <f t="shared" si="1"/>
        <v>২ পরে</v>
      </c>
    </row>
    <row r="4347">
      <c r="A4347" s="4">
        <v>2167.0</v>
      </c>
      <c r="B4347" s="2" t="s">
        <v>17796</v>
      </c>
      <c r="C4347" s="2" t="s">
        <v>17797</v>
      </c>
      <c r="D4347" s="2" t="s">
        <v>17798</v>
      </c>
      <c r="E4347" s="2" t="s">
        <v>17799</v>
      </c>
      <c r="F4347" s="2" t="b">
        <v>1</v>
      </c>
      <c r="G4347" s="2" t="b">
        <v>0</v>
      </c>
      <c r="H4347" s="2" t="s">
        <v>189</v>
      </c>
      <c r="I4347" s="2" t="s">
        <v>22</v>
      </c>
      <c r="J4347" s="2" t="s">
        <v>43</v>
      </c>
      <c r="K4347" s="2" t="s">
        <v>495</v>
      </c>
      <c r="L4347" s="13" t="s">
        <v>496</v>
      </c>
      <c r="M4347" s="2" t="s">
        <v>26</v>
      </c>
      <c r="N4347" s="29"/>
      <c r="O4347" s="29"/>
      <c r="P4347" s="5" t="str">
        <f>IFERROR(__xludf.DUMMYFUNCTION("TEXTJOIN("" | "",TRUE,IF(OR(D4347="""",E4347="""",I4347="""",J4347="""",H4347=""""),""ফাঁকা ঘর"",""""),IF(AND(C4347&lt;&gt;"""",D4347&lt;&gt;"""",C4347=D4347),""gloss=figurative"",""""),IF(LEN(D4347)&lt;15,""figurative ছোট"",""""),IF(AND(I4347=""Positive"",REGEXMATCH(H4"&amp;"347,""মূর্খ|ভণ্ড|প্রতার|অলস|লোভ|স্বার্থ|অক্ষম|অযোগ্য|বোকা|কৃপণ|হিংস"")),""valence-target অমিল"",""""),IF(COUNTIF($B:$B,B4347)&gt;1,""ডুপ্লিকেট"",""""))"),"")</f>
        <v/>
      </c>
      <c r="Q4347" s="5" t="str">
        <f t="shared" si="1"/>
        <v>২ পরে</v>
      </c>
    </row>
    <row r="4348">
      <c r="A4348" s="4">
        <v>2168.0</v>
      </c>
      <c r="B4348" s="2" t="s">
        <v>17800</v>
      </c>
      <c r="C4348" s="2" t="s">
        <v>17801</v>
      </c>
      <c r="D4348" s="2" t="s">
        <v>17802</v>
      </c>
      <c r="E4348" s="2" t="s">
        <v>17803</v>
      </c>
      <c r="F4348" s="2" t="b">
        <v>1</v>
      </c>
      <c r="G4348" s="2" t="b">
        <v>0</v>
      </c>
      <c r="H4348" s="2" t="s">
        <v>17804</v>
      </c>
      <c r="I4348" s="2" t="s">
        <v>22</v>
      </c>
      <c r="J4348" s="2" t="s">
        <v>17024</v>
      </c>
      <c r="K4348" s="2" t="s">
        <v>495</v>
      </c>
      <c r="L4348" s="13" t="s">
        <v>496</v>
      </c>
      <c r="M4348" s="2" t="s">
        <v>26</v>
      </c>
      <c r="N4348" s="29"/>
      <c r="O4348" s="29"/>
      <c r="P4348" s="5" t="str">
        <f>IFERROR(__xludf.DUMMYFUNCTION("TEXTJOIN("" | "",TRUE,IF(OR(D4348="""",E4348="""",I4348="""",J4348="""",H4348=""""),""ফাঁকা ঘর"",""""),IF(AND(C4348&lt;&gt;"""",D4348&lt;&gt;"""",C4348=D4348),""gloss=figurative"",""""),IF(LEN(D4348)&lt;15,""figurative ছোট"",""""),IF(AND(I4348=""Positive"",REGEXMATCH(H4"&amp;"348,""মূর্খ|ভণ্ড|প্রতার|অলস|লোভ|স্বার্থ|অক্ষম|অযোগ্য|বোকা|কৃপণ|হিংস"")),""valence-target অমিল"",""""),IF(COUNTIF($B:$B,B4348)&gt;1,""ডুপ্লিকেট"",""""))"),"")</f>
        <v/>
      </c>
      <c r="Q4348" s="5" t="str">
        <f t="shared" si="1"/>
        <v>২ পরে</v>
      </c>
    </row>
    <row r="4349">
      <c r="A4349" s="4">
        <v>2169.0</v>
      </c>
      <c r="B4349" s="2" t="s">
        <v>17805</v>
      </c>
      <c r="C4349" s="2" t="s">
        <v>17806</v>
      </c>
      <c r="D4349" s="2" t="s">
        <v>17807</v>
      </c>
      <c r="E4349" s="2" t="s">
        <v>17808</v>
      </c>
      <c r="F4349" s="2" t="b">
        <v>1</v>
      </c>
      <c r="G4349" s="2" t="b">
        <v>0</v>
      </c>
      <c r="H4349" s="2" t="s">
        <v>819</v>
      </c>
      <c r="I4349" s="2" t="s">
        <v>22</v>
      </c>
      <c r="J4349" s="2" t="s">
        <v>669</v>
      </c>
      <c r="K4349" s="2" t="s">
        <v>495</v>
      </c>
      <c r="L4349" s="13" t="s">
        <v>496</v>
      </c>
      <c r="M4349" s="2" t="s">
        <v>26</v>
      </c>
      <c r="N4349" s="29"/>
      <c r="O4349" s="29"/>
      <c r="P4349" s="5" t="str">
        <f>IFERROR(__xludf.DUMMYFUNCTION("TEXTJOIN("" | "",TRUE,IF(OR(D4349="""",E4349="""",I4349="""",J4349="""",H4349=""""),""ফাঁকা ঘর"",""""),IF(AND(C4349&lt;&gt;"""",D4349&lt;&gt;"""",C4349=D4349),""gloss=figurative"",""""),IF(LEN(D4349)&lt;15,""figurative ছোট"",""""),IF(AND(I4349=""Positive"",REGEXMATCH(H4"&amp;"349,""মূর্খ|ভণ্ড|প্রতার|অলস|লোভ|স্বার্থ|অক্ষম|অযোগ্য|বোকা|কৃপণ|হিংস"")),""valence-target অমিল"",""""),IF(COUNTIF($B:$B,B4349)&gt;1,""ডুপ্লিকেট"",""""))"),"")</f>
        <v/>
      </c>
      <c r="Q4349" s="5" t="str">
        <f t="shared" si="1"/>
        <v>২ পরে</v>
      </c>
    </row>
    <row r="4350">
      <c r="A4350" s="4">
        <v>2170.0</v>
      </c>
      <c r="B4350" s="2" t="s">
        <v>17809</v>
      </c>
      <c r="C4350" s="2" t="s">
        <v>17810</v>
      </c>
      <c r="D4350" s="2" t="s">
        <v>17811</v>
      </c>
      <c r="E4350" s="2" t="s">
        <v>17812</v>
      </c>
      <c r="F4350" s="2" t="b">
        <v>1</v>
      </c>
      <c r="G4350" s="2" t="b">
        <v>0</v>
      </c>
      <c r="H4350" s="2" t="s">
        <v>17813</v>
      </c>
      <c r="I4350" s="2" t="s">
        <v>22</v>
      </c>
      <c r="J4350" s="2" t="s">
        <v>43</v>
      </c>
      <c r="K4350" s="2" t="s">
        <v>495</v>
      </c>
      <c r="L4350" s="13" t="s">
        <v>496</v>
      </c>
      <c r="M4350" s="2" t="s">
        <v>26</v>
      </c>
      <c r="N4350" s="29"/>
      <c r="O4350" s="29"/>
      <c r="P4350" s="5" t="str">
        <f>IFERROR(__xludf.DUMMYFUNCTION("TEXTJOIN("" | "",TRUE,IF(OR(D4350="""",E4350="""",I4350="""",J4350="""",H4350=""""),""ফাঁকা ঘর"",""""),IF(AND(C4350&lt;&gt;"""",D4350&lt;&gt;"""",C4350=D4350),""gloss=figurative"",""""),IF(LEN(D4350)&lt;15,""figurative ছোট"",""""),IF(AND(I4350=""Positive"",REGEXMATCH(H4"&amp;"350,""মূর্খ|ভণ্ড|প্রতার|অলস|লোভ|স্বার্থ|অক্ষম|অযোগ্য|বোকা|কৃপণ|হিংস"")),""valence-target অমিল"",""""),IF(COUNTIF($B:$B,B4350)&gt;1,""ডুপ্লিকেট"",""""))"),"")</f>
        <v/>
      </c>
      <c r="Q4350" s="5" t="str">
        <f t="shared" si="1"/>
        <v>২ পরে</v>
      </c>
    </row>
    <row r="4351">
      <c r="A4351" s="4">
        <v>2171.0</v>
      </c>
      <c r="B4351" s="2" t="s">
        <v>17814</v>
      </c>
      <c r="C4351" s="2" t="s">
        <v>17815</v>
      </c>
      <c r="D4351" s="2" t="s">
        <v>17816</v>
      </c>
      <c r="E4351" s="2" t="s">
        <v>17817</v>
      </c>
      <c r="F4351" s="2" t="b">
        <v>1</v>
      </c>
      <c r="G4351" s="2" t="b">
        <v>0</v>
      </c>
      <c r="H4351" s="2" t="s">
        <v>37</v>
      </c>
      <c r="I4351" s="2" t="s">
        <v>22</v>
      </c>
      <c r="J4351" s="2" t="s">
        <v>590</v>
      </c>
      <c r="K4351" s="2" t="s">
        <v>495</v>
      </c>
      <c r="L4351" s="13" t="s">
        <v>496</v>
      </c>
      <c r="M4351" s="2" t="s">
        <v>26</v>
      </c>
      <c r="N4351" s="29"/>
      <c r="O4351" s="29"/>
      <c r="P4351" s="5" t="str">
        <f>IFERROR(__xludf.DUMMYFUNCTION("TEXTJOIN("" | "",TRUE,IF(OR(D4351="""",E4351="""",I4351="""",J4351="""",H4351=""""),""ফাঁকা ঘর"",""""),IF(AND(C4351&lt;&gt;"""",D4351&lt;&gt;"""",C4351=D4351),""gloss=figurative"",""""),IF(LEN(D4351)&lt;15,""figurative ছোট"",""""),IF(AND(I4351=""Positive"",REGEXMATCH(H4"&amp;"351,""মূর্খ|ভণ্ড|প্রতার|অলস|লোভ|স্বার্থ|অক্ষম|অযোগ্য|বোকা|কৃপণ|হিংস"")),""valence-target অমিল"",""""),IF(COUNTIF($B:$B,B4351)&gt;1,""ডুপ্লিকেট"",""""))"),"")</f>
        <v/>
      </c>
      <c r="Q4351" s="5" t="str">
        <f t="shared" si="1"/>
        <v>২ পরে</v>
      </c>
    </row>
    <row r="4352">
      <c r="A4352" s="4">
        <v>2172.0</v>
      </c>
      <c r="B4352" s="2" t="s">
        <v>17818</v>
      </c>
      <c r="C4352" s="2" t="s">
        <v>17819</v>
      </c>
      <c r="D4352" s="2" t="s">
        <v>17820</v>
      </c>
      <c r="E4352" s="2" t="s">
        <v>17821</v>
      </c>
      <c r="F4352" s="2" t="b">
        <v>1</v>
      </c>
      <c r="G4352" s="2" t="b">
        <v>0</v>
      </c>
      <c r="H4352" s="2" t="s">
        <v>37</v>
      </c>
      <c r="I4352" s="2" t="s">
        <v>22</v>
      </c>
      <c r="J4352" s="2" t="s">
        <v>708</v>
      </c>
      <c r="K4352" s="2" t="s">
        <v>495</v>
      </c>
      <c r="L4352" s="13" t="s">
        <v>496</v>
      </c>
      <c r="M4352" s="2" t="s">
        <v>26</v>
      </c>
      <c r="N4352" s="29"/>
      <c r="O4352" s="29"/>
      <c r="P4352" s="5" t="str">
        <f>IFERROR(__xludf.DUMMYFUNCTION("TEXTJOIN("" | "",TRUE,IF(OR(D4352="""",E4352="""",I4352="""",J4352="""",H4352=""""),""ফাঁকা ঘর"",""""),IF(AND(C4352&lt;&gt;"""",D4352&lt;&gt;"""",C4352=D4352),""gloss=figurative"",""""),IF(LEN(D4352)&lt;15,""figurative ছোট"",""""),IF(AND(I4352=""Positive"",REGEXMATCH(H4"&amp;"352,""মূর্খ|ভণ্ড|প্রতার|অলস|লোভ|স্বার্থ|অক্ষম|অযোগ্য|বোকা|কৃপণ|হিংস"")),""valence-target অমিল"",""""),IF(COUNTIF($B:$B,B4352)&gt;1,""ডুপ্লিকেট"",""""))"),"")</f>
        <v/>
      </c>
      <c r="Q4352" s="5" t="str">
        <f t="shared" si="1"/>
        <v>২ পরে</v>
      </c>
    </row>
    <row r="4353">
      <c r="A4353" s="4">
        <v>2173.0</v>
      </c>
      <c r="B4353" s="2" t="s">
        <v>17822</v>
      </c>
      <c r="C4353" s="2" t="s">
        <v>17823</v>
      </c>
      <c r="D4353" s="2" t="s">
        <v>17824</v>
      </c>
      <c r="E4353" s="2" t="s">
        <v>17825</v>
      </c>
      <c r="F4353" s="2" t="b">
        <v>1</v>
      </c>
      <c r="G4353" s="2" t="b">
        <v>0</v>
      </c>
      <c r="H4353" s="2" t="s">
        <v>17826</v>
      </c>
      <c r="I4353" s="2" t="s">
        <v>22</v>
      </c>
      <c r="J4353" s="2" t="s">
        <v>581</v>
      </c>
      <c r="K4353" s="2" t="s">
        <v>495</v>
      </c>
      <c r="L4353" s="13" t="s">
        <v>496</v>
      </c>
      <c r="M4353" s="2" t="s">
        <v>26</v>
      </c>
      <c r="N4353" s="29"/>
      <c r="O4353" s="29"/>
      <c r="P4353" s="5" t="str">
        <f>IFERROR(__xludf.DUMMYFUNCTION("TEXTJOIN("" | "",TRUE,IF(OR(D4353="""",E4353="""",I4353="""",J4353="""",H4353=""""),""ফাঁকা ঘর"",""""),IF(AND(C4353&lt;&gt;"""",D4353&lt;&gt;"""",C4353=D4353),""gloss=figurative"",""""),IF(LEN(D4353)&lt;15,""figurative ছোট"",""""),IF(AND(I4353=""Positive"",REGEXMATCH(H4"&amp;"353,""মূর্খ|ভণ্ড|প্রতার|অলস|লোভ|স্বার্থ|অক্ষম|অযোগ্য|বোকা|কৃপণ|হিংস"")),""valence-target অমিল"",""""),IF(COUNTIF($B:$B,B4353)&gt;1,""ডুপ্লিকেট"",""""))"),"")</f>
        <v/>
      </c>
      <c r="Q4353" s="5" t="str">
        <f t="shared" si="1"/>
        <v>২ পরে</v>
      </c>
    </row>
    <row r="4354">
      <c r="A4354" s="4">
        <v>2174.0</v>
      </c>
      <c r="B4354" s="2" t="s">
        <v>17827</v>
      </c>
      <c r="C4354" s="2" t="s">
        <v>17828</v>
      </c>
      <c r="D4354" s="2" t="s">
        <v>17829</v>
      </c>
      <c r="E4354" s="2" t="s">
        <v>17830</v>
      </c>
      <c r="F4354" s="2" t="b">
        <v>1</v>
      </c>
      <c r="G4354" s="2" t="b">
        <v>0</v>
      </c>
      <c r="H4354" s="2" t="s">
        <v>3054</v>
      </c>
      <c r="I4354" s="2" t="s">
        <v>22</v>
      </c>
      <c r="J4354" s="2" t="s">
        <v>669</v>
      </c>
      <c r="K4354" s="2" t="s">
        <v>495</v>
      </c>
      <c r="L4354" s="13" t="s">
        <v>496</v>
      </c>
      <c r="M4354" s="2" t="s">
        <v>26</v>
      </c>
      <c r="N4354" s="29"/>
      <c r="O4354" s="29"/>
      <c r="P4354" s="5" t="str">
        <f>IFERROR(__xludf.DUMMYFUNCTION("TEXTJOIN("" | "",TRUE,IF(OR(D4354="""",E4354="""",I4354="""",J4354="""",H4354=""""),""ফাঁকা ঘর"",""""),IF(AND(C4354&lt;&gt;"""",D4354&lt;&gt;"""",C4354=D4354),""gloss=figurative"",""""),IF(LEN(D4354)&lt;15,""figurative ছোট"",""""),IF(AND(I4354=""Positive"",REGEXMATCH(H4"&amp;"354,""মূর্খ|ভণ্ড|প্রতার|অলস|লোভ|স্বার্থ|অক্ষম|অযোগ্য|বোকা|কৃপণ|হিংস"")),""valence-target অমিল"",""""),IF(COUNTIF($B:$B,B4354)&gt;1,""ডুপ্লিকেট"",""""))"),"")</f>
        <v/>
      </c>
      <c r="Q4354" s="5" t="str">
        <f t="shared" si="1"/>
        <v>২ পরে</v>
      </c>
    </row>
    <row r="4355">
      <c r="A4355" s="4">
        <v>2175.0</v>
      </c>
      <c r="B4355" s="2" t="s">
        <v>17831</v>
      </c>
      <c r="C4355" s="2" t="s">
        <v>17832</v>
      </c>
      <c r="D4355" s="2" t="s">
        <v>17833</v>
      </c>
      <c r="E4355" s="2" t="s">
        <v>17834</v>
      </c>
      <c r="F4355" s="2" t="b">
        <v>1</v>
      </c>
      <c r="G4355" s="2" t="b">
        <v>0</v>
      </c>
      <c r="H4355" s="2" t="s">
        <v>1025</v>
      </c>
      <c r="I4355" s="2" t="s">
        <v>22</v>
      </c>
      <c r="J4355" s="2" t="s">
        <v>43</v>
      </c>
      <c r="K4355" s="2" t="s">
        <v>495</v>
      </c>
      <c r="L4355" s="13" t="s">
        <v>496</v>
      </c>
      <c r="M4355" s="2" t="s">
        <v>26</v>
      </c>
      <c r="N4355" s="29"/>
      <c r="O4355" s="29"/>
      <c r="P4355" s="5" t="str">
        <f>IFERROR(__xludf.DUMMYFUNCTION("TEXTJOIN("" | "",TRUE,IF(OR(D4355="""",E4355="""",I4355="""",J4355="""",H4355=""""),""ফাঁকা ঘর"",""""),IF(AND(C4355&lt;&gt;"""",D4355&lt;&gt;"""",C4355=D4355),""gloss=figurative"",""""),IF(LEN(D4355)&lt;15,""figurative ছোট"",""""),IF(AND(I4355=""Positive"",REGEXMATCH(H4"&amp;"355,""মূর্খ|ভণ্ড|প্রতার|অলস|লোভ|স্বার্থ|অক্ষম|অযোগ্য|বোকা|কৃপণ|হিংস"")),""valence-target অমিল"",""""),IF(COUNTIF($B:$B,B4355)&gt;1,""ডুপ্লিকেট"",""""))"),"")</f>
        <v/>
      </c>
      <c r="Q4355" s="5" t="str">
        <f t="shared" si="1"/>
        <v>২ পরে</v>
      </c>
    </row>
    <row r="4356">
      <c r="A4356" s="4">
        <v>2176.0</v>
      </c>
      <c r="B4356" s="2" t="s">
        <v>17835</v>
      </c>
      <c r="C4356" s="2" t="s">
        <v>17836</v>
      </c>
      <c r="D4356" s="2" t="s">
        <v>17837</v>
      </c>
      <c r="E4356" s="2" t="s">
        <v>17838</v>
      </c>
      <c r="F4356" s="2" t="b">
        <v>1</v>
      </c>
      <c r="G4356" s="2" t="b">
        <v>0</v>
      </c>
      <c r="H4356" s="2" t="s">
        <v>17839</v>
      </c>
      <c r="I4356" s="2" t="s">
        <v>22</v>
      </c>
      <c r="J4356" s="2" t="s">
        <v>43</v>
      </c>
      <c r="K4356" s="2" t="s">
        <v>495</v>
      </c>
      <c r="L4356" s="13" t="s">
        <v>496</v>
      </c>
      <c r="M4356" s="2" t="s">
        <v>26</v>
      </c>
      <c r="N4356" s="29"/>
      <c r="O4356" s="29"/>
      <c r="P4356" s="5" t="str">
        <f>IFERROR(__xludf.DUMMYFUNCTION("TEXTJOIN("" | "",TRUE,IF(OR(D4356="""",E4356="""",I4356="""",J4356="""",H4356=""""),""ফাঁকা ঘর"",""""),IF(AND(C4356&lt;&gt;"""",D4356&lt;&gt;"""",C4356=D4356),""gloss=figurative"",""""),IF(LEN(D4356)&lt;15,""figurative ছোট"",""""),IF(AND(I4356=""Positive"",REGEXMATCH(H4"&amp;"356,""মূর্খ|ভণ্ড|প্রতার|অলস|লোভ|স্বার্থ|অক্ষম|অযোগ্য|বোকা|কৃপণ|হিংস"")),""valence-target অমিল"",""""),IF(COUNTIF($B:$B,B4356)&gt;1,""ডুপ্লিকেট"",""""))"),"")</f>
        <v/>
      </c>
      <c r="Q4356" s="5" t="str">
        <f t="shared" si="1"/>
        <v>২ পরে</v>
      </c>
    </row>
    <row r="4357">
      <c r="A4357" s="4">
        <v>2177.0</v>
      </c>
      <c r="B4357" s="2" t="s">
        <v>17840</v>
      </c>
      <c r="C4357" s="2" t="s">
        <v>17841</v>
      </c>
      <c r="D4357" s="2" t="s">
        <v>17842</v>
      </c>
      <c r="E4357" s="2" t="s">
        <v>17843</v>
      </c>
      <c r="F4357" s="2" t="b">
        <v>1</v>
      </c>
      <c r="G4357" s="2" t="b">
        <v>0</v>
      </c>
      <c r="H4357" s="2" t="s">
        <v>3161</v>
      </c>
      <c r="I4357" s="2" t="s">
        <v>22</v>
      </c>
      <c r="J4357" s="2" t="s">
        <v>669</v>
      </c>
      <c r="K4357" s="2" t="s">
        <v>495</v>
      </c>
      <c r="L4357" s="13" t="s">
        <v>496</v>
      </c>
      <c r="M4357" s="2" t="s">
        <v>26</v>
      </c>
      <c r="N4357" s="29"/>
      <c r="O4357" s="29"/>
      <c r="P4357" s="5" t="str">
        <f>IFERROR(__xludf.DUMMYFUNCTION("TEXTJOIN("" | "",TRUE,IF(OR(D4357="""",E4357="""",I4357="""",J4357="""",H4357=""""),""ফাঁকা ঘর"",""""),IF(AND(C4357&lt;&gt;"""",D4357&lt;&gt;"""",C4357=D4357),""gloss=figurative"",""""),IF(LEN(D4357)&lt;15,""figurative ছোট"",""""),IF(AND(I4357=""Positive"",REGEXMATCH(H4"&amp;"357,""মূর্খ|ভণ্ড|প্রতার|অলস|লোভ|স্বার্থ|অক্ষম|অযোগ্য|বোকা|কৃপণ|হিংস"")),""valence-target অমিল"",""""),IF(COUNTIF($B:$B,B4357)&gt;1,""ডুপ্লিকেট"",""""))"),"")</f>
        <v/>
      </c>
      <c r="Q4357" s="5" t="str">
        <f t="shared" si="1"/>
        <v>২ পরে</v>
      </c>
    </row>
    <row r="4358">
      <c r="A4358" s="4">
        <v>2178.0</v>
      </c>
      <c r="B4358" s="2" t="s">
        <v>17844</v>
      </c>
      <c r="C4358" s="2" t="s">
        <v>17845</v>
      </c>
      <c r="D4358" s="2" t="s">
        <v>17846</v>
      </c>
      <c r="E4358" s="2" t="s">
        <v>17847</v>
      </c>
      <c r="F4358" s="2" t="b">
        <v>1</v>
      </c>
      <c r="G4358" s="2" t="b">
        <v>0</v>
      </c>
      <c r="H4358" s="2" t="s">
        <v>3161</v>
      </c>
      <c r="I4358" s="2" t="s">
        <v>22</v>
      </c>
      <c r="J4358" s="2" t="s">
        <v>669</v>
      </c>
      <c r="K4358" s="2" t="s">
        <v>495</v>
      </c>
      <c r="L4358" s="13" t="s">
        <v>496</v>
      </c>
      <c r="M4358" s="2" t="s">
        <v>26</v>
      </c>
      <c r="N4358" s="29"/>
      <c r="O4358" s="29"/>
      <c r="P4358" s="5" t="str">
        <f>IFERROR(__xludf.DUMMYFUNCTION("TEXTJOIN("" | "",TRUE,IF(OR(D4358="""",E4358="""",I4358="""",J4358="""",H4358=""""),""ফাঁকা ঘর"",""""),IF(AND(C4358&lt;&gt;"""",D4358&lt;&gt;"""",C4358=D4358),""gloss=figurative"",""""),IF(LEN(D4358)&lt;15,""figurative ছোট"",""""),IF(AND(I4358=""Positive"",REGEXMATCH(H4"&amp;"358,""মূর্খ|ভণ্ড|প্রতার|অলস|লোভ|স্বার্থ|অক্ষম|অযোগ্য|বোকা|কৃপণ|হিংস"")),""valence-target অমিল"",""""),IF(COUNTIF($B:$B,B4358)&gt;1,""ডুপ্লিকেট"",""""))"),"")</f>
        <v/>
      </c>
      <c r="Q4358" s="5" t="str">
        <f t="shared" si="1"/>
        <v>২ পরে</v>
      </c>
    </row>
    <row r="4359">
      <c r="A4359" s="4">
        <v>2179.0</v>
      </c>
      <c r="B4359" s="2" t="s">
        <v>17848</v>
      </c>
      <c r="C4359" s="2" t="s">
        <v>17849</v>
      </c>
      <c r="D4359" s="2" t="s">
        <v>17850</v>
      </c>
      <c r="E4359" s="2" t="s">
        <v>17851</v>
      </c>
      <c r="F4359" s="2" t="b">
        <v>1</v>
      </c>
      <c r="G4359" s="2" t="b">
        <v>0</v>
      </c>
      <c r="H4359" s="2" t="s">
        <v>37</v>
      </c>
      <c r="I4359" s="2" t="s">
        <v>32</v>
      </c>
      <c r="J4359" s="2" t="s">
        <v>1249</v>
      </c>
      <c r="K4359" s="2" t="s">
        <v>495</v>
      </c>
      <c r="L4359" s="13" t="s">
        <v>496</v>
      </c>
      <c r="M4359" s="2" t="s">
        <v>26</v>
      </c>
      <c r="N4359" s="29"/>
      <c r="O4359" s="29"/>
      <c r="P4359" s="5" t="str">
        <f>IFERROR(__xludf.DUMMYFUNCTION("TEXTJOIN("" | "",TRUE,IF(OR(D4359="""",E4359="""",I4359="""",J4359="""",H4359=""""),""ফাঁকা ঘর"",""""),IF(AND(C4359&lt;&gt;"""",D4359&lt;&gt;"""",C4359=D4359),""gloss=figurative"",""""),IF(LEN(D4359)&lt;15,""figurative ছোট"",""""),IF(AND(I4359=""Positive"",REGEXMATCH(H4"&amp;"359,""মূর্খ|ভণ্ড|প্রতার|অলস|লোভ|স্বার্থ|অক্ষম|অযোগ্য|বোকা|কৃপণ|হিংস"")),""valence-target অমিল"",""""),IF(COUNTIF($B:$B,B4359)&gt;1,""ডুপ্লিকেট"",""""))"),"")</f>
        <v/>
      </c>
      <c r="Q4359" s="5" t="str">
        <f t="shared" si="1"/>
        <v>২ পরে</v>
      </c>
    </row>
    <row r="4360">
      <c r="A4360" s="4">
        <v>2180.0</v>
      </c>
      <c r="B4360" s="2" t="s">
        <v>10615</v>
      </c>
      <c r="C4360" s="2" t="s">
        <v>17852</v>
      </c>
      <c r="D4360" s="2" t="s">
        <v>17853</v>
      </c>
      <c r="E4360" s="2" t="s">
        <v>17854</v>
      </c>
      <c r="F4360" s="2" t="b">
        <v>1</v>
      </c>
      <c r="G4360" s="2" t="b">
        <v>1</v>
      </c>
      <c r="H4360" s="2" t="s">
        <v>17855</v>
      </c>
      <c r="I4360" s="2" t="s">
        <v>22</v>
      </c>
      <c r="J4360" s="2" t="s">
        <v>17156</v>
      </c>
      <c r="K4360" s="2" t="s">
        <v>495</v>
      </c>
      <c r="L4360" s="13" t="s">
        <v>496</v>
      </c>
      <c r="M4360" s="2" t="s">
        <v>26</v>
      </c>
      <c r="N4360" s="29"/>
      <c r="O4360" s="29"/>
      <c r="P4360" s="5" t="str">
        <f>IFERROR(__xludf.DUMMYFUNCTION("TEXTJOIN("" | "",TRUE,IF(OR(D4360="""",E4360="""",I4360="""",J4360="""",H4360=""""),""ফাঁকা ঘর"",""""),IF(AND(C4360&lt;&gt;"""",D4360&lt;&gt;"""",C4360=D4360),""gloss=figurative"",""""),IF(LEN(D4360)&lt;15,""figurative ছোট"",""""),IF(AND(I4360=""Positive"",REGEXMATCH(H4"&amp;"360,""মূর্খ|ভণ্ড|প্রতার|অলস|লোভ|স্বার্থ|অক্ষম|অযোগ্য|বোকা|কৃপণ|হিংস"")),""valence-target অমিল"",""""),IF(COUNTIF($B:$B,B4360)&gt;1,""ডুপ্লিকেট"",""""))"),"")</f>
        <v/>
      </c>
      <c r="Q4360" s="5" t="str">
        <f t="shared" si="1"/>
        <v>২ পরে</v>
      </c>
    </row>
    <row r="4361">
      <c r="A4361" s="4">
        <v>2181.0</v>
      </c>
      <c r="B4361" s="2" t="s">
        <v>17856</v>
      </c>
      <c r="C4361" s="2" t="s">
        <v>17857</v>
      </c>
      <c r="D4361" s="2" t="s">
        <v>17858</v>
      </c>
      <c r="E4361" s="2" t="s">
        <v>17859</v>
      </c>
      <c r="F4361" s="2" t="b">
        <v>1</v>
      </c>
      <c r="G4361" s="2" t="b">
        <v>0</v>
      </c>
      <c r="H4361" s="2" t="s">
        <v>37</v>
      </c>
      <c r="I4361" s="2" t="s">
        <v>49</v>
      </c>
      <c r="J4361" s="2" t="s">
        <v>300</v>
      </c>
      <c r="K4361" s="2" t="s">
        <v>495</v>
      </c>
      <c r="L4361" s="13" t="s">
        <v>496</v>
      </c>
      <c r="M4361" s="2" t="s">
        <v>26</v>
      </c>
      <c r="N4361" s="29"/>
      <c r="O4361" s="29"/>
      <c r="P4361" s="5" t="str">
        <f>IFERROR(__xludf.DUMMYFUNCTION("TEXTJOIN("" | "",TRUE,IF(OR(D4361="""",E4361="""",I4361="""",J4361="""",H4361=""""),""ফাঁকা ঘর"",""""),IF(AND(C4361&lt;&gt;"""",D4361&lt;&gt;"""",C4361=D4361),""gloss=figurative"",""""),IF(LEN(D4361)&lt;15,""figurative ছোট"",""""),IF(AND(I4361=""Positive"",REGEXMATCH(H4"&amp;"361,""মূর্খ|ভণ্ড|প্রতার|অলস|লোভ|স্বার্থ|অক্ষম|অযোগ্য|বোকা|কৃপণ|হিংস"")),""valence-target অমিল"",""""),IF(COUNTIF($B:$B,B4361)&gt;1,""ডুপ্লিকেট"",""""))"),"")</f>
        <v/>
      </c>
      <c r="Q4361" s="5" t="str">
        <f t="shared" si="1"/>
        <v>২ পরে</v>
      </c>
    </row>
    <row r="4362">
      <c r="A4362" s="4">
        <v>2182.0</v>
      </c>
      <c r="B4362" s="2" t="s">
        <v>17860</v>
      </c>
      <c r="C4362" s="2" t="s">
        <v>17861</v>
      </c>
      <c r="D4362" s="2" t="s">
        <v>17862</v>
      </c>
      <c r="E4362" s="2" t="s">
        <v>17863</v>
      </c>
      <c r="F4362" s="2" t="b">
        <v>1</v>
      </c>
      <c r="G4362" s="2" t="b">
        <v>0</v>
      </c>
      <c r="H4362" s="2" t="s">
        <v>17864</v>
      </c>
      <c r="I4362" s="2" t="s">
        <v>22</v>
      </c>
      <c r="J4362" s="2" t="s">
        <v>669</v>
      </c>
      <c r="K4362" s="2" t="s">
        <v>495</v>
      </c>
      <c r="L4362" s="13" t="s">
        <v>496</v>
      </c>
      <c r="M4362" s="2" t="s">
        <v>26</v>
      </c>
      <c r="N4362" s="29"/>
      <c r="O4362" s="29"/>
      <c r="P4362" s="5" t="str">
        <f>IFERROR(__xludf.DUMMYFUNCTION("TEXTJOIN("" | "",TRUE,IF(OR(D4362="""",E4362="""",I4362="""",J4362="""",H4362=""""),""ফাঁকা ঘর"",""""),IF(AND(C4362&lt;&gt;"""",D4362&lt;&gt;"""",C4362=D4362),""gloss=figurative"",""""),IF(LEN(D4362)&lt;15,""figurative ছোট"",""""),IF(AND(I4362=""Positive"",REGEXMATCH(H4"&amp;"362,""মূর্খ|ভণ্ড|প্রতার|অলস|লোভ|স্বার্থ|অক্ষম|অযোগ্য|বোকা|কৃপণ|হিংস"")),""valence-target অমিল"",""""),IF(COUNTIF($B:$B,B4362)&gt;1,""ডুপ্লিকেট"",""""))"),"")</f>
        <v/>
      </c>
      <c r="Q4362" s="5" t="str">
        <f t="shared" si="1"/>
        <v>২ পরে</v>
      </c>
    </row>
    <row r="4363">
      <c r="A4363" s="4">
        <v>2183.0</v>
      </c>
      <c r="B4363" s="2" t="s">
        <v>17865</v>
      </c>
      <c r="C4363" s="2" t="s">
        <v>17866</v>
      </c>
      <c r="D4363" s="2" t="s">
        <v>17867</v>
      </c>
      <c r="E4363" s="2" t="s">
        <v>17868</v>
      </c>
      <c r="F4363" s="2" t="b">
        <v>1</v>
      </c>
      <c r="G4363" s="2" t="b">
        <v>0</v>
      </c>
      <c r="H4363" s="2" t="s">
        <v>37</v>
      </c>
      <c r="I4363" s="2" t="s">
        <v>49</v>
      </c>
      <c r="J4363" s="2" t="s">
        <v>1008</v>
      </c>
      <c r="K4363" s="2" t="s">
        <v>495</v>
      </c>
      <c r="L4363" s="13" t="s">
        <v>496</v>
      </c>
      <c r="M4363" s="2" t="s">
        <v>26</v>
      </c>
      <c r="N4363" s="29"/>
      <c r="O4363" s="29"/>
      <c r="P4363" s="5" t="str">
        <f>IFERROR(__xludf.DUMMYFUNCTION("TEXTJOIN("" | "",TRUE,IF(OR(D4363="""",E4363="""",I4363="""",J4363="""",H4363=""""),""ফাঁকা ঘর"",""""),IF(AND(C4363&lt;&gt;"""",D4363&lt;&gt;"""",C4363=D4363),""gloss=figurative"",""""),IF(LEN(D4363)&lt;15,""figurative ছোট"",""""),IF(AND(I4363=""Positive"",REGEXMATCH(H4"&amp;"363,""মূর্খ|ভণ্ড|প্রতার|অলস|লোভ|স্বার্থ|অক্ষম|অযোগ্য|বোকা|কৃপণ|হিংস"")),""valence-target অমিল"",""""),IF(COUNTIF($B:$B,B4363)&gt;1,""ডুপ্লিকেট"",""""))"),"")</f>
        <v/>
      </c>
      <c r="Q4363" s="5" t="str">
        <f t="shared" si="1"/>
        <v>২ পরে</v>
      </c>
    </row>
    <row r="4364">
      <c r="A4364" s="4">
        <v>2184.0</v>
      </c>
      <c r="B4364" s="2" t="s">
        <v>17869</v>
      </c>
      <c r="C4364" s="2" t="s">
        <v>17870</v>
      </c>
      <c r="D4364" s="2" t="s">
        <v>17871</v>
      </c>
      <c r="E4364" s="2" t="s">
        <v>17872</v>
      </c>
      <c r="F4364" s="2" t="b">
        <v>1</v>
      </c>
      <c r="G4364" s="2" t="b">
        <v>0</v>
      </c>
      <c r="H4364" s="2" t="s">
        <v>37</v>
      </c>
      <c r="I4364" s="2" t="s">
        <v>32</v>
      </c>
      <c r="J4364" s="2" t="s">
        <v>162</v>
      </c>
      <c r="K4364" s="2" t="s">
        <v>495</v>
      </c>
      <c r="L4364" s="13" t="s">
        <v>496</v>
      </c>
      <c r="M4364" s="2" t="s">
        <v>26</v>
      </c>
      <c r="N4364" s="29"/>
      <c r="O4364" s="29"/>
      <c r="P4364" s="5" t="str">
        <f>IFERROR(__xludf.DUMMYFUNCTION("TEXTJOIN("" | "",TRUE,IF(OR(D4364="""",E4364="""",I4364="""",J4364="""",H4364=""""),""ফাঁকা ঘর"",""""),IF(AND(C4364&lt;&gt;"""",D4364&lt;&gt;"""",C4364=D4364),""gloss=figurative"",""""),IF(LEN(D4364)&lt;15,""figurative ছোট"",""""),IF(AND(I4364=""Positive"",REGEXMATCH(H4"&amp;"364,""মূর্খ|ভণ্ড|প্রতার|অলস|লোভ|স্বার্থ|অক্ষম|অযোগ্য|বোকা|কৃপণ|হিংস"")),""valence-target অমিল"",""""),IF(COUNTIF($B:$B,B4364)&gt;1,""ডুপ্লিকেট"",""""))"),"")</f>
        <v/>
      </c>
      <c r="Q4364" s="5" t="str">
        <f t="shared" si="1"/>
        <v>২ পরে</v>
      </c>
    </row>
    <row r="4365">
      <c r="A4365" s="4">
        <v>2185.0</v>
      </c>
      <c r="B4365" s="2" t="s">
        <v>17873</v>
      </c>
      <c r="C4365" s="2" t="s">
        <v>17874</v>
      </c>
      <c r="D4365" s="2" t="s">
        <v>17875</v>
      </c>
      <c r="E4365" s="2" t="s">
        <v>17876</v>
      </c>
      <c r="F4365" s="2" t="b">
        <v>1</v>
      </c>
      <c r="G4365" s="2" t="b">
        <v>0</v>
      </c>
      <c r="H4365" s="2" t="s">
        <v>37</v>
      </c>
      <c r="I4365" s="2" t="s">
        <v>49</v>
      </c>
      <c r="J4365" s="2" t="s">
        <v>17877</v>
      </c>
      <c r="K4365" s="2" t="s">
        <v>495</v>
      </c>
      <c r="L4365" s="13" t="s">
        <v>496</v>
      </c>
      <c r="M4365" s="2" t="s">
        <v>26</v>
      </c>
      <c r="N4365" s="29"/>
      <c r="O4365" s="29"/>
      <c r="P4365" s="5" t="str">
        <f>IFERROR(__xludf.DUMMYFUNCTION("TEXTJOIN("" | "",TRUE,IF(OR(D4365="""",E4365="""",I4365="""",J4365="""",H4365=""""),""ফাঁকা ঘর"",""""),IF(AND(C4365&lt;&gt;"""",D4365&lt;&gt;"""",C4365=D4365),""gloss=figurative"",""""),IF(LEN(D4365)&lt;15,""figurative ছোট"",""""),IF(AND(I4365=""Positive"",REGEXMATCH(H4"&amp;"365,""মূর্খ|ভণ্ড|প্রতার|অলস|লোভ|স্বার্থ|অক্ষম|অযোগ্য|বোকা|কৃপণ|হিংস"")),""valence-target অমিল"",""""),IF(COUNTIF($B:$B,B4365)&gt;1,""ডুপ্লিকেট"",""""))"),"")</f>
        <v/>
      </c>
      <c r="Q4365" s="5" t="str">
        <f t="shared" si="1"/>
        <v>২ পরে</v>
      </c>
    </row>
    <row r="4366">
      <c r="A4366" s="4">
        <v>2186.0</v>
      </c>
      <c r="B4366" s="2" t="s">
        <v>17878</v>
      </c>
      <c r="C4366" s="2" t="s">
        <v>17879</v>
      </c>
      <c r="D4366" s="2" t="s">
        <v>17880</v>
      </c>
      <c r="E4366" s="2" t="s">
        <v>17881</v>
      </c>
      <c r="F4366" s="2" t="b">
        <v>1</v>
      </c>
      <c r="G4366" s="2" t="b">
        <v>0</v>
      </c>
      <c r="H4366" s="2" t="s">
        <v>37</v>
      </c>
      <c r="I4366" s="2" t="s">
        <v>32</v>
      </c>
      <c r="J4366" s="2" t="s">
        <v>1060</v>
      </c>
      <c r="K4366" s="2" t="s">
        <v>495</v>
      </c>
      <c r="L4366" s="13" t="s">
        <v>496</v>
      </c>
      <c r="M4366" s="2" t="s">
        <v>26</v>
      </c>
      <c r="N4366" s="29"/>
      <c r="O4366" s="29"/>
      <c r="P4366" s="5" t="str">
        <f>IFERROR(__xludf.DUMMYFUNCTION("TEXTJOIN("" | "",TRUE,IF(OR(D4366="""",E4366="""",I4366="""",J4366="""",H4366=""""),""ফাঁকা ঘর"",""""),IF(AND(C4366&lt;&gt;"""",D4366&lt;&gt;"""",C4366=D4366),""gloss=figurative"",""""),IF(LEN(D4366)&lt;15,""figurative ছোট"",""""),IF(AND(I4366=""Positive"",REGEXMATCH(H4"&amp;"366,""মূর্খ|ভণ্ড|প্রতার|অলস|লোভ|স্বার্থ|অক্ষম|অযোগ্য|বোকা|কৃপণ|হিংস"")),""valence-target অমিল"",""""),IF(COUNTIF($B:$B,B4366)&gt;1,""ডুপ্লিকেট"",""""))"),"")</f>
        <v/>
      </c>
      <c r="Q4366" s="5" t="str">
        <f t="shared" si="1"/>
        <v>২ পরে</v>
      </c>
    </row>
    <row r="4367">
      <c r="A4367" s="4">
        <v>2187.0</v>
      </c>
      <c r="B4367" s="2" t="s">
        <v>17882</v>
      </c>
      <c r="C4367" s="2" t="s">
        <v>17883</v>
      </c>
      <c r="D4367" s="2" t="s">
        <v>17884</v>
      </c>
      <c r="E4367" s="2" t="s">
        <v>17885</v>
      </c>
      <c r="F4367" s="2" t="b">
        <v>1</v>
      </c>
      <c r="G4367" s="2" t="b">
        <v>0</v>
      </c>
      <c r="H4367" s="2" t="s">
        <v>37</v>
      </c>
      <c r="I4367" s="2" t="s">
        <v>32</v>
      </c>
      <c r="J4367" s="2" t="s">
        <v>502</v>
      </c>
      <c r="K4367" s="2" t="s">
        <v>495</v>
      </c>
      <c r="L4367" s="13" t="s">
        <v>496</v>
      </c>
      <c r="M4367" s="2" t="s">
        <v>26</v>
      </c>
      <c r="N4367" s="29"/>
      <c r="O4367" s="29"/>
      <c r="P4367" s="5" t="str">
        <f>IFERROR(__xludf.DUMMYFUNCTION("TEXTJOIN("" | "",TRUE,IF(OR(D4367="""",E4367="""",I4367="""",J4367="""",H4367=""""),""ফাঁকা ঘর"",""""),IF(AND(C4367&lt;&gt;"""",D4367&lt;&gt;"""",C4367=D4367),""gloss=figurative"",""""),IF(LEN(D4367)&lt;15,""figurative ছোট"",""""),IF(AND(I4367=""Positive"",REGEXMATCH(H4"&amp;"367,""মূর্খ|ভণ্ড|প্রতার|অলস|লোভ|স্বার্থ|অক্ষম|অযোগ্য|বোকা|কৃপণ|হিংস"")),""valence-target অমিল"",""""),IF(COUNTIF($B:$B,B4367)&gt;1,""ডুপ্লিকেট"",""""))"),"")</f>
        <v/>
      </c>
      <c r="Q4367" s="5" t="str">
        <f t="shared" si="1"/>
        <v>২ পরে</v>
      </c>
    </row>
    <row r="4368">
      <c r="A4368" s="4">
        <v>2188.0</v>
      </c>
      <c r="B4368" s="2" t="s">
        <v>17886</v>
      </c>
      <c r="C4368" s="2" t="s">
        <v>17887</v>
      </c>
      <c r="D4368" s="2" t="s">
        <v>17888</v>
      </c>
      <c r="E4368" s="2" t="s">
        <v>17889</v>
      </c>
      <c r="F4368" s="2" t="b">
        <v>1</v>
      </c>
      <c r="G4368" s="2" t="b">
        <v>0</v>
      </c>
      <c r="H4368" s="2" t="s">
        <v>1284</v>
      </c>
      <c r="I4368" s="2" t="s">
        <v>22</v>
      </c>
      <c r="J4368" s="2" t="s">
        <v>3105</v>
      </c>
      <c r="K4368" s="2" t="s">
        <v>376</v>
      </c>
      <c r="L4368" s="2" t="s">
        <v>391</v>
      </c>
      <c r="M4368" s="2" t="s">
        <v>26</v>
      </c>
      <c r="N4368" s="29"/>
      <c r="O4368" s="29"/>
      <c r="P4368" s="5" t="str">
        <f>IFERROR(__xludf.DUMMYFUNCTION("TEXTJOIN("" | "",TRUE,IF(OR(D4368="""",E4368="""",I4368="""",J4368="""",H4368=""""),""ফাঁকা ঘর"",""""),IF(AND(C4368&lt;&gt;"""",D4368&lt;&gt;"""",C4368=D4368),""gloss=figurative"",""""),IF(LEN(D4368)&lt;15,""figurative ছোট"",""""),IF(AND(I4368=""Positive"",REGEXMATCH(H4"&amp;"368,""মূর্খ|ভণ্ড|প্রতার|অলস|লোভ|স্বার্থ|অক্ষম|অযোগ্য|বোকা|কৃপণ|হিংস"")),""valence-target অমিল"",""""),IF(COUNTIF($B:$B,B4368)&gt;1,""ডুপ্লিকেট"",""""))"),"")</f>
        <v/>
      </c>
      <c r="Q4368" s="5" t="str">
        <f t="shared" si="1"/>
        <v>২ পরে</v>
      </c>
    </row>
    <row r="4369">
      <c r="A4369" s="4">
        <v>2189.0</v>
      </c>
      <c r="B4369" s="2" t="s">
        <v>17890</v>
      </c>
      <c r="C4369" s="2" t="s">
        <v>17890</v>
      </c>
      <c r="D4369" s="2" t="s">
        <v>17891</v>
      </c>
      <c r="E4369" s="2" t="s">
        <v>17892</v>
      </c>
      <c r="F4369" s="2" t="b">
        <v>1</v>
      </c>
      <c r="G4369" s="2" t="b">
        <v>0</v>
      </c>
      <c r="H4369" s="2" t="s">
        <v>37</v>
      </c>
      <c r="I4369" s="2" t="s">
        <v>49</v>
      </c>
      <c r="J4369" s="2" t="s">
        <v>162</v>
      </c>
      <c r="K4369" s="2" t="s">
        <v>376</v>
      </c>
      <c r="L4369" s="2" t="s">
        <v>391</v>
      </c>
      <c r="M4369" s="2" t="s">
        <v>26</v>
      </c>
      <c r="N4369" s="29"/>
      <c r="O4369" s="29"/>
      <c r="P4369" s="5" t="str">
        <f>IFERROR(__xludf.DUMMYFUNCTION("TEXTJOIN("" | "",TRUE,IF(OR(D4369="""",E4369="""",I4369="""",J4369="""",H4369=""""),""ফাঁকা ঘর"",""""),IF(AND(C4369&lt;&gt;"""",D4369&lt;&gt;"""",C4369=D4369),""gloss=figurative"",""""),IF(LEN(D4369)&lt;15,""figurative ছোট"",""""),IF(AND(I4369=""Positive"",REGEXMATCH(H4"&amp;"369,""মূর্খ|ভণ্ড|প্রতার|অলস|লোভ|স্বার্থ|অক্ষম|অযোগ্য|বোকা|কৃপণ|হিংস"")),""valence-target অমিল"",""""),IF(COUNTIF($B:$B,B4369)&gt;1,""ডুপ্লিকেট"",""""))"),"")</f>
        <v/>
      </c>
      <c r="Q4369" s="5" t="str">
        <f t="shared" si="1"/>
        <v>২ পরে</v>
      </c>
    </row>
    <row r="4370">
      <c r="A4370" s="4">
        <v>2190.0</v>
      </c>
      <c r="B4370" s="2" t="s">
        <v>17893</v>
      </c>
      <c r="C4370" s="2" t="s">
        <v>17894</v>
      </c>
      <c r="D4370" s="2" t="s">
        <v>17895</v>
      </c>
      <c r="E4370" s="2" t="s">
        <v>17896</v>
      </c>
      <c r="F4370" s="2" t="b">
        <v>1</v>
      </c>
      <c r="G4370" s="2" t="b">
        <v>0</v>
      </c>
      <c r="H4370" s="2" t="s">
        <v>37</v>
      </c>
      <c r="I4370" s="2" t="s">
        <v>32</v>
      </c>
      <c r="J4370" s="2" t="s">
        <v>814</v>
      </c>
      <c r="K4370" s="2" t="s">
        <v>376</v>
      </c>
      <c r="L4370" s="2" t="s">
        <v>391</v>
      </c>
      <c r="M4370" s="2" t="s">
        <v>26</v>
      </c>
      <c r="N4370" s="29"/>
      <c r="O4370" s="29"/>
      <c r="P4370" s="5" t="str">
        <f>IFERROR(__xludf.DUMMYFUNCTION("TEXTJOIN("" | "",TRUE,IF(OR(D4370="""",E4370="""",I4370="""",J4370="""",H4370=""""),""ফাঁকা ঘর"",""""),IF(AND(C4370&lt;&gt;"""",D4370&lt;&gt;"""",C4370=D4370),""gloss=figurative"",""""),IF(LEN(D4370)&lt;15,""figurative ছোট"",""""),IF(AND(I4370=""Positive"",REGEXMATCH(H4"&amp;"370,""মূর্খ|ভণ্ড|প্রতার|অলস|লোভ|স্বার্থ|অক্ষম|অযোগ্য|বোকা|কৃপণ|হিংস"")),""valence-target অমিল"",""""),IF(COUNTIF($B:$B,B4370)&gt;1,""ডুপ্লিকেট"",""""))"),"")</f>
        <v/>
      </c>
      <c r="Q4370" s="5" t="str">
        <f t="shared" si="1"/>
        <v>২ পরে</v>
      </c>
    </row>
    <row r="4371">
      <c r="A4371" s="4">
        <v>2191.0</v>
      </c>
      <c r="B4371" s="2" t="s">
        <v>17897</v>
      </c>
      <c r="C4371" s="2" t="s">
        <v>17898</v>
      </c>
      <c r="D4371" s="2" t="s">
        <v>17899</v>
      </c>
      <c r="E4371" s="2" t="s">
        <v>17900</v>
      </c>
      <c r="F4371" s="2" t="b">
        <v>1</v>
      </c>
      <c r="G4371" s="2" t="b">
        <v>0</v>
      </c>
      <c r="H4371" s="2" t="s">
        <v>37</v>
      </c>
      <c r="I4371" s="2" t="s">
        <v>32</v>
      </c>
      <c r="J4371" s="2" t="s">
        <v>3701</v>
      </c>
      <c r="K4371" s="2" t="s">
        <v>376</v>
      </c>
      <c r="L4371" s="2" t="s">
        <v>391</v>
      </c>
      <c r="M4371" s="2" t="s">
        <v>26</v>
      </c>
      <c r="N4371" s="29"/>
      <c r="O4371" s="29"/>
      <c r="P4371" s="5" t="str">
        <f>IFERROR(__xludf.DUMMYFUNCTION("TEXTJOIN("" | "",TRUE,IF(OR(D4371="""",E4371="""",I4371="""",J4371="""",H4371=""""),""ফাঁকা ঘর"",""""),IF(AND(C4371&lt;&gt;"""",D4371&lt;&gt;"""",C4371=D4371),""gloss=figurative"",""""),IF(LEN(D4371)&lt;15,""figurative ছোট"",""""),IF(AND(I4371=""Positive"",REGEXMATCH(H4"&amp;"371,""মূর্খ|ভণ্ড|প্রতার|অলস|লোভ|স্বার্থ|অক্ষম|অযোগ্য|বোকা|কৃপণ|হিংস"")),""valence-target অমিল"",""""),IF(COUNTIF($B:$B,B4371)&gt;1,""ডুপ্লিকেট"",""""))"),"")</f>
        <v/>
      </c>
      <c r="Q4371" s="5" t="str">
        <f t="shared" si="1"/>
        <v>২ পরে</v>
      </c>
    </row>
    <row r="4372">
      <c r="A4372" s="4">
        <v>2192.0</v>
      </c>
      <c r="B4372" s="2" t="s">
        <v>17901</v>
      </c>
      <c r="C4372" s="2" t="s">
        <v>17902</v>
      </c>
      <c r="D4372" s="2" t="s">
        <v>17903</v>
      </c>
      <c r="E4372" s="2" t="s">
        <v>17904</v>
      </c>
      <c r="F4372" s="2" t="b">
        <v>1</v>
      </c>
      <c r="G4372" s="2" t="b">
        <v>0</v>
      </c>
      <c r="H4372" s="2" t="s">
        <v>37</v>
      </c>
      <c r="I4372" s="2" t="s">
        <v>22</v>
      </c>
      <c r="J4372" s="2" t="s">
        <v>3701</v>
      </c>
      <c r="K4372" s="2" t="s">
        <v>376</v>
      </c>
      <c r="L4372" s="2" t="s">
        <v>391</v>
      </c>
      <c r="M4372" s="2" t="s">
        <v>26</v>
      </c>
      <c r="N4372" s="29"/>
      <c r="O4372" s="29"/>
      <c r="P4372" s="5" t="str">
        <f>IFERROR(__xludf.DUMMYFUNCTION("TEXTJOIN("" | "",TRUE,IF(OR(D4372="""",E4372="""",I4372="""",J4372="""",H4372=""""),""ফাঁকা ঘর"",""""),IF(AND(C4372&lt;&gt;"""",D4372&lt;&gt;"""",C4372=D4372),""gloss=figurative"",""""),IF(LEN(D4372)&lt;15,""figurative ছোট"",""""),IF(AND(I4372=""Positive"",REGEXMATCH(H4"&amp;"372,""মূর্খ|ভণ্ড|প্রতার|অলস|লোভ|স্বার্থ|অক্ষম|অযোগ্য|বোকা|কৃপণ|হিংস"")),""valence-target অমিল"",""""),IF(COUNTIF($B:$B,B4372)&gt;1,""ডুপ্লিকেট"",""""))"),"")</f>
        <v/>
      </c>
      <c r="Q4372" s="5" t="str">
        <f t="shared" si="1"/>
        <v>২ পরে</v>
      </c>
    </row>
    <row r="4373">
      <c r="A4373" s="4">
        <v>2193.0</v>
      </c>
      <c r="B4373" s="2" t="s">
        <v>17905</v>
      </c>
      <c r="C4373" s="2" t="s">
        <v>17906</v>
      </c>
      <c r="D4373" s="2" t="s">
        <v>17907</v>
      </c>
      <c r="E4373" s="2" t="s">
        <v>17908</v>
      </c>
      <c r="F4373" s="2" t="b">
        <v>1</v>
      </c>
      <c r="G4373" s="2" t="b">
        <v>0</v>
      </c>
      <c r="H4373" s="2" t="s">
        <v>1284</v>
      </c>
      <c r="I4373" s="2" t="s">
        <v>32</v>
      </c>
      <c r="J4373" s="2" t="s">
        <v>17909</v>
      </c>
      <c r="K4373" s="2" t="s">
        <v>376</v>
      </c>
      <c r="L4373" s="2" t="s">
        <v>391</v>
      </c>
      <c r="M4373" s="2" t="s">
        <v>26</v>
      </c>
      <c r="N4373" s="29"/>
      <c r="O4373" s="29"/>
      <c r="P4373" s="5" t="str">
        <f>IFERROR(__xludf.DUMMYFUNCTION("TEXTJOIN("" | "",TRUE,IF(OR(D4373="""",E4373="""",I4373="""",J4373="""",H4373=""""),""ফাঁকা ঘর"",""""),IF(AND(C4373&lt;&gt;"""",D4373&lt;&gt;"""",C4373=D4373),""gloss=figurative"",""""),IF(LEN(D4373)&lt;15,""figurative ছোট"",""""),IF(AND(I4373=""Positive"",REGEXMATCH(H4"&amp;"373,""মূর্খ|ভণ্ড|প্রতার|অলস|লোভ|স্বার্থ|অক্ষম|অযোগ্য|বোকা|কৃপণ|হিংস"")),""valence-target অমিল"",""""),IF(COUNTIF($B:$B,B4373)&gt;1,""ডুপ্লিকেট"",""""))"),"")</f>
        <v/>
      </c>
      <c r="Q4373" s="5" t="str">
        <f t="shared" si="1"/>
        <v>২ পরে</v>
      </c>
    </row>
    <row r="4374">
      <c r="A4374" s="4">
        <v>2194.0</v>
      </c>
      <c r="B4374" s="2" t="s">
        <v>17910</v>
      </c>
      <c r="C4374" s="2" t="s">
        <v>17911</v>
      </c>
      <c r="D4374" s="2" t="s">
        <v>17912</v>
      </c>
      <c r="E4374" s="2" t="s">
        <v>17913</v>
      </c>
      <c r="F4374" s="2" t="b">
        <v>1</v>
      </c>
      <c r="G4374" s="2" t="b">
        <v>0</v>
      </c>
      <c r="H4374" s="2" t="s">
        <v>37</v>
      </c>
      <c r="I4374" s="2" t="s">
        <v>32</v>
      </c>
      <c r="J4374" s="2" t="s">
        <v>3701</v>
      </c>
      <c r="K4374" s="2" t="s">
        <v>376</v>
      </c>
      <c r="L4374" s="2" t="s">
        <v>391</v>
      </c>
      <c r="M4374" s="2" t="s">
        <v>26</v>
      </c>
      <c r="N4374" s="29"/>
      <c r="O4374" s="29"/>
      <c r="P4374" s="5" t="str">
        <f>IFERROR(__xludf.DUMMYFUNCTION("TEXTJOIN("" | "",TRUE,IF(OR(D4374="""",E4374="""",I4374="""",J4374="""",H4374=""""),""ফাঁকা ঘর"",""""),IF(AND(C4374&lt;&gt;"""",D4374&lt;&gt;"""",C4374=D4374),""gloss=figurative"",""""),IF(LEN(D4374)&lt;15,""figurative ছোট"",""""),IF(AND(I4374=""Positive"",REGEXMATCH(H4"&amp;"374,""মূর্খ|ভণ্ড|প্রতার|অলস|লোভ|স্বার্থ|অক্ষম|অযোগ্য|বোকা|কৃপণ|হিংস"")),""valence-target অমিল"",""""),IF(COUNTIF($B:$B,B4374)&gt;1,""ডুপ্লিকেট"",""""))"),"")</f>
        <v/>
      </c>
      <c r="Q4374" s="5" t="str">
        <f t="shared" si="1"/>
        <v>২ পরে</v>
      </c>
    </row>
    <row r="4375">
      <c r="A4375" s="4">
        <v>2195.0</v>
      </c>
      <c r="B4375" s="2" t="s">
        <v>17914</v>
      </c>
      <c r="C4375" s="2" t="s">
        <v>17915</v>
      </c>
      <c r="D4375" s="2" t="s">
        <v>17916</v>
      </c>
      <c r="E4375" s="2" t="s">
        <v>17917</v>
      </c>
      <c r="F4375" s="2" t="b">
        <v>1</v>
      </c>
      <c r="G4375" s="2" t="b">
        <v>0</v>
      </c>
      <c r="H4375" s="2" t="s">
        <v>37</v>
      </c>
      <c r="I4375" s="2" t="s">
        <v>22</v>
      </c>
      <c r="J4375" s="2" t="s">
        <v>3701</v>
      </c>
      <c r="K4375" s="2" t="s">
        <v>376</v>
      </c>
      <c r="L4375" s="2" t="s">
        <v>391</v>
      </c>
      <c r="M4375" s="2" t="s">
        <v>26</v>
      </c>
      <c r="N4375" s="29"/>
      <c r="O4375" s="29"/>
      <c r="P4375" s="5" t="str">
        <f>IFERROR(__xludf.DUMMYFUNCTION("TEXTJOIN("" | "",TRUE,IF(OR(D4375="""",E4375="""",I4375="""",J4375="""",H4375=""""),""ফাঁকা ঘর"",""""),IF(AND(C4375&lt;&gt;"""",D4375&lt;&gt;"""",C4375=D4375),""gloss=figurative"",""""),IF(LEN(D4375)&lt;15,""figurative ছোট"",""""),IF(AND(I4375=""Positive"",REGEXMATCH(H4"&amp;"375,""মূর্খ|ভণ্ড|প্রতার|অলস|লোভ|স্বার্থ|অক্ষম|অযোগ্য|বোকা|কৃপণ|হিংস"")),""valence-target অমিল"",""""),IF(COUNTIF($B:$B,B4375)&gt;1,""ডুপ্লিকেট"",""""))"),"")</f>
        <v/>
      </c>
      <c r="Q4375" s="5" t="str">
        <f t="shared" si="1"/>
        <v>২ পরে</v>
      </c>
    </row>
    <row r="4376">
      <c r="A4376" s="4">
        <v>2197.0</v>
      </c>
      <c r="B4376" s="2" t="s">
        <v>17918</v>
      </c>
      <c r="C4376" s="2" t="s">
        <v>17919</v>
      </c>
      <c r="D4376" s="2" t="s">
        <v>17920</v>
      </c>
      <c r="E4376" s="2" t="s">
        <v>17921</v>
      </c>
      <c r="F4376" s="2" t="b">
        <v>1</v>
      </c>
      <c r="G4376" s="2" t="b">
        <v>0</v>
      </c>
      <c r="H4376" s="2" t="s">
        <v>251</v>
      </c>
      <c r="I4376" s="2" t="s">
        <v>22</v>
      </c>
      <c r="J4376" s="2" t="s">
        <v>3701</v>
      </c>
      <c r="K4376" s="2" t="s">
        <v>376</v>
      </c>
      <c r="L4376" s="2" t="s">
        <v>391</v>
      </c>
      <c r="M4376" s="2" t="s">
        <v>26</v>
      </c>
      <c r="N4376" s="29"/>
      <c r="O4376" s="29"/>
      <c r="P4376" s="5" t="str">
        <f>IFERROR(__xludf.DUMMYFUNCTION("TEXTJOIN("" | "",TRUE,IF(OR(D4376="""",E4376="""",I4376="""",J4376="""",H4376=""""),""ফাঁকা ঘর"",""""),IF(AND(C4376&lt;&gt;"""",D4376&lt;&gt;"""",C4376=D4376),""gloss=figurative"",""""),IF(LEN(D4376)&lt;15,""figurative ছোট"",""""),IF(AND(I4376=""Positive"",REGEXMATCH(H4"&amp;"376,""মূর্খ|ভণ্ড|প্রতার|অলস|লোভ|স্বার্থ|অক্ষম|অযোগ্য|বোকা|কৃপণ|হিংস"")),""valence-target অমিল"",""""),IF(COUNTIF($B:$B,B4376)&gt;1,""ডুপ্লিকেট"",""""))"),"")</f>
        <v/>
      </c>
      <c r="Q4376" s="5" t="str">
        <f t="shared" si="1"/>
        <v>২ পরে</v>
      </c>
    </row>
    <row r="4377">
      <c r="A4377" s="4">
        <v>2198.0</v>
      </c>
      <c r="B4377" s="2" t="s">
        <v>17922</v>
      </c>
      <c r="C4377" s="2" t="s">
        <v>17923</v>
      </c>
      <c r="D4377" s="2" t="s">
        <v>17924</v>
      </c>
      <c r="E4377" s="2" t="s">
        <v>17925</v>
      </c>
      <c r="F4377" s="2" t="b">
        <v>1</v>
      </c>
      <c r="G4377" s="2" t="b">
        <v>0</v>
      </c>
      <c r="H4377" s="2" t="s">
        <v>17926</v>
      </c>
      <c r="I4377" s="2" t="s">
        <v>32</v>
      </c>
      <c r="J4377" s="2" t="s">
        <v>3701</v>
      </c>
      <c r="K4377" s="2" t="s">
        <v>376</v>
      </c>
      <c r="L4377" s="2" t="s">
        <v>391</v>
      </c>
      <c r="M4377" s="2" t="s">
        <v>26</v>
      </c>
      <c r="N4377" s="29"/>
      <c r="O4377" s="29"/>
      <c r="P4377" s="5" t="str">
        <f>IFERROR(__xludf.DUMMYFUNCTION("TEXTJOIN("" | "",TRUE,IF(OR(D4377="""",E4377="""",I4377="""",J4377="""",H4377=""""),""ফাঁকা ঘর"",""""),IF(AND(C4377&lt;&gt;"""",D4377&lt;&gt;"""",C4377=D4377),""gloss=figurative"",""""),IF(LEN(D4377)&lt;15,""figurative ছোট"",""""),IF(AND(I4377=""Positive"",REGEXMATCH(H4"&amp;"377,""মূর্খ|ভণ্ড|প্রতার|অলস|লোভ|স্বার্থ|অক্ষম|অযোগ্য|বোকা|কৃপণ|হিংস"")),""valence-target অমিল"",""""),IF(COUNTIF($B:$B,B4377)&gt;1,""ডুপ্লিকেট"",""""))"),"")</f>
        <v/>
      </c>
      <c r="Q4377" s="5" t="str">
        <f t="shared" si="1"/>
        <v>২ পরে</v>
      </c>
    </row>
    <row r="4378">
      <c r="A4378" s="4">
        <v>2199.0</v>
      </c>
      <c r="B4378" s="2" t="s">
        <v>17927</v>
      </c>
      <c r="C4378" s="2" t="s">
        <v>17928</v>
      </c>
      <c r="D4378" s="2" t="s">
        <v>17929</v>
      </c>
      <c r="E4378" s="2" t="s">
        <v>17930</v>
      </c>
      <c r="F4378" s="2" t="b">
        <v>1</v>
      </c>
      <c r="G4378" s="2" t="b">
        <v>0</v>
      </c>
      <c r="H4378" s="2" t="s">
        <v>7382</v>
      </c>
      <c r="I4378" s="2" t="s">
        <v>32</v>
      </c>
      <c r="J4378" s="2" t="s">
        <v>17931</v>
      </c>
      <c r="K4378" s="2" t="s">
        <v>376</v>
      </c>
      <c r="L4378" s="2" t="s">
        <v>391</v>
      </c>
      <c r="M4378" s="2" t="s">
        <v>26</v>
      </c>
      <c r="N4378" s="29"/>
      <c r="O4378" s="29"/>
      <c r="P4378" s="5" t="str">
        <f>IFERROR(__xludf.DUMMYFUNCTION("TEXTJOIN("" | "",TRUE,IF(OR(D4378="""",E4378="""",I4378="""",J4378="""",H4378=""""),""ফাঁকা ঘর"",""""),IF(AND(C4378&lt;&gt;"""",D4378&lt;&gt;"""",C4378=D4378),""gloss=figurative"",""""),IF(LEN(D4378)&lt;15,""figurative ছোট"",""""),IF(AND(I4378=""Positive"",REGEXMATCH(H4"&amp;"378,""মূর্খ|ভণ্ড|প্রতার|অলস|লোভ|স্বার্থ|অক্ষম|অযোগ্য|বোকা|কৃপণ|হিংস"")),""valence-target অমিল"",""""),IF(COUNTIF($B:$B,B4378)&gt;1,""ডুপ্লিকেট"",""""))"),"")</f>
        <v/>
      </c>
      <c r="Q4378" s="5" t="str">
        <f t="shared" si="1"/>
        <v>২ পরে</v>
      </c>
    </row>
    <row r="4379">
      <c r="A4379" s="4">
        <v>2200.0</v>
      </c>
      <c r="B4379" s="2" t="s">
        <v>17932</v>
      </c>
      <c r="C4379" s="2" t="s">
        <v>17933</v>
      </c>
      <c r="D4379" s="2" t="s">
        <v>17934</v>
      </c>
      <c r="E4379" s="2" t="s">
        <v>17935</v>
      </c>
      <c r="F4379" s="2" t="b">
        <v>1</v>
      </c>
      <c r="G4379" s="2" t="b">
        <v>0</v>
      </c>
      <c r="H4379" s="2" t="s">
        <v>7382</v>
      </c>
      <c r="I4379" s="2" t="s">
        <v>22</v>
      </c>
      <c r="J4379" s="2" t="s">
        <v>3701</v>
      </c>
      <c r="K4379" s="2" t="s">
        <v>376</v>
      </c>
      <c r="L4379" s="2" t="s">
        <v>391</v>
      </c>
      <c r="M4379" s="2" t="s">
        <v>26</v>
      </c>
      <c r="N4379" s="29"/>
      <c r="O4379" s="29"/>
      <c r="P4379" s="5" t="str">
        <f>IFERROR(__xludf.DUMMYFUNCTION("TEXTJOIN("" | "",TRUE,IF(OR(D4379="""",E4379="""",I4379="""",J4379="""",H4379=""""),""ফাঁকা ঘর"",""""),IF(AND(C4379&lt;&gt;"""",D4379&lt;&gt;"""",C4379=D4379),""gloss=figurative"",""""),IF(LEN(D4379)&lt;15,""figurative ছোট"",""""),IF(AND(I4379=""Positive"",REGEXMATCH(H4"&amp;"379,""মূর্খ|ভণ্ড|প্রতার|অলস|লোভ|স্বার্থ|অক্ষম|অযোগ্য|বোকা|কৃপণ|হিংস"")),""valence-target অমিল"",""""),IF(COUNTIF($B:$B,B4379)&gt;1,""ডুপ্লিকেট"",""""))"),"")</f>
        <v/>
      </c>
      <c r="Q4379" s="5" t="str">
        <f t="shared" si="1"/>
        <v>২ পরে</v>
      </c>
    </row>
    <row r="4380">
      <c r="A4380" s="4">
        <v>2201.0</v>
      </c>
      <c r="B4380" s="2" t="s">
        <v>17936</v>
      </c>
      <c r="C4380" s="2" t="s">
        <v>17936</v>
      </c>
      <c r="D4380" s="2" t="s">
        <v>17937</v>
      </c>
      <c r="E4380" s="2" t="s">
        <v>17938</v>
      </c>
      <c r="F4380" s="2" t="b">
        <v>1</v>
      </c>
      <c r="G4380" s="2" t="b">
        <v>0</v>
      </c>
      <c r="H4380" s="2" t="s">
        <v>37</v>
      </c>
      <c r="I4380" s="2" t="s">
        <v>32</v>
      </c>
      <c r="J4380" s="2" t="s">
        <v>3701</v>
      </c>
      <c r="K4380" s="2" t="s">
        <v>376</v>
      </c>
      <c r="L4380" s="2" t="s">
        <v>391</v>
      </c>
      <c r="M4380" s="2" t="s">
        <v>26</v>
      </c>
      <c r="N4380" s="29"/>
      <c r="O4380" s="29"/>
      <c r="P4380" s="5" t="str">
        <f>IFERROR(__xludf.DUMMYFUNCTION("TEXTJOIN("" | "",TRUE,IF(OR(D4380="""",E4380="""",I4380="""",J4380="""",H4380=""""),""ফাঁকা ঘর"",""""),IF(AND(C4380&lt;&gt;"""",D4380&lt;&gt;"""",C4380=D4380),""gloss=figurative"",""""),IF(LEN(D4380)&lt;15,""figurative ছোট"",""""),IF(AND(I4380=""Positive"",REGEXMATCH(H4"&amp;"380,""মূর্খ|ভণ্ড|প্রতার|অলস|লোভ|স্বার্থ|অক্ষম|অযোগ্য|বোকা|কৃপণ|হিংস"")),""valence-target অমিল"",""""),IF(COUNTIF($B:$B,B4380)&gt;1,""ডুপ্লিকেট"",""""))"),"")</f>
        <v/>
      </c>
      <c r="Q4380" s="5" t="str">
        <f t="shared" si="1"/>
        <v>২ পরে</v>
      </c>
    </row>
    <row r="4381">
      <c r="A4381" s="4">
        <v>2202.0</v>
      </c>
      <c r="B4381" s="2" t="s">
        <v>17939</v>
      </c>
      <c r="C4381" s="2" t="s">
        <v>17940</v>
      </c>
      <c r="D4381" s="2" t="s">
        <v>17941</v>
      </c>
      <c r="E4381" s="2" t="s">
        <v>17942</v>
      </c>
      <c r="F4381" s="2" t="b">
        <v>1</v>
      </c>
      <c r="G4381" s="2" t="b">
        <v>0</v>
      </c>
      <c r="H4381" s="2" t="s">
        <v>37</v>
      </c>
      <c r="I4381" s="2" t="s">
        <v>49</v>
      </c>
      <c r="J4381" s="2" t="s">
        <v>1249</v>
      </c>
      <c r="K4381" s="2" t="s">
        <v>376</v>
      </c>
      <c r="L4381" s="2" t="s">
        <v>391</v>
      </c>
      <c r="M4381" s="2" t="s">
        <v>26</v>
      </c>
      <c r="N4381" s="29"/>
      <c r="O4381" s="29"/>
      <c r="P4381" s="5" t="str">
        <f>IFERROR(__xludf.DUMMYFUNCTION("TEXTJOIN("" | "",TRUE,IF(OR(D4381="""",E4381="""",I4381="""",J4381="""",H4381=""""),""ফাঁকা ঘর"",""""),IF(AND(C4381&lt;&gt;"""",D4381&lt;&gt;"""",C4381=D4381),""gloss=figurative"",""""),IF(LEN(D4381)&lt;15,""figurative ছোট"",""""),IF(AND(I4381=""Positive"",REGEXMATCH(H4"&amp;"381,""মূর্খ|ভণ্ড|প্রতার|অলস|লোভ|স্বার্থ|অক্ষম|অযোগ্য|বোকা|কৃপণ|হিংস"")),""valence-target অমিল"",""""),IF(COUNTIF($B:$B,B4381)&gt;1,""ডুপ্লিকেট"",""""))"),"")</f>
        <v/>
      </c>
      <c r="Q4381" s="5" t="str">
        <f t="shared" si="1"/>
        <v>২ পরে</v>
      </c>
    </row>
    <row r="4382">
      <c r="A4382" s="4">
        <v>2203.0</v>
      </c>
      <c r="B4382" s="2" t="s">
        <v>950</v>
      </c>
      <c r="C4382" s="2" t="s">
        <v>17943</v>
      </c>
      <c r="D4382" s="2" t="s">
        <v>17944</v>
      </c>
      <c r="E4382" s="2" t="s">
        <v>17945</v>
      </c>
      <c r="F4382" s="2" t="b">
        <v>1</v>
      </c>
      <c r="G4382" s="2" t="b">
        <v>0</v>
      </c>
      <c r="H4382" s="2" t="s">
        <v>37</v>
      </c>
      <c r="I4382" s="2" t="s">
        <v>32</v>
      </c>
      <c r="J4382" s="2" t="s">
        <v>3701</v>
      </c>
      <c r="K4382" s="2" t="s">
        <v>495</v>
      </c>
      <c r="L4382" s="13" t="s">
        <v>496</v>
      </c>
      <c r="M4382" s="2" t="s">
        <v>26</v>
      </c>
      <c r="N4382" s="29"/>
      <c r="O4382" s="29"/>
      <c r="P4382" s="5" t="str">
        <f>IFERROR(__xludf.DUMMYFUNCTION("TEXTJOIN("" | "",TRUE,IF(OR(D4382="""",E4382="""",I4382="""",J4382="""",H4382=""""),""ফাঁকা ঘর"",""""),IF(AND(C4382&lt;&gt;"""",D4382&lt;&gt;"""",C4382=D4382),""gloss=figurative"",""""),IF(LEN(D4382)&lt;15,""figurative ছোট"",""""),IF(AND(I4382=""Positive"",REGEXMATCH(H4"&amp;"382,""মূর্খ|ভণ্ড|প্রতার|অলস|লোভ|স্বার্থ|অক্ষম|অযোগ্য|বোকা|কৃপণ|হিংস"")),""valence-target অমিল"",""""),IF(COUNTIF($B:$B,B4382)&gt;1,""ডুপ্লিকেট"",""""))"),"")</f>
        <v/>
      </c>
      <c r="Q4382" s="5" t="str">
        <f t="shared" si="1"/>
        <v>২ পরে</v>
      </c>
    </row>
    <row r="4383">
      <c r="A4383" s="4">
        <v>2204.0</v>
      </c>
      <c r="B4383" s="2" t="s">
        <v>17946</v>
      </c>
      <c r="C4383" s="2" t="s">
        <v>17947</v>
      </c>
      <c r="D4383" s="2" t="s">
        <v>17948</v>
      </c>
      <c r="E4383" s="2" t="s">
        <v>17949</v>
      </c>
      <c r="F4383" s="2" t="b">
        <v>1</v>
      </c>
      <c r="G4383" s="2" t="b">
        <v>0</v>
      </c>
      <c r="H4383" s="2" t="s">
        <v>37</v>
      </c>
      <c r="I4383" s="2" t="s">
        <v>49</v>
      </c>
      <c r="J4383" s="2" t="s">
        <v>1249</v>
      </c>
      <c r="K4383" s="2" t="s">
        <v>495</v>
      </c>
      <c r="L4383" s="13" t="s">
        <v>496</v>
      </c>
      <c r="M4383" s="2" t="s">
        <v>26</v>
      </c>
      <c r="N4383" s="29"/>
      <c r="O4383" s="29"/>
      <c r="P4383" s="5" t="str">
        <f>IFERROR(__xludf.DUMMYFUNCTION("TEXTJOIN("" | "",TRUE,IF(OR(D4383="""",E4383="""",I4383="""",J4383="""",H4383=""""),""ফাঁকা ঘর"",""""),IF(AND(C4383&lt;&gt;"""",D4383&lt;&gt;"""",C4383=D4383),""gloss=figurative"",""""),IF(LEN(D4383)&lt;15,""figurative ছোট"",""""),IF(AND(I4383=""Positive"",REGEXMATCH(H4"&amp;"383,""মূর্খ|ভণ্ড|প্রতার|অলস|লোভ|স্বার্থ|অক্ষম|অযোগ্য|বোকা|কৃপণ|হিংস"")),""valence-target অমিল"",""""),IF(COUNTIF($B:$B,B4383)&gt;1,""ডুপ্লিকেট"",""""))"),"")</f>
        <v/>
      </c>
      <c r="Q4383" s="5" t="str">
        <f t="shared" si="1"/>
        <v>২ পরে</v>
      </c>
    </row>
    <row r="4384">
      <c r="A4384" s="4">
        <v>2205.0</v>
      </c>
      <c r="B4384" s="2" t="s">
        <v>17950</v>
      </c>
      <c r="C4384" s="2" t="s">
        <v>17951</v>
      </c>
      <c r="D4384" s="2" t="s">
        <v>17952</v>
      </c>
      <c r="E4384" s="2" t="s">
        <v>17953</v>
      </c>
      <c r="F4384" s="2" t="b">
        <v>1</v>
      </c>
      <c r="G4384" s="2" t="b">
        <v>0</v>
      </c>
      <c r="H4384" s="2" t="s">
        <v>37</v>
      </c>
      <c r="I4384" s="2" t="s">
        <v>32</v>
      </c>
      <c r="J4384" s="2" t="s">
        <v>17954</v>
      </c>
      <c r="K4384" s="2" t="s">
        <v>495</v>
      </c>
      <c r="L4384" s="13" t="s">
        <v>496</v>
      </c>
      <c r="M4384" s="2" t="s">
        <v>26</v>
      </c>
      <c r="N4384" s="29"/>
      <c r="O4384" s="29"/>
      <c r="P4384" s="5" t="str">
        <f>IFERROR(__xludf.DUMMYFUNCTION("TEXTJOIN("" | "",TRUE,IF(OR(D4384="""",E4384="""",I4384="""",J4384="""",H4384=""""),""ফাঁকা ঘর"",""""),IF(AND(C4384&lt;&gt;"""",D4384&lt;&gt;"""",C4384=D4384),""gloss=figurative"",""""),IF(LEN(D4384)&lt;15,""figurative ছোট"",""""),IF(AND(I4384=""Positive"",REGEXMATCH(H4"&amp;"384,""মূর্খ|ভণ্ড|প্রতার|অলস|লোভ|স্বার্থ|অক্ষম|অযোগ্য|বোকা|কৃপণ|হিংস"")),""valence-target অমিল"",""""),IF(COUNTIF($B:$B,B4384)&gt;1,""ডুপ্লিকেট"",""""))"),"")</f>
        <v/>
      </c>
      <c r="Q4384" s="5" t="str">
        <f t="shared" si="1"/>
        <v>২ পরে</v>
      </c>
    </row>
    <row r="4385">
      <c r="A4385" s="4">
        <v>2206.0</v>
      </c>
      <c r="B4385" s="2" t="s">
        <v>17955</v>
      </c>
      <c r="C4385" s="2" t="s">
        <v>17956</v>
      </c>
      <c r="D4385" s="2" t="s">
        <v>17957</v>
      </c>
      <c r="E4385" s="2" t="s">
        <v>17958</v>
      </c>
      <c r="F4385" s="2" t="b">
        <v>1</v>
      </c>
      <c r="G4385" s="2" t="b">
        <v>0</v>
      </c>
      <c r="H4385" s="2" t="s">
        <v>37</v>
      </c>
      <c r="I4385" s="2" t="s">
        <v>49</v>
      </c>
      <c r="J4385" s="2" t="s">
        <v>2122</v>
      </c>
      <c r="K4385" s="2" t="s">
        <v>495</v>
      </c>
      <c r="L4385" s="13" t="s">
        <v>496</v>
      </c>
      <c r="M4385" s="2" t="s">
        <v>26</v>
      </c>
      <c r="N4385" s="29"/>
      <c r="O4385" s="29"/>
      <c r="P4385" s="5" t="str">
        <f>IFERROR(__xludf.DUMMYFUNCTION("TEXTJOIN("" | "",TRUE,IF(OR(D4385="""",E4385="""",I4385="""",J4385="""",H4385=""""),""ফাঁকা ঘর"",""""),IF(AND(C4385&lt;&gt;"""",D4385&lt;&gt;"""",C4385=D4385),""gloss=figurative"",""""),IF(LEN(D4385)&lt;15,""figurative ছোট"",""""),IF(AND(I4385=""Positive"",REGEXMATCH(H4"&amp;"385,""মূর্খ|ভণ্ড|প্রতার|অলস|লোভ|স্বার্থ|অক্ষম|অযোগ্য|বোকা|কৃপণ|হিংস"")),""valence-target অমিল"",""""),IF(COUNTIF($B:$B,B4385)&gt;1,""ডুপ্লিকেট"",""""))"),"")</f>
        <v/>
      </c>
      <c r="Q4385" s="5" t="str">
        <f t="shared" si="1"/>
        <v>২ পরে</v>
      </c>
    </row>
    <row r="4386">
      <c r="A4386" s="4">
        <v>2207.0</v>
      </c>
      <c r="B4386" s="2" t="s">
        <v>17959</v>
      </c>
      <c r="C4386" s="2" t="s">
        <v>17960</v>
      </c>
      <c r="D4386" s="2" t="s">
        <v>17961</v>
      </c>
      <c r="E4386" s="2" t="s">
        <v>17962</v>
      </c>
      <c r="F4386" s="2" t="b">
        <v>1</v>
      </c>
      <c r="G4386" s="2" t="b">
        <v>0</v>
      </c>
      <c r="H4386" s="2" t="s">
        <v>7382</v>
      </c>
      <c r="I4386" s="2" t="s">
        <v>32</v>
      </c>
      <c r="J4386" s="2" t="s">
        <v>913</v>
      </c>
      <c r="K4386" s="2" t="s">
        <v>495</v>
      </c>
      <c r="L4386" s="13" t="s">
        <v>496</v>
      </c>
      <c r="M4386" s="2" t="s">
        <v>26</v>
      </c>
      <c r="N4386" s="29"/>
      <c r="O4386" s="29"/>
      <c r="P4386" s="5" t="str">
        <f>IFERROR(__xludf.DUMMYFUNCTION("TEXTJOIN("" | "",TRUE,IF(OR(D4386="""",E4386="""",I4386="""",J4386="""",H4386=""""),""ফাঁকা ঘর"",""""),IF(AND(C4386&lt;&gt;"""",D4386&lt;&gt;"""",C4386=D4386),""gloss=figurative"",""""),IF(LEN(D4386)&lt;15,""figurative ছোট"",""""),IF(AND(I4386=""Positive"",REGEXMATCH(H4"&amp;"386,""মূর্খ|ভণ্ড|প্রতার|অলস|লোভ|স্বার্থ|অক্ষম|অযোগ্য|বোকা|কৃপণ|হিংস"")),""valence-target অমিল"",""""),IF(COUNTIF($B:$B,B4386)&gt;1,""ডুপ্লিকেট"",""""))"),"")</f>
        <v/>
      </c>
      <c r="Q4386" s="5" t="str">
        <f t="shared" si="1"/>
        <v>২ পরে</v>
      </c>
    </row>
    <row r="4387">
      <c r="A4387" s="4">
        <v>2208.0</v>
      </c>
      <c r="B4387" s="2" t="s">
        <v>17963</v>
      </c>
      <c r="C4387" s="2" t="s">
        <v>17964</v>
      </c>
      <c r="D4387" s="2" t="s">
        <v>17965</v>
      </c>
      <c r="E4387" s="2" t="s">
        <v>17966</v>
      </c>
      <c r="F4387" s="2" t="b">
        <v>1</v>
      </c>
      <c r="G4387" s="2" t="b">
        <v>0</v>
      </c>
      <c r="H4387" s="2" t="s">
        <v>17967</v>
      </c>
      <c r="I4387" s="2" t="s">
        <v>22</v>
      </c>
      <c r="J4387" s="2" t="s">
        <v>1859</v>
      </c>
      <c r="K4387" s="2" t="s">
        <v>495</v>
      </c>
      <c r="L4387" s="13" t="s">
        <v>496</v>
      </c>
      <c r="M4387" s="2" t="s">
        <v>26</v>
      </c>
      <c r="N4387" s="29"/>
      <c r="O4387" s="29"/>
      <c r="P4387" s="5" t="str">
        <f>IFERROR(__xludf.DUMMYFUNCTION("TEXTJOIN("" | "",TRUE,IF(OR(D4387="""",E4387="""",I4387="""",J4387="""",H4387=""""),""ফাঁকা ঘর"",""""),IF(AND(C4387&lt;&gt;"""",D4387&lt;&gt;"""",C4387=D4387),""gloss=figurative"",""""),IF(LEN(D4387)&lt;15,""figurative ছোট"",""""),IF(AND(I4387=""Positive"",REGEXMATCH(H4"&amp;"387,""মূর্খ|ভণ্ড|প্রতার|অলস|লোভ|স্বার্থ|অক্ষম|অযোগ্য|বোকা|কৃপণ|হিংস"")),""valence-target অমিল"",""""),IF(COUNTIF($B:$B,B4387)&gt;1,""ডুপ্লিকেট"",""""))"),"")</f>
        <v/>
      </c>
      <c r="Q4387" s="5" t="str">
        <f t="shared" si="1"/>
        <v>২ পরে</v>
      </c>
    </row>
    <row r="4388">
      <c r="A4388" s="4">
        <v>2209.0</v>
      </c>
      <c r="B4388" s="2" t="s">
        <v>17968</v>
      </c>
      <c r="C4388" s="2" t="s">
        <v>17969</v>
      </c>
      <c r="D4388" s="2" t="s">
        <v>17970</v>
      </c>
      <c r="E4388" s="2" t="s">
        <v>17971</v>
      </c>
      <c r="F4388" s="2" t="b">
        <v>1</v>
      </c>
      <c r="G4388" s="2" t="b">
        <v>1</v>
      </c>
      <c r="H4388" s="2" t="s">
        <v>17972</v>
      </c>
      <c r="I4388" s="2" t="s">
        <v>22</v>
      </c>
      <c r="J4388" s="2" t="s">
        <v>17973</v>
      </c>
      <c r="K4388" s="2" t="s">
        <v>495</v>
      </c>
      <c r="L4388" s="13" t="s">
        <v>496</v>
      </c>
      <c r="M4388" s="2" t="s">
        <v>26</v>
      </c>
      <c r="N4388" s="29"/>
      <c r="O4388" s="29"/>
      <c r="P4388" s="5" t="str">
        <f>IFERROR(__xludf.DUMMYFUNCTION("TEXTJOIN("" | "",TRUE,IF(OR(D4388="""",E4388="""",I4388="""",J4388="""",H4388=""""),""ফাঁকা ঘর"",""""),IF(AND(C4388&lt;&gt;"""",D4388&lt;&gt;"""",C4388=D4388),""gloss=figurative"",""""),IF(LEN(D4388)&lt;15,""figurative ছোট"",""""),IF(AND(I4388=""Positive"",REGEXMATCH(H4"&amp;"388,""মূর্খ|ভণ্ড|প্রতার|অলস|লোভ|স্বার্থ|অক্ষম|অযোগ্য|বোকা|কৃপণ|হিংস"")),""valence-target অমিল"",""""),IF(COUNTIF($B:$B,B4388)&gt;1,""ডুপ্লিকেট"",""""))"),"")</f>
        <v/>
      </c>
      <c r="Q4388" s="5" t="str">
        <f t="shared" si="1"/>
        <v>২ পরে</v>
      </c>
    </row>
    <row r="4389">
      <c r="A4389" s="4">
        <v>2210.0</v>
      </c>
      <c r="B4389" s="2" t="s">
        <v>17974</v>
      </c>
      <c r="C4389" s="2" t="s">
        <v>17975</v>
      </c>
      <c r="D4389" s="2" t="s">
        <v>17976</v>
      </c>
      <c r="E4389" s="2" t="s">
        <v>17977</v>
      </c>
      <c r="F4389" s="2" t="b">
        <v>1</v>
      </c>
      <c r="G4389" s="2" t="b">
        <v>0</v>
      </c>
      <c r="H4389" s="2" t="s">
        <v>37</v>
      </c>
      <c r="I4389" s="2" t="s">
        <v>32</v>
      </c>
      <c r="J4389" s="2" t="s">
        <v>162</v>
      </c>
      <c r="K4389" s="2" t="s">
        <v>495</v>
      </c>
      <c r="L4389" s="13" t="s">
        <v>496</v>
      </c>
      <c r="M4389" s="2" t="s">
        <v>26</v>
      </c>
      <c r="N4389" s="29"/>
      <c r="O4389" s="29"/>
      <c r="P4389" s="5" t="str">
        <f>IFERROR(__xludf.DUMMYFUNCTION("TEXTJOIN("" | "",TRUE,IF(OR(D4389="""",E4389="""",I4389="""",J4389="""",H4389=""""),""ফাঁকা ঘর"",""""),IF(AND(C4389&lt;&gt;"""",D4389&lt;&gt;"""",C4389=D4389),""gloss=figurative"",""""),IF(LEN(D4389)&lt;15,""figurative ছোট"",""""),IF(AND(I4389=""Positive"",REGEXMATCH(H4"&amp;"389,""মূর্খ|ভণ্ড|প্রতার|অলস|লোভ|স্বার্থ|অক্ষম|অযোগ্য|বোকা|কৃপণ|হিংস"")),""valence-target অমিল"",""""),IF(COUNTIF($B:$B,B4389)&gt;1,""ডুপ্লিকেট"",""""))"),"")</f>
        <v/>
      </c>
      <c r="Q4389" s="5" t="str">
        <f t="shared" si="1"/>
        <v>২ পরে</v>
      </c>
    </row>
    <row r="4390">
      <c r="A4390" s="4">
        <v>2211.0</v>
      </c>
      <c r="B4390" s="2" t="s">
        <v>17978</v>
      </c>
      <c r="C4390" s="2" t="s">
        <v>17979</v>
      </c>
      <c r="D4390" s="2" t="s">
        <v>17980</v>
      </c>
      <c r="E4390" s="2" t="s">
        <v>17981</v>
      </c>
      <c r="F4390" s="2" t="b">
        <v>1</v>
      </c>
      <c r="G4390" s="2" t="b">
        <v>1</v>
      </c>
      <c r="H4390" s="2" t="s">
        <v>17982</v>
      </c>
      <c r="I4390" s="2" t="s">
        <v>32</v>
      </c>
      <c r="J4390" s="2" t="s">
        <v>17983</v>
      </c>
      <c r="K4390" s="2" t="s">
        <v>495</v>
      </c>
      <c r="L4390" s="13" t="s">
        <v>496</v>
      </c>
      <c r="M4390" s="2" t="s">
        <v>26</v>
      </c>
      <c r="N4390" s="29"/>
      <c r="O4390" s="29"/>
      <c r="P4390" s="5" t="str">
        <f>IFERROR(__xludf.DUMMYFUNCTION("TEXTJOIN("" | "",TRUE,IF(OR(D4390="""",E4390="""",I4390="""",J4390="""",H4390=""""),""ফাঁকা ঘর"",""""),IF(AND(C4390&lt;&gt;"""",D4390&lt;&gt;"""",C4390=D4390),""gloss=figurative"",""""),IF(LEN(D4390)&lt;15,""figurative ছোট"",""""),IF(AND(I4390=""Positive"",REGEXMATCH(H4"&amp;"390,""মূর্খ|ভণ্ড|প্রতার|অলস|লোভ|স্বার্থ|অক্ষম|অযোগ্য|বোকা|কৃপণ|হিংস"")),""valence-target অমিল"",""""),IF(COUNTIF($B:$B,B4390)&gt;1,""ডুপ্লিকেট"",""""))"),"")</f>
        <v/>
      </c>
      <c r="Q4390" s="5" t="str">
        <f t="shared" si="1"/>
        <v>২ পরে</v>
      </c>
    </row>
    <row r="4391">
      <c r="A4391" s="4">
        <v>2212.0</v>
      </c>
      <c r="B4391" s="2" t="s">
        <v>17984</v>
      </c>
      <c r="C4391" s="2" t="s">
        <v>17985</v>
      </c>
      <c r="D4391" s="2" t="s">
        <v>17986</v>
      </c>
      <c r="E4391" s="2" t="s">
        <v>17987</v>
      </c>
      <c r="F4391" s="2" t="b">
        <v>1</v>
      </c>
      <c r="G4391" s="2" t="b">
        <v>0</v>
      </c>
      <c r="H4391" s="2" t="s">
        <v>37</v>
      </c>
      <c r="I4391" s="2" t="s">
        <v>22</v>
      </c>
      <c r="J4391" s="2" t="s">
        <v>2732</v>
      </c>
      <c r="K4391" s="2" t="s">
        <v>495</v>
      </c>
      <c r="L4391" s="13" t="s">
        <v>496</v>
      </c>
      <c r="M4391" s="2" t="s">
        <v>26</v>
      </c>
      <c r="N4391" s="29"/>
      <c r="O4391" s="29"/>
      <c r="P4391" s="5" t="str">
        <f>IFERROR(__xludf.DUMMYFUNCTION("TEXTJOIN("" | "",TRUE,IF(OR(D4391="""",E4391="""",I4391="""",J4391="""",H4391=""""),""ফাঁকা ঘর"",""""),IF(AND(C4391&lt;&gt;"""",D4391&lt;&gt;"""",C4391=D4391),""gloss=figurative"",""""),IF(LEN(D4391)&lt;15,""figurative ছোট"",""""),IF(AND(I4391=""Positive"",REGEXMATCH(H4"&amp;"391,""মূর্খ|ভণ্ড|প্রতার|অলস|লোভ|স্বার্থ|অক্ষম|অযোগ্য|বোকা|কৃপণ|হিংস"")),""valence-target অমিল"",""""),IF(COUNTIF($B:$B,B4391)&gt;1,""ডুপ্লিকেট"",""""))"),"")</f>
        <v/>
      </c>
      <c r="Q4391" s="5" t="str">
        <f t="shared" si="1"/>
        <v>২ পরে</v>
      </c>
    </row>
    <row r="4392">
      <c r="A4392" s="4">
        <v>2213.0</v>
      </c>
      <c r="B4392" s="2" t="s">
        <v>17988</v>
      </c>
      <c r="C4392" s="2" t="s">
        <v>17989</v>
      </c>
      <c r="D4392" s="2" t="s">
        <v>17990</v>
      </c>
      <c r="E4392" s="2" t="s">
        <v>17991</v>
      </c>
      <c r="F4392" s="2" t="b">
        <v>1</v>
      </c>
      <c r="G4392" s="2" t="b">
        <v>0</v>
      </c>
      <c r="H4392" s="2" t="s">
        <v>17992</v>
      </c>
      <c r="I4392" s="2" t="s">
        <v>22</v>
      </c>
      <c r="J4392" s="2" t="s">
        <v>1510</v>
      </c>
      <c r="K4392" s="2" t="s">
        <v>495</v>
      </c>
      <c r="L4392" s="13" t="s">
        <v>496</v>
      </c>
      <c r="M4392" s="2" t="s">
        <v>26</v>
      </c>
      <c r="N4392" s="29"/>
      <c r="O4392" s="29"/>
      <c r="P4392" s="5" t="str">
        <f>IFERROR(__xludf.DUMMYFUNCTION("TEXTJOIN("" | "",TRUE,IF(OR(D4392="""",E4392="""",I4392="""",J4392="""",H4392=""""),""ফাঁকা ঘর"",""""),IF(AND(C4392&lt;&gt;"""",D4392&lt;&gt;"""",C4392=D4392),""gloss=figurative"",""""),IF(LEN(D4392)&lt;15,""figurative ছোট"",""""),IF(AND(I4392=""Positive"",REGEXMATCH(H4"&amp;"392,""মূর্খ|ভণ্ড|প্রতার|অলস|লোভ|স্বার্থ|অক্ষম|অযোগ্য|বোকা|কৃপণ|হিংস"")),""valence-target অমিল"",""""),IF(COUNTIF($B:$B,B4392)&gt;1,""ডুপ্লিকেট"",""""))"),"")</f>
        <v/>
      </c>
      <c r="Q4392" s="5" t="str">
        <f t="shared" si="1"/>
        <v>২ পরে</v>
      </c>
    </row>
    <row r="4393">
      <c r="A4393" s="4">
        <v>2214.0</v>
      </c>
      <c r="B4393" s="2" t="s">
        <v>17993</v>
      </c>
      <c r="C4393" s="2" t="s">
        <v>17994</v>
      </c>
      <c r="D4393" s="2" t="s">
        <v>17995</v>
      </c>
      <c r="E4393" s="2" t="s">
        <v>17996</v>
      </c>
      <c r="F4393" s="2" t="b">
        <v>1</v>
      </c>
      <c r="G4393" s="2" t="b">
        <v>0</v>
      </c>
      <c r="H4393" s="2" t="s">
        <v>37</v>
      </c>
      <c r="I4393" s="2" t="s">
        <v>22</v>
      </c>
      <c r="J4393" s="2" t="s">
        <v>17997</v>
      </c>
      <c r="K4393" s="2" t="s">
        <v>495</v>
      </c>
      <c r="L4393" s="13" t="s">
        <v>496</v>
      </c>
      <c r="M4393" s="2" t="s">
        <v>26</v>
      </c>
      <c r="N4393" s="29"/>
      <c r="O4393" s="29"/>
      <c r="P4393" s="5" t="str">
        <f>IFERROR(__xludf.DUMMYFUNCTION("TEXTJOIN("" | "",TRUE,IF(OR(D4393="""",E4393="""",I4393="""",J4393="""",H4393=""""),""ফাঁকা ঘর"",""""),IF(AND(C4393&lt;&gt;"""",D4393&lt;&gt;"""",C4393=D4393),""gloss=figurative"",""""),IF(LEN(D4393)&lt;15,""figurative ছোট"",""""),IF(AND(I4393=""Positive"",REGEXMATCH(H4"&amp;"393,""মূর্খ|ভণ্ড|প্রতার|অলস|লোভ|স্বার্থ|অক্ষম|অযোগ্য|বোকা|কৃপণ|হিংস"")),""valence-target অমিল"",""""),IF(COUNTIF($B:$B,B4393)&gt;1,""ডুপ্লিকেট"",""""))"),"")</f>
        <v/>
      </c>
      <c r="Q4393" s="5" t="str">
        <f t="shared" si="1"/>
        <v>২ পরে</v>
      </c>
    </row>
    <row r="4394">
      <c r="A4394" s="4">
        <v>2215.0</v>
      </c>
      <c r="B4394" s="2" t="s">
        <v>17998</v>
      </c>
      <c r="C4394" s="2" t="s">
        <v>17999</v>
      </c>
      <c r="D4394" s="2" t="s">
        <v>18000</v>
      </c>
      <c r="E4394" s="2" t="s">
        <v>18001</v>
      </c>
      <c r="F4394" s="2" t="b">
        <v>1</v>
      </c>
      <c r="G4394" s="2" t="b">
        <v>0</v>
      </c>
      <c r="H4394" s="2" t="s">
        <v>18002</v>
      </c>
      <c r="I4394" s="2" t="s">
        <v>22</v>
      </c>
      <c r="J4394" s="2" t="s">
        <v>43</v>
      </c>
      <c r="K4394" s="2" t="s">
        <v>495</v>
      </c>
      <c r="L4394" s="13" t="s">
        <v>496</v>
      </c>
      <c r="M4394" s="2" t="s">
        <v>26</v>
      </c>
      <c r="N4394" s="29"/>
      <c r="O4394" s="29"/>
      <c r="P4394" s="5" t="str">
        <f>IFERROR(__xludf.DUMMYFUNCTION("TEXTJOIN("" | "",TRUE,IF(OR(D4394="""",E4394="""",I4394="""",J4394="""",H4394=""""),""ফাঁকা ঘর"",""""),IF(AND(C4394&lt;&gt;"""",D4394&lt;&gt;"""",C4394=D4394),""gloss=figurative"",""""),IF(LEN(D4394)&lt;15,""figurative ছোট"",""""),IF(AND(I4394=""Positive"",REGEXMATCH(H4"&amp;"394,""মূর্খ|ভণ্ড|প্রতার|অলস|লোভ|স্বার্থ|অক্ষম|অযোগ্য|বোকা|কৃপণ|হিংস"")),""valence-target অমিল"",""""),IF(COUNTIF($B:$B,B4394)&gt;1,""ডুপ্লিকেট"",""""))"),"")</f>
        <v/>
      </c>
      <c r="Q4394" s="5" t="str">
        <f t="shared" si="1"/>
        <v>২ পরে</v>
      </c>
    </row>
    <row r="4395">
      <c r="A4395" s="4">
        <v>2216.0</v>
      </c>
      <c r="B4395" s="2" t="s">
        <v>18003</v>
      </c>
      <c r="C4395" s="2" t="s">
        <v>17999</v>
      </c>
      <c r="D4395" s="2" t="s">
        <v>18004</v>
      </c>
      <c r="E4395" s="2" t="s">
        <v>18005</v>
      </c>
      <c r="F4395" s="2" t="b">
        <v>1</v>
      </c>
      <c r="G4395" s="2" t="b">
        <v>0</v>
      </c>
      <c r="H4395" s="2" t="s">
        <v>18006</v>
      </c>
      <c r="I4395" s="2" t="s">
        <v>22</v>
      </c>
      <c r="J4395" s="2" t="s">
        <v>43</v>
      </c>
      <c r="K4395" s="2" t="s">
        <v>495</v>
      </c>
      <c r="L4395" s="13" t="s">
        <v>496</v>
      </c>
      <c r="M4395" s="2" t="s">
        <v>26</v>
      </c>
      <c r="N4395" s="29"/>
      <c r="O4395" s="29"/>
      <c r="P4395" s="5" t="str">
        <f>IFERROR(__xludf.DUMMYFUNCTION("TEXTJOIN("" | "",TRUE,IF(OR(D4395="""",E4395="""",I4395="""",J4395="""",H4395=""""),""ফাঁকা ঘর"",""""),IF(AND(C4395&lt;&gt;"""",D4395&lt;&gt;"""",C4395=D4395),""gloss=figurative"",""""),IF(LEN(D4395)&lt;15,""figurative ছোট"",""""),IF(AND(I4395=""Positive"",REGEXMATCH(H4"&amp;"395,""মূর্খ|ভণ্ড|প্রতার|অলস|লোভ|স্বার্থ|অক্ষম|অযোগ্য|বোকা|কৃপণ|হিংস"")),""valence-target অমিল"",""""),IF(COUNTIF($B:$B,B4395)&gt;1,""ডুপ্লিকেট"",""""))"),"")</f>
        <v/>
      </c>
      <c r="Q4395" s="5" t="str">
        <f t="shared" si="1"/>
        <v>২ পরে</v>
      </c>
    </row>
    <row r="4396">
      <c r="A4396" s="4">
        <v>2217.0</v>
      </c>
      <c r="B4396" s="2" t="s">
        <v>18007</v>
      </c>
      <c r="C4396" s="2" t="s">
        <v>17999</v>
      </c>
      <c r="D4396" s="2" t="s">
        <v>18008</v>
      </c>
      <c r="E4396" s="2" t="s">
        <v>18009</v>
      </c>
      <c r="F4396" s="2" t="b">
        <v>1</v>
      </c>
      <c r="G4396" s="2" t="b">
        <v>0</v>
      </c>
      <c r="H4396" s="2" t="s">
        <v>18010</v>
      </c>
      <c r="I4396" s="2" t="s">
        <v>22</v>
      </c>
      <c r="J4396" s="2" t="s">
        <v>43</v>
      </c>
      <c r="K4396" s="2" t="s">
        <v>495</v>
      </c>
      <c r="L4396" s="13" t="s">
        <v>496</v>
      </c>
      <c r="M4396" s="2" t="s">
        <v>26</v>
      </c>
      <c r="N4396" s="29"/>
      <c r="O4396" s="29"/>
      <c r="P4396" s="5" t="str">
        <f>IFERROR(__xludf.DUMMYFUNCTION("TEXTJOIN("" | "",TRUE,IF(OR(D4396="""",E4396="""",I4396="""",J4396="""",H4396=""""),""ফাঁকা ঘর"",""""),IF(AND(C4396&lt;&gt;"""",D4396&lt;&gt;"""",C4396=D4396),""gloss=figurative"",""""),IF(LEN(D4396)&lt;15,""figurative ছোট"",""""),IF(AND(I4396=""Positive"",REGEXMATCH(H4"&amp;"396,""মূর্খ|ভণ্ড|প্রতার|অলস|লোভ|স্বার্থ|অক্ষম|অযোগ্য|বোকা|কৃপণ|হিংস"")),""valence-target অমিল"",""""),IF(COUNTIF($B:$B,B4396)&gt;1,""ডুপ্লিকেট"",""""))"),"")</f>
        <v/>
      </c>
      <c r="Q4396" s="5" t="str">
        <f t="shared" si="1"/>
        <v>২ পরে</v>
      </c>
    </row>
    <row r="4397">
      <c r="A4397" s="4">
        <v>2218.0</v>
      </c>
      <c r="B4397" s="2" t="s">
        <v>18011</v>
      </c>
      <c r="C4397" s="2" t="s">
        <v>18012</v>
      </c>
      <c r="D4397" s="2" t="s">
        <v>18013</v>
      </c>
      <c r="E4397" s="2" t="s">
        <v>18014</v>
      </c>
      <c r="F4397" s="2" t="b">
        <v>1</v>
      </c>
      <c r="G4397" s="2" t="b">
        <v>0</v>
      </c>
      <c r="H4397" s="2" t="s">
        <v>37</v>
      </c>
      <c r="I4397" s="2" t="s">
        <v>32</v>
      </c>
      <c r="J4397" s="2" t="s">
        <v>2732</v>
      </c>
      <c r="K4397" s="2" t="s">
        <v>495</v>
      </c>
      <c r="L4397" s="13" t="s">
        <v>496</v>
      </c>
      <c r="M4397" s="2" t="s">
        <v>26</v>
      </c>
      <c r="N4397" s="29"/>
      <c r="O4397" s="29"/>
      <c r="P4397" s="5" t="str">
        <f>IFERROR(__xludf.DUMMYFUNCTION("TEXTJOIN("" | "",TRUE,IF(OR(D4397="""",E4397="""",I4397="""",J4397="""",H4397=""""),""ফাঁকা ঘর"",""""),IF(AND(C4397&lt;&gt;"""",D4397&lt;&gt;"""",C4397=D4397),""gloss=figurative"",""""),IF(LEN(D4397)&lt;15,""figurative ছোট"",""""),IF(AND(I4397=""Positive"",REGEXMATCH(H4"&amp;"397,""মূর্খ|ভণ্ড|প্রতার|অলস|লোভ|স্বার্থ|অক্ষম|অযোগ্য|বোকা|কৃপণ|হিংস"")),""valence-target অমিল"",""""),IF(COUNTIF($B:$B,B4397)&gt;1,""ডুপ্লিকেট"",""""))"),"")</f>
        <v/>
      </c>
      <c r="Q4397" s="5" t="str">
        <f t="shared" si="1"/>
        <v>২ পরে</v>
      </c>
    </row>
    <row r="4398">
      <c r="A4398" s="4">
        <v>2219.0</v>
      </c>
      <c r="B4398" s="2" t="s">
        <v>18015</v>
      </c>
      <c r="C4398" s="2" t="s">
        <v>18016</v>
      </c>
      <c r="D4398" s="2" t="s">
        <v>18017</v>
      </c>
      <c r="E4398" s="2" t="s">
        <v>18018</v>
      </c>
      <c r="F4398" s="2" t="b">
        <v>1</v>
      </c>
      <c r="G4398" s="2" t="b">
        <v>0</v>
      </c>
      <c r="H4398" s="2" t="s">
        <v>18019</v>
      </c>
      <c r="I4398" s="2" t="s">
        <v>22</v>
      </c>
      <c r="J4398" s="2" t="s">
        <v>43</v>
      </c>
      <c r="K4398" s="2" t="s">
        <v>495</v>
      </c>
      <c r="L4398" s="13" t="s">
        <v>496</v>
      </c>
      <c r="M4398" s="2" t="s">
        <v>26</v>
      </c>
      <c r="N4398" s="29"/>
      <c r="O4398" s="29"/>
      <c r="P4398" s="5" t="str">
        <f>IFERROR(__xludf.DUMMYFUNCTION("TEXTJOIN("" | "",TRUE,IF(OR(D4398="""",E4398="""",I4398="""",J4398="""",H4398=""""),""ফাঁকা ঘর"",""""),IF(AND(C4398&lt;&gt;"""",D4398&lt;&gt;"""",C4398=D4398),""gloss=figurative"",""""),IF(LEN(D4398)&lt;15,""figurative ছোট"",""""),IF(AND(I4398=""Positive"",REGEXMATCH(H4"&amp;"398,""মূর্খ|ভণ্ড|প্রতার|অলস|লোভ|স্বার্থ|অক্ষম|অযোগ্য|বোকা|কৃপণ|হিংস"")),""valence-target অমিল"",""""),IF(COUNTIF($B:$B,B4398)&gt;1,""ডুপ্লিকেট"",""""))"),"")</f>
        <v/>
      </c>
      <c r="Q4398" s="5" t="str">
        <f t="shared" si="1"/>
        <v>২ পরে</v>
      </c>
    </row>
    <row r="4399">
      <c r="A4399" s="4">
        <v>2220.0</v>
      </c>
      <c r="B4399" s="2" t="s">
        <v>18020</v>
      </c>
      <c r="C4399" s="2" t="s">
        <v>18021</v>
      </c>
      <c r="D4399" s="2" t="s">
        <v>18022</v>
      </c>
      <c r="E4399" s="2" t="s">
        <v>18023</v>
      </c>
      <c r="F4399" s="2" t="b">
        <v>1</v>
      </c>
      <c r="G4399" s="2" t="b">
        <v>0</v>
      </c>
      <c r="H4399" s="2" t="s">
        <v>65</v>
      </c>
      <c r="I4399" s="2" t="s">
        <v>22</v>
      </c>
      <c r="J4399" s="2" t="s">
        <v>750</v>
      </c>
      <c r="K4399" s="2" t="s">
        <v>495</v>
      </c>
      <c r="L4399" s="13" t="s">
        <v>496</v>
      </c>
      <c r="M4399" s="2" t="s">
        <v>26</v>
      </c>
      <c r="N4399" s="29"/>
      <c r="O4399" s="29"/>
      <c r="P4399" s="5" t="str">
        <f>IFERROR(__xludf.DUMMYFUNCTION("TEXTJOIN("" | "",TRUE,IF(OR(D4399="""",E4399="""",I4399="""",J4399="""",H4399=""""),""ফাঁকা ঘর"",""""),IF(AND(C4399&lt;&gt;"""",D4399&lt;&gt;"""",C4399=D4399),""gloss=figurative"",""""),IF(LEN(D4399)&lt;15,""figurative ছোট"",""""),IF(AND(I4399=""Positive"",REGEXMATCH(H4"&amp;"399,""মূর্খ|ভণ্ড|প্রতার|অলস|লোভ|স্বার্থ|অক্ষম|অযোগ্য|বোকা|কৃপণ|হিংস"")),""valence-target অমিল"",""""),IF(COUNTIF($B:$B,B4399)&gt;1,""ডুপ্লিকেট"",""""))"),"")</f>
        <v/>
      </c>
      <c r="Q4399" s="5" t="str">
        <f t="shared" si="1"/>
        <v>২ পরে</v>
      </c>
    </row>
    <row r="4400">
      <c r="A4400" s="4">
        <v>2221.0</v>
      </c>
      <c r="B4400" s="2" t="s">
        <v>18024</v>
      </c>
      <c r="C4400" s="2" t="s">
        <v>18021</v>
      </c>
      <c r="D4400" s="2" t="s">
        <v>18025</v>
      </c>
      <c r="E4400" s="2" t="s">
        <v>18026</v>
      </c>
      <c r="F4400" s="2" t="b">
        <v>1</v>
      </c>
      <c r="G4400" s="2" t="b">
        <v>0</v>
      </c>
      <c r="H4400" s="2" t="s">
        <v>749</v>
      </c>
      <c r="I4400" s="2" t="s">
        <v>22</v>
      </c>
      <c r="J4400" s="2" t="s">
        <v>750</v>
      </c>
      <c r="K4400" s="2" t="s">
        <v>495</v>
      </c>
      <c r="L4400" s="13" t="s">
        <v>496</v>
      </c>
      <c r="M4400" s="2" t="s">
        <v>26</v>
      </c>
      <c r="N4400" s="29"/>
      <c r="O4400" s="29"/>
      <c r="P4400" s="5" t="str">
        <f>IFERROR(__xludf.DUMMYFUNCTION("TEXTJOIN("" | "",TRUE,IF(OR(D4400="""",E4400="""",I4400="""",J4400="""",H4400=""""),""ফাঁকা ঘর"",""""),IF(AND(C4400&lt;&gt;"""",D4400&lt;&gt;"""",C4400=D4400),""gloss=figurative"",""""),IF(LEN(D4400)&lt;15,""figurative ছোট"",""""),IF(AND(I4400=""Positive"",REGEXMATCH(H4"&amp;"400,""মূর্খ|ভণ্ড|প্রতার|অলস|লোভ|স্বার্থ|অক্ষম|অযোগ্য|বোকা|কৃপণ|হিংস"")),""valence-target অমিল"",""""),IF(COUNTIF($B:$B,B4400)&gt;1,""ডুপ্লিকেট"",""""))"),"")</f>
        <v/>
      </c>
      <c r="Q4400" s="5" t="str">
        <f t="shared" si="1"/>
        <v>২ পরে</v>
      </c>
    </row>
    <row r="4401">
      <c r="A4401" s="4">
        <v>2222.0</v>
      </c>
      <c r="B4401" s="2" t="s">
        <v>18027</v>
      </c>
      <c r="C4401" s="2" t="s">
        <v>18028</v>
      </c>
      <c r="D4401" s="2" t="s">
        <v>18029</v>
      </c>
      <c r="E4401" s="2" t="s">
        <v>18030</v>
      </c>
      <c r="F4401" s="2" t="b">
        <v>1</v>
      </c>
      <c r="G4401" s="2" t="b">
        <v>0</v>
      </c>
      <c r="H4401" s="2" t="s">
        <v>37</v>
      </c>
      <c r="I4401" s="2" t="s">
        <v>49</v>
      </c>
      <c r="J4401" s="2" t="s">
        <v>18031</v>
      </c>
      <c r="K4401" s="2" t="s">
        <v>495</v>
      </c>
      <c r="L4401" s="13" t="s">
        <v>496</v>
      </c>
      <c r="M4401" s="2" t="s">
        <v>26</v>
      </c>
      <c r="N4401" s="29"/>
      <c r="O4401" s="29"/>
      <c r="P4401" s="5" t="str">
        <f>IFERROR(__xludf.DUMMYFUNCTION("TEXTJOIN("" | "",TRUE,IF(OR(D4401="""",E4401="""",I4401="""",J4401="""",H4401=""""),""ফাঁকা ঘর"",""""),IF(AND(C4401&lt;&gt;"""",D4401&lt;&gt;"""",C4401=D4401),""gloss=figurative"",""""),IF(LEN(D4401)&lt;15,""figurative ছোট"",""""),IF(AND(I4401=""Positive"",REGEXMATCH(H4"&amp;"401,""মূর্খ|ভণ্ড|প্রতার|অলস|লোভ|স্বার্থ|অক্ষম|অযোগ্য|বোকা|কৃপণ|হিংস"")),""valence-target অমিল"",""""),IF(COUNTIF($B:$B,B4401)&gt;1,""ডুপ্লিকেট"",""""))"),"")</f>
        <v/>
      </c>
      <c r="Q4401" s="5" t="str">
        <f t="shared" si="1"/>
        <v>২ পরে</v>
      </c>
    </row>
    <row r="4402">
      <c r="A4402" s="4">
        <v>2223.0</v>
      </c>
      <c r="B4402" s="2" t="s">
        <v>18032</v>
      </c>
      <c r="C4402" s="2" t="s">
        <v>18028</v>
      </c>
      <c r="D4402" s="2" t="s">
        <v>18033</v>
      </c>
      <c r="E4402" s="2" t="s">
        <v>18034</v>
      </c>
      <c r="F4402" s="2" t="b">
        <v>1</v>
      </c>
      <c r="G4402" s="2" t="b">
        <v>0</v>
      </c>
      <c r="H4402" s="2" t="s">
        <v>37</v>
      </c>
      <c r="I4402" s="2" t="s">
        <v>49</v>
      </c>
      <c r="J4402" s="2" t="s">
        <v>739</v>
      </c>
      <c r="K4402" s="2" t="s">
        <v>495</v>
      </c>
      <c r="L4402" s="13" t="s">
        <v>496</v>
      </c>
      <c r="M4402" s="2" t="s">
        <v>26</v>
      </c>
      <c r="N4402" s="29"/>
      <c r="O4402" s="29"/>
      <c r="P4402" s="5" t="str">
        <f>IFERROR(__xludf.DUMMYFUNCTION("TEXTJOIN("" | "",TRUE,IF(OR(D4402="""",E4402="""",I4402="""",J4402="""",H4402=""""),""ফাঁকা ঘর"",""""),IF(AND(C4402&lt;&gt;"""",D4402&lt;&gt;"""",C4402=D4402),""gloss=figurative"",""""),IF(LEN(D4402)&lt;15,""figurative ছোট"",""""),IF(AND(I4402=""Positive"",REGEXMATCH(H4"&amp;"402,""মূর্খ|ভণ্ড|প্রতার|অলস|লোভ|স্বার্থ|অক্ষম|অযোগ্য|বোকা|কৃপণ|হিংস"")),""valence-target অমিল"",""""),IF(COUNTIF($B:$B,B4402)&gt;1,""ডুপ্লিকেট"",""""))"),"")</f>
        <v/>
      </c>
      <c r="Q4402" s="5" t="str">
        <f t="shared" si="1"/>
        <v>২ পরে</v>
      </c>
    </row>
    <row r="4403">
      <c r="A4403" s="4">
        <v>2224.0</v>
      </c>
      <c r="B4403" s="2" t="s">
        <v>18035</v>
      </c>
      <c r="C4403" s="2" t="s">
        <v>18036</v>
      </c>
      <c r="D4403" s="2" t="s">
        <v>18037</v>
      </c>
      <c r="E4403" s="2" t="s">
        <v>18038</v>
      </c>
      <c r="F4403" s="2" t="b">
        <v>1</v>
      </c>
      <c r="G4403" s="2" t="b">
        <v>0</v>
      </c>
      <c r="H4403" s="2" t="s">
        <v>18039</v>
      </c>
      <c r="I4403" s="2" t="s">
        <v>22</v>
      </c>
      <c r="J4403" s="2" t="s">
        <v>43</v>
      </c>
      <c r="K4403" s="2" t="s">
        <v>495</v>
      </c>
      <c r="L4403" s="13" t="s">
        <v>496</v>
      </c>
      <c r="M4403" s="2" t="s">
        <v>26</v>
      </c>
      <c r="N4403" s="29"/>
      <c r="O4403" s="29"/>
      <c r="P4403" s="5" t="str">
        <f>IFERROR(__xludf.DUMMYFUNCTION("TEXTJOIN("" | "",TRUE,IF(OR(D4403="""",E4403="""",I4403="""",J4403="""",H4403=""""),""ফাঁকা ঘর"",""""),IF(AND(C4403&lt;&gt;"""",D4403&lt;&gt;"""",C4403=D4403),""gloss=figurative"",""""),IF(LEN(D4403)&lt;15,""figurative ছোট"",""""),IF(AND(I4403=""Positive"",REGEXMATCH(H4"&amp;"403,""মূর্খ|ভণ্ড|প্রতার|অলস|লোভ|স্বার্থ|অক্ষম|অযোগ্য|বোকা|কৃপণ|হিংস"")),""valence-target অমিল"",""""),IF(COUNTIF($B:$B,B4403)&gt;1,""ডুপ্লিকেট"",""""))"),"")</f>
        <v/>
      </c>
      <c r="Q4403" s="5" t="str">
        <f t="shared" si="1"/>
        <v>২ পরে</v>
      </c>
    </row>
    <row r="4404">
      <c r="A4404" s="4">
        <v>2225.0</v>
      </c>
      <c r="B4404" s="2" t="s">
        <v>18040</v>
      </c>
      <c r="C4404" s="2" t="s">
        <v>18041</v>
      </c>
      <c r="D4404" s="2" t="s">
        <v>18042</v>
      </c>
      <c r="E4404" s="2" t="s">
        <v>18043</v>
      </c>
      <c r="F4404" s="2" t="b">
        <v>1</v>
      </c>
      <c r="G4404" s="2" t="b">
        <v>0</v>
      </c>
      <c r="H4404" s="2" t="s">
        <v>1571</v>
      </c>
      <c r="I4404" s="2" t="s">
        <v>22</v>
      </c>
      <c r="J4404" s="2" t="s">
        <v>43</v>
      </c>
      <c r="K4404" s="2" t="s">
        <v>495</v>
      </c>
      <c r="L4404" s="13" t="s">
        <v>496</v>
      </c>
      <c r="M4404" s="2" t="s">
        <v>26</v>
      </c>
      <c r="N4404" s="29"/>
      <c r="O4404" s="29"/>
      <c r="P4404" s="5" t="str">
        <f>IFERROR(__xludf.DUMMYFUNCTION("TEXTJOIN("" | "",TRUE,IF(OR(D4404="""",E4404="""",I4404="""",J4404="""",H4404=""""),""ফাঁকা ঘর"",""""),IF(AND(C4404&lt;&gt;"""",D4404&lt;&gt;"""",C4404=D4404),""gloss=figurative"",""""),IF(LEN(D4404)&lt;15,""figurative ছোট"",""""),IF(AND(I4404=""Positive"",REGEXMATCH(H4"&amp;"404,""মূর্খ|ভণ্ড|প্রতার|অলস|লোভ|স্বার্থ|অক্ষম|অযোগ্য|বোকা|কৃপণ|হিংস"")),""valence-target অমিল"",""""),IF(COUNTIF($B:$B,B4404)&gt;1,""ডুপ্লিকেট"",""""))"),"")</f>
        <v/>
      </c>
      <c r="Q4404" s="5" t="str">
        <f t="shared" si="1"/>
        <v>২ পরে</v>
      </c>
    </row>
    <row r="4405">
      <c r="A4405" s="4">
        <v>2226.0</v>
      </c>
      <c r="B4405" s="2" t="s">
        <v>18044</v>
      </c>
      <c r="C4405" s="2" t="s">
        <v>16492</v>
      </c>
      <c r="D4405" s="2" t="s">
        <v>18045</v>
      </c>
      <c r="E4405" s="2" t="s">
        <v>18046</v>
      </c>
      <c r="F4405" s="2" t="b">
        <v>1</v>
      </c>
      <c r="G4405" s="2" t="b">
        <v>0</v>
      </c>
      <c r="H4405" s="2" t="s">
        <v>18047</v>
      </c>
      <c r="I4405" s="2" t="s">
        <v>22</v>
      </c>
      <c r="J4405" s="2" t="s">
        <v>447</v>
      </c>
      <c r="K4405" s="2" t="s">
        <v>495</v>
      </c>
      <c r="L4405" s="13" t="s">
        <v>496</v>
      </c>
      <c r="M4405" s="2" t="s">
        <v>26</v>
      </c>
      <c r="N4405" s="29"/>
      <c r="O4405" s="29"/>
      <c r="P4405" s="5" t="str">
        <f>IFERROR(__xludf.DUMMYFUNCTION("TEXTJOIN("" | "",TRUE,IF(OR(D4405="""",E4405="""",I4405="""",J4405="""",H4405=""""),""ফাঁকা ঘর"",""""),IF(AND(C4405&lt;&gt;"""",D4405&lt;&gt;"""",C4405=D4405),""gloss=figurative"",""""),IF(LEN(D4405)&lt;15,""figurative ছোট"",""""),IF(AND(I4405=""Positive"",REGEXMATCH(H4"&amp;"405,""মূর্খ|ভণ্ড|প্রতার|অলস|লোভ|স্বার্থ|অক্ষম|অযোগ্য|বোকা|কৃপণ|হিংস"")),""valence-target অমিল"",""""),IF(COUNTIF($B:$B,B4405)&gt;1,""ডুপ্লিকেট"",""""))"),"")</f>
        <v/>
      </c>
      <c r="Q4405" s="5" t="str">
        <f t="shared" si="1"/>
        <v>২ পরে</v>
      </c>
    </row>
    <row r="4406">
      <c r="A4406" s="4">
        <v>2227.0</v>
      </c>
      <c r="B4406" s="2" t="s">
        <v>18048</v>
      </c>
      <c r="C4406" s="2" t="s">
        <v>16492</v>
      </c>
      <c r="D4406" s="2" t="s">
        <v>18049</v>
      </c>
      <c r="E4406" s="2" t="s">
        <v>18050</v>
      </c>
      <c r="F4406" s="2" t="b">
        <v>1</v>
      </c>
      <c r="G4406" s="2" t="b">
        <v>0</v>
      </c>
      <c r="H4406" s="2" t="s">
        <v>18051</v>
      </c>
      <c r="I4406" s="2" t="s">
        <v>22</v>
      </c>
      <c r="J4406" s="2" t="s">
        <v>447</v>
      </c>
      <c r="K4406" s="2" t="s">
        <v>495</v>
      </c>
      <c r="L4406" s="13" t="s">
        <v>496</v>
      </c>
      <c r="M4406" s="2" t="s">
        <v>26</v>
      </c>
      <c r="N4406" s="29"/>
      <c r="O4406" s="29"/>
      <c r="P4406" s="5" t="str">
        <f>IFERROR(__xludf.DUMMYFUNCTION("TEXTJOIN("" | "",TRUE,IF(OR(D4406="""",E4406="""",I4406="""",J4406="""",H4406=""""),""ফাঁকা ঘর"",""""),IF(AND(C4406&lt;&gt;"""",D4406&lt;&gt;"""",C4406=D4406),""gloss=figurative"",""""),IF(LEN(D4406)&lt;15,""figurative ছোট"",""""),IF(AND(I4406=""Positive"",REGEXMATCH(H4"&amp;"406,""মূর্খ|ভণ্ড|প্রতার|অলস|লোভ|স্বার্থ|অক্ষম|অযোগ্য|বোকা|কৃপণ|হিংস"")),""valence-target অমিল"",""""),IF(COUNTIF($B:$B,B4406)&gt;1,""ডুপ্লিকেট"",""""))"),"")</f>
        <v/>
      </c>
      <c r="Q4406" s="5" t="str">
        <f t="shared" si="1"/>
        <v>২ পরে</v>
      </c>
    </row>
    <row r="4407">
      <c r="A4407" s="4">
        <v>2228.0</v>
      </c>
      <c r="B4407" s="2" t="s">
        <v>18052</v>
      </c>
      <c r="C4407" s="2" t="s">
        <v>16492</v>
      </c>
      <c r="D4407" s="2" t="s">
        <v>18053</v>
      </c>
      <c r="E4407" s="2" t="s">
        <v>18054</v>
      </c>
      <c r="F4407" s="2" t="b">
        <v>1</v>
      </c>
      <c r="G4407" s="2" t="b">
        <v>0</v>
      </c>
      <c r="H4407" s="2" t="s">
        <v>18055</v>
      </c>
      <c r="I4407" s="2" t="s">
        <v>22</v>
      </c>
      <c r="J4407" s="2" t="s">
        <v>447</v>
      </c>
      <c r="K4407" s="2" t="s">
        <v>495</v>
      </c>
      <c r="L4407" s="13" t="s">
        <v>496</v>
      </c>
      <c r="M4407" s="2" t="s">
        <v>26</v>
      </c>
      <c r="N4407" s="29"/>
      <c r="O4407" s="29"/>
      <c r="P4407" s="5" t="str">
        <f>IFERROR(__xludf.DUMMYFUNCTION("TEXTJOIN("" | "",TRUE,IF(OR(D4407="""",E4407="""",I4407="""",J4407="""",H4407=""""),""ফাঁকা ঘর"",""""),IF(AND(C4407&lt;&gt;"""",D4407&lt;&gt;"""",C4407=D4407),""gloss=figurative"",""""),IF(LEN(D4407)&lt;15,""figurative ছোট"",""""),IF(AND(I4407=""Positive"",REGEXMATCH(H4"&amp;"407,""মূর্খ|ভণ্ড|প্রতার|অলস|লোভ|স্বার্থ|অক্ষম|অযোগ্য|বোকা|কৃপণ|হিংস"")),""valence-target অমিল"",""""),IF(COUNTIF($B:$B,B4407)&gt;1,""ডুপ্লিকেট"",""""))"),"")</f>
        <v/>
      </c>
      <c r="Q4407" s="5" t="str">
        <f t="shared" si="1"/>
        <v>২ পরে</v>
      </c>
    </row>
    <row r="4408">
      <c r="A4408" s="4">
        <v>2229.0</v>
      </c>
      <c r="B4408" s="2" t="s">
        <v>18056</v>
      </c>
      <c r="C4408" s="2" t="s">
        <v>18057</v>
      </c>
      <c r="D4408" s="2" t="s">
        <v>18058</v>
      </c>
      <c r="E4408" s="2" t="s">
        <v>18059</v>
      </c>
      <c r="F4408" s="2" t="b">
        <v>1</v>
      </c>
      <c r="G4408" s="2" t="b">
        <v>0</v>
      </c>
      <c r="H4408" s="2" t="s">
        <v>18060</v>
      </c>
      <c r="I4408" s="2" t="s">
        <v>22</v>
      </c>
      <c r="J4408" s="2" t="s">
        <v>43</v>
      </c>
      <c r="K4408" s="2" t="s">
        <v>495</v>
      </c>
      <c r="L4408" s="13" t="s">
        <v>496</v>
      </c>
      <c r="M4408" s="2" t="s">
        <v>26</v>
      </c>
      <c r="N4408" s="29"/>
      <c r="O4408" s="29"/>
      <c r="P4408" s="5" t="str">
        <f>IFERROR(__xludf.DUMMYFUNCTION("TEXTJOIN("" | "",TRUE,IF(OR(D4408="""",E4408="""",I4408="""",J4408="""",H4408=""""),""ফাঁকা ঘর"",""""),IF(AND(C4408&lt;&gt;"""",D4408&lt;&gt;"""",C4408=D4408),""gloss=figurative"",""""),IF(LEN(D4408)&lt;15,""figurative ছোট"",""""),IF(AND(I4408=""Positive"",REGEXMATCH(H4"&amp;"408,""মূর্খ|ভণ্ড|প্রতার|অলস|লোভ|স্বার্থ|অক্ষম|অযোগ্য|বোকা|কৃপণ|হিংস"")),""valence-target অমিল"",""""),IF(COUNTIF($B:$B,B4408)&gt;1,""ডুপ্লিকেট"",""""))"),"")</f>
        <v/>
      </c>
      <c r="Q4408" s="5" t="str">
        <f t="shared" si="1"/>
        <v>২ পরে</v>
      </c>
    </row>
    <row r="4409">
      <c r="A4409" s="4">
        <v>2230.0</v>
      </c>
      <c r="B4409" s="2" t="s">
        <v>18061</v>
      </c>
      <c r="C4409" s="2" t="s">
        <v>18062</v>
      </c>
      <c r="D4409" s="2" t="s">
        <v>18063</v>
      </c>
      <c r="E4409" s="2" t="s">
        <v>18064</v>
      </c>
      <c r="F4409" s="2" t="b">
        <v>1</v>
      </c>
      <c r="G4409" s="2" t="b">
        <v>0</v>
      </c>
      <c r="H4409" s="2" t="s">
        <v>18065</v>
      </c>
      <c r="I4409" s="2" t="s">
        <v>22</v>
      </c>
      <c r="J4409" s="2" t="s">
        <v>43</v>
      </c>
      <c r="K4409" s="2" t="s">
        <v>495</v>
      </c>
      <c r="L4409" s="13" t="s">
        <v>496</v>
      </c>
      <c r="M4409" s="2" t="s">
        <v>26</v>
      </c>
      <c r="N4409" s="29"/>
      <c r="O4409" s="29"/>
      <c r="P4409" s="5" t="str">
        <f>IFERROR(__xludf.DUMMYFUNCTION("TEXTJOIN("" | "",TRUE,IF(OR(D4409="""",E4409="""",I4409="""",J4409="""",H4409=""""),""ফাঁকা ঘর"",""""),IF(AND(C4409&lt;&gt;"""",D4409&lt;&gt;"""",C4409=D4409),""gloss=figurative"",""""),IF(LEN(D4409)&lt;15,""figurative ছোট"",""""),IF(AND(I4409=""Positive"",REGEXMATCH(H4"&amp;"409,""মূর্খ|ভণ্ড|প্রতার|অলস|লোভ|স্বার্থ|অক্ষম|অযোগ্য|বোকা|কৃপণ|হিংস"")),""valence-target অমিল"",""""),IF(COUNTIF($B:$B,B4409)&gt;1,""ডুপ্লিকেট"",""""))"),"")</f>
        <v/>
      </c>
      <c r="Q4409" s="5" t="str">
        <f t="shared" si="1"/>
        <v>২ পরে</v>
      </c>
    </row>
    <row r="4410">
      <c r="A4410" s="4">
        <v>2231.0</v>
      </c>
      <c r="B4410" s="2" t="s">
        <v>18066</v>
      </c>
      <c r="C4410" s="2" t="s">
        <v>18067</v>
      </c>
      <c r="D4410" s="2" t="s">
        <v>18068</v>
      </c>
      <c r="E4410" s="2" t="s">
        <v>18069</v>
      </c>
      <c r="F4410" s="2" t="b">
        <v>1</v>
      </c>
      <c r="G4410" s="2" t="b">
        <v>0</v>
      </c>
      <c r="H4410" s="2" t="s">
        <v>18070</v>
      </c>
      <c r="I4410" s="2" t="s">
        <v>22</v>
      </c>
      <c r="J4410" s="2" t="s">
        <v>1630</v>
      </c>
      <c r="K4410" s="2" t="s">
        <v>495</v>
      </c>
      <c r="L4410" s="13" t="s">
        <v>496</v>
      </c>
      <c r="M4410" s="2" t="s">
        <v>26</v>
      </c>
      <c r="N4410" s="29"/>
      <c r="O4410" s="29"/>
      <c r="P4410" s="5" t="str">
        <f>IFERROR(__xludf.DUMMYFUNCTION("TEXTJOIN("" | "",TRUE,IF(OR(D4410="""",E4410="""",I4410="""",J4410="""",H4410=""""),""ফাঁকা ঘর"",""""),IF(AND(C4410&lt;&gt;"""",D4410&lt;&gt;"""",C4410=D4410),""gloss=figurative"",""""),IF(LEN(D4410)&lt;15,""figurative ছোট"",""""),IF(AND(I4410=""Positive"",REGEXMATCH(H4"&amp;"410,""মূর্খ|ভণ্ড|প্রতার|অলস|লোভ|স্বার্থ|অক্ষম|অযোগ্য|বোকা|কৃপণ|হিংস"")),""valence-target অমিল"",""""),IF(COUNTIF($B:$B,B4410)&gt;1,""ডুপ্লিকেট"",""""))"),"")</f>
        <v/>
      </c>
      <c r="Q4410" s="5" t="str">
        <f t="shared" si="1"/>
        <v>২ পরে</v>
      </c>
    </row>
    <row r="4411">
      <c r="A4411" s="4">
        <v>2232.0</v>
      </c>
      <c r="B4411" s="2" t="s">
        <v>18071</v>
      </c>
      <c r="C4411" s="2" t="s">
        <v>18072</v>
      </c>
      <c r="D4411" s="2" t="s">
        <v>18073</v>
      </c>
      <c r="E4411" s="2" t="s">
        <v>18074</v>
      </c>
      <c r="F4411" s="2" t="b">
        <v>1</v>
      </c>
      <c r="G4411" s="2" t="b">
        <v>0</v>
      </c>
      <c r="H4411" s="2" t="s">
        <v>18065</v>
      </c>
      <c r="I4411" s="2" t="s">
        <v>22</v>
      </c>
      <c r="J4411" s="2" t="s">
        <v>1630</v>
      </c>
      <c r="K4411" s="2" t="s">
        <v>495</v>
      </c>
      <c r="L4411" s="13" t="s">
        <v>496</v>
      </c>
      <c r="M4411" s="2" t="s">
        <v>26</v>
      </c>
      <c r="N4411" s="29"/>
      <c r="O4411" s="29"/>
      <c r="P4411" s="5" t="str">
        <f>IFERROR(__xludf.DUMMYFUNCTION("TEXTJOIN("" | "",TRUE,IF(OR(D4411="""",E4411="""",I4411="""",J4411="""",H4411=""""),""ফাঁকা ঘর"",""""),IF(AND(C4411&lt;&gt;"""",D4411&lt;&gt;"""",C4411=D4411),""gloss=figurative"",""""),IF(LEN(D4411)&lt;15,""figurative ছোট"",""""),IF(AND(I4411=""Positive"",REGEXMATCH(H4"&amp;"411,""মূর্খ|ভণ্ড|প্রতার|অলস|লোভ|স্বার্থ|অক্ষম|অযোগ্য|বোকা|কৃপণ|হিংস"")),""valence-target অমিল"",""""),IF(COUNTIF($B:$B,B4411)&gt;1,""ডুপ্লিকেট"",""""))"),"")</f>
        <v/>
      </c>
      <c r="Q4411" s="5" t="str">
        <f t="shared" si="1"/>
        <v>২ পরে</v>
      </c>
    </row>
    <row r="4412">
      <c r="A4412" s="4">
        <v>2233.0</v>
      </c>
      <c r="B4412" s="2" t="s">
        <v>18075</v>
      </c>
      <c r="C4412" s="2" t="s">
        <v>18076</v>
      </c>
      <c r="D4412" s="2" t="s">
        <v>18077</v>
      </c>
      <c r="E4412" s="2" t="s">
        <v>18078</v>
      </c>
      <c r="F4412" s="2" t="b">
        <v>1</v>
      </c>
      <c r="G4412" s="2" t="b">
        <v>0</v>
      </c>
      <c r="H4412" s="2" t="s">
        <v>18065</v>
      </c>
      <c r="I4412" s="2" t="s">
        <v>22</v>
      </c>
      <c r="J4412" s="2" t="s">
        <v>1630</v>
      </c>
      <c r="K4412" s="2" t="s">
        <v>495</v>
      </c>
      <c r="L4412" s="13" t="s">
        <v>496</v>
      </c>
      <c r="M4412" s="2" t="s">
        <v>26</v>
      </c>
      <c r="N4412" s="29"/>
      <c r="O4412" s="29"/>
      <c r="P4412" s="5" t="str">
        <f>IFERROR(__xludf.DUMMYFUNCTION("TEXTJOIN("" | "",TRUE,IF(OR(D4412="""",E4412="""",I4412="""",J4412="""",H4412=""""),""ফাঁকা ঘর"",""""),IF(AND(C4412&lt;&gt;"""",D4412&lt;&gt;"""",C4412=D4412),""gloss=figurative"",""""),IF(LEN(D4412)&lt;15,""figurative ছোট"",""""),IF(AND(I4412=""Positive"",REGEXMATCH(H4"&amp;"412,""মূর্খ|ভণ্ড|প্রতার|অলস|লোভ|স্বার্থ|অক্ষম|অযোগ্য|বোকা|কৃপণ|হিংস"")),""valence-target অমিল"",""""),IF(COUNTIF($B:$B,B4412)&gt;1,""ডুপ্লিকেট"",""""))"),"")</f>
        <v/>
      </c>
      <c r="Q4412" s="5" t="str">
        <f t="shared" si="1"/>
        <v>২ পরে</v>
      </c>
    </row>
    <row r="4413">
      <c r="A4413" s="4">
        <v>2234.0</v>
      </c>
      <c r="B4413" s="2" t="s">
        <v>18079</v>
      </c>
      <c r="C4413" s="2" t="s">
        <v>18080</v>
      </c>
      <c r="D4413" s="2" t="s">
        <v>18081</v>
      </c>
      <c r="E4413" s="2" t="s">
        <v>18082</v>
      </c>
      <c r="F4413" s="2" t="b">
        <v>1</v>
      </c>
      <c r="G4413" s="2" t="b">
        <v>0</v>
      </c>
      <c r="H4413" s="2" t="s">
        <v>18065</v>
      </c>
      <c r="I4413" s="2" t="s">
        <v>22</v>
      </c>
      <c r="J4413" s="2" t="s">
        <v>1630</v>
      </c>
      <c r="K4413" s="2" t="s">
        <v>495</v>
      </c>
      <c r="L4413" s="13" t="s">
        <v>496</v>
      </c>
      <c r="M4413" s="2" t="s">
        <v>26</v>
      </c>
      <c r="N4413" s="29"/>
      <c r="O4413" s="29"/>
      <c r="P4413" s="5" t="str">
        <f>IFERROR(__xludf.DUMMYFUNCTION("TEXTJOIN("" | "",TRUE,IF(OR(D4413="""",E4413="""",I4413="""",J4413="""",H4413=""""),""ফাঁকা ঘর"",""""),IF(AND(C4413&lt;&gt;"""",D4413&lt;&gt;"""",C4413=D4413),""gloss=figurative"",""""),IF(LEN(D4413)&lt;15,""figurative ছোট"",""""),IF(AND(I4413=""Positive"",REGEXMATCH(H4"&amp;"413,""মূর্খ|ভণ্ড|প্রতার|অলস|লোভ|স্বার্থ|অক্ষম|অযোগ্য|বোকা|কৃপণ|হিংস"")),""valence-target অমিল"",""""),IF(COUNTIF($B:$B,B4413)&gt;1,""ডুপ্লিকেট"",""""))"),"")</f>
        <v/>
      </c>
      <c r="Q4413" s="5" t="str">
        <f t="shared" si="1"/>
        <v>২ পরে</v>
      </c>
    </row>
    <row r="4414">
      <c r="A4414" s="4">
        <v>2235.0</v>
      </c>
      <c r="B4414" s="2" t="s">
        <v>18083</v>
      </c>
      <c r="C4414" s="2" t="s">
        <v>18084</v>
      </c>
      <c r="D4414" s="2" t="s">
        <v>18085</v>
      </c>
      <c r="E4414" s="2" t="s">
        <v>18086</v>
      </c>
      <c r="F4414" s="2" t="b">
        <v>1</v>
      </c>
      <c r="G4414" s="2" t="b">
        <v>0</v>
      </c>
      <c r="H4414" s="2" t="s">
        <v>18065</v>
      </c>
      <c r="I4414" s="2" t="s">
        <v>22</v>
      </c>
      <c r="J4414" s="2" t="s">
        <v>1630</v>
      </c>
      <c r="K4414" s="2" t="s">
        <v>495</v>
      </c>
      <c r="L4414" s="13" t="s">
        <v>496</v>
      </c>
      <c r="M4414" s="2" t="s">
        <v>26</v>
      </c>
      <c r="N4414" s="29"/>
      <c r="O4414" s="29"/>
      <c r="P4414" s="5" t="str">
        <f>IFERROR(__xludf.DUMMYFUNCTION("TEXTJOIN("" | "",TRUE,IF(OR(D4414="""",E4414="""",I4414="""",J4414="""",H4414=""""),""ফাঁকা ঘর"",""""),IF(AND(C4414&lt;&gt;"""",D4414&lt;&gt;"""",C4414=D4414),""gloss=figurative"",""""),IF(LEN(D4414)&lt;15,""figurative ছোট"",""""),IF(AND(I4414=""Positive"",REGEXMATCH(H4"&amp;"414,""মূর্খ|ভণ্ড|প্রতার|অলস|লোভ|স্বার্থ|অক্ষম|অযোগ্য|বোকা|কৃপণ|হিংস"")),""valence-target অমিল"",""""),IF(COUNTIF($B:$B,B4414)&gt;1,""ডুপ্লিকেট"",""""))"),"")</f>
        <v/>
      </c>
      <c r="Q4414" s="5" t="str">
        <f t="shared" si="1"/>
        <v>২ পরে</v>
      </c>
    </row>
    <row r="4415">
      <c r="A4415" s="4">
        <v>2236.0</v>
      </c>
      <c r="B4415" s="2" t="s">
        <v>18087</v>
      </c>
      <c r="C4415" s="2" t="s">
        <v>18088</v>
      </c>
      <c r="D4415" s="2" t="s">
        <v>18089</v>
      </c>
      <c r="E4415" s="2" t="s">
        <v>18090</v>
      </c>
      <c r="F4415" s="2" t="b">
        <v>1</v>
      </c>
      <c r="G4415" s="2" t="b">
        <v>0</v>
      </c>
      <c r="H4415" s="2" t="s">
        <v>18065</v>
      </c>
      <c r="I4415" s="2" t="s">
        <v>22</v>
      </c>
      <c r="J4415" s="2" t="s">
        <v>1630</v>
      </c>
      <c r="K4415" s="2" t="s">
        <v>495</v>
      </c>
      <c r="L4415" s="13" t="s">
        <v>496</v>
      </c>
      <c r="M4415" s="2" t="s">
        <v>26</v>
      </c>
      <c r="N4415" s="29"/>
      <c r="O4415" s="29"/>
      <c r="P4415" s="5" t="str">
        <f>IFERROR(__xludf.DUMMYFUNCTION("TEXTJOIN("" | "",TRUE,IF(OR(D4415="""",E4415="""",I4415="""",J4415="""",H4415=""""),""ফাঁকা ঘর"",""""),IF(AND(C4415&lt;&gt;"""",D4415&lt;&gt;"""",C4415=D4415),""gloss=figurative"",""""),IF(LEN(D4415)&lt;15,""figurative ছোট"",""""),IF(AND(I4415=""Positive"",REGEXMATCH(H4"&amp;"415,""মূর্খ|ভণ্ড|প্রতার|অলস|লোভ|স্বার্থ|অক্ষম|অযোগ্য|বোকা|কৃপণ|হিংস"")),""valence-target অমিল"",""""),IF(COUNTIF($B:$B,B4415)&gt;1,""ডুপ্লিকেট"",""""))"),"")</f>
        <v/>
      </c>
      <c r="Q4415" s="5" t="str">
        <f t="shared" si="1"/>
        <v>২ পরে</v>
      </c>
    </row>
    <row r="4416">
      <c r="A4416" s="4">
        <v>2237.0</v>
      </c>
      <c r="B4416" s="2" t="s">
        <v>18091</v>
      </c>
      <c r="C4416" s="2" t="s">
        <v>18092</v>
      </c>
      <c r="D4416" s="2" t="s">
        <v>18093</v>
      </c>
      <c r="E4416" s="2" t="s">
        <v>18094</v>
      </c>
      <c r="F4416" s="2" t="b">
        <v>1</v>
      </c>
      <c r="G4416" s="2" t="b">
        <v>0</v>
      </c>
      <c r="H4416" s="2" t="s">
        <v>18095</v>
      </c>
      <c r="I4416" s="2" t="s">
        <v>22</v>
      </c>
      <c r="J4416" s="2" t="s">
        <v>1630</v>
      </c>
      <c r="K4416" s="2" t="s">
        <v>495</v>
      </c>
      <c r="L4416" s="13" t="s">
        <v>496</v>
      </c>
      <c r="M4416" s="2" t="s">
        <v>26</v>
      </c>
      <c r="N4416" s="29"/>
      <c r="O4416" s="29"/>
      <c r="P4416" s="5" t="str">
        <f>IFERROR(__xludf.DUMMYFUNCTION("TEXTJOIN("" | "",TRUE,IF(OR(D4416="""",E4416="""",I4416="""",J4416="""",H4416=""""),""ফাঁকা ঘর"",""""),IF(AND(C4416&lt;&gt;"""",D4416&lt;&gt;"""",C4416=D4416),""gloss=figurative"",""""),IF(LEN(D4416)&lt;15,""figurative ছোট"",""""),IF(AND(I4416=""Positive"",REGEXMATCH(H4"&amp;"416,""মূর্খ|ভণ্ড|প্রতার|অলস|লোভ|স্বার্থ|অক্ষম|অযোগ্য|বোকা|কৃপণ|হিংস"")),""valence-target অমিল"",""""),IF(COUNTIF($B:$B,B4416)&gt;1,""ডুপ্লিকেট"",""""))"),"")</f>
        <v/>
      </c>
      <c r="Q4416" s="5" t="str">
        <f t="shared" si="1"/>
        <v>২ পরে</v>
      </c>
    </row>
    <row r="4417">
      <c r="A4417" s="4">
        <v>2238.0</v>
      </c>
      <c r="B4417" s="2" t="s">
        <v>18096</v>
      </c>
      <c r="C4417" s="2" t="s">
        <v>18097</v>
      </c>
      <c r="D4417" s="2" t="s">
        <v>18098</v>
      </c>
      <c r="E4417" s="2" t="s">
        <v>18099</v>
      </c>
      <c r="F4417" s="2" t="b">
        <v>1</v>
      </c>
      <c r="G4417" s="2" t="b">
        <v>1</v>
      </c>
      <c r="H4417" s="2" t="s">
        <v>18100</v>
      </c>
      <c r="I4417" s="2" t="s">
        <v>22</v>
      </c>
      <c r="J4417" s="2" t="s">
        <v>18101</v>
      </c>
      <c r="K4417" s="2" t="s">
        <v>495</v>
      </c>
      <c r="L4417" s="13" t="s">
        <v>496</v>
      </c>
      <c r="M4417" s="2" t="s">
        <v>26</v>
      </c>
      <c r="N4417" s="29"/>
      <c r="O4417" s="29"/>
      <c r="P4417" s="5" t="str">
        <f>IFERROR(__xludf.DUMMYFUNCTION("TEXTJOIN("" | "",TRUE,IF(OR(D4417="""",E4417="""",I4417="""",J4417="""",H4417=""""),""ফাঁকা ঘর"",""""),IF(AND(C4417&lt;&gt;"""",D4417&lt;&gt;"""",C4417=D4417),""gloss=figurative"",""""),IF(LEN(D4417)&lt;15,""figurative ছোট"",""""),IF(AND(I4417=""Positive"",REGEXMATCH(H4"&amp;"417,""মূর্খ|ভণ্ড|প্রতার|অলস|লোভ|স্বার্থ|অক্ষম|অযোগ্য|বোকা|কৃপণ|হিংস"")),""valence-target অমিল"",""""),IF(COUNTIF($B:$B,B4417)&gt;1,""ডুপ্লিকেট"",""""))"),"")</f>
        <v/>
      </c>
      <c r="Q4417" s="5" t="str">
        <f t="shared" si="1"/>
        <v>২ পরে</v>
      </c>
    </row>
    <row r="4418">
      <c r="A4418" s="4">
        <v>2239.0</v>
      </c>
      <c r="B4418" s="2" t="s">
        <v>18102</v>
      </c>
      <c r="C4418" s="2" t="s">
        <v>18103</v>
      </c>
      <c r="D4418" s="2" t="s">
        <v>18104</v>
      </c>
      <c r="E4418" s="2" t="s">
        <v>18105</v>
      </c>
      <c r="F4418" s="2" t="b">
        <v>1</v>
      </c>
      <c r="G4418" s="2" t="b">
        <v>0</v>
      </c>
      <c r="H4418" s="2" t="s">
        <v>18065</v>
      </c>
      <c r="I4418" s="2" t="s">
        <v>22</v>
      </c>
      <c r="J4418" s="2" t="s">
        <v>1630</v>
      </c>
      <c r="K4418" s="2" t="s">
        <v>495</v>
      </c>
      <c r="L4418" s="13" t="s">
        <v>496</v>
      </c>
      <c r="M4418" s="2" t="s">
        <v>26</v>
      </c>
      <c r="N4418" s="29"/>
      <c r="O4418" s="29"/>
      <c r="P4418" s="5" t="str">
        <f>IFERROR(__xludf.DUMMYFUNCTION("TEXTJOIN("" | "",TRUE,IF(OR(D4418="""",E4418="""",I4418="""",J4418="""",H4418=""""),""ফাঁকা ঘর"",""""),IF(AND(C4418&lt;&gt;"""",D4418&lt;&gt;"""",C4418=D4418),""gloss=figurative"",""""),IF(LEN(D4418)&lt;15,""figurative ছোট"",""""),IF(AND(I4418=""Positive"",REGEXMATCH(H4"&amp;"418,""মূর্খ|ভণ্ড|প্রতার|অলস|লোভ|স্বার্থ|অক্ষম|অযোগ্য|বোকা|কৃপণ|হিংস"")),""valence-target অমিল"",""""),IF(COUNTIF($B:$B,B4418)&gt;1,""ডুপ্লিকেট"",""""))"),"")</f>
        <v/>
      </c>
      <c r="Q4418" s="5" t="str">
        <f t="shared" si="1"/>
        <v>২ পরে</v>
      </c>
    </row>
    <row r="4419">
      <c r="A4419" s="4">
        <v>2240.0</v>
      </c>
      <c r="B4419" s="2" t="s">
        <v>18106</v>
      </c>
      <c r="C4419" s="2" t="s">
        <v>18107</v>
      </c>
      <c r="D4419" s="2" t="s">
        <v>18108</v>
      </c>
      <c r="E4419" s="2" t="s">
        <v>18109</v>
      </c>
      <c r="F4419" s="2" t="b">
        <v>1</v>
      </c>
      <c r="G4419" s="2" t="b">
        <v>1</v>
      </c>
      <c r="H4419" s="2" t="s">
        <v>18110</v>
      </c>
      <c r="I4419" s="2" t="s">
        <v>22</v>
      </c>
      <c r="J4419" s="2" t="s">
        <v>18101</v>
      </c>
      <c r="K4419" s="2" t="s">
        <v>495</v>
      </c>
      <c r="L4419" s="13" t="s">
        <v>496</v>
      </c>
      <c r="M4419" s="2" t="s">
        <v>26</v>
      </c>
      <c r="N4419" s="29"/>
      <c r="O4419" s="29"/>
      <c r="P4419" s="5" t="str">
        <f>IFERROR(__xludf.DUMMYFUNCTION("TEXTJOIN("" | "",TRUE,IF(OR(D4419="""",E4419="""",I4419="""",J4419="""",H4419=""""),""ফাঁকা ঘর"",""""),IF(AND(C4419&lt;&gt;"""",D4419&lt;&gt;"""",C4419=D4419),""gloss=figurative"",""""),IF(LEN(D4419)&lt;15,""figurative ছোট"",""""),IF(AND(I4419=""Positive"",REGEXMATCH(H4"&amp;"419,""মূর্খ|ভণ্ড|প্রতার|অলস|লোভ|স্বার্থ|অক্ষম|অযোগ্য|বোকা|কৃপণ|হিংস"")),""valence-target অমিল"",""""),IF(COUNTIF($B:$B,B4419)&gt;1,""ডুপ্লিকেট"",""""))"),"")</f>
        <v/>
      </c>
      <c r="Q4419" s="5" t="str">
        <f t="shared" si="1"/>
        <v>২ পরে</v>
      </c>
    </row>
    <row r="4420">
      <c r="A4420" s="4">
        <v>2241.0</v>
      </c>
      <c r="B4420" s="2" t="s">
        <v>18111</v>
      </c>
      <c r="C4420" s="2" t="s">
        <v>18112</v>
      </c>
      <c r="D4420" s="2" t="s">
        <v>18113</v>
      </c>
      <c r="E4420" s="2" t="s">
        <v>18114</v>
      </c>
      <c r="F4420" s="2" t="b">
        <v>1</v>
      </c>
      <c r="G4420" s="2" t="b">
        <v>0</v>
      </c>
      <c r="H4420" s="2" t="s">
        <v>18115</v>
      </c>
      <c r="I4420" s="2" t="s">
        <v>22</v>
      </c>
      <c r="J4420" s="2" t="s">
        <v>2732</v>
      </c>
      <c r="K4420" s="2" t="s">
        <v>495</v>
      </c>
      <c r="L4420" s="13" t="s">
        <v>496</v>
      </c>
      <c r="M4420" s="2" t="s">
        <v>26</v>
      </c>
      <c r="N4420" s="29"/>
      <c r="O4420" s="29"/>
      <c r="P4420" s="5" t="str">
        <f>IFERROR(__xludf.DUMMYFUNCTION("TEXTJOIN("" | "",TRUE,IF(OR(D4420="""",E4420="""",I4420="""",J4420="""",H4420=""""),""ফাঁকা ঘর"",""""),IF(AND(C4420&lt;&gt;"""",D4420&lt;&gt;"""",C4420=D4420),""gloss=figurative"",""""),IF(LEN(D4420)&lt;15,""figurative ছোট"",""""),IF(AND(I4420=""Positive"",REGEXMATCH(H4"&amp;"420,""মূর্খ|ভণ্ড|প্রতার|অলস|লোভ|স্বার্থ|অক্ষম|অযোগ্য|বোকা|কৃপণ|হিংস"")),""valence-target অমিল"",""""),IF(COUNTIF($B:$B,B4420)&gt;1,""ডুপ্লিকেট"",""""))"),"")</f>
        <v/>
      </c>
      <c r="Q4420" s="5" t="str">
        <f t="shared" si="1"/>
        <v>২ পরে</v>
      </c>
    </row>
    <row r="4421">
      <c r="A4421" s="4">
        <v>2242.0</v>
      </c>
      <c r="B4421" s="2" t="s">
        <v>18116</v>
      </c>
      <c r="C4421" s="2" t="s">
        <v>18117</v>
      </c>
      <c r="D4421" s="2" t="s">
        <v>18118</v>
      </c>
      <c r="E4421" s="2" t="s">
        <v>18119</v>
      </c>
      <c r="F4421" s="2" t="b">
        <v>1</v>
      </c>
      <c r="G4421" s="2" t="b">
        <v>0</v>
      </c>
      <c r="H4421" s="2" t="s">
        <v>37</v>
      </c>
      <c r="I4421" s="2" t="s">
        <v>49</v>
      </c>
      <c r="J4421" s="2" t="s">
        <v>18120</v>
      </c>
      <c r="K4421" s="2" t="s">
        <v>495</v>
      </c>
      <c r="L4421" s="13" t="s">
        <v>496</v>
      </c>
      <c r="M4421" s="2" t="s">
        <v>26</v>
      </c>
      <c r="N4421" s="29"/>
      <c r="O4421" s="29"/>
      <c r="P4421" s="5" t="str">
        <f>IFERROR(__xludf.DUMMYFUNCTION("TEXTJOIN("" | "",TRUE,IF(OR(D4421="""",E4421="""",I4421="""",J4421="""",H4421=""""),""ফাঁকা ঘর"",""""),IF(AND(C4421&lt;&gt;"""",D4421&lt;&gt;"""",C4421=D4421),""gloss=figurative"",""""),IF(LEN(D4421)&lt;15,""figurative ছোট"",""""),IF(AND(I4421=""Positive"",REGEXMATCH(H4"&amp;"421,""মূর্খ|ভণ্ড|প্রতার|অলস|লোভ|স্বার্থ|অক্ষম|অযোগ্য|বোকা|কৃপণ|হিংস"")),""valence-target অমিল"",""""),IF(COUNTIF($B:$B,B4421)&gt;1,""ডুপ্লিকেট"",""""))"),"")</f>
        <v/>
      </c>
      <c r="Q4421" s="5" t="str">
        <f t="shared" si="1"/>
        <v>২ পরে</v>
      </c>
    </row>
    <row r="4422">
      <c r="A4422" s="4">
        <v>2243.0</v>
      </c>
      <c r="B4422" s="2" t="s">
        <v>18121</v>
      </c>
      <c r="C4422" s="2" t="s">
        <v>18122</v>
      </c>
      <c r="D4422" s="2" t="s">
        <v>18123</v>
      </c>
      <c r="E4422" s="2" t="s">
        <v>18124</v>
      </c>
      <c r="F4422" s="2" t="b">
        <v>1</v>
      </c>
      <c r="G4422" s="2" t="b">
        <v>0</v>
      </c>
      <c r="H4422" s="2" t="s">
        <v>37</v>
      </c>
      <c r="I4422" s="2" t="s">
        <v>32</v>
      </c>
      <c r="J4422" s="2" t="s">
        <v>18125</v>
      </c>
      <c r="K4422" s="2" t="s">
        <v>495</v>
      </c>
      <c r="L4422" s="13" t="s">
        <v>496</v>
      </c>
      <c r="M4422" s="2" t="s">
        <v>26</v>
      </c>
      <c r="N4422" s="29"/>
      <c r="O4422" s="29"/>
      <c r="P4422" s="5" t="str">
        <f>IFERROR(__xludf.DUMMYFUNCTION("TEXTJOIN("" | "",TRUE,IF(OR(D4422="""",E4422="""",I4422="""",J4422="""",H4422=""""),""ফাঁকা ঘর"",""""),IF(AND(C4422&lt;&gt;"""",D4422&lt;&gt;"""",C4422=D4422),""gloss=figurative"",""""),IF(LEN(D4422)&lt;15,""figurative ছোট"",""""),IF(AND(I4422=""Positive"",REGEXMATCH(H4"&amp;"422,""মূর্খ|ভণ্ড|প্রতার|অলস|লোভ|স্বার্থ|অক্ষম|অযোগ্য|বোকা|কৃপণ|হিংস"")),""valence-target অমিল"",""""),IF(COUNTIF($B:$B,B4422)&gt;1,""ডুপ্লিকেট"",""""))"),"")</f>
        <v/>
      </c>
      <c r="Q4422" s="5" t="str">
        <f t="shared" si="1"/>
        <v>২ পরে</v>
      </c>
    </row>
    <row r="4423">
      <c r="A4423" s="4">
        <v>2244.0</v>
      </c>
      <c r="B4423" s="2" t="s">
        <v>18126</v>
      </c>
      <c r="C4423" s="2" t="s">
        <v>18127</v>
      </c>
      <c r="D4423" s="2" t="s">
        <v>18128</v>
      </c>
      <c r="E4423" s="2" t="s">
        <v>18129</v>
      </c>
      <c r="F4423" s="2" t="b">
        <v>1</v>
      </c>
      <c r="G4423" s="2" t="b">
        <v>0</v>
      </c>
      <c r="H4423" s="2" t="s">
        <v>37</v>
      </c>
      <c r="I4423" s="2" t="s">
        <v>49</v>
      </c>
      <c r="J4423" s="2" t="s">
        <v>2040</v>
      </c>
      <c r="K4423" s="2" t="s">
        <v>495</v>
      </c>
      <c r="L4423" s="13" t="s">
        <v>496</v>
      </c>
      <c r="M4423" s="2" t="s">
        <v>26</v>
      </c>
      <c r="N4423" s="29"/>
      <c r="O4423" s="29"/>
      <c r="P4423" s="5" t="str">
        <f>IFERROR(__xludf.DUMMYFUNCTION("TEXTJOIN("" | "",TRUE,IF(OR(D4423="""",E4423="""",I4423="""",J4423="""",H4423=""""),""ফাঁকা ঘর"",""""),IF(AND(C4423&lt;&gt;"""",D4423&lt;&gt;"""",C4423=D4423),""gloss=figurative"",""""),IF(LEN(D4423)&lt;15,""figurative ছোট"",""""),IF(AND(I4423=""Positive"",REGEXMATCH(H4"&amp;"423,""মূর্খ|ভণ্ড|প্রতার|অলস|লোভ|স্বার্থ|অক্ষম|অযোগ্য|বোকা|কৃপণ|হিংস"")),""valence-target অমিল"",""""),IF(COUNTIF($B:$B,B4423)&gt;1,""ডুপ্লিকেট"",""""))"),"")</f>
        <v/>
      </c>
      <c r="Q4423" s="5" t="str">
        <f t="shared" si="1"/>
        <v>২ পরে</v>
      </c>
    </row>
    <row r="4424">
      <c r="A4424" s="4">
        <v>2245.0</v>
      </c>
      <c r="B4424" s="2" t="s">
        <v>18130</v>
      </c>
      <c r="C4424" s="2" t="s">
        <v>18131</v>
      </c>
      <c r="D4424" s="2" t="s">
        <v>18132</v>
      </c>
      <c r="E4424" s="2" t="s">
        <v>18133</v>
      </c>
      <c r="F4424" s="2" t="b">
        <v>1</v>
      </c>
      <c r="G4424" s="2" t="b">
        <v>0</v>
      </c>
      <c r="H4424" s="2" t="s">
        <v>18134</v>
      </c>
      <c r="I4424" s="2" t="s">
        <v>22</v>
      </c>
      <c r="J4424" s="2" t="s">
        <v>43</v>
      </c>
      <c r="K4424" s="2" t="s">
        <v>495</v>
      </c>
      <c r="L4424" s="13" t="s">
        <v>496</v>
      </c>
      <c r="M4424" s="2" t="s">
        <v>26</v>
      </c>
      <c r="N4424" s="29"/>
      <c r="O4424" s="29"/>
      <c r="P4424" s="5" t="str">
        <f>IFERROR(__xludf.DUMMYFUNCTION("TEXTJOIN("" | "",TRUE,IF(OR(D4424="""",E4424="""",I4424="""",J4424="""",H4424=""""),""ফাঁকা ঘর"",""""),IF(AND(C4424&lt;&gt;"""",D4424&lt;&gt;"""",C4424=D4424),""gloss=figurative"",""""),IF(LEN(D4424)&lt;15,""figurative ছোট"",""""),IF(AND(I4424=""Positive"",REGEXMATCH(H4"&amp;"424,""মূর্খ|ভণ্ড|প্রতার|অলস|লোভ|স্বার্থ|অক্ষম|অযোগ্য|বোকা|কৃপণ|হিংস"")),""valence-target অমিল"",""""),IF(COUNTIF($B:$B,B4424)&gt;1,""ডুপ্লিকেট"",""""))"),"")</f>
        <v/>
      </c>
      <c r="Q4424" s="5" t="str">
        <f t="shared" si="1"/>
        <v>২ পরে</v>
      </c>
    </row>
    <row r="4425">
      <c r="A4425" s="4">
        <v>2246.0</v>
      </c>
      <c r="B4425" s="2" t="s">
        <v>18135</v>
      </c>
      <c r="C4425" s="2" t="s">
        <v>18136</v>
      </c>
      <c r="D4425" s="2" t="s">
        <v>18137</v>
      </c>
      <c r="E4425" s="2" t="s">
        <v>18138</v>
      </c>
      <c r="F4425" s="2" t="b">
        <v>1</v>
      </c>
      <c r="G4425" s="2" t="b">
        <v>0</v>
      </c>
      <c r="H4425" s="2" t="s">
        <v>37</v>
      </c>
      <c r="I4425" s="2" t="s">
        <v>32</v>
      </c>
      <c r="J4425" s="2" t="s">
        <v>814</v>
      </c>
      <c r="K4425" s="2" t="s">
        <v>495</v>
      </c>
      <c r="L4425" s="13" t="s">
        <v>496</v>
      </c>
      <c r="M4425" s="2" t="s">
        <v>26</v>
      </c>
      <c r="N4425" s="29"/>
      <c r="O4425" s="29"/>
      <c r="P4425" s="5" t="str">
        <f>IFERROR(__xludf.DUMMYFUNCTION("TEXTJOIN("" | "",TRUE,IF(OR(D4425="""",E4425="""",I4425="""",J4425="""",H4425=""""),""ফাঁকা ঘর"",""""),IF(AND(C4425&lt;&gt;"""",D4425&lt;&gt;"""",C4425=D4425),""gloss=figurative"",""""),IF(LEN(D4425)&lt;15,""figurative ছোট"",""""),IF(AND(I4425=""Positive"",REGEXMATCH(H4"&amp;"425,""মূর্খ|ভণ্ড|প্রতার|অলস|লোভ|স্বার্থ|অক্ষম|অযোগ্য|বোকা|কৃপণ|হিংস"")),""valence-target অমিল"",""""),IF(COUNTIF($B:$B,B4425)&gt;1,""ডুপ্লিকেট"",""""))"),"")</f>
        <v/>
      </c>
      <c r="Q4425" s="5" t="str">
        <f t="shared" si="1"/>
        <v>২ পরে</v>
      </c>
    </row>
    <row r="4426">
      <c r="A4426" s="4">
        <v>2247.0</v>
      </c>
      <c r="B4426" s="2" t="s">
        <v>18139</v>
      </c>
      <c r="C4426" s="2" t="s">
        <v>18140</v>
      </c>
      <c r="D4426" s="2" t="s">
        <v>18141</v>
      </c>
      <c r="E4426" s="2" t="s">
        <v>18142</v>
      </c>
      <c r="F4426" s="2" t="b">
        <v>1</v>
      </c>
      <c r="G4426" s="2" t="b">
        <v>0</v>
      </c>
      <c r="H4426" s="2" t="s">
        <v>18143</v>
      </c>
      <c r="I4426" s="2" t="s">
        <v>32</v>
      </c>
      <c r="J4426" s="2" t="s">
        <v>814</v>
      </c>
      <c r="K4426" s="2" t="s">
        <v>495</v>
      </c>
      <c r="L4426" s="13" t="s">
        <v>496</v>
      </c>
      <c r="M4426" s="2" t="s">
        <v>26</v>
      </c>
      <c r="N4426" s="29"/>
      <c r="O4426" s="29"/>
      <c r="P4426" s="5" t="str">
        <f>IFERROR(__xludf.DUMMYFUNCTION("TEXTJOIN("" | "",TRUE,IF(OR(D4426="""",E4426="""",I4426="""",J4426="""",H4426=""""),""ফাঁকা ঘর"",""""),IF(AND(C4426&lt;&gt;"""",D4426&lt;&gt;"""",C4426=D4426),""gloss=figurative"",""""),IF(LEN(D4426)&lt;15,""figurative ছোট"",""""),IF(AND(I4426=""Positive"",REGEXMATCH(H4"&amp;"426,""মূর্খ|ভণ্ড|প্রতার|অলস|লোভ|স্বার্থ|অক্ষম|অযোগ্য|বোকা|কৃপণ|হিংস"")),""valence-target অমিল"",""""),IF(COUNTIF($B:$B,B4426)&gt;1,""ডুপ্লিকেট"",""""))"),"")</f>
        <v/>
      </c>
      <c r="Q4426" s="5" t="str">
        <f t="shared" si="1"/>
        <v>২ পরে</v>
      </c>
    </row>
    <row r="4427">
      <c r="A4427" s="4">
        <v>2248.0</v>
      </c>
      <c r="B4427" s="2" t="s">
        <v>18144</v>
      </c>
      <c r="C4427" s="2" t="s">
        <v>18145</v>
      </c>
      <c r="D4427" s="2" t="s">
        <v>18146</v>
      </c>
      <c r="E4427" s="2" t="s">
        <v>18147</v>
      </c>
      <c r="F4427" s="2" t="b">
        <v>1</v>
      </c>
      <c r="G4427" s="2" t="b">
        <v>0</v>
      </c>
      <c r="H4427" s="2" t="s">
        <v>18148</v>
      </c>
      <c r="I4427" s="2" t="s">
        <v>22</v>
      </c>
      <c r="J4427" s="2" t="s">
        <v>43</v>
      </c>
      <c r="K4427" s="2" t="s">
        <v>495</v>
      </c>
      <c r="L4427" s="13" t="s">
        <v>496</v>
      </c>
      <c r="M4427" s="2" t="s">
        <v>26</v>
      </c>
      <c r="N4427" s="29"/>
      <c r="O4427" s="29"/>
      <c r="P4427" s="5" t="str">
        <f>IFERROR(__xludf.DUMMYFUNCTION("TEXTJOIN("" | "",TRUE,IF(OR(D4427="""",E4427="""",I4427="""",J4427="""",H4427=""""),""ফাঁকা ঘর"",""""),IF(AND(C4427&lt;&gt;"""",D4427&lt;&gt;"""",C4427=D4427),""gloss=figurative"",""""),IF(LEN(D4427)&lt;15,""figurative ছোট"",""""),IF(AND(I4427=""Positive"",REGEXMATCH(H4"&amp;"427,""মূর্খ|ভণ্ড|প্রতার|অলস|লোভ|স্বার্থ|অক্ষম|অযোগ্য|বোকা|কৃপণ|হিংস"")),""valence-target অমিল"",""""),IF(COUNTIF($B:$B,B4427)&gt;1,""ডুপ্লিকেট"",""""))"),"")</f>
        <v/>
      </c>
      <c r="Q4427" s="5" t="str">
        <f t="shared" si="1"/>
        <v>২ পরে</v>
      </c>
    </row>
    <row r="4428">
      <c r="A4428" s="4">
        <v>2249.0</v>
      </c>
      <c r="B4428" s="2" t="s">
        <v>18149</v>
      </c>
      <c r="C4428" s="2" t="s">
        <v>18150</v>
      </c>
      <c r="D4428" s="2" t="s">
        <v>18151</v>
      </c>
      <c r="E4428" s="2" t="s">
        <v>18152</v>
      </c>
      <c r="F4428" s="2" t="b">
        <v>1</v>
      </c>
      <c r="G4428" s="2" t="b">
        <v>0</v>
      </c>
      <c r="H4428" s="2" t="s">
        <v>18153</v>
      </c>
      <c r="I4428" s="2" t="s">
        <v>22</v>
      </c>
      <c r="J4428" s="2" t="s">
        <v>300</v>
      </c>
      <c r="K4428" s="2" t="s">
        <v>376</v>
      </c>
      <c r="L4428" s="2" t="s">
        <v>391</v>
      </c>
      <c r="M4428" s="2" t="s">
        <v>26</v>
      </c>
      <c r="N4428" s="29"/>
      <c r="O4428" s="29"/>
      <c r="P4428" s="5" t="str">
        <f>IFERROR(__xludf.DUMMYFUNCTION("TEXTJOIN("" | "",TRUE,IF(OR(D4428="""",E4428="""",I4428="""",J4428="""",H4428=""""),""ফাঁকা ঘর"",""""),IF(AND(C4428&lt;&gt;"""",D4428&lt;&gt;"""",C4428=D4428),""gloss=figurative"",""""),IF(LEN(D4428)&lt;15,""figurative ছোট"",""""),IF(AND(I4428=""Positive"",REGEXMATCH(H4"&amp;"428,""মূর্খ|ভণ্ড|প্রতার|অলস|লোভ|স্বার্থ|অক্ষম|অযোগ্য|বোকা|কৃপণ|হিংস"")),""valence-target অমিল"",""""),IF(COUNTIF($B:$B,B4428)&gt;1,""ডুপ্লিকেট"",""""))"),"")</f>
        <v/>
      </c>
      <c r="Q4428" s="5" t="str">
        <f t="shared" si="1"/>
        <v>২ পরে</v>
      </c>
    </row>
    <row r="4429">
      <c r="A4429" s="4">
        <v>2250.0</v>
      </c>
      <c r="B4429" s="2" t="s">
        <v>18154</v>
      </c>
      <c r="C4429" s="2" t="s">
        <v>18155</v>
      </c>
      <c r="D4429" s="2" t="s">
        <v>18156</v>
      </c>
      <c r="E4429" s="2" t="s">
        <v>18157</v>
      </c>
      <c r="F4429" s="2" t="b">
        <v>1</v>
      </c>
      <c r="G4429" s="2" t="b">
        <v>0</v>
      </c>
      <c r="H4429" s="2" t="s">
        <v>18158</v>
      </c>
      <c r="I4429" s="2" t="s">
        <v>22</v>
      </c>
      <c r="J4429" s="2" t="s">
        <v>18159</v>
      </c>
      <c r="K4429" s="2" t="s">
        <v>376</v>
      </c>
      <c r="L4429" s="2" t="s">
        <v>391</v>
      </c>
      <c r="M4429" s="2" t="s">
        <v>26</v>
      </c>
      <c r="N4429" s="29"/>
      <c r="O4429" s="29"/>
      <c r="P4429" s="5" t="str">
        <f>IFERROR(__xludf.DUMMYFUNCTION("TEXTJOIN("" | "",TRUE,IF(OR(D4429="""",E4429="""",I4429="""",J4429="""",H4429=""""),""ফাঁকা ঘর"",""""),IF(AND(C4429&lt;&gt;"""",D4429&lt;&gt;"""",C4429=D4429),""gloss=figurative"",""""),IF(LEN(D4429)&lt;15,""figurative ছোট"",""""),IF(AND(I4429=""Positive"",REGEXMATCH(H4"&amp;"429,""মূর্খ|ভণ্ড|প্রতার|অলস|লোভ|স্বার্থ|অক্ষম|অযোগ্য|বোকা|কৃপণ|হিংস"")),""valence-target অমিল"",""""),IF(COUNTIF($B:$B,B4429)&gt;1,""ডুপ্লিকেট"",""""))"),"")</f>
        <v/>
      </c>
      <c r="Q4429" s="5" t="str">
        <f t="shared" si="1"/>
        <v>২ পরে</v>
      </c>
    </row>
    <row r="4430">
      <c r="A4430" s="4">
        <v>2251.0</v>
      </c>
      <c r="B4430" s="2" t="s">
        <v>18160</v>
      </c>
      <c r="C4430" s="2" t="s">
        <v>18161</v>
      </c>
      <c r="D4430" s="2" t="s">
        <v>18162</v>
      </c>
      <c r="E4430" s="2" t="s">
        <v>18163</v>
      </c>
      <c r="F4430" s="2" t="b">
        <v>1</v>
      </c>
      <c r="G4430" s="2" t="b">
        <v>0</v>
      </c>
      <c r="H4430" s="2" t="s">
        <v>18164</v>
      </c>
      <c r="I4430" s="2" t="s">
        <v>22</v>
      </c>
      <c r="J4430" s="2" t="s">
        <v>1944</v>
      </c>
      <c r="K4430" s="2" t="s">
        <v>376</v>
      </c>
      <c r="L4430" s="2" t="s">
        <v>391</v>
      </c>
      <c r="M4430" s="2" t="s">
        <v>26</v>
      </c>
      <c r="N4430" s="29"/>
      <c r="O4430" s="29"/>
      <c r="P4430" s="5" t="str">
        <f>IFERROR(__xludf.DUMMYFUNCTION("TEXTJOIN("" | "",TRUE,IF(OR(D4430="""",E4430="""",I4430="""",J4430="""",H4430=""""),""ফাঁকা ঘর"",""""),IF(AND(C4430&lt;&gt;"""",D4430&lt;&gt;"""",C4430=D4430),""gloss=figurative"",""""),IF(LEN(D4430)&lt;15,""figurative ছোট"",""""),IF(AND(I4430=""Positive"",REGEXMATCH(H4"&amp;"430,""মূর্খ|ভণ্ড|প্রতার|অলস|লোভ|স্বার্থ|অক্ষম|অযোগ্য|বোকা|কৃপণ|হিংস"")),""valence-target অমিল"",""""),IF(COUNTIF($B:$B,B4430)&gt;1,""ডুপ্লিকেট"",""""))"),"")</f>
        <v/>
      </c>
      <c r="Q4430" s="5" t="str">
        <f t="shared" si="1"/>
        <v>২ পরে</v>
      </c>
    </row>
    <row r="4431">
      <c r="A4431" s="4">
        <v>2252.0</v>
      </c>
      <c r="B4431" s="2" t="s">
        <v>18165</v>
      </c>
      <c r="C4431" s="2" t="s">
        <v>18166</v>
      </c>
      <c r="D4431" s="2" t="s">
        <v>18167</v>
      </c>
      <c r="E4431" s="2" t="s">
        <v>18168</v>
      </c>
      <c r="F4431" s="2" t="b">
        <v>1</v>
      </c>
      <c r="G4431" s="2" t="b">
        <v>0</v>
      </c>
      <c r="H4431" s="2" t="s">
        <v>18169</v>
      </c>
      <c r="I4431" s="2" t="s">
        <v>22</v>
      </c>
      <c r="J4431" s="2" t="s">
        <v>43</v>
      </c>
      <c r="K4431" s="2" t="s">
        <v>376</v>
      </c>
      <c r="L4431" s="2" t="s">
        <v>391</v>
      </c>
      <c r="M4431" s="2" t="s">
        <v>26</v>
      </c>
      <c r="N4431" s="29"/>
      <c r="O4431" s="29"/>
      <c r="P4431" s="5" t="str">
        <f>IFERROR(__xludf.DUMMYFUNCTION("TEXTJOIN("" | "",TRUE,IF(OR(D4431="""",E4431="""",I4431="""",J4431="""",H4431=""""),""ফাঁকা ঘর"",""""),IF(AND(C4431&lt;&gt;"""",D4431&lt;&gt;"""",C4431=D4431),""gloss=figurative"",""""),IF(LEN(D4431)&lt;15,""figurative ছোট"",""""),IF(AND(I4431=""Positive"",REGEXMATCH(H4"&amp;"431,""মূর্খ|ভণ্ড|প্রতার|অলস|লোভ|স্বার্থ|অক্ষম|অযোগ্য|বোকা|কৃপণ|হিংস"")),""valence-target অমিল"",""""),IF(COUNTIF($B:$B,B4431)&gt;1,""ডুপ্লিকেট"",""""))"),"")</f>
        <v/>
      </c>
      <c r="Q4431" s="5" t="str">
        <f t="shared" si="1"/>
        <v>২ পরে</v>
      </c>
    </row>
    <row r="4432">
      <c r="A4432" s="4">
        <v>2253.0</v>
      </c>
      <c r="B4432" s="2" t="s">
        <v>18170</v>
      </c>
      <c r="C4432" s="2" t="s">
        <v>18171</v>
      </c>
      <c r="D4432" s="2" t="s">
        <v>18172</v>
      </c>
      <c r="E4432" s="2" t="s">
        <v>18173</v>
      </c>
      <c r="F4432" s="2" t="b">
        <v>1</v>
      </c>
      <c r="G4432" s="2" t="b">
        <v>0</v>
      </c>
      <c r="H4432" s="2" t="s">
        <v>37</v>
      </c>
      <c r="I4432" s="2" t="s">
        <v>32</v>
      </c>
      <c r="J4432" s="2" t="s">
        <v>18174</v>
      </c>
      <c r="K4432" s="2" t="s">
        <v>376</v>
      </c>
      <c r="L4432" s="2" t="s">
        <v>391</v>
      </c>
      <c r="M4432" s="2" t="s">
        <v>26</v>
      </c>
      <c r="N4432" s="29"/>
      <c r="O4432" s="29"/>
      <c r="P4432" s="5" t="str">
        <f>IFERROR(__xludf.DUMMYFUNCTION("TEXTJOIN("" | "",TRUE,IF(OR(D4432="""",E4432="""",I4432="""",J4432="""",H4432=""""),""ফাঁকা ঘর"",""""),IF(AND(C4432&lt;&gt;"""",D4432&lt;&gt;"""",C4432=D4432),""gloss=figurative"",""""),IF(LEN(D4432)&lt;15,""figurative ছোট"",""""),IF(AND(I4432=""Positive"",REGEXMATCH(H4"&amp;"432,""মূর্খ|ভণ্ড|প্রতার|অলস|লোভ|স্বার্থ|অক্ষম|অযোগ্য|বোকা|কৃপণ|হিংস"")),""valence-target অমিল"",""""),IF(COUNTIF($B:$B,B4432)&gt;1,""ডুপ্লিকেট"",""""))"),"")</f>
        <v/>
      </c>
      <c r="Q4432" s="5" t="str">
        <f t="shared" si="1"/>
        <v>২ পরে</v>
      </c>
    </row>
    <row r="4433">
      <c r="A4433" s="4">
        <v>2254.0</v>
      </c>
      <c r="B4433" s="2" t="s">
        <v>18175</v>
      </c>
      <c r="C4433" s="2" t="s">
        <v>18176</v>
      </c>
      <c r="D4433" s="2" t="s">
        <v>18177</v>
      </c>
      <c r="E4433" s="2" t="s">
        <v>18178</v>
      </c>
      <c r="F4433" s="2" t="b">
        <v>1</v>
      </c>
      <c r="G4433" s="2" t="b">
        <v>0</v>
      </c>
      <c r="H4433" s="2" t="s">
        <v>37</v>
      </c>
      <c r="I4433" s="2" t="s">
        <v>32</v>
      </c>
      <c r="J4433" s="2" t="s">
        <v>18179</v>
      </c>
      <c r="K4433" s="2" t="s">
        <v>376</v>
      </c>
      <c r="L4433" s="2" t="s">
        <v>391</v>
      </c>
      <c r="M4433" s="2" t="s">
        <v>26</v>
      </c>
      <c r="N4433" s="29"/>
      <c r="O4433" s="29"/>
      <c r="P4433" s="5" t="str">
        <f>IFERROR(__xludf.DUMMYFUNCTION("TEXTJOIN("" | "",TRUE,IF(OR(D4433="""",E4433="""",I4433="""",J4433="""",H4433=""""),""ফাঁকা ঘর"",""""),IF(AND(C4433&lt;&gt;"""",D4433&lt;&gt;"""",C4433=D4433),""gloss=figurative"",""""),IF(LEN(D4433)&lt;15,""figurative ছোট"",""""),IF(AND(I4433=""Positive"",REGEXMATCH(H4"&amp;"433,""মূর্খ|ভণ্ড|প্রতার|অলস|লোভ|স্বার্থ|অক্ষম|অযোগ্য|বোকা|কৃপণ|হিংস"")),""valence-target অমিল"",""""),IF(COUNTIF($B:$B,B4433)&gt;1,""ডুপ্লিকেট"",""""))"),"")</f>
        <v/>
      </c>
      <c r="Q4433" s="5" t="str">
        <f t="shared" si="1"/>
        <v>২ পরে</v>
      </c>
    </row>
    <row r="4434">
      <c r="A4434" s="4">
        <v>2255.0</v>
      </c>
      <c r="B4434" s="2" t="s">
        <v>18180</v>
      </c>
      <c r="C4434" s="2" t="s">
        <v>18181</v>
      </c>
      <c r="D4434" s="2" t="s">
        <v>18182</v>
      </c>
      <c r="E4434" s="2" t="s">
        <v>18183</v>
      </c>
      <c r="F4434" s="2" t="b">
        <v>1</v>
      </c>
      <c r="G4434" s="2" t="b">
        <v>0</v>
      </c>
      <c r="H4434" s="2" t="s">
        <v>18184</v>
      </c>
      <c r="I4434" s="2" t="s">
        <v>49</v>
      </c>
      <c r="J4434" s="2" t="s">
        <v>447</v>
      </c>
      <c r="K4434" s="2" t="s">
        <v>376</v>
      </c>
      <c r="L4434" s="2" t="s">
        <v>391</v>
      </c>
      <c r="M4434" s="2" t="s">
        <v>26</v>
      </c>
      <c r="N4434" s="29"/>
      <c r="O4434" s="29"/>
      <c r="P4434" s="5" t="str">
        <f>IFERROR(__xludf.DUMMYFUNCTION("TEXTJOIN("" | "",TRUE,IF(OR(D4434="""",E4434="""",I4434="""",J4434="""",H4434=""""),""ফাঁকা ঘর"",""""),IF(AND(C4434&lt;&gt;"""",D4434&lt;&gt;"""",C4434=D4434),""gloss=figurative"",""""),IF(LEN(D4434)&lt;15,""figurative ছোট"",""""),IF(AND(I4434=""Positive"",REGEXMATCH(H4"&amp;"434,""মূর্খ|ভণ্ড|প্রতার|অলস|লোভ|স্বার্থ|অক্ষম|অযোগ্য|বোকা|কৃপণ|হিংস"")),""valence-target অমিল"",""""),IF(COUNTIF($B:$B,B4434)&gt;1,""ডুপ্লিকেট"",""""))"),"")</f>
        <v/>
      </c>
      <c r="Q4434" s="5" t="str">
        <f t="shared" si="1"/>
        <v>২ পরে</v>
      </c>
    </row>
    <row r="4435">
      <c r="A4435" s="4">
        <v>2256.0</v>
      </c>
      <c r="B4435" s="2" t="s">
        <v>18185</v>
      </c>
      <c r="C4435" s="2" t="s">
        <v>18186</v>
      </c>
      <c r="D4435" s="2" t="s">
        <v>18187</v>
      </c>
      <c r="E4435" s="2" t="s">
        <v>18188</v>
      </c>
      <c r="F4435" s="2" t="b">
        <v>1</v>
      </c>
      <c r="G4435" s="2" t="b">
        <v>0</v>
      </c>
      <c r="H4435" s="2" t="s">
        <v>18189</v>
      </c>
      <c r="I4435" s="2" t="s">
        <v>49</v>
      </c>
      <c r="J4435" s="2" t="s">
        <v>2732</v>
      </c>
      <c r="K4435" s="2" t="s">
        <v>376</v>
      </c>
      <c r="L4435" s="2" t="s">
        <v>391</v>
      </c>
      <c r="M4435" s="2" t="s">
        <v>26</v>
      </c>
      <c r="N4435" s="29"/>
      <c r="O4435" s="29"/>
      <c r="P4435" s="5" t="str">
        <f>IFERROR(__xludf.DUMMYFUNCTION("TEXTJOIN("" | "",TRUE,IF(OR(D4435="""",E4435="""",I4435="""",J4435="""",H4435=""""),""ফাঁকা ঘর"",""""),IF(AND(C4435&lt;&gt;"""",D4435&lt;&gt;"""",C4435=D4435),""gloss=figurative"",""""),IF(LEN(D4435)&lt;15,""figurative ছোট"",""""),IF(AND(I4435=""Positive"",REGEXMATCH(H4"&amp;"435,""মূর্খ|ভণ্ড|প্রতার|অলস|লোভ|স্বার্থ|অক্ষম|অযোগ্য|বোকা|কৃপণ|হিংস"")),""valence-target অমিল"",""""),IF(COUNTIF($B:$B,B4435)&gt;1,""ডুপ্লিকেট"",""""))"),"")</f>
        <v/>
      </c>
      <c r="Q4435" s="5" t="str">
        <f t="shared" si="1"/>
        <v>২ পরে</v>
      </c>
    </row>
    <row r="4436">
      <c r="A4436" s="4">
        <v>2257.0</v>
      </c>
      <c r="B4436" s="2" t="s">
        <v>18190</v>
      </c>
      <c r="C4436" s="2" t="s">
        <v>18191</v>
      </c>
      <c r="D4436" s="2" t="s">
        <v>18192</v>
      </c>
      <c r="E4436" s="2" t="s">
        <v>18193</v>
      </c>
      <c r="F4436" s="2" t="b">
        <v>1</v>
      </c>
      <c r="G4436" s="2" t="b">
        <v>0</v>
      </c>
      <c r="H4436" s="2" t="s">
        <v>37</v>
      </c>
      <c r="I4436" s="2" t="s">
        <v>49</v>
      </c>
      <c r="J4436" s="2" t="s">
        <v>4849</v>
      </c>
      <c r="K4436" s="2" t="s">
        <v>376</v>
      </c>
      <c r="L4436" s="2" t="s">
        <v>391</v>
      </c>
      <c r="M4436" s="2" t="s">
        <v>26</v>
      </c>
      <c r="N4436" s="29"/>
      <c r="O4436" s="29"/>
      <c r="P4436" s="5" t="str">
        <f>IFERROR(__xludf.DUMMYFUNCTION("TEXTJOIN("" | "",TRUE,IF(OR(D4436="""",E4436="""",I4436="""",J4436="""",H4436=""""),""ফাঁকা ঘর"",""""),IF(AND(C4436&lt;&gt;"""",D4436&lt;&gt;"""",C4436=D4436),""gloss=figurative"",""""),IF(LEN(D4436)&lt;15,""figurative ছোট"",""""),IF(AND(I4436=""Positive"",REGEXMATCH(H4"&amp;"436,""মূর্খ|ভণ্ড|প্রতার|অলস|লোভ|স্বার্থ|অক্ষম|অযোগ্য|বোকা|কৃপণ|হিংস"")),""valence-target অমিল"",""""),IF(COUNTIF($B:$B,B4436)&gt;1,""ডুপ্লিকেট"",""""))"),"")</f>
        <v/>
      </c>
      <c r="Q4436" s="5" t="str">
        <f t="shared" si="1"/>
        <v>২ পরে</v>
      </c>
    </row>
    <row r="4437">
      <c r="A4437" s="4">
        <v>2258.0</v>
      </c>
      <c r="B4437" s="2" t="s">
        <v>18194</v>
      </c>
      <c r="C4437" s="2" t="s">
        <v>18195</v>
      </c>
      <c r="D4437" s="2" t="s">
        <v>18196</v>
      </c>
      <c r="E4437" s="2" t="s">
        <v>18197</v>
      </c>
      <c r="F4437" s="2" t="b">
        <v>1</v>
      </c>
      <c r="G4437" s="2" t="b">
        <v>0</v>
      </c>
      <c r="H4437" s="2" t="s">
        <v>15530</v>
      </c>
      <c r="I4437" s="2" t="s">
        <v>22</v>
      </c>
      <c r="J4437" s="2" t="s">
        <v>4849</v>
      </c>
      <c r="K4437" s="2" t="s">
        <v>376</v>
      </c>
      <c r="L4437" s="2" t="s">
        <v>391</v>
      </c>
      <c r="M4437" s="2" t="s">
        <v>26</v>
      </c>
      <c r="N4437" s="29"/>
      <c r="O4437" s="29"/>
      <c r="P4437" s="5" t="str">
        <f>IFERROR(__xludf.DUMMYFUNCTION("TEXTJOIN("" | "",TRUE,IF(OR(D4437="""",E4437="""",I4437="""",J4437="""",H4437=""""),""ফাঁকা ঘর"",""""),IF(AND(C4437&lt;&gt;"""",D4437&lt;&gt;"""",C4437=D4437),""gloss=figurative"",""""),IF(LEN(D4437)&lt;15,""figurative ছোট"",""""),IF(AND(I4437=""Positive"",REGEXMATCH(H4"&amp;"437,""মূর্খ|ভণ্ড|প্রতার|অলস|লোভ|স্বার্থ|অক্ষম|অযোগ্য|বোকা|কৃপণ|হিংস"")),""valence-target অমিল"",""""),IF(COUNTIF($B:$B,B4437)&gt;1,""ডুপ্লিকেট"",""""))"),"")</f>
        <v/>
      </c>
      <c r="Q4437" s="5" t="str">
        <f t="shared" si="1"/>
        <v>২ পরে</v>
      </c>
    </row>
    <row r="4438">
      <c r="A4438" s="4">
        <v>2259.0</v>
      </c>
      <c r="B4438" s="2" t="s">
        <v>18198</v>
      </c>
      <c r="C4438" s="2" t="s">
        <v>18199</v>
      </c>
      <c r="D4438" s="2" t="s">
        <v>18200</v>
      </c>
      <c r="E4438" s="2" t="s">
        <v>18201</v>
      </c>
      <c r="F4438" s="2" t="b">
        <v>1</v>
      </c>
      <c r="G4438" s="2" t="b">
        <v>0</v>
      </c>
      <c r="H4438" s="2" t="s">
        <v>18202</v>
      </c>
      <c r="I4438" s="2" t="s">
        <v>49</v>
      </c>
      <c r="J4438" s="2" t="s">
        <v>528</v>
      </c>
      <c r="K4438" s="2" t="s">
        <v>376</v>
      </c>
      <c r="L4438" s="2" t="s">
        <v>391</v>
      </c>
      <c r="M4438" s="2" t="s">
        <v>26</v>
      </c>
      <c r="N4438" s="29"/>
      <c r="O4438" s="29"/>
      <c r="P4438" s="5" t="str">
        <f>IFERROR(__xludf.DUMMYFUNCTION("TEXTJOIN("" | "",TRUE,IF(OR(D4438="""",E4438="""",I4438="""",J4438="""",H4438=""""),""ফাঁকা ঘর"",""""),IF(AND(C4438&lt;&gt;"""",D4438&lt;&gt;"""",C4438=D4438),""gloss=figurative"",""""),IF(LEN(D4438)&lt;15,""figurative ছোট"",""""),IF(AND(I4438=""Positive"",REGEXMATCH(H4"&amp;"438,""মূর্খ|ভণ্ড|প্রতার|অলস|লোভ|স্বার্থ|অক্ষম|অযোগ্য|বোকা|কৃপণ|হিংস"")),""valence-target অমিল"",""""),IF(COUNTIF($B:$B,B4438)&gt;1,""ডুপ্লিকেট"",""""))"),"")</f>
        <v/>
      </c>
      <c r="Q4438" s="5" t="str">
        <f t="shared" si="1"/>
        <v>২ পরে</v>
      </c>
    </row>
    <row r="4439">
      <c r="A4439" s="4">
        <v>2260.0</v>
      </c>
      <c r="B4439" s="2" t="s">
        <v>18203</v>
      </c>
      <c r="C4439" s="2" t="s">
        <v>18204</v>
      </c>
      <c r="D4439" s="2" t="s">
        <v>18205</v>
      </c>
      <c r="E4439" s="2" t="s">
        <v>18206</v>
      </c>
      <c r="F4439" s="2" t="b">
        <v>1</v>
      </c>
      <c r="G4439" s="2" t="b">
        <v>0</v>
      </c>
      <c r="H4439" s="2" t="s">
        <v>37</v>
      </c>
      <c r="I4439" s="2" t="s">
        <v>49</v>
      </c>
      <c r="J4439" s="2" t="s">
        <v>4849</v>
      </c>
      <c r="K4439" s="2" t="s">
        <v>376</v>
      </c>
      <c r="L4439" s="2" t="s">
        <v>391</v>
      </c>
      <c r="M4439" s="2" t="s">
        <v>26</v>
      </c>
      <c r="N4439" s="29"/>
      <c r="O4439" s="29"/>
      <c r="P4439" s="5" t="str">
        <f>IFERROR(__xludf.DUMMYFUNCTION("TEXTJOIN("" | "",TRUE,IF(OR(D4439="""",E4439="""",I4439="""",J4439="""",H4439=""""),""ফাঁকা ঘর"",""""),IF(AND(C4439&lt;&gt;"""",D4439&lt;&gt;"""",C4439=D4439),""gloss=figurative"",""""),IF(LEN(D4439)&lt;15,""figurative ছোট"",""""),IF(AND(I4439=""Positive"",REGEXMATCH(H4"&amp;"439,""মূর্খ|ভণ্ড|প্রতার|অলস|লোভ|স্বার্থ|অক্ষম|অযোগ্য|বোকা|কৃপণ|হিংস"")),""valence-target অমিল"",""""),IF(COUNTIF($B:$B,B4439)&gt;1,""ডুপ্লিকেট"",""""))"),"")</f>
        <v/>
      </c>
      <c r="Q4439" s="5" t="str">
        <f t="shared" si="1"/>
        <v>২ পরে</v>
      </c>
    </row>
    <row r="4440">
      <c r="A4440" s="4">
        <v>2261.0</v>
      </c>
      <c r="B4440" s="2" t="s">
        <v>18207</v>
      </c>
      <c r="C4440" s="2" t="s">
        <v>18208</v>
      </c>
      <c r="D4440" s="2" t="s">
        <v>18209</v>
      </c>
      <c r="E4440" s="2" t="s">
        <v>18210</v>
      </c>
      <c r="F4440" s="2" t="b">
        <v>1</v>
      </c>
      <c r="G4440" s="2" t="b">
        <v>0</v>
      </c>
      <c r="H4440" s="2" t="s">
        <v>1188</v>
      </c>
      <c r="I4440" s="2" t="s">
        <v>32</v>
      </c>
      <c r="J4440" s="2" t="s">
        <v>18211</v>
      </c>
      <c r="K4440" s="2" t="s">
        <v>376</v>
      </c>
      <c r="L4440" s="2" t="s">
        <v>391</v>
      </c>
      <c r="M4440" s="2" t="s">
        <v>26</v>
      </c>
      <c r="N4440" s="29"/>
      <c r="O4440" s="29"/>
      <c r="P4440" s="5" t="str">
        <f>IFERROR(__xludf.DUMMYFUNCTION("TEXTJOIN("" | "",TRUE,IF(OR(D4440="""",E4440="""",I4440="""",J4440="""",H4440=""""),""ফাঁকা ঘর"",""""),IF(AND(C4440&lt;&gt;"""",D4440&lt;&gt;"""",C4440=D4440),""gloss=figurative"",""""),IF(LEN(D4440)&lt;15,""figurative ছোট"",""""),IF(AND(I4440=""Positive"",REGEXMATCH(H4"&amp;"440,""মূর্খ|ভণ্ড|প্রতার|অলস|লোভ|স্বার্থ|অক্ষম|অযোগ্য|বোকা|কৃপণ|হিংস"")),""valence-target অমিল"",""""),IF(COUNTIF($B:$B,B4440)&gt;1,""ডুপ্লিকেট"",""""))"),"")</f>
        <v/>
      </c>
      <c r="Q4440" s="5" t="str">
        <f t="shared" si="1"/>
        <v>২ পরে</v>
      </c>
    </row>
    <row r="4441">
      <c r="A4441" s="4">
        <v>2262.0</v>
      </c>
      <c r="B4441" s="2" t="s">
        <v>18212</v>
      </c>
      <c r="C4441" s="2" t="s">
        <v>18213</v>
      </c>
      <c r="D4441" s="2" t="s">
        <v>18214</v>
      </c>
      <c r="E4441" s="2" t="s">
        <v>18215</v>
      </c>
      <c r="F4441" s="2" t="b">
        <v>1</v>
      </c>
      <c r="G4441" s="2" t="b">
        <v>0</v>
      </c>
      <c r="H4441" s="2" t="s">
        <v>37</v>
      </c>
      <c r="I4441" s="2" t="s">
        <v>22</v>
      </c>
      <c r="J4441" s="2" t="s">
        <v>2165</v>
      </c>
      <c r="K4441" s="2" t="s">
        <v>376</v>
      </c>
      <c r="L4441" s="2" t="s">
        <v>391</v>
      </c>
      <c r="M4441" s="2" t="s">
        <v>26</v>
      </c>
      <c r="N4441" s="29"/>
      <c r="O4441" s="29"/>
      <c r="P4441" s="5" t="str">
        <f>IFERROR(__xludf.DUMMYFUNCTION("TEXTJOIN("" | "",TRUE,IF(OR(D4441="""",E4441="""",I4441="""",J4441="""",H4441=""""),""ফাঁকা ঘর"",""""),IF(AND(C4441&lt;&gt;"""",D4441&lt;&gt;"""",C4441=D4441),""gloss=figurative"",""""),IF(LEN(D4441)&lt;15,""figurative ছোট"",""""),IF(AND(I4441=""Positive"",REGEXMATCH(H4"&amp;"441,""মূর্খ|ভণ্ড|প্রতার|অলস|লোভ|স্বার্থ|অক্ষম|অযোগ্য|বোকা|কৃপণ|হিংস"")),""valence-target অমিল"",""""),IF(COUNTIF($B:$B,B4441)&gt;1,""ডুপ্লিকেট"",""""))"),"")</f>
        <v/>
      </c>
      <c r="Q4441" s="5" t="str">
        <f t="shared" si="1"/>
        <v>২ পরে</v>
      </c>
    </row>
    <row r="4442">
      <c r="A4442" s="4">
        <v>2264.0</v>
      </c>
      <c r="B4442" s="2" t="s">
        <v>18216</v>
      </c>
      <c r="C4442" s="2" t="s">
        <v>18216</v>
      </c>
      <c r="D4442" s="2" t="s">
        <v>18217</v>
      </c>
      <c r="E4442" s="2" t="s">
        <v>18218</v>
      </c>
      <c r="F4442" s="2" t="b">
        <v>1</v>
      </c>
      <c r="G4442" s="2" t="b">
        <v>0</v>
      </c>
      <c r="H4442" s="2" t="s">
        <v>37</v>
      </c>
      <c r="I4442" s="2" t="s">
        <v>32</v>
      </c>
      <c r="J4442" s="2" t="s">
        <v>18211</v>
      </c>
      <c r="K4442" s="2" t="s">
        <v>495</v>
      </c>
      <c r="L4442" s="13" t="s">
        <v>496</v>
      </c>
      <c r="M4442" s="2" t="s">
        <v>26</v>
      </c>
      <c r="N4442" s="29"/>
      <c r="O4442" s="29"/>
      <c r="P4442" s="5" t="str">
        <f>IFERROR(__xludf.DUMMYFUNCTION("TEXTJOIN("" | "",TRUE,IF(OR(D4442="""",E4442="""",I4442="""",J4442="""",H4442=""""),""ফাঁকা ঘর"",""""),IF(AND(C4442&lt;&gt;"""",D4442&lt;&gt;"""",C4442=D4442),""gloss=figurative"",""""),IF(LEN(D4442)&lt;15,""figurative ছোট"",""""),IF(AND(I4442=""Positive"",REGEXMATCH(H4"&amp;"442,""মূর্খ|ভণ্ড|প্রতার|অলস|লোভ|স্বার্থ|অক্ষম|অযোগ্য|বোকা|কৃপণ|হিংস"")),""valence-target অমিল"",""""),IF(COUNTIF($B:$B,B4442)&gt;1,""ডুপ্লিকেট"",""""))"),"")</f>
        <v/>
      </c>
      <c r="Q4442" s="5" t="str">
        <f t="shared" si="1"/>
        <v>২ পরে</v>
      </c>
    </row>
    <row r="4443">
      <c r="A4443" s="4">
        <v>2265.0</v>
      </c>
      <c r="B4443" s="2" t="s">
        <v>18219</v>
      </c>
      <c r="C4443" s="2" t="s">
        <v>18220</v>
      </c>
      <c r="D4443" s="2" t="s">
        <v>18221</v>
      </c>
      <c r="E4443" s="2" t="s">
        <v>18222</v>
      </c>
      <c r="F4443" s="2" t="b">
        <v>1</v>
      </c>
      <c r="G4443" s="2" t="b">
        <v>0</v>
      </c>
      <c r="H4443" s="2" t="s">
        <v>37</v>
      </c>
      <c r="I4443" s="2" t="s">
        <v>22</v>
      </c>
      <c r="J4443" s="2" t="s">
        <v>842</v>
      </c>
      <c r="K4443" s="2" t="s">
        <v>495</v>
      </c>
      <c r="L4443" s="13" t="s">
        <v>496</v>
      </c>
      <c r="M4443" s="2" t="s">
        <v>26</v>
      </c>
      <c r="N4443" s="29"/>
      <c r="O4443" s="29"/>
      <c r="P4443" s="5" t="str">
        <f>IFERROR(__xludf.DUMMYFUNCTION("TEXTJOIN("" | "",TRUE,IF(OR(D4443="""",E4443="""",I4443="""",J4443="""",H4443=""""),""ফাঁকা ঘর"",""""),IF(AND(C4443&lt;&gt;"""",D4443&lt;&gt;"""",C4443=D4443),""gloss=figurative"",""""),IF(LEN(D4443)&lt;15,""figurative ছোট"",""""),IF(AND(I4443=""Positive"",REGEXMATCH(H4"&amp;"443,""মূর্খ|ভণ্ড|প্রতার|অলস|লোভ|স্বার্থ|অক্ষম|অযোগ্য|বোকা|কৃপণ|হিংস"")),""valence-target অমিল"",""""),IF(COUNTIF($B:$B,B4443)&gt;1,""ডুপ্লিকেট"",""""))"),"")</f>
        <v/>
      </c>
      <c r="Q4443" s="5" t="str">
        <f t="shared" si="1"/>
        <v>২ পরে</v>
      </c>
    </row>
    <row r="4444">
      <c r="A4444" s="4">
        <v>2266.0</v>
      </c>
      <c r="B4444" s="2" t="s">
        <v>18223</v>
      </c>
      <c r="C4444" s="2" t="s">
        <v>18223</v>
      </c>
      <c r="D4444" s="2" t="s">
        <v>18224</v>
      </c>
      <c r="E4444" s="2" t="s">
        <v>18225</v>
      </c>
      <c r="F4444" s="2" t="b">
        <v>1</v>
      </c>
      <c r="G4444" s="2" t="b">
        <v>1</v>
      </c>
      <c r="H4444" s="2" t="s">
        <v>18226</v>
      </c>
      <c r="I4444" s="2" t="s">
        <v>22</v>
      </c>
      <c r="J4444" s="2" t="s">
        <v>14971</v>
      </c>
      <c r="K4444" s="2" t="s">
        <v>495</v>
      </c>
      <c r="L4444" s="13" t="s">
        <v>496</v>
      </c>
      <c r="M4444" s="2" t="s">
        <v>26</v>
      </c>
      <c r="N4444" s="29"/>
      <c r="O4444" s="29"/>
      <c r="P4444" s="5" t="str">
        <f>IFERROR(__xludf.DUMMYFUNCTION("TEXTJOIN("" | "",TRUE,IF(OR(D4444="""",E4444="""",I4444="""",J4444="""",H4444=""""),""ফাঁকা ঘর"",""""),IF(AND(C4444&lt;&gt;"""",D4444&lt;&gt;"""",C4444=D4444),""gloss=figurative"",""""),IF(LEN(D4444)&lt;15,""figurative ছোট"",""""),IF(AND(I4444=""Positive"",REGEXMATCH(H4"&amp;"444,""মূর্খ|ভণ্ড|প্রতার|অলস|লোভ|স্বার্থ|অক্ষম|অযোগ্য|বোকা|কৃপণ|হিংস"")),""valence-target অমিল"",""""),IF(COUNTIF($B:$B,B4444)&gt;1,""ডুপ্লিকেট"",""""))"),"")</f>
        <v/>
      </c>
      <c r="Q4444" s="5" t="str">
        <f t="shared" si="1"/>
        <v>২ পরে</v>
      </c>
    </row>
    <row r="4445">
      <c r="A4445" s="4">
        <v>2267.0</v>
      </c>
      <c r="B4445" s="2" t="s">
        <v>18227</v>
      </c>
      <c r="C4445" s="2" t="s">
        <v>18228</v>
      </c>
      <c r="D4445" s="2" t="s">
        <v>18229</v>
      </c>
      <c r="E4445" s="2" t="s">
        <v>18230</v>
      </c>
      <c r="F4445" s="2" t="b">
        <v>1</v>
      </c>
      <c r="G4445" s="2" t="b">
        <v>0</v>
      </c>
      <c r="H4445" s="2" t="s">
        <v>18231</v>
      </c>
      <c r="I4445" s="2" t="s">
        <v>22</v>
      </c>
      <c r="J4445" s="2" t="s">
        <v>18232</v>
      </c>
      <c r="K4445" s="2" t="s">
        <v>495</v>
      </c>
      <c r="L4445" s="13" t="s">
        <v>496</v>
      </c>
      <c r="M4445" s="2" t="s">
        <v>26</v>
      </c>
      <c r="N4445" s="29"/>
      <c r="O4445" s="29"/>
      <c r="P4445" s="5" t="str">
        <f>IFERROR(__xludf.DUMMYFUNCTION("TEXTJOIN("" | "",TRUE,IF(OR(D4445="""",E4445="""",I4445="""",J4445="""",H4445=""""),""ফাঁকা ঘর"",""""),IF(AND(C4445&lt;&gt;"""",D4445&lt;&gt;"""",C4445=D4445),""gloss=figurative"",""""),IF(LEN(D4445)&lt;15,""figurative ছোট"",""""),IF(AND(I4445=""Positive"",REGEXMATCH(H4"&amp;"445,""মূর্খ|ভণ্ড|প্রতার|অলস|লোভ|স্বার্থ|অক্ষম|অযোগ্য|বোকা|কৃপণ|হিংস"")),""valence-target অমিল"",""""),IF(COUNTIF($B:$B,B4445)&gt;1,""ডুপ্লিকেট"",""""))"),"")</f>
        <v/>
      </c>
      <c r="Q4445" s="5" t="str">
        <f t="shared" si="1"/>
        <v>২ পরে</v>
      </c>
    </row>
    <row r="4446">
      <c r="A4446" s="4">
        <v>2268.0</v>
      </c>
      <c r="B4446" s="2" t="s">
        <v>18233</v>
      </c>
      <c r="C4446" s="2" t="s">
        <v>18233</v>
      </c>
      <c r="D4446" s="2" t="s">
        <v>18234</v>
      </c>
      <c r="E4446" s="2" t="s">
        <v>18235</v>
      </c>
      <c r="F4446" s="2" t="b">
        <v>1</v>
      </c>
      <c r="G4446" s="2" t="b">
        <v>0</v>
      </c>
      <c r="H4446" s="2" t="s">
        <v>18236</v>
      </c>
      <c r="I4446" s="2" t="s">
        <v>22</v>
      </c>
      <c r="J4446" s="2" t="s">
        <v>447</v>
      </c>
      <c r="K4446" s="2" t="s">
        <v>495</v>
      </c>
      <c r="L4446" s="13" t="s">
        <v>496</v>
      </c>
      <c r="M4446" s="2" t="s">
        <v>26</v>
      </c>
      <c r="N4446" s="29"/>
      <c r="O4446" s="29"/>
      <c r="P4446" s="5" t="str">
        <f>IFERROR(__xludf.DUMMYFUNCTION("TEXTJOIN("" | "",TRUE,IF(OR(D4446="""",E4446="""",I4446="""",J4446="""",H4446=""""),""ফাঁকা ঘর"",""""),IF(AND(C4446&lt;&gt;"""",D4446&lt;&gt;"""",C4446=D4446),""gloss=figurative"",""""),IF(LEN(D4446)&lt;15,""figurative ছোট"",""""),IF(AND(I4446=""Positive"",REGEXMATCH(H4"&amp;"446,""মূর্খ|ভণ্ড|প্রতার|অলস|লোভ|স্বার্থ|অক্ষম|অযোগ্য|বোকা|কৃপণ|হিংস"")),""valence-target অমিল"",""""),IF(COUNTIF($B:$B,B4446)&gt;1,""ডুপ্লিকেট"",""""))"),"")</f>
        <v/>
      </c>
      <c r="Q4446" s="5" t="str">
        <f t="shared" si="1"/>
        <v>২ পরে</v>
      </c>
    </row>
    <row r="4447">
      <c r="A4447" s="4">
        <v>2269.0</v>
      </c>
      <c r="B4447" s="2" t="s">
        <v>18237</v>
      </c>
      <c r="C4447" s="2" t="s">
        <v>18238</v>
      </c>
      <c r="D4447" s="2" t="s">
        <v>18239</v>
      </c>
      <c r="E4447" s="2" t="s">
        <v>18240</v>
      </c>
      <c r="F4447" s="2" t="b">
        <v>1</v>
      </c>
      <c r="G4447" s="2" t="b">
        <v>0</v>
      </c>
      <c r="H4447" s="2" t="s">
        <v>18241</v>
      </c>
      <c r="I4447" s="2" t="s">
        <v>22</v>
      </c>
      <c r="J4447" s="2" t="s">
        <v>18242</v>
      </c>
      <c r="K4447" s="2" t="s">
        <v>495</v>
      </c>
      <c r="L4447" s="13" t="s">
        <v>496</v>
      </c>
      <c r="M4447" s="2" t="s">
        <v>26</v>
      </c>
      <c r="N4447" s="29"/>
      <c r="O4447" s="29"/>
      <c r="P4447" s="5" t="str">
        <f>IFERROR(__xludf.DUMMYFUNCTION("TEXTJOIN("" | "",TRUE,IF(OR(D4447="""",E4447="""",I4447="""",J4447="""",H4447=""""),""ফাঁকা ঘর"",""""),IF(AND(C4447&lt;&gt;"""",D4447&lt;&gt;"""",C4447=D4447),""gloss=figurative"",""""),IF(LEN(D4447)&lt;15,""figurative ছোট"",""""),IF(AND(I4447=""Positive"",REGEXMATCH(H4"&amp;"447,""মূর্খ|ভণ্ড|প্রতার|অলস|লোভ|স্বার্থ|অক্ষম|অযোগ্য|বোকা|কৃপণ|হিংস"")),""valence-target অমিল"",""""),IF(COUNTIF($B:$B,B4447)&gt;1,""ডুপ্লিকেট"",""""))"),"")</f>
        <v/>
      </c>
      <c r="Q4447" s="5" t="str">
        <f t="shared" si="1"/>
        <v>২ পরে</v>
      </c>
    </row>
    <row r="4448">
      <c r="A4448" s="4">
        <v>2270.0</v>
      </c>
      <c r="B4448" s="2" t="s">
        <v>18243</v>
      </c>
      <c r="C4448" s="2" t="s">
        <v>18243</v>
      </c>
      <c r="D4448" s="2" t="s">
        <v>18244</v>
      </c>
      <c r="E4448" s="2" t="s">
        <v>18245</v>
      </c>
      <c r="F4448" s="2" t="b">
        <v>1</v>
      </c>
      <c r="G4448" s="2" t="b">
        <v>0</v>
      </c>
      <c r="H4448" s="2" t="s">
        <v>37</v>
      </c>
      <c r="I4448" s="2" t="s">
        <v>22</v>
      </c>
      <c r="J4448" s="2" t="s">
        <v>1644</v>
      </c>
      <c r="K4448" s="2" t="s">
        <v>495</v>
      </c>
      <c r="L4448" s="13" t="s">
        <v>496</v>
      </c>
      <c r="M4448" s="2" t="s">
        <v>26</v>
      </c>
      <c r="N4448" s="29"/>
      <c r="O4448" s="29"/>
      <c r="P4448" s="5" t="str">
        <f>IFERROR(__xludf.DUMMYFUNCTION("TEXTJOIN("" | "",TRUE,IF(OR(D4448="""",E4448="""",I4448="""",J4448="""",H4448=""""),""ফাঁকা ঘর"",""""),IF(AND(C4448&lt;&gt;"""",D4448&lt;&gt;"""",C4448=D4448),""gloss=figurative"",""""),IF(LEN(D4448)&lt;15,""figurative ছোট"",""""),IF(AND(I4448=""Positive"",REGEXMATCH(H4"&amp;"448,""মূর্খ|ভণ্ড|প্রতার|অলস|লোভ|স্বার্থ|অক্ষম|অযোগ্য|বোকা|কৃপণ|হিংস"")),""valence-target অমিল"",""""),IF(COUNTIF($B:$B,B4448)&gt;1,""ডুপ্লিকেট"",""""))"),"")</f>
        <v/>
      </c>
      <c r="Q4448" s="5" t="str">
        <f t="shared" si="1"/>
        <v>২ পরে</v>
      </c>
    </row>
    <row r="4449">
      <c r="A4449" s="4">
        <v>2271.0</v>
      </c>
      <c r="B4449" s="2" t="s">
        <v>18246</v>
      </c>
      <c r="C4449" s="2" t="s">
        <v>18246</v>
      </c>
      <c r="D4449" s="2" t="s">
        <v>18247</v>
      </c>
      <c r="E4449" s="2" t="s">
        <v>18248</v>
      </c>
      <c r="F4449" s="2" t="b">
        <v>1</v>
      </c>
      <c r="G4449" s="2" t="b">
        <v>0</v>
      </c>
      <c r="H4449" s="2" t="s">
        <v>18249</v>
      </c>
      <c r="I4449" s="2" t="s">
        <v>32</v>
      </c>
      <c r="J4449" s="2" t="s">
        <v>447</v>
      </c>
      <c r="K4449" s="2" t="s">
        <v>495</v>
      </c>
      <c r="L4449" s="13" t="s">
        <v>496</v>
      </c>
      <c r="M4449" s="2" t="s">
        <v>26</v>
      </c>
      <c r="N4449" s="29"/>
      <c r="O4449" s="29"/>
      <c r="P4449" s="5" t="str">
        <f>IFERROR(__xludf.DUMMYFUNCTION("TEXTJOIN("" | "",TRUE,IF(OR(D4449="""",E4449="""",I4449="""",J4449="""",H4449=""""),""ফাঁকা ঘর"",""""),IF(AND(C4449&lt;&gt;"""",D4449&lt;&gt;"""",C4449=D4449),""gloss=figurative"",""""),IF(LEN(D4449)&lt;15,""figurative ছোট"",""""),IF(AND(I4449=""Positive"",REGEXMATCH(H4"&amp;"449,""মূর্খ|ভণ্ড|প্রতার|অলস|লোভ|স্বার্থ|অক্ষম|অযোগ্য|বোকা|কৃপণ|হিংস"")),""valence-target অমিল"",""""),IF(COUNTIF($B:$B,B4449)&gt;1,""ডুপ্লিকেট"",""""))"),"")</f>
        <v/>
      </c>
      <c r="Q4449" s="5" t="str">
        <f t="shared" si="1"/>
        <v>২ পরে</v>
      </c>
    </row>
    <row r="4450">
      <c r="A4450" s="4">
        <v>2272.0</v>
      </c>
      <c r="B4450" s="2" t="s">
        <v>18250</v>
      </c>
      <c r="C4450" s="2" t="s">
        <v>18251</v>
      </c>
      <c r="D4450" s="2" t="s">
        <v>18252</v>
      </c>
      <c r="E4450" s="2" t="s">
        <v>18253</v>
      </c>
      <c r="F4450" s="2" t="b">
        <v>1</v>
      </c>
      <c r="G4450" s="2" t="b">
        <v>0</v>
      </c>
      <c r="H4450" s="2" t="s">
        <v>18254</v>
      </c>
      <c r="I4450" s="2" t="s">
        <v>22</v>
      </c>
      <c r="J4450" s="2" t="s">
        <v>43</v>
      </c>
      <c r="K4450" s="2" t="s">
        <v>495</v>
      </c>
      <c r="L4450" s="13" t="s">
        <v>496</v>
      </c>
      <c r="M4450" s="2" t="s">
        <v>26</v>
      </c>
      <c r="N4450" s="29"/>
      <c r="O4450" s="29"/>
      <c r="P4450" s="5" t="str">
        <f>IFERROR(__xludf.DUMMYFUNCTION("TEXTJOIN("" | "",TRUE,IF(OR(D4450="""",E4450="""",I4450="""",J4450="""",H4450=""""),""ফাঁকা ঘর"",""""),IF(AND(C4450&lt;&gt;"""",D4450&lt;&gt;"""",C4450=D4450),""gloss=figurative"",""""),IF(LEN(D4450)&lt;15,""figurative ছোট"",""""),IF(AND(I4450=""Positive"",REGEXMATCH(H4"&amp;"450,""মূর্খ|ভণ্ড|প্রতার|অলস|লোভ|স্বার্থ|অক্ষম|অযোগ্য|বোকা|কৃপণ|হিংস"")),""valence-target অমিল"",""""),IF(COUNTIF($B:$B,B4450)&gt;1,""ডুপ্লিকেট"",""""))"),"")</f>
        <v/>
      </c>
      <c r="Q4450" s="5" t="str">
        <f t="shared" si="1"/>
        <v>২ পরে</v>
      </c>
    </row>
    <row r="4451">
      <c r="A4451" s="4">
        <v>2273.0</v>
      </c>
      <c r="B4451" s="2" t="s">
        <v>18255</v>
      </c>
      <c r="C4451" s="2" t="s">
        <v>18256</v>
      </c>
      <c r="D4451" s="2" t="s">
        <v>18257</v>
      </c>
      <c r="E4451" s="2" t="s">
        <v>18258</v>
      </c>
      <c r="F4451" s="2" t="b">
        <v>1</v>
      </c>
      <c r="G4451" s="2" t="b">
        <v>0</v>
      </c>
      <c r="H4451" s="2" t="s">
        <v>37</v>
      </c>
      <c r="I4451" s="2" t="s">
        <v>32</v>
      </c>
      <c r="J4451" s="2" t="s">
        <v>669</v>
      </c>
      <c r="K4451" s="2" t="s">
        <v>495</v>
      </c>
      <c r="L4451" s="13" t="s">
        <v>496</v>
      </c>
      <c r="M4451" s="2" t="s">
        <v>26</v>
      </c>
      <c r="N4451" s="29"/>
      <c r="O4451" s="29"/>
      <c r="P4451" s="5" t="str">
        <f>IFERROR(__xludf.DUMMYFUNCTION("TEXTJOIN("" | "",TRUE,IF(OR(D4451="""",E4451="""",I4451="""",J4451="""",H4451=""""),""ফাঁকা ঘর"",""""),IF(AND(C4451&lt;&gt;"""",D4451&lt;&gt;"""",C4451=D4451),""gloss=figurative"",""""),IF(LEN(D4451)&lt;15,""figurative ছোট"",""""),IF(AND(I4451=""Positive"",REGEXMATCH(H4"&amp;"451,""মূর্খ|ভণ্ড|প্রতার|অলস|লোভ|স্বার্থ|অক্ষম|অযোগ্য|বোকা|কৃপণ|হিংস"")),""valence-target অমিল"",""""),IF(COUNTIF($B:$B,B4451)&gt;1,""ডুপ্লিকেট"",""""))"),"")</f>
        <v/>
      </c>
      <c r="Q4451" s="5" t="str">
        <f t="shared" si="1"/>
        <v>২ পরে</v>
      </c>
    </row>
    <row r="4452">
      <c r="A4452" s="4">
        <v>2274.0</v>
      </c>
      <c r="B4452" s="2" t="s">
        <v>18259</v>
      </c>
      <c r="C4452" s="2" t="s">
        <v>18260</v>
      </c>
      <c r="D4452" s="2" t="s">
        <v>18261</v>
      </c>
      <c r="E4452" s="2" t="s">
        <v>18262</v>
      </c>
      <c r="F4452" s="2" t="b">
        <v>1</v>
      </c>
      <c r="G4452" s="2" t="b">
        <v>0</v>
      </c>
      <c r="H4452" s="2" t="s">
        <v>37</v>
      </c>
      <c r="I4452" s="2" t="s">
        <v>22</v>
      </c>
      <c r="J4452" s="2" t="s">
        <v>669</v>
      </c>
      <c r="K4452" s="2" t="s">
        <v>495</v>
      </c>
      <c r="L4452" s="13" t="s">
        <v>496</v>
      </c>
      <c r="M4452" s="2" t="s">
        <v>26</v>
      </c>
      <c r="N4452" s="29"/>
      <c r="O4452" s="29"/>
      <c r="P4452" s="5" t="str">
        <f>IFERROR(__xludf.DUMMYFUNCTION("TEXTJOIN("" | "",TRUE,IF(OR(D4452="""",E4452="""",I4452="""",J4452="""",H4452=""""),""ফাঁকা ঘর"",""""),IF(AND(C4452&lt;&gt;"""",D4452&lt;&gt;"""",C4452=D4452),""gloss=figurative"",""""),IF(LEN(D4452)&lt;15,""figurative ছোট"",""""),IF(AND(I4452=""Positive"",REGEXMATCH(H4"&amp;"452,""মূর্খ|ভণ্ড|প্রতার|অলস|লোভ|স্বার্থ|অক্ষম|অযোগ্য|বোকা|কৃপণ|হিংস"")),""valence-target অমিল"",""""),IF(COUNTIF($B:$B,B4452)&gt;1,""ডুপ্লিকেট"",""""))"),"")</f>
        <v/>
      </c>
      <c r="Q4452" s="5" t="str">
        <f t="shared" si="1"/>
        <v>২ পরে</v>
      </c>
    </row>
    <row r="4453">
      <c r="A4453" s="4">
        <v>2275.0</v>
      </c>
      <c r="B4453" s="2" t="s">
        <v>18263</v>
      </c>
      <c r="C4453" s="2" t="s">
        <v>18264</v>
      </c>
      <c r="D4453" s="2" t="s">
        <v>18265</v>
      </c>
      <c r="E4453" s="2" t="s">
        <v>18266</v>
      </c>
      <c r="F4453" s="2" t="b">
        <v>1</v>
      </c>
      <c r="G4453" s="2" t="b">
        <v>0</v>
      </c>
      <c r="H4453" s="2" t="s">
        <v>37</v>
      </c>
      <c r="I4453" s="2" t="s">
        <v>22</v>
      </c>
      <c r="J4453" s="2" t="s">
        <v>2694</v>
      </c>
      <c r="K4453" s="2" t="s">
        <v>495</v>
      </c>
      <c r="L4453" s="13" t="s">
        <v>496</v>
      </c>
      <c r="M4453" s="2" t="s">
        <v>26</v>
      </c>
      <c r="N4453" s="29"/>
      <c r="O4453" s="29"/>
      <c r="P4453" s="5" t="str">
        <f>IFERROR(__xludf.DUMMYFUNCTION("TEXTJOIN("" | "",TRUE,IF(OR(D4453="""",E4453="""",I4453="""",J4453="""",H4453=""""),""ফাঁকা ঘর"",""""),IF(AND(C4453&lt;&gt;"""",D4453&lt;&gt;"""",C4453=D4453),""gloss=figurative"",""""),IF(LEN(D4453)&lt;15,""figurative ছোট"",""""),IF(AND(I4453=""Positive"",REGEXMATCH(H4"&amp;"453,""মূর্খ|ভণ্ড|প্রতার|অলস|লোভ|স্বার্থ|অক্ষম|অযোগ্য|বোকা|কৃপণ|হিংস"")),""valence-target অমিল"",""""),IF(COUNTIF($B:$B,B4453)&gt;1,""ডুপ্লিকেট"",""""))"),"")</f>
        <v/>
      </c>
      <c r="Q4453" s="5" t="str">
        <f t="shared" si="1"/>
        <v>২ পরে</v>
      </c>
    </row>
    <row r="4454">
      <c r="A4454" s="4">
        <v>2276.0</v>
      </c>
      <c r="B4454" s="2" t="s">
        <v>18267</v>
      </c>
      <c r="C4454" s="2" t="s">
        <v>18267</v>
      </c>
      <c r="D4454" s="2" t="s">
        <v>18268</v>
      </c>
      <c r="E4454" s="2" t="s">
        <v>18269</v>
      </c>
      <c r="F4454" s="2" t="b">
        <v>1</v>
      </c>
      <c r="G4454" s="2" t="b">
        <v>0</v>
      </c>
      <c r="H4454" s="2" t="s">
        <v>37</v>
      </c>
      <c r="I4454" s="2" t="s">
        <v>32</v>
      </c>
      <c r="J4454" s="2" t="s">
        <v>708</v>
      </c>
      <c r="K4454" s="2" t="s">
        <v>495</v>
      </c>
      <c r="L4454" s="13" t="s">
        <v>496</v>
      </c>
      <c r="M4454" s="2" t="s">
        <v>26</v>
      </c>
      <c r="N4454" s="29"/>
      <c r="O4454" s="29"/>
      <c r="P4454" s="5" t="str">
        <f>IFERROR(__xludf.DUMMYFUNCTION("TEXTJOIN("" | "",TRUE,IF(OR(D4454="""",E4454="""",I4454="""",J4454="""",H4454=""""),""ফাঁকা ঘর"",""""),IF(AND(C4454&lt;&gt;"""",D4454&lt;&gt;"""",C4454=D4454),""gloss=figurative"",""""),IF(LEN(D4454)&lt;15,""figurative ছোট"",""""),IF(AND(I4454=""Positive"",REGEXMATCH(H4"&amp;"454,""মূর্খ|ভণ্ড|প্রতার|অলস|লোভ|স্বার্থ|অক্ষম|অযোগ্য|বোকা|কৃপণ|হিংস"")),""valence-target অমিল"",""""),IF(COUNTIF($B:$B,B4454)&gt;1,""ডুপ্লিকেট"",""""))"),"")</f>
        <v/>
      </c>
      <c r="Q4454" s="5" t="str">
        <f t="shared" si="1"/>
        <v>২ পরে</v>
      </c>
    </row>
    <row r="4455">
      <c r="A4455" s="4">
        <v>2277.0</v>
      </c>
      <c r="B4455" s="2" t="s">
        <v>18270</v>
      </c>
      <c r="C4455" s="2" t="s">
        <v>18271</v>
      </c>
      <c r="D4455" s="2" t="s">
        <v>18272</v>
      </c>
      <c r="E4455" s="2" t="s">
        <v>18273</v>
      </c>
      <c r="F4455" s="2" t="b">
        <v>1</v>
      </c>
      <c r="G4455" s="2" t="b">
        <v>0</v>
      </c>
      <c r="H4455" s="2" t="s">
        <v>37</v>
      </c>
      <c r="I4455" s="2" t="s">
        <v>49</v>
      </c>
      <c r="J4455" s="2" t="s">
        <v>2465</v>
      </c>
      <c r="K4455" s="2" t="s">
        <v>495</v>
      </c>
      <c r="L4455" s="13" t="s">
        <v>496</v>
      </c>
      <c r="M4455" s="2" t="s">
        <v>26</v>
      </c>
      <c r="N4455" s="29"/>
      <c r="O4455" s="29"/>
      <c r="P4455" s="5" t="str">
        <f>IFERROR(__xludf.DUMMYFUNCTION("TEXTJOIN("" | "",TRUE,IF(OR(D4455="""",E4455="""",I4455="""",J4455="""",H4455=""""),""ফাঁকা ঘর"",""""),IF(AND(C4455&lt;&gt;"""",D4455&lt;&gt;"""",C4455=D4455),""gloss=figurative"",""""),IF(LEN(D4455)&lt;15,""figurative ছোট"",""""),IF(AND(I4455=""Positive"",REGEXMATCH(H4"&amp;"455,""মূর্খ|ভণ্ড|প্রতার|অলস|লোভ|স্বার্থ|অক্ষম|অযোগ্য|বোকা|কৃপণ|হিংস"")),""valence-target অমিল"",""""),IF(COUNTIF($B:$B,B4455)&gt;1,""ডুপ্লিকেট"",""""))"),"")</f>
        <v/>
      </c>
      <c r="Q4455" s="5" t="str">
        <f t="shared" si="1"/>
        <v>২ পরে</v>
      </c>
    </row>
    <row r="4456">
      <c r="A4456" s="4">
        <v>2278.0</v>
      </c>
      <c r="B4456" s="2" t="s">
        <v>18274</v>
      </c>
      <c r="C4456" s="2" t="s">
        <v>18275</v>
      </c>
      <c r="D4456" s="2" t="s">
        <v>18276</v>
      </c>
      <c r="E4456" s="2" t="s">
        <v>18277</v>
      </c>
      <c r="F4456" s="2" t="b">
        <v>1</v>
      </c>
      <c r="G4456" s="2" t="b">
        <v>0</v>
      </c>
      <c r="H4456" s="2" t="s">
        <v>37</v>
      </c>
      <c r="I4456" s="2" t="s">
        <v>49</v>
      </c>
      <c r="J4456" s="2" t="s">
        <v>1060</v>
      </c>
      <c r="K4456" s="2" t="s">
        <v>495</v>
      </c>
      <c r="L4456" s="13" t="s">
        <v>496</v>
      </c>
      <c r="M4456" s="2" t="s">
        <v>26</v>
      </c>
      <c r="N4456" s="29"/>
      <c r="O4456" s="29"/>
      <c r="P4456" s="5" t="str">
        <f>IFERROR(__xludf.DUMMYFUNCTION("TEXTJOIN("" | "",TRUE,IF(OR(D4456="""",E4456="""",I4456="""",J4456="""",H4456=""""),""ফাঁকা ঘর"",""""),IF(AND(C4456&lt;&gt;"""",D4456&lt;&gt;"""",C4456=D4456),""gloss=figurative"",""""),IF(LEN(D4456)&lt;15,""figurative ছোট"",""""),IF(AND(I4456=""Positive"",REGEXMATCH(H4"&amp;"456,""মূর্খ|ভণ্ড|প্রতার|অলস|লোভ|স্বার্থ|অক্ষম|অযোগ্য|বোকা|কৃপণ|হিংস"")),""valence-target অমিল"",""""),IF(COUNTIF($B:$B,B4456)&gt;1,""ডুপ্লিকেট"",""""))"),"")</f>
        <v/>
      </c>
      <c r="Q4456" s="5" t="str">
        <f t="shared" si="1"/>
        <v>২ পরে</v>
      </c>
    </row>
    <row r="4457">
      <c r="A4457" s="4">
        <v>2279.0</v>
      </c>
      <c r="B4457" s="2" t="s">
        <v>18278</v>
      </c>
      <c r="C4457" s="2" t="s">
        <v>18278</v>
      </c>
      <c r="D4457" s="2" t="s">
        <v>18279</v>
      </c>
      <c r="E4457" s="2" t="s">
        <v>18280</v>
      </c>
      <c r="F4457" s="2" t="b">
        <v>1</v>
      </c>
      <c r="G4457" s="2" t="b">
        <v>0</v>
      </c>
      <c r="H4457" s="2" t="s">
        <v>37</v>
      </c>
      <c r="I4457" s="2" t="s">
        <v>22</v>
      </c>
      <c r="J4457" s="2" t="s">
        <v>18281</v>
      </c>
      <c r="K4457" s="2" t="s">
        <v>495</v>
      </c>
      <c r="L4457" s="13" t="s">
        <v>496</v>
      </c>
      <c r="M4457" s="2" t="s">
        <v>26</v>
      </c>
      <c r="N4457" s="29"/>
      <c r="O4457" s="29"/>
      <c r="P4457" s="5" t="str">
        <f>IFERROR(__xludf.DUMMYFUNCTION("TEXTJOIN("" | "",TRUE,IF(OR(D4457="""",E4457="""",I4457="""",J4457="""",H4457=""""),""ফাঁকা ঘর"",""""),IF(AND(C4457&lt;&gt;"""",D4457&lt;&gt;"""",C4457=D4457),""gloss=figurative"",""""),IF(LEN(D4457)&lt;15,""figurative ছোট"",""""),IF(AND(I4457=""Positive"",REGEXMATCH(H4"&amp;"457,""মূর্খ|ভণ্ড|প্রতার|অলস|লোভ|স্বার্থ|অক্ষম|অযোগ্য|বোকা|কৃপণ|হিংস"")),""valence-target অমিল"",""""),IF(COUNTIF($B:$B,B4457)&gt;1,""ডুপ্লিকেট"",""""))"),"")</f>
        <v/>
      </c>
      <c r="Q4457" s="5" t="str">
        <f t="shared" si="1"/>
        <v>২ পরে</v>
      </c>
    </row>
    <row r="4458">
      <c r="A4458" s="4">
        <v>2280.0</v>
      </c>
      <c r="B4458" s="2" t="s">
        <v>18282</v>
      </c>
      <c r="C4458" s="2" t="s">
        <v>18283</v>
      </c>
      <c r="D4458" s="2" t="s">
        <v>18284</v>
      </c>
      <c r="E4458" s="2" t="s">
        <v>18285</v>
      </c>
      <c r="F4458" s="2" t="b">
        <v>1</v>
      </c>
      <c r="G4458" s="2" t="b">
        <v>0</v>
      </c>
      <c r="H4458" s="2" t="s">
        <v>37</v>
      </c>
      <c r="I4458" s="2" t="s">
        <v>22</v>
      </c>
      <c r="J4458" s="2" t="s">
        <v>18286</v>
      </c>
      <c r="K4458" s="2" t="s">
        <v>495</v>
      </c>
      <c r="L4458" s="13" t="s">
        <v>496</v>
      </c>
      <c r="M4458" s="2" t="s">
        <v>26</v>
      </c>
      <c r="N4458" s="29"/>
      <c r="O4458" s="29"/>
      <c r="P4458" s="5" t="str">
        <f>IFERROR(__xludf.DUMMYFUNCTION("TEXTJOIN("" | "",TRUE,IF(OR(D4458="""",E4458="""",I4458="""",J4458="""",H4458=""""),""ফাঁকা ঘর"",""""),IF(AND(C4458&lt;&gt;"""",D4458&lt;&gt;"""",C4458=D4458),""gloss=figurative"",""""),IF(LEN(D4458)&lt;15,""figurative ছোট"",""""),IF(AND(I4458=""Positive"",REGEXMATCH(H4"&amp;"458,""মূর্খ|ভণ্ড|প্রতার|অলস|লোভ|স্বার্থ|অক্ষম|অযোগ্য|বোকা|কৃপণ|হিংস"")),""valence-target অমিল"",""""),IF(COUNTIF($B:$B,B4458)&gt;1,""ডুপ্লিকেট"",""""))"),"")</f>
        <v/>
      </c>
      <c r="Q4458" s="5" t="str">
        <f t="shared" si="1"/>
        <v>২ পরে</v>
      </c>
    </row>
    <row r="4459">
      <c r="A4459" s="4">
        <v>2281.0</v>
      </c>
      <c r="B4459" s="2" t="s">
        <v>18287</v>
      </c>
      <c r="C4459" s="2" t="s">
        <v>18287</v>
      </c>
      <c r="D4459" s="2" t="s">
        <v>18288</v>
      </c>
      <c r="E4459" s="2" t="s">
        <v>18289</v>
      </c>
      <c r="F4459" s="2" t="b">
        <v>1</v>
      </c>
      <c r="G4459" s="2" t="b">
        <v>0</v>
      </c>
      <c r="H4459" s="2" t="s">
        <v>37</v>
      </c>
      <c r="I4459" s="2" t="s">
        <v>49</v>
      </c>
      <c r="J4459" s="2" t="s">
        <v>1060</v>
      </c>
      <c r="K4459" s="2" t="s">
        <v>495</v>
      </c>
      <c r="L4459" s="13" t="s">
        <v>496</v>
      </c>
      <c r="M4459" s="2" t="s">
        <v>26</v>
      </c>
      <c r="N4459" s="29"/>
      <c r="O4459" s="29"/>
      <c r="P4459" s="5" t="str">
        <f>IFERROR(__xludf.DUMMYFUNCTION("TEXTJOIN("" | "",TRUE,IF(OR(D4459="""",E4459="""",I4459="""",J4459="""",H4459=""""),""ফাঁকা ঘর"",""""),IF(AND(C4459&lt;&gt;"""",D4459&lt;&gt;"""",C4459=D4459),""gloss=figurative"",""""),IF(LEN(D4459)&lt;15,""figurative ছোট"",""""),IF(AND(I4459=""Positive"",REGEXMATCH(H4"&amp;"459,""মূর্খ|ভণ্ড|প্রতার|অলস|লোভ|স্বার্থ|অক্ষম|অযোগ্য|বোকা|কৃপণ|হিংস"")),""valence-target অমিল"",""""),IF(COUNTIF($B:$B,B4459)&gt;1,""ডুপ্লিকেট"",""""))"),"")</f>
        <v/>
      </c>
      <c r="Q4459" s="5" t="str">
        <f t="shared" si="1"/>
        <v>২ পরে</v>
      </c>
    </row>
    <row r="4460">
      <c r="A4460" s="4">
        <v>2282.0</v>
      </c>
      <c r="B4460" s="2" t="s">
        <v>18290</v>
      </c>
      <c r="C4460" s="2" t="s">
        <v>18290</v>
      </c>
      <c r="D4460" s="2" t="s">
        <v>18291</v>
      </c>
      <c r="E4460" s="2" t="s">
        <v>18292</v>
      </c>
      <c r="F4460" s="2" t="b">
        <v>1</v>
      </c>
      <c r="G4460" s="2" t="b">
        <v>0</v>
      </c>
      <c r="H4460" s="2" t="s">
        <v>18293</v>
      </c>
      <c r="I4460" s="2" t="s">
        <v>22</v>
      </c>
      <c r="J4460" s="2" t="s">
        <v>18294</v>
      </c>
      <c r="K4460" s="2" t="s">
        <v>495</v>
      </c>
      <c r="L4460" s="13" t="s">
        <v>496</v>
      </c>
      <c r="M4460" s="2" t="s">
        <v>26</v>
      </c>
      <c r="N4460" s="29"/>
      <c r="O4460" s="29"/>
      <c r="P4460" s="5" t="str">
        <f>IFERROR(__xludf.DUMMYFUNCTION("TEXTJOIN("" | "",TRUE,IF(OR(D4460="""",E4460="""",I4460="""",J4460="""",H4460=""""),""ফাঁকা ঘর"",""""),IF(AND(C4460&lt;&gt;"""",D4460&lt;&gt;"""",C4460=D4460),""gloss=figurative"",""""),IF(LEN(D4460)&lt;15,""figurative ছোট"",""""),IF(AND(I4460=""Positive"",REGEXMATCH(H4"&amp;"460,""মূর্খ|ভণ্ড|প্রতার|অলস|লোভ|স্বার্থ|অক্ষম|অযোগ্য|বোকা|কৃপণ|হিংস"")),""valence-target অমিল"",""""),IF(COUNTIF($B:$B,B4460)&gt;1,""ডুপ্লিকেট"",""""))"),"")</f>
        <v/>
      </c>
      <c r="Q4460" s="5" t="str">
        <f t="shared" si="1"/>
        <v>২ পরে</v>
      </c>
    </row>
    <row r="4461">
      <c r="A4461" s="4">
        <v>2283.0</v>
      </c>
      <c r="B4461" s="2" t="s">
        <v>18295</v>
      </c>
      <c r="C4461" s="2" t="s">
        <v>18296</v>
      </c>
      <c r="D4461" s="2" t="s">
        <v>18297</v>
      </c>
      <c r="E4461" s="2" t="s">
        <v>18298</v>
      </c>
      <c r="F4461" s="2" t="b">
        <v>1</v>
      </c>
      <c r="G4461" s="2" t="b">
        <v>0</v>
      </c>
      <c r="H4461" s="2" t="s">
        <v>37</v>
      </c>
      <c r="I4461" s="2" t="s">
        <v>32</v>
      </c>
      <c r="J4461" s="2" t="s">
        <v>739</v>
      </c>
      <c r="K4461" s="2" t="s">
        <v>495</v>
      </c>
      <c r="L4461" s="13" t="s">
        <v>496</v>
      </c>
      <c r="M4461" s="2" t="s">
        <v>26</v>
      </c>
      <c r="N4461" s="29"/>
      <c r="O4461" s="29"/>
      <c r="P4461" s="5" t="str">
        <f>IFERROR(__xludf.DUMMYFUNCTION("TEXTJOIN("" | "",TRUE,IF(OR(D4461="""",E4461="""",I4461="""",J4461="""",H4461=""""),""ফাঁকা ঘর"",""""),IF(AND(C4461&lt;&gt;"""",D4461&lt;&gt;"""",C4461=D4461),""gloss=figurative"",""""),IF(LEN(D4461)&lt;15,""figurative ছোট"",""""),IF(AND(I4461=""Positive"",REGEXMATCH(H4"&amp;"461,""মূর্খ|ভণ্ড|প্রতার|অলস|লোভ|স্বার্থ|অক্ষম|অযোগ্য|বোকা|কৃপণ|হিংস"")),""valence-target অমিল"",""""),IF(COUNTIF($B:$B,B4461)&gt;1,""ডুপ্লিকেট"",""""))"),"")</f>
        <v/>
      </c>
      <c r="Q4461" s="5" t="str">
        <f t="shared" si="1"/>
        <v>২ পরে</v>
      </c>
    </row>
    <row r="4462">
      <c r="A4462" s="4">
        <v>2284.0</v>
      </c>
      <c r="B4462" s="2" t="s">
        <v>18299</v>
      </c>
      <c r="C4462" s="2" t="s">
        <v>18299</v>
      </c>
      <c r="D4462" s="2" t="s">
        <v>18300</v>
      </c>
      <c r="E4462" s="2" t="s">
        <v>18301</v>
      </c>
      <c r="F4462" s="2" t="b">
        <v>1</v>
      </c>
      <c r="G4462" s="2" t="b">
        <v>1</v>
      </c>
      <c r="H4462" s="2" t="s">
        <v>18302</v>
      </c>
      <c r="I4462" s="2" t="s">
        <v>22</v>
      </c>
      <c r="J4462" s="2" t="s">
        <v>15837</v>
      </c>
      <c r="K4462" s="2" t="s">
        <v>495</v>
      </c>
      <c r="L4462" s="13" t="s">
        <v>496</v>
      </c>
      <c r="M4462" s="2" t="s">
        <v>26</v>
      </c>
      <c r="N4462" s="29"/>
      <c r="O4462" s="29"/>
      <c r="P4462" s="5" t="str">
        <f>IFERROR(__xludf.DUMMYFUNCTION("TEXTJOIN("" | "",TRUE,IF(OR(D4462="""",E4462="""",I4462="""",J4462="""",H4462=""""),""ফাঁকা ঘর"",""""),IF(AND(C4462&lt;&gt;"""",D4462&lt;&gt;"""",C4462=D4462),""gloss=figurative"",""""),IF(LEN(D4462)&lt;15,""figurative ছোট"",""""),IF(AND(I4462=""Positive"",REGEXMATCH(H4"&amp;"462,""মূর্খ|ভণ্ড|প্রতার|অলস|লোভ|স্বার্থ|অক্ষম|অযোগ্য|বোকা|কৃপণ|হিংস"")),""valence-target অমিল"",""""),IF(COUNTIF($B:$B,B4462)&gt;1,""ডুপ্লিকেট"",""""))"),"")</f>
        <v/>
      </c>
      <c r="Q4462" s="5" t="str">
        <f t="shared" si="1"/>
        <v>২ পরে</v>
      </c>
    </row>
    <row r="4463">
      <c r="A4463" s="4">
        <v>2285.0</v>
      </c>
      <c r="B4463" s="2" t="s">
        <v>18303</v>
      </c>
      <c r="C4463" s="2" t="s">
        <v>18303</v>
      </c>
      <c r="D4463" s="2" t="s">
        <v>18304</v>
      </c>
      <c r="E4463" s="2" t="s">
        <v>18305</v>
      </c>
      <c r="F4463" s="2" t="b">
        <v>1</v>
      </c>
      <c r="G4463" s="2" t="b">
        <v>0</v>
      </c>
      <c r="H4463" s="2" t="s">
        <v>37</v>
      </c>
      <c r="I4463" s="2" t="s">
        <v>32</v>
      </c>
      <c r="J4463" s="2" t="s">
        <v>18031</v>
      </c>
      <c r="K4463" s="2" t="s">
        <v>495</v>
      </c>
      <c r="L4463" s="13" t="s">
        <v>496</v>
      </c>
      <c r="M4463" s="2" t="s">
        <v>26</v>
      </c>
      <c r="N4463" s="29"/>
      <c r="O4463" s="29"/>
      <c r="P4463" s="5" t="str">
        <f>IFERROR(__xludf.DUMMYFUNCTION("TEXTJOIN("" | "",TRUE,IF(OR(D4463="""",E4463="""",I4463="""",J4463="""",H4463=""""),""ফাঁকা ঘর"",""""),IF(AND(C4463&lt;&gt;"""",D4463&lt;&gt;"""",C4463=D4463),""gloss=figurative"",""""),IF(LEN(D4463)&lt;15,""figurative ছোট"",""""),IF(AND(I4463=""Positive"",REGEXMATCH(H4"&amp;"463,""মূর্খ|ভণ্ড|প্রতার|অলস|লোভ|স্বার্থ|অক্ষম|অযোগ্য|বোকা|কৃপণ|হিংস"")),""valence-target অমিল"",""""),IF(COUNTIF($B:$B,B4463)&gt;1,""ডুপ্লিকেট"",""""))"),"")</f>
        <v/>
      </c>
      <c r="Q4463" s="5" t="str">
        <f t="shared" si="1"/>
        <v>২ পরে</v>
      </c>
    </row>
    <row r="4464">
      <c r="A4464" s="4">
        <v>2286.0</v>
      </c>
      <c r="B4464" s="2" t="s">
        <v>18306</v>
      </c>
      <c r="C4464" s="2" t="s">
        <v>18306</v>
      </c>
      <c r="D4464" s="2" t="s">
        <v>18307</v>
      </c>
      <c r="E4464" s="2" t="s">
        <v>18308</v>
      </c>
      <c r="F4464" s="2" t="b">
        <v>1</v>
      </c>
      <c r="G4464" s="2" t="b">
        <v>0</v>
      </c>
      <c r="H4464" s="2" t="s">
        <v>37</v>
      </c>
      <c r="I4464" s="2" t="s">
        <v>49</v>
      </c>
      <c r="J4464" s="2" t="s">
        <v>1060</v>
      </c>
      <c r="K4464" s="2" t="s">
        <v>495</v>
      </c>
      <c r="L4464" s="13" t="s">
        <v>496</v>
      </c>
      <c r="M4464" s="2" t="s">
        <v>26</v>
      </c>
      <c r="N4464" s="29"/>
      <c r="O4464" s="29"/>
      <c r="P4464" s="5" t="str">
        <f>IFERROR(__xludf.DUMMYFUNCTION("TEXTJOIN("" | "",TRUE,IF(OR(D4464="""",E4464="""",I4464="""",J4464="""",H4464=""""),""ফাঁকা ঘর"",""""),IF(AND(C4464&lt;&gt;"""",D4464&lt;&gt;"""",C4464=D4464),""gloss=figurative"",""""),IF(LEN(D4464)&lt;15,""figurative ছোট"",""""),IF(AND(I4464=""Positive"",REGEXMATCH(H4"&amp;"464,""মূর্খ|ভণ্ড|প্রতার|অলস|লোভ|স্বার্থ|অক্ষম|অযোগ্য|বোকা|কৃপণ|হিংস"")),""valence-target অমিল"",""""),IF(COUNTIF($B:$B,B4464)&gt;1,""ডুপ্লিকেট"",""""))"),"")</f>
        <v/>
      </c>
      <c r="Q4464" s="5" t="str">
        <f t="shared" si="1"/>
        <v>২ পরে</v>
      </c>
    </row>
    <row r="4465">
      <c r="A4465" s="4">
        <v>2287.0</v>
      </c>
      <c r="B4465" s="2" t="s">
        <v>18309</v>
      </c>
      <c r="C4465" s="2" t="s">
        <v>18309</v>
      </c>
      <c r="D4465" s="2" t="s">
        <v>18310</v>
      </c>
      <c r="E4465" s="2" t="s">
        <v>18311</v>
      </c>
      <c r="F4465" s="2" t="b">
        <v>1</v>
      </c>
      <c r="G4465" s="2" t="b">
        <v>0</v>
      </c>
      <c r="H4465" s="2" t="s">
        <v>37</v>
      </c>
      <c r="I4465" s="2" t="s">
        <v>49</v>
      </c>
      <c r="J4465" s="2" t="s">
        <v>1060</v>
      </c>
      <c r="K4465" s="2" t="s">
        <v>495</v>
      </c>
      <c r="L4465" s="13" t="s">
        <v>496</v>
      </c>
      <c r="M4465" s="2" t="s">
        <v>26</v>
      </c>
      <c r="N4465" s="29"/>
      <c r="O4465" s="29"/>
      <c r="P4465" s="5" t="str">
        <f>IFERROR(__xludf.DUMMYFUNCTION("TEXTJOIN("" | "",TRUE,IF(OR(D4465="""",E4465="""",I4465="""",J4465="""",H4465=""""),""ফাঁকা ঘর"",""""),IF(AND(C4465&lt;&gt;"""",D4465&lt;&gt;"""",C4465=D4465),""gloss=figurative"",""""),IF(LEN(D4465)&lt;15,""figurative ছোট"",""""),IF(AND(I4465=""Positive"",REGEXMATCH(H4"&amp;"465,""মূর্খ|ভণ্ড|প্রতার|অলস|লোভ|স্বার্থ|অক্ষম|অযোগ্য|বোকা|কৃপণ|হিংস"")),""valence-target অমিল"",""""),IF(COUNTIF($B:$B,B4465)&gt;1,""ডুপ্লিকেট"",""""))"),"")</f>
        <v/>
      </c>
      <c r="Q4465" s="5" t="str">
        <f t="shared" si="1"/>
        <v>২ পরে</v>
      </c>
    </row>
    <row r="4466">
      <c r="A4466" s="4">
        <v>2288.0</v>
      </c>
      <c r="B4466" s="2" t="s">
        <v>18312</v>
      </c>
      <c r="C4466" s="2" t="s">
        <v>18313</v>
      </c>
      <c r="D4466" s="2" t="s">
        <v>18314</v>
      </c>
      <c r="E4466" s="2" t="s">
        <v>18315</v>
      </c>
      <c r="F4466" s="2" t="b">
        <v>1</v>
      </c>
      <c r="G4466" s="2" t="b">
        <v>0</v>
      </c>
      <c r="H4466" s="2" t="s">
        <v>37</v>
      </c>
      <c r="I4466" s="2" t="s">
        <v>32</v>
      </c>
      <c r="J4466" s="2" t="s">
        <v>18316</v>
      </c>
      <c r="K4466" s="2" t="s">
        <v>495</v>
      </c>
      <c r="L4466" s="13" t="s">
        <v>496</v>
      </c>
      <c r="M4466" s="2" t="s">
        <v>26</v>
      </c>
      <c r="N4466" s="29"/>
      <c r="O4466" s="29"/>
      <c r="P4466" s="5" t="str">
        <f>IFERROR(__xludf.DUMMYFUNCTION("TEXTJOIN("" | "",TRUE,IF(OR(D4466="""",E4466="""",I4466="""",J4466="""",H4466=""""),""ফাঁকা ঘর"",""""),IF(AND(C4466&lt;&gt;"""",D4466&lt;&gt;"""",C4466=D4466),""gloss=figurative"",""""),IF(LEN(D4466)&lt;15,""figurative ছোট"",""""),IF(AND(I4466=""Positive"",REGEXMATCH(H4"&amp;"466,""মূর্খ|ভণ্ড|প্রতার|অলস|লোভ|স্বার্থ|অক্ষম|অযোগ্য|বোকা|কৃপণ|হিংস"")),""valence-target অমিল"",""""),IF(COUNTIF($B:$B,B4466)&gt;1,""ডুপ্লিকেট"",""""))"),"")</f>
        <v/>
      </c>
      <c r="Q4466" s="5" t="str">
        <f t="shared" si="1"/>
        <v>২ পরে</v>
      </c>
    </row>
    <row r="4467">
      <c r="A4467" s="4">
        <v>2289.0</v>
      </c>
      <c r="B4467" s="2" t="s">
        <v>18317</v>
      </c>
      <c r="C4467" s="2" t="s">
        <v>18318</v>
      </c>
      <c r="D4467" s="2" t="s">
        <v>18319</v>
      </c>
      <c r="E4467" s="2" t="s">
        <v>18320</v>
      </c>
      <c r="F4467" s="2" t="b">
        <v>1</v>
      </c>
      <c r="G4467" s="2" t="b">
        <v>0</v>
      </c>
      <c r="H4467" s="2" t="s">
        <v>18321</v>
      </c>
      <c r="I4467" s="2" t="s">
        <v>22</v>
      </c>
      <c r="J4467" s="2" t="s">
        <v>18322</v>
      </c>
      <c r="K4467" s="2" t="s">
        <v>495</v>
      </c>
      <c r="L4467" s="13" t="s">
        <v>496</v>
      </c>
      <c r="M4467" s="2" t="s">
        <v>26</v>
      </c>
      <c r="N4467" s="29"/>
      <c r="O4467" s="29"/>
      <c r="P4467" s="5" t="str">
        <f>IFERROR(__xludf.DUMMYFUNCTION("TEXTJOIN("" | "",TRUE,IF(OR(D4467="""",E4467="""",I4467="""",J4467="""",H4467=""""),""ফাঁকা ঘর"",""""),IF(AND(C4467&lt;&gt;"""",D4467&lt;&gt;"""",C4467=D4467),""gloss=figurative"",""""),IF(LEN(D4467)&lt;15,""figurative ছোট"",""""),IF(AND(I4467=""Positive"",REGEXMATCH(H4"&amp;"467,""মূর্খ|ভণ্ড|প্রতার|অলস|লোভ|স্বার্থ|অক্ষম|অযোগ্য|বোকা|কৃপণ|হিংস"")),""valence-target অমিল"",""""),IF(COUNTIF($B:$B,B4467)&gt;1,""ডুপ্লিকেট"",""""))"),"")</f>
        <v/>
      </c>
      <c r="Q4467" s="5" t="str">
        <f t="shared" si="1"/>
        <v>২ পরে</v>
      </c>
    </row>
    <row r="4468">
      <c r="A4468" s="4">
        <v>2290.0</v>
      </c>
      <c r="B4468" s="2" t="s">
        <v>18323</v>
      </c>
      <c r="C4468" s="2" t="s">
        <v>18323</v>
      </c>
      <c r="D4468" s="2" t="s">
        <v>18324</v>
      </c>
      <c r="E4468" s="2" t="s">
        <v>18325</v>
      </c>
      <c r="F4468" s="2" t="b">
        <v>1</v>
      </c>
      <c r="G4468" s="2" t="b">
        <v>0</v>
      </c>
      <c r="H4468" s="2" t="s">
        <v>37</v>
      </c>
      <c r="I4468" s="2" t="s">
        <v>49</v>
      </c>
      <c r="J4468" s="2" t="s">
        <v>3364</v>
      </c>
      <c r="K4468" s="2" t="s">
        <v>495</v>
      </c>
      <c r="L4468" s="13" t="s">
        <v>496</v>
      </c>
      <c r="M4468" s="2" t="s">
        <v>26</v>
      </c>
      <c r="N4468" s="29"/>
      <c r="O4468" s="29"/>
      <c r="P4468" s="5" t="str">
        <f>IFERROR(__xludf.DUMMYFUNCTION("TEXTJOIN("" | "",TRUE,IF(OR(D4468="""",E4468="""",I4468="""",J4468="""",H4468=""""),""ফাঁকা ঘর"",""""),IF(AND(C4468&lt;&gt;"""",D4468&lt;&gt;"""",C4468=D4468),""gloss=figurative"",""""),IF(LEN(D4468)&lt;15,""figurative ছোট"",""""),IF(AND(I4468=""Positive"",REGEXMATCH(H4"&amp;"468,""মূর্খ|ভণ্ড|প্রতার|অলস|লোভ|স্বার্থ|অক্ষম|অযোগ্য|বোকা|কৃপণ|হিংস"")),""valence-target অমিল"",""""),IF(COUNTIF($B:$B,B4468)&gt;1,""ডুপ্লিকেট"",""""))"),"")</f>
        <v/>
      </c>
      <c r="Q4468" s="5" t="str">
        <f t="shared" si="1"/>
        <v>২ পরে</v>
      </c>
    </row>
    <row r="4469">
      <c r="A4469" s="4">
        <v>2291.0</v>
      </c>
      <c r="B4469" s="2" t="s">
        <v>18326</v>
      </c>
      <c r="C4469" s="2" t="s">
        <v>18327</v>
      </c>
      <c r="D4469" s="2" t="s">
        <v>18328</v>
      </c>
      <c r="E4469" s="2" t="s">
        <v>18329</v>
      </c>
      <c r="F4469" s="2" t="b">
        <v>1</v>
      </c>
      <c r="G4469" s="2" t="b">
        <v>0</v>
      </c>
      <c r="H4469" s="2" t="s">
        <v>18330</v>
      </c>
      <c r="I4469" s="2" t="s">
        <v>22</v>
      </c>
      <c r="J4469" s="2" t="s">
        <v>447</v>
      </c>
      <c r="K4469" s="2" t="s">
        <v>495</v>
      </c>
      <c r="L4469" s="13" t="s">
        <v>496</v>
      </c>
      <c r="M4469" s="2" t="s">
        <v>26</v>
      </c>
      <c r="N4469" s="29"/>
      <c r="O4469" s="29"/>
      <c r="P4469" s="5" t="str">
        <f>IFERROR(__xludf.DUMMYFUNCTION("TEXTJOIN("" | "",TRUE,IF(OR(D4469="""",E4469="""",I4469="""",J4469="""",H4469=""""),""ফাঁকা ঘর"",""""),IF(AND(C4469&lt;&gt;"""",D4469&lt;&gt;"""",C4469=D4469),""gloss=figurative"",""""),IF(LEN(D4469)&lt;15,""figurative ছোট"",""""),IF(AND(I4469=""Positive"",REGEXMATCH(H4"&amp;"469,""মূর্খ|ভণ্ড|প্রতার|অলস|লোভ|স্বার্থ|অক্ষম|অযোগ্য|বোকা|কৃপণ|হিংস"")),""valence-target অমিল"",""""),IF(COUNTIF($B:$B,B4469)&gt;1,""ডুপ্লিকেট"",""""))"),"")</f>
        <v/>
      </c>
      <c r="Q4469" s="5" t="str">
        <f t="shared" si="1"/>
        <v>২ পরে</v>
      </c>
    </row>
    <row r="4470">
      <c r="A4470" s="4">
        <v>2292.0</v>
      </c>
      <c r="B4470" s="2" t="s">
        <v>18331</v>
      </c>
      <c r="C4470" s="2" t="s">
        <v>18331</v>
      </c>
      <c r="D4470" s="2" t="s">
        <v>18332</v>
      </c>
      <c r="E4470" s="2" t="s">
        <v>18333</v>
      </c>
      <c r="F4470" s="2" t="b">
        <v>1</v>
      </c>
      <c r="G4470" s="2" t="b">
        <v>0</v>
      </c>
      <c r="H4470" s="2" t="s">
        <v>18334</v>
      </c>
      <c r="I4470" s="2" t="s">
        <v>22</v>
      </c>
      <c r="J4470" s="2" t="s">
        <v>18335</v>
      </c>
      <c r="K4470" s="2" t="s">
        <v>495</v>
      </c>
      <c r="L4470" s="13" t="s">
        <v>496</v>
      </c>
      <c r="M4470" s="2" t="s">
        <v>26</v>
      </c>
      <c r="N4470" s="29"/>
      <c r="O4470" s="29"/>
      <c r="P4470" s="5" t="str">
        <f>IFERROR(__xludf.DUMMYFUNCTION("TEXTJOIN("" | "",TRUE,IF(OR(D4470="""",E4470="""",I4470="""",J4470="""",H4470=""""),""ফাঁকা ঘর"",""""),IF(AND(C4470&lt;&gt;"""",D4470&lt;&gt;"""",C4470=D4470),""gloss=figurative"",""""),IF(LEN(D4470)&lt;15,""figurative ছোট"",""""),IF(AND(I4470=""Positive"",REGEXMATCH(H4"&amp;"470,""মূর্খ|ভণ্ড|প্রতার|অলস|লোভ|স্বার্থ|অক্ষম|অযোগ্য|বোকা|কৃপণ|হিংস"")),""valence-target অমিল"",""""),IF(COUNTIF($B:$B,B4470)&gt;1,""ডুপ্লিকেট"",""""))"),"")</f>
        <v/>
      </c>
      <c r="Q4470" s="5" t="str">
        <f t="shared" si="1"/>
        <v>২ পরে</v>
      </c>
    </row>
    <row r="4471">
      <c r="A4471" s="4">
        <v>2294.0</v>
      </c>
      <c r="B4471" s="2" t="s">
        <v>18336</v>
      </c>
      <c r="C4471" s="2" t="s">
        <v>18336</v>
      </c>
      <c r="D4471" s="2" t="s">
        <v>18337</v>
      </c>
      <c r="E4471" s="2" t="s">
        <v>18338</v>
      </c>
      <c r="F4471" s="2" t="b">
        <v>1</v>
      </c>
      <c r="G4471" s="2" t="b">
        <v>0</v>
      </c>
      <c r="H4471" s="2" t="s">
        <v>37</v>
      </c>
      <c r="I4471" s="2" t="s">
        <v>49</v>
      </c>
      <c r="J4471" s="2" t="s">
        <v>18339</v>
      </c>
      <c r="K4471" s="2" t="s">
        <v>495</v>
      </c>
      <c r="L4471" s="13" t="s">
        <v>496</v>
      </c>
      <c r="M4471" s="2" t="s">
        <v>26</v>
      </c>
      <c r="N4471" s="29"/>
      <c r="O4471" s="29"/>
      <c r="P4471" s="5" t="str">
        <f>IFERROR(__xludf.DUMMYFUNCTION("TEXTJOIN("" | "",TRUE,IF(OR(D4471="""",E4471="""",I4471="""",J4471="""",H4471=""""),""ফাঁকা ঘর"",""""),IF(AND(C4471&lt;&gt;"""",D4471&lt;&gt;"""",C4471=D4471),""gloss=figurative"",""""),IF(LEN(D4471)&lt;15,""figurative ছোট"",""""),IF(AND(I4471=""Positive"",REGEXMATCH(H4"&amp;"471,""মূর্খ|ভণ্ড|প্রতার|অলস|লোভ|স্বার্থ|অক্ষম|অযোগ্য|বোকা|কৃপণ|হিংস"")),""valence-target অমিল"",""""),IF(COUNTIF($B:$B,B4471)&gt;1,""ডুপ্লিকেট"",""""))"),"")</f>
        <v/>
      </c>
      <c r="Q4471" s="5" t="str">
        <f t="shared" si="1"/>
        <v>২ পরে</v>
      </c>
    </row>
    <row r="4472">
      <c r="A4472" s="4">
        <v>2295.0</v>
      </c>
      <c r="B4472" s="2" t="s">
        <v>18340</v>
      </c>
      <c r="C4472" s="2" t="s">
        <v>18341</v>
      </c>
      <c r="D4472" s="2" t="s">
        <v>18342</v>
      </c>
      <c r="E4472" s="2" t="s">
        <v>18343</v>
      </c>
      <c r="F4472" s="2" t="b">
        <v>1</v>
      </c>
      <c r="G4472" s="2" t="b">
        <v>0</v>
      </c>
      <c r="H4472" s="2" t="s">
        <v>37</v>
      </c>
      <c r="I4472" s="2" t="s">
        <v>22</v>
      </c>
      <c r="J4472" s="2" t="s">
        <v>3585</v>
      </c>
      <c r="K4472" s="2" t="s">
        <v>495</v>
      </c>
      <c r="L4472" s="13" t="s">
        <v>496</v>
      </c>
      <c r="M4472" s="2" t="s">
        <v>26</v>
      </c>
      <c r="N4472" s="29"/>
      <c r="O4472" s="29"/>
      <c r="P4472" s="5" t="str">
        <f>IFERROR(__xludf.DUMMYFUNCTION("TEXTJOIN("" | "",TRUE,IF(OR(D4472="""",E4472="""",I4472="""",J4472="""",H4472=""""),""ফাঁকা ঘর"",""""),IF(AND(C4472&lt;&gt;"""",D4472&lt;&gt;"""",C4472=D4472),""gloss=figurative"",""""),IF(LEN(D4472)&lt;15,""figurative ছোট"",""""),IF(AND(I4472=""Positive"",REGEXMATCH(H4"&amp;"472,""মূর্খ|ভণ্ড|প্রতার|অলস|লোভ|স্বার্থ|অক্ষম|অযোগ্য|বোকা|কৃপণ|হিংস"")),""valence-target অমিল"",""""),IF(COUNTIF($B:$B,B4472)&gt;1,""ডুপ্লিকেট"",""""))"),"")</f>
        <v/>
      </c>
      <c r="Q4472" s="5" t="str">
        <f t="shared" si="1"/>
        <v>২ পরে</v>
      </c>
    </row>
    <row r="4473">
      <c r="A4473" s="4">
        <v>2296.0</v>
      </c>
      <c r="B4473" s="2" t="s">
        <v>18344</v>
      </c>
      <c r="C4473" s="2" t="s">
        <v>18345</v>
      </c>
      <c r="D4473" s="2" t="s">
        <v>18346</v>
      </c>
      <c r="E4473" s="2" t="s">
        <v>18347</v>
      </c>
      <c r="F4473" s="2" t="b">
        <v>1</v>
      </c>
      <c r="G4473" s="2" t="b">
        <v>0</v>
      </c>
      <c r="H4473" s="2" t="s">
        <v>37</v>
      </c>
      <c r="I4473" s="2" t="s">
        <v>22</v>
      </c>
      <c r="J4473" s="2" t="s">
        <v>8515</v>
      </c>
      <c r="K4473" s="2" t="s">
        <v>495</v>
      </c>
      <c r="L4473" s="13" t="s">
        <v>496</v>
      </c>
      <c r="M4473" s="2" t="s">
        <v>26</v>
      </c>
      <c r="N4473" s="29"/>
      <c r="O4473" s="29"/>
      <c r="P4473" s="5" t="str">
        <f>IFERROR(__xludf.DUMMYFUNCTION("TEXTJOIN("" | "",TRUE,IF(OR(D4473="""",E4473="""",I4473="""",J4473="""",H4473=""""),""ফাঁকা ঘর"",""""),IF(AND(C4473&lt;&gt;"""",D4473&lt;&gt;"""",C4473=D4473),""gloss=figurative"",""""),IF(LEN(D4473)&lt;15,""figurative ছোট"",""""),IF(AND(I4473=""Positive"",REGEXMATCH(H4"&amp;"473,""মূর্খ|ভণ্ড|প্রতার|অলস|লোভ|স্বার্থ|অক্ষম|অযোগ্য|বোকা|কৃপণ|হিংস"")),""valence-target অমিল"",""""),IF(COUNTIF($B:$B,B4473)&gt;1,""ডুপ্লিকেট"",""""))"),"")</f>
        <v/>
      </c>
      <c r="Q4473" s="5" t="str">
        <f t="shared" si="1"/>
        <v>২ পরে</v>
      </c>
    </row>
    <row r="4474">
      <c r="A4474" s="4">
        <v>2297.0</v>
      </c>
      <c r="B4474" s="2" t="s">
        <v>18348</v>
      </c>
      <c r="C4474" s="2" t="s">
        <v>18349</v>
      </c>
      <c r="D4474" s="2" t="s">
        <v>18350</v>
      </c>
      <c r="E4474" s="2" t="s">
        <v>18351</v>
      </c>
      <c r="F4474" s="2" t="b">
        <v>1</v>
      </c>
      <c r="G4474" s="2" t="b">
        <v>0</v>
      </c>
      <c r="H4474" s="2" t="s">
        <v>18249</v>
      </c>
      <c r="I4474" s="2" t="s">
        <v>32</v>
      </c>
      <c r="J4474" s="2" t="s">
        <v>447</v>
      </c>
      <c r="K4474" s="2" t="s">
        <v>495</v>
      </c>
      <c r="L4474" s="13" t="s">
        <v>496</v>
      </c>
      <c r="M4474" s="2" t="s">
        <v>26</v>
      </c>
      <c r="N4474" s="29"/>
      <c r="O4474" s="29"/>
      <c r="P4474" s="5" t="str">
        <f>IFERROR(__xludf.DUMMYFUNCTION("TEXTJOIN("" | "",TRUE,IF(OR(D4474="""",E4474="""",I4474="""",J4474="""",H4474=""""),""ফাঁকা ঘর"",""""),IF(AND(C4474&lt;&gt;"""",D4474&lt;&gt;"""",C4474=D4474),""gloss=figurative"",""""),IF(LEN(D4474)&lt;15,""figurative ছোট"",""""),IF(AND(I4474=""Positive"",REGEXMATCH(H4"&amp;"474,""মূর্খ|ভণ্ড|প্রতার|অলস|লোভ|স্বার্থ|অক্ষম|অযোগ্য|বোকা|কৃপণ|হিংস"")),""valence-target অমিল"",""""),IF(COUNTIF($B:$B,B4474)&gt;1,""ডুপ্লিকেট"",""""))"),"")</f>
        <v/>
      </c>
      <c r="Q4474" s="5" t="str">
        <f t="shared" si="1"/>
        <v>২ পরে</v>
      </c>
    </row>
    <row r="4475">
      <c r="A4475" s="4">
        <v>2298.0</v>
      </c>
      <c r="B4475" s="2" t="s">
        <v>18352</v>
      </c>
      <c r="C4475" s="2" t="s">
        <v>18353</v>
      </c>
      <c r="D4475" s="2" t="s">
        <v>18354</v>
      </c>
      <c r="E4475" s="2" t="s">
        <v>18355</v>
      </c>
      <c r="F4475" s="2" t="b">
        <v>1</v>
      </c>
      <c r="G4475" s="2" t="b">
        <v>0</v>
      </c>
      <c r="H4475" s="2" t="s">
        <v>18356</v>
      </c>
      <c r="I4475" s="2" t="s">
        <v>22</v>
      </c>
      <c r="J4475" s="2" t="s">
        <v>10356</v>
      </c>
      <c r="K4475" s="2" t="s">
        <v>495</v>
      </c>
      <c r="L4475" s="13" t="s">
        <v>496</v>
      </c>
      <c r="M4475" s="2" t="s">
        <v>26</v>
      </c>
      <c r="N4475" s="29"/>
      <c r="O4475" s="29"/>
      <c r="P4475" s="5" t="str">
        <f>IFERROR(__xludf.DUMMYFUNCTION("TEXTJOIN("" | "",TRUE,IF(OR(D4475="""",E4475="""",I4475="""",J4475="""",H4475=""""),""ফাঁকা ঘর"",""""),IF(AND(C4475&lt;&gt;"""",D4475&lt;&gt;"""",C4475=D4475),""gloss=figurative"",""""),IF(LEN(D4475)&lt;15,""figurative ছোট"",""""),IF(AND(I4475=""Positive"",REGEXMATCH(H4"&amp;"475,""মূর্খ|ভণ্ড|প্রতার|অলস|লোভ|স্বার্থ|অক্ষম|অযোগ্য|বোকা|কৃপণ|হিংস"")),""valence-target অমিল"",""""),IF(COUNTIF($B:$B,B4475)&gt;1,""ডুপ্লিকেট"",""""))"),"")</f>
        <v/>
      </c>
      <c r="Q4475" s="5" t="str">
        <f t="shared" si="1"/>
        <v>২ পরে</v>
      </c>
    </row>
    <row r="4476">
      <c r="A4476" s="4">
        <v>2299.0</v>
      </c>
      <c r="B4476" s="2" t="s">
        <v>18357</v>
      </c>
      <c r="C4476" s="2" t="s">
        <v>18357</v>
      </c>
      <c r="D4476" s="2" t="s">
        <v>18358</v>
      </c>
      <c r="E4476" s="2" t="s">
        <v>18359</v>
      </c>
      <c r="F4476" s="2" t="b">
        <v>1</v>
      </c>
      <c r="G4476" s="2" t="b">
        <v>0</v>
      </c>
      <c r="H4476" s="2" t="s">
        <v>18360</v>
      </c>
      <c r="I4476" s="2" t="s">
        <v>32</v>
      </c>
      <c r="J4476" s="2" t="s">
        <v>10356</v>
      </c>
      <c r="K4476" s="2" t="s">
        <v>495</v>
      </c>
      <c r="L4476" s="13" t="s">
        <v>496</v>
      </c>
      <c r="M4476" s="2" t="s">
        <v>26</v>
      </c>
      <c r="N4476" s="29"/>
      <c r="O4476" s="29"/>
      <c r="P4476" s="5" t="str">
        <f>IFERROR(__xludf.DUMMYFUNCTION("TEXTJOIN("" | "",TRUE,IF(OR(D4476="""",E4476="""",I4476="""",J4476="""",H4476=""""),""ফাঁকা ঘর"",""""),IF(AND(C4476&lt;&gt;"""",D4476&lt;&gt;"""",C4476=D4476),""gloss=figurative"",""""),IF(LEN(D4476)&lt;15,""figurative ছোট"",""""),IF(AND(I4476=""Positive"",REGEXMATCH(H4"&amp;"476,""মূর্খ|ভণ্ড|প্রতার|অলস|লোভ|স্বার্থ|অক্ষম|অযোগ্য|বোকা|কৃপণ|হিংস"")),""valence-target অমিল"",""""),IF(COUNTIF($B:$B,B4476)&gt;1,""ডুপ্লিকেট"",""""))"),"")</f>
        <v/>
      </c>
      <c r="Q4476" s="5" t="str">
        <f t="shared" si="1"/>
        <v>২ পরে</v>
      </c>
    </row>
    <row r="4477">
      <c r="A4477" s="4">
        <v>2300.0</v>
      </c>
      <c r="B4477" s="2" t="s">
        <v>18361</v>
      </c>
      <c r="C4477" s="2" t="s">
        <v>18362</v>
      </c>
      <c r="D4477" s="2" t="s">
        <v>18363</v>
      </c>
      <c r="E4477" s="2" t="s">
        <v>18364</v>
      </c>
      <c r="F4477" s="2" t="b">
        <v>1</v>
      </c>
      <c r="G4477" s="2" t="b">
        <v>0</v>
      </c>
      <c r="H4477" s="2" t="s">
        <v>37</v>
      </c>
      <c r="I4477" s="2" t="s">
        <v>22</v>
      </c>
      <c r="J4477" s="2" t="s">
        <v>176</v>
      </c>
      <c r="K4477" s="2" t="s">
        <v>495</v>
      </c>
      <c r="L4477" s="13" t="s">
        <v>496</v>
      </c>
      <c r="M4477" s="2" t="s">
        <v>26</v>
      </c>
      <c r="N4477" s="29"/>
      <c r="O4477" s="29"/>
      <c r="P4477" s="5" t="str">
        <f>IFERROR(__xludf.DUMMYFUNCTION("TEXTJOIN("" | "",TRUE,IF(OR(D4477="""",E4477="""",I4477="""",J4477="""",H4477=""""),""ফাঁকা ঘর"",""""),IF(AND(C4477&lt;&gt;"""",D4477&lt;&gt;"""",C4477=D4477),""gloss=figurative"",""""),IF(LEN(D4477)&lt;15,""figurative ছোট"",""""),IF(AND(I4477=""Positive"",REGEXMATCH(H4"&amp;"477,""মূর্খ|ভণ্ড|প্রতার|অলস|লোভ|স্বার্থ|অক্ষম|অযোগ্য|বোকা|কৃপণ|হিংস"")),""valence-target অমিল"",""""),IF(COUNTIF($B:$B,B4477)&gt;1,""ডুপ্লিকেট"",""""))"),"")</f>
        <v/>
      </c>
      <c r="Q4477" s="5" t="str">
        <f t="shared" si="1"/>
        <v>২ পরে</v>
      </c>
    </row>
    <row r="4478">
      <c r="A4478" s="4">
        <v>2302.0</v>
      </c>
      <c r="B4478" s="2" t="s">
        <v>18365</v>
      </c>
      <c r="C4478" s="2" t="s">
        <v>18366</v>
      </c>
      <c r="D4478" s="2" t="s">
        <v>18367</v>
      </c>
      <c r="E4478" s="2" t="s">
        <v>18368</v>
      </c>
      <c r="F4478" s="2" t="b">
        <v>1</v>
      </c>
      <c r="G4478" s="2" t="b">
        <v>0</v>
      </c>
      <c r="H4478" s="2" t="s">
        <v>18369</v>
      </c>
      <c r="I4478" s="2" t="s">
        <v>22</v>
      </c>
      <c r="J4478" s="2" t="s">
        <v>43</v>
      </c>
      <c r="K4478" s="2" t="s">
        <v>495</v>
      </c>
      <c r="L4478" s="13" t="s">
        <v>496</v>
      </c>
      <c r="M4478" s="2" t="s">
        <v>26</v>
      </c>
      <c r="N4478" s="29"/>
      <c r="O4478" s="29"/>
      <c r="P4478" s="5" t="str">
        <f>IFERROR(__xludf.DUMMYFUNCTION("TEXTJOIN("" | "",TRUE,IF(OR(D4478="""",E4478="""",I4478="""",J4478="""",H4478=""""),""ফাঁকা ঘর"",""""),IF(AND(C4478&lt;&gt;"""",D4478&lt;&gt;"""",C4478=D4478),""gloss=figurative"",""""),IF(LEN(D4478)&lt;15,""figurative ছোট"",""""),IF(AND(I4478=""Positive"",REGEXMATCH(H4"&amp;"478,""মূর্খ|ভণ্ড|প্রতার|অলস|লোভ|স্বার্থ|অক্ষম|অযোগ্য|বোকা|কৃপণ|হিংস"")),""valence-target অমিল"",""""),IF(COUNTIF($B:$B,B4478)&gt;1,""ডুপ্লিকেট"",""""))"),"")</f>
        <v/>
      </c>
      <c r="Q4478" s="5" t="str">
        <f t="shared" si="1"/>
        <v>২ পরে</v>
      </c>
    </row>
    <row r="4479">
      <c r="A4479" s="4">
        <v>2303.0</v>
      </c>
      <c r="B4479" s="2" t="s">
        <v>18370</v>
      </c>
      <c r="C4479" s="2" t="s">
        <v>18371</v>
      </c>
      <c r="D4479" s="2" t="s">
        <v>18372</v>
      </c>
      <c r="E4479" s="2" t="s">
        <v>18373</v>
      </c>
      <c r="F4479" s="2" t="b">
        <v>1</v>
      </c>
      <c r="G4479" s="2" t="b">
        <v>0</v>
      </c>
      <c r="H4479" s="2" t="s">
        <v>3306</v>
      </c>
      <c r="I4479" s="2" t="s">
        <v>22</v>
      </c>
      <c r="J4479" s="2" t="s">
        <v>669</v>
      </c>
      <c r="K4479" s="2" t="s">
        <v>495</v>
      </c>
      <c r="L4479" s="13" t="s">
        <v>496</v>
      </c>
      <c r="M4479" s="2" t="s">
        <v>26</v>
      </c>
      <c r="N4479" s="29"/>
      <c r="O4479" s="29"/>
      <c r="P4479" s="5" t="str">
        <f>IFERROR(__xludf.DUMMYFUNCTION("TEXTJOIN("" | "",TRUE,IF(OR(D4479="""",E4479="""",I4479="""",J4479="""",H4479=""""),""ফাঁকা ঘর"",""""),IF(AND(C4479&lt;&gt;"""",D4479&lt;&gt;"""",C4479=D4479),""gloss=figurative"",""""),IF(LEN(D4479)&lt;15,""figurative ছোট"",""""),IF(AND(I4479=""Positive"",REGEXMATCH(H4"&amp;"479,""মূর্খ|ভণ্ড|প্রতার|অলস|লোভ|স্বার্থ|অক্ষম|অযোগ্য|বোকা|কৃপণ|হিংস"")),""valence-target অমিল"",""""),IF(COUNTIF($B:$B,B4479)&gt;1,""ডুপ্লিকেট"",""""))"),"")</f>
        <v/>
      </c>
      <c r="Q4479" s="5" t="str">
        <f t="shared" si="1"/>
        <v>২ পরে</v>
      </c>
    </row>
    <row r="4480">
      <c r="A4480" s="4">
        <v>2304.0</v>
      </c>
      <c r="B4480" s="2" t="s">
        <v>18374</v>
      </c>
      <c r="C4480" s="2" t="s">
        <v>18375</v>
      </c>
      <c r="D4480" s="2" t="s">
        <v>18376</v>
      </c>
      <c r="E4480" s="2" t="s">
        <v>18377</v>
      </c>
      <c r="F4480" s="2" t="b">
        <v>1</v>
      </c>
      <c r="G4480" s="2" t="b">
        <v>0</v>
      </c>
      <c r="H4480" s="2" t="s">
        <v>18378</v>
      </c>
      <c r="I4480" s="2" t="s">
        <v>22</v>
      </c>
      <c r="J4480" s="2" t="s">
        <v>1239</v>
      </c>
      <c r="K4480" s="2" t="s">
        <v>495</v>
      </c>
      <c r="L4480" s="13" t="s">
        <v>496</v>
      </c>
      <c r="M4480" s="2" t="s">
        <v>26</v>
      </c>
      <c r="N4480" s="29"/>
      <c r="O4480" s="29"/>
      <c r="P4480" s="5" t="str">
        <f>IFERROR(__xludf.DUMMYFUNCTION("TEXTJOIN("" | "",TRUE,IF(OR(D4480="""",E4480="""",I4480="""",J4480="""",H4480=""""),""ফাঁকা ঘর"",""""),IF(AND(C4480&lt;&gt;"""",D4480&lt;&gt;"""",C4480=D4480),""gloss=figurative"",""""),IF(LEN(D4480)&lt;15,""figurative ছোট"",""""),IF(AND(I4480=""Positive"",REGEXMATCH(H4"&amp;"480,""মূর্খ|ভণ্ড|প্রতার|অলস|লোভ|স্বার্থ|অক্ষম|অযোগ্য|বোকা|কৃপণ|হিংস"")),""valence-target অমিল"",""""),IF(COUNTIF($B:$B,B4480)&gt;1,""ডুপ্লিকেট"",""""))"),"")</f>
        <v/>
      </c>
      <c r="Q4480" s="5" t="str">
        <f t="shared" si="1"/>
        <v>২ পরে</v>
      </c>
    </row>
    <row r="4481">
      <c r="A4481" s="4">
        <v>2305.0</v>
      </c>
      <c r="B4481" s="2" t="s">
        <v>18379</v>
      </c>
      <c r="C4481" s="2" t="s">
        <v>18379</v>
      </c>
      <c r="D4481" s="2" t="s">
        <v>18380</v>
      </c>
      <c r="E4481" s="2" t="s">
        <v>18381</v>
      </c>
      <c r="F4481" s="2" t="b">
        <v>1</v>
      </c>
      <c r="G4481" s="2" t="b">
        <v>0</v>
      </c>
      <c r="H4481" s="2" t="s">
        <v>37</v>
      </c>
      <c r="I4481" s="2" t="s">
        <v>22</v>
      </c>
      <c r="J4481" s="2" t="s">
        <v>17749</v>
      </c>
      <c r="K4481" s="2" t="s">
        <v>495</v>
      </c>
      <c r="L4481" s="13" t="s">
        <v>496</v>
      </c>
      <c r="M4481" s="2" t="s">
        <v>26</v>
      </c>
      <c r="N4481" s="29"/>
      <c r="O4481" s="29"/>
      <c r="P4481" s="5" t="str">
        <f>IFERROR(__xludf.DUMMYFUNCTION("TEXTJOIN("" | "",TRUE,IF(OR(D4481="""",E4481="""",I4481="""",J4481="""",H4481=""""),""ফাঁকা ঘর"",""""),IF(AND(C4481&lt;&gt;"""",D4481&lt;&gt;"""",C4481=D4481),""gloss=figurative"",""""),IF(LEN(D4481)&lt;15,""figurative ছোট"",""""),IF(AND(I4481=""Positive"",REGEXMATCH(H4"&amp;"481,""মূর্খ|ভণ্ড|প্রতার|অলস|লোভ|স্বার্থ|অক্ষম|অযোগ্য|বোকা|কৃপণ|হিংস"")),""valence-target অমিল"",""""),IF(COUNTIF($B:$B,B4481)&gt;1,""ডুপ্লিকেট"",""""))"),"")</f>
        <v/>
      </c>
      <c r="Q4481" s="5" t="str">
        <f t="shared" si="1"/>
        <v>২ পরে</v>
      </c>
    </row>
    <row r="4482">
      <c r="A4482" s="4">
        <v>2306.0</v>
      </c>
      <c r="B4482" s="2" t="s">
        <v>18382</v>
      </c>
      <c r="C4482" s="2" t="s">
        <v>18382</v>
      </c>
      <c r="D4482" s="2" t="s">
        <v>18383</v>
      </c>
      <c r="E4482" s="2" t="s">
        <v>18384</v>
      </c>
      <c r="F4482" s="2" t="b">
        <v>1</v>
      </c>
      <c r="G4482" s="2" t="b">
        <v>0</v>
      </c>
      <c r="H4482" s="2" t="s">
        <v>37</v>
      </c>
      <c r="I4482" s="2" t="s">
        <v>49</v>
      </c>
      <c r="J4482" s="2" t="s">
        <v>340</v>
      </c>
      <c r="K4482" s="2" t="s">
        <v>495</v>
      </c>
      <c r="L4482" s="13" t="s">
        <v>496</v>
      </c>
      <c r="M4482" s="2" t="s">
        <v>26</v>
      </c>
      <c r="N4482" s="29"/>
      <c r="O4482" s="29"/>
      <c r="P4482" s="5" t="str">
        <f>IFERROR(__xludf.DUMMYFUNCTION("TEXTJOIN("" | "",TRUE,IF(OR(D4482="""",E4482="""",I4482="""",J4482="""",H4482=""""),""ফাঁকা ঘর"",""""),IF(AND(C4482&lt;&gt;"""",D4482&lt;&gt;"""",C4482=D4482),""gloss=figurative"",""""),IF(LEN(D4482)&lt;15,""figurative ছোট"",""""),IF(AND(I4482=""Positive"",REGEXMATCH(H4"&amp;"482,""মূর্খ|ভণ্ড|প্রতার|অলস|লোভ|স্বার্থ|অক্ষম|অযোগ্য|বোকা|কৃপণ|হিংস"")),""valence-target অমিল"",""""),IF(COUNTIF($B:$B,B4482)&gt;1,""ডুপ্লিকেট"",""""))"),"")</f>
        <v/>
      </c>
      <c r="Q4482" s="5" t="str">
        <f t="shared" si="1"/>
        <v>২ পরে</v>
      </c>
    </row>
    <row r="4483">
      <c r="A4483" s="4">
        <v>2307.0</v>
      </c>
      <c r="B4483" s="2" t="s">
        <v>18385</v>
      </c>
      <c r="C4483" s="2" t="s">
        <v>18386</v>
      </c>
      <c r="D4483" s="2" t="s">
        <v>18387</v>
      </c>
      <c r="E4483" s="2" t="s">
        <v>18388</v>
      </c>
      <c r="F4483" s="2" t="b">
        <v>1</v>
      </c>
      <c r="G4483" s="2" t="b">
        <v>0</v>
      </c>
      <c r="H4483" s="2" t="s">
        <v>37</v>
      </c>
      <c r="I4483" s="2" t="s">
        <v>22</v>
      </c>
      <c r="J4483" s="2" t="s">
        <v>8648</v>
      </c>
      <c r="K4483" s="2" t="s">
        <v>495</v>
      </c>
      <c r="L4483" s="13" t="s">
        <v>496</v>
      </c>
      <c r="M4483" s="2" t="s">
        <v>26</v>
      </c>
      <c r="N4483" s="29"/>
      <c r="O4483" s="29"/>
      <c r="P4483" s="5" t="str">
        <f>IFERROR(__xludf.DUMMYFUNCTION("TEXTJOIN("" | "",TRUE,IF(OR(D4483="""",E4483="""",I4483="""",J4483="""",H4483=""""),""ফাঁকা ঘর"",""""),IF(AND(C4483&lt;&gt;"""",D4483&lt;&gt;"""",C4483=D4483),""gloss=figurative"",""""),IF(LEN(D4483)&lt;15,""figurative ছোট"",""""),IF(AND(I4483=""Positive"",REGEXMATCH(H4"&amp;"483,""মূর্খ|ভণ্ড|প্রতার|অলস|লোভ|স্বার্থ|অক্ষম|অযোগ্য|বোকা|কৃপণ|হিংস"")),""valence-target অমিল"",""""),IF(COUNTIF($B:$B,B4483)&gt;1,""ডুপ্লিকেট"",""""))"),"")</f>
        <v/>
      </c>
      <c r="Q4483" s="5" t="str">
        <f t="shared" si="1"/>
        <v>২ পরে</v>
      </c>
    </row>
    <row r="4484">
      <c r="A4484" s="4">
        <v>2308.0</v>
      </c>
      <c r="B4484" s="2" t="s">
        <v>18389</v>
      </c>
      <c r="C4484" s="2" t="s">
        <v>18386</v>
      </c>
      <c r="D4484" s="2" t="s">
        <v>18390</v>
      </c>
      <c r="E4484" s="2" t="s">
        <v>18391</v>
      </c>
      <c r="F4484" s="2" t="b">
        <v>1</v>
      </c>
      <c r="G4484" s="2" t="b">
        <v>0</v>
      </c>
      <c r="H4484" s="2" t="s">
        <v>37</v>
      </c>
      <c r="I4484" s="2" t="s">
        <v>22</v>
      </c>
      <c r="J4484" s="2" t="s">
        <v>8648</v>
      </c>
      <c r="K4484" s="2" t="s">
        <v>495</v>
      </c>
      <c r="L4484" s="13" t="s">
        <v>496</v>
      </c>
      <c r="M4484" s="2" t="s">
        <v>26</v>
      </c>
      <c r="N4484" s="29"/>
      <c r="O4484" s="29"/>
      <c r="P4484" s="5" t="str">
        <f>IFERROR(__xludf.DUMMYFUNCTION("TEXTJOIN("" | "",TRUE,IF(OR(D4484="""",E4484="""",I4484="""",J4484="""",H4484=""""),""ফাঁকা ঘর"",""""),IF(AND(C4484&lt;&gt;"""",D4484&lt;&gt;"""",C4484=D4484),""gloss=figurative"",""""),IF(LEN(D4484)&lt;15,""figurative ছোট"",""""),IF(AND(I4484=""Positive"",REGEXMATCH(H4"&amp;"484,""মূর্খ|ভণ্ড|প্রতার|অলস|লোভ|স্বার্থ|অক্ষম|অযোগ্য|বোকা|কৃপণ|হিংস"")),""valence-target অমিল"",""""),IF(COUNTIF($B:$B,B4484)&gt;1,""ডুপ্লিকেট"",""""))"),"")</f>
        <v/>
      </c>
      <c r="Q4484" s="5" t="str">
        <f t="shared" si="1"/>
        <v>২ পরে</v>
      </c>
    </row>
    <row r="4485">
      <c r="A4485" s="4">
        <v>2309.0</v>
      </c>
      <c r="B4485" s="2" t="s">
        <v>18392</v>
      </c>
      <c r="C4485" s="2" t="s">
        <v>18393</v>
      </c>
      <c r="D4485" s="2" t="s">
        <v>18394</v>
      </c>
      <c r="E4485" s="2" t="s">
        <v>18395</v>
      </c>
      <c r="F4485" s="2" t="b">
        <v>1</v>
      </c>
      <c r="G4485" s="2" t="b">
        <v>0</v>
      </c>
      <c r="H4485" s="2" t="s">
        <v>18396</v>
      </c>
      <c r="I4485" s="2" t="s">
        <v>22</v>
      </c>
      <c r="J4485" s="2" t="s">
        <v>447</v>
      </c>
      <c r="K4485" s="2" t="s">
        <v>495</v>
      </c>
      <c r="L4485" s="13" t="s">
        <v>496</v>
      </c>
      <c r="M4485" s="2" t="s">
        <v>26</v>
      </c>
      <c r="N4485" s="29"/>
      <c r="O4485" s="29"/>
      <c r="P4485" s="5" t="str">
        <f>IFERROR(__xludf.DUMMYFUNCTION("TEXTJOIN("" | "",TRUE,IF(OR(D4485="""",E4485="""",I4485="""",J4485="""",H4485=""""),""ফাঁকা ঘর"",""""),IF(AND(C4485&lt;&gt;"""",D4485&lt;&gt;"""",C4485=D4485),""gloss=figurative"",""""),IF(LEN(D4485)&lt;15,""figurative ছোট"",""""),IF(AND(I4485=""Positive"",REGEXMATCH(H4"&amp;"485,""মূর্খ|ভণ্ড|প্রতার|অলস|লোভ|স্বার্থ|অক্ষম|অযোগ্য|বোকা|কৃপণ|হিংস"")),""valence-target অমিল"",""""),IF(COUNTIF($B:$B,B4485)&gt;1,""ডুপ্লিকেট"",""""))"),"")</f>
        <v/>
      </c>
      <c r="Q4485" s="5" t="str">
        <f t="shared" si="1"/>
        <v>২ পরে</v>
      </c>
    </row>
    <row r="4486">
      <c r="A4486" s="4">
        <v>2310.0</v>
      </c>
      <c r="B4486" s="2" t="s">
        <v>18397</v>
      </c>
      <c r="C4486" s="2" t="s">
        <v>18398</v>
      </c>
      <c r="D4486" s="2" t="s">
        <v>18399</v>
      </c>
      <c r="E4486" s="2" t="s">
        <v>18400</v>
      </c>
      <c r="F4486" s="2" t="b">
        <v>1</v>
      </c>
      <c r="G4486" s="2" t="b">
        <v>0</v>
      </c>
      <c r="H4486" s="2" t="s">
        <v>37</v>
      </c>
      <c r="I4486" s="2" t="s">
        <v>49</v>
      </c>
      <c r="J4486" s="2" t="s">
        <v>18401</v>
      </c>
      <c r="K4486" s="2" t="s">
        <v>376</v>
      </c>
      <c r="L4486" s="2" t="s">
        <v>391</v>
      </c>
      <c r="M4486" s="2" t="s">
        <v>26</v>
      </c>
      <c r="N4486" s="29"/>
      <c r="O4486" s="29"/>
      <c r="P4486" s="5" t="str">
        <f>IFERROR(__xludf.DUMMYFUNCTION("TEXTJOIN("" | "",TRUE,IF(OR(D4486="""",E4486="""",I4486="""",J4486="""",H4486=""""),""ফাঁকা ঘর"",""""),IF(AND(C4486&lt;&gt;"""",D4486&lt;&gt;"""",C4486=D4486),""gloss=figurative"",""""),IF(LEN(D4486)&lt;15,""figurative ছোট"",""""),IF(AND(I4486=""Positive"",REGEXMATCH(H4"&amp;"486,""মূর্খ|ভণ্ড|প্রতার|অলস|লোভ|স্বার্থ|অক্ষম|অযোগ্য|বোকা|কৃপণ|হিংস"")),""valence-target অমিল"",""""),IF(COUNTIF($B:$B,B4486)&gt;1,""ডুপ্লিকেট"",""""))"),"")</f>
        <v/>
      </c>
      <c r="Q4486" s="5" t="str">
        <f t="shared" si="1"/>
        <v>২ পরে</v>
      </c>
    </row>
    <row r="4487">
      <c r="A4487" s="4">
        <v>2311.0</v>
      </c>
      <c r="B4487" s="2" t="s">
        <v>18402</v>
      </c>
      <c r="C4487" s="2" t="s">
        <v>18403</v>
      </c>
      <c r="D4487" s="2" t="s">
        <v>18404</v>
      </c>
      <c r="E4487" s="2" t="s">
        <v>18405</v>
      </c>
      <c r="F4487" s="2" t="b">
        <v>1</v>
      </c>
      <c r="G4487" s="2" t="b">
        <v>0</v>
      </c>
      <c r="H4487" s="2" t="s">
        <v>37</v>
      </c>
      <c r="I4487" s="2" t="s">
        <v>49</v>
      </c>
      <c r="J4487" s="2" t="s">
        <v>18401</v>
      </c>
      <c r="K4487" s="2" t="s">
        <v>376</v>
      </c>
      <c r="L4487" s="2" t="s">
        <v>391</v>
      </c>
      <c r="M4487" s="2" t="s">
        <v>26</v>
      </c>
      <c r="N4487" s="29"/>
      <c r="O4487" s="29"/>
      <c r="P4487" s="5" t="str">
        <f>IFERROR(__xludf.DUMMYFUNCTION("TEXTJOIN("" | "",TRUE,IF(OR(D4487="""",E4487="""",I4487="""",J4487="""",H4487=""""),""ফাঁকা ঘর"",""""),IF(AND(C4487&lt;&gt;"""",D4487&lt;&gt;"""",C4487=D4487),""gloss=figurative"",""""),IF(LEN(D4487)&lt;15,""figurative ছোট"",""""),IF(AND(I4487=""Positive"",REGEXMATCH(H4"&amp;"487,""মূর্খ|ভণ্ড|প্রতার|অলস|লোভ|স্বার্থ|অক্ষম|অযোগ্য|বোকা|কৃপণ|হিংস"")),""valence-target অমিল"",""""),IF(COUNTIF($B:$B,B4487)&gt;1,""ডুপ্লিকেট"",""""))"),"")</f>
        <v/>
      </c>
      <c r="Q4487" s="5" t="str">
        <f t="shared" si="1"/>
        <v>২ পরে</v>
      </c>
    </row>
    <row r="4488">
      <c r="A4488" s="4">
        <v>2312.0</v>
      </c>
      <c r="B4488" s="2" t="s">
        <v>18406</v>
      </c>
      <c r="C4488" s="2" t="s">
        <v>18407</v>
      </c>
      <c r="D4488" s="2" t="s">
        <v>18408</v>
      </c>
      <c r="E4488" s="2" t="s">
        <v>18409</v>
      </c>
      <c r="F4488" s="2" t="b">
        <v>1</v>
      </c>
      <c r="G4488" s="2" t="b">
        <v>0</v>
      </c>
      <c r="H4488" s="2" t="s">
        <v>18410</v>
      </c>
      <c r="I4488" s="2" t="s">
        <v>22</v>
      </c>
      <c r="J4488" s="2" t="s">
        <v>43</v>
      </c>
      <c r="K4488" s="2" t="s">
        <v>376</v>
      </c>
      <c r="L4488" s="2" t="s">
        <v>391</v>
      </c>
      <c r="M4488" s="2" t="s">
        <v>26</v>
      </c>
      <c r="N4488" s="29"/>
      <c r="O4488" s="29"/>
      <c r="P4488" s="5" t="str">
        <f>IFERROR(__xludf.DUMMYFUNCTION("TEXTJOIN("" | "",TRUE,IF(OR(D4488="""",E4488="""",I4488="""",J4488="""",H4488=""""),""ফাঁকা ঘর"",""""),IF(AND(C4488&lt;&gt;"""",D4488&lt;&gt;"""",C4488=D4488),""gloss=figurative"",""""),IF(LEN(D4488)&lt;15,""figurative ছোট"",""""),IF(AND(I4488=""Positive"",REGEXMATCH(H4"&amp;"488,""মূর্খ|ভণ্ড|প্রতার|অলস|লোভ|স্বার্থ|অক্ষম|অযোগ্য|বোকা|কৃপণ|হিংস"")),""valence-target অমিল"",""""),IF(COUNTIF($B:$B,B4488)&gt;1,""ডুপ্লিকেট"",""""))"),"")</f>
        <v/>
      </c>
      <c r="Q4488" s="5" t="str">
        <f t="shared" si="1"/>
        <v>২ পরে</v>
      </c>
    </row>
    <row r="4489">
      <c r="A4489" s="4">
        <v>2313.0</v>
      </c>
      <c r="B4489" s="2" t="s">
        <v>18411</v>
      </c>
      <c r="C4489" s="2" t="s">
        <v>18407</v>
      </c>
      <c r="D4489" s="2" t="s">
        <v>18412</v>
      </c>
      <c r="E4489" s="2" t="s">
        <v>18409</v>
      </c>
      <c r="F4489" s="2" t="b">
        <v>1</v>
      </c>
      <c r="G4489" s="2" t="b">
        <v>0</v>
      </c>
      <c r="H4489" s="2" t="s">
        <v>18410</v>
      </c>
      <c r="I4489" s="2" t="s">
        <v>22</v>
      </c>
      <c r="J4489" s="2" t="s">
        <v>43</v>
      </c>
      <c r="K4489" s="2" t="s">
        <v>376</v>
      </c>
      <c r="L4489" s="2" t="s">
        <v>391</v>
      </c>
      <c r="M4489" s="2" t="s">
        <v>26</v>
      </c>
      <c r="N4489" s="29"/>
      <c r="O4489" s="29"/>
      <c r="P4489" s="5" t="str">
        <f>IFERROR(__xludf.DUMMYFUNCTION("TEXTJOIN("" | "",TRUE,IF(OR(D4489="""",E4489="""",I4489="""",J4489="""",H4489=""""),""ফাঁকা ঘর"",""""),IF(AND(C4489&lt;&gt;"""",D4489&lt;&gt;"""",C4489=D4489),""gloss=figurative"",""""),IF(LEN(D4489)&lt;15,""figurative ছোট"",""""),IF(AND(I4489=""Positive"",REGEXMATCH(H4"&amp;"489,""মূর্খ|ভণ্ড|প্রতার|অলস|লোভ|স্বার্থ|অক্ষম|অযোগ্য|বোকা|কৃপণ|হিংস"")),""valence-target অমিল"",""""),IF(COUNTIF($B:$B,B4489)&gt;1,""ডুপ্লিকেট"",""""))"),"")</f>
        <v/>
      </c>
      <c r="Q4489" s="5" t="str">
        <f t="shared" si="1"/>
        <v>২ পরে</v>
      </c>
    </row>
    <row r="4490">
      <c r="A4490" s="4">
        <v>2314.0</v>
      </c>
      <c r="B4490" s="2" t="s">
        <v>18413</v>
      </c>
      <c r="C4490" s="2" t="s">
        <v>18414</v>
      </c>
      <c r="D4490" s="2" t="s">
        <v>18415</v>
      </c>
      <c r="E4490" s="2" t="s">
        <v>18416</v>
      </c>
      <c r="F4490" s="2" t="b">
        <v>1</v>
      </c>
      <c r="G4490" s="2" t="b">
        <v>0</v>
      </c>
      <c r="H4490" s="2" t="s">
        <v>18417</v>
      </c>
      <c r="I4490" s="2" t="s">
        <v>22</v>
      </c>
      <c r="J4490" s="2" t="s">
        <v>4112</v>
      </c>
      <c r="K4490" s="2" t="s">
        <v>376</v>
      </c>
      <c r="L4490" s="2" t="s">
        <v>391</v>
      </c>
      <c r="M4490" s="2" t="s">
        <v>26</v>
      </c>
      <c r="N4490" s="29"/>
      <c r="O4490" s="29"/>
      <c r="P4490" s="5" t="str">
        <f>IFERROR(__xludf.DUMMYFUNCTION("TEXTJOIN("" | "",TRUE,IF(OR(D4490="""",E4490="""",I4490="""",J4490="""",H4490=""""),""ফাঁকা ঘর"",""""),IF(AND(C4490&lt;&gt;"""",D4490&lt;&gt;"""",C4490=D4490),""gloss=figurative"",""""),IF(LEN(D4490)&lt;15,""figurative ছোট"",""""),IF(AND(I4490=""Positive"",REGEXMATCH(H4"&amp;"490,""মূর্খ|ভণ্ড|প্রতার|অলস|লোভ|স্বার্থ|অক্ষম|অযোগ্য|বোকা|কৃপণ|হিংস"")),""valence-target অমিল"",""""),IF(COUNTIF($B:$B,B4490)&gt;1,""ডুপ্লিকেট"",""""))"),"")</f>
        <v/>
      </c>
      <c r="Q4490" s="5" t="str">
        <f t="shared" si="1"/>
        <v>২ পরে</v>
      </c>
    </row>
    <row r="4491">
      <c r="A4491" s="4">
        <v>2315.0</v>
      </c>
      <c r="B4491" s="2" t="s">
        <v>18418</v>
      </c>
      <c r="C4491" s="2" t="s">
        <v>18419</v>
      </c>
      <c r="D4491" s="2" t="s">
        <v>18420</v>
      </c>
      <c r="E4491" s="2" t="s">
        <v>18421</v>
      </c>
      <c r="F4491" s="2" t="b">
        <v>1</v>
      </c>
      <c r="G4491" s="2" t="b">
        <v>0</v>
      </c>
      <c r="H4491" s="2" t="s">
        <v>37</v>
      </c>
      <c r="I4491" s="2" t="s">
        <v>32</v>
      </c>
      <c r="J4491" s="2" t="s">
        <v>669</v>
      </c>
      <c r="K4491" s="2" t="s">
        <v>376</v>
      </c>
      <c r="L4491" s="2" t="s">
        <v>391</v>
      </c>
      <c r="M4491" s="2" t="s">
        <v>26</v>
      </c>
      <c r="N4491" s="29"/>
      <c r="O4491" s="29"/>
      <c r="P4491" s="5" t="str">
        <f>IFERROR(__xludf.DUMMYFUNCTION("TEXTJOIN("" | "",TRUE,IF(OR(D4491="""",E4491="""",I4491="""",J4491="""",H4491=""""),""ফাঁকা ঘর"",""""),IF(AND(C4491&lt;&gt;"""",D4491&lt;&gt;"""",C4491=D4491),""gloss=figurative"",""""),IF(LEN(D4491)&lt;15,""figurative ছোট"",""""),IF(AND(I4491=""Positive"",REGEXMATCH(H4"&amp;"491,""মূর্খ|ভণ্ড|প্রতার|অলস|লোভ|স্বার্থ|অক্ষম|অযোগ্য|বোকা|কৃপণ|হিংস"")),""valence-target অমিল"",""""),IF(COUNTIF($B:$B,B4491)&gt;1,""ডুপ্লিকেট"",""""))"),"")</f>
        <v/>
      </c>
      <c r="Q4491" s="5" t="str">
        <f t="shared" si="1"/>
        <v>২ পরে</v>
      </c>
    </row>
    <row r="4492">
      <c r="A4492" s="4">
        <v>2316.0</v>
      </c>
      <c r="B4492" s="2" t="s">
        <v>18422</v>
      </c>
      <c r="C4492" s="2" t="s">
        <v>18423</v>
      </c>
      <c r="D4492" s="2" t="s">
        <v>18424</v>
      </c>
      <c r="E4492" s="2" t="s">
        <v>18425</v>
      </c>
      <c r="F4492" s="2" t="b">
        <v>1</v>
      </c>
      <c r="G4492" s="2" t="b">
        <v>1</v>
      </c>
      <c r="H4492" s="2" t="s">
        <v>18426</v>
      </c>
      <c r="I4492" s="2" t="s">
        <v>49</v>
      </c>
      <c r="J4492" s="2" t="s">
        <v>16419</v>
      </c>
      <c r="K4492" s="2" t="s">
        <v>376</v>
      </c>
      <c r="L4492" s="2" t="s">
        <v>391</v>
      </c>
      <c r="M4492" s="2" t="s">
        <v>26</v>
      </c>
      <c r="N4492" s="29"/>
      <c r="O4492" s="29"/>
      <c r="P4492" s="5" t="str">
        <f>IFERROR(__xludf.DUMMYFUNCTION("TEXTJOIN("" | "",TRUE,IF(OR(D4492="""",E4492="""",I4492="""",J4492="""",H4492=""""),""ফাঁকা ঘর"",""""),IF(AND(C4492&lt;&gt;"""",D4492&lt;&gt;"""",C4492=D4492),""gloss=figurative"",""""),IF(LEN(D4492)&lt;15,""figurative ছোট"",""""),IF(AND(I4492=""Positive"",REGEXMATCH(H4"&amp;"492,""মূর্খ|ভণ্ড|প্রতার|অলস|লোভ|স্বার্থ|অক্ষম|অযোগ্য|বোকা|কৃপণ|হিংস"")),""valence-target অমিল"",""""),IF(COUNTIF($B:$B,B4492)&gt;1,""ডুপ্লিকেট"",""""))"),"")</f>
        <v/>
      </c>
      <c r="Q4492" s="5" t="str">
        <f t="shared" si="1"/>
        <v>২ পরে</v>
      </c>
    </row>
    <row r="4493">
      <c r="A4493" s="4">
        <v>2317.0</v>
      </c>
      <c r="B4493" s="2" t="s">
        <v>18427</v>
      </c>
      <c r="C4493" s="2" t="s">
        <v>18428</v>
      </c>
      <c r="D4493" s="2" t="s">
        <v>18429</v>
      </c>
      <c r="E4493" s="2" t="s">
        <v>18430</v>
      </c>
      <c r="F4493" s="2" t="b">
        <v>1</v>
      </c>
      <c r="G4493" s="2" t="b">
        <v>0</v>
      </c>
      <c r="H4493" s="2" t="s">
        <v>37</v>
      </c>
      <c r="I4493" s="2" t="s">
        <v>32</v>
      </c>
      <c r="J4493" s="2" t="s">
        <v>1621</v>
      </c>
      <c r="K4493" s="2" t="s">
        <v>376</v>
      </c>
      <c r="L4493" s="2" t="s">
        <v>391</v>
      </c>
      <c r="M4493" s="2" t="s">
        <v>26</v>
      </c>
      <c r="N4493" s="29"/>
      <c r="O4493" s="29"/>
      <c r="P4493" s="5" t="str">
        <f>IFERROR(__xludf.DUMMYFUNCTION("TEXTJOIN("" | "",TRUE,IF(OR(D4493="""",E4493="""",I4493="""",J4493="""",H4493=""""),""ফাঁকা ঘর"",""""),IF(AND(C4493&lt;&gt;"""",D4493&lt;&gt;"""",C4493=D4493),""gloss=figurative"",""""),IF(LEN(D4493)&lt;15,""figurative ছোট"",""""),IF(AND(I4493=""Positive"",REGEXMATCH(H4"&amp;"493,""মূর্খ|ভণ্ড|প্রতার|অলস|লোভ|স্বার্থ|অক্ষম|অযোগ্য|বোকা|কৃপণ|হিংস"")),""valence-target অমিল"",""""),IF(COUNTIF($B:$B,B4493)&gt;1,""ডুপ্লিকেট"",""""))"),"")</f>
        <v/>
      </c>
      <c r="Q4493" s="5" t="str">
        <f t="shared" si="1"/>
        <v>২ পরে</v>
      </c>
    </row>
    <row r="4494">
      <c r="A4494" s="4">
        <v>2318.0</v>
      </c>
      <c r="B4494" s="2" t="s">
        <v>18431</v>
      </c>
      <c r="C4494" s="2" t="s">
        <v>18428</v>
      </c>
      <c r="D4494" s="2" t="s">
        <v>18432</v>
      </c>
      <c r="E4494" s="2" t="s">
        <v>18433</v>
      </c>
      <c r="F4494" s="2" t="b">
        <v>1</v>
      </c>
      <c r="G4494" s="2" t="b">
        <v>0</v>
      </c>
      <c r="H4494" s="2" t="s">
        <v>37</v>
      </c>
      <c r="I4494" s="2" t="s">
        <v>32</v>
      </c>
      <c r="J4494" s="2" t="s">
        <v>1621</v>
      </c>
      <c r="K4494" s="2" t="s">
        <v>376</v>
      </c>
      <c r="L4494" s="2" t="s">
        <v>391</v>
      </c>
      <c r="M4494" s="2" t="s">
        <v>26</v>
      </c>
      <c r="N4494" s="29"/>
      <c r="O4494" s="29"/>
      <c r="P4494" s="5" t="str">
        <f>IFERROR(__xludf.DUMMYFUNCTION("TEXTJOIN("" | "",TRUE,IF(OR(D4494="""",E4494="""",I4494="""",J4494="""",H4494=""""),""ফাঁকা ঘর"",""""),IF(AND(C4494&lt;&gt;"""",D4494&lt;&gt;"""",C4494=D4494),""gloss=figurative"",""""),IF(LEN(D4494)&lt;15,""figurative ছোট"",""""),IF(AND(I4494=""Positive"",REGEXMATCH(H4"&amp;"494,""মূর্খ|ভণ্ড|প্রতার|অলস|লোভ|স্বার্থ|অক্ষম|অযোগ্য|বোকা|কৃপণ|হিংস"")),""valence-target অমিল"",""""),IF(COUNTIF($B:$B,B4494)&gt;1,""ডুপ্লিকেট"",""""))"),"")</f>
        <v/>
      </c>
      <c r="Q4494" s="5" t="str">
        <f t="shared" si="1"/>
        <v>২ পরে</v>
      </c>
    </row>
    <row r="4495">
      <c r="A4495" s="4">
        <v>2319.0</v>
      </c>
      <c r="B4495" s="2" t="s">
        <v>18434</v>
      </c>
      <c r="C4495" s="2" t="s">
        <v>18428</v>
      </c>
      <c r="D4495" s="2" t="s">
        <v>18435</v>
      </c>
      <c r="E4495" s="2" t="s">
        <v>18436</v>
      </c>
      <c r="F4495" s="2" t="b">
        <v>1</v>
      </c>
      <c r="G4495" s="2" t="b">
        <v>0</v>
      </c>
      <c r="H4495" s="2" t="s">
        <v>37</v>
      </c>
      <c r="I4495" s="2" t="s">
        <v>32</v>
      </c>
      <c r="J4495" s="2" t="s">
        <v>1621</v>
      </c>
      <c r="K4495" s="2" t="s">
        <v>376</v>
      </c>
      <c r="L4495" s="2" t="s">
        <v>391</v>
      </c>
      <c r="M4495" s="2" t="s">
        <v>26</v>
      </c>
      <c r="N4495" s="29"/>
      <c r="O4495" s="29"/>
      <c r="P4495" s="5" t="str">
        <f>IFERROR(__xludf.DUMMYFUNCTION("TEXTJOIN("" | "",TRUE,IF(OR(D4495="""",E4495="""",I4495="""",J4495="""",H4495=""""),""ফাঁকা ঘর"",""""),IF(AND(C4495&lt;&gt;"""",D4495&lt;&gt;"""",C4495=D4495),""gloss=figurative"",""""),IF(LEN(D4495)&lt;15,""figurative ছোট"",""""),IF(AND(I4495=""Positive"",REGEXMATCH(H4"&amp;"495,""মূর্খ|ভণ্ড|প্রতার|অলস|লোভ|স্বার্থ|অক্ষম|অযোগ্য|বোকা|কৃপণ|হিংস"")),""valence-target অমিল"",""""),IF(COUNTIF($B:$B,B4495)&gt;1,""ডুপ্লিকেট"",""""))"),"")</f>
        <v/>
      </c>
      <c r="Q4495" s="5" t="str">
        <f t="shared" si="1"/>
        <v>২ পরে</v>
      </c>
    </row>
    <row r="4496">
      <c r="A4496" s="4">
        <v>2320.0</v>
      </c>
      <c r="B4496" s="2" t="s">
        <v>18437</v>
      </c>
      <c r="C4496" s="2" t="s">
        <v>18438</v>
      </c>
      <c r="D4496" s="2" t="s">
        <v>18439</v>
      </c>
      <c r="E4496" s="2" t="s">
        <v>18440</v>
      </c>
      <c r="F4496" s="2" t="b">
        <v>1</v>
      </c>
      <c r="G4496" s="2" t="b">
        <v>0</v>
      </c>
      <c r="H4496" s="2" t="s">
        <v>37</v>
      </c>
      <c r="I4496" s="2" t="s">
        <v>49</v>
      </c>
      <c r="J4496" s="2" t="s">
        <v>964</v>
      </c>
      <c r="K4496" s="2" t="s">
        <v>376</v>
      </c>
      <c r="L4496" s="2" t="s">
        <v>391</v>
      </c>
      <c r="M4496" s="2" t="s">
        <v>26</v>
      </c>
      <c r="N4496" s="29"/>
      <c r="O4496" s="29"/>
      <c r="P4496" s="5" t="str">
        <f>IFERROR(__xludf.DUMMYFUNCTION("TEXTJOIN("" | "",TRUE,IF(OR(D4496="""",E4496="""",I4496="""",J4496="""",H4496=""""),""ফাঁকা ঘর"",""""),IF(AND(C4496&lt;&gt;"""",D4496&lt;&gt;"""",C4496=D4496),""gloss=figurative"",""""),IF(LEN(D4496)&lt;15,""figurative ছোট"",""""),IF(AND(I4496=""Positive"",REGEXMATCH(H4"&amp;"496,""মূর্খ|ভণ্ড|প্রতার|অলস|লোভ|স্বার্থ|অক্ষম|অযোগ্য|বোকা|কৃপণ|হিংস"")),""valence-target অমিল"",""""),IF(COUNTIF($B:$B,B4496)&gt;1,""ডুপ্লিকেট"",""""))"),"")</f>
        <v/>
      </c>
      <c r="Q4496" s="5" t="str">
        <f t="shared" si="1"/>
        <v>২ পরে</v>
      </c>
    </row>
    <row r="4497">
      <c r="A4497" s="4">
        <v>2321.0</v>
      </c>
      <c r="B4497" s="2" t="s">
        <v>18441</v>
      </c>
      <c r="C4497" s="2" t="s">
        <v>18442</v>
      </c>
      <c r="D4497" s="2" t="s">
        <v>18443</v>
      </c>
      <c r="E4497" s="2" t="s">
        <v>18444</v>
      </c>
      <c r="F4497" s="2" t="b">
        <v>1</v>
      </c>
      <c r="G4497" s="2" t="b">
        <v>0</v>
      </c>
      <c r="H4497" s="2" t="s">
        <v>18445</v>
      </c>
      <c r="I4497" s="2" t="s">
        <v>22</v>
      </c>
      <c r="J4497" s="2" t="s">
        <v>43</v>
      </c>
      <c r="K4497" s="2" t="s">
        <v>376</v>
      </c>
      <c r="L4497" s="2" t="s">
        <v>391</v>
      </c>
      <c r="M4497" s="2" t="s">
        <v>26</v>
      </c>
      <c r="N4497" s="29"/>
      <c r="O4497" s="29"/>
      <c r="P4497" s="5" t="str">
        <f>IFERROR(__xludf.DUMMYFUNCTION("TEXTJOIN("" | "",TRUE,IF(OR(D4497="""",E4497="""",I4497="""",J4497="""",H4497=""""),""ফাঁকা ঘর"",""""),IF(AND(C4497&lt;&gt;"""",D4497&lt;&gt;"""",C4497=D4497),""gloss=figurative"",""""),IF(LEN(D4497)&lt;15,""figurative ছোট"",""""),IF(AND(I4497=""Positive"",REGEXMATCH(H4"&amp;"497,""মূর্খ|ভণ্ড|প্রতার|অলস|লোভ|স্বার্থ|অক্ষম|অযোগ্য|বোকা|কৃপণ|হিংস"")),""valence-target অমিল"",""""),IF(COUNTIF($B:$B,B4497)&gt;1,""ডুপ্লিকেট"",""""))"),"")</f>
        <v/>
      </c>
      <c r="Q4497" s="5" t="str">
        <f t="shared" si="1"/>
        <v>২ পরে</v>
      </c>
    </row>
    <row r="4498">
      <c r="A4498" s="4">
        <v>2322.0</v>
      </c>
      <c r="B4498" s="2" t="s">
        <v>18446</v>
      </c>
      <c r="C4498" s="2" t="s">
        <v>18447</v>
      </c>
      <c r="D4498" s="2" t="s">
        <v>18448</v>
      </c>
      <c r="E4498" s="2" t="s">
        <v>18449</v>
      </c>
      <c r="F4498" s="2" t="b">
        <v>1</v>
      </c>
      <c r="G4498" s="2" t="b">
        <v>0</v>
      </c>
      <c r="H4498" s="2" t="s">
        <v>37</v>
      </c>
      <c r="I4498" s="2" t="s">
        <v>49</v>
      </c>
      <c r="J4498" s="2" t="s">
        <v>708</v>
      </c>
      <c r="K4498" s="2" t="s">
        <v>376</v>
      </c>
      <c r="L4498" s="2" t="s">
        <v>391</v>
      </c>
      <c r="M4498" s="2" t="s">
        <v>26</v>
      </c>
      <c r="N4498" s="29"/>
      <c r="O4498" s="29"/>
      <c r="P4498" s="5" t="str">
        <f>IFERROR(__xludf.DUMMYFUNCTION("TEXTJOIN("" | "",TRUE,IF(OR(D4498="""",E4498="""",I4498="""",J4498="""",H4498=""""),""ফাঁকা ঘর"",""""),IF(AND(C4498&lt;&gt;"""",D4498&lt;&gt;"""",C4498=D4498),""gloss=figurative"",""""),IF(LEN(D4498)&lt;15,""figurative ছোট"",""""),IF(AND(I4498=""Positive"",REGEXMATCH(H4"&amp;"498,""মূর্খ|ভণ্ড|প্রতার|অলস|লোভ|স্বার্থ|অক্ষম|অযোগ্য|বোকা|কৃপণ|হিংস"")),""valence-target অমিল"",""""),IF(COUNTIF($B:$B,B4498)&gt;1,""ডুপ্লিকেট"",""""))"),"")</f>
        <v/>
      </c>
      <c r="Q4498" s="5" t="str">
        <f t="shared" si="1"/>
        <v>২ পরে</v>
      </c>
    </row>
    <row r="4499">
      <c r="A4499" s="4">
        <v>2323.0</v>
      </c>
      <c r="B4499" s="2" t="s">
        <v>18450</v>
      </c>
      <c r="C4499" s="2" t="s">
        <v>18450</v>
      </c>
      <c r="D4499" s="2" t="s">
        <v>18451</v>
      </c>
      <c r="E4499" s="2" t="s">
        <v>18452</v>
      </c>
      <c r="F4499" s="2" t="b">
        <v>1</v>
      </c>
      <c r="G4499" s="2" t="b">
        <v>0</v>
      </c>
      <c r="H4499" s="2" t="s">
        <v>37</v>
      </c>
      <c r="I4499" s="2" t="s">
        <v>49</v>
      </c>
      <c r="J4499" s="2" t="s">
        <v>1553</v>
      </c>
      <c r="K4499" s="2" t="s">
        <v>376</v>
      </c>
      <c r="L4499" s="2" t="s">
        <v>391</v>
      </c>
      <c r="M4499" s="2" t="s">
        <v>26</v>
      </c>
      <c r="N4499" s="29"/>
      <c r="O4499" s="29"/>
      <c r="P4499" s="5" t="str">
        <f>IFERROR(__xludf.DUMMYFUNCTION("TEXTJOIN("" | "",TRUE,IF(OR(D4499="""",E4499="""",I4499="""",J4499="""",H4499=""""),""ফাঁকা ঘর"",""""),IF(AND(C4499&lt;&gt;"""",D4499&lt;&gt;"""",C4499=D4499),""gloss=figurative"",""""),IF(LEN(D4499)&lt;15,""figurative ছোট"",""""),IF(AND(I4499=""Positive"",REGEXMATCH(H4"&amp;"499,""মূর্খ|ভণ্ড|প্রতার|অলস|লোভ|স্বার্থ|অক্ষম|অযোগ্য|বোকা|কৃপণ|হিংস"")),""valence-target অমিল"",""""),IF(COUNTIF($B:$B,B4499)&gt;1,""ডুপ্লিকেট"",""""))"),"")</f>
        <v/>
      </c>
      <c r="Q4499" s="5" t="str">
        <f t="shared" si="1"/>
        <v>২ পরে</v>
      </c>
    </row>
    <row r="4500">
      <c r="A4500" s="4">
        <v>2324.0</v>
      </c>
      <c r="B4500" s="2" t="s">
        <v>18453</v>
      </c>
      <c r="C4500" s="2" t="s">
        <v>18454</v>
      </c>
      <c r="D4500" s="2" t="s">
        <v>18455</v>
      </c>
      <c r="E4500" s="2" t="s">
        <v>18456</v>
      </c>
      <c r="F4500" s="2" t="b">
        <v>1</v>
      </c>
      <c r="G4500" s="2" t="b">
        <v>0</v>
      </c>
      <c r="H4500" s="2" t="s">
        <v>37</v>
      </c>
      <c r="I4500" s="2" t="s">
        <v>32</v>
      </c>
      <c r="J4500" s="2" t="s">
        <v>18457</v>
      </c>
      <c r="K4500" s="2" t="s">
        <v>376</v>
      </c>
      <c r="L4500" s="2" t="s">
        <v>391</v>
      </c>
      <c r="M4500" s="2" t="s">
        <v>26</v>
      </c>
      <c r="N4500" s="29"/>
      <c r="O4500" s="29"/>
      <c r="P4500" s="5" t="str">
        <f>IFERROR(__xludf.DUMMYFUNCTION("TEXTJOIN("" | "",TRUE,IF(OR(D4500="""",E4500="""",I4500="""",J4500="""",H4500=""""),""ফাঁকা ঘর"",""""),IF(AND(C4500&lt;&gt;"""",D4500&lt;&gt;"""",C4500=D4500),""gloss=figurative"",""""),IF(LEN(D4500)&lt;15,""figurative ছোট"",""""),IF(AND(I4500=""Positive"",REGEXMATCH(H4"&amp;"500,""মূর্খ|ভণ্ড|প্রতার|অলস|লোভ|স্বার্থ|অক্ষম|অযোগ্য|বোকা|কৃপণ|হিংস"")),""valence-target অমিল"",""""),IF(COUNTIF($B:$B,B4500)&gt;1,""ডুপ্লিকেট"",""""))"),"")</f>
        <v/>
      </c>
      <c r="Q4500" s="5" t="str">
        <f t="shared" si="1"/>
        <v>২ পরে</v>
      </c>
    </row>
    <row r="4501">
      <c r="A4501" s="4">
        <v>2325.0</v>
      </c>
      <c r="B4501" s="2" t="s">
        <v>18458</v>
      </c>
      <c r="C4501" s="2" t="s">
        <v>18459</v>
      </c>
      <c r="D4501" s="2" t="s">
        <v>18460</v>
      </c>
      <c r="E4501" s="2" t="s">
        <v>18461</v>
      </c>
      <c r="F4501" s="2" t="b">
        <v>1</v>
      </c>
      <c r="G4501" s="2" t="b">
        <v>0</v>
      </c>
      <c r="H4501" s="2" t="s">
        <v>18462</v>
      </c>
      <c r="I4501" s="2" t="s">
        <v>22</v>
      </c>
      <c r="J4501" s="2" t="s">
        <v>669</v>
      </c>
      <c r="K4501" s="2" t="s">
        <v>495</v>
      </c>
      <c r="L4501" s="13" t="s">
        <v>496</v>
      </c>
      <c r="M4501" s="2" t="s">
        <v>26</v>
      </c>
      <c r="N4501" s="29"/>
      <c r="O4501" s="29"/>
      <c r="P4501" s="5" t="str">
        <f>IFERROR(__xludf.DUMMYFUNCTION("TEXTJOIN("" | "",TRUE,IF(OR(D4501="""",E4501="""",I4501="""",J4501="""",H4501=""""),""ফাঁকা ঘর"",""""),IF(AND(C4501&lt;&gt;"""",D4501&lt;&gt;"""",C4501=D4501),""gloss=figurative"",""""),IF(LEN(D4501)&lt;15,""figurative ছোট"",""""),IF(AND(I4501=""Positive"",REGEXMATCH(H4"&amp;"501,""মূর্খ|ভণ্ড|প্রতার|অলস|লোভ|স্বার্থ|অক্ষম|অযোগ্য|বোকা|কৃপণ|হিংস"")),""valence-target অমিল"",""""),IF(COUNTIF($B:$B,B4501)&gt;1,""ডুপ্লিকেট"",""""))"),"")</f>
        <v/>
      </c>
      <c r="Q4501" s="5" t="str">
        <f t="shared" si="1"/>
        <v>২ পরে</v>
      </c>
    </row>
    <row r="4502">
      <c r="A4502" s="4">
        <v>2326.0</v>
      </c>
      <c r="B4502" s="2" t="s">
        <v>18463</v>
      </c>
      <c r="C4502" s="2" t="s">
        <v>18464</v>
      </c>
      <c r="D4502" s="2" t="s">
        <v>18465</v>
      </c>
      <c r="E4502" s="2" t="s">
        <v>18466</v>
      </c>
      <c r="F4502" s="2" t="b">
        <v>1</v>
      </c>
      <c r="G4502" s="2" t="b">
        <v>0</v>
      </c>
      <c r="H4502" s="2" t="s">
        <v>18467</v>
      </c>
      <c r="I4502" s="2" t="s">
        <v>22</v>
      </c>
      <c r="J4502" s="2" t="s">
        <v>43</v>
      </c>
      <c r="K4502" s="2" t="s">
        <v>495</v>
      </c>
      <c r="L4502" s="13" t="s">
        <v>496</v>
      </c>
      <c r="M4502" s="2" t="s">
        <v>26</v>
      </c>
      <c r="N4502" s="29"/>
      <c r="O4502" s="29"/>
      <c r="P4502" s="5" t="str">
        <f>IFERROR(__xludf.DUMMYFUNCTION("TEXTJOIN("" | "",TRUE,IF(OR(D4502="""",E4502="""",I4502="""",J4502="""",H4502=""""),""ফাঁকা ঘর"",""""),IF(AND(C4502&lt;&gt;"""",D4502&lt;&gt;"""",C4502=D4502),""gloss=figurative"",""""),IF(LEN(D4502)&lt;15,""figurative ছোট"",""""),IF(AND(I4502=""Positive"",REGEXMATCH(H4"&amp;"502,""মূর্খ|ভণ্ড|প্রতার|অলস|লোভ|স্বার্থ|অক্ষম|অযোগ্য|বোকা|কৃপণ|হিংস"")),""valence-target অমিল"",""""),IF(COUNTIF($B:$B,B4502)&gt;1,""ডুপ্লিকেট"",""""))"),"")</f>
        <v/>
      </c>
      <c r="Q4502" s="5" t="str">
        <f t="shared" si="1"/>
        <v>২ পরে</v>
      </c>
    </row>
    <row r="4503">
      <c r="A4503" s="4">
        <v>2327.0</v>
      </c>
      <c r="B4503" s="2" t="s">
        <v>10697</v>
      </c>
      <c r="C4503" s="2" t="s">
        <v>10697</v>
      </c>
      <c r="D4503" s="2" t="s">
        <v>18468</v>
      </c>
      <c r="E4503" s="2" t="s">
        <v>18469</v>
      </c>
      <c r="F4503" s="2" t="b">
        <v>1</v>
      </c>
      <c r="G4503" s="2" t="b">
        <v>0</v>
      </c>
      <c r="H4503" s="2" t="s">
        <v>18470</v>
      </c>
      <c r="I4503" s="2" t="s">
        <v>22</v>
      </c>
      <c r="J4503" s="2" t="s">
        <v>43</v>
      </c>
      <c r="K4503" s="2" t="s">
        <v>495</v>
      </c>
      <c r="L4503" s="13" t="s">
        <v>496</v>
      </c>
      <c r="M4503" s="2" t="s">
        <v>26</v>
      </c>
      <c r="N4503" s="29"/>
      <c r="O4503" s="29"/>
      <c r="P4503" s="5" t="str">
        <f>IFERROR(__xludf.DUMMYFUNCTION("TEXTJOIN("" | "",TRUE,IF(OR(D4503="""",E4503="""",I4503="""",J4503="""",H4503=""""),""ফাঁকা ঘর"",""""),IF(AND(C4503&lt;&gt;"""",D4503&lt;&gt;"""",C4503=D4503),""gloss=figurative"",""""),IF(LEN(D4503)&lt;15,""figurative ছোট"",""""),IF(AND(I4503=""Positive"",REGEXMATCH(H4"&amp;"503,""মূর্খ|ভণ্ড|প্রতার|অলস|লোভ|স্বার্থ|অক্ষম|অযোগ্য|বোকা|কৃপণ|হিংস"")),""valence-target অমিল"",""""),IF(COUNTIF($B:$B,B4503)&gt;1,""ডুপ্লিকেট"",""""))"),"")</f>
        <v/>
      </c>
      <c r="Q4503" s="5" t="str">
        <f t="shared" si="1"/>
        <v>২ পরে</v>
      </c>
    </row>
    <row r="4504">
      <c r="A4504" s="4">
        <v>2328.0</v>
      </c>
      <c r="B4504" s="2" t="s">
        <v>18471</v>
      </c>
      <c r="C4504" s="2" t="s">
        <v>18472</v>
      </c>
      <c r="D4504" s="2" t="s">
        <v>18473</v>
      </c>
      <c r="E4504" s="2" t="s">
        <v>18474</v>
      </c>
      <c r="F4504" s="2" t="b">
        <v>1</v>
      </c>
      <c r="G4504" s="2" t="b">
        <v>0</v>
      </c>
      <c r="H4504" s="2" t="s">
        <v>37</v>
      </c>
      <c r="I4504" s="2" t="s">
        <v>49</v>
      </c>
      <c r="J4504" s="2" t="s">
        <v>739</v>
      </c>
      <c r="K4504" s="2" t="s">
        <v>495</v>
      </c>
      <c r="L4504" s="13" t="s">
        <v>496</v>
      </c>
      <c r="M4504" s="2" t="s">
        <v>26</v>
      </c>
      <c r="N4504" s="29"/>
      <c r="O4504" s="29"/>
      <c r="P4504" s="5" t="str">
        <f>IFERROR(__xludf.DUMMYFUNCTION("TEXTJOIN("" | "",TRUE,IF(OR(D4504="""",E4504="""",I4504="""",J4504="""",H4504=""""),""ফাঁকা ঘর"",""""),IF(AND(C4504&lt;&gt;"""",D4504&lt;&gt;"""",C4504=D4504),""gloss=figurative"",""""),IF(LEN(D4504)&lt;15,""figurative ছোট"",""""),IF(AND(I4504=""Positive"",REGEXMATCH(H4"&amp;"504,""মূর্খ|ভণ্ড|প্রতার|অলস|লোভ|স্বার্থ|অক্ষম|অযোগ্য|বোকা|কৃপণ|হিংস"")),""valence-target অমিল"",""""),IF(COUNTIF($B:$B,B4504)&gt;1,""ডুপ্লিকেট"",""""))"),"")</f>
        <v/>
      </c>
      <c r="Q4504" s="5" t="str">
        <f t="shared" si="1"/>
        <v>২ পরে</v>
      </c>
    </row>
    <row r="4505">
      <c r="A4505" s="4">
        <v>2329.0</v>
      </c>
      <c r="B4505" s="2" t="s">
        <v>18475</v>
      </c>
      <c r="C4505" s="2" t="s">
        <v>18476</v>
      </c>
      <c r="D4505" s="2" t="s">
        <v>18477</v>
      </c>
      <c r="E4505" s="2" t="s">
        <v>18478</v>
      </c>
      <c r="F4505" s="2" t="b">
        <v>1</v>
      </c>
      <c r="G4505" s="2" t="b">
        <v>0</v>
      </c>
      <c r="H4505" s="2" t="s">
        <v>37</v>
      </c>
      <c r="I4505" s="2" t="s">
        <v>49</v>
      </c>
      <c r="J4505" s="2" t="s">
        <v>739</v>
      </c>
      <c r="K4505" s="2" t="s">
        <v>495</v>
      </c>
      <c r="L4505" s="13" t="s">
        <v>496</v>
      </c>
      <c r="M4505" s="2" t="s">
        <v>26</v>
      </c>
      <c r="N4505" s="29"/>
      <c r="O4505" s="29"/>
      <c r="P4505" s="5" t="str">
        <f>IFERROR(__xludf.DUMMYFUNCTION("TEXTJOIN("" | "",TRUE,IF(OR(D4505="""",E4505="""",I4505="""",J4505="""",H4505=""""),""ফাঁকা ঘর"",""""),IF(AND(C4505&lt;&gt;"""",D4505&lt;&gt;"""",C4505=D4505),""gloss=figurative"",""""),IF(LEN(D4505)&lt;15,""figurative ছোট"",""""),IF(AND(I4505=""Positive"",REGEXMATCH(H4"&amp;"505,""মূর্খ|ভণ্ড|প্রতার|অলস|লোভ|স্বার্থ|অক্ষম|অযোগ্য|বোকা|কৃপণ|হিংস"")),""valence-target অমিল"",""""),IF(COUNTIF($B:$B,B4505)&gt;1,""ডুপ্লিকেট"",""""))"),"")</f>
        <v/>
      </c>
      <c r="Q4505" s="5" t="str">
        <f t="shared" si="1"/>
        <v>২ পরে</v>
      </c>
    </row>
    <row r="4506">
      <c r="A4506" s="4">
        <v>2330.0</v>
      </c>
      <c r="B4506" s="2" t="s">
        <v>18479</v>
      </c>
      <c r="C4506" s="2" t="s">
        <v>18480</v>
      </c>
      <c r="D4506" s="2" t="s">
        <v>18481</v>
      </c>
      <c r="E4506" s="2" t="s">
        <v>18482</v>
      </c>
      <c r="F4506" s="2" t="b">
        <v>1</v>
      </c>
      <c r="G4506" s="2" t="b">
        <v>0</v>
      </c>
      <c r="H4506" s="2" t="s">
        <v>18483</v>
      </c>
      <c r="I4506" s="2" t="s">
        <v>22</v>
      </c>
      <c r="J4506" s="2" t="s">
        <v>18484</v>
      </c>
      <c r="K4506" s="2" t="s">
        <v>495</v>
      </c>
      <c r="L4506" s="13" t="s">
        <v>496</v>
      </c>
      <c r="M4506" s="2" t="s">
        <v>26</v>
      </c>
      <c r="N4506" s="29"/>
      <c r="O4506" s="29"/>
      <c r="P4506" s="5" t="str">
        <f>IFERROR(__xludf.DUMMYFUNCTION("TEXTJOIN("" | "",TRUE,IF(OR(D4506="""",E4506="""",I4506="""",J4506="""",H4506=""""),""ফাঁকা ঘর"",""""),IF(AND(C4506&lt;&gt;"""",D4506&lt;&gt;"""",C4506=D4506),""gloss=figurative"",""""),IF(LEN(D4506)&lt;15,""figurative ছোট"",""""),IF(AND(I4506=""Positive"",REGEXMATCH(H4"&amp;"506,""মূর্খ|ভণ্ড|প্রতার|অলস|লোভ|স্বার্থ|অক্ষম|অযোগ্য|বোকা|কৃপণ|হিংস"")),""valence-target অমিল"",""""),IF(COUNTIF($B:$B,B4506)&gt;1,""ডুপ্লিকেট"",""""))"),"")</f>
        <v/>
      </c>
      <c r="Q4506" s="5" t="str">
        <f t="shared" si="1"/>
        <v>২ পরে</v>
      </c>
    </row>
    <row r="4507">
      <c r="A4507" s="4">
        <v>2331.0</v>
      </c>
      <c r="B4507" s="2" t="s">
        <v>18485</v>
      </c>
      <c r="C4507" s="2" t="s">
        <v>18485</v>
      </c>
      <c r="D4507" s="2" t="s">
        <v>18486</v>
      </c>
      <c r="E4507" s="2" t="s">
        <v>18487</v>
      </c>
      <c r="F4507" s="2" t="b">
        <v>1</v>
      </c>
      <c r="G4507" s="2" t="b">
        <v>0</v>
      </c>
      <c r="H4507" s="2" t="s">
        <v>18488</v>
      </c>
      <c r="I4507" s="2" t="s">
        <v>22</v>
      </c>
      <c r="J4507" s="2" t="s">
        <v>447</v>
      </c>
      <c r="K4507" s="2" t="s">
        <v>495</v>
      </c>
      <c r="L4507" s="13" t="s">
        <v>496</v>
      </c>
      <c r="M4507" s="2" t="s">
        <v>26</v>
      </c>
      <c r="N4507" s="29"/>
      <c r="O4507" s="29"/>
      <c r="P4507" s="5" t="str">
        <f>IFERROR(__xludf.DUMMYFUNCTION("TEXTJOIN("" | "",TRUE,IF(OR(D4507="""",E4507="""",I4507="""",J4507="""",H4507=""""),""ফাঁকা ঘর"",""""),IF(AND(C4507&lt;&gt;"""",D4507&lt;&gt;"""",C4507=D4507),""gloss=figurative"",""""),IF(LEN(D4507)&lt;15,""figurative ছোট"",""""),IF(AND(I4507=""Positive"",REGEXMATCH(H4"&amp;"507,""মূর্খ|ভণ্ড|প্রতার|অলস|লোভ|স্বার্থ|অক্ষম|অযোগ্য|বোকা|কৃপণ|হিংস"")),""valence-target অমিল"",""""),IF(COUNTIF($B:$B,B4507)&gt;1,""ডুপ্লিকেট"",""""))"),"")</f>
        <v/>
      </c>
      <c r="Q4507" s="5" t="str">
        <f t="shared" si="1"/>
        <v>২ পরে</v>
      </c>
    </row>
    <row r="4508">
      <c r="A4508" s="4">
        <v>2332.0</v>
      </c>
      <c r="B4508" s="2" t="s">
        <v>18489</v>
      </c>
      <c r="C4508" s="2" t="s">
        <v>18490</v>
      </c>
      <c r="D4508" s="2" t="s">
        <v>18491</v>
      </c>
      <c r="E4508" s="2" t="s">
        <v>18492</v>
      </c>
      <c r="F4508" s="2" t="b">
        <v>1</v>
      </c>
      <c r="G4508" s="2" t="b">
        <v>0</v>
      </c>
      <c r="H4508" s="2" t="s">
        <v>37</v>
      </c>
      <c r="I4508" s="2" t="s">
        <v>49</v>
      </c>
      <c r="J4508" s="2" t="s">
        <v>2040</v>
      </c>
      <c r="K4508" s="2" t="s">
        <v>495</v>
      </c>
      <c r="L4508" s="13" t="s">
        <v>496</v>
      </c>
      <c r="M4508" s="2" t="s">
        <v>26</v>
      </c>
      <c r="N4508" s="29"/>
      <c r="O4508" s="29"/>
      <c r="P4508" s="5" t="str">
        <f>IFERROR(__xludf.DUMMYFUNCTION("TEXTJOIN("" | "",TRUE,IF(OR(D4508="""",E4508="""",I4508="""",J4508="""",H4508=""""),""ফাঁকা ঘর"",""""),IF(AND(C4508&lt;&gt;"""",D4508&lt;&gt;"""",C4508=D4508),""gloss=figurative"",""""),IF(LEN(D4508)&lt;15,""figurative ছোট"",""""),IF(AND(I4508=""Positive"",REGEXMATCH(H4"&amp;"508,""মূর্খ|ভণ্ড|প্রতার|অলস|লোভ|স্বার্থ|অক্ষম|অযোগ্য|বোকা|কৃপণ|হিংস"")),""valence-target অমিল"",""""),IF(COUNTIF($B:$B,B4508)&gt;1,""ডুপ্লিকেট"",""""))"),"")</f>
        <v/>
      </c>
      <c r="Q4508" s="5" t="str">
        <f t="shared" si="1"/>
        <v>২ পরে</v>
      </c>
    </row>
    <row r="4509">
      <c r="A4509" s="4">
        <v>2333.0</v>
      </c>
      <c r="B4509" s="2" t="s">
        <v>18493</v>
      </c>
      <c r="C4509" s="2" t="s">
        <v>18494</v>
      </c>
      <c r="D4509" s="2" t="s">
        <v>18495</v>
      </c>
      <c r="E4509" s="2" t="s">
        <v>18496</v>
      </c>
      <c r="F4509" s="2" t="b">
        <v>1</v>
      </c>
      <c r="G4509" s="2" t="b">
        <v>0</v>
      </c>
      <c r="H4509" s="2" t="s">
        <v>18497</v>
      </c>
      <c r="I4509" s="2" t="s">
        <v>22</v>
      </c>
      <c r="J4509" s="2" t="s">
        <v>447</v>
      </c>
      <c r="K4509" s="2" t="s">
        <v>495</v>
      </c>
      <c r="L4509" s="13" t="s">
        <v>496</v>
      </c>
      <c r="M4509" s="2" t="s">
        <v>26</v>
      </c>
      <c r="N4509" s="29"/>
      <c r="O4509" s="29"/>
      <c r="P4509" s="5" t="str">
        <f>IFERROR(__xludf.DUMMYFUNCTION("TEXTJOIN("" | "",TRUE,IF(OR(D4509="""",E4509="""",I4509="""",J4509="""",H4509=""""),""ফাঁকা ঘর"",""""),IF(AND(C4509&lt;&gt;"""",D4509&lt;&gt;"""",C4509=D4509),""gloss=figurative"",""""),IF(LEN(D4509)&lt;15,""figurative ছোট"",""""),IF(AND(I4509=""Positive"",REGEXMATCH(H4"&amp;"509,""মূর্খ|ভণ্ড|প্রতার|অলস|লোভ|স্বার্থ|অক্ষম|অযোগ্য|বোকা|কৃপণ|হিংস"")),""valence-target অমিল"",""""),IF(COUNTIF($B:$B,B4509)&gt;1,""ডুপ্লিকেট"",""""))"),"")</f>
        <v/>
      </c>
      <c r="Q4509" s="5" t="str">
        <f t="shared" si="1"/>
        <v>২ পরে</v>
      </c>
    </row>
    <row r="4510">
      <c r="A4510" s="4">
        <v>2334.0</v>
      </c>
      <c r="B4510" s="2" t="s">
        <v>18498</v>
      </c>
      <c r="C4510" s="2" t="s">
        <v>18499</v>
      </c>
      <c r="D4510" s="2" t="s">
        <v>18500</v>
      </c>
      <c r="E4510" s="2" t="s">
        <v>18501</v>
      </c>
      <c r="F4510" s="2" t="b">
        <v>1</v>
      </c>
      <c r="G4510" s="2" t="b">
        <v>0</v>
      </c>
      <c r="H4510" s="2" t="s">
        <v>37</v>
      </c>
      <c r="I4510" s="2" t="s">
        <v>22</v>
      </c>
      <c r="J4510" s="2" t="s">
        <v>43</v>
      </c>
      <c r="K4510" s="2" t="s">
        <v>495</v>
      </c>
      <c r="L4510" s="13" t="s">
        <v>496</v>
      </c>
      <c r="M4510" s="2" t="s">
        <v>26</v>
      </c>
      <c r="N4510" s="29"/>
      <c r="O4510" s="29"/>
      <c r="P4510" s="5" t="str">
        <f>IFERROR(__xludf.DUMMYFUNCTION("TEXTJOIN("" | "",TRUE,IF(OR(D4510="""",E4510="""",I4510="""",J4510="""",H4510=""""),""ফাঁকা ঘর"",""""),IF(AND(C4510&lt;&gt;"""",D4510&lt;&gt;"""",C4510=D4510),""gloss=figurative"",""""),IF(LEN(D4510)&lt;15,""figurative ছোট"",""""),IF(AND(I4510=""Positive"",REGEXMATCH(H4"&amp;"510,""মূর্খ|ভণ্ড|প্রতার|অলস|লোভ|স্বার্থ|অক্ষম|অযোগ্য|বোকা|কৃপণ|হিংস"")),""valence-target অমিল"",""""),IF(COUNTIF($B:$B,B4510)&gt;1,""ডুপ্লিকেট"",""""))"),"")</f>
        <v/>
      </c>
      <c r="Q4510" s="5" t="str">
        <f t="shared" si="1"/>
        <v>২ পরে</v>
      </c>
    </row>
    <row r="4511">
      <c r="A4511" s="4">
        <v>2335.0</v>
      </c>
      <c r="B4511" s="2" t="s">
        <v>18502</v>
      </c>
      <c r="C4511" s="2" t="s">
        <v>18503</v>
      </c>
      <c r="D4511" s="2" t="s">
        <v>18504</v>
      </c>
      <c r="E4511" s="2" t="s">
        <v>18505</v>
      </c>
      <c r="F4511" s="2" t="b">
        <v>1</v>
      </c>
      <c r="G4511" s="2" t="b">
        <v>0</v>
      </c>
      <c r="H4511" s="2" t="s">
        <v>8848</v>
      </c>
      <c r="I4511" s="2" t="s">
        <v>22</v>
      </c>
      <c r="J4511" s="2" t="s">
        <v>1471</v>
      </c>
      <c r="K4511" s="2" t="s">
        <v>495</v>
      </c>
      <c r="L4511" s="13" t="s">
        <v>496</v>
      </c>
      <c r="M4511" s="2" t="s">
        <v>26</v>
      </c>
      <c r="N4511" s="29"/>
      <c r="O4511" s="29"/>
      <c r="P4511" s="5" t="str">
        <f>IFERROR(__xludf.DUMMYFUNCTION("TEXTJOIN("" | "",TRUE,IF(OR(D4511="""",E4511="""",I4511="""",J4511="""",H4511=""""),""ফাঁকা ঘর"",""""),IF(AND(C4511&lt;&gt;"""",D4511&lt;&gt;"""",C4511=D4511),""gloss=figurative"",""""),IF(LEN(D4511)&lt;15,""figurative ছোট"",""""),IF(AND(I4511=""Positive"",REGEXMATCH(H4"&amp;"511,""মূর্খ|ভণ্ড|প্রতার|অলস|লোভ|স্বার্থ|অক্ষম|অযোগ্য|বোকা|কৃপণ|হিংস"")),""valence-target অমিল"",""""),IF(COUNTIF($B:$B,B4511)&gt;1,""ডুপ্লিকেট"",""""))"),"")</f>
        <v/>
      </c>
      <c r="Q4511" s="5" t="str">
        <f t="shared" si="1"/>
        <v>২ পরে</v>
      </c>
    </row>
    <row r="4512">
      <c r="A4512" s="4">
        <v>2336.0</v>
      </c>
      <c r="B4512" s="2" t="s">
        <v>18506</v>
      </c>
      <c r="C4512" s="2" t="s">
        <v>18507</v>
      </c>
      <c r="D4512" s="2" t="s">
        <v>18508</v>
      </c>
      <c r="E4512" s="2" t="s">
        <v>18509</v>
      </c>
      <c r="F4512" s="2" t="b">
        <v>1</v>
      </c>
      <c r="G4512" s="2" t="b">
        <v>0</v>
      </c>
      <c r="H4512" s="2" t="s">
        <v>37</v>
      </c>
      <c r="I4512" s="2" t="s">
        <v>49</v>
      </c>
      <c r="J4512" s="2" t="s">
        <v>300</v>
      </c>
      <c r="K4512" s="2" t="s">
        <v>495</v>
      </c>
      <c r="L4512" s="13" t="s">
        <v>496</v>
      </c>
      <c r="M4512" s="2" t="s">
        <v>26</v>
      </c>
      <c r="N4512" s="29"/>
      <c r="O4512" s="29"/>
      <c r="P4512" s="5" t="str">
        <f>IFERROR(__xludf.DUMMYFUNCTION("TEXTJOIN("" | "",TRUE,IF(OR(D4512="""",E4512="""",I4512="""",J4512="""",H4512=""""),""ফাঁকা ঘর"",""""),IF(AND(C4512&lt;&gt;"""",D4512&lt;&gt;"""",C4512=D4512),""gloss=figurative"",""""),IF(LEN(D4512)&lt;15,""figurative ছোট"",""""),IF(AND(I4512=""Positive"",REGEXMATCH(H4"&amp;"512,""মূর্খ|ভণ্ড|প্রতার|অলস|লোভ|স্বার্থ|অক্ষম|অযোগ্য|বোকা|কৃপণ|হিংস"")),""valence-target অমিল"",""""),IF(COUNTIF($B:$B,B4512)&gt;1,""ডুপ্লিকেট"",""""))"),"")</f>
        <v/>
      </c>
      <c r="Q4512" s="5" t="str">
        <f t="shared" si="1"/>
        <v>২ পরে</v>
      </c>
    </row>
    <row r="4513">
      <c r="A4513" s="4">
        <v>2337.0</v>
      </c>
      <c r="B4513" s="2" t="s">
        <v>18510</v>
      </c>
      <c r="C4513" s="2" t="s">
        <v>18511</v>
      </c>
      <c r="D4513" s="2" t="s">
        <v>18512</v>
      </c>
      <c r="E4513" s="2" t="s">
        <v>18513</v>
      </c>
      <c r="F4513" s="2" t="b">
        <v>1</v>
      </c>
      <c r="G4513" s="2" t="b">
        <v>0</v>
      </c>
      <c r="H4513" s="2" t="s">
        <v>18514</v>
      </c>
      <c r="I4513" s="2" t="s">
        <v>22</v>
      </c>
      <c r="J4513" s="2" t="s">
        <v>43</v>
      </c>
      <c r="K4513" s="2" t="s">
        <v>495</v>
      </c>
      <c r="L4513" s="13" t="s">
        <v>496</v>
      </c>
      <c r="M4513" s="2" t="s">
        <v>26</v>
      </c>
      <c r="N4513" s="29"/>
      <c r="O4513" s="29"/>
      <c r="P4513" s="5" t="str">
        <f>IFERROR(__xludf.DUMMYFUNCTION("TEXTJOIN("" | "",TRUE,IF(OR(D4513="""",E4513="""",I4513="""",J4513="""",H4513=""""),""ফাঁকা ঘর"",""""),IF(AND(C4513&lt;&gt;"""",D4513&lt;&gt;"""",C4513=D4513),""gloss=figurative"",""""),IF(LEN(D4513)&lt;15,""figurative ছোট"",""""),IF(AND(I4513=""Positive"",REGEXMATCH(H4"&amp;"513,""মূর্খ|ভণ্ড|প্রতার|অলস|লোভ|স্বার্থ|অক্ষম|অযোগ্য|বোকা|কৃপণ|হিংস"")),""valence-target অমিল"",""""),IF(COUNTIF($B:$B,B4513)&gt;1,""ডুপ্লিকেট"",""""))"),"")</f>
        <v/>
      </c>
      <c r="Q4513" s="5" t="str">
        <f t="shared" si="1"/>
        <v>২ পরে</v>
      </c>
    </row>
    <row r="4514">
      <c r="A4514" s="4">
        <v>2338.0</v>
      </c>
      <c r="B4514" s="2" t="s">
        <v>18515</v>
      </c>
      <c r="C4514" s="2" t="s">
        <v>18516</v>
      </c>
      <c r="D4514" s="2" t="s">
        <v>18517</v>
      </c>
      <c r="E4514" s="2" t="s">
        <v>18518</v>
      </c>
      <c r="F4514" s="2" t="b">
        <v>1</v>
      </c>
      <c r="G4514" s="2" t="b">
        <v>0</v>
      </c>
      <c r="H4514" s="2" t="s">
        <v>18519</v>
      </c>
      <c r="I4514" s="2" t="s">
        <v>22</v>
      </c>
      <c r="J4514" s="2" t="s">
        <v>4112</v>
      </c>
      <c r="K4514" s="2" t="s">
        <v>495</v>
      </c>
      <c r="L4514" s="13" t="s">
        <v>496</v>
      </c>
      <c r="M4514" s="2" t="s">
        <v>26</v>
      </c>
      <c r="N4514" s="29"/>
      <c r="O4514" s="29"/>
      <c r="P4514" s="5" t="str">
        <f>IFERROR(__xludf.DUMMYFUNCTION("TEXTJOIN("" | "",TRUE,IF(OR(D4514="""",E4514="""",I4514="""",J4514="""",H4514=""""),""ফাঁকা ঘর"",""""),IF(AND(C4514&lt;&gt;"""",D4514&lt;&gt;"""",C4514=D4514),""gloss=figurative"",""""),IF(LEN(D4514)&lt;15,""figurative ছোট"",""""),IF(AND(I4514=""Positive"",REGEXMATCH(H4"&amp;"514,""মূর্খ|ভণ্ড|প্রতার|অলস|লোভ|স্বার্থ|অক্ষম|অযোগ্য|বোকা|কৃপণ|হিংস"")),""valence-target অমিল"",""""),IF(COUNTIF($B:$B,B4514)&gt;1,""ডুপ্লিকেট"",""""))"),"")</f>
        <v/>
      </c>
      <c r="Q4514" s="5" t="str">
        <f t="shared" si="1"/>
        <v>২ পরে</v>
      </c>
    </row>
    <row r="4515">
      <c r="A4515" s="4">
        <v>2339.0</v>
      </c>
      <c r="B4515" s="2" t="s">
        <v>18520</v>
      </c>
      <c r="C4515" s="2" t="s">
        <v>18521</v>
      </c>
      <c r="D4515" s="2" t="s">
        <v>18522</v>
      </c>
      <c r="E4515" s="2" t="s">
        <v>18523</v>
      </c>
      <c r="F4515" s="2" t="b">
        <v>1</v>
      </c>
      <c r="G4515" s="2" t="b">
        <v>0</v>
      </c>
      <c r="H4515" s="2" t="s">
        <v>189</v>
      </c>
      <c r="I4515" s="2" t="s">
        <v>22</v>
      </c>
      <c r="J4515" s="2" t="s">
        <v>43</v>
      </c>
      <c r="K4515" s="2" t="s">
        <v>495</v>
      </c>
      <c r="L4515" s="13" t="s">
        <v>496</v>
      </c>
      <c r="M4515" s="2" t="s">
        <v>26</v>
      </c>
      <c r="N4515" s="29"/>
      <c r="O4515" s="29"/>
      <c r="P4515" s="5" t="str">
        <f>IFERROR(__xludf.DUMMYFUNCTION("TEXTJOIN("" | "",TRUE,IF(OR(D4515="""",E4515="""",I4515="""",J4515="""",H4515=""""),""ফাঁকা ঘর"",""""),IF(AND(C4515&lt;&gt;"""",D4515&lt;&gt;"""",C4515=D4515),""gloss=figurative"",""""),IF(LEN(D4515)&lt;15,""figurative ছোট"",""""),IF(AND(I4515=""Positive"",REGEXMATCH(H4"&amp;"515,""মূর্খ|ভণ্ড|প্রতার|অলস|লোভ|স্বার্থ|অক্ষম|অযোগ্য|বোকা|কৃপণ|হিংস"")),""valence-target অমিল"",""""),IF(COUNTIF($B:$B,B4515)&gt;1,""ডুপ্লিকেট"",""""))"),"")</f>
        <v/>
      </c>
      <c r="Q4515" s="5" t="str">
        <f t="shared" si="1"/>
        <v>২ পরে</v>
      </c>
    </row>
    <row r="4516">
      <c r="A4516" s="4">
        <v>2340.0</v>
      </c>
      <c r="B4516" s="2" t="s">
        <v>18524</v>
      </c>
      <c r="C4516" s="2" t="s">
        <v>18525</v>
      </c>
      <c r="D4516" s="2" t="s">
        <v>18526</v>
      </c>
      <c r="E4516" s="2" t="s">
        <v>18527</v>
      </c>
      <c r="F4516" s="2" t="b">
        <v>1</v>
      </c>
      <c r="G4516" s="2" t="b">
        <v>0</v>
      </c>
      <c r="H4516" s="2" t="s">
        <v>18528</v>
      </c>
      <c r="I4516" s="2" t="s">
        <v>22</v>
      </c>
      <c r="J4516" s="2" t="s">
        <v>447</v>
      </c>
      <c r="K4516" s="2" t="s">
        <v>495</v>
      </c>
      <c r="L4516" s="13" t="s">
        <v>496</v>
      </c>
      <c r="M4516" s="2" t="s">
        <v>26</v>
      </c>
      <c r="N4516" s="29"/>
      <c r="O4516" s="29"/>
      <c r="P4516" s="5" t="str">
        <f>IFERROR(__xludf.DUMMYFUNCTION("TEXTJOIN("" | "",TRUE,IF(OR(D4516="""",E4516="""",I4516="""",J4516="""",H4516=""""),""ফাঁকা ঘর"",""""),IF(AND(C4516&lt;&gt;"""",D4516&lt;&gt;"""",C4516=D4516),""gloss=figurative"",""""),IF(LEN(D4516)&lt;15,""figurative ছোট"",""""),IF(AND(I4516=""Positive"",REGEXMATCH(H4"&amp;"516,""মূর্খ|ভণ্ড|প্রতার|অলস|লোভ|স্বার্থ|অক্ষম|অযোগ্য|বোকা|কৃপণ|হিংস"")),""valence-target অমিল"",""""),IF(COUNTIF($B:$B,B4516)&gt;1,""ডুপ্লিকেট"",""""))"),"")</f>
        <v/>
      </c>
      <c r="Q4516" s="5" t="str">
        <f t="shared" si="1"/>
        <v>২ পরে</v>
      </c>
    </row>
    <row r="4517">
      <c r="A4517" s="4">
        <v>2341.0</v>
      </c>
      <c r="B4517" s="2" t="s">
        <v>18529</v>
      </c>
      <c r="C4517" s="2" t="s">
        <v>18530</v>
      </c>
      <c r="D4517" s="2" t="s">
        <v>18531</v>
      </c>
      <c r="E4517" s="2" t="s">
        <v>18532</v>
      </c>
      <c r="F4517" s="2" t="b">
        <v>1</v>
      </c>
      <c r="G4517" s="2" t="b">
        <v>0</v>
      </c>
      <c r="H4517" s="2" t="s">
        <v>37</v>
      </c>
      <c r="I4517" s="2" t="s">
        <v>49</v>
      </c>
      <c r="J4517" s="2" t="s">
        <v>447</v>
      </c>
      <c r="K4517" s="2" t="s">
        <v>495</v>
      </c>
      <c r="L4517" s="13" t="s">
        <v>496</v>
      </c>
      <c r="M4517" s="2" t="s">
        <v>26</v>
      </c>
      <c r="N4517" s="29"/>
      <c r="O4517" s="29"/>
      <c r="P4517" s="5" t="str">
        <f>IFERROR(__xludf.DUMMYFUNCTION("TEXTJOIN("" | "",TRUE,IF(OR(D4517="""",E4517="""",I4517="""",J4517="""",H4517=""""),""ফাঁকা ঘর"",""""),IF(AND(C4517&lt;&gt;"""",D4517&lt;&gt;"""",C4517=D4517),""gloss=figurative"",""""),IF(LEN(D4517)&lt;15,""figurative ছোট"",""""),IF(AND(I4517=""Positive"",REGEXMATCH(H4"&amp;"517,""মূর্খ|ভণ্ড|প্রতার|অলস|লোভ|স্বার্থ|অক্ষম|অযোগ্য|বোকা|কৃপণ|হিংস"")),""valence-target অমিল"",""""),IF(COUNTIF($B:$B,B4517)&gt;1,""ডুপ্লিকেট"",""""))"),"")</f>
        <v/>
      </c>
      <c r="Q4517" s="5" t="str">
        <f t="shared" si="1"/>
        <v>২ পরে</v>
      </c>
    </row>
    <row r="4518">
      <c r="A4518" s="4">
        <v>2342.0</v>
      </c>
      <c r="B4518" s="2" t="s">
        <v>18533</v>
      </c>
      <c r="C4518" s="2" t="s">
        <v>18534</v>
      </c>
      <c r="D4518" s="2" t="s">
        <v>18535</v>
      </c>
      <c r="E4518" s="2" t="s">
        <v>18536</v>
      </c>
      <c r="F4518" s="2" t="b">
        <v>1</v>
      </c>
      <c r="G4518" s="2" t="b">
        <v>0</v>
      </c>
      <c r="H4518" s="2" t="s">
        <v>18537</v>
      </c>
      <c r="I4518" s="2" t="s">
        <v>22</v>
      </c>
      <c r="J4518" s="2" t="s">
        <v>762</v>
      </c>
      <c r="K4518" s="2" t="s">
        <v>495</v>
      </c>
      <c r="L4518" s="13" t="s">
        <v>496</v>
      </c>
      <c r="M4518" s="2" t="s">
        <v>26</v>
      </c>
      <c r="N4518" s="29"/>
      <c r="O4518" s="29"/>
      <c r="P4518" s="5" t="str">
        <f>IFERROR(__xludf.DUMMYFUNCTION("TEXTJOIN("" | "",TRUE,IF(OR(D4518="""",E4518="""",I4518="""",J4518="""",H4518=""""),""ফাঁকা ঘর"",""""),IF(AND(C4518&lt;&gt;"""",D4518&lt;&gt;"""",C4518=D4518),""gloss=figurative"",""""),IF(LEN(D4518)&lt;15,""figurative ছোট"",""""),IF(AND(I4518=""Positive"",REGEXMATCH(H4"&amp;"518,""মূর্খ|ভণ্ড|প্রতার|অলস|লোভ|স্বার্থ|অক্ষম|অযোগ্য|বোকা|কৃপণ|হিংস"")),""valence-target অমিল"",""""),IF(COUNTIF($B:$B,B4518)&gt;1,""ডুপ্লিকেট"",""""))"),"")</f>
        <v/>
      </c>
      <c r="Q4518" s="5" t="str">
        <f t="shared" si="1"/>
        <v>২ পরে</v>
      </c>
    </row>
    <row r="4519">
      <c r="A4519" s="4">
        <v>2343.0</v>
      </c>
      <c r="B4519" s="2" t="s">
        <v>18538</v>
      </c>
      <c r="C4519" s="2" t="s">
        <v>18539</v>
      </c>
      <c r="D4519" s="2" t="s">
        <v>18540</v>
      </c>
      <c r="E4519" s="2" t="s">
        <v>18541</v>
      </c>
      <c r="F4519" s="2" t="b">
        <v>1</v>
      </c>
      <c r="G4519" s="2" t="b">
        <v>0</v>
      </c>
      <c r="H4519" s="2" t="s">
        <v>18542</v>
      </c>
      <c r="I4519" s="2" t="s">
        <v>22</v>
      </c>
      <c r="J4519" s="2" t="s">
        <v>43</v>
      </c>
      <c r="K4519" s="2" t="s">
        <v>495</v>
      </c>
      <c r="L4519" s="13" t="s">
        <v>496</v>
      </c>
      <c r="M4519" s="2" t="s">
        <v>26</v>
      </c>
      <c r="N4519" s="29"/>
      <c r="O4519" s="29"/>
      <c r="P4519" s="5" t="str">
        <f>IFERROR(__xludf.DUMMYFUNCTION("TEXTJOIN("" | "",TRUE,IF(OR(D4519="""",E4519="""",I4519="""",J4519="""",H4519=""""),""ফাঁকা ঘর"",""""),IF(AND(C4519&lt;&gt;"""",D4519&lt;&gt;"""",C4519=D4519),""gloss=figurative"",""""),IF(LEN(D4519)&lt;15,""figurative ছোট"",""""),IF(AND(I4519=""Positive"",REGEXMATCH(H4"&amp;"519,""মূর্খ|ভণ্ড|প্রতার|অলস|লোভ|স্বার্থ|অক্ষম|অযোগ্য|বোকা|কৃপণ|হিংস"")),""valence-target অমিল"",""""),IF(COUNTIF($B:$B,B4519)&gt;1,""ডুপ্লিকেট"",""""))"),"")</f>
        <v/>
      </c>
      <c r="Q4519" s="5" t="str">
        <f t="shared" si="1"/>
        <v>২ পরে</v>
      </c>
    </row>
    <row r="4520">
      <c r="A4520" s="4">
        <v>2344.0</v>
      </c>
      <c r="B4520" s="2" t="s">
        <v>18543</v>
      </c>
      <c r="C4520" s="2" t="s">
        <v>18516</v>
      </c>
      <c r="D4520" s="2" t="s">
        <v>18544</v>
      </c>
      <c r="E4520" s="2" t="s">
        <v>18545</v>
      </c>
      <c r="F4520" s="2" t="b">
        <v>1</v>
      </c>
      <c r="G4520" s="2" t="b">
        <v>0</v>
      </c>
      <c r="H4520" s="2" t="s">
        <v>18546</v>
      </c>
      <c r="I4520" s="2" t="s">
        <v>22</v>
      </c>
      <c r="J4520" s="2" t="s">
        <v>4112</v>
      </c>
      <c r="K4520" s="2" t="s">
        <v>495</v>
      </c>
      <c r="L4520" s="13" t="s">
        <v>496</v>
      </c>
      <c r="M4520" s="2" t="s">
        <v>26</v>
      </c>
      <c r="N4520" s="29"/>
      <c r="O4520" s="29"/>
      <c r="P4520" s="5" t="str">
        <f>IFERROR(__xludf.DUMMYFUNCTION("TEXTJOIN("" | "",TRUE,IF(OR(D4520="""",E4520="""",I4520="""",J4520="""",H4520=""""),""ফাঁকা ঘর"",""""),IF(AND(C4520&lt;&gt;"""",D4520&lt;&gt;"""",C4520=D4520),""gloss=figurative"",""""),IF(LEN(D4520)&lt;15,""figurative ছোট"",""""),IF(AND(I4520=""Positive"",REGEXMATCH(H4"&amp;"520,""মূর্খ|ভণ্ড|প্রতার|অলস|লোভ|স্বার্থ|অক্ষম|অযোগ্য|বোকা|কৃপণ|হিংস"")),""valence-target অমিল"",""""),IF(COUNTIF($B:$B,B4520)&gt;1,""ডুপ্লিকেট"",""""))"),"")</f>
        <v/>
      </c>
      <c r="Q4520" s="5" t="str">
        <f t="shared" si="1"/>
        <v>২ পরে</v>
      </c>
    </row>
    <row r="4521">
      <c r="A4521" s="4">
        <v>2345.0</v>
      </c>
      <c r="B4521" s="2" t="s">
        <v>18547</v>
      </c>
      <c r="C4521" s="2" t="s">
        <v>18548</v>
      </c>
      <c r="D4521" s="2" t="s">
        <v>18549</v>
      </c>
      <c r="E4521" s="2" t="s">
        <v>18550</v>
      </c>
      <c r="F4521" s="2" t="b">
        <v>1</v>
      </c>
      <c r="G4521" s="2" t="b">
        <v>0</v>
      </c>
      <c r="H4521" s="2" t="s">
        <v>18551</v>
      </c>
      <c r="I4521" s="2" t="s">
        <v>22</v>
      </c>
      <c r="J4521" s="2" t="s">
        <v>447</v>
      </c>
      <c r="K4521" s="2" t="s">
        <v>495</v>
      </c>
      <c r="L4521" s="13" t="s">
        <v>496</v>
      </c>
      <c r="M4521" s="2" t="s">
        <v>26</v>
      </c>
      <c r="N4521" s="29"/>
      <c r="O4521" s="29"/>
      <c r="P4521" s="5" t="str">
        <f>IFERROR(__xludf.DUMMYFUNCTION("TEXTJOIN("" | "",TRUE,IF(OR(D4521="""",E4521="""",I4521="""",J4521="""",H4521=""""),""ফাঁকা ঘর"",""""),IF(AND(C4521&lt;&gt;"""",D4521&lt;&gt;"""",C4521=D4521),""gloss=figurative"",""""),IF(LEN(D4521)&lt;15,""figurative ছোট"",""""),IF(AND(I4521=""Positive"",REGEXMATCH(H4"&amp;"521,""মূর্খ|ভণ্ড|প্রতার|অলস|লোভ|স্বার্থ|অক্ষম|অযোগ্য|বোকা|কৃপণ|হিংস"")),""valence-target অমিল"",""""),IF(COUNTIF($B:$B,B4521)&gt;1,""ডুপ্লিকেট"",""""))"),"")</f>
        <v/>
      </c>
      <c r="Q4521" s="5" t="str">
        <f t="shared" si="1"/>
        <v>২ পরে</v>
      </c>
    </row>
    <row r="4522">
      <c r="A4522" s="4">
        <v>2346.0</v>
      </c>
      <c r="B4522" s="2" t="s">
        <v>18552</v>
      </c>
      <c r="C4522" s="2" t="s">
        <v>18553</v>
      </c>
      <c r="D4522" s="2" t="s">
        <v>18554</v>
      </c>
      <c r="E4522" s="2" t="s">
        <v>18555</v>
      </c>
      <c r="F4522" s="2" t="b">
        <v>1</v>
      </c>
      <c r="G4522" s="2" t="b">
        <v>0</v>
      </c>
      <c r="H4522" s="2" t="s">
        <v>18556</v>
      </c>
      <c r="I4522" s="2" t="s">
        <v>22</v>
      </c>
      <c r="J4522" s="2" t="s">
        <v>447</v>
      </c>
      <c r="K4522" s="2" t="s">
        <v>495</v>
      </c>
      <c r="L4522" s="13" t="s">
        <v>496</v>
      </c>
      <c r="M4522" s="2" t="s">
        <v>26</v>
      </c>
      <c r="N4522" s="29"/>
      <c r="O4522" s="29"/>
      <c r="P4522" s="5" t="str">
        <f>IFERROR(__xludf.DUMMYFUNCTION("TEXTJOIN("" | "",TRUE,IF(OR(D4522="""",E4522="""",I4522="""",J4522="""",H4522=""""),""ফাঁকা ঘর"",""""),IF(AND(C4522&lt;&gt;"""",D4522&lt;&gt;"""",C4522=D4522),""gloss=figurative"",""""),IF(LEN(D4522)&lt;15,""figurative ছোট"",""""),IF(AND(I4522=""Positive"",REGEXMATCH(H4"&amp;"522,""মূর্খ|ভণ্ড|প্রতার|অলস|লোভ|স্বার্থ|অক্ষম|অযোগ্য|বোকা|কৃপণ|হিংস"")),""valence-target অমিল"",""""),IF(COUNTIF($B:$B,B4522)&gt;1,""ডুপ্লিকেট"",""""))"),"")</f>
        <v/>
      </c>
      <c r="Q4522" s="5" t="str">
        <f t="shared" si="1"/>
        <v>২ পরে</v>
      </c>
    </row>
    <row r="4523">
      <c r="A4523" s="4">
        <v>2347.0</v>
      </c>
      <c r="B4523" s="2" t="s">
        <v>18557</v>
      </c>
      <c r="C4523" s="2" t="s">
        <v>18558</v>
      </c>
      <c r="D4523" s="2" t="s">
        <v>18559</v>
      </c>
      <c r="E4523" s="2" t="s">
        <v>18560</v>
      </c>
      <c r="F4523" s="2" t="b">
        <v>1</v>
      </c>
      <c r="G4523" s="2" t="b">
        <v>0</v>
      </c>
      <c r="H4523" s="2" t="s">
        <v>37</v>
      </c>
      <c r="I4523" s="2" t="s">
        <v>49</v>
      </c>
      <c r="J4523" s="2" t="s">
        <v>708</v>
      </c>
      <c r="K4523" s="2" t="s">
        <v>495</v>
      </c>
      <c r="L4523" s="13" t="s">
        <v>496</v>
      </c>
      <c r="M4523" s="2" t="s">
        <v>26</v>
      </c>
      <c r="N4523" s="29"/>
      <c r="O4523" s="29"/>
      <c r="P4523" s="5" t="str">
        <f>IFERROR(__xludf.DUMMYFUNCTION("TEXTJOIN("" | "",TRUE,IF(OR(D4523="""",E4523="""",I4523="""",J4523="""",H4523=""""),""ফাঁকা ঘর"",""""),IF(AND(C4523&lt;&gt;"""",D4523&lt;&gt;"""",C4523=D4523),""gloss=figurative"",""""),IF(LEN(D4523)&lt;15,""figurative ছোট"",""""),IF(AND(I4523=""Positive"",REGEXMATCH(H4"&amp;"523,""মূর্খ|ভণ্ড|প্রতার|অলস|লোভ|স্বার্থ|অক্ষম|অযোগ্য|বোকা|কৃপণ|হিংস"")),""valence-target অমিল"",""""),IF(COUNTIF($B:$B,B4523)&gt;1,""ডুপ্লিকেট"",""""))"),"")</f>
        <v/>
      </c>
      <c r="Q4523" s="5" t="str">
        <f t="shared" si="1"/>
        <v>২ পরে</v>
      </c>
    </row>
    <row r="4524">
      <c r="A4524" s="4">
        <v>2348.0</v>
      </c>
      <c r="B4524" s="2" t="s">
        <v>18561</v>
      </c>
      <c r="C4524" s="2" t="s">
        <v>18562</v>
      </c>
      <c r="D4524" s="2" t="s">
        <v>18563</v>
      </c>
      <c r="E4524" s="2" t="s">
        <v>18564</v>
      </c>
      <c r="F4524" s="2" t="b">
        <v>1</v>
      </c>
      <c r="G4524" s="2" t="b">
        <v>1</v>
      </c>
      <c r="H4524" s="2" t="s">
        <v>18565</v>
      </c>
      <c r="I4524" s="2" t="s">
        <v>22</v>
      </c>
      <c r="J4524" s="2" t="s">
        <v>447</v>
      </c>
      <c r="K4524" s="2" t="s">
        <v>495</v>
      </c>
      <c r="L4524" s="13" t="s">
        <v>496</v>
      </c>
      <c r="M4524" s="2" t="s">
        <v>26</v>
      </c>
      <c r="N4524" s="29"/>
      <c r="O4524" s="29"/>
      <c r="P4524" s="5" t="str">
        <f>IFERROR(__xludf.DUMMYFUNCTION("TEXTJOIN("" | "",TRUE,IF(OR(D4524="""",E4524="""",I4524="""",J4524="""",H4524=""""),""ফাঁকা ঘর"",""""),IF(AND(C4524&lt;&gt;"""",D4524&lt;&gt;"""",C4524=D4524),""gloss=figurative"",""""),IF(LEN(D4524)&lt;15,""figurative ছোট"",""""),IF(AND(I4524=""Positive"",REGEXMATCH(H4"&amp;"524,""মূর্খ|ভণ্ড|প্রতার|অলস|লোভ|স্বার্থ|অক্ষম|অযোগ্য|বোকা|কৃপণ|হিংস"")),""valence-target অমিল"",""""),IF(COUNTIF($B:$B,B4524)&gt;1,""ডুপ্লিকেট"",""""))"),"")</f>
        <v/>
      </c>
      <c r="Q4524" s="5" t="str">
        <f t="shared" si="1"/>
        <v>২ পরে</v>
      </c>
    </row>
    <row r="4525">
      <c r="A4525" s="4">
        <v>2349.0</v>
      </c>
      <c r="B4525" s="2" t="s">
        <v>18566</v>
      </c>
      <c r="C4525" s="2" t="s">
        <v>18567</v>
      </c>
      <c r="D4525" s="2" t="s">
        <v>18568</v>
      </c>
      <c r="E4525" s="2" t="s">
        <v>18569</v>
      </c>
      <c r="F4525" s="2" t="b">
        <v>1</v>
      </c>
      <c r="G4525" s="2" t="b">
        <v>0</v>
      </c>
      <c r="H4525" s="2" t="s">
        <v>37</v>
      </c>
      <c r="I4525" s="2" t="s">
        <v>49</v>
      </c>
      <c r="J4525" s="2" t="s">
        <v>708</v>
      </c>
      <c r="K4525" s="2" t="s">
        <v>495</v>
      </c>
      <c r="L4525" s="13" t="s">
        <v>496</v>
      </c>
      <c r="M4525" s="2" t="s">
        <v>26</v>
      </c>
      <c r="N4525" s="29"/>
      <c r="O4525" s="29"/>
      <c r="P4525" s="5" t="str">
        <f>IFERROR(__xludf.DUMMYFUNCTION("TEXTJOIN("" | "",TRUE,IF(OR(D4525="""",E4525="""",I4525="""",J4525="""",H4525=""""),""ফাঁকা ঘর"",""""),IF(AND(C4525&lt;&gt;"""",D4525&lt;&gt;"""",C4525=D4525),""gloss=figurative"",""""),IF(LEN(D4525)&lt;15,""figurative ছোট"",""""),IF(AND(I4525=""Positive"",REGEXMATCH(H4"&amp;"525,""মূর্খ|ভণ্ড|প্রতার|অলস|লোভ|স্বার্থ|অক্ষম|অযোগ্য|বোকা|কৃপণ|হিংস"")),""valence-target অমিল"",""""),IF(COUNTIF($B:$B,B4525)&gt;1,""ডুপ্লিকেট"",""""))"),"")</f>
        <v/>
      </c>
      <c r="Q4525" s="5" t="str">
        <f t="shared" si="1"/>
        <v>২ পরে</v>
      </c>
    </row>
    <row r="4526">
      <c r="A4526" s="4">
        <v>2350.0</v>
      </c>
      <c r="B4526" s="2" t="s">
        <v>18570</v>
      </c>
      <c r="C4526" s="2" t="s">
        <v>18571</v>
      </c>
      <c r="D4526" s="2" t="s">
        <v>18572</v>
      </c>
      <c r="E4526" s="2" t="s">
        <v>18573</v>
      </c>
      <c r="F4526" s="2" t="b">
        <v>1</v>
      </c>
      <c r="G4526" s="2" t="b">
        <v>0</v>
      </c>
      <c r="H4526" s="2" t="s">
        <v>37</v>
      </c>
      <c r="I4526" s="2" t="s">
        <v>49</v>
      </c>
      <c r="J4526" s="2" t="s">
        <v>708</v>
      </c>
      <c r="K4526" s="2" t="s">
        <v>495</v>
      </c>
      <c r="L4526" s="13" t="s">
        <v>496</v>
      </c>
      <c r="M4526" s="2" t="s">
        <v>26</v>
      </c>
      <c r="N4526" s="29"/>
      <c r="O4526" s="29"/>
      <c r="P4526" s="5" t="str">
        <f>IFERROR(__xludf.DUMMYFUNCTION("TEXTJOIN("" | "",TRUE,IF(OR(D4526="""",E4526="""",I4526="""",J4526="""",H4526=""""),""ফাঁকা ঘর"",""""),IF(AND(C4526&lt;&gt;"""",D4526&lt;&gt;"""",C4526=D4526),""gloss=figurative"",""""),IF(LEN(D4526)&lt;15,""figurative ছোট"",""""),IF(AND(I4526=""Positive"",REGEXMATCH(H4"&amp;"526,""মূর্খ|ভণ্ড|প্রতার|অলস|লোভ|স্বার্থ|অক্ষম|অযোগ্য|বোকা|কৃপণ|হিংস"")),""valence-target অমিল"",""""),IF(COUNTIF($B:$B,B4526)&gt;1,""ডুপ্লিকেট"",""""))"),"")</f>
        <v/>
      </c>
      <c r="Q4526" s="5" t="str">
        <f t="shared" si="1"/>
        <v>২ পরে</v>
      </c>
    </row>
    <row r="4527">
      <c r="A4527" s="4">
        <v>2351.0</v>
      </c>
      <c r="B4527" s="2" t="s">
        <v>18574</v>
      </c>
      <c r="C4527" s="2" t="s">
        <v>18574</v>
      </c>
      <c r="D4527" s="2" t="s">
        <v>18575</v>
      </c>
      <c r="E4527" s="2" t="s">
        <v>18576</v>
      </c>
      <c r="F4527" s="2" t="b">
        <v>1</v>
      </c>
      <c r="G4527" s="2" t="b">
        <v>0</v>
      </c>
      <c r="H4527" s="2" t="s">
        <v>37</v>
      </c>
      <c r="I4527" s="2" t="s">
        <v>22</v>
      </c>
      <c r="J4527" s="2" t="s">
        <v>2671</v>
      </c>
      <c r="K4527" s="2" t="s">
        <v>495</v>
      </c>
      <c r="L4527" s="13" t="s">
        <v>496</v>
      </c>
      <c r="M4527" s="2" t="s">
        <v>26</v>
      </c>
      <c r="N4527" s="29"/>
      <c r="O4527" s="29"/>
      <c r="P4527" s="5" t="str">
        <f>IFERROR(__xludf.DUMMYFUNCTION("TEXTJOIN("" | "",TRUE,IF(OR(D4527="""",E4527="""",I4527="""",J4527="""",H4527=""""),""ফাঁকা ঘর"",""""),IF(AND(C4527&lt;&gt;"""",D4527&lt;&gt;"""",C4527=D4527),""gloss=figurative"",""""),IF(LEN(D4527)&lt;15,""figurative ছোট"",""""),IF(AND(I4527=""Positive"",REGEXMATCH(H4"&amp;"527,""মূর্খ|ভণ্ড|প্রতার|অলস|লোভ|স্বার্থ|অক্ষম|অযোগ্য|বোকা|কৃপণ|হিংস"")),""valence-target অমিল"",""""),IF(COUNTIF($B:$B,B4527)&gt;1,""ডুপ্লিকেট"",""""))"),"")</f>
        <v/>
      </c>
      <c r="Q4527" s="5" t="str">
        <f t="shared" si="1"/>
        <v>২ পরে</v>
      </c>
    </row>
    <row r="4528">
      <c r="A4528" s="4">
        <v>2352.0</v>
      </c>
      <c r="B4528" s="2" t="s">
        <v>18577</v>
      </c>
      <c r="C4528" s="2" t="s">
        <v>18578</v>
      </c>
      <c r="D4528" s="2" t="s">
        <v>18579</v>
      </c>
      <c r="E4528" s="2" t="s">
        <v>18580</v>
      </c>
      <c r="F4528" s="2" t="b">
        <v>1</v>
      </c>
      <c r="G4528" s="2" t="b">
        <v>0</v>
      </c>
      <c r="H4528" s="2" t="s">
        <v>37</v>
      </c>
      <c r="I4528" s="2" t="s">
        <v>32</v>
      </c>
      <c r="J4528" s="2" t="s">
        <v>18581</v>
      </c>
      <c r="K4528" s="2" t="s">
        <v>495</v>
      </c>
      <c r="L4528" s="13" t="s">
        <v>496</v>
      </c>
      <c r="M4528" s="2" t="s">
        <v>26</v>
      </c>
      <c r="N4528" s="29"/>
      <c r="O4528" s="29"/>
      <c r="P4528" s="5" t="str">
        <f>IFERROR(__xludf.DUMMYFUNCTION("TEXTJOIN("" | "",TRUE,IF(OR(D4528="""",E4528="""",I4528="""",J4528="""",H4528=""""),""ফাঁকা ঘর"",""""),IF(AND(C4528&lt;&gt;"""",D4528&lt;&gt;"""",C4528=D4528),""gloss=figurative"",""""),IF(LEN(D4528)&lt;15,""figurative ছোট"",""""),IF(AND(I4528=""Positive"",REGEXMATCH(H4"&amp;"528,""মূর্খ|ভণ্ড|প্রতার|অলস|লোভ|স্বার্থ|অক্ষম|অযোগ্য|বোকা|কৃপণ|হিংস"")),""valence-target অমিল"",""""),IF(COUNTIF($B:$B,B4528)&gt;1,""ডুপ্লিকেট"",""""))"),"")</f>
        <v/>
      </c>
      <c r="Q4528" s="5" t="str">
        <f t="shared" si="1"/>
        <v>২ পরে</v>
      </c>
    </row>
    <row r="4529">
      <c r="A4529" s="4">
        <v>2353.0</v>
      </c>
      <c r="B4529" s="2" t="s">
        <v>18582</v>
      </c>
      <c r="C4529" s="2" t="s">
        <v>18583</v>
      </c>
      <c r="D4529" s="2" t="s">
        <v>18584</v>
      </c>
      <c r="E4529" s="2" t="s">
        <v>18585</v>
      </c>
      <c r="F4529" s="2" t="b">
        <v>1</v>
      </c>
      <c r="G4529" s="2" t="b">
        <v>0</v>
      </c>
      <c r="H4529" s="2" t="s">
        <v>37</v>
      </c>
      <c r="I4529" s="2" t="s">
        <v>49</v>
      </c>
      <c r="J4529" s="2" t="s">
        <v>1008</v>
      </c>
      <c r="K4529" s="2" t="s">
        <v>495</v>
      </c>
      <c r="L4529" s="13" t="s">
        <v>496</v>
      </c>
      <c r="M4529" s="2" t="s">
        <v>26</v>
      </c>
      <c r="N4529" s="29"/>
      <c r="O4529" s="29"/>
      <c r="P4529" s="5" t="str">
        <f>IFERROR(__xludf.DUMMYFUNCTION("TEXTJOIN("" | "",TRUE,IF(OR(D4529="""",E4529="""",I4529="""",J4529="""",H4529=""""),""ফাঁকা ঘর"",""""),IF(AND(C4529&lt;&gt;"""",D4529&lt;&gt;"""",C4529=D4529),""gloss=figurative"",""""),IF(LEN(D4529)&lt;15,""figurative ছোট"",""""),IF(AND(I4529=""Positive"",REGEXMATCH(H4"&amp;"529,""মূর্খ|ভণ্ড|প্রতার|অলস|লোভ|স্বার্থ|অক্ষম|অযোগ্য|বোকা|কৃপণ|হিংস"")),""valence-target অমিল"",""""),IF(COUNTIF($B:$B,B4529)&gt;1,""ডুপ্লিকেট"",""""))"),"")</f>
        <v/>
      </c>
      <c r="Q4529" s="5" t="str">
        <f t="shared" si="1"/>
        <v>২ পরে</v>
      </c>
    </row>
    <row r="4530">
      <c r="A4530" s="4">
        <v>2356.0</v>
      </c>
      <c r="B4530" s="2" t="s">
        <v>18586</v>
      </c>
      <c r="C4530" s="2" t="s">
        <v>18587</v>
      </c>
      <c r="D4530" s="2" t="s">
        <v>18588</v>
      </c>
      <c r="E4530" s="2" t="s">
        <v>18589</v>
      </c>
      <c r="F4530" s="2" t="b">
        <v>1</v>
      </c>
      <c r="G4530" s="2" t="b">
        <v>0</v>
      </c>
      <c r="H4530" s="2" t="s">
        <v>37</v>
      </c>
      <c r="I4530" s="2" t="s">
        <v>32</v>
      </c>
      <c r="J4530" s="2" t="s">
        <v>18590</v>
      </c>
      <c r="K4530" s="2" t="s">
        <v>495</v>
      </c>
      <c r="L4530" s="13" t="s">
        <v>496</v>
      </c>
      <c r="M4530" s="2" t="s">
        <v>26</v>
      </c>
      <c r="N4530" s="29"/>
      <c r="O4530" s="29"/>
      <c r="P4530" s="5" t="str">
        <f>IFERROR(__xludf.DUMMYFUNCTION("TEXTJOIN("" | "",TRUE,IF(OR(D4530="""",E4530="""",I4530="""",J4530="""",H4530=""""),""ফাঁকা ঘর"",""""),IF(AND(C4530&lt;&gt;"""",D4530&lt;&gt;"""",C4530=D4530),""gloss=figurative"",""""),IF(LEN(D4530)&lt;15,""figurative ছোট"",""""),IF(AND(I4530=""Positive"",REGEXMATCH(H4"&amp;"530,""মূর্খ|ভণ্ড|প্রতার|অলস|লোভ|স্বার্থ|অক্ষম|অযোগ্য|বোকা|কৃপণ|হিংস"")),""valence-target অমিল"",""""),IF(COUNTIF($B:$B,B4530)&gt;1,""ডুপ্লিকেট"",""""))"),"")</f>
        <v/>
      </c>
      <c r="Q4530" s="5" t="str">
        <f t="shared" si="1"/>
        <v>২ পরে</v>
      </c>
    </row>
    <row r="4531">
      <c r="A4531" s="4">
        <v>2357.0</v>
      </c>
      <c r="B4531" s="2" t="s">
        <v>18591</v>
      </c>
      <c r="C4531" s="2" t="s">
        <v>18592</v>
      </c>
      <c r="D4531" s="2" t="s">
        <v>18593</v>
      </c>
      <c r="E4531" s="2" t="s">
        <v>18594</v>
      </c>
      <c r="F4531" s="2" t="b">
        <v>1</v>
      </c>
      <c r="G4531" s="2" t="b">
        <v>0</v>
      </c>
      <c r="H4531" s="2" t="s">
        <v>37</v>
      </c>
      <c r="I4531" s="2" t="s">
        <v>32</v>
      </c>
      <c r="J4531" s="2" t="s">
        <v>18590</v>
      </c>
      <c r="K4531" s="2" t="s">
        <v>495</v>
      </c>
      <c r="L4531" s="13" t="s">
        <v>496</v>
      </c>
      <c r="M4531" s="2" t="s">
        <v>26</v>
      </c>
      <c r="N4531" s="29"/>
      <c r="O4531" s="29"/>
      <c r="P4531" s="5" t="str">
        <f>IFERROR(__xludf.DUMMYFUNCTION("TEXTJOIN("" | "",TRUE,IF(OR(D4531="""",E4531="""",I4531="""",J4531="""",H4531=""""),""ফাঁকা ঘর"",""""),IF(AND(C4531&lt;&gt;"""",D4531&lt;&gt;"""",C4531=D4531),""gloss=figurative"",""""),IF(LEN(D4531)&lt;15,""figurative ছোট"",""""),IF(AND(I4531=""Positive"",REGEXMATCH(H4"&amp;"531,""মূর্খ|ভণ্ড|প্রতার|অলস|লোভ|স্বার্থ|অক্ষম|অযোগ্য|বোকা|কৃপণ|হিংস"")),""valence-target অমিল"",""""),IF(COUNTIF($B:$B,B4531)&gt;1,""ডুপ্লিকেট"",""""))"),"")</f>
        <v/>
      </c>
      <c r="Q4531" s="5" t="str">
        <f t="shared" si="1"/>
        <v>২ পরে</v>
      </c>
    </row>
    <row r="4532">
      <c r="A4532" s="4">
        <v>2358.0</v>
      </c>
      <c r="B4532" s="2" t="s">
        <v>18595</v>
      </c>
      <c r="C4532" s="2" t="s">
        <v>18596</v>
      </c>
      <c r="D4532" s="2" t="s">
        <v>18597</v>
      </c>
      <c r="E4532" s="2" t="s">
        <v>18598</v>
      </c>
      <c r="F4532" s="2" t="b">
        <v>1</v>
      </c>
      <c r="G4532" s="2" t="b">
        <v>0</v>
      </c>
      <c r="H4532" s="2" t="s">
        <v>37</v>
      </c>
      <c r="I4532" s="2" t="s">
        <v>32</v>
      </c>
      <c r="J4532" s="2" t="s">
        <v>1111</v>
      </c>
      <c r="K4532" s="2" t="s">
        <v>495</v>
      </c>
      <c r="L4532" s="13" t="s">
        <v>496</v>
      </c>
      <c r="M4532" s="2" t="s">
        <v>26</v>
      </c>
      <c r="N4532" s="29"/>
      <c r="O4532" s="29"/>
      <c r="P4532" s="5" t="str">
        <f>IFERROR(__xludf.DUMMYFUNCTION("TEXTJOIN("" | "",TRUE,IF(OR(D4532="""",E4532="""",I4532="""",J4532="""",H4532=""""),""ফাঁকা ঘর"",""""),IF(AND(C4532&lt;&gt;"""",D4532&lt;&gt;"""",C4532=D4532),""gloss=figurative"",""""),IF(LEN(D4532)&lt;15,""figurative ছোট"",""""),IF(AND(I4532=""Positive"",REGEXMATCH(H4"&amp;"532,""মূর্খ|ভণ্ড|প্রতার|অলস|লোভ|স্বার্থ|অক্ষম|অযোগ্য|বোকা|কৃপণ|হিংস"")),""valence-target অমিল"",""""),IF(COUNTIF($B:$B,B4532)&gt;1,""ডুপ্লিকেট"",""""))"),"")</f>
        <v/>
      </c>
      <c r="Q4532" s="5" t="str">
        <f t="shared" si="1"/>
        <v>২ পরে</v>
      </c>
    </row>
    <row r="4533">
      <c r="A4533" s="4">
        <v>2359.0</v>
      </c>
      <c r="B4533" s="2" t="s">
        <v>18599</v>
      </c>
      <c r="C4533" s="2" t="s">
        <v>18600</v>
      </c>
      <c r="D4533" s="2" t="s">
        <v>18601</v>
      </c>
      <c r="E4533" s="2" t="s">
        <v>18602</v>
      </c>
      <c r="F4533" s="2" t="b">
        <v>1</v>
      </c>
      <c r="G4533" s="2" t="b">
        <v>0</v>
      </c>
      <c r="H4533" s="2" t="s">
        <v>37</v>
      </c>
      <c r="I4533" s="2" t="s">
        <v>32</v>
      </c>
      <c r="J4533" s="2" t="s">
        <v>4110</v>
      </c>
      <c r="K4533" s="2" t="s">
        <v>495</v>
      </c>
      <c r="L4533" s="13" t="s">
        <v>496</v>
      </c>
      <c r="M4533" s="2" t="s">
        <v>26</v>
      </c>
      <c r="N4533" s="29"/>
      <c r="O4533" s="29"/>
      <c r="P4533" s="5" t="str">
        <f>IFERROR(__xludf.DUMMYFUNCTION("TEXTJOIN("" | "",TRUE,IF(OR(D4533="""",E4533="""",I4533="""",J4533="""",H4533=""""),""ফাঁকা ঘর"",""""),IF(AND(C4533&lt;&gt;"""",D4533&lt;&gt;"""",C4533=D4533),""gloss=figurative"",""""),IF(LEN(D4533)&lt;15,""figurative ছোট"",""""),IF(AND(I4533=""Positive"",REGEXMATCH(H4"&amp;"533,""মূর্খ|ভণ্ড|প্রতার|অলস|লোভ|স্বার্থ|অক্ষম|অযোগ্য|বোকা|কৃপণ|হিংস"")),""valence-target অমিল"",""""),IF(COUNTIF($B:$B,B4533)&gt;1,""ডুপ্লিকেট"",""""))"),"")</f>
        <v/>
      </c>
      <c r="Q4533" s="5" t="str">
        <f t="shared" si="1"/>
        <v>২ পরে</v>
      </c>
    </row>
    <row r="4534">
      <c r="A4534" s="4">
        <v>2360.0</v>
      </c>
      <c r="B4534" s="2" t="s">
        <v>18603</v>
      </c>
      <c r="C4534" s="2" t="s">
        <v>18604</v>
      </c>
      <c r="D4534" s="2" t="s">
        <v>18605</v>
      </c>
      <c r="E4534" s="2" t="s">
        <v>18606</v>
      </c>
      <c r="F4534" s="2" t="b">
        <v>1</v>
      </c>
      <c r="G4534" s="2" t="b">
        <v>0</v>
      </c>
      <c r="H4534" s="2" t="s">
        <v>18607</v>
      </c>
      <c r="I4534" s="2" t="s">
        <v>22</v>
      </c>
      <c r="J4534" s="2" t="s">
        <v>447</v>
      </c>
      <c r="K4534" s="2" t="s">
        <v>495</v>
      </c>
      <c r="L4534" s="13" t="s">
        <v>496</v>
      </c>
      <c r="M4534" s="2" t="s">
        <v>26</v>
      </c>
      <c r="N4534" s="29"/>
      <c r="O4534" s="29"/>
      <c r="P4534" s="5" t="str">
        <f>IFERROR(__xludf.DUMMYFUNCTION("TEXTJOIN("" | "",TRUE,IF(OR(D4534="""",E4534="""",I4534="""",J4534="""",H4534=""""),""ফাঁকা ঘর"",""""),IF(AND(C4534&lt;&gt;"""",D4534&lt;&gt;"""",C4534=D4534),""gloss=figurative"",""""),IF(LEN(D4534)&lt;15,""figurative ছোট"",""""),IF(AND(I4534=""Positive"",REGEXMATCH(H4"&amp;"534,""মূর্খ|ভণ্ড|প্রতার|অলস|লোভ|স্বার্থ|অক্ষম|অযোগ্য|বোকা|কৃপণ|হিংস"")),""valence-target অমিল"",""""),IF(COUNTIF($B:$B,B4534)&gt;1,""ডুপ্লিকেট"",""""))"),"")</f>
        <v/>
      </c>
      <c r="Q4534" s="5" t="str">
        <f t="shared" si="1"/>
        <v>২ পরে</v>
      </c>
    </row>
    <row r="4535">
      <c r="A4535" s="4">
        <v>2361.0</v>
      </c>
      <c r="B4535" s="2" t="s">
        <v>18604</v>
      </c>
      <c r="C4535" s="2" t="s">
        <v>18604</v>
      </c>
      <c r="D4535" s="2" t="s">
        <v>18608</v>
      </c>
      <c r="E4535" s="2" t="s">
        <v>18609</v>
      </c>
      <c r="F4535" s="2" t="b">
        <v>1</v>
      </c>
      <c r="G4535" s="2" t="b">
        <v>0</v>
      </c>
      <c r="H4535" s="2" t="s">
        <v>18610</v>
      </c>
      <c r="I4535" s="2" t="s">
        <v>22</v>
      </c>
      <c r="J4535" s="2" t="s">
        <v>447</v>
      </c>
      <c r="K4535" s="2" t="s">
        <v>495</v>
      </c>
      <c r="L4535" s="13" t="s">
        <v>496</v>
      </c>
      <c r="M4535" s="2" t="s">
        <v>26</v>
      </c>
      <c r="N4535" s="29"/>
      <c r="O4535" s="29"/>
      <c r="P4535" s="5" t="str">
        <f>IFERROR(__xludf.DUMMYFUNCTION("TEXTJOIN("" | "",TRUE,IF(OR(D4535="""",E4535="""",I4535="""",J4535="""",H4535=""""),""ফাঁকা ঘর"",""""),IF(AND(C4535&lt;&gt;"""",D4535&lt;&gt;"""",C4535=D4535),""gloss=figurative"",""""),IF(LEN(D4535)&lt;15,""figurative ছোট"",""""),IF(AND(I4535=""Positive"",REGEXMATCH(H4"&amp;"535,""মূর্খ|ভণ্ড|প্রতার|অলস|লোভ|স্বার্থ|অক্ষম|অযোগ্য|বোকা|কৃপণ|হিংস"")),""valence-target অমিল"",""""),IF(COUNTIF($B:$B,B4535)&gt;1,""ডুপ্লিকেট"",""""))"),"")</f>
        <v/>
      </c>
      <c r="Q4535" s="5" t="str">
        <f t="shared" si="1"/>
        <v>২ পরে</v>
      </c>
    </row>
    <row r="4536">
      <c r="A4536" s="4">
        <v>2362.0</v>
      </c>
      <c r="B4536" s="2" t="s">
        <v>18611</v>
      </c>
      <c r="C4536" s="2" t="s">
        <v>18611</v>
      </c>
      <c r="D4536" s="2" t="s">
        <v>18612</v>
      </c>
      <c r="E4536" s="2" t="s">
        <v>18613</v>
      </c>
      <c r="F4536" s="2" t="b">
        <v>1</v>
      </c>
      <c r="G4536" s="2" t="b">
        <v>0</v>
      </c>
      <c r="H4536" s="2" t="s">
        <v>18614</v>
      </c>
      <c r="I4536" s="2" t="s">
        <v>22</v>
      </c>
      <c r="J4536" s="2" t="s">
        <v>4112</v>
      </c>
      <c r="K4536" s="2" t="s">
        <v>495</v>
      </c>
      <c r="L4536" s="13" t="s">
        <v>496</v>
      </c>
      <c r="M4536" s="2" t="s">
        <v>26</v>
      </c>
      <c r="N4536" s="29"/>
      <c r="O4536" s="29"/>
      <c r="P4536" s="5" t="str">
        <f>IFERROR(__xludf.DUMMYFUNCTION("TEXTJOIN("" | "",TRUE,IF(OR(D4536="""",E4536="""",I4536="""",J4536="""",H4536=""""),""ফাঁকা ঘর"",""""),IF(AND(C4536&lt;&gt;"""",D4536&lt;&gt;"""",C4536=D4536),""gloss=figurative"",""""),IF(LEN(D4536)&lt;15,""figurative ছোট"",""""),IF(AND(I4536=""Positive"",REGEXMATCH(H4"&amp;"536,""মূর্খ|ভণ্ড|প্রতার|অলস|লোভ|স্বার্থ|অক্ষম|অযোগ্য|বোকা|কৃপণ|হিংস"")),""valence-target অমিল"",""""),IF(COUNTIF($B:$B,B4536)&gt;1,""ডুপ্লিকেট"",""""))"),"")</f>
        <v/>
      </c>
      <c r="Q4536" s="5" t="str">
        <f t="shared" si="1"/>
        <v>২ পরে</v>
      </c>
    </row>
    <row r="4537">
      <c r="A4537" s="4">
        <v>2363.0</v>
      </c>
      <c r="B4537" s="2" t="s">
        <v>18615</v>
      </c>
      <c r="C4537" s="2" t="s">
        <v>18616</v>
      </c>
      <c r="D4537" s="2" t="s">
        <v>18617</v>
      </c>
      <c r="E4537" s="2" t="s">
        <v>18618</v>
      </c>
      <c r="F4537" s="2" t="b">
        <v>1</v>
      </c>
      <c r="G4537" s="2" t="b">
        <v>0</v>
      </c>
      <c r="H4537" s="2" t="s">
        <v>37</v>
      </c>
      <c r="I4537" s="2" t="s">
        <v>49</v>
      </c>
      <c r="J4537" s="2" t="s">
        <v>18619</v>
      </c>
      <c r="K4537" s="2" t="s">
        <v>495</v>
      </c>
      <c r="L4537" s="13" t="s">
        <v>496</v>
      </c>
      <c r="M4537" s="2" t="s">
        <v>26</v>
      </c>
      <c r="N4537" s="29"/>
      <c r="O4537" s="29"/>
      <c r="P4537" s="5" t="str">
        <f>IFERROR(__xludf.DUMMYFUNCTION("TEXTJOIN("" | "",TRUE,IF(OR(D4537="""",E4537="""",I4537="""",J4537="""",H4537=""""),""ফাঁকা ঘর"",""""),IF(AND(C4537&lt;&gt;"""",D4537&lt;&gt;"""",C4537=D4537),""gloss=figurative"",""""),IF(LEN(D4537)&lt;15,""figurative ছোট"",""""),IF(AND(I4537=""Positive"",REGEXMATCH(H4"&amp;"537,""মূর্খ|ভণ্ড|প্রতার|অলস|লোভ|স্বার্থ|অক্ষম|অযোগ্য|বোকা|কৃপণ|হিংস"")),""valence-target অমিল"",""""),IF(COUNTIF($B:$B,B4537)&gt;1,""ডুপ্লিকেট"",""""))"),"")</f>
        <v/>
      </c>
      <c r="Q4537" s="5" t="str">
        <f t="shared" si="1"/>
        <v>২ পরে</v>
      </c>
    </row>
    <row r="4538">
      <c r="A4538" s="4">
        <v>2364.0</v>
      </c>
      <c r="B4538" s="2" t="s">
        <v>18620</v>
      </c>
      <c r="C4538" s="2" t="s">
        <v>18620</v>
      </c>
      <c r="D4538" s="2" t="s">
        <v>18621</v>
      </c>
      <c r="E4538" s="2" t="s">
        <v>18622</v>
      </c>
      <c r="F4538" s="2" t="b">
        <v>1</v>
      </c>
      <c r="G4538" s="2" t="b">
        <v>0</v>
      </c>
      <c r="H4538" s="2" t="s">
        <v>37</v>
      </c>
      <c r="I4538" s="2" t="s">
        <v>32</v>
      </c>
      <c r="J4538" s="2" t="s">
        <v>1621</v>
      </c>
      <c r="K4538" s="2" t="s">
        <v>495</v>
      </c>
      <c r="L4538" s="13" t="s">
        <v>496</v>
      </c>
      <c r="M4538" s="2" t="s">
        <v>26</v>
      </c>
      <c r="N4538" s="29"/>
      <c r="O4538" s="29"/>
      <c r="P4538" s="5" t="str">
        <f>IFERROR(__xludf.DUMMYFUNCTION("TEXTJOIN("" | "",TRUE,IF(OR(D4538="""",E4538="""",I4538="""",J4538="""",H4538=""""),""ফাঁকা ঘর"",""""),IF(AND(C4538&lt;&gt;"""",D4538&lt;&gt;"""",C4538=D4538),""gloss=figurative"",""""),IF(LEN(D4538)&lt;15,""figurative ছোট"",""""),IF(AND(I4538=""Positive"",REGEXMATCH(H4"&amp;"538,""মূর্খ|ভণ্ড|প্রতার|অলস|লোভ|স্বার্থ|অক্ষম|অযোগ্য|বোকা|কৃপণ|হিংস"")),""valence-target অমিল"",""""),IF(COUNTIF($B:$B,B4538)&gt;1,""ডুপ্লিকেট"",""""))"),"")</f>
        <v/>
      </c>
      <c r="Q4538" s="5" t="str">
        <f t="shared" si="1"/>
        <v>২ পরে</v>
      </c>
    </row>
    <row r="4539">
      <c r="A4539" s="4">
        <v>2365.0</v>
      </c>
      <c r="B4539" s="2" t="s">
        <v>18623</v>
      </c>
      <c r="C4539" s="2" t="s">
        <v>18624</v>
      </c>
      <c r="D4539" s="2" t="s">
        <v>18625</v>
      </c>
      <c r="E4539" s="2" t="s">
        <v>18626</v>
      </c>
      <c r="F4539" s="2" t="b">
        <v>1</v>
      </c>
      <c r="G4539" s="2" t="b">
        <v>0</v>
      </c>
      <c r="H4539" s="2" t="s">
        <v>9661</v>
      </c>
      <c r="I4539" s="2" t="s">
        <v>22</v>
      </c>
      <c r="J4539" s="2" t="s">
        <v>14887</v>
      </c>
      <c r="K4539" s="2" t="s">
        <v>495</v>
      </c>
      <c r="L4539" s="13" t="s">
        <v>496</v>
      </c>
      <c r="M4539" s="2" t="s">
        <v>26</v>
      </c>
      <c r="N4539" s="29"/>
      <c r="O4539" s="29"/>
      <c r="P4539" s="5" t="str">
        <f>IFERROR(__xludf.DUMMYFUNCTION("TEXTJOIN("" | "",TRUE,IF(OR(D4539="""",E4539="""",I4539="""",J4539="""",H4539=""""),""ফাঁকা ঘর"",""""),IF(AND(C4539&lt;&gt;"""",D4539&lt;&gt;"""",C4539=D4539),""gloss=figurative"",""""),IF(LEN(D4539)&lt;15,""figurative ছোট"",""""),IF(AND(I4539=""Positive"",REGEXMATCH(H4"&amp;"539,""মূর্খ|ভণ্ড|প্রতার|অলস|লোভ|স্বার্থ|অক্ষম|অযোগ্য|বোকা|কৃপণ|হিংস"")),""valence-target অমিল"",""""),IF(COUNTIF($B:$B,B4539)&gt;1,""ডুপ্লিকেট"",""""))"),"")</f>
        <v/>
      </c>
      <c r="Q4539" s="5" t="str">
        <f t="shared" si="1"/>
        <v>২ পরে</v>
      </c>
    </row>
    <row r="4540">
      <c r="A4540" s="4">
        <v>2366.0</v>
      </c>
      <c r="B4540" s="2" t="s">
        <v>18627</v>
      </c>
      <c r="C4540" s="2" t="s">
        <v>18628</v>
      </c>
      <c r="D4540" s="2" t="s">
        <v>18629</v>
      </c>
      <c r="E4540" s="2" t="s">
        <v>18630</v>
      </c>
      <c r="F4540" s="2" t="b">
        <v>1</v>
      </c>
      <c r="G4540" s="2" t="b">
        <v>0</v>
      </c>
      <c r="H4540" s="2" t="s">
        <v>8826</v>
      </c>
      <c r="I4540" s="2" t="s">
        <v>22</v>
      </c>
      <c r="J4540" s="2" t="s">
        <v>18631</v>
      </c>
      <c r="K4540" s="2" t="s">
        <v>495</v>
      </c>
      <c r="L4540" s="13" t="s">
        <v>496</v>
      </c>
      <c r="M4540" s="2" t="s">
        <v>26</v>
      </c>
      <c r="N4540" s="29"/>
      <c r="O4540" s="29"/>
      <c r="P4540" s="5" t="str">
        <f>IFERROR(__xludf.DUMMYFUNCTION("TEXTJOIN("" | "",TRUE,IF(OR(D4540="""",E4540="""",I4540="""",J4540="""",H4540=""""),""ফাঁকা ঘর"",""""),IF(AND(C4540&lt;&gt;"""",D4540&lt;&gt;"""",C4540=D4540),""gloss=figurative"",""""),IF(LEN(D4540)&lt;15,""figurative ছোট"",""""),IF(AND(I4540=""Positive"",REGEXMATCH(H4"&amp;"540,""মূর্খ|ভণ্ড|প্রতার|অলস|লোভ|স্বার্থ|অক্ষম|অযোগ্য|বোকা|কৃপণ|হিংস"")),""valence-target অমিল"",""""),IF(COUNTIF($B:$B,B4540)&gt;1,""ডুপ্লিকেট"",""""))"),"")</f>
        <v/>
      </c>
      <c r="Q4540" s="5" t="str">
        <f t="shared" si="1"/>
        <v>২ পরে</v>
      </c>
    </row>
    <row r="4541">
      <c r="A4541" s="4">
        <v>2367.0</v>
      </c>
      <c r="B4541" s="2" t="s">
        <v>18632</v>
      </c>
      <c r="C4541" s="2" t="s">
        <v>18633</v>
      </c>
      <c r="D4541" s="2" t="s">
        <v>18634</v>
      </c>
      <c r="E4541" s="2" t="s">
        <v>18635</v>
      </c>
      <c r="F4541" s="2" t="b">
        <v>1</v>
      </c>
      <c r="G4541" s="2" t="b">
        <v>0</v>
      </c>
      <c r="H4541" s="2" t="s">
        <v>18636</v>
      </c>
      <c r="I4541" s="2" t="s">
        <v>22</v>
      </c>
      <c r="J4541" s="2" t="s">
        <v>18637</v>
      </c>
      <c r="K4541" s="2" t="s">
        <v>495</v>
      </c>
      <c r="L4541" s="13" t="s">
        <v>496</v>
      </c>
      <c r="M4541" s="2" t="s">
        <v>26</v>
      </c>
      <c r="N4541" s="29"/>
      <c r="O4541" s="29"/>
      <c r="P4541" s="5" t="str">
        <f>IFERROR(__xludf.DUMMYFUNCTION("TEXTJOIN("" | "",TRUE,IF(OR(D4541="""",E4541="""",I4541="""",J4541="""",H4541=""""),""ফাঁকা ঘর"",""""),IF(AND(C4541&lt;&gt;"""",D4541&lt;&gt;"""",C4541=D4541),""gloss=figurative"",""""),IF(LEN(D4541)&lt;15,""figurative ছোট"",""""),IF(AND(I4541=""Positive"",REGEXMATCH(H4"&amp;"541,""মূর্খ|ভণ্ড|প্রতার|অলস|লোভ|স্বার্থ|অক্ষম|অযোগ্য|বোকা|কৃপণ|হিংস"")),""valence-target অমিল"",""""),IF(COUNTIF($B:$B,B4541)&gt;1,""ডুপ্লিকেট"",""""))"),"")</f>
        <v/>
      </c>
      <c r="Q4541" s="5" t="str">
        <f t="shared" si="1"/>
        <v>২ পরে</v>
      </c>
    </row>
    <row r="4542">
      <c r="A4542" s="4">
        <v>2368.0</v>
      </c>
      <c r="B4542" s="2" t="s">
        <v>18638</v>
      </c>
      <c r="C4542" s="2" t="s">
        <v>18639</v>
      </c>
      <c r="D4542" s="2" t="s">
        <v>18640</v>
      </c>
      <c r="E4542" s="2" t="s">
        <v>18641</v>
      </c>
      <c r="F4542" s="2" t="b">
        <v>1</v>
      </c>
      <c r="G4542" s="2" t="b">
        <v>0</v>
      </c>
      <c r="H4542" s="2" t="s">
        <v>15401</v>
      </c>
      <c r="I4542" s="2" t="s">
        <v>22</v>
      </c>
      <c r="J4542" s="2" t="s">
        <v>447</v>
      </c>
      <c r="K4542" s="2" t="s">
        <v>495</v>
      </c>
      <c r="L4542" s="13" t="s">
        <v>496</v>
      </c>
      <c r="M4542" s="2" t="s">
        <v>26</v>
      </c>
      <c r="N4542" s="29"/>
      <c r="O4542" s="29"/>
      <c r="P4542" s="5" t="str">
        <f>IFERROR(__xludf.DUMMYFUNCTION("TEXTJOIN("" | "",TRUE,IF(OR(D4542="""",E4542="""",I4542="""",J4542="""",H4542=""""),""ফাঁকা ঘর"",""""),IF(AND(C4542&lt;&gt;"""",D4542&lt;&gt;"""",C4542=D4542),""gloss=figurative"",""""),IF(LEN(D4542)&lt;15,""figurative ছোট"",""""),IF(AND(I4542=""Positive"",REGEXMATCH(H4"&amp;"542,""মূর্খ|ভণ্ড|প্রতার|অলস|লোভ|স্বার্থ|অক্ষম|অযোগ্য|বোকা|কৃপণ|হিংস"")),""valence-target অমিল"",""""),IF(COUNTIF($B:$B,B4542)&gt;1,""ডুপ্লিকেট"",""""))"),"")</f>
        <v/>
      </c>
      <c r="Q4542" s="5" t="str">
        <f t="shared" si="1"/>
        <v>২ পরে</v>
      </c>
    </row>
    <row r="4543">
      <c r="A4543" s="4">
        <v>2369.0</v>
      </c>
      <c r="B4543" s="2" t="s">
        <v>18642</v>
      </c>
      <c r="C4543" s="2" t="s">
        <v>18643</v>
      </c>
      <c r="D4543" s="2" t="s">
        <v>18644</v>
      </c>
      <c r="E4543" s="2" t="s">
        <v>18645</v>
      </c>
      <c r="F4543" s="2" t="b">
        <v>1</v>
      </c>
      <c r="G4543" s="2" t="b">
        <v>0</v>
      </c>
      <c r="H4543" s="2" t="s">
        <v>18646</v>
      </c>
      <c r="I4543" s="2" t="s">
        <v>22</v>
      </c>
      <c r="J4543" s="2" t="s">
        <v>18647</v>
      </c>
      <c r="K4543" s="2" t="s">
        <v>495</v>
      </c>
      <c r="L4543" s="13" t="s">
        <v>496</v>
      </c>
      <c r="M4543" s="2" t="s">
        <v>26</v>
      </c>
      <c r="N4543" s="29"/>
      <c r="O4543" s="29"/>
      <c r="P4543" s="5" t="str">
        <f>IFERROR(__xludf.DUMMYFUNCTION("TEXTJOIN("" | "",TRUE,IF(OR(D4543="""",E4543="""",I4543="""",J4543="""",H4543=""""),""ফাঁকা ঘর"",""""),IF(AND(C4543&lt;&gt;"""",D4543&lt;&gt;"""",C4543=D4543),""gloss=figurative"",""""),IF(LEN(D4543)&lt;15,""figurative ছোট"",""""),IF(AND(I4543=""Positive"",REGEXMATCH(H4"&amp;"543,""মূর্খ|ভণ্ড|প্রতার|অলস|লোভ|স্বার্থ|অক্ষম|অযোগ্য|বোকা|কৃপণ|হিংস"")),""valence-target অমিল"",""""),IF(COUNTIF($B:$B,B4543)&gt;1,""ডুপ্লিকেট"",""""))"),"")</f>
        <v/>
      </c>
      <c r="Q4543" s="5" t="str">
        <f t="shared" si="1"/>
        <v>২ পরে</v>
      </c>
    </row>
    <row r="4544">
      <c r="A4544" s="4">
        <v>2370.0</v>
      </c>
      <c r="B4544" s="2" t="s">
        <v>18648</v>
      </c>
      <c r="C4544" s="2" t="s">
        <v>18649</v>
      </c>
      <c r="D4544" s="2" t="s">
        <v>18650</v>
      </c>
      <c r="E4544" s="2" t="s">
        <v>18651</v>
      </c>
      <c r="F4544" s="2" t="b">
        <v>1</v>
      </c>
      <c r="G4544" s="2" t="b">
        <v>0</v>
      </c>
      <c r="H4544" s="2" t="s">
        <v>37</v>
      </c>
      <c r="I4544" s="2" t="s">
        <v>32</v>
      </c>
      <c r="J4544" s="2" t="s">
        <v>18652</v>
      </c>
      <c r="K4544" s="2" t="s">
        <v>495</v>
      </c>
      <c r="L4544" s="13" t="s">
        <v>496</v>
      </c>
      <c r="M4544" s="2" t="s">
        <v>26</v>
      </c>
      <c r="N4544" s="29"/>
      <c r="O4544" s="29"/>
      <c r="P4544" s="5" t="str">
        <f>IFERROR(__xludf.DUMMYFUNCTION("TEXTJOIN("" | "",TRUE,IF(OR(D4544="""",E4544="""",I4544="""",J4544="""",H4544=""""),""ফাঁকা ঘর"",""""),IF(AND(C4544&lt;&gt;"""",D4544&lt;&gt;"""",C4544=D4544),""gloss=figurative"",""""),IF(LEN(D4544)&lt;15,""figurative ছোট"",""""),IF(AND(I4544=""Positive"",REGEXMATCH(H4"&amp;"544,""মূর্খ|ভণ্ড|প্রতার|অলস|লোভ|স্বার্থ|অক্ষম|অযোগ্য|বোকা|কৃপণ|হিংস"")),""valence-target অমিল"",""""),IF(COUNTIF($B:$B,B4544)&gt;1,""ডুপ্লিকেট"",""""))"),"")</f>
        <v/>
      </c>
      <c r="Q4544" s="5" t="str">
        <f t="shared" si="1"/>
        <v>২ পরে</v>
      </c>
    </row>
    <row r="4545">
      <c r="A4545" s="4">
        <v>2371.0</v>
      </c>
      <c r="B4545" s="2" t="s">
        <v>18653</v>
      </c>
      <c r="C4545" s="2" t="s">
        <v>18654</v>
      </c>
      <c r="D4545" s="2" t="s">
        <v>18655</v>
      </c>
      <c r="E4545" s="2" t="s">
        <v>18656</v>
      </c>
      <c r="F4545" s="2" t="b">
        <v>1</v>
      </c>
      <c r="G4545" s="2" t="b">
        <v>0</v>
      </c>
      <c r="H4545" s="2" t="s">
        <v>8927</v>
      </c>
      <c r="I4545" s="2" t="s">
        <v>22</v>
      </c>
      <c r="J4545" s="2" t="s">
        <v>447</v>
      </c>
      <c r="K4545" s="2" t="s">
        <v>495</v>
      </c>
      <c r="L4545" s="13" t="s">
        <v>496</v>
      </c>
      <c r="M4545" s="2" t="s">
        <v>26</v>
      </c>
      <c r="N4545" s="29"/>
      <c r="O4545" s="29"/>
      <c r="P4545" s="5" t="str">
        <f>IFERROR(__xludf.DUMMYFUNCTION("TEXTJOIN("" | "",TRUE,IF(OR(D4545="""",E4545="""",I4545="""",J4545="""",H4545=""""),""ফাঁকা ঘর"",""""),IF(AND(C4545&lt;&gt;"""",D4545&lt;&gt;"""",C4545=D4545),""gloss=figurative"",""""),IF(LEN(D4545)&lt;15,""figurative ছোট"",""""),IF(AND(I4545=""Positive"",REGEXMATCH(H4"&amp;"545,""মূর্খ|ভণ্ড|প্রতার|অলস|লোভ|স্বার্থ|অক্ষম|অযোগ্য|বোকা|কৃপণ|হিংস"")),""valence-target অমিল"",""""),IF(COUNTIF($B:$B,B4545)&gt;1,""ডুপ্লিকেট"",""""))"),"")</f>
        <v/>
      </c>
      <c r="Q4545" s="5" t="str">
        <f t="shared" si="1"/>
        <v>২ পরে</v>
      </c>
    </row>
    <row r="4546">
      <c r="A4546" s="4">
        <v>2372.0</v>
      </c>
      <c r="B4546" s="2" t="s">
        <v>18657</v>
      </c>
      <c r="C4546" s="2" t="s">
        <v>18658</v>
      </c>
      <c r="D4546" s="2" t="s">
        <v>18659</v>
      </c>
      <c r="E4546" s="2" t="s">
        <v>18660</v>
      </c>
      <c r="F4546" s="2" t="b">
        <v>1</v>
      </c>
      <c r="G4546" s="2" t="b">
        <v>0</v>
      </c>
      <c r="H4546" s="2" t="s">
        <v>15343</v>
      </c>
      <c r="I4546" s="2" t="s">
        <v>22</v>
      </c>
      <c r="J4546" s="2" t="s">
        <v>43</v>
      </c>
      <c r="K4546" s="2" t="s">
        <v>495</v>
      </c>
      <c r="L4546" s="13" t="s">
        <v>496</v>
      </c>
      <c r="M4546" s="2" t="s">
        <v>26</v>
      </c>
      <c r="N4546" s="29"/>
      <c r="O4546" s="29"/>
      <c r="P4546" s="5" t="str">
        <f>IFERROR(__xludf.DUMMYFUNCTION("TEXTJOIN("" | "",TRUE,IF(OR(D4546="""",E4546="""",I4546="""",J4546="""",H4546=""""),""ফাঁকা ঘর"",""""),IF(AND(C4546&lt;&gt;"""",D4546&lt;&gt;"""",C4546=D4546),""gloss=figurative"",""""),IF(LEN(D4546)&lt;15,""figurative ছোট"",""""),IF(AND(I4546=""Positive"",REGEXMATCH(H4"&amp;"546,""মূর্খ|ভণ্ড|প্রতার|অলস|লোভ|স্বার্থ|অক্ষম|অযোগ্য|বোকা|কৃপণ|হিংস"")),""valence-target অমিল"",""""),IF(COUNTIF($B:$B,B4546)&gt;1,""ডুপ্লিকেট"",""""))"),"")</f>
        <v/>
      </c>
      <c r="Q4546" s="5" t="str">
        <f t="shared" si="1"/>
        <v>২ পরে</v>
      </c>
    </row>
    <row r="4547">
      <c r="A4547" s="4">
        <v>2373.0</v>
      </c>
      <c r="B4547" s="2" t="s">
        <v>18661</v>
      </c>
      <c r="C4547" s="2" t="s">
        <v>18658</v>
      </c>
      <c r="D4547" s="2" t="s">
        <v>18662</v>
      </c>
      <c r="E4547" s="2" t="s">
        <v>18663</v>
      </c>
      <c r="F4547" s="2" t="b">
        <v>1</v>
      </c>
      <c r="G4547" s="2" t="b">
        <v>0</v>
      </c>
      <c r="H4547" s="2" t="s">
        <v>15343</v>
      </c>
      <c r="I4547" s="2" t="s">
        <v>22</v>
      </c>
      <c r="J4547" s="2" t="s">
        <v>43</v>
      </c>
      <c r="K4547" s="2" t="s">
        <v>495</v>
      </c>
      <c r="L4547" s="13" t="s">
        <v>496</v>
      </c>
      <c r="M4547" s="2" t="s">
        <v>26</v>
      </c>
      <c r="N4547" s="29"/>
      <c r="O4547" s="29"/>
      <c r="P4547" s="5" t="str">
        <f>IFERROR(__xludf.DUMMYFUNCTION("TEXTJOIN("" | "",TRUE,IF(OR(D4547="""",E4547="""",I4547="""",J4547="""",H4547=""""),""ফাঁকা ঘর"",""""),IF(AND(C4547&lt;&gt;"""",D4547&lt;&gt;"""",C4547=D4547),""gloss=figurative"",""""),IF(LEN(D4547)&lt;15,""figurative ছোট"",""""),IF(AND(I4547=""Positive"",REGEXMATCH(H4"&amp;"547,""মূর্খ|ভণ্ড|প্রতার|অলস|লোভ|স্বার্থ|অক্ষম|অযোগ্য|বোকা|কৃপণ|হিংস"")),""valence-target অমিল"",""""),IF(COUNTIF($B:$B,B4547)&gt;1,""ডুপ্লিকেট"",""""))"),"")</f>
        <v/>
      </c>
      <c r="Q4547" s="5" t="str">
        <f t="shared" si="1"/>
        <v>২ পরে</v>
      </c>
    </row>
    <row r="4548">
      <c r="A4548" s="4">
        <v>2374.0</v>
      </c>
      <c r="B4548" s="2" t="s">
        <v>18664</v>
      </c>
      <c r="C4548" s="2" t="s">
        <v>18665</v>
      </c>
      <c r="D4548" s="2" t="s">
        <v>18666</v>
      </c>
      <c r="E4548" s="2" t="s">
        <v>18667</v>
      </c>
      <c r="F4548" s="2" t="b">
        <v>1</v>
      </c>
      <c r="G4548" s="2" t="b">
        <v>0</v>
      </c>
      <c r="H4548" s="2" t="s">
        <v>37</v>
      </c>
      <c r="I4548" s="2" t="s">
        <v>49</v>
      </c>
      <c r="J4548" s="2" t="s">
        <v>18668</v>
      </c>
      <c r="K4548" s="2" t="s">
        <v>495</v>
      </c>
      <c r="L4548" s="13" t="s">
        <v>496</v>
      </c>
      <c r="M4548" s="2" t="s">
        <v>26</v>
      </c>
      <c r="N4548" s="29"/>
      <c r="O4548" s="29"/>
      <c r="P4548" s="5" t="str">
        <f>IFERROR(__xludf.DUMMYFUNCTION("TEXTJOIN("" | "",TRUE,IF(OR(D4548="""",E4548="""",I4548="""",J4548="""",H4548=""""),""ফাঁকা ঘর"",""""),IF(AND(C4548&lt;&gt;"""",D4548&lt;&gt;"""",C4548=D4548),""gloss=figurative"",""""),IF(LEN(D4548)&lt;15,""figurative ছোট"",""""),IF(AND(I4548=""Positive"",REGEXMATCH(H4"&amp;"548,""মূর্খ|ভণ্ড|প্রতার|অলস|লোভ|স্বার্থ|অক্ষম|অযোগ্য|বোকা|কৃপণ|হিংস"")),""valence-target অমিল"",""""),IF(COUNTIF($B:$B,B4548)&gt;1,""ডুপ্লিকেট"",""""))"),"")</f>
        <v/>
      </c>
      <c r="Q4548" s="5" t="str">
        <f t="shared" si="1"/>
        <v>২ পরে</v>
      </c>
    </row>
    <row r="4549">
      <c r="A4549" s="4">
        <v>2375.0</v>
      </c>
      <c r="B4549" s="2" t="s">
        <v>18669</v>
      </c>
      <c r="C4549" s="2" t="s">
        <v>18670</v>
      </c>
      <c r="D4549" s="2" t="s">
        <v>18671</v>
      </c>
      <c r="E4549" s="2" t="s">
        <v>18672</v>
      </c>
      <c r="F4549" s="2" t="b">
        <v>1</v>
      </c>
      <c r="G4549" s="2" t="b">
        <v>0</v>
      </c>
      <c r="H4549" s="2" t="s">
        <v>18673</v>
      </c>
      <c r="I4549" s="2" t="s">
        <v>49</v>
      </c>
      <c r="J4549" s="2" t="s">
        <v>300</v>
      </c>
      <c r="K4549" s="2" t="s">
        <v>495</v>
      </c>
      <c r="L4549" s="13" t="s">
        <v>496</v>
      </c>
      <c r="M4549" s="2" t="s">
        <v>26</v>
      </c>
      <c r="N4549" s="29"/>
      <c r="O4549" s="29"/>
      <c r="P4549" s="5" t="str">
        <f>IFERROR(__xludf.DUMMYFUNCTION("TEXTJOIN("" | "",TRUE,IF(OR(D4549="""",E4549="""",I4549="""",J4549="""",H4549=""""),""ফাঁকা ঘর"",""""),IF(AND(C4549&lt;&gt;"""",D4549&lt;&gt;"""",C4549=D4549),""gloss=figurative"",""""),IF(LEN(D4549)&lt;15,""figurative ছোট"",""""),IF(AND(I4549=""Positive"",REGEXMATCH(H4"&amp;"549,""মূর্খ|ভণ্ড|প্রতার|অলস|লোভ|স্বার্থ|অক্ষম|অযোগ্য|বোকা|কৃপণ|হিংস"")),""valence-target অমিল"",""""),IF(COUNTIF($B:$B,B4549)&gt;1,""ডুপ্লিকেট"",""""))"),"")</f>
        <v/>
      </c>
      <c r="Q4549" s="5" t="str">
        <f t="shared" si="1"/>
        <v>২ পরে</v>
      </c>
    </row>
    <row r="4550">
      <c r="A4550" s="4">
        <v>2376.0</v>
      </c>
      <c r="B4550" s="2" t="s">
        <v>18674</v>
      </c>
      <c r="C4550" s="2" t="s">
        <v>18675</v>
      </c>
      <c r="D4550" s="2" t="s">
        <v>18676</v>
      </c>
      <c r="E4550" s="2" t="s">
        <v>18677</v>
      </c>
      <c r="F4550" s="2" t="b">
        <v>1</v>
      </c>
      <c r="G4550" s="2" t="b">
        <v>0</v>
      </c>
      <c r="H4550" s="2" t="s">
        <v>18678</v>
      </c>
      <c r="I4550" s="2" t="s">
        <v>49</v>
      </c>
      <c r="J4550" s="2" t="s">
        <v>5524</v>
      </c>
      <c r="K4550" s="2" t="s">
        <v>495</v>
      </c>
      <c r="L4550" s="13" t="s">
        <v>496</v>
      </c>
      <c r="M4550" s="2" t="s">
        <v>26</v>
      </c>
      <c r="N4550" s="29"/>
      <c r="O4550" s="29"/>
      <c r="P4550" s="5" t="str">
        <f>IFERROR(__xludf.DUMMYFUNCTION("TEXTJOIN("" | "",TRUE,IF(OR(D4550="""",E4550="""",I4550="""",J4550="""",H4550=""""),""ফাঁকা ঘর"",""""),IF(AND(C4550&lt;&gt;"""",D4550&lt;&gt;"""",C4550=D4550),""gloss=figurative"",""""),IF(LEN(D4550)&lt;15,""figurative ছোট"",""""),IF(AND(I4550=""Positive"",REGEXMATCH(H4"&amp;"550,""মূর্খ|ভণ্ড|প্রতার|অলস|লোভ|স্বার্থ|অক্ষম|অযোগ্য|বোকা|কৃপণ|হিংস"")),""valence-target অমিল"",""""),IF(COUNTIF($B:$B,B4550)&gt;1,""ডুপ্লিকেট"",""""))"),"")</f>
        <v/>
      </c>
      <c r="Q4550" s="5" t="str">
        <f t="shared" si="1"/>
        <v>২ পরে</v>
      </c>
    </row>
    <row r="4551">
      <c r="A4551" s="4">
        <v>2377.0</v>
      </c>
      <c r="B4551" s="2" t="s">
        <v>18679</v>
      </c>
      <c r="C4551" s="2" t="s">
        <v>18680</v>
      </c>
      <c r="D4551" s="2" t="s">
        <v>18681</v>
      </c>
      <c r="E4551" s="2" t="s">
        <v>18682</v>
      </c>
      <c r="F4551" s="2" t="b">
        <v>1</v>
      </c>
      <c r="G4551" s="2" t="b">
        <v>0</v>
      </c>
      <c r="H4551" s="2" t="s">
        <v>2054</v>
      </c>
      <c r="I4551" s="2" t="s">
        <v>22</v>
      </c>
      <c r="J4551" s="2" t="s">
        <v>18683</v>
      </c>
      <c r="K4551" s="2" t="s">
        <v>495</v>
      </c>
      <c r="L4551" s="13" t="s">
        <v>496</v>
      </c>
      <c r="M4551" s="2" t="s">
        <v>26</v>
      </c>
      <c r="N4551" s="29"/>
      <c r="O4551" s="29"/>
      <c r="P4551" s="5" t="str">
        <f>IFERROR(__xludf.DUMMYFUNCTION("TEXTJOIN("" | "",TRUE,IF(OR(D4551="""",E4551="""",I4551="""",J4551="""",H4551=""""),""ফাঁকা ঘর"",""""),IF(AND(C4551&lt;&gt;"""",D4551&lt;&gt;"""",C4551=D4551),""gloss=figurative"",""""),IF(LEN(D4551)&lt;15,""figurative ছোট"",""""),IF(AND(I4551=""Positive"",REGEXMATCH(H4"&amp;"551,""মূর্খ|ভণ্ড|প্রতার|অলস|লোভ|স্বার্থ|অক্ষম|অযোগ্য|বোকা|কৃপণ|হিংস"")),""valence-target অমিল"",""""),IF(COUNTIF($B:$B,B4551)&gt;1,""ডুপ্লিকেট"",""""))"),"")</f>
        <v/>
      </c>
      <c r="Q4551" s="5" t="str">
        <f t="shared" si="1"/>
        <v>২ পরে</v>
      </c>
    </row>
    <row r="4552">
      <c r="A4552" s="4">
        <v>2378.0</v>
      </c>
      <c r="B4552" s="2" t="s">
        <v>18684</v>
      </c>
      <c r="C4552" s="2" t="s">
        <v>18685</v>
      </c>
      <c r="D4552" s="2" t="s">
        <v>18686</v>
      </c>
      <c r="E4552" s="2" t="s">
        <v>18687</v>
      </c>
      <c r="F4552" s="2" t="b">
        <v>1</v>
      </c>
      <c r="G4552" s="2" t="b">
        <v>0</v>
      </c>
      <c r="H4552" s="2" t="s">
        <v>18688</v>
      </c>
      <c r="I4552" s="2" t="s">
        <v>22</v>
      </c>
      <c r="J4552" s="2" t="s">
        <v>1438</v>
      </c>
      <c r="K4552" s="2" t="s">
        <v>495</v>
      </c>
      <c r="L4552" s="13" t="s">
        <v>496</v>
      </c>
      <c r="M4552" s="2" t="s">
        <v>26</v>
      </c>
      <c r="N4552" s="29"/>
      <c r="O4552" s="29"/>
      <c r="P4552" s="5" t="str">
        <f>IFERROR(__xludf.DUMMYFUNCTION("TEXTJOIN("" | "",TRUE,IF(OR(D4552="""",E4552="""",I4552="""",J4552="""",H4552=""""),""ফাঁকা ঘর"",""""),IF(AND(C4552&lt;&gt;"""",D4552&lt;&gt;"""",C4552=D4552),""gloss=figurative"",""""),IF(LEN(D4552)&lt;15,""figurative ছোট"",""""),IF(AND(I4552=""Positive"",REGEXMATCH(H4"&amp;"552,""মূর্খ|ভণ্ড|প্রতার|অলস|লোভ|স্বার্থ|অক্ষম|অযোগ্য|বোকা|কৃপণ|হিংস"")),""valence-target অমিল"",""""),IF(COUNTIF($B:$B,B4552)&gt;1,""ডুপ্লিকেট"",""""))"),"")</f>
        <v/>
      </c>
      <c r="Q4552" s="5" t="str">
        <f t="shared" si="1"/>
        <v>২ পরে</v>
      </c>
    </row>
    <row r="4553">
      <c r="A4553" s="4">
        <v>2379.0</v>
      </c>
      <c r="B4553" s="2" t="s">
        <v>18689</v>
      </c>
      <c r="C4553" s="2" t="s">
        <v>18690</v>
      </c>
      <c r="D4553" s="2" t="s">
        <v>18691</v>
      </c>
      <c r="E4553" s="2" t="s">
        <v>18692</v>
      </c>
      <c r="F4553" s="2" t="b">
        <v>1</v>
      </c>
      <c r="G4553" s="2" t="b">
        <v>0</v>
      </c>
      <c r="H4553" s="2" t="s">
        <v>1025</v>
      </c>
      <c r="I4553" s="2" t="s">
        <v>22</v>
      </c>
      <c r="J4553" s="2" t="s">
        <v>1438</v>
      </c>
      <c r="K4553" s="2" t="s">
        <v>495</v>
      </c>
      <c r="L4553" s="13" t="s">
        <v>496</v>
      </c>
      <c r="M4553" s="2" t="s">
        <v>26</v>
      </c>
      <c r="N4553" s="29"/>
      <c r="O4553" s="29"/>
      <c r="P4553" s="5" t="str">
        <f>IFERROR(__xludf.DUMMYFUNCTION("TEXTJOIN("" | "",TRUE,IF(OR(D4553="""",E4553="""",I4553="""",J4553="""",H4553=""""),""ফাঁকা ঘর"",""""),IF(AND(C4553&lt;&gt;"""",D4553&lt;&gt;"""",C4553=D4553),""gloss=figurative"",""""),IF(LEN(D4553)&lt;15,""figurative ছোট"",""""),IF(AND(I4553=""Positive"",REGEXMATCH(H4"&amp;"553,""মূর্খ|ভণ্ড|প্রতার|অলস|লোভ|স্বার্থ|অক্ষম|অযোগ্য|বোকা|কৃপণ|হিংস"")),""valence-target অমিল"",""""),IF(COUNTIF($B:$B,B4553)&gt;1,""ডুপ্লিকেট"",""""))"),"")</f>
        <v/>
      </c>
      <c r="Q4553" s="5" t="str">
        <f t="shared" si="1"/>
        <v>২ পরে</v>
      </c>
    </row>
    <row r="4554">
      <c r="A4554" s="4">
        <v>2380.0</v>
      </c>
      <c r="B4554" s="2" t="s">
        <v>18693</v>
      </c>
      <c r="C4554" s="2" t="s">
        <v>18694</v>
      </c>
      <c r="D4554" s="2" t="s">
        <v>18695</v>
      </c>
      <c r="E4554" s="2" t="s">
        <v>18696</v>
      </c>
      <c r="F4554" s="2" t="b">
        <v>1</v>
      </c>
      <c r="G4554" s="2" t="b">
        <v>0</v>
      </c>
      <c r="H4554" s="2" t="s">
        <v>18697</v>
      </c>
      <c r="I4554" s="2" t="s">
        <v>22</v>
      </c>
      <c r="J4554" s="2" t="s">
        <v>18698</v>
      </c>
      <c r="K4554" s="2" t="s">
        <v>495</v>
      </c>
      <c r="L4554" s="13" t="s">
        <v>496</v>
      </c>
      <c r="M4554" s="2" t="s">
        <v>26</v>
      </c>
      <c r="N4554" s="29"/>
      <c r="O4554" s="29"/>
      <c r="P4554" s="5" t="str">
        <f>IFERROR(__xludf.DUMMYFUNCTION("TEXTJOIN("" | "",TRUE,IF(OR(D4554="""",E4554="""",I4554="""",J4554="""",H4554=""""),""ফাঁকা ঘর"",""""),IF(AND(C4554&lt;&gt;"""",D4554&lt;&gt;"""",C4554=D4554),""gloss=figurative"",""""),IF(LEN(D4554)&lt;15,""figurative ছোট"",""""),IF(AND(I4554=""Positive"",REGEXMATCH(H4"&amp;"554,""মূর্খ|ভণ্ড|প্রতার|অলস|লোভ|স্বার্থ|অক্ষম|অযোগ্য|বোকা|কৃপণ|হিংস"")),""valence-target অমিল"",""""),IF(COUNTIF($B:$B,B4554)&gt;1,""ডুপ্লিকেট"",""""))"),"")</f>
        <v/>
      </c>
      <c r="Q4554" s="5" t="str">
        <f t="shared" si="1"/>
        <v>২ পরে</v>
      </c>
    </row>
    <row r="4555">
      <c r="A4555" s="4">
        <v>2381.0</v>
      </c>
      <c r="B4555" s="2" t="s">
        <v>18699</v>
      </c>
      <c r="C4555" s="2" t="s">
        <v>18694</v>
      </c>
      <c r="D4555" s="2" t="s">
        <v>18700</v>
      </c>
      <c r="E4555" s="2" t="s">
        <v>18701</v>
      </c>
      <c r="F4555" s="2" t="b">
        <v>1</v>
      </c>
      <c r="G4555" s="2" t="b">
        <v>0</v>
      </c>
      <c r="H4555" s="2" t="s">
        <v>18697</v>
      </c>
      <c r="I4555" s="2" t="s">
        <v>22</v>
      </c>
      <c r="J4555" s="2" t="s">
        <v>1008</v>
      </c>
      <c r="K4555" s="2" t="s">
        <v>495</v>
      </c>
      <c r="L4555" s="13" t="s">
        <v>496</v>
      </c>
      <c r="M4555" s="2" t="s">
        <v>26</v>
      </c>
      <c r="N4555" s="29"/>
      <c r="O4555" s="29"/>
      <c r="P4555" s="5" t="str">
        <f>IFERROR(__xludf.DUMMYFUNCTION("TEXTJOIN("" | "",TRUE,IF(OR(D4555="""",E4555="""",I4555="""",J4555="""",H4555=""""),""ফাঁকা ঘর"",""""),IF(AND(C4555&lt;&gt;"""",D4555&lt;&gt;"""",C4555=D4555),""gloss=figurative"",""""),IF(LEN(D4555)&lt;15,""figurative ছোট"",""""),IF(AND(I4555=""Positive"",REGEXMATCH(H4"&amp;"555,""মূর্খ|ভণ্ড|প্রতার|অলস|লোভ|স্বার্থ|অক্ষম|অযোগ্য|বোকা|কৃপণ|হিংস"")),""valence-target অমিল"",""""),IF(COUNTIF($B:$B,B4555)&gt;1,""ডুপ্লিকেট"",""""))"),"")</f>
        <v/>
      </c>
      <c r="Q4555" s="5" t="str">
        <f t="shared" si="1"/>
        <v>২ পরে</v>
      </c>
    </row>
    <row r="4556">
      <c r="A4556" s="4">
        <v>2382.0</v>
      </c>
      <c r="B4556" s="2" t="s">
        <v>18702</v>
      </c>
      <c r="C4556" s="2" t="s">
        <v>18703</v>
      </c>
      <c r="D4556" s="2" t="s">
        <v>18704</v>
      </c>
      <c r="E4556" s="2" t="s">
        <v>18705</v>
      </c>
      <c r="F4556" s="2" t="b">
        <v>1</v>
      </c>
      <c r="G4556" s="2" t="b">
        <v>0</v>
      </c>
      <c r="H4556" s="2" t="s">
        <v>37</v>
      </c>
      <c r="I4556" s="2" t="s">
        <v>22</v>
      </c>
      <c r="J4556" s="2" t="s">
        <v>18706</v>
      </c>
      <c r="K4556" s="2" t="s">
        <v>495</v>
      </c>
      <c r="L4556" s="13" t="s">
        <v>496</v>
      </c>
      <c r="M4556" s="2" t="s">
        <v>26</v>
      </c>
      <c r="N4556" s="29"/>
      <c r="O4556" s="29"/>
      <c r="P4556" s="5" t="str">
        <f>IFERROR(__xludf.DUMMYFUNCTION("TEXTJOIN("" | "",TRUE,IF(OR(D4556="""",E4556="""",I4556="""",J4556="""",H4556=""""),""ফাঁকা ঘর"",""""),IF(AND(C4556&lt;&gt;"""",D4556&lt;&gt;"""",C4556=D4556),""gloss=figurative"",""""),IF(LEN(D4556)&lt;15,""figurative ছোট"",""""),IF(AND(I4556=""Positive"",REGEXMATCH(H4"&amp;"556,""মূর্খ|ভণ্ড|প্রতার|অলস|লোভ|স্বার্থ|অক্ষম|অযোগ্য|বোকা|কৃপণ|হিংস"")),""valence-target অমিল"",""""),IF(COUNTIF($B:$B,B4556)&gt;1,""ডুপ্লিকেট"",""""))"),"")</f>
        <v/>
      </c>
      <c r="Q4556" s="5" t="str">
        <f t="shared" si="1"/>
        <v>২ পরে</v>
      </c>
    </row>
    <row r="4557">
      <c r="A4557" s="4">
        <v>2383.0</v>
      </c>
      <c r="B4557" s="2" t="s">
        <v>18707</v>
      </c>
      <c r="C4557" s="2" t="s">
        <v>18708</v>
      </c>
      <c r="D4557" s="2" t="s">
        <v>18709</v>
      </c>
      <c r="E4557" s="2" t="s">
        <v>18710</v>
      </c>
      <c r="F4557" s="2" t="b">
        <v>1</v>
      </c>
      <c r="G4557" s="2" t="b">
        <v>0</v>
      </c>
      <c r="H4557" s="2" t="s">
        <v>37</v>
      </c>
      <c r="I4557" s="2" t="s">
        <v>22</v>
      </c>
      <c r="J4557" s="2" t="s">
        <v>43</v>
      </c>
      <c r="K4557" s="2" t="s">
        <v>495</v>
      </c>
      <c r="L4557" s="13" t="s">
        <v>496</v>
      </c>
      <c r="M4557" s="2" t="s">
        <v>26</v>
      </c>
      <c r="N4557" s="29"/>
      <c r="O4557" s="29"/>
      <c r="P4557" s="5" t="str">
        <f>IFERROR(__xludf.DUMMYFUNCTION("TEXTJOIN("" | "",TRUE,IF(OR(D4557="""",E4557="""",I4557="""",J4557="""",H4557=""""),""ফাঁকা ঘর"",""""),IF(AND(C4557&lt;&gt;"""",D4557&lt;&gt;"""",C4557=D4557),""gloss=figurative"",""""),IF(LEN(D4557)&lt;15,""figurative ছোট"",""""),IF(AND(I4557=""Positive"",REGEXMATCH(H4"&amp;"557,""মূর্খ|ভণ্ড|প্রতার|অলস|লোভ|স্বার্থ|অক্ষম|অযোগ্য|বোকা|কৃপণ|হিংস"")),""valence-target অমিল"",""""),IF(COUNTIF($B:$B,B4557)&gt;1,""ডুপ্লিকেট"",""""))"),"")</f>
        <v/>
      </c>
      <c r="Q4557" s="5" t="str">
        <f t="shared" si="1"/>
        <v>২ পরে</v>
      </c>
    </row>
    <row r="4558">
      <c r="A4558" s="4">
        <v>2384.0</v>
      </c>
      <c r="B4558" s="2" t="s">
        <v>18711</v>
      </c>
      <c r="C4558" s="2" t="s">
        <v>18712</v>
      </c>
      <c r="D4558" s="2" t="s">
        <v>18713</v>
      </c>
      <c r="E4558" s="2" t="s">
        <v>18714</v>
      </c>
      <c r="F4558" s="2" t="b">
        <v>1</v>
      </c>
      <c r="G4558" s="2" t="b">
        <v>0</v>
      </c>
      <c r="H4558" s="2" t="s">
        <v>18715</v>
      </c>
      <c r="I4558" s="2" t="s">
        <v>22</v>
      </c>
      <c r="J4558" s="2" t="s">
        <v>947</v>
      </c>
      <c r="K4558" s="2" t="s">
        <v>495</v>
      </c>
      <c r="L4558" s="13" t="s">
        <v>496</v>
      </c>
      <c r="M4558" s="2" t="s">
        <v>26</v>
      </c>
      <c r="N4558" s="29"/>
      <c r="O4558" s="29"/>
      <c r="P4558" s="5" t="str">
        <f>IFERROR(__xludf.DUMMYFUNCTION("TEXTJOIN("" | "",TRUE,IF(OR(D4558="""",E4558="""",I4558="""",J4558="""",H4558=""""),""ফাঁকা ঘর"",""""),IF(AND(C4558&lt;&gt;"""",D4558&lt;&gt;"""",C4558=D4558),""gloss=figurative"",""""),IF(LEN(D4558)&lt;15,""figurative ছোট"",""""),IF(AND(I4558=""Positive"",REGEXMATCH(H4"&amp;"558,""মূর্খ|ভণ্ড|প্রতার|অলস|লোভ|স্বার্থ|অক্ষম|অযোগ্য|বোকা|কৃপণ|হিংস"")),""valence-target অমিল"",""""),IF(COUNTIF($B:$B,B4558)&gt;1,""ডুপ্লিকেট"",""""))"),"")</f>
        <v/>
      </c>
      <c r="Q4558" s="5" t="str">
        <f t="shared" si="1"/>
        <v>২ পরে</v>
      </c>
    </row>
    <row r="4559">
      <c r="A4559" s="4">
        <v>2385.0</v>
      </c>
      <c r="B4559" s="2" t="s">
        <v>18716</v>
      </c>
      <c r="C4559" s="2" t="s">
        <v>524</v>
      </c>
      <c r="D4559" s="2" t="s">
        <v>18717</v>
      </c>
      <c r="E4559" s="2" t="s">
        <v>18718</v>
      </c>
      <c r="F4559" s="2" t="b">
        <v>1</v>
      </c>
      <c r="G4559" s="2" t="b">
        <v>0</v>
      </c>
      <c r="H4559" s="2" t="s">
        <v>18719</v>
      </c>
      <c r="I4559" s="2" t="s">
        <v>22</v>
      </c>
      <c r="J4559" s="2" t="s">
        <v>621</v>
      </c>
      <c r="K4559" s="2" t="s">
        <v>495</v>
      </c>
      <c r="L4559" s="13" t="s">
        <v>496</v>
      </c>
      <c r="M4559" s="2" t="s">
        <v>26</v>
      </c>
      <c r="N4559" s="29"/>
      <c r="O4559" s="29"/>
      <c r="P4559" s="5" t="str">
        <f>IFERROR(__xludf.DUMMYFUNCTION("TEXTJOIN("" | "",TRUE,IF(OR(D4559="""",E4559="""",I4559="""",J4559="""",H4559=""""),""ফাঁকা ঘর"",""""),IF(AND(C4559&lt;&gt;"""",D4559&lt;&gt;"""",C4559=D4559),""gloss=figurative"",""""),IF(LEN(D4559)&lt;15,""figurative ছোট"",""""),IF(AND(I4559=""Positive"",REGEXMATCH(H4"&amp;"559,""মূর্খ|ভণ্ড|প্রতার|অলস|লোভ|স্বার্থ|অক্ষম|অযোগ্য|বোকা|কৃপণ|হিংস"")),""valence-target অমিল"",""""),IF(COUNTIF($B:$B,B4559)&gt;1,""ডুপ্লিকেট"",""""))"),"")</f>
        <v/>
      </c>
      <c r="Q4559" s="5" t="str">
        <f t="shared" si="1"/>
        <v>২ পরে</v>
      </c>
    </row>
    <row r="4560">
      <c r="A4560" s="4">
        <v>2387.0</v>
      </c>
      <c r="B4560" s="2" t="s">
        <v>18720</v>
      </c>
      <c r="C4560" s="2" t="s">
        <v>18721</v>
      </c>
      <c r="D4560" s="2" t="s">
        <v>18722</v>
      </c>
      <c r="E4560" s="2" t="s">
        <v>18723</v>
      </c>
      <c r="F4560" s="2" t="b">
        <v>1</v>
      </c>
      <c r="G4560" s="2" t="b">
        <v>0</v>
      </c>
      <c r="H4560" s="2" t="s">
        <v>37</v>
      </c>
      <c r="I4560" s="2" t="s">
        <v>22</v>
      </c>
      <c r="J4560" s="2" t="s">
        <v>16089</v>
      </c>
      <c r="K4560" s="2" t="s">
        <v>495</v>
      </c>
      <c r="L4560" s="13" t="s">
        <v>496</v>
      </c>
      <c r="M4560" s="2" t="s">
        <v>26</v>
      </c>
      <c r="N4560" s="29"/>
      <c r="O4560" s="29"/>
      <c r="P4560" s="5" t="str">
        <f>IFERROR(__xludf.DUMMYFUNCTION("TEXTJOIN("" | "",TRUE,IF(OR(D4560="""",E4560="""",I4560="""",J4560="""",H4560=""""),""ফাঁকা ঘর"",""""),IF(AND(C4560&lt;&gt;"""",D4560&lt;&gt;"""",C4560=D4560),""gloss=figurative"",""""),IF(LEN(D4560)&lt;15,""figurative ছোট"",""""),IF(AND(I4560=""Positive"",REGEXMATCH(H4"&amp;"560,""মূর্খ|ভণ্ড|প্রতার|অলস|লোভ|স্বার্থ|অক্ষম|অযোগ্য|বোকা|কৃপণ|হিংস"")),""valence-target অমিল"",""""),IF(COUNTIF($B:$B,B4560)&gt;1,""ডুপ্লিকেট"",""""))"),"")</f>
        <v/>
      </c>
      <c r="Q4560" s="5" t="str">
        <f t="shared" si="1"/>
        <v>২ পরে</v>
      </c>
    </row>
    <row r="4561">
      <c r="A4561" s="4">
        <v>2388.0</v>
      </c>
      <c r="B4561" s="2" t="s">
        <v>18724</v>
      </c>
      <c r="C4561" s="2" t="s">
        <v>18725</v>
      </c>
      <c r="D4561" s="2" t="s">
        <v>18726</v>
      </c>
      <c r="E4561" s="2" t="s">
        <v>18727</v>
      </c>
      <c r="F4561" s="2" t="b">
        <v>1</v>
      </c>
      <c r="G4561" s="2" t="b">
        <v>1</v>
      </c>
      <c r="H4561" s="2" t="s">
        <v>18728</v>
      </c>
      <c r="I4561" s="2" t="s">
        <v>32</v>
      </c>
      <c r="J4561" s="2" t="s">
        <v>18729</v>
      </c>
      <c r="K4561" s="2" t="s">
        <v>495</v>
      </c>
      <c r="L4561" s="13" t="s">
        <v>496</v>
      </c>
      <c r="M4561" s="2" t="s">
        <v>26</v>
      </c>
      <c r="N4561" s="29"/>
      <c r="O4561" s="29"/>
      <c r="P4561" s="5" t="str">
        <f>IFERROR(__xludf.DUMMYFUNCTION("TEXTJOIN("" | "",TRUE,IF(OR(D4561="""",E4561="""",I4561="""",J4561="""",H4561=""""),""ফাঁকা ঘর"",""""),IF(AND(C4561&lt;&gt;"""",D4561&lt;&gt;"""",C4561=D4561),""gloss=figurative"",""""),IF(LEN(D4561)&lt;15,""figurative ছোট"",""""),IF(AND(I4561=""Positive"",REGEXMATCH(H4"&amp;"561,""মূর্খ|ভণ্ড|প্রতার|অলস|লোভ|স্বার্থ|অক্ষম|অযোগ্য|বোকা|কৃপণ|হিংস"")),""valence-target অমিল"",""""),IF(COUNTIF($B:$B,B4561)&gt;1,""ডুপ্লিকেট"",""""))"),"")</f>
        <v/>
      </c>
      <c r="Q4561" s="5" t="str">
        <f t="shared" si="1"/>
        <v>২ পরে</v>
      </c>
    </row>
    <row r="4562">
      <c r="A4562" s="4">
        <v>2389.0</v>
      </c>
      <c r="B4562" s="2" t="s">
        <v>18730</v>
      </c>
      <c r="C4562" s="2" t="s">
        <v>18731</v>
      </c>
      <c r="D4562" s="2" t="s">
        <v>18732</v>
      </c>
      <c r="E4562" s="2" t="s">
        <v>18733</v>
      </c>
      <c r="F4562" s="2" t="b">
        <v>1</v>
      </c>
      <c r="G4562" s="2" t="b">
        <v>0</v>
      </c>
      <c r="H4562" s="2" t="s">
        <v>18734</v>
      </c>
      <c r="I4562" s="2" t="s">
        <v>22</v>
      </c>
      <c r="J4562" s="2" t="s">
        <v>18735</v>
      </c>
      <c r="K4562" s="2" t="s">
        <v>495</v>
      </c>
      <c r="L4562" s="13" t="s">
        <v>496</v>
      </c>
      <c r="M4562" s="2" t="s">
        <v>26</v>
      </c>
      <c r="N4562" s="29"/>
      <c r="O4562" s="29"/>
      <c r="P4562" s="5" t="str">
        <f>IFERROR(__xludf.DUMMYFUNCTION("TEXTJOIN("" | "",TRUE,IF(OR(D4562="""",E4562="""",I4562="""",J4562="""",H4562=""""),""ফাঁকা ঘর"",""""),IF(AND(C4562&lt;&gt;"""",D4562&lt;&gt;"""",C4562=D4562),""gloss=figurative"",""""),IF(LEN(D4562)&lt;15,""figurative ছোট"",""""),IF(AND(I4562=""Positive"",REGEXMATCH(H4"&amp;"562,""মূর্খ|ভণ্ড|প্রতার|অলস|লোভ|স্বার্থ|অক্ষম|অযোগ্য|বোকা|কৃপণ|হিংস"")),""valence-target অমিল"",""""),IF(COUNTIF($B:$B,B4562)&gt;1,""ডুপ্লিকেট"",""""))"),"")</f>
        <v/>
      </c>
      <c r="Q4562" s="5" t="str">
        <f t="shared" si="1"/>
        <v>২ পরে</v>
      </c>
    </row>
    <row r="4563">
      <c r="A4563" s="4">
        <v>2390.0</v>
      </c>
      <c r="B4563" s="2" t="s">
        <v>18736</v>
      </c>
      <c r="C4563" s="2" t="s">
        <v>18731</v>
      </c>
      <c r="D4563" s="2" t="s">
        <v>18737</v>
      </c>
      <c r="E4563" s="2" t="s">
        <v>18738</v>
      </c>
      <c r="F4563" s="2" t="b">
        <v>1</v>
      </c>
      <c r="G4563" s="2" t="b">
        <v>0</v>
      </c>
      <c r="H4563" s="2" t="s">
        <v>18734</v>
      </c>
      <c r="I4563" s="2" t="s">
        <v>22</v>
      </c>
      <c r="J4563" s="2" t="s">
        <v>18735</v>
      </c>
      <c r="K4563" s="2" t="s">
        <v>495</v>
      </c>
      <c r="L4563" s="13" t="s">
        <v>496</v>
      </c>
      <c r="M4563" s="2" t="s">
        <v>26</v>
      </c>
      <c r="N4563" s="29"/>
      <c r="O4563" s="29"/>
      <c r="P4563" s="5" t="str">
        <f>IFERROR(__xludf.DUMMYFUNCTION("TEXTJOIN("" | "",TRUE,IF(OR(D4563="""",E4563="""",I4563="""",J4563="""",H4563=""""),""ফাঁকা ঘর"",""""),IF(AND(C4563&lt;&gt;"""",D4563&lt;&gt;"""",C4563=D4563),""gloss=figurative"",""""),IF(LEN(D4563)&lt;15,""figurative ছোট"",""""),IF(AND(I4563=""Positive"",REGEXMATCH(H4"&amp;"563,""মূর্খ|ভণ্ড|প্রতার|অলস|লোভ|স্বার্থ|অক্ষম|অযোগ্য|বোকা|কৃপণ|হিংস"")),""valence-target অমিল"",""""),IF(COUNTIF($B:$B,B4563)&gt;1,""ডুপ্লিকেট"",""""))"),"")</f>
        <v/>
      </c>
      <c r="Q4563" s="5" t="str">
        <f t="shared" si="1"/>
        <v>২ পরে</v>
      </c>
    </row>
    <row r="4564">
      <c r="A4564" s="4">
        <v>2391.0</v>
      </c>
      <c r="B4564" s="2" t="s">
        <v>18739</v>
      </c>
      <c r="C4564" s="2" t="s">
        <v>18740</v>
      </c>
      <c r="D4564" s="2" t="s">
        <v>18741</v>
      </c>
      <c r="E4564" s="2" t="s">
        <v>18742</v>
      </c>
      <c r="F4564" s="2" t="b">
        <v>1</v>
      </c>
      <c r="G4564" s="2" t="b">
        <v>0</v>
      </c>
      <c r="H4564" s="2" t="s">
        <v>18743</v>
      </c>
      <c r="I4564" s="2" t="s">
        <v>22</v>
      </c>
      <c r="J4564" s="2" t="s">
        <v>18744</v>
      </c>
      <c r="K4564" s="2" t="s">
        <v>495</v>
      </c>
      <c r="L4564" s="13" t="s">
        <v>496</v>
      </c>
      <c r="M4564" s="2" t="s">
        <v>26</v>
      </c>
      <c r="N4564" s="29"/>
      <c r="O4564" s="29"/>
      <c r="P4564" s="5" t="str">
        <f>IFERROR(__xludf.DUMMYFUNCTION("TEXTJOIN("" | "",TRUE,IF(OR(D4564="""",E4564="""",I4564="""",J4564="""",H4564=""""),""ফাঁকা ঘর"",""""),IF(AND(C4564&lt;&gt;"""",D4564&lt;&gt;"""",C4564=D4564),""gloss=figurative"",""""),IF(LEN(D4564)&lt;15,""figurative ছোট"",""""),IF(AND(I4564=""Positive"",REGEXMATCH(H4"&amp;"564,""মূর্খ|ভণ্ড|প্রতার|অলস|লোভ|স্বার্থ|অক্ষম|অযোগ্য|বোকা|কৃপণ|হিংস"")),""valence-target অমিল"",""""),IF(COUNTIF($B:$B,B4564)&gt;1,""ডুপ্লিকেট"",""""))"),"")</f>
        <v/>
      </c>
      <c r="Q4564" s="5" t="str">
        <f t="shared" si="1"/>
        <v>২ পরে</v>
      </c>
    </row>
    <row r="4565">
      <c r="A4565" s="4">
        <v>2392.0</v>
      </c>
      <c r="B4565" s="2" t="s">
        <v>18745</v>
      </c>
      <c r="C4565" s="2" t="s">
        <v>18746</v>
      </c>
      <c r="D4565" s="2" t="s">
        <v>18747</v>
      </c>
      <c r="E4565" s="2" t="s">
        <v>18748</v>
      </c>
      <c r="F4565" s="2" t="b">
        <v>1</v>
      </c>
      <c r="G4565" s="2" t="b">
        <v>0</v>
      </c>
      <c r="H4565" s="2" t="s">
        <v>37</v>
      </c>
      <c r="I4565" s="2" t="s">
        <v>22</v>
      </c>
      <c r="J4565" s="2" t="s">
        <v>1226</v>
      </c>
      <c r="K4565" s="2" t="s">
        <v>495</v>
      </c>
      <c r="L4565" s="13" t="s">
        <v>496</v>
      </c>
      <c r="M4565" s="2" t="s">
        <v>26</v>
      </c>
      <c r="N4565" s="29"/>
      <c r="O4565" s="29"/>
      <c r="P4565" s="5" t="str">
        <f>IFERROR(__xludf.DUMMYFUNCTION("TEXTJOIN("" | "",TRUE,IF(OR(D4565="""",E4565="""",I4565="""",J4565="""",H4565=""""),""ফাঁকা ঘর"",""""),IF(AND(C4565&lt;&gt;"""",D4565&lt;&gt;"""",C4565=D4565),""gloss=figurative"",""""),IF(LEN(D4565)&lt;15,""figurative ছোট"",""""),IF(AND(I4565=""Positive"",REGEXMATCH(H4"&amp;"565,""মূর্খ|ভণ্ড|প্রতার|অলস|লোভ|স্বার্থ|অক্ষম|অযোগ্য|বোকা|কৃপণ|হিংস"")),""valence-target অমিল"",""""),IF(COUNTIF($B:$B,B4565)&gt;1,""ডুপ্লিকেট"",""""))"),"")</f>
        <v/>
      </c>
      <c r="Q4565" s="5" t="str">
        <f t="shared" si="1"/>
        <v>২ পরে</v>
      </c>
    </row>
    <row r="4566">
      <c r="A4566" s="4">
        <v>2393.0</v>
      </c>
      <c r="B4566" s="2" t="s">
        <v>18749</v>
      </c>
      <c r="C4566" s="2" t="s">
        <v>18746</v>
      </c>
      <c r="D4566" s="2" t="s">
        <v>18750</v>
      </c>
      <c r="E4566" s="2" t="s">
        <v>18751</v>
      </c>
      <c r="F4566" s="2" t="b">
        <v>1</v>
      </c>
      <c r="G4566" s="2" t="b">
        <v>0</v>
      </c>
      <c r="H4566" s="2" t="s">
        <v>37</v>
      </c>
      <c r="I4566" s="2" t="s">
        <v>22</v>
      </c>
      <c r="J4566" s="2" t="s">
        <v>1226</v>
      </c>
      <c r="K4566" s="2" t="s">
        <v>495</v>
      </c>
      <c r="L4566" s="13" t="s">
        <v>496</v>
      </c>
      <c r="M4566" s="2" t="s">
        <v>26</v>
      </c>
      <c r="N4566" s="29"/>
      <c r="O4566" s="29"/>
      <c r="P4566" s="5" t="str">
        <f>IFERROR(__xludf.DUMMYFUNCTION("TEXTJOIN("" | "",TRUE,IF(OR(D4566="""",E4566="""",I4566="""",J4566="""",H4566=""""),""ফাঁকা ঘর"",""""),IF(AND(C4566&lt;&gt;"""",D4566&lt;&gt;"""",C4566=D4566),""gloss=figurative"",""""),IF(LEN(D4566)&lt;15,""figurative ছোট"",""""),IF(AND(I4566=""Positive"",REGEXMATCH(H4"&amp;"566,""মূর্খ|ভণ্ড|প্রতার|অলস|লোভ|স্বার্থ|অক্ষম|অযোগ্য|বোকা|কৃপণ|হিংস"")),""valence-target অমিল"",""""),IF(COUNTIF($B:$B,B4566)&gt;1,""ডুপ্লিকেট"",""""))"),"")</f>
        <v/>
      </c>
      <c r="Q4566" s="5" t="str">
        <f t="shared" si="1"/>
        <v>২ পরে</v>
      </c>
    </row>
    <row r="4567">
      <c r="A4567" s="4">
        <v>2394.0</v>
      </c>
      <c r="B4567" s="2" t="s">
        <v>18752</v>
      </c>
      <c r="C4567" s="2" t="s">
        <v>18753</v>
      </c>
      <c r="D4567" s="2" t="s">
        <v>18754</v>
      </c>
      <c r="E4567" s="2" t="s">
        <v>18755</v>
      </c>
      <c r="F4567" s="2" t="b">
        <v>1</v>
      </c>
      <c r="G4567" s="2" t="b">
        <v>0</v>
      </c>
      <c r="H4567" s="2" t="s">
        <v>18756</v>
      </c>
      <c r="I4567" s="2" t="s">
        <v>22</v>
      </c>
      <c r="J4567" s="2" t="s">
        <v>18757</v>
      </c>
      <c r="K4567" s="2" t="s">
        <v>495</v>
      </c>
      <c r="L4567" s="13" t="s">
        <v>496</v>
      </c>
      <c r="M4567" s="2" t="s">
        <v>26</v>
      </c>
      <c r="N4567" s="29"/>
      <c r="O4567" s="29"/>
      <c r="P4567" s="5" t="str">
        <f>IFERROR(__xludf.DUMMYFUNCTION("TEXTJOIN("" | "",TRUE,IF(OR(D4567="""",E4567="""",I4567="""",J4567="""",H4567=""""),""ফাঁকা ঘর"",""""),IF(AND(C4567&lt;&gt;"""",D4567&lt;&gt;"""",C4567=D4567),""gloss=figurative"",""""),IF(LEN(D4567)&lt;15,""figurative ছোট"",""""),IF(AND(I4567=""Positive"",REGEXMATCH(H4"&amp;"567,""মূর্খ|ভণ্ড|প্রতার|অলস|লোভ|স্বার্থ|অক্ষম|অযোগ্য|বোকা|কৃপণ|হিংস"")),""valence-target অমিল"",""""),IF(COUNTIF($B:$B,B4567)&gt;1,""ডুপ্লিকেট"",""""))"),"")</f>
        <v/>
      </c>
      <c r="Q4567" s="5" t="str">
        <f t="shared" si="1"/>
        <v>২ পরে</v>
      </c>
    </row>
    <row r="4568">
      <c r="A4568" s="4">
        <v>2395.0</v>
      </c>
      <c r="B4568" s="2" t="s">
        <v>18758</v>
      </c>
      <c r="C4568" s="2" t="s">
        <v>18758</v>
      </c>
      <c r="D4568" s="2" t="s">
        <v>18759</v>
      </c>
      <c r="E4568" s="2" t="s">
        <v>18760</v>
      </c>
      <c r="F4568" s="2" t="b">
        <v>1</v>
      </c>
      <c r="G4568" s="2" t="b">
        <v>0</v>
      </c>
      <c r="H4568" s="2" t="s">
        <v>18761</v>
      </c>
      <c r="I4568" s="2" t="s">
        <v>32</v>
      </c>
      <c r="J4568" s="2" t="s">
        <v>669</v>
      </c>
      <c r="K4568" s="2" t="s">
        <v>495</v>
      </c>
      <c r="L4568" s="13" t="s">
        <v>496</v>
      </c>
      <c r="M4568" s="2" t="s">
        <v>26</v>
      </c>
      <c r="N4568" s="29"/>
      <c r="O4568" s="29"/>
      <c r="P4568" s="5" t="str">
        <f>IFERROR(__xludf.DUMMYFUNCTION("TEXTJOIN("" | "",TRUE,IF(OR(D4568="""",E4568="""",I4568="""",J4568="""",H4568=""""),""ফাঁকা ঘর"",""""),IF(AND(C4568&lt;&gt;"""",D4568&lt;&gt;"""",C4568=D4568),""gloss=figurative"",""""),IF(LEN(D4568)&lt;15,""figurative ছোট"",""""),IF(AND(I4568=""Positive"",REGEXMATCH(H4"&amp;"568,""মূর্খ|ভণ্ড|প্রতার|অলস|লোভ|স্বার্থ|অক্ষম|অযোগ্য|বোকা|কৃপণ|হিংস"")),""valence-target অমিল"",""""),IF(COUNTIF($B:$B,B4568)&gt;1,""ডুপ্লিকেট"",""""))"),"")</f>
        <v/>
      </c>
      <c r="Q4568" s="5" t="str">
        <f t="shared" si="1"/>
        <v>২ পরে</v>
      </c>
    </row>
    <row r="4569">
      <c r="A4569" s="4">
        <v>2396.0</v>
      </c>
      <c r="B4569" s="2" t="s">
        <v>18762</v>
      </c>
      <c r="C4569" s="2" t="s">
        <v>18763</v>
      </c>
      <c r="D4569" s="2" t="s">
        <v>18764</v>
      </c>
      <c r="E4569" s="2" t="s">
        <v>18765</v>
      </c>
      <c r="F4569" s="2" t="b">
        <v>1</v>
      </c>
      <c r="G4569" s="2" t="b">
        <v>0</v>
      </c>
      <c r="H4569" s="2" t="s">
        <v>18766</v>
      </c>
      <c r="I4569" s="2" t="s">
        <v>22</v>
      </c>
      <c r="J4569" s="2" t="s">
        <v>669</v>
      </c>
      <c r="K4569" s="2" t="s">
        <v>495</v>
      </c>
      <c r="L4569" s="13" t="s">
        <v>496</v>
      </c>
      <c r="M4569" s="2" t="s">
        <v>26</v>
      </c>
      <c r="N4569" s="29"/>
      <c r="O4569" s="29"/>
      <c r="P4569" s="5" t="str">
        <f>IFERROR(__xludf.DUMMYFUNCTION("TEXTJOIN("" | "",TRUE,IF(OR(D4569="""",E4569="""",I4569="""",J4569="""",H4569=""""),""ফাঁকা ঘর"",""""),IF(AND(C4569&lt;&gt;"""",D4569&lt;&gt;"""",C4569=D4569),""gloss=figurative"",""""),IF(LEN(D4569)&lt;15,""figurative ছোট"",""""),IF(AND(I4569=""Positive"",REGEXMATCH(H4"&amp;"569,""মূর্খ|ভণ্ড|প্রতার|অলস|লোভ|স্বার্থ|অক্ষম|অযোগ্য|বোকা|কৃপণ|হিংস"")),""valence-target অমিল"",""""),IF(COUNTIF($B:$B,B4569)&gt;1,""ডুপ্লিকেট"",""""))"),"")</f>
        <v/>
      </c>
      <c r="Q4569" s="5" t="str">
        <f t="shared" si="1"/>
        <v>২ পরে</v>
      </c>
    </row>
    <row r="4570">
      <c r="A4570" s="4">
        <v>2397.0</v>
      </c>
      <c r="B4570" s="2" t="s">
        <v>18767</v>
      </c>
      <c r="C4570" s="2" t="s">
        <v>18767</v>
      </c>
      <c r="D4570" s="2" t="s">
        <v>18768</v>
      </c>
      <c r="E4570" s="2" t="s">
        <v>18769</v>
      </c>
      <c r="F4570" s="2" t="b">
        <v>1</v>
      </c>
      <c r="G4570" s="2" t="b">
        <v>0</v>
      </c>
      <c r="H4570" s="2" t="s">
        <v>37</v>
      </c>
      <c r="I4570" s="2" t="s">
        <v>22</v>
      </c>
      <c r="J4570" s="2" t="s">
        <v>655</v>
      </c>
      <c r="K4570" s="2" t="s">
        <v>495</v>
      </c>
      <c r="L4570" s="13" t="s">
        <v>496</v>
      </c>
      <c r="M4570" s="2" t="s">
        <v>26</v>
      </c>
      <c r="N4570" s="29"/>
      <c r="O4570" s="29"/>
      <c r="P4570" s="5" t="str">
        <f>IFERROR(__xludf.DUMMYFUNCTION("TEXTJOIN("" | "",TRUE,IF(OR(D4570="""",E4570="""",I4570="""",J4570="""",H4570=""""),""ফাঁকা ঘর"",""""),IF(AND(C4570&lt;&gt;"""",D4570&lt;&gt;"""",C4570=D4570),""gloss=figurative"",""""),IF(LEN(D4570)&lt;15,""figurative ছোট"",""""),IF(AND(I4570=""Positive"",REGEXMATCH(H4"&amp;"570,""মূর্খ|ভণ্ড|প্রতার|অলস|লোভ|স্বার্থ|অক্ষম|অযোগ্য|বোকা|কৃপণ|হিংস"")),""valence-target অমিল"",""""),IF(COUNTIF($B:$B,B4570)&gt;1,""ডুপ্লিকেট"",""""))"),"")</f>
        <v/>
      </c>
      <c r="Q4570" s="5" t="str">
        <f t="shared" si="1"/>
        <v>২ পরে</v>
      </c>
    </row>
    <row r="4571">
      <c r="A4571" s="4">
        <v>2398.0</v>
      </c>
      <c r="B4571" s="2" t="s">
        <v>18770</v>
      </c>
      <c r="C4571" s="2" t="s">
        <v>18771</v>
      </c>
      <c r="D4571" s="2" t="s">
        <v>18772</v>
      </c>
      <c r="E4571" s="2" t="s">
        <v>18773</v>
      </c>
      <c r="F4571" s="2" t="b">
        <v>1</v>
      </c>
      <c r="G4571" s="2" t="b">
        <v>0</v>
      </c>
      <c r="H4571" s="2" t="s">
        <v>37</v>
      </c>
      <c r="I4571" s="2" t="s">
        <v>32</v>
      </c>
      <c r="J4571" s="2" t="s">
        <v>18581</v>
      </c>
      <c r="K4571" s="2" t="s">
        <v>495</v>
      </c>
      <c r="L4571" s="13" t="s">
        <v>496</v>
      </c>
      <c r="M4571" s="2" t="s">
        <v>26</v>
      </c>
      <c r="N4571" s="29"/>
      <c r="O4571" s="29"/>
      <c r="P4571" s="5" t="str">
        <f>IFERROR(__xludf.DUMMYFUNCTION("TEXTJOIN("" | "",TRUE,IF(OR(D4571="""",E4571="""",I4571="""",J4571="""",H4571=""""),""ফাঁকা ঘর"",""""),IF(AND(C4571&lt;&gt;"""",D4571&lt;&gt;"""",C4571=D4571),""gloss=figurative"",""""),IF(LEN(D4571)&lt;15,""figurative ছোট"",""""),IF(AND(I4571=""Positive"",REGEXMATCH(H4"&amp;"571,""মূর্খ|ভণ্ড|প্রতার|অলস|লোভ|স্বার্থ|অক্ষম|অযোগ্য|বোকা|কৃপণ|হিংস"")),""valence-target অমিল"",""""),IF(COUNTIF($B:$B,B4571)&gt;1,""ডুপ্লিকেট"",""""))"),"")</f>
        <v/>
      </c>
      <c r="Q4571" s="5" t="str">
        <f t="shared" si="1"/>
        <v>২ পরে</v>
      </c>
    </row>
    <row r="4572">
      <c r="A4572" s="4">
        <v>2399.0</v>
      </c>
      <c r="B4572" s="2" t="s">
        <v>18774</v>
      </c>
      <c r="C4572" s="2" t="s">
        <v>18583</v>
      </c>
      <c r="D4572" s="2" t="s">
        <v>18775</v>
      </c>
      <c r="E4572" s="2" t="s">
        <v>18585</v>
      </c>
      <c r="F4572" s="2" t="b">
        <v>1</v>
      </c>
      <c r="G4572" s="2" t="b">
        <v>0</v>
      </c>
      <c r="H4572" s="2" t="s">
        <v>37</v>
      </c>
      <c r="I4572" s="2" t="s">
        <v>49</v>
      </c>
      <c r="J4572" s="2" t="s">
        <v>1008</v>
      </c>
      <c r="K4572" s="2" t="s">
        <v>495</v>
      </c>
      <c r="L4572" s="13" t="s">
        <v>496</v>
      </c>
      <c r="M4572" s="2" t="s">
        <v>26</v>
      </c>
      <c r="N4572" s="29"/>
      <c r="O4572" s="29"/>
      <c r="P4572" s="5" t="str">
        <f>IFERROR(__xludf.DUMMYFUNCTION("TEXTJOIN("" | "",TRUE,IF(OR(D4572="""",E4572="""",I4572="""",J4572="""",H4572=""""),""ফাঁকা ঘর"",""""),IF(AND(C4572&lt;&gt;"""",D4572&lt;&gt;"""",C4572=D4572),""gloss=figurative"",""""),IF(LEN(D4572)&lt;15,""figurative ছোট"",""""),IF(AND(I4572=""Positive"",REGEXMATCH(H4"&amp;"572,""মূর্খ|ভণ্ড|প্রতার|অলস|লোভ|স্বার্থ|অক্ষম|অযোগ্য|বোকা|কৃপণ|হিংস"")),""valence-target অমিল"",""""),IF(COUNTIF($B:$B,B4572)&gt;1,""ডুপ্লিকেট"",""""))"),"")</f>
        <v/>
      </c>
      <c r="Q4572" s="5" t="str">
        <f t="shared" si="1"/>
        <v>২ পরে</v>
      </c>
    </row>
    <row r="4573">
      <c r="A4573" s="4">
        <v>2400.0</v>
      </c>
      <c r="B4573" s="2" t="s">
        <v>18776</v>
      </c>
      <c r="C4573" s="2" t="s">
        <v>18777</v>
      </c>
      <c r="D4573" s="2" t="s">
        <v>18778</v>
      </c>
      <c r="E4573" s="2" t="s">
        <v>18779</v>
      </c>
      <c r="F4573" s="2" t="b">
        <v>1</v>
      </c>
      <c r="G4573" s="2" t="b">
        <v>0</v>
      </c>
      <c r="H4573" s="2" t="s">
        <v>37</v>
      </c>
      <c r="I4573" s="2" t="s">
        <v>22</v>
      </c>
      <c r="J4573" s="2" t="s">
        <v>18706</v>
      </c>
      <c r="K4573" s="2" t="s">
        <v>495</v>
      </c>
      <c r="L4573" s="13" t="s">
        <v>496</v>
      </c>
      <c r="M4573" s="2" t="s">
        <v>26</v>
      </c>
      <c r="N4573" s="29"/>
      <c r="O4573" s="29"/>
      <c r="P4573" s="5" t="str">
        <f>IFERROR(__xludf.DUMMYFUNCTION("TEXTJOIN("" | "",TRUE,IF(OR(D4573="""",E4573="""",I4573="""",J4573="""",H4573=""""),""ফাঁকা ঘর"",""""),IF(AND(C4573&lt;&gt;"""",D4573&lt;&gt;"""",C4573=D4573),""gloss=figurative"",""""),IF(LEN(D4573)&lt;15,""figurative ছোট"",""""),IF(AND(I4573=""Positive"",REGEXMATCH(H4"&amp;"573,""মূর্খ|ভণ্ড|প্রতার|অলস|লোভ|স্বার্থ|অক্ষম|অযোগ্য|বোকা|কৃপণ|হিংস"")),""valence-target অমিল"",""""),IF(COUNTIF($B:$B,B4573)&gt;1,""ডুপ্লিকেট"",""""))"),"")</f>
        <v/>
      </c>
      <c r="Q4573" s="5" t="str">
        <f t="shared" si="1"/>
        <v>২ পরে</v>
      </c>
    </row>
    <row r="4574">
      <c r="A4574" s="4">
        <v>2401.0</v>
      </c>
      <c r="B4574" s="2" t="s">
        <v>18780</v>
      </c>
      <c r="C4574" s="2" t="s">
        <v>18781</v>
      </c>
      <c r="D4574" s="2" t="s">
        <v>18782</v>
      </c>
      <c r="E4574" s="2" t="s">
        <v>18783</v>
      </c>
      <c r="F4574" s="2" t="b">
        <v>1</v>
      </c>
      <c r="G4574" s="2" t="b">
        <v>1</v>
      </c>
      <c r="H4574" s="2" t="s">
        <v>18784</v>
      </c>
      <c r="I4574" s="2" t="s">
        <v>22</v>
      </c>
      <c r="J4574" s="2" t="s">
        <v>15166</v>
      </c>
      <c r="K4574" s="2" t="s">
        <v>495</v>
      </c>
      <c r="L4574" s="13" t="s">
        <v>496</v>
      </c>
      <c r="M4574" s="2" t="s">
        <v>26</v>
      </c>
      <c r="N4574" s="29"/>
      <c r="O4574" s="29"/>
      <c r="P4574" s="5" t="str">
        <f>IFERROR(__xludf.DUMMYFUNCTION("TEXTJOIN("" | "",TRUE,IF(OR(D4574="""",E4574="""",I4574="""",J4574="""",H4574=""""),""ফাঁকা ঘর"",""""),IF(AND(C4574&lt;&gt;"""",D4574&lt;&gt;"""",C4574=D4574),""gloss=figurative"",""""),IF(LEN(D4574)&lt;15,""figurative ছোট"",""""),IF(AND(I4574=""Positive"",REGEXMATCH(H4"&amp;"574,""মূর্খ|ভণ্ড|প্রতার|অলস|লোভ|স্বার্থ|অক্ষম|অযোগ্য|বোকা|কৃপণ|হিংস"")),""valence-target অমিল"",""""),IF(COUNTIF($B:$B,B4574)&gt;1,""ডুপ্লিকেট"",""""))"),"")</f>
        <v/>
      </c>
      <c r="Q4574" s="5" t="str">
        <f t="shared" si="1"/>
        <v>২ পরে</v>
      </c>
    </row>
    <row r="4575">
      <c r="A4575" s="4">
        <v>2402.0</v>
      </c>
      <c r="B4575" s="2" t="s">
        <v>18785</v>
      </c>
      <c r="C4575" s="2" t="s">
        <v>18786</v>
      </c>
      <c r="D4575" s="2" t="s">
        <v>18787</v>
      </c>
      <c r="E4575" s="2" t="s">
        <v>18788</v>
      </c>
      <c r="F4575" s="2" t="b">
        <v>1</v>
      </c>
      <c r="G4575" s="2" t="b">
        <v>0</v>
      </c>
      <c r="H4575" s="2" t="s">
        <v>37</v>
      </c>
      <c r="I4575" s="2" t="s">
        <v>49</v>
      </c>
      <c r="J4575" s="2" t="s">
        <v>565</v>
      </c>
      <c r="K4575" s="2" t="s">
        <v>495</v>
      </c>
      <c r="L4575" s="13" t="s">
        <v>496</v>
      </c>
      <c r="M4575" s="2" t="s">
        <v>26</v>
      </c>
      <c r="N4575" s="29"/>
      <c r="O4575" s="29"/>
      <c r="P4575" s="5" t="str">
        <f>IFERROR(__xludf.DUMMYFUNCTION("TEXTJOIN("" | "",TRUE,IF(OR(D4575="""",E4575="""",I4575="""",J4575="""",H4575=""""),""ফাঁকা ঘর"",""""),IF(AND(C4575&lt;&gt;"""",D4575&lt;&gt;"""",C4575=D4575),""gloss=figurative"",""""),IF(LEN(D4575)&lt;15,""figurative ছোট"",""""),IF(AND(I4575=""Positive"",REGEXMATCH(H4"&amp;"575,""মূর্খ|ভণ্ড|প্রতার|অলস|লোভ|স্বার্থ|অক্ষম|অযোগ্য|বোকা|কৃপণ|হিংস"")),""valence-target অমিল"",""""),IF(COUNTIF($B:$B,B4575)&gt;1,""ডুপ্লিকেট"",""""))"),"")</f>
        <v/>
      </c>
      <c r="Q4575" s="5" t="str">
        <f t="shared" si="1"/>
        <v>২ পরে</v>
      </c>
    </row>
    <row r="4576">
      <c r="A4576" s="4">
        <v>2403.0</v>
      </c>
      <c r="B4576" s="2" t="s">
        <v>18789</v>
      </c>
      <c r="C4576" s="2" t="s">
        <v>18790</v>
      </c>
      <c r="D4576" s="2" t="s">
        <v>18791</v>
      </c>
      <c r="E4576" s="2" t="s">
        <v>18792</v>
      </c>
      <c r="F4576" s="2" t="b">
        <v>1</v>
      </c>
      <c r="G4576" s="2" t="b">
        <v>0</v>
      </c>
      <c r="H4576" s="2" t="s">
        <v>18793</v>
      </c>
      <c r="I4576" s="2" t="s">
        <v>22</v>
      </c>
      <c r="J4576" s="2" t="s">
        <v>18794</v>
      </c>
      <c r="K4576" s="2" t="s">
        <v>495</v>
      </c>
      <c r="L4576" s="13" t="s">
        <v>496</v>
      </c>
      <c r="M4576" s="2" t="s">
        <v>26</v>
      </c>
      <c r="N4576" s="29"/>
      <c r="O4576" s="29"/>
      <c r="P4576" s="5" t="str">
        <f>IFERROR(__xludf.DUMMYFUNCTION("TEXTJOIN("" | "",TRUE,IF(OR(D4576="""",E4576="""",I4576="""",J4576="""",H4576=""""),""ফাঁকা ঘর"",""""),IF(AND(C4576&lt;&gt;"""",D4576&lt;&gt;"""",C4576=D4576),""gloss=figurative"",""""),IF(LEN(D4576)&lt;15,""figurative ছোট"",""""),IF(AND(I4576=""Positive"",REGEXMATCH(H4"&amp;"576,""মূর্খ|ভণ্ড|প্রতার|অলস|লোভ|স্বার্থ|অক্ষম|অযোগ্য|বোকা|কৃপণ|হিংস"")),""valence-target অমিল"",""""),IF(COUNTIF($B:$B,B4576)&gt;1,""ডুপ্লিকেট"",""""))"),"")</f>
        <v/>
      </c>
      <c r="Q4576" s="5" t="str">
        <f t="shared" si="1"/>
        <v>২ পরে</v>
      </c>
    </row>
    <row r="4577">
      <c r="A4577" s="4">
        <v>2404.0</v>
      </c>
      <c r="B4577" s="2" t="s">
        <v>18795</v>
      </c>
      <c r="C4577" s="2" t="s">
        <v>18795</v>
      </c>
      <c r="D4577" s="2" t="s">
        <v>18796</v>
      </c>
      <c r="E4577" s="2" t="s">
        <v>18797</v>
      </c>
      <c r="F4577" s="2" t="b">
        <v>1</v>
      </c>
      <c r="G4577" s="2" t="b">
        <v>0</v>
      </c>
      <c r="H4577" s="2" t="s">
        <v>18636</v>
      </c>
      <c r="I4577" s="2" t="s">
        <v>49</v>
      </c>
      <c r="J4577" s="2" t="s">
        <v>729</v>
      </c>
      <c r="K4577" s="2" t="s">
        <v>495</v>
      </c>
      <c r="L4577" s="13" t="s">
        <v>496</v>
      </c>
      <c r="M4577" s="2" t="s">
        <v>26</v>
      </c>
      <c r="N4577" s="29"/>
      <c r="O4577" s="29"/>
      <c r="P4577" s="5" t="str">
        <f>IFERROR(__xludf.DUMMYFUNCTION("TEXTJOIN("" | "",TRUE,IF(OR(D4577="""",E4577="""",I4577="""",J4577="""",H4577=""""),""ফাঁকা ঘর"",""""),IF(AND(C4577&lt;&gt;"""",D4577&lt;&gt;"""",C4577=D4577),""gloss=figurative"",""""),IF(LEN(D4577)&lt;15,""figurative ছোট"",""""),IF(AND(I4577=""Positive"",REGEXMATCH(H4"&amp;"577,""মূর্খ|ভণ্ড|প্রতার|অলস|লোভ|স্বার্থ|অক্ষম|অযোগ্য|বোকা|কৃপণ|হিংস"")),""valence-target অমিল"",""""),IF(COUNTIF($B:$B,B4577)&gt;1,""ডুপ্লিকেট"",""""))"),"")</f>
        <v/>
      </c>
      <c r="Q4577" s="5" t="str">
        <f t="shared" si="1"/>
        <v>২ পরে</v>
      </c>
    </row>
    <row r="4578">
      <c r="A4578" s="4">
        <v>2405.0</v>
      </c>
      <c r="B4578" s="2" t="s">
        <v>18798</v>
      </c>
      <c r="C4578" s="2" t="s">
        <v>18799</v>
      </c>
      <c r="D4578" s="2" t="s">
        <v>18800</v>
      </c>
      <c r="E4578" s="2" t="s">
        <v>18801</v>
      </c>
      <c r="F4578" s="2" t="b">
        <v>1</v>
      </c>
      <c r="G4578" s="2" t="b">
        <v>0</v>
      </c>
      <c r="H4578" s="2" t="s">
        <v>18802</v>
      </c>
      <c r="I4578" s="2" t="s">
        <v>22</v>
      </c>
      <c r="J4578" s="2" t="s">
        <v>447</v>
      </c>
      <c r="K4578" s="2" t="s">
        <v>495</v>
      </c>
      <c r="L4578" s="13" t="s">
        <v>496</v>
      </c>
      <c r="M4578" s="2" t="s">
        <v>26</v>
      </c>
      <c r="N4578" s="29"/>
      <c r="O4578" s="29"/>
      <c r="P4578" s="5" t="str">
        <f>IFERROR(__xludf.DUMMYFUNCTION("TEXTJOIN("" | "",TRUE,IF(OR(D4578="""",E4578="""",I4578="""",J4578="""",H4578=""""),""ফাঁকা ঘর"",""""),IF(AND(C4578&lt;&gt;"""",D4578&lt;&gt;"""",C4578=D4578),""gloss=figurative"",""""),IF(LEN(D4578)&lt;15,""figurative ছোট"",""""),IF(AND(I4578=""Positive"",REGEXMATCH(H4"&amp;"578,""মূর্খ|ভণ্ড|প্রতার|অলস|লোভ|স্বার্থ|অক্ষম|অযোগ্য|বোকা|কৃপণ|হিংস"")),""valence-target অমিল"",""""),IF(COUNTIF($B:$B,B4578)&gt;1,""ডুপ্লিকেট"",""""))"),"")</f>
        <v/>
      </c>
      <c r="Q4578" s="5" t="str">
        <f t="shared" si="1"/>
        <v>২ পরে</v>
      </c>
    </row>
    <row r="4579">
      <c r="A4579" s="4">
        <v>2406.0</v>
      </c>
      <c r="B4579" s="2" t="s">
        <v>18803</v>
      </c>
      <c r="C4579" s="2" t="s">
        <v>18804</v>
      </c>
      <c r="D4579" s="2" t="s">
        <v>18805</v>
      </c>
      <c r="E4579" s="2" t="s">
        <v>18806</v>
      </c>
      <c r="F4579" s="2" t="b">
        <v>1</v>
      </c>
      <c r="G4579" s="2" t="b">
        <v>0</v>
      </c>
      <c r="H4579" s="2" t="s">
        <v>1612</v>
      </c>
      <c r="I4579" s="2" t="s">
        <v>22</v>
      </c>
      <c r="J4579" s="2" t="s">
        <v>836</v>
      </c>
      <c r="K4579" s="2" t="s">
        <v>495</v>
      </c>
      <c r="L4579" s="13" t="s">
        <v>496</v>
      </c>
      <c r="M4579" s="2" t="s">
        <v>26</v>
      </c>
      <c r="N4579" s="29"/>
      <c r="O4579" s="29"/>
      <c r="P4579" s="5" t="str">
        <f>IFERROR(__xludf.DUMMYFUNCTION("TEXTJOIN("" | "",TRUE,IF(OR(D4579="""",E4579="""",I4579="""",J4579="""",H4579=""""),""ফাঁকা ঘর"",""""),IF(AND(C4579&lt;&gt;"""",D4579&lt;&gt;"""",C4579=D4579),""gloss=figurative"",""""),IF(LEN(D4579)&lt;15,""figurative ছোট"",""""),IF(AND(I4579=""Positive"",REGEXMATCH(H4"&amp;"579,""মূর্খ|ভণ্ড|প্রতার|অলস|লোভ|স্বার্থ|অক্ষম|অযোগ্য|বোকা|কৃপণ|হিংস"")),""valence-target অমিল"",""""),IF(COUNTIF($B:$B,B4579)&gt;1,""ডুপ্লিকেট"",""""))"),"")</f>
        <v/>
      </c>
      <c r="Q4579" s="5" t="str">
        <f t="shared" si="1"/>
        <v>২ পরে</v>
      </c>
    </row>
    <row r="4580">
      <c r="A4580" s="4">
        <v>2407.0</v>
      </c>
      <c r="B4580" s="2" t="s">
        <v>18807</v>
      </c>
      <c r="C4580" s="2" t="s">
        <v>18808</v>
      </c>
      <c r="D4580" s="2" t="s">
        <v>18809</v>
      </c>
      <c r="E4580" s="2" t="s">
        <v>18810</v>
      </c>
      <c r="F4580" s="2" t="b">
        <v>1</v>
      </c>
      <c r="G4580" s="2" t="b">
        <v>0</v>
      </c>
      <c r="H4580" s="2" t="s">
        <v>18811</v>
      </c>
      <c r="I4580" s="2" t="s">
        <v>49</v>
      </c>
      <c r="J4580" s="2" t="s">
        <v>18812</v>
      </c>
      <c r="K4580" s="2" t="s">
        <v>495</v>
      </c>
      <c r="L4580" s="13" t="s">
        <v>496</v>
      </c>
      <c r="M4580" s="2" t="s">
        <v>26</v>
      </c>
      <c r="N4580" s="29"/>
      <c r="O4580" s="29"/>
      <c r="P4580" s="5" t="str">
        <f>IFERROR(__xludf.DUMMYFUNCTION("TEXTJOIN("" | "",TRUE,IF(OR(D4580="""",E4580="""",I4580="""",J4580="""",H4580=""""),""ফাঁকা ঘর"",""""),IF(AND(C4580&lt;&gt;"""",D4580&lt;&gt;"""",C4580=D4580),""gloss=figurative"",""""),IF(LEN(D4580)&lt;15,""figurative ছোট"",""""),IF(AND(I4580=""Positive"",REGEXMATCH(H4"&amp;"580,""মূর্খ|ভণ্ড|প্রতার|অলস|লোভ|স্বার্থ|অক্ষম|অযোগ্য|বোকা|কৃপণ|হিংস"")),""valence-target অমিল"",""""),IF(COUNTIF($B:$B,B4580)&gt;1,""ডুপ্লিকেট"",""""))"),"")</f>
        <v/>
      </c>
      <c r="Q4580" s="5" t="str">
        <f t="shared" si="1"/>
        <v>২ পরে</v>
      </c>
    </row>
    <row r="4581">
      <c r="A4581" s="4">
        <v>2408.0</v>
      </c>
      <c r="B4581" s="2" t="s">
        <v>18813</v>
      </c>
      <c r="C4581" s="2" t="s">
        <v>18814</v>
      </c>
      <c r="D4581" s="2" t="s">
        <v>18815</v>
      </c>
      <c r="E4581" s="2" t="s">
        <v>18816</v>
      </c>
      <c r="F4581" s="2" t="b">
        <v>1</v>
      </c>
      <c r="G4581" s="2" t="b">
        <v>0</v>
      </c>
      <c r="H4581" s="2" t="s">
        <v>37</v>
      </c>
      <c r="I4581" s="2" t="s">
        <v>32</v>
      </c>
      <c r="J4581" s="2" t="s">
        <v>18817</v>
      </c>
      <c r="K4581" s="2" t="s">
        <v>495</v>
      </c>
      <c r="L4581" s="13" t="s">
        <v>496</v>
      </c>
      <c r="M4581" s="2" t="s">
        <v>26</v>
      </c>
      <c r="N4581" s="29"/>
      <c r="O4581" s="29"/>
      <c r="P4581" s="5" t="str">
        <f>IFERROR(__xludf.DUMMYFUNCTION("TEXTJOIN("" | "",TRUE,IF(OR(D4581="""",E4581="""",I4581="""",J4581="""",H4581=""""),""ফাঁকা ঘর"",""""),IF(AND(C4581&lt;&gt;"""",D4581&lt;&gt;"""",C4581=D4581),""gloss=figurative"",""""),IF(LEN(D4581)&lt;15,""figurative ছোট"",""""),IF(AND(I4581=""Positive"",REGEXMATCH(H4"&amp;"581,""মূর্খ|ভণ্ড|প্রতার|অলস|লোভ|স্বার্থ|অক্ষম|অযোগ্য|বোকা|কৃপণ|হিংস"")),""valence-target অমিল"",""""),IF(COUNTIF($B:$B,B4581)&gt;1,""ডুপ্লিকেট"",""""))"),"")</f>
        <v/>
      </c>
      <c r="Q4581" s="5" t="str">
        <f t="shared" si="1"/>
        <v>২ পরে</v>
      </c>
    </row>
    <row r="4582">
      <c r="A4582" s="4">
        <v>2409.0</v>
      </c>
      <c r="B4582" s="2" t="s">
        <v>18818</v>
      </c>
      <c r="C4582" s="2" t="s">
        <v>18819</v>
      </c>
      <c r="D4582" s="2" t="s">
        <v>18820</v>
      </c>
      <c r="E4582" s="2" t="s">
        <v>18821</v>
      </c>
      <c r="F4582" s="2" t="b">
        <v>1</v>
      </c>
      <c r="G4582" s="2" t="b">
        <v>0</v>
      </c>
      <c r="H4582" s="2" t="s">
        <v>37</v>
      </c>
      <c r="I4582" s="2" t="s">
        <v>32</v>
      </c>
      <c r="J4582" s="2" t="s">
        <v>18822</v>
      </c>
      <c r="K4582" s="2" t="s">
        <v>495</v>
      </c>
      <c r="L4582" s="13" t="s">
        <v>496</v>
      </c>
      <c r="M4582" s="2" t="s">
        <v>26</v>
      </c>
      <c r="N4582" s="29"/>
      <c r="O4582" s="29"/>
      <c r="P4582" s="5" t="str">
        <f>IFERROR(__xludf.DUMMYFUNCTION("TEXTJOIN("" | "",TRUE,IF(OR(D4582="""",E4582="""",I4582="""",J4582="""",H4582=""""),""ফাঁকা ঘর"",""""),IF(AND(C4582&lt;&gt;"""",D4582&lt;&gt;"""",C4582=D4582),""gloss=figurative"",""""),IF(LEN(D4582)&lt;15,""figurative ছোট"",""""),IF(AND(I4582=""Positive"",REGEXMATCH(H4"&amp;"582,""মূর্খ|ভণ্ড|প্রতার|অলস|লোভ|স্বার্থ|অক্ষম|অযোগ্য|বোকা|কৃপণ|হিংস"")),""valence-target অমিল"",""""),IF(COUNTIF($B:$B,B4582)&gt;1,""ডুপ্লিকেট"",""""))"),"")</f>
        <v/>
      </c>
      <c r="Q4582" s="5" t="str">
        <f t="shared" si="1"/>
        <v>২ পরে</v>
      </c>
    </row>
    <row r="4583">
      <c r="A4583" s="4">
        <v>2410.0</v>
      </c>
      <c r="B4583" s="2" t="s">
        <v>18823</v>
      </c>
      <c r="C4583" s="2" t="s">
        <v>18824</v>
      </c>
      <c r="D4583" s="2" t="s">
        <v>18825</v>
      </c>
      <c r="E4583" s="2" t="s">
        <v>18826</v>
      </c>
      <c r="F4583" s="2" t="b">
        <v>1</v>
      </c>
      <c r="G4583" s="2" t="b">
        <v>0</v>
      </c>
      <c r="H4583" s="2" t="s">
        <v>37</v>
      </c>
      <c r="I4583" s="2" t="s">
        <v>22</v>
      </c>
      <c r="J4583" s="2" t="s">
        <v>1249</v>
      </c>
      <c r="K4583" s="2" t="s">
        <v>495</v>
      </c>
      <c r="L4583" s="13" t="s">
        <v>496</v>
      </c>
      <c r="M4583" s="2" t="s">
        <v>26</v>
      </c>
      <c r="N4583" s="29"/>
      <c r="O4583" s="29"/>
      <c r="P4583" s="5" t="str">
        <f>IFERROR(__xludf.DUMMYFUNCTION("TEXTJOIN("" | "",TRUE,IF(OR(D4583="""",E4583="""",I4583="""",J4583="""",H4583=""""),""ফাঁকা ঘর"",""""),IF(AND(C4583&lt;&gt;"""",D4583&lt;&gt;"""",C4583=D4583),""gloss=figurative"",""""),IF(LEN(D4583)&lt;15,""figurative ছোট"",""""),IF(AND(I4583=""Positive"",REGEXMATCH(H4"&amp;"583,""মূর্খ|ভণ্ড|প্রতার|অলস|লোভ|স্বার্থ|অক্ষম|অযোগ্য|বোকা|কৃপণ|হিংস"")),""valence-target অমিল"",""""),IF(COUNTIF($B:$B,B4583)&gt;1,""ডুপ্লিকেট"",""""))"),"")</f>
        <v/>
      </c>
      <c r="Q4583" s="5" t="str">
        <f t="shared" si="1"/>
        <v>২ পরে</v>
      </c>
    </row>
    <row r="4584">
      <c r="A4584" s="4">
        <v>2411.0</v>
      </c>
      <c r="B4584" s="2" t="s">
        <v>18827</v>
      </c>
      <c r="C4584" s="2" t="s">
        <v>18828</v>
      </c>
      <c r="D4584" s="2" t="s">
        <v>18829</v>
      </c>
      <c r="E4584" s="2" t="s">
        <v>18830</v>
      </c>
      <c r="F4584" s="2" t="b">
        <v>1</v>
      </c>
      <c r="G4584" s="2" t="b">
        <v>0</v>
      </c>
      <c r="H4584" s="2" t="s">
        <v>18831</v>
      </c>
      <c r="I4584" s="2" t="s">
        <v>22</v>
      </c>
      <c r="J4584" s="2" t="s">
        <v>18832</v>
      </c>
      <c r="K4584" s="2" t="s">
        <v>495</v>
      </c>
      <c r="L4584" s="13" t="s">
        <v>496</v>
      </c>
      <c r="M4584" s="2" t="s">
        <v>26</v>
      </c>
      <c r="N4584" s="29"/>
      <c r="O4584" s="29"/>
      <c r="P4584" s="5" t="str">
        <f>IFERROR(__xludf.DUMMYFUNCTION("TEXTJOIN("" | "",TRUE,IF(OR(D4584="""",E4584="""",I4584="""",J4584="""",H4584=""""),""ফাঁকা ঘর"",""""),IF(AND(C4584&lt;&gt;"""",D4584&lt;&gt;"""",C4584=D4584),""gloss=figurative"",""""),IF(LEN(D4584)&lt;15,""figurative ছোট"",""""),IF(AND(I4584=""Positive"",REGEXMATCH(H4"&amp;"584,""মূর্খ|ভণ্ড|প্রতার|অলস|লোভ|স্বার্থ|অক্ষম|অযোগ্য|বোকা|কৃপণ|হিংস"")),""valence-target অমিল"",""""),IF(COUNTIF($B:$B,B4584)&gt;1,""ডুপ্লিকেট"",""""))"),"")</f>
        <v/>
      </c>
      <c r="Q4584" s="5" t="str">
        <f t="shared" si="1"/>
        <v>২ পরে</v>
      </c>
    </row>
    <row r="4585">
      <c r="A4585" s="4">
        <v>2412.0</v>
      </c>
      <c r="B4585" s="2" t="s">
        <v>18833</v>
      </c>
      <c r="C4585" s="2" t="s">
        <v>18834</v>
      </c>
      <c r="D4585" s="2" t="s">
        <v>18835</v>
      </c>
      <c r="E4585" s="2" t="s">
        <v>18836</v>
      </c>
      <c r="F4585" s="2" t="b">
        <v>1</v>
      </c>
      <c r="G4585" s="2" t="b">
        <v>0</v>
      </c>
      <c r="H4585" s="2" t="s">
        <v>18837</v>
      </c>
      <c r="I4585" s="2" t="s">
        <v>22</v>
      </c>
      <c r="J4585" s="2" t="s">
        <v>669</v>
      </c>
      <c r="K4585" s="2" t="s">
        <v>495</v>
      </c>
      <c r="L4585" s="13" t="s">
        <v>496</v>
      </c>
      <c r="M4585" s="2" t="s">
        <v>26</v>
      </c>
      <c r="N4585" s="29"/>
      <c r="O4585" s="29"/>
      <c r="P4585" s="5" t="str">
        <f>IFERROR(__xludf.DUMMYFUNCTION("TEXTJOIN("" | "",TRUE,IF(OR(D4585="""",E4585="""",I4585="""",J4585="""",H4585=""""),""ফাঁকা ঘর"",""""),IF(AND(C4585&lt;&gt;"""",D4585&lt;&gt;"""",C4585=D4585),""gloss=figurative"",""""),IF(LEN(D4585)&lt;15,""figurative ছোট"",""""),IF(AND(I4585=""Positive"",REGEXMATCH(H4"&amp;"585,""মূর্খ|ভণ্ড|প্রতার|অলস|লোভ|স্বার্থ|অক্ষম|অযোগ্য|বোকা|কৃপণ|হিংস"")),""valence-target অমিল"",""""),IF(COUNTIF($B:$B,B4585)&gt;1,""ডুপ্লিকেট"",""""))"),"")</f>
        <v/>
      </c>
      <c r="Q4585" s="5" t="str">
        <f t="shared" si="1"/>
        <v>২ পরে</v>
      </c>
    </row>
    <row r="4586">
      <c r="A4586" s="4">
        <v>2413.0</v>
      </c>
      <c r="B4586" s="2" t="s">
        <v>18838</v>
      </c>
      <c r="C4586" s="2" t="s">
        <v>18839</v>
      </c>
      <c r="D4586" s="2" t="s">
        <v>18840</v>
      </c>
      <c r="E4586" s="2" t="s">
        <v>18841</v>
      </c>
      <c r="F4586" s="2" t="b">
        <v>1</v>
      </c>
      <c r="G4586" s="2" t="b">
        <v>0</v>
      </c>
      <c r="H4586" s="2" t="s">
        <v>18842</v>
      </c>
      <c r="I4586" s="2" t="s">
        <v>22</v>
      </c>
      <c r="J4586" s="2" t="s">
        <v>750</v>
      </c>
      <c r="K4586" s="2" t="s">
        <v>495</v>
      </c>
      <c r="L4586" s="13" t="s">
        <v>496</v>
      </c>
      <c r="M4586" s="2" t="s">
        <v>26</v>
      </c>
      <c r="N4586" s="29"/>
      <c r="O4586" s="29"/>
      <c r="P4586" s="5" t="str">
        <f>IFERROR(__xludf.DUMMYFUNCTION("TEXTJOIN("" | "",TRUE,IF(OR(D4586="""",E4586="""",I4586="""",J4586="""",H4586=""""),""ফাঁকা ঘর"",""""),IF(AND(C4586&lt;&gt;"""",D4586&lt;&gt;"""",C4586=D4586),""gloss=figurative"",""""),IF(LEN(D4586)&lt;15,""figurative ছোট"",""""),IF(AND(I4586=""Positive"",REGEXMATCH(H4"&amp;"586,""মূর্খ|ভণ্ড|প্রতার|অলস|লোভ|স্বার্থ|অক্ষম|অযোগ্য|বোকা|কৃপণ|হিংস"")),""valence-target অমিল"",""""),IF(COUNTIF($B:$B,B4586)&gt;1,""ডুপ্লিকেট"",""""))"),"")</f>
        <v/>
      </c>
      <c r="Q4586" s="5" t="str">
        <f t="shared" si="1"/>
        <v>২ পরে</v>
      </c>
    </row>
    <row r="4587">
      <c r="A4587" s="4">
        <v>2414.0</v>
      </c>
      <c r="B4587" s="2" t="s">
        <v>18843</v>
      </c>
      <c r="C4587" s="2" t="s">
        <v>18844</v>
      </c>
      <c r="D4587" s="2" t="s">
        <v>18845</v>
      </c>
      <c r="E4587" s="2" t="s">
        <v>18846</v>
      </c>
      <c r="F4587" s="2" t="b">
        <v>1</v>
      </c>
      <c r="G4587" s="2" t="b">
        <v>0</v>
      </c>
      <c r="H4587" s="2" t="s">
        <v>18047</v>
      </c>
      <c r="I4587" s="2" t="s">
        <v>22</v>
      </c>
      <c r="J4587" s="2" t="s">
        <v>447</v>
      </c>
      <c r="K4587" s="2" t="s">
        <v>495</v>
      </c>
      <c r="L4587" s="13" t="s">
        <v>496</v>
      </c>
      <c r="M4587" s="2" t="s">
        <v>26</v>
      </c>
      <c r="N4587" s="29"/>
      <c r="O4587" s="29"/>
      <c r="P4587" s="5" t="str">
        <f>IFERROR(__xludf.DUMMYFUNCTION("TEXTJOIN("" | "",TRUE,IF(OR(D4587="""",E4587="""",I4587="""",J4587="""",H4587=""""),""ফাঁকা ঘর"",""""),IF(AND(C4587&lt;&gt;"""",D4587&lt;&gt;"""",C4587=D4587),""gloss=figurative"",""""),IF(LEN(D4587)&lt;15,""figurative ছোট"",""""),IF(AND(I4587=""Positive"",REGEXMATCH(H4"&amp;"587,""মূর্খ|ভণ্ড|প্রতার|অলস|লোভ|স্বার্থ|অক্ষম|অযোগ্য|বোকা|কৃপণ|হিংস"")),""valence-target অমিল"",""""),IF(COUNTIF($B:$B,B4587)&gt;1,""ডুপ্লিকেট"",""""))"),"")</f>
        <v/>
      </c>
      <c r="Q4587" s="5" t="str">
        <f t="shared" si="1"/>
        <v>২ পরে</v>
      </c>
    </row>
    <row r="4588">
      <c r="A4588" s="4">
        <v>2415.0</v>
      </c>
      <c r="B4588" s="2" t="s">
        <v>18847</v>
      </c>
      <c r="C4588" s="2" t="s">
        <v>18844</v>
      </c>
      <c r="D4588" s="2" t="s">
        <v>18848</v>
      </c>
      <c r="E4588" s="2" t="s">
        <v>18849</v>
      </c>
      <c r="F4588" s="2" t="b">
        <v>1</v>
      </c>
      <c r="G4588" s="2" t="b">
        <v>0</v>
      </c>
      <c r="H4588" s="2" t="s">
        <v>18051</v>
      </c>
      <c r="I4588" s="2" t="s">
        <v>22</v>
      </c>
      <c r="J4588" s="2" t="s">
        <v>447</v>
      </c>
      <c r="K4588" s="2" t="s">
        <v>495</v>
      </c>
      <c r="L4588" s="13" t="s">
        <v>496</v>
      </c>
      <c r="M4588" s="2" t="s">
        <v>26</v>
      </c>
      <c r="N4588" s="29"/>
      <c r="O4588" s="29"/>
      <c r="P4588" s="5" t="str">
        <f>IFERROR(__xludf.DUMMYFUNCTION("TEXTJOIN("" | "",TRUE,IF(OR(D4588="""",E4588="""",I4588="""",J4588="""",H4588=""""),""ফাঁকা ঘর"",""""),IF(AND(C4588&lt;&gt;"""",D4588&lt;&gt;"""",C4588=D4588),""gloss=figurative"",""""),IF(LEN(D4588)&lt;15,""figurative ছোট"",""""),IF(AND(I4588=""Positive"",REGEXMATCH(H4"&amp;"588,""মূর্খ|ভণ্ড|প্রতার|অলস|লোভ|স্বার্থ|অক্ষম|অযোগ্য|বোকা|কৃপণ|হিংস"")),""valence-target অমিল"",""""),IF(COUNTIF($B:$B,B4588)&gt;1,""ডুপ্লিকেট"",""""))"),"")</f>
        <v/>
      </c>
      <c r="Q4588" s="5" t="str">
        <f t="shared" si="1"/>
        <v>২ পরে</v>
      </c>
    </row>
    <row r="4589">
      <c r="A4589" s="4">
        <v>2416.0</v>
      </c>
      <c r="B4589" s="2" t="s">
        <v>18850</v>
      </c>
      <c r="C4589" s="2" t="s">
        <v>18844</v>
      </c>
      <c r="D4589" s="2" t="s">
        <v>18851</v>
      </c>
      <c r="E4589" s="2" t="s">
        <v>18852</v>
      </c>
      <c r="F4589" s="2" t="b">
        <v>1</v>
      </c>
      <c r="G4589" s="2" t="b">
        <v>0</v>
      </c>
      <c r="H4589" s="2" t="s">
        <v>18055</v>
      </c>
      <c r="I4589" s="2" t="s">
        <v>22</v>
      </c>
      <c r="J4589" s="2" t="s">
        <v>447</v>
      </c>
      <c r="K4589" s="2" t="s">
        <v>495</v>
      </c>
      <c r="L4589" s="13" t="s">
        <v>496</v>
      </c>
      <c r="M4589" s="2" t="s">
        <v>26</v>
      </c>
      <c r="N4589" s="29"/>
      <c r="O4589" s="29"/>
      <c r="P4589" s="5" t="str">
        <f>IFERROR(__xludf.DUMMYFUNCTION("TEXTJOIN("" | "",TRUE,IF(OR(D4589="""",E4589="""",I4589="""",J4589="""",H4589=""""),""ফাঁকা ঘর"",""""),IF(AND(C4589&lt;&gt;"""",D4589&lt;&gt;"""",C4589=D4589),""gloss=figurative"",""""),IF(LEN(D4589)&lt;15,""figurative ছোট"",""""),IF(AND(I4589=""Positive"",REGEXMATCH(H4"&amp;"589,""মূর্খ|ভণ্ড|প্রতার|অলস|লোভ|স্বার্থ|অক্ষম|অযোগ্য|বোকা|কৃপণ|হিংস"")),""valence-target অমিল"",""""),IF(COUNTIF($B:$B,B4589)&gt;1,""ডুপ্লিকেট"",""""))"),"")</f>
        <v/>
      </c>
      <c r="Q4589" s="5" t="str">
        <f t="shared" si="1"/>
        <v>২ পরে</v>
      </c>
    </row>
    <row r="4590">
      <c r="A4590" s="4">
        <v>2417.0</v>
      </c>
      <c r="B4590" s="2" t="s">
        <v>18853</v>
      </c>
      <c r="C4590" s="2" t="s">
        <v>18854</v>
      </c>
      <c r="D4590" s="2" t="s">
        <v>18855</v>
      </c>
      <c r="E4590" s="2" t="s">
        <v>18856</v>
      </c>
      <c r="F4590" s="2" t="b">
        <v>1</v>
      </c>
      <c r="G4590" s="2" t="b">
        <v>0</v>
      </c>
      <c r="H4590" s="2" t="s">
        <v>18857</v>
      </c>
      <c r="I4590" s="2" t="s">
        <v>22</v>
      </c>
      <c r="J4590" s="2" t="s">
        <v>43</v>
      </c>
      <c r="K4590" s="2" t="s">
        <v>495</v>
      </c>
      <c r="L4590" s="13" t="s">
        <v>496</v>
      </c>
      <c r="M4590" s="2" t="s">
        <v>26</v>
      </c>
      <c r="N4590" s="29"/>
      <c r="O4590" s="29"/>
      <c r="P4590" s="5" t="str">
        <f>IFERROR(__xludf.DUMMYFUNCTION("TEXTJOIN("" | "",TRUE,IF(OR(D4590="""",E4590="""",I4590="""",J4590="""",H4590=""""),""ফাঁকা ঘর"",""""),IF(AND(C4590&lt;&gt;"""",D4590&lt;&gt;"""",C4590=D4590),""gloss=figurative"",""""),IF(LEN(D4590)&lt;15,""figurative ছোট"",""""),IF(AND(I4590=""Positive"",REGEXMATCH(H4"&amp;"590,""মূর্খ|ভণ্ড|প্রতার|অলস|লোভ|স্বার্থ|অক্ষম|অযোগ্য|বোকা|কৃপণ|হিংস"")),""valence-target অমিল"",""""),IF(COUNTIF($B:$B,B4590)&gt;1,""ডুপ্লিকেট"",""""))"),"")</f>
        <v/>
      </c>
      <c r="Q4590" s="5" t="str">
        <f t="shared" si="1"/>
        <v>২ পরে</v>
      </c>
    </row>
    <row r="4591">
      <c r="A4591" s="4">
        <v>2418.0</v>
      </c>
      <c r="B4591" s="2" t="s">
        <v>18858</v>
      </c>
      <c r="C4591" s="2" t="s">
        <v>18858</v>
      </c>
      <c r="D4591" s="2" t="s">
        <v>18859</v>
      </c>
      <c r="E4591" s="2" t="s">
        <v>18860</v>
      </c>
      <c r="F4591" s="2" t="b">
        <v>1</v>
      </c>
      <c r="G4591" s="2" t="b">
        <v>0</v>
      </c>
      <c r="H4591" s="2" t="s">
        <v>37</v>
      </c>
      <c r="I4591" s="2" t="s">
        <v>32</v>
      </c>
      <c r="J4591" s="2" t="s">
        <v>590</v>
      </c>
      <c r="K4591" s="2" t="s">
        <v>495</v>
      </c>
      <c r="L4591" s="13" t="s">
        <v>496</v>
      </c>
      <c r="M4591" s="2" t="s">
        <v>26</v>
      </c>
      <c r="N4591" s="29"/>
      <c r="O4591" s="29"/>
      <c r="P4591" s="5" t="str">
        <f>IFERROR(__xludf.DUMMYFUNCTION("TEXTJOIN("" | "",TRUE,IF(OR(D4591="""",E4591="""",I4591="""",J4591="""",H4591=""""),""ফাঁকা ঘর"",""""),IF(AND(C4591&lt;&gt;"""",D4591&lt;&gt;"""",C4591=D4591),""gloss=figurative"",""""),IF(LEN(D4591)&lt;15,""figurative ছোট"",""""),IF(AND(I4591=""Positive"",REGEXMATCH(H4"&amp;"591,""মূর্খ|ভণ্ড|প্রতার|অলস|লোভ|স্বার্থ|অক্ষম|অযোগ্য|বোকা|কৃপণ|হিংস"")),""valence-target অমিল"",""""),IF(COUNTIF($B:$B,B4591)&gt;1,""ডুপ্লিকেট"",""""))"),"")</f>
        <v/>
      </c>
      <c r="Q4591" s="5" t="str">
        <f t="shared" si="1"/>
        <v>২ পরে</v>
      </c>
    </row>
    <row r="4592">
      <c r="A4592" s="4">
        <v>2419.0</v>
      </c>
      <c r="B4592" s="2" t="s">
        <v>18861</v>
      </c>
      <c r="C4592" s="2" t="s">
        <v>18862</v>
      </c>
      <c r="D4592" s="2" t="s">
        <v>18863</v>
      </c>
      <c r="E4592" s="2" t="s">
        <v>18864</v>
      </c>
      <c r="F4592" s="2" t="b">
        <v>1</v>
      </c>
      <c r="G4592" s="2" t="b">
        <v>0</v>
      </c>
      <c r="H4592" s="2" t="s">
        <v>37</v>
      </c>
      <c r="I4592" s="2" t="s">
        <v>22</v>
      </c>
      <c r="J4592" s="2" t="s">
        <v>18865</v>
      </c>
      <c r="K4592" s="2" t="s">
        <v>495</v>
      </c>
      <c r="L4592" s="13" t="s">
        <v>496</v>
      </c>
      <c r="M4592" s="2" t="s">
        <v>26</v>
      </c>
      <c r="N4592" s="29"/>
      <c r="O4592" s="29"/>
      <c r="P4592" s="5" t="str">
        <f>IFERROR(__xludf.DUMMYFUNCTION("TEXTJOIN("" | "",TRUE,IF(OR(D4592="""",E4592="""",I4592="""",J4592="""",H4592=""""),""ফাঁকা ঘর"",""""),IF(AND(C4592&lt;&gt;"""",D4592&lt;&gt;"""",C4592=D4592),""gloss=figurative"",""""),IF(LEN(D4592)&lt;15,""figurative ছোট"",""""),IF(AND(I4592=""Positive"",REGEXMATCH(H4"&amp;"592,""মূর্খ|ভণ্ড|প্রতার|অলস|লোভ|স্বার্থ|অক্ষম|অযোগ্য|বোকা|কৃপণ|হিংস"")),""valence-target অমিল"",""""),IF(COUNTIF($B:$B,B4592)&gt;1,""ডুপ্লিকেট"",""""))"),"")</f>
        <v/>
      </c>
      <c r="Q4592" s="5" t="str">
        <f t="shared" si="1"/>
        <v>২ পরে</v>
      </c>
    </row>
    <row r="4593">
      <c r="A4593" s="4">
        <v>2420.0</v>
      </c>
      <c r="B4593" s="2" t="s">
        <v>18866</v>
      </c>
      <c r="C4593" s="2" t="s">
        <v>18867</v>
      </c>
      <c r="D4593" s="2" t="s">
        <v>18868</v>
      </c>
      <c r="E4593" s="2" t="s">
        <v>18869</v>
      </c>
      <c r="F4593" s="2" t="b">
        <v>1</v>
      </c>
      <c r="G4593" s="2" t="b">
        <v>0</v>
      </c>
      <c r="H4593" s="2" t="s">
        <v>37</v>
      </c>
      <c r="I4593" s="2" t="s">
        <v>32</v>
      </c>
      <c r="J4593" s="2" t="s">
        <v>913</v>
      </c>
      <c r="K4593" s="2" t="s">
        <v>495</v>
      </c>
      <c r="L4593" s="13" t="s">
        <v>496</v>
      </c>
      <c r="M4593" s="2" t="s">
        <v>26</v>
      </c>
      <c r="N4593" s="29"/>
      <c r="O4593" s="29"/>
      <c r="P4593" s="5" t="str">
        <f>IFERROR(__xludf.DUMMYFUNCTION("TEXTJOIN("" | "",TRUE,IF(OR(D4593="""",E4593="""",I4593="""",J4593="""",H4593=""""),""ফাঁকা ঘর"",""""),IF(AND(C4593&lt;&gt;"""",D4593&lt;&gt;"""",C4593=D4593),""gloss=figurative"",""""),IF(LEN(D4593)&lt;15,""figurative ছোট"",""""),IF(AND(I4593=""Positive"",REGEXMATCH(H4"&amp;"593,""মূর্খ|ভণ্ড|প্রতার|অলস|লোভ|স্বার্থ|অক্ষম|অযোগ্য|বোকা|কৃপণ|হিংস"")),""valence-target অমিল"",""""),IF(COUNTIF($B:$B,B4593)&gt;1,""ডুপ্লিকেট"",""""))"),"")</f>
        <v/>
      </c>
      <c r="Q4593" s="5" t="str">
        <f t="shared" si="1"/>
        <v>২ পরে</v>
      </c>
    </row>
    <row r="4594">
      <c r="A4594" s="4">
        <v>2421.0</v>
      </c>
      <c r="B4594" s="2" t="s">
        <v>18870</v>
      </c>
      <c r="C4594" s="2" t="s">
        <v>18870</v>
      </c>
      <c r="D4594" s="2" t="s">
        <v>18871</v>
      </c>
      <c r="E4594" s="2" t="s">
        <v>18872</v>
      </c>
      <c r="F4594" s="2" t="b">
        <v>1</v>
      </c>
      <c r="G4594" s="2" t="b">
        <v>0</v>
      </c>
      <c r="H4594" s="2" t="s">
        <v>37</v>
      </c>
      <c r="I4594" s="2" t="s">
        <v>32</v>
      </c>
      <c r="J4594" s="2" t="s">
        <v>436</v>
      </c>
      <c r="K4594" s="2" t="s">
        <v>495</v>
      </c>
      <c r="L4594" s="13" t="s">
        <v>496</v>
      </c>
      <c r="M4594" s="2" t="s">
        <v>26</v>
      </c>
      <c r="N4594" s="29"/>
      <c r="O4594" s="29"/>
      <c r="P4594" s="5" t="str">
        <f>IFERROR(__xludf.DUMMYFUNCTION("TEXTJOIN("" | "",TRUE,IF(OR(D4594="""",E4594="""",I4594="""",J4594="""",H4594=""""),""ফাঁকা ঘর"",""""),IF(AND(C4594&lt;&gt;"""",D4594&lt;&gt;"""",C4594=D4594),""gloss=figurative"",""""),IF(LEN(D4594)&lt;15,""figurative ছোট"",""""),IF(AND(I4594=""Positive"",REGEXMATCH(H4"&amp;"594,""মূর্খ|ভণ্ড|প্রতার|অলস|লোভ|স্বার্থ|অক্ষম|অযোগ্য|বোকা|কৃপণ|হিংস"")),""valence-target অমিল"",""""),IF(COUNTIF($B:$B,B4594)&gt;1,""ডুপ্লিকেট"",""""))"),"")</f>
        <v/>
      </c>
      <c r="Q4594" s="5" t="str">
        <f t="shared" si="1"/>
        <v>২ পরে</v>
      </c>
    </row>
    <row r="4595">
      <c r="A4595" s="4">
        <v>2422.0</v>
      </c>
      <c r="B4595" s="2" t="s">
        <v>18873</v>
      </c>
      <c r="C4595" s="2" t="s">
        <v>18874</v>
      </c>
      <c r="D4595" s="2" t="s">
        <v>18875</v>
      </c>
      <c r="E4595" s="2" t="s">
        <v>18876</v>
      </c>
      <c r="F4595" s="2" t="b">
        <v>1</v>
      </c>
      <c r="G4595" s="2" t="b">
        <v>0</v>
      </c>
      <c r="H4595" s="2" t="s">
        <v>37</v>
      </c>
      <c r="I4595" s="2" t="s">
        <v>22</v>
      </c>
      <c r="J4595" s="2" t="s">
        <v>621</v>
      </c>
      <c r="K4595" s="2" t="s">
        <v>495</v>
      </c>
      <c r="L4595" s="13" t="s">
        <v>496</v>
      </c>
      <c r="M4595" s="2" t="s">
        <v>26</v>
      </c>
      <c r="N4595" s="29"/>
      <c r="O4595" s="29"/>
      <c r="P4595" s="5" t="str">
        <f>IFERROR(__xludf.DUMMYFUNCTION("TEXTJOIN("" | "",TRUE,IF(OR(D4595="""",E4595="""",I4595="""",J4595="""",H4595=""""),""ফাঁকা ঘর"",""""),IF(AND(C4595&lt;&gt;"""",D4595&lt;&gt;"""",C4595=D4595),""gloss=figurative"",""""),IF(LEN(D4595)&lt;15,""figurative ছোট"",""""),IF(AND(I4595=""Positive"",REGEXMATCH(H4"&amp;"595,""মূর্খ|ভণ্ড|প্রতার|অলস|লোভ|স্বার্থ|অক্ষম|অযোগ্য|বোকা|কৃপণ|হিংস"")),""valence-target অমিল"",""""),IF(COUNTIF($B:$B,B4595)&gt;1,""ডুপ্লিকেট"",""""))"),"")</f>
        <v/>
      </c>
      <c r="Q4595" s="5" t="str">
        <f t="shared" si="1"/>
        <v>২ পরে</v>
      </c>
    </row>
    <row r="4596">
      <c r="A4596" s="4">
        <v>2423.0</v>
      </c>
      <c r="B4596" s="2" t="s">
        <v>18877</v>
      </c>
      <c r="C4596" s="2" t="s">
        <v>18877</v>
      </c>
      <c r="D4596" s="2" t="s">
        <v>18878</v>
      </c>
      <c r="E4596" s="2" t="s">
        <v>18879</v>
      </c>
      <c r="F4596" s="2" t="b">
        <v>1</v>
      </c>
      <c r="G4596" s="2" t="b">
        <v>0</v>
      </c>
      <c r="H4596" s="2" t="s">
        <v>37</v>
      </c>
      <c r="I4596" s="2" t="s">
        <v>32</v>
      </c>
      <c r="J4596" s="2" t="s">
        <v>590</v>
      </c>
      <c r="K4596" s="2" t="s">
        <v>495</v>
      </c>
      <c r="L4596" s="13" t="s">
        <v>496</v>
      </c>
      <c r="M4596" s="2" t="s">
        <v>26</v>
      </c>
      <c r="N4596" s="29"/>
      <c r="O4596" s="29"/>
      <c r="P4596" s="5" t="str">
        <f>IFERROR(__xludf.DUMMYFUNCTION("TEXTJOIN("" | "",TRUE,IF(OR(D4596="""",E4596="""",I4596="""",J4596="""",H4596=""""),""ফাঁকা ঘর"",""""),IF(AND(C4596&lt;&gt;"""",D4596&lt;&gt;"""",C4596=D4596),""gloss=figurative"",""""),IF(LEN(D4596)&lt;15,""figurative ছোট"",""""),IF(AND(I4596=""Positive"",REGEXMATCH(H4"&amp;"596,""মূর্খ|ভণ্ড|প্রতার|অলস|লোভ|স্বার্থ|অক্ষম|অযোগ্য|বোকা|কৃপণ|হিংস"")),""valence-target অমিল"",""""),IF(COUNTIF($B:$B,B4596)&gt;1,""ডুপ্লিকেট"",""""))"),"")</f>
        <v/>
      </c>
      <c r="Q4596" s="5" t="str">
        <f t="shared" si="1"/>
        <v>২ পরে</v>
      </c>
    </row>
    <row r="4597">
      <c r="A4597" s="4">
        <v>2424.0</v>
      </c>
      <c r="B4597" s="2" t="s">
        <v>18880</v>
      </c>
      <c r="C4597" s="2" t="s">
        <v>18881</v>
      </c>
      <c r="D4597" s="2" t="s">
        <v>18882</v>
      </c>
      <c r="E4597" s="2" t="s">
        <v>18883</v>
      </c>
      <c r="F4597" s="2" t="b">
        <v>1</v>
      </c>
      <c r="G4597" s="2" t="b">
        <v>0</v>
      </c>
      <c r="H4597" s="2" t="s">
        <v>37</v>
      </c>
      <c r="I4597" s="2" t="s">
        <v>22</v>
      </c>
      <c r="J4597" s="2" t="s">
        <v>2122</v>
      </c>
      <c r="K4597" s="2" t="s">
        <v>495</v>
      </c>
      <c r="L4597" s="13" t="s">
        <v>496</v>
      </c>
      <c r="M4597" s="2" t="s">
        <v>26</v>
      </c>
      <c r="N4597" s="29"/>
      <c r="O4597" s="29"/>
      <c r="P4597" s="5" t="str">
        <f>IFERROR(__xludf.DUMMYFUNCTION("TEXTJOIN("" | "",TRUE,IF(OR(D4597="""",E4597="""",I4597="""",J4597="""",H4597=""""),""ফাঁকা ঘর"",""""),IF(AND(C4597&lt;&gt;"""",D4597&lt;&gt;"""",C4597=D4597),""gloss=figurative"",""""),IF(LEN(D4597)&lt;15,""figurative ছোট"",""""),IF(AND(I4597=""Positive"",REGEXMATCH(H4"&amp;"597,""মূর্খ|ভণ্ড|প্রতার|অলস|লোভ|স্বার্থ|অক্ষম|অযোগ্য|বোকা|কৃপণ|হিংস"")),""valence-target অমিল"",""""),IF(COUNTIF($B:$B,B4597)&gt;1,""ডুপ্লিকেট"",""""))"),"")</f>
        <v/>
      </c>
      <c r="Q4597" s="5" t="str">
        <f t="shared" si="1"/>
        <v>২ পরে</v>
      </c>
    </row>
    <row r="4598">
      <c r="A4598" s="4">
        <v>2425.0</v>
      </c>
      <c r="B4598" s="2" t="s">
        <v>18884</v>
      </c>
      <c r="C4598" s="2" t="s">
        <v>18884</v>
      </c>
      <c r="D4598" s="2" t="s">
        <v>18885</v>
      </c>
      <c r="E4598" s="2" t="s">
        <v>18886</v>
      </c>
      <c r="F4598" s="2" t="b">
        <v>1</v>
      </c>
      <c r="G4598" s="2" t="b">
        <v>0</v>
      </c>
      <c r="H4598" s="2" t="s">
        <v>37</v>
      </c>
      <c r="I4598" s="2" t="s">
        <v>32</v>
      </c>
      <c r="J4598" s="2" t="s">
        <v>553</v>
      </c>
      <c r="K4598" s="2" t="s">
        <v>495</v>
      </c>
      <c r="L4598" s="13" t="s">
        <v>496</v>
      </c>
      <c r="M4598" s="2" t="s">
        <v>26</v>
      </c>
      <c r="N4598" s="29"/>
      <c r="O4598" s="29"/>
      <c r="P4598" s="5" t="str">
        <f>IFERROR(__xludf.DUMMYFUNCTION("TEXTJOIN("" | "",TRUE,IF(OR(D4598="""",E4598="""",I4598="""",J4598="""",H4598=""""),""ফাঁকা ঘর"",""""),IF(AND(C4598&lt;&gt;"""",D4598&lt;&gt;"""",C4598=D4598),""gloss=figurative"",""""),IF(LEN(D4598)&lt;15,""figurative ছোট"",""""),IF(AND(I4598=""Positive"",REGEXMATCH(H4"&amp;"598,""মূর্খ|ভণ্ড|প্রতার|অলস|লোভ|স্বার্থ|অক্ষম|অযোগ্য|বোকা|কৃপণ|হিংস"")),""valence-target অমিল"",""""),IF(COUNTIF($B:$B,B4598)&gt;1,""ডুপ্লিকেট"",""""))"),"")</f>
        <v/>
      </c>
      <c r="Q4598" s="5" t="str">
        <f t="shared" si="1"/>
        <v>২ পরে</v>
      </c>
    </row>
    <row r="4599">
      <c r="A4599" s="4">
        <v>2426.0</v>
      </c>
      <c r="B4599" s="2" t="s">
        <v>18887</v>
      </c>
      <c r="C4599" s="2" t="s">
        <v>18888</v>
      </c>
      <c r="D4599" s="2" t="s">
        <v>18889</v>
      </c>
      <c r="E4599" s="2" t="s">
        <v>18890</v>
      </c>
      <c r="F4599" s="2" t="b">
        <v>1</v>
      </c>
      <c r="G4599" s="2" t="b">
        <v>0</v>
      </c>
      <c r="H4599" s="2" t="s">
        <v>18891</v>
      </c>
      <c r="I4599" s="2" t="s">
        <v>49</v>
      </c>
      <c r="J4599" s="2" t="s">
        <v>2732</v>
      </c>
      <c r="K4599" s="2" t="s">
        <v>495</v>
      </c>
      <c r="L4599" s="13" t="s">
        <v>496</v>
      </c>
      <c r="M4599" s="2" t="s">
        <v>26</v>
      </c>
      <c r="N4599" s="29"/>
      <c r="O4599" s="29"/>
      <c r="P4599" s="5" t="str">
        <f>IFERROR(__xludf.DUMMYFUNCTION("TEXTJOIN("" | "",TRUE,IF(OR(D4599="""",E4599="""",I4599="""",J4599="""",H4599=""""),""ফাঁকা ঘর"",""""),IF(AND(C4599&lt;&gt;"""",D4599&lt;&gt;"""",C4599=D4599),""gloss=figurative"",""""),IF(LEN(D4599)&lt;15,""figurative ছোট"",""""),IF(AND(I4599=""Positive"",REGEXMATCH(H4"&amp;"599,""মূর্খ|ভণ্ড|প্রতার|অলস|লোভ|স্বার্থ|অক্ষম|অযোগ্য|বোকা|কৃপণ|হিংস"")),""valence-target অমিল"",""""),IF(COUNTIF($B:$B,B4599)&gt;1,""ডুপ্লিকেট"",""""))"),"")</f>
        <v/>
      </c>
      <c r="Q4599" s="5" t="str">
        <f t="shared" si="1"/>
        <v>২ পরে</v>
      </c>
    </row>
    <row r="4600">
      <c r="A4600" s="4">
        <v>2427.0</v>
      </c>
      <c r="B4600" s="2" t="s">
        <v>18892</v>
      </c>
      <c r="C4600" s="2" t="s">
        <v>18893</v>
      </c>
      <c r="D4600" s="2" t="s">
        <v>18894</v>
      </c>
      <c r="E4600" s="2" t="s">
        <v>18895</v>
      </c>
      <c r="F4600" s="2" t="b">
        <v>1</v>
      </c>
      <c r="G4600" s="2" t="b">
        <v>0</v>
      </c>
      <c r="H4600" s="2" t="s">
        <v>18896</v>
      </c>
      <c r="I4600" s="2" t="s">
        <v>22</v>
      </c>
      <c r="J4600" s="2" t="s">
        <v>1239</v>
      </c>
      <c r="K4600" s="2" t="s">
        <v>495</v>
      </c>
      <c r="L4600" s="13" t="s">
        <v>496</v>
      </c>
      <c r="M4600" s="2" t="s">
        <v>26</v>
      </c>
      <c r="N4600" s="29"/>
      <c r="O4600" s="29"/>
      <c r="P4600" s="5" t="str">
        <f>IFERROR(__xludf.DUMMYFUNCTION("TEXTJOIN("" | "",TRUE,IF(OR(D4600="""",E4600="""",I4600="""",J4600="""",H4600=""""),""ফাঁকা ঘর"",""""),IF(AND(C4600&lt;&gt;"""",D4600&lt;&gt;"""",C4600=D4600),""gloss=figurative"",""""),IF(LEN(D4600)&lt;15,""figurative ছোট"",""""),IF(AND(I4600=""Positive"",REGEXMATCH(H4"&amp;"600,""মূর্খ|ভণ্ড|প্রতার|অলস|লোভ|স্বার্থ|অক্ষম|অযোগ্য|বোকা|কৃপণ|হিংস"")),""valence-target অমিল"",""""),IF(COUNTIF($B:$B,B4600)&gt;1,""ডুপ্লিকেট"",""""))"),"")</f>
        <v/>
      </c>
      <c r="Q4600" s="5" t="str">
        <f t="shared" si="1"/>
        <v>২ পরে</v>
      </c>
    </row>
    <row r="4601">
      <c r="A4601" s="4">
        <v>2428.0</v>
      </c>
      <c r="B4601" s="2" t="s">
        <v>18897</v>
      </c>
      <c r="C4601" s="2" t="s">
        <v>18898</v>
      </c>
      <c r="D4601" s="2" t="s">
        <v>18899</v>
      </c>
      <c r="E4601" s="2" t="s">
        <v>18900</v>
      </c>
      <c r="F4601" s="2" t="b">
        <v>1</v>
      </c>
      <c r="G4601" s="2" t="b">
        <v>0</v>
      </c>
      <c r="H4601" s="2" t="s">
        <v>37</v>
      </c>
      <c r="I4601" s="2" t="s">
        <v>32</v>
      </c>
      <c r="J4601" s="2" t="s">
        <v>510</v>
      </c>
      <c r="K4601" s="2" t="s">
        <v>495</v>
      </c>
      <c r="L4601" s="13" t="s">
        <v>496</v>
      </c>
      <c r="M4601" s="2" t="s">
        <v>26</v>
      </c>
      <c r="N4601" s="29"/>
      <c r="O4601" s="29"/>
      <c r="P4601" s="5" t="str">
        <f>IFERROR(__xludf.DUMMYFUNCTION("TEXTJOIN("" | "",TRUE,IF(OR(D4601="""",E4601="""",I4601="""",J4601="""",H4601=""""),""ফাঁকা ঘর"",""""),IF(AND(C4601&lt;&gt;"""",D4601&lt;&gt;"""",C4601=D4601),""gloss=figurative"",""""),IF(LEN(D4601)&lt;15,""figurative ছোট"",""""),IF(AND(I4601=""Positive"",REGEXMATCH(H4"&amp;"601,""মূর্খ|ভণ্ড|প্রতার|অলস|লোভ|স্বার্থ|অক্ষম|অযোগ্য|বোকা|কৃপণ|হিংস"")),""valence-target অমিল"",""""),IF(COUNTIF($B:$B,B4601)&gt;1,""ডুপ্লিকেট"",""""))"),"")</f>
        <v/>
      </c>
      <c r="Q4601" s="5" t="str">
        <f t="shared" si="1"/>
        <v>২ পরে</v>
      </c>
    </row>
    <row r="4602">
      <c r="A4602" s="4">
        <v>2429.0</v>
      </c>
      <c r="B4602" s="2" t="s">
        <v>18901</v>
      </c>
      <c r="C4602" s="2" t="s">
        <v>18901</v>
      </c>
      <c r="D4602" s="2" t="s">
        <v>18902</v>
      </c>
      <c r="E4602" s="2" t="s">
        <v>18903</v>
      </c>
      <c r="F4602" s="2" t="b">
        <v>1</v>
      </c>
      <c r="G4602" s="2" t="b">
        <v>0</v>
      </c>
      <c r="H4602" s="2" t="s">
        <v>4642</v>
      </c>
      <c r="I4602" s="2" t="s">
        <v>49</v>
      </c>
      <c r="J4602" s="2" t="s">
        <v>300</v>
      </c>
      <c r="K4602" s="2" t="s">
        <v>495</v>
      </c>
      <c r="L4602" s="13" t="s">
        <v>496</v>
      </c>
      <c r="M4602" s="2" t="s">
        <v>26</v>
      </c>
      <c r="N4602" s="29"/>
      <c r="O4602" s="29"/>
      <c r="P4602" s="5" t="str">
        <f>IFERROR(__xludf.DUMMYFUNCTION("TEXTJOIN("" | "",TRUE,IF(OR(D4602="""",E4602="""",I4602="""",J4602="""",H4602=""""),""ফাঁকা ঘর"",""""),IF(AND(C4602&lt;&gt;"""",D4602&lt;&gt;"""",C4602=D4602),""gloss=figurative"",""""),IF(LEN(D4602)&lt;15,""figurative ছোট"",""""),IF(AND(I4602=""Positive"",REGEXMATCH(H4"&amp;"602,""মূর্খ|ভণ্ড|প্রতার|অলস|লোভ|স্বার্থ|অক্ষম|অযোগ্য|বোকা|কৃপণ|হিংস"")),""valence-target অমিল"",""""),IF(COUNTIF($B:$B,B4602)&gt;1,""ডুপ্লিকেট"",""""))"),"")</f>
        <v/>
      </c>
      <c r="Q4602" s="5" t="str">
        <f t="shared" si="1"/>
        <v>২ পরে</v>
      </c>
    </row>
    <row r="4603">
      <c r="A4603" s="4">
        <v>2430.0</v>
      </c>
      <c r="B4603" s="2" t="s">
        <v>18904</v>
      </c>
      <c r="C4603" s="2" t="s">
        <v>18905</v>
      </c>
      <c r="D4603" s="2" t="s">
        <v>18906</v>
      </c>
      <c r="E4603" s="2" t="s">
        <v>18907</v>
      </c>
      <c r="F4603" s="2" t="b">
        <v>1</v>
      </c>
      <c r="G4603" s="2" t="b">
        <v>0</v>
      </c>
      <c r="H4603" s="2" t="s">
        <v>37</v>
      </c>
      <c r="I4603" s="2" t="s">
        <v>49</v>
      </c>
      <c r="J4603" s="2" t="s">
        <v>538</v>
      </c>
      <c r="K4603" s="2" t="s">
        <v>495</v>
      </c>
      <c r="L4603" s="13" t="s">
        <v>496</v>
      </c>
      <c r="M4603" s="2" t="s">
        <v>26</v>
      </c>
      <c r="N4603" s="29"/>
      <c r="O4603" s="29"/>
      <c r="P4603" s="5" t="str">
        <f>IFERROR(__xludf.DUMMYFUNCTION("TEXTJOIN("" | "",TRUE,IF(OR(D4603="""",E4603="""",I4603="""",J4603="""",H4603=""""),""ফাঁকা ঘর"",""""),IF(AND(C4603&lt;&gt;"""",D4603&lt;&gt;"""",C4603=D4603),""gloss=figurative"",""""),IF(LEN(D4603)&lt;15,""figurative ছোট"",""""),IF(AND(I4603=""Positive"",REGEXMATCH(H4"&amp;"603,""মূর্খ|ভণ্ড|প্রতার|অলস|লোভ|স্বার্থ|অক্ষম|অযোগ্য|বোকা|কৃপণ|হিংস"")),""valence-target অমিল"",""""),IF(COUNTIF($B:$B,B4603)&gt;1,""ডুপ্লিকেট"",""""))"),"")</f>
        <v/>
      </c>
      <c r="Q4603" s="5" t="str">
        <f t="shared" si="1"/>
        <v>২ পরে</v>
      </c>
    </row>
    <row r="4604">
      <c r="A4604" s="4">
        <v>2431.0</v>
      </c>
      <c r="B4604" s="2" t="s">
        <v>18908</v>
      </c>
      <c r="C4604" s="2" t="s">
        <v>18909</v>
      </c>
      <c r="D4604" s="2" t="s">
        <v>18910</v>
      </c>
      <c r="E4604" s="2" t="s">
        <v>18911</v>
      </c>
      <c r="F4604" s="2" t="b">
        <v>1</v>
      </c>
      <c r="G4604" s="2" t="b">
        <v>0</v>
      </c>
      <c r="H4604" s="2" t="s">
        <v>18912</v>
      </c>
      <c r="I4604" s="2" t="s">
        <v>22</v>
      </c>
      <c r="J4604" s="2" t="s">
        <v>447</v>
      </c>
      <c r="K4604" s="2" t="s">
        <v>495</v>
      </c>
      <c r="L4604" s="13" t="s">
        <v>496</v>
      </c>
      <c r="M4604" s="2" t="s">
        <v>26</v>
      </c>
      <c r="N4604" s="29"/>
      <c r="O4604" s="29"/>
      <c r="P4604" s="5" t="str">
        <f>IFERROR(__xludf.DUMMYFUNCTION("TEXTJOIN("" | "",TRUE,IF(OR(D4604="""",E4604="""",I4604="""",J4604="""",H4604=""""),""ফাঁকা ঘর"",""""),IF(AND(C4604&lt;&gt;"""",D4604&lt;&gt;"""",C4604=D4604),""gloss=figurative"",""""),IF(LEN(D4604)&lt;15,""figurative ছোট"",""""),IF(AND(I4604=""Positive"",REGEXMATCH(H4"&amp;"604,""মূর্খ|ভণ্ড|প্রতার|অলস|লোভ|স্বার্থ|অক্ষম|অযোগ্য|বোকা|কৃপণ|হিংস"")),""valence-target অমিল"",""""),IF(COUNTIF($B:$B,B4604)&gt;1,""ডুপ্লিকেট"",""""))"),"")</f>
        <v/>
      </c>
      <c r="Q4604" s="5" t="str">
        <f t="shared" si="1"/>
        <v>২ পরে</v>
      </c>
    </row>
    <row r="4605">
      <c r="A4605" s="4">
        <v>2432.0</v>
      </c>
      <c r="B4605" s="2" t="s">
        <v>18913</v>
      </c>
      <c r="C4605" s="2" t="s">
        <v>18914</v>
      </c>
      <c r="D4605" s="2" t="s">
        <v>18915</v>
      </c>
      <c r="E4605" s="2" t="s">
        <v>18916</v>
      </c>
      <c r="F4605" s="2" t="b">
        <v>1</v>
      </c>
      <c r="G4605" s="2" t="b">
        <v>0</v>
      </c>
      <c r="H4605" s="2" t="s">
        <v>12251</v>
      </c>
      <c r="I4605" s="2" t="s">
        <v>22</v>
      </c>
      <c r="J4605" s="2" t="s">
        <v>447</v>
      </c>
      <c r="K4605" s="2" t="s">
        <v>495</v>
      </c>
      <c r="L4605" s="13" t="s">
        <v>496</v>
      </c>
      <c r="M4605" s="2" t="s">
        <v>26</v>
      </c>
      <c r="N4605" s="29"/>
      <c r="O4605" s="29"/>
      <c r="P4605" s="5" t="str">
        <f>IFERROR(__xludf.DUMMYFUNCTION("TEXTJOIN("" | "",TRUE,IF(OR(D4605="""",E4605="""",I4605="""",J4605="""",H4605=""""),""ফাঁকা ঘর"",""""),IF(AND(C4605&lt;&gt;"""",D4605&lt;&gt;"""",C4605=D4605),""gloss=figurative"",""""),IF(LEN(D4605)&lt;15,""figurative ছোট"",""""),IF(AND(I4605=""Positive"",REGEXMATCH(H4"&amp;"605,""মূর্খ|ভণ্ড|প্রতার|অলস|লোভ|স্বার্থ|অক্ষম|অযোগ্য|বোকা|কৃপণ|হিংস"")),""valence-target অমিল"",""""),IF(COUNTIF($B:$B,B4605)&gt;1,""ডুপ্লিকেট"",""""))"),"")</f>
        <v/>
      </c>
      <c r="Q4605" s="5" t="str">
        <f t="shared" si="1"/>
        <v>২ পরে</v>
      </c>
    </row>
    <row r="4606">
      <c r="A4606" s="4">
        <v>2433.0</v>
      </c>
      <c r="B4606" s="2" t="s">
        <v>18917</v>
      </c>
      <c r="C4606" s="2" t="s">
        <v>18918</v>
      </c>
      <c r="D4606" s="2" t="s">
        <v>18919</v>
      </c>
      <c r="E4606" s="2" t="s">
        <v>18920</v>
      </c>
      <c r="F4606" s="2" t="b">
        <v>1</v>
      </c>
      <c r="G4606" s="2" t="b">
        <v>0</v>
      </c>
      <c r="H4606" s="2" t="s">
        <v>37</v>
      </c>
      <c r="I4606" s="2" t="s">
        <v>22</v>
      </c>
      <c r="J4606" s="2" t="s">
        <v>4463</v>
      </c>
      <c r="K4606" s="2" t="s">
        <v>495</v>
      </c>
      <c r="L4606" s="13" t="s">
        <v>496</v>
      </c>
      <c r="M4606" s="2" t="s">
        <v>26</v>
      </c>
      <c r="N4606" s="29"/>
      <c r="O4606" s="29"/>
      <c r="P4606" s="5" t="str">
        <f>IFERROR(__xludf.DUMMYFUNCTION("TEXTJOIN("" | "",TRUE,IF(OR(D4606="""",E4606="""",I4606="""",J4606="""",H4606=""""),""ফাঁকা ঘর"",""""),IF(AND(C4606&lt;&gt;"""",D4606&lt;&gt;"""",C4606=D4606),""gloss=figurative"",""""),IF(LEN(D4606)&lt;15,""figurative ছোট"",""""),IF(AND(I4606=""Positive"",REGEXMATCH(H4"&amp;"606,""মূর্খ|ভণ্ড|প্রতার|অলস|লোভ|স্বার্থ|অক্ষম|অযোগ্য|বোকা|কৃপণ|হিংস"")),""valence-target অমিল"",""""),IF(COUNTIF($B:$B,B4606)&gt;1,""ডুপ্লিকেট"",""""))"),"")</f>
        <v/>
      </c>
      <c r="Q4606" s="5" t="str">
        <f t="shared" si="1"/>
        <v>২ পরে</v>
      </c>
    </row>
    <row r="4607">
      <c r="A4607" s="4">
        <v>2434.0</v>
      </c>
      <c r="B4607" s="2" t="s">
        <v>18921</v>
      </c>
      <c r="C4607" s="2" t="s">
        <v>18922</v>
      </c>
      <c r="D4607" s="2" t="s">
        <v>18923</v>
      </c>
      <c r="E4607" s="2" t="s">
        <v>18924</v>
      </c>
      <c r="F4607" s="2" t="b">
        <v>1</v>
      </c>
      <c r="G4607" s="2" t="b">
        <v>0</v>
      </c>
      <c r="H4607" s="2" t="s">
        <v>37</v>
      </c>
      <c r="I4607" s="2" t="s">
        <v>22</v>
      </c>
      <c r="J4607" s="2" t="s">
        <v>11869</v>
      </c>
      <c r="K4607" s="2" t="s">
        <v>495</v>
      </c>
      <c r="L4607" s="13" t="s">
        <v>496</v>
      </c>
      <c r="M4607" s="2" t="s">
        <v>26</v>
      </c>
      <c r="N4607" s="29"/>
      <c r="O4607" s="29"/>
      <c r="P4607" s="5" t="str">
        <f>IFERROR(__xludf.DUMMYFUNCTION("TEXTJOIN("" | "",TRUE,IF(OR(D4607="""",E4607="""",I4607="""",J4607="""",H4607=""""),""ফাঁকা ঘর"",""""),IF(AND(C4607&lt;&gt;"""",D4607&lt;&gt;"""",C4607=D4607),""gloss=figurative"",""""),IF(LEN(D4607)&lt;15,""figurative ছোট"",""""),IF(AND(I4607=""Positive"",REGEXMATCH(H4"&amp;"607,""মূর্খ|ভণ্ড|প্রতার|অলস|লোভ|স্বার্থ|অক্ষম|অযোগ্য|বোকা|কৃপণ|হিংস"")),""valence-target অমিল"",""""),IF(COUNTIF($B:$B,B4607)&gt;1,""ডুপ্লিকেট"",""""))"),"")</f>
        <v/>
      </c>
      <c r="Q4607" s="5" t="str">
        <f t="shared" si="1"/>
        <v>২ পরে</v>
      </c>
    </row>
    <row r="4608">
      <c r="A4608" s="4">
        <v>2435.0</v>
      </c>
      <c r="B4608" s="2" t="s">
        <v>18925</v>
      </c>
      <c r="C4608" s="2" t="s">
        <v>18926</v>
      </c>
      <c r="D4608" s="2" t="s">
        <v>18927</v>
      </c>
      <c r="E4608" s="2" t="s">
        <v>18928</v>
      </c>
      <c r="F4608" s="2" t="b">
        <v>1</v>
      </c>
      <c r="G4608" s="2" t="b">
        <v>0</v>
      </c>
      <c r="H4608" s="2" t="s">
        <v>37</v>
      </c>
      <c r="I4608" s="2" t="s">
        <v>32</v>
      </c>
      <c r="J4608" s="2" t="s">
        <v>1111</v>
      </c>
      <c r="K4608" s="2" t="s">
        <v>495</v>
      </c>
      <c r="L4608" s="13" t="s">
        <v>496</v>
      </c>
      <c r="M4608" s="2" t="s">
        <v>26</v>
      </c>
      <c r="N4608" s="29"/>
      <c r="O4608" s="29"/>
      <c r="P4608" s="5" t="str">
        <f>IFERROR(__xludf.DUMMYFUNCTION("TEXTJOIN("" | "",TRUE,IF(OR(D4608="""",E4608="""",I4608="""",J4608="""",H4608=""""),""ফাঁকা ঘর"",""""),IF(AND(C4608&lt;&gt;"""",D4608&lt;&gt;"""",C4608=D4608),""gloss=figurative"",""""),IF(LEN(D4608)&lt;15,""figurative ছোট"",""""),IF(AND(I4608=""Positive"",REGEXMATCH(H4"&amp;"608,""মূর্খ|ভণ্ড|প্রতার|অলস|লোভ|স্বার্থ|অক্ষম|অযোগ্য|বোকা|কৃপণ|হিংস"")),""valence-target অমিল"",""""),IF(COUNTIF($B:$B,B4608)&gt;1,""ডুপ্লিকেট"",""""))"),"")</f>
        <v/>
      </c>
      <c r="Q4608" s="5" t="str">
        <f t="shared" si="1"/>
        <v>২ পরে</v>
      </c>
    </row>
    <row r="4609">
      <c r="A4609" s="4">
        <v>2436.0</v>
      </c>
      <c r="B4609" s="2" t="s">
        <v>18929</v>
      </c>
      <c r="C4609" s="2" t="s">
        <v>18930</v>
      </c>
      <c r="D4609" s="2" t="s">
        <v>18931</v>
      </c>
      <c r="E4609" s="2" t="s">
        <v>18932</v>
      </c>
      <c r="F4609" s="2" t="b">
        <v>1</v>
      </c>
      <c r="G4609" s="2" t="b">
        <v>0</v>
      </c>
      <c r="H4609" s="2" t="s">
        <v>37</v>
      </c>
      <c r="I4609" s="2" t="s">
        <v>32</v>
      </c>
      <c r="J4609" s="2" t="s">
        <v>553</v>
      </c>
      <c r="K4609" s="2" t="s">
        <v>495</v>
      </c>
      <c r="L4609" s="13" t="s">
        <v>496</v>
      </c>
      <c r="M4609" s="2" t="s">
        <v>26</v>
      </c>
      <c r="N4609" s="29"/>
      <c r="O4609" s="29"/>
      <c r="P4609" s="5" t="str">
        <f>IFERROR(__xludf.DUMMYFUNCTION("TEXTJOIN("" | "",TRUE,IF(OR(D4609="""",E4609="""",I4609="""",J4609="""",H4609=""""),""ফাঁকা ঘর"",""""),IF(AND(C4609&lt;&gt;"""",D4609&lt;&gt;"""",C4609=D4609),""gloss=figurative"",""""),IF(LEN(D4609)&lt;15,""figurative ছোট"",""""),IF(AND(I4609=""Positive"",REGEXMATCH(H4"&amp;"609,""মূর্খ|ভণ্ড|প্রতার|অলস|লোভ|স্বার্থ|অক্ষম|অযোগ্য|বোকা|কৃপণ|হিংস"")),""valence-target অমিল"",""""),IF(COUNTIF($B:$B,B4609)&gt;1,""ডুপ্লিকেট"",""""))"),"")</f>
        <v/>
      </c>
      <c r="Q4609" s="5" t="str">
        <f t="shared" si="1"/>
        <v>২ পরে</v>
      </c>
    </row>
    <row r="4610">
      <c r="A4610" s="4">
        <v>2437.0</v>
      </c>
      <c r="B4610" s="2" t="s">
        <v>18933</v>
      </c>
      <c r="C4610" s="2" t="s">
        <v>18934</v>
      </c>
      <c r="D4610" s="2" t="s">
        <v>18935</v>
      </c>
      <c r="E4610" s="2" t="s">
        <v>18936</v>
      </c>
      <c r="F4610" s="2" t="b">
        <v>1</v>
      </c>
      <c r="G4610" s="2" t="b">
        <v>0</v>
      </c>
      <c r="H4610" s="2" t="s">
        <v>18937</v>
      </c>
      <c r="I4610" s="2" t="s">
        <v>22</v>
      </c>
      <c r="J4610" s="2" t="s">
        <v>43</v>
      </c>
      <c r="K4610" s="2" t="s">
        <v>495</v>
      </c>
      <c r="L4610" s="13" t="s">
        <v>496</v>
      </c>
      <c r="M4610" s="2" t="s">
        <v>26</v>
      </c>
      <c r="N4610" s="29"/>
      <c r="O4610" s="29"/>
      <c r="P4610" s="5" t="str">
        <f>IFERROR(__xludf.DUMMYFUNCTION("TEXTJOIN("" | "",TRUE,IF(OR(D4610="""",E4610="""",I4610="""",J4610="""",H4610=""""),""ফাঁকা ঘর"",""""),IF(AND(C4610&lt;&gt;"""",D4610&lt;&gt;"""",C4610=D4610),""gloss=figurative"",""""),IF(LEN(D4610)&lt;15,""figurative ছোট"",""""),IF(AND(I4610=""Positive"",REGEXMATCH(H4"&amp;"610,""মূর্খ|ভণ্ড|প্রতার|অলস|লোভ|স্বার্থ|অক্ষম|অযোগ্য|বোকা|কৃপণ|হিংস"")),""valence-target অমিল"",""""),IF(COUNTIF($B:$B,B4610)&gt;1,""ডুপ্লিকেট"",""""))"),"")</f>
        <v/>
      </c>
      <c r="Q4610" s="5" t="str">
        <f t="shared" si="1"/>
        <v>২ পরে</v>
      </c>
    </row>
    <row r="4611">
      <c r="A4611" s="4">
        <v>2438.0</v>
      </c>
      <c r="B4611" s="2" t="s">
        <v>18938</v>
      </c>
      <c r="C4611" s="2" t="s">
        <v>18939</v>
      </c>
      <c r="D4611" s="2" t="s">
        <v>18940</v>
      </c>
      <c r="E4611" s="2" t="s">
        <v>18941</v>
      </c>
      <c r="F4611" s="2" t="b">
        <v>1</v>
      </c>
      <c r="G4611" s="2" t="b">
        <v>0</v>
      </c>
      <c r="H4611" s="2" t="s">
        <v>18942</v>
      </c>
      <c r="I4611" s="2" t="s">
        <v>22</v>
      </c>
      <c r="J4611" s="2" t="s">
        <v>1944</v>
      </c>
      <c r="K4611" s="2" t="s">
        <v>495</v>
      </c>
      <c r="L4611" s="13" t="s">
        <v>496</v>
      </c>
      <c r="M4611" s="2" t="s">
        <v>26</v>
      </c>
      <c r="N4611" s="29"/>
      <c r="O4611" s="29"/>
      <c r="P4611" s="5" t="str">
        <f>IFERROR(__xludf.DUMMYFUNCTION("TEXTJOIN("" | "",TRUE,IF(OR(D4611="""",E4611="""",I4611="""",J4611="""",H4611=""""),""ফাঁকা ঘর"",""""),IF(AND(C4611&lt;&gt;"""",D4611&lt;&gt;"""",C4611=D4611),""gloss=figurative"",""""),IF(LEN(D4611)&lt;15,""figurative ছোট"",""""),IF(AND(I4611=""Positive"",REGEXMATCH(H4"&amp;"611,""মূর্খ|ভণ্ড|প্রতার|অলস|লোভ|স্বার্থ|অক্ষম|অযোগ্য|বোকা|কৃপণ|হিংস"")),""valence-target অমিল"",""""),IF(COUNTIF($B:$B,B4611)&gt;1,""ডুপ্লিকেট"",""""))"),"")</f>
        <v/>
      </c>
      <c r="Q4611" s="5" t="str">
        <f t="shared" si="1"/>
        <v>২ পরে</v>
      </c>
    </row>
    <row r="4612">
      <c r="A4612" s="4">
        <v>2439.0</v>
      </c>
      <c r="B4612" s="2" t="s">
        <v>18943</v>
      </c>
      <c r="C4612" s="2" t="s">
        <v>18944</v>
      </c>
      <c r="D4612" s="2" t="s">
        <v>18945</v>
      </c>
      <c r="E4612" s="2" t="s">
        <v>18946</v>
      </c>
      <c r="F4612" s="2" t="b">
        <v>1</v>
      </c>
      <c r="G4612" s="2" t="b">
        <v>0</v>
      </c>
      <c r="H4612" s="2" t="s">
        <v>18947</v>
      </c>
      <c r="I4612" s="2" t="s">
        <v>22</v>
      </c>
      <c r="J4612" s="2" t="s">
        <v>43</v>
      </c>
      <c r="K4612" s="2" t="s">
        <v>495</v>
      </c>
      <c r="L4612" s="13" t="s">
        <v>496</v>
      </c>
      <c r="M4612" s="2" t="s">
        <v>26</v>
      </c>
      <c r="N4612" s="29"/>
      <c r="O4612" s="29"/>
      <c r="P4612" s="5" t="str">
        <f>IFERROR(__xludf.DUMMYFUNCTION("TEXTJOIN("" | "",TRUE,IF(OR(D4612="""",E4612="""",I4612="""",J4612="""",H4612=""""),""ফাঁকা ঘর"",""""),IF(AND(C4612&lt;&gt;"""",D4612&lt;&gt;"""",C4612=D4612),""gloss=figurative"",""""),IF(LEN(D4612)&lt;15,""figurative ছোট"",""""),IF(AND(I4612=""Positive"",REGEXMATCH(H4"&amp;"612,""মূর্খ|ভণ্ড|প্রতার|অলস|লোভ|স্বার্থ|অক্ষম|অযোগ্য|বোকা|কৃপণ|হিংস"")),""valence-target অমিল"",""""),IF(COUNTIF($B:$B,B4612)&gt;1,""ডুপ্লিকেট"",""""))"),"")</f>
        <v/>
      </c>
      <c r="Q4612" s="5" t="str">
        <f t="shared" si="1"/>
        <v>২ পরে</v>
      </c>
    </row>
    <row r="4613">
      <c r="A4613" s="4">
        <v>2440.0</v>
      </c>
      <c r="B4613" s="2" t="s">
        <v>18948</v>
      </c>
      <c r="C4613" s="2" t="s">
        <v>18949</v>
      </c>
      <c r="D4613" s="2" t="s">
        <v>18950</v>
      </c>
      <c r="E4613" s="2" t="s">
        <v>18951</v>
      </c>
      <c r="F4613" s="2" t="b">
        <v>1</v>
      </c>
      <c r="G4613" s="2" t="b">
        <v>0</v>
      </c>
      <c r="H4613" s="2" t="s">
        <v>18952</v>
      </c>
      <c r="I4613" s="2" t="s">
        <v>22</v>
      </c>
      <c r="J4613" s="2" t="s">
        <v>43</v>
      </c>
      <c r="K4613" s="2" t="s">
        <v>495</v>
      </c>
      <c r="L4613" s="13" t="s">
        <v>496</v>
      </c>
      <c r="M4613" s="2" t="s">
        <v>26</v>
      </c>
      <c r="N4613" s="29"/>
      <c r="O4613" s="29"/>
      <c r="P4613" s="5" t="str">
        <f>IFERROR(__xludf.DUMMYFUNCTION("TEXTJOIN("" | "",TRUE,IF(OR(D4613="""",E4613="""",I4613="""",J4613="""",H4613=""""),""ফাঁকা ঘর"",""""),IF(AND(C4613&lt;&gt;"""",D4613&lt;&gt;"""",C4613=D4613),""gloss=figurative"",""""),IF(LEN(D4613)&lt;15,""figurative ছোট"",""""),IF(AND(I4613=""Positive"",REGEXMATCH(H4"&amp;"613,""মূর্খ|ভণ্ড|প্রতার|অলস|লোভ|স্বার্থ|অক্ষম|অযোগ্য|বোকা|কৃপণ|হিংস"")),""valence-target অমিল"",""""),IF(COUNTIF($B:$B,B4613)&gt;1,""ডুপ্লিকেট"",""""))"),"")</f>
        <v/>
      </c>
      <c r="Q4613" s="5" t="str">
        <f t="shared" si="1"/>
        <v>২ পরে</v>
      </c>
    </row>
    <row r="4614">
      <c r="A4614" s="4">
        <v>2441.0</v>
      </c>
      <c r="B4614" s="2" t="s">
        <v>18953</v>
      </c>
      <c r="C4614" s="2" t="s">
        <v>18954</v>
      </c>
      <c r="D4614" s="2" t="s">
        <v>18955</v>
      </c>
      <c r="E4614" s="2" t="s">
        <v>18956</v>
      </c>
      <c r="F4614" s="2" t="b">
        <v>1</v>
      </c>
      <c r="G4614" s="2" t="b">
        <v>0</v>
      </c>
      <c r="H4614" s="2" t="s">
        <v>37</v>
      </c>
      <c r="I4614" s="2" t="s">
        <v>22</v>
      </c>
      <c r="J4614" s="2" t="s">
        <v>646</v>
      </c>
      <c r="K4614" s="2" t="s">
        <v>495</v>
      </c>
      <c r="L4614" s="13" t="s">
        <v>496</v>
      </c>
      <c r="M4614" s="2" t="s">
        <v>26</v>
      </c>
      <c r="N4614" s="29"/>
      <c r="O4614" s="29"/>
      <c r="P4614" s="5" t="str">
        <f>IFERROR(__xludf.DUMMYFUNCTION("TEXTJOIN("" | "",TRUE,IF(OR(D4614="""",E4614="""",I4614="""",J4614="""",H4614=""""),""ফাঁকা ঘর"",""""),IF(AND(C4614&lt;&gt;"""",D4614&lt;&gt;"""",C4614=D4614),""gloss=figurative"",""""),IF(LEN(D4614)&lt;15,""figurative ছোট"",""""),IF(AND(I4614=""Positive"",REGEXMATCH(H4"&amp;"614,""মূর্খ|ভণ্ড|প্রতার|অলস|লোভ|স্বার্থ|অক্ষম|অযোগ্য|বোকা|কৃপণ|হিংস"")),""valence-target অমিল"",""""),IF(COUNTIF($B:$B,B4614)&gt;1,""ডুপ্লিকেট"",""""))"),"")</f>
        <v/>
      </c>
      <c r="Q4614" s="5" t="str">
        <f t="shared" si="1"/>
        <v>২ পরে</v>
      </c>
    </row>
    <row r="4615">
      <c r="A4615" s="4">
        <v>2442.0</v>
      </c>
      <c r="B4615" s="2" t="s">
        <v>18957</v>
      </c>
      <c r="C4615" s="2" t="s">
        <v>18958</v>
      </c>
      <c r="D4615" s="2" t="s">
        <v>18959</v>
      </c>
      <c r="E4615" s="2" t="s">
        <v>18960</v>
      </c>
      <c r="F4615" s="2" t="b">
        <v>1</v>
      </c>
      <c r="G4615" s="2" t="b">
        <v>0</v>
      </c>
      <c r="H4615" s="2" t="s">
        <v>18961</v>
      </c>
      <c r="I4615" s="2" t="s">
        <v>22</v>
      </c>
      <c r="J4615" s="2" t="s">
        <v>2857</v>
      </c>
      <c r="K4615" s="2" t="s">
        <v>495</v>
      </c>
      <c r="L4615" s="13" t="s">
        <v>496</v>
      </c>
      <c r="M4615" s="2" t="s">
        <v>26</v>
      </c>
      <c r="N4615" s="29"/>
      <c r="O4615" s="29"/>
      <c r="P4615" s="5" t="str">
        <f>IFERROR(__xludf.DUMMYFUNCTION("TEXTJOIN("" | "",TRUE,IF(OR(D4615="""",E4615="""",I4615="""",J4615="""",H4615=""""),""ফাঁকা ঘর"",""""),IF(AND(C4615&lt;&gt;"""",D4615&lt;&gt;"""",C4615=D4615),""gloss=figurative"",""""),IF(LEN(D4615)&lt;15,""figurative ছোট"",""""),IF(AND(I4615=""Positive"",REGEXMATCH(H4"&amp;"615,""মূর্খ|ভণ্ড|প্রতার|অলস|লোভ|স্বার্থ|অক্ষম|অযোগ্য|বোকা|কৃপণ|হিংস"")),""valence-target অমিল"",""""),IF(COUNTIF($B:$B,B4615)&gt;1,""ডুপ্লিকেট"",""""))"),"")</f>
        <v/>
      </c>
      <c r="Q4615" s="5" t="str">
        <f t="shared" si="1"/>
        <v>২ পরে</v>
      </c>
    </row>
    <row r="4616">
      <c r="A4616" s="4">
        <v>2443.0</v>
      </c>
      <c r="B4616" s="2" t="s">
        <v>18962</v>
      </c>
      <c r="C4616" s="2" t="s">
        <v>18962</v>
      </c>
      <c r="D4616" s="2" t="s">
        <v>18963</v>
      </c>
      <c r="E4616" s="2" t="s">
        <v>18964</v>
      </c>
      <c r="F4616" s="2" t="b">
        <v>1</v>
      </c>
      <c r="G4616" s="2" t="b">
        <v>0</v>
      </c>
      <c r="H4616" s="2" t="s">
        <v>37</v>
      </c>
      <c r="I4616" s="2" t="s">
        <v>32</v>
      </c>
      <c r="J4616" s="2" t="s">
        <v>18965</v>
      </c>
      <c r="K4616" s="2" t="s">
        <v>495</v>
      </c>
      <c r="L4616" s="13" t="s">
        <v>496</v>
      </c>
      <c r="M4616" s="2" t="s">
        <v>26</v>
      </c>
      <c r="N4616" s="29"/>
      <c r="O4616" s="29"/>
      <c r="P4616" s="5" t="str">
        <f>IFERROR(__xludf.DUMMYFUNCTION("TEXTJOIN("" | "",TRUE,IF(OR(D4616="""",E4616="""",I4616="""",J4616="""",H4616=""""),""ফাঁকা ঘর"",""""),IF(AND(C4616&lt;&gt;"""",D4616&lt;&gt;"""",C4616=D4616),""gloss=figurative"",""""),IF(LEN(D4616)&lt;15,""figurative ছোট"",""""),IF(AND(I4616=""Positive"",REGEXMATCH(H4"&amp;"616,""মূর্খ|ভণ্ড|প্রতার|অলস|লোভ|স্বার্থ|অক্ষম|অযোগ্য|বোকা|কৃপণ|হিংস"")),""valence-target অমিল"",""""),IF(COUNTIF($B:$B,B4616)&gt;1,""ডুপ্লিকেট"",""""))"),"")</f>
        <v/>
      </c>
      <c r="Q4616" s="5" t="str">
        <f t="shared" si="1"/>
        <v>২ পরে</v>
      </c>
    </row>
    <row r="4617">
      <c r="A4617" s="4">
        <v>2444.0</v>
      </c>
      <c r="B4617" s="2" t="s">
        <v>18966</v>
      </c>
      <c r="C4617" s="2" t="s">
        <v>18966</v>
      </c>
      <c r="D4617" s="2" t="s">
        <v>18967</v>
      </c>
      <c r="E4617" s="2" t="s">
        <v>18968</v>
      </c>
      <c r="F4617" s="2" t="b">
        <v>1</v>
      </c>
      <c r="G4617" s="2" t="b">
        <v>0</v>
      </c>
      <c r="H4617" s="2" t="s">
        <v>37</v>
      </c>
      <c r="I4617" s="2" t="s">
        <v>22</v>
      </c>
      <c r="J4617" s="2" t="s">
        <v>11869</v>
      </c>
      <c r="K4617" s="2" t="s">
        <v>495</v>
      </c>
      <c r="L4617" s="13" t="s">
        <v>496</v>
      </c>
      <c r="M4617" s="2" t="s">
        <v>26</v>
      </c>
      <c r="N4617" s="29"/>
      <c r="O4617" s="29"/>
      <c r="P4617" s="5" t="str">
        <f>IFERROR(__xludf.DUMMYFUNCTION("TEXTJOIN("" | "",TRUE,IF(OR(D4617="""",E4617="""",I4617="""",J4617="""",H4617=""""),""ফাঁকা ঘর"",""""),IF(AND(C4617&lt;&gt;"""",D4617&lt;&gt;"""",C4617=D4617),""gloss=figurative"",""""),IF(LEN(D4617)&lt;15,""figurative ছোট"",""""),IF(AND(I4617=""Positive"",REGEXMATCH(H4"&amp;"617,""মূর্খ|ভণ্ড|প্রতার|অলস|লোভ|স্বার্থ|অক্ষম|অযোগ্য|বোকা|কৃপণ|হিংস"")),""valence-target অমিল"",""""),IF(COUNTIF($B:$B,B4617)&gt;1,""ডুপ্লিকেট"",""""))"),"")</f>
        <v/>
      </c>
      <c r="Q4617" s="5" t="str">
        <f t="shared" si="1"/>
        <v>২ পরে</v>
      </c>
    </row>
    <row r="4618">
      <c r="A4618" s="4">
        <v>2445.0</v>
      </c>
      <c r="B4618" s="2" t="s">
        <v>18969</v>
      </c>
      <c r="C4618" s="2" t="s">
        <v>18970</v>
      </c>
      <c r="D4618" s="2" t="s">
        <v>18971</v>
      </c>
      <c r="E4618" s="2" t="s">
        <v>18972</v>
      </c>
      <c r="F4618" s="2" t="b">
        <v>1</v>
      </c>
      <c r="G4618" s="2" t="b">
        <v>0</v>
      </c>
      <c r="H4618" s="2" t="s">
        <v>37</v>
      </c>
      <c r="I4618" s="2" t="s">
        <v>22</v>
      </c>
      <c r="J4618" s="2" t="s">
        <v>18973</v>
      </c>
      <c r="K4618" s="2" t="s">
        <v>495</v>
      </c>
      <c r="L4618" s="13" t="s">
        <v>496</v>
      </c>
      <c r="M4618" s="2" t="s">
        <v>26</v>
      </c>
      <c r="N4618" s="29"/>
      <c r="O4618" s="29"/>
      <c r="P4618" s="5" t="str">
        <f>IFERROR(__xludf.DUMMYFUNCTION("TEXTJOIN("" | "",TRUE,IF(OR(D4618="""",E4618="""",I4618="""",J4618="""",H4618=""""),""ফাঁকা ঘর"",""""),IF(AND(C4618&lt;&gt;"""",D4618&lt;&gt;"""",C4618=D4618),""gloss=figurative"",""""),IF(LEN(D4618)&lt;15,""figurative ছোট"",""""),IF(AND(I4618=""Positive"",REGEXMATCH(H4"&amp;"618,""মূর্খ|ভণ্ড|প্রতার|অলস|লোভ|স্বার্থ|অক্ষম|অযোগ্য|বোকা|কৃপণ|হিংস"")),""valence-target অমিল"",""""),IF(COUNTIF($B:$B,B4618)&gt;1,""ডুপ্লিকেট"",""""))"),"")</f>
        <v/>
      </c>
      <c r="Q4618" s="5" t="str">
        <f t="shared" si="1"/>
        <v>২ পরে</v>
      </c>
    </row>
    <row r="4619">
      <c r="A4619" s="4">
        <v>2446.0</v>
      </c>
      <c r="B4619" s="2" t="s">
        <v>18974</v>
      </c>
      <c r="C4619" s="2" t="s">
        <v>18975</v>
      </c>
      <c r="D4619" s="2" t="s">
        <v>18976</v>
      </c>
      <c r="E4619" s="2" t="s">
        <v>18977</v>
      </c>
      <c r="F4619" s="2" t="b">
        <v>1</v>
      </c>
      <c r="G4619" s="2" t="b">
        <v>0</v>
      </c>
      <c r="H4619" s="2" t="s">
        <v>37</v>
      </c>
      <c r="I4619" s="2" t="s">
        <v>49</v>
      </c>
      <c r="J4619" s="2" t="s">
        <v>208</v>
      </c>
      <c r="K4619" s="2" t="s">
        <v>495</v>
      </c>
      <c r="L4619" s="13" t="s">
        <v>496</v>
      </c>
      <c r="M4619" s="2" t="s">
        <v>26</v>
      </c>
      <c r="N4619" s="29"/>
      <c r="O4619" s="29"/>
      <c r="P4619" s="5" t="str">
        <f>IFERROR(__xludf.DUMMYFUNCTION("TEXTJOIN("" | "",TRUE,IF(OR(D4619="""",E4619="""",I4619="""",J4619="""",H4619=""""),""ফাঁকা ঘর"",""""),IF(AND(C4619&lt;&gt;"""",D4619&lt;&gt;"""",C4619=D4619),""gloss=figurative"",""""),IF(LEN(D4619)&lt;15,""figurative ছোট"",""""),IF(AND(I4619=""Positive"",REGEXMATCH(H4"&amp;"619,""মূর্খ|ভণ্ড|প্রতার|অলস|লোভ|স্বার্থ|অক্ষম|অযোগ্য|বোকা|কৃপণ|হিংস"")),""valence-target অমিল"",""""),IF(COUNTIF($B:$B,B4619)&gt;1,""ডুপ্লিকেট"",""""))"),"")</f>
        <v/>
      </c>
      <c r="Q4619" s="5" t="str">
        <f t="shared" si="1"/>
        <v>২ পরে</v>
      </c>
    </row>
    <row r="4620">
      <c r="A4620" s="4">
        <v>2447.0</v>
      </c>
      <c r="B4620" s="2" t="s">
        <v>18978</v>
      </c>
      <c r="C4620" s="2" t="s">
        <v>18979</v>
      </c>
      <c r="D4620" s="2" t="s">
        <v>18980</v>
      </c>
      <c r="E4620" s="2" t="s">
        <v>18981</v>
      </c>
      <c r="F4620" s="2" t="b">
        <v>1</v>
      </c>
      <c r="G4620" s="2" t="b">
        <v>0</v>
      </c>
      <c r="H4620" s="2" t="s">
        <v>18982</v>
      </c>
      <c r="I4620" s="2" t="s">
        <v>22</v>
      </c>
      <c r="J4620" s="2" t="s">
        <v>447</v>
      </c>
      <c r="K4620" s="2" t="s">
        <v>495</v>
      </c>
      <c r="L4620" s="13" t="s">
        <v>496</v>
      </c>
      <c r="M4620" s="2" t="s">
        <v>26</v>
      </c>
      <c r="N4620" s="29"/>
      <c r="O4620" s="29"/>
      <c r="P4620" s="5" t="str">
        <f>IFERROR(__xludf.DUMMYFUNCTION("TEXTJOIN("" | "",TRUE,IF(OR(D4620="""",E4620="""",I4620="""",J4620="""",H4620=""""),""ফাঁকা ঘর"",""""),IF(AND(C4620&lt;&gt;"""",D4620&lt;&gt;"""",C4620=D4620),""gloss=figurative"",""""),IF(LEN(D4620)&lt;15,""figurative ছোট"",""""),IF(AND(I4620=""Positive"",REGEXMATCH(H4"&amp;"620,""মূর্খ|ভণ্ড|প্রতার|অলস|লোভ|স্বার্থ|অক্ষম|অযোগ্য|বোকা|কৃপণ|হিংস"")),""valence-target অমিল"",""""),IF(COUNTIF($B:$B,B4620)&gt;1,""ডুপ্লিকেট"",""""))"),"")</f>
        <v/>
      </c>
      <c r="Q4620" s="5" t="str">
        <f t="shared" si="1"/>
        <v>২ পরে</v>
      </c>
    </row>
    <row r="4621">
      <c r="A4621" s="4">
        <v>2448.0</v>
      </c>
      <c r="B4621" s="2" t="s">
        <v>18983</v>
      </c>
      <c r="C4621" s="2" t="s">
        <v>18979</v>
      </c>
      <c r="D4621" s="2" t="s">
        <v>18984</v>
      </c>
      <c r="E4621" s="2" t="s">
        <v>18985</v>
      </c>
      <c r="F4621" s="2" t="b">
        <v>1</v>
      </c>
      <c r="G4621" s="2" t="b">
        <v>0</v>
      </c>
      <c r="H4621" s="2" t="s">
        <v>37</v>
      </c>
      <c r="I4621" s="2" t="s">
        <v>32</v>
      </c>
      <c r="J4621" s="2" t="s">
        <v>15237</v>
      </c>
      <c r="K4621" s="2" t="s">
        <v>495</v>
      </c>
      <c r="L4621" s="13" t="s">
        <v>496</v>
      </c>
      <c r="M4621" s="2" t="s">
        <v>26</v>
      </c>
      <c r="N4621" s="29"/>
      <c r="O4621" s="29"/>
      <c r="P4621" s="5" t="str">
        <f>IFERROR(__xludf.DUMMYFUNCTION("TEXTJOIN("" | "",TRUE,IF(OR(D4621="""",E4621="""",I4621="""",J4621="""",H4621=""""),""ফাঁকা ঘর"",""""),IF(AND(C4621&lt;&gt;"""",D4621&lt;&gt;"""",C4621=D4621),""gloss=figurative"",""""),IF(LEN(D4621)&lt;15,""figurative ছোট"",""""),IF(AND(I4621=""Positive"",REGEXMATCH(H4"&amp;"621,""মূর্খ|ভণ্ড|প্রতার|অলস|লোভ|স্বার্থ|অক্ষম|অযোগ্য|বোকা|কৃপণ|হিংস"")),""valence-target অমিল"",""""),IF(COUNTIF($B:$B,B4621)&gt;1,""ডুপ্লিকেট"",""""))"),"")</f>
        <v/>
      </c>
      <c r="Q4621" s="5" t="str">
        <f t="shared" si="1"/>
        <v>২ পরে</v>
      </c>
    </row>
    <row r="4622">
      <c r="A4622" s="4">
        <v>2449.0</v>
      </c>
      <c r="B4622" s="2" t="s">
        <v>18986</v>
      </c>
      <c r="C4622" s="2" t="s">
        <v>18979</v>
      </c>
      <c r="D4622" s="2" t="s">
        <v>18987</v>
      </c>
      <c r="E4622" s="2" t="s">
        <v>18988</v>
      </c>
      <c r="F4622" s="2" t="b">
        <v>1</v>
      </c>
      <c r="G4622" s="2" t="b">
        <v>0</v>
      </c>
      <c r="H4622" s="2" t="s">
        <v>18989</v>
      </c>
      <c r="I4622" s="2" t="s">
        <v>22</v>
      </c>
      <c r="J4622" s="2" t="s">
        <v>447</v>
      </c>
      <c r="K4622" s="2" t="s">
        <v>495</v>
      </c>
      <c r="L4622" s="13" t="s">
        <v>496</v>
      </c>
      <c r="M4622" s="2" t="s">
        <v>26</v>
      </c>
      <c r="N4622" s="29"/>
      <c r="O4622" s="29"/>
      <c r="P4622" s="5" t="str">
        <f>IFERROR(__xludf.DUMMYFUNCTION("TEXTJOIN("" | "",TRUE,IF(OR(D4622="""",E4622="""",I4622="""",J4622="""",H4622=""""),""ফাঁকা ঘর"",""""),IF(AND(C4622&lt;&gt;"""",D4622&lt;&gt;"""",C4622=D4622),""gloss=figurative"",""""),IF(LEN(D4622)&lt;15,""figurative ছোট"",""""),IF(AND(I4622=""Positive"",REGEXMATCH(H4"&amp;"622,""মূর্খ|ভণ্ড|প্রতার|অলস|লোভ|স্বার্থ|অক্ষম|অযোগ্য|বোকা|কৃপণ|হিংস"")),""valence-target অমিল"",""""),IF(COUNTIF($B:$B,B4622)&gt;1,""ডুপ্লিকেট"",""""))"),"")</f>
        <v/>
      </c>
      <c r="Q4622" s="5" t="str">
        <f t="shared" si="1"/>
        <v>২ পরে</v>
      </c>
    </row>
    <row r="4623">
      <c r="A4623" s="4">
        <v>2450.0</v>
      </c>
      <c r="B4623" s="2" t="s">
        <v>18990</v>
      </c>
      <c r="C4623" s="2" t="s">
        <v>18991</v>
      </c>
      <c r="D4623" s="2" t="s">
        <v>18992</v>
      </c>
      <c r="E4623" s="2" t="s">
        <v>18993</v>
      </c>
      <c r="F4623" s="2" t="b">
        <v>1</v>
      </c>
      <c r="G4623" s="2" t="b">
        <v>0</v>
      </c>
      <c r="H4623" s="2" t="s">
        <v>37</v>
      </c>
      <c r="I4623" s="2" t="s">
        <v>22</v>
      </c>
      <c r="J4623" s="2" t="s">
        <v>6442</v>
      </c>
      <c r="K4623" s="2" t="s">
        <v>495</v>
      </c>
      <c r="L4623" s="13" t="s">
        <v>496</v>
      </c>
      <c r="M4623" s="2" t="s">
        <v>26</v>
      </c>
      <c r="N4623" s="29"/>
      <c r="O4623" s="29"/>
      <c r="P4623" s="5" t="str">
        <f>IFERROR(__xludf.DUMMYFUNCTION("TEXTJOIN("" | "",TRUE,IF(OR(D4623="""",E4623="""",I4623="""",J4623="""",H4623=""""),""ফাঁকা ঘর"",""""),IF(AND(C4623&lt;&gt;"""",D4623&lt;&gt;"""",C4623=D4623),""gloss=figurative"",""""),IF(LEN(D4623)&lt;15,""figurative ছোট"",""""),IF(AND(I4623=""Positive"",REGEXMATCH(H4"&amp;"623,""মূর্খ|ভণ্ড|প্রতার|অলস|লোভ|স্বার্থ|অক্ষম|অযোগ্য|বোকা|কৃপণ|হিংস"")),""valence-target অমিল"",""""),IF(COUNTIF($B:$B,B4623)&gt;1,""ডুপ্লিকেট"",""""))"),"")</f>
        <v/>
      </c>
      <c r="Q4623" s="5" t="str">
        <f t="shared" si="1"/>
        <v>২ পরে</v>
      </c>
    </row>
    <row r="4624">
      <c r="A4624" s="4">
        <v>2451.0</v>
      </c>
      <c r="B4624" s="2" t="s">
        <v>18994</v>
      </c>
      <c r="C4624" s="2" t="s">
        <v>18995</v>
      </c>
      <c r="D4624" s="2" t="s">
        <v>18996</v>
      </c>
      <c r="E4624" s="2" t="s">
        <v>18997</v>
      </c>
      <c r="F4624" s="2" t="b">
        <v>1</v>
      </c>
      <c r="G4624" s="2" t="b">
        <v>0</v>
      </c>
      <c r="H4624" s="2" t="s">
        <v>189</v>
      </c>
      <c r="I4624" s="2" t="s">
        <v>22</v>
      </c>
      <c r="J4624" s="2" t="s">
        <v>43</v>
      </c>
      <c r="K4624" s="2" t="s">
        <v>495</v>
      </c>
      <c r="L4624" s="13" t="s">
        <v>496</v>
      </c>
      <c r="M4624" s="2" t="s">
        <v>26</v>
      </c>
      <c r="N4624" s="29"/>
      <c r="O4624" s="29"/>
      <c r="P4624" s="5" t="str">
        <f>IFERROR(__xludf.DUMMYFUNCTION("TEXTJOIN("" | "",TRUE,IF(OR(D4624="""",E4624="""",I4624="""",J4624="""",H4624=""""),""ফাঁকা ঘর"",""""),IF(AND(C4624&lt;&gt;"""",D4624&lt;&gt;"""",C4624=D4624),""gloss=figurative"",""""),IF(LEN(D4624)&lt;15,""figurative ছোট"",""""),IF(AND(I4624=""Positive"",REGEXMATCH(H4"&amp;"624,""মূর্খ|ভণ্ড|প্রতার|অলস|লোভ|স্বার্থ|অক্ষম|অযোগ্য|বোকা|কৃপণ|হিংস"")),""valence-target অমিল"",""""),IF(COUNTIF($B:$B,B4624)&gt;1,""ডুপ্লিকেট"",""""))"),"")</f>
        <v/>
      </c>
      <c r="Q4624" s="5" t="str">
        <f t="shared" si="1"/>
        <v>২ পরে</v>
      </c>
    </row>
    <row r="4625">
      <c r="A4625" s="4">
        <v>2452.0</v>
      </c>
      <c r="B4625" s="2" t="s">
        <v>18998</v>
      </c>
      <c r="C4625" s="2" t="s">
        <v>18995</v>
      </c>
      <c r="D4625" s="2" t="s">
        <v>18999</v>
      </c>
      <c r="E4625" s="2" t="s">
        <v>19000</v>
      </c>
      <c r="F4625" s="2" t="b">
        <v>1</v>
      </c>
      <c r="G4625" s="2" t="b">
        <v>0</v>
      </c>
      <c r="H4625" s="2" t="s">
        <v>3161</v>
      </c>
      <c r="I4625" s="2" t="s">
        <v>22</v>
      </c>
      <c r="J4625" s="2" t="s">
        <v>43</v>
      </c>
      <c r="K4625" s="2" t="s">
        <v>495</v>
      </c>
      <c r="L4625" s="13" t="s">
        <v>496</v>
      </c>
      <c r="M4625" s="2" t="s">
        <v>26</v>
      </c>
      <c r="N4625" s="29"/>
      <c r="O4625" s="29"/>
      <c r="P4625" s="5" t="str">
        <f>IFERROR(__xludf.DUMMYFUNCTION("TEXTJOIN("" | "",TRUE,IF(OR(D4625="""",E4625="""",I4625="""",J4625="""",H4625=""""),""ফাঁকা ঘর"",""""),IF(AND(C4625&lt;&gt;"""",D4625&lt;&gt;"""",C4625=D4625),""gloss=figurative"",""""),IF(LEN(D4625)&lt;15,""figurative ছোট"",""""),IF(AND(I4625=""Positive"",REGEXMATCH(H4"&amp;"625,""মূর্খ|ভণ্ড|প্রতার|অলস|লোভ|স্বার্থ|অক্ষম|অযোগ্য|বোকা|কৃপণ|হিংস"")),""valence-target অমিল"",""""),IF(COUNTIF($B:$B,B4625)&gt;1,""ডুপ্লিকেট"",""""))"),"")</f>
        <v/>
      </c>
      <c r="Q4625" s="5" t="str">
        <f t="shared" si="1"/>
        <v>২ পরে</v>
      </c>
    </row>
    <row r="4626">
      <c r="A4626" s="4">
        <v>2453.0</v>
      </c>
      <c r="B4626" s="2" t="s">
        <v>19001</v>
      </c>
      <c r="C4626" s="2" t="s">
        <v>18995</v>
      </c>
      <c r="D4626" s="2" t="s">
        <v>19002</v>
      </c>
      <c r="E4626" s="2" t="s">
        <v>19003</v>
      </c>
      <c r="F4626" s="2" t="b">
        <v>1</v>
      </c>
      <c r="G4626" s="2" t="b">
        <v>0</v>
      </c>
      <c r="H4626" s="2" t="s">
        <v>3161</v>
      </c>
      <c r="I4626" s="2" t="s">
        <v>22</v>
      </c>
      <c r="J4626" s="2" t="s">
        <v>43</v>
      </c>
      <c r="K4626" s="2" t="s">
        <v>495</v>
      </c>
      <c r="L4626" s="13" t="s">
        <v>496</v>
      </c>
      <c r="M4626" s="2" t="s">
        <v>26</v>
      </c>
      <c r="N4626" s="29"/>
      <c r="O4626" s="29"/>
      <c r="P4626" s="5" t="str">
        <f>IFERROR(__xludf.DUMMYFUNCTION("TEXTJOIN("" | "",TRUE,IF(OR(D4626="""",E4626="""",I4626="""",J4626="""",H4626=""""),""ফাঁকা ঘর"",""""),IF(AND(C4626&lt;&gt;"""",D4626&lt;&gt;"""",C4626=D4626),""gloss=figurative"",""""),IF(LEN(D4626)&lt;15,""figurative ছোট"",""""),IF(AND(I4626=""Positive"",REGEXMATCH(H4"&amp;"626,""মূর্খ|ভণ্ড|প্রতার|অলস|লোভ|স্বার্থ|অক্ষম|অযোগ্য|বোকা|কৃপণ|হিংস"")),""valence-target অমিল"",""""),IF(COUNTIF($B:$B,B4626)&gt;1,""ডুপ্লিকেট"",""""))"),"")</f>
        <v/>
      </c>
      <c r="Q4626" s="5" t="str">
        <f t="shared" si="1"/>
        <v>২ পরে</v>
      </c>
    </row>
    <row r="4627">
      <c r="A4627" s="4">
        <v>2454.0</v>
      </c>
      <c r="B4627" s="2" t="s">
        <v>19004</v>
      </c>
      <c r="C4627" s="2" t="s">
        <v>19004</v>
      </c>
      <c r="D4627" s="2" t="s">
        <v>19005</v>
      </c>
      <c r="E4627" s="2" t="s">
        <v>19006</v>
      </c>
      <c r="F4627" s="2" t="b">
        <v>1</v>
      </c>
      <c r="G4627" s="2" t="b">
        <v>0</v>
      </c>
      <c r="H4627" s="2" t="s">
        <v>37</v>
      </c>
      <c r="I4627" s="2" t="s">
        <v>22</v>
      </c>
      <c r="J4627" s="2" t="s">
        <v>15262</v>
      </c>
      <c r="K4627" s="2" t="s">
        <v>495</v>
      </c>
      <c r="L4627" s="13" t="s">
        <v>496</v>
      </c>
      <c r="M4627" s="2" t="s">
        <v>26</v>
      </c>
      <c r="N4627" s="29"/>
      <c r="O4627" s="29"/>
      <c r="P4627" s="5" t="str">
        <f>IFERROR(__xludf.DUMMYFUNCTION("TEXTJOIN("" | "",TRUE,IF(OR(D4627="""",E4627="""",I4627="""",J4627="""",H4627=""""),""ফাঁকা ঘর"",""""),IF(AND(C4627&lt;&gt;"""",D4627&lt;&gt;"""",C4627=D4627),""gloss=figurative"",""""),IF(LEN(D4627)&lt;15,""figurative ছোট"",""""),IF(AND(I4627=""Positive"",REGEXMATCH(H4"&amp;"627,""মূর্খ|ভণ্ড|প্রতার|অলস|লোভ|স্বার্থ|অক্ষম|অযোগ্য|বোকা|কৃপণ|হিংস"")),""valence-target অমিল"",""""),IF(COUNTIF($B:$B,B4627)&gt;1,""ডুপ্লিকেট"",""""))"),"")</f>
        <v/>
      </c>
      <c r="Q4627" s="5" t="str">
        <f t="shared" si="1"/>
        <v>২ পরে</v>
      </c>
    </row>
    <row r="4628">
      <c r="A4628" s="4">
        <v>2455.0</v>
      </c>
      <c r="B4628" s="2" t="s">
        <v>19007</v>
      </c>
      <c r="C4628" s="2" t="s">
        <v>19008</v>
      </c>
      <c r="D4628" s="2" t="s">
        <v>19009</v>
      </c>
      <c r="E4628" s="2" t="s">
        <v>19010</v>
      </c>
      <c r="F4628" s="2" t="b">
        <v>1</v>
      </c>
      <c r="G4628" s="2" t="b">
        <v>0</v>
      </c>
      <c r="H4628" s="2" t="s">
        <v>37</v>
      </c>
      <c r="I4628" s="2" t="s">
        <v>32</v>
      </c>
      <c r="J4628" s="2" t="s">
        <v>19011</v>
      </c>
      <c r="K4628" s="2" t="s">
        <v>495</v>
      </c>
      <c r="L4628" s="13" t="s">
        <v>496</v>
      </c>
      <c r="M4628" s="2" t="s">
        <v>26</v>
      </c>
      <c r="N4628" s="29"/>
      <c r="O4628" s="29"/>
      <c r="P4628" s="5" t="str">
        <f>IFERROR(__xludf.DUMMYFUNCTION("TEXTJOIN("" | "",TRUE,IF(OR(D4628="""",E4628="""",I4628="""",J4628="""",H4628=""""),""ফাঁকা ঘর"",""""),IF(AND(C4628&lt;&gt;"""",D4628&lt;&gt;"""",C4628=D4628),""gloss=figurative"",""""),IF(LEN(D4628)&lt;15,""figurative ছোট"",""""),IF(AND(I4628=""Positive"",REGEXMATCH(H4"&amp;"628,""মূর্খ|ভণ্ড|প্রতার|অলস|লোভ|স্বার্থ|অক্ষম|অযোগ্য|বোকা|কৃপণ|হিংস"")),""valence-target অমিল"",""""),IF(COUNTIF($B:$B,B4628)&gt;1,""ডুপ্লিকেট"",""""))"),"")</f>
        <v/>
      </c>
      <c r="Q4628" s="5" t="str">
        <f t="shared" si="1"/>
        <v>২ পরে</v>
      </c>
    </row>
    <row r="4629">
      <c r="A4629" s="4">
        <v>2456.0</v>
      </c>
      <c r="B4629" s="2" t="s">
        <v>19012</v>
      </c>
      <c r="C4629" s="2" t="s">
        <v>19008</v>
      </c>
      <c r="D4629" s="2" t="s">
        <v>19013</v>
      </c>
      <c r="E4629" s="2" t="s">
        <v>19014</v>
      </c>
      <c r="F4629" s="2" t="b">
        <v>1</v>
      </c>
      <c r="G4629" s="2" t="b">
        <v>0</v>
      </c>
      <c r="H4629" s="2" t="s">
        <v>37</v>
      </c>
      <c r="I4629" s="2" t="s">
        <v>32</v>
      </c>
      <c r="J4629" s="2" t="s">
        <v>3869</v>
      </c>
      <c r="K4629" s="2" t="s">
        <v>495</v>
      </c>
      <c r="L4629" s="13" t="s">
        <v>496</v>
      </c>
      <c r="M4629" s="2" t="s">
        <v>26</v>
      </c>
      <c r="N4629" s="29"/>
      <c r="O4629" s="29"/>
      <c r="P4629" s="5" t="str">
        <f>IFERROR(__xludf.DUMMYFUNCTION("TEXTJOIN("" | "",TRUE,IF(OR(D4629="""",E4629="""",I4629="""",J4629="""",H4629=""""),""ফাঁকা ঘর"",""""),IF(AND(C4629&lt;&gt;"""",D4629&lt;&gt;"""",C4629=D4629),""gloss=figurative"",""""),IF(LEN(D4629)&lt;15,""figurative ছোট"",""""),IF(AND(I4629=""Positive"",REGEXMATCH(H4"&amp;"629,""মূর্খ|ভণ্ড|প্রতার|অলস|লোভ|স্বার্থ|অক্ষম|অযোগ্য|বোকা|কৃপণ|হিংস"")),""valence-target অমিল"",""""),IF(COUNTIF($B:$B,B4629)&gt;1,""ডুপ্লিকেট"",""""))"),"")</f>
        <v/>
      </c>
      <c r="Q4629" s="5" t="str">
        <f t="shared" si="1"/>
        <v>২ পরে</v>
      </c>
    </row>
    <row r="4630">
      <c r="A4630" s="4">
        <v>2457.0</v>
      </c>
      <c r="B4630" s="2" t="s">
        <v>19015</v>
      </c>
      <c r="C4630" s="2" t="s">
        <v>19016</v>
      </c>
      <c r="D4630" s="2" t="s">
        <v>19017</v>
      </c>
      <c r="E4630" s="2" t="s">
        <v>19018</v>
      </c>
      <c r="F4630" s="2" t="b">
        <v>1</v>
      </c>
      <c r="G4630" s="2" t="b">
        <v>0</v>
      </c>
      <c r="H4630" s="2" t="s">
        <v>37</v>
      </c>
      <c r="I4630" s="2" t="s">
        <v>32</v>
      </c>
      <c r="J4630" s="2" t="s">
        <v>19019</v>
      </c>
      <c r="K4630" s="2" t="s">
        <v>495</v>
      </c>
      <c r="L4630" s="13" t="s">
        <v>496</v>
      </c>
      <c r="M4630" s="2" t="s">
        <v>26</v>
      </c>
      <c r="N4630" s="29"/>
      <c r="O4630" s="29"/>
      <c r="P4630" s="5" t="str">
        <f>IFERROR(__xludf.DUMMYFUNCTION("TEXTJOIN("" | "",TRUE,IF(OR(D4630="""",E4630="""",I4630="""",J4630="""",H4630=""""),""ফাঁকা ঘর"",""""),IF(AND(C4630&lt;&gt;"""",D4630&lt;&gt;"""",C4630=D4630),""gloss=figurative"",""""),IF(LEN(D4630)&lt;15,""figurative ছোট"",""""),IF(AND(I4630=""Positive"",REGEXMATCH(H4"&amp;"630,""মূর্খ|ভণ্ড|প্রতার|অলস|লোভ|স্বার্থ|অক্ষম|অযোগ্য|বোকা|কৃপণ|হিংস"")),""valence-target অমিল"",""""),IF(COUNTIF($B:$B,B4630)&gt;1,""ডুপ্লিকেট"",""""))"),"")</f>
        <v/>
      </c>
      <c r="Q4630" s="5" t="str">
        <f t="shared" si="1"/>
        <v>২ পরে</v>
      </c>
    </row>
    <row r="4631">
      <c r="A4631" s="4">
        <v>2458.0</v>
      </c>
      <c r="B4631" s="2" t="s">
        <v>19020</v>
      </c>
      <c r="C4631" s="2" t="s">
        <v>19021</v>
      </c>
      <c r="D4631" s="2" t="s">
        <v>19022</v>
      </c>
      <c r="E4631" s="2" t="s">
        <v>19023</v>
      </c>
      <c r="F4631" s="2" t="b">
        <v>1</v>
      </c>
      <c r="G4631" s="2" t="b">
        <v>0</v>
      </c>
      <c r="H4631" s="2" t="s">
        <v>37</v>
      </c>
      <c r="I4631" s="2" t="s">
        <v>22</v>
      </c>
      <c r="J4631" s="2" t="s">
        <v>5724</v>
      </c>
      <c r="K4631" s="2" t="s">
        <v>495</v>
      </c>
      <c r="L4631" s="13" t="s">
        <v>496</v>
      </c>
      <c r="M4631" s="2" t="s">
        <v>26</v>
      </c>
      <c r="N4631" s="29"/>
      <c r="O4631" s="29"/>
      <c r="P4631" s="5" t="str">
        <f>IFERROR(__xludf.DUMMYFUNCTION("TEXTJOIN("" | "",TRUE,IF(OR(D4631="""",E4631="""",I4631="""",J4631="""",H4631=""""),""ফাঁকা ঘর"",""""),IF(AND(C4631&lt;&gt;"""",D4631&lt;&gt;"""",C4631=D4631),""gloss=figurative"",""""),IF(LEN(D4631)&lt;15,""figurative ছোট"",""""),IF(AND(I4631=""Positive"",REGEXMATCH(H4"&amp;"631,""মূর্খ|ভণ্ড|প্রতার|অলস|লোভ|স্বার্থ|অক্ষম|অযোগ্য|বোকা|কৃপণ|হিংস"")),""valence-target অমিল"",""""),IF(COUNTIF($B:$B,B4631)&gt;1,""ডুপ্লিকেট"",""""))"),"")</f>
        <v/>
      </c>
      <c r="Q4631" s="5" t="str">
        <f t="shared" si="1"/>
        <v>২ পরে</v>
      </c>
    </row>
    <row r="4632">
      <c r="A4632" s="4">
        <v>2459.0</v>
      </c>
      <c r="B4632" s="2" t="s">
        <v>19024</v>
      </c>
      <c r="C4632" s="2" t="s">
        <v>19021</v>
      </c>
      <c r="D4632" s="2" t="s">
        <v>19025</v>
      </c>
      <c r="E4632" s="2" t="s">
        <v>19026</v>
      </c>
      <c r="F4632" s="2" t="b">
        <v>1</v>
      </c>
      <c r="G4632" s="2" t="b">
        <v>0</v>
      </c>
      <c r="H4632" s="2" t="s">
        <v>37</v>
      </c>
      <c r="I4632" s="2" t="s">
        <v>22</v>
      </c>
      <c r="J4632" s="2" t="s">
        <v>231</v>
      </c>
      <c r="K4632" s="2" t="s">
        <v>495</v>
      </c>
      <c r="L4632" s="13" t="s">
        <v>496</v>
      </c>
      <c r="M4632" s="2" t="s">
        <v>26</v>
      </c>
      <c r="N4632" s="29"/>
      <c r="O4632" s="29"/>
      <c r="P4632" s="5" t="str">
        <f>IFERROR(__xludf.DUMMYFUNCTION("TEXTJOIN("" | "",TRUE,IF(OR(D4632="""",E4632="""",I4632="""",J4632="""",H4632=""""),""ফাঁকা ঘর"",""""),IF(AND(C4632&lt;&gt;"""",D4632&lt;&gt;"""",C4632=D4632),""gloss=figurative"",""""),IF(LEN(D4632)&lt;15,""figurative ছোট"",""""),IF(AND(I4632=""Positive"",REGEXMATCH(H4"&amp;"632,""মূর্খ|ভণ্ড|প্রতার|অলস|লোভ|স্বার্থ|অক্ষম|অযোগ্য|বোকা|কৃপণ|হিংস"")),""valence-target অমিল"",""""),IF(COUNTIF($B:$B,B4632)&gt;1,""ডুপ্লিকেট"",""""))"),"")</f>
        <v/>
      </c>
      <c r="Q4632" s="5" t="str">
        <f t="shared" si="1"/>
        <v>২ পরে</v>
      </c>
    </row>
    <row r="4633">
      <c r="A4633" s="4">
        <v>2460.0</v>
      </c>
      <c r="B4633" s="2" t="s">
        <v>19027</v>
      </c>
      <c r="C4633" s="2" t="s">
        <v>19028</v>
      </c>
      <c r="D4633" s="2" t="s">
        <v>19029</v>
      </c>
      <c r="E4633" s="2" t="s">
        <v>19030</v>
      </c>
      <c r="F4633" s="2" t="b">
        <v>1</v>
      </c>
      <c r="G4633" s="2" t="b">
        <v>0</v>
      </c>
      <c r="H4633" s="2" t="s">
        <v>10681</v>
      </c>
      <c r="I4633" s="2" t="s">
        <v>22</v>
      </c>
      <c r="J4633" s="2" t="s">
        <v>1712</v>
      </c>
      <c r="K4633" s="2" t="s">
        <v>495</v>
      </c>
      <c r="L4633" s="13" t="s">
        <v>496</v>
      </c>
      <c r="M4633" s="2" t="s">
        <v>26</v>
      </c>
      <c r="N4633" s="29"/>
      <c r="O4633" s="29"/>
      <c r="P4633" s="5" t="str">
        <f>IFERROR(__xludf.DUMMYFUNCTION("TEXTJOIN("" | "",TRUE,IF(OR(D4633="""",E4633="""",I4633="""",J4633="""",H4633=""""),""ফাঁকা ঘর"",""""),IF(AND(C4633&lt;&gt;"""",D4633&lt;&gt;"""",C4633=D4633),""gloss=figurative"",""""),IF(LEN(D4633)&lt;15,""figurative ছোট"",""""),IF(AND(I4633=""Positive"",REGEXMATCH(H4"&amp;"633,""মূর্খ|ভণ্ড|প্রতার|অলস|লোভ|স্বার্থ|অক্ষম|অযোগ্য|বোকা|কৃপণ|হিংস"")),""valence-target অমিল"",""""),IF(COUNTIF($B:$B,B4633)&gt;1,""ডুপ্লিকেট"",""""))"),"")</f>
        <v/>
      </c>
      <c r="Q4633" s="5" t="str">
        <f t="shared" si="1"/>
        <v>২ পরে</v>
      </c>
    </row>
    <row r="4634">
      <c r="A4634" s="4">
        <v>2461.0</v>
      </c>
      <c r="B4634" s="2" t="s">
        <v>19031</v>
      </c>
      <c r="C4634" s="2" t="s">
        <v>10831</v>
      </c>
      <c r="D4634" s="2" t="s">
        <v>19032</v>
      </c>
      <c r="E4634" s="2" t="s">
        <v>19033</v>
      </c>
      <c r="F4634" s="2" t="b">
        <v>1</v>
      </c>
      <c r="G4634" s="2" t="b">
        <v>0</v>
      </c>
      <c r="H4634" s="2" t="s">
        <v>37</v>
      </c>
      <c r="I4634" s="2" t="s">
        <v>49</v>
      </c>
      <c r="J4634" s="2" t="s">
        <v>1111</v>
      </c>
      <c r="K4634" s="2" t="s">
        <v>495</v>
      </c>
      <c r="L4634" s="13" t="s">
        <v>496</v>
      </c>
      <c r="M4634" s="2" t="s">
        <v>26</v>
      </c>
      <c r="N4634" s="29"/>
      <c r="O4634" s="29"/>
      <c r="P4634" s="5" t="str">
        <f>IFERROR(__xludf.DUMMYFUNCTION("TEXTJOIN("" | "",TRUE,IF(OR(D4634="""",E4634="""",I4634="""",J4634="""",H4634=""""),""ফাঁকা ঘর"",""""),IF(AND(C4634&lt;&gt;"""",D4634&lt;&gt;"""",C4634=D4634),""gloss=figurative"",""""),IF(LEN(D4634)&lt;15,""figurative ছোট"",""""),IF(AND(I4634=""Positive"",REGEXMATCH(H4"&amp;"634,""মূর্খ|ভণ্ড|প্রতার|অলস|লোভ|স্বার্থ|অক্ষম|অযোগ্য|বোকা|কৃপণ|হিংস"")),""valence-target অমিল"",""""),IF(COUNTIF($B:$B,B4634)&gt;1,""ডুপ্লিকেট"",""""))"),"")</f>
        <v/>
      </c>
      <c r="Q4634" s="5" t="str">
        <f t="shared" si="1"/>
        <v>২ পরে</v>
      </c>
    </row>
    <row r="4635">
      <c r="A4635" s="4">
        <v>2462.0</v>
      </c>
      <c r="B4635" s="2" t="s">
        <v>19034</v>
      </c>
      <c r="C4635" s="2" t="s">
        <v>19035</v>
      </c>
      <c r="D4635" s="2" t="s">
        <v>19036</v>
      </c>
      <c r="E4635" s="2" t="s">
        <v>19037</v>
      </c>
      <c r="F4635" s="2" t="b">
        <v>1</v>
      </c>
      <c r="G4635" s="2" t="b">
        <v>0</v>
      </c>
      <c r="H4635" s="2" t="s">
        <v>37</v>
      </c>
      <c r="I4635" s="2" t="s">
        <v>32</v>
      </c>
      <c r="J4635" s="2" t="s">
        <v>19038</v>
      </c>
      <c r="K4635" s="2" t="s">
        <v>495</v>
      </c>
      <c r="L4635" s="13" t="s">
        <v>496</v>
      </c>
      <c r="M4635" s="2" t="s">
        <v>26</v>
      </c>
      <c r="N4635" s="29"/>
      <c r="O4635" s="29"/>
      <c r="P4635" s="5" t="str">
        <f>IFERROR(__xludf.DUMMYFUNCTION("TEXTJOIN("" | "",TRUE,IF(OR(D4635="""",E4635="""",I4635="""",J4635="""",H4635=""""),""ফাঁকা ঘর"",""""),IF(AND(C4635&lt;&gt;"""",D4635&lt;&gt;"""",C4635=D4635),""gloss=figurative"",""""),IF(LEN(D4635)&lt;15,""figurative ছোট"",""""),IF(AND(I4635=""Positive"",REGEXMATCH(H4"&amp;"635,""মূর্খ|ভণ্ড|প্রতার|অলস|লোভ|স্বার্থ|অক্ষম|অযোগ্য|বোকা|কৃপণ|হিংস"")),""valence-target অমিল"",""""),IF(COUNTIF($B:$B,B4635)&gt;1,""ডুপ্লিকেট"",""""))"),"")</f>
        <v/>
      </c>
      <c r="Q4635" s="5" t="str">
        <f t="shared" si="1"/>
        <v>২ পরে</v>
      </c>
    </row>
    <row r="4636">
      <c r="A4636" s="4">
        <v>2463.0</v>
      </c>
      <c r="B4636" s="2" t="s">
        <v>19039</v>
      </c>
      <c r="C4636" s="2" t="s">
        <v>19039</v>
      </c>
      <c r="D4636" s="2" t="s">
        <v>19040</v>
      </c>
      <c r="E4636" s="2" t="s">
        <v>19041</v>
      </c>
      <c r="F4636" s="2" t="b">
        <v>1</v>
      </c>
      <c r="G4636" s="2" t="b">
        <v>0</v>
      </c>
      <c r="H4636" s="2" t="s">
        <v>37</v>
      </c>
      <c r="I4636" s="2" t="s">
        <v>32</v>
      </c>
      <c r="J4636" s="2" t="s">
        <v>231</v>
      </c>
      <c r="K4636" s="2" t="s">
        <v>495</v>
      </c>
      <c r="L4636" s="13" t="s">
        <v>496</v>
      </c>
      <c r="M4636" s="2" t="s">
        <v>26</v>
      </c>
      <c r="N4636" s="29"/>
      <c r="O4636" s="29"/>
      <c r="P4636" s="5" t="str">
        <f>IFERROR(__xludf.DUMMYFUNCTION("TEXTJOIN("" | "",TRUE,IF(OR(D4636="""",E4636="""",I4636="""",J4636="""",H4636=""""),""ফাঁকা ঘর"",""""),IF(AND(C4636&lt;&gt;"""",D4636&lt;&gt;"""",C4636=D4636),""gloss=figurative"",""""),IF(LEN(D4636)&lt;15,""figurative ছোট"",""""),IF(AND(I4636=""Positive"",REGEXMATCH(H4"&amp;"636,""মূর্খ|ভণ্ড|প্রতার|অলস|লোভ|স্বার্থ|অক্ষম|অযোগ্য|বোকা|কৃপণ|হিংস"")),""valence-target অমিল"",""""),IF(COUNTIF($B:$B,B4636)&gt;1,""ডুপ্লিকেট"",""""))"),"")</f>
        <v/>
      </c>
      <c r="Q4636" s="5" t="str">
        <f t="shared" si="1"/>
        <v>২ পরে</v>
      </c>
    </row>
    <row r="4637">
      <c r="A4637" s="4">
        <v>2464.0</v>
      </c>
      <c r="B4637" s="2" t="s">
        <v>19042</v>
      </c>
      <c r="C4637" s="2" t="s">
        <v>19043</v>
      </c>
      <c r="D4637" s="2" t="s">
        <v>19044</v>
      </c>
      <c r="E4637" s="2" t="s">
        <v>19045</v>
      </c>
      <c r="F4637" s="2" t="b">
        <v>1</v>
      </c>
      <c r="G4637" s="2" t="b">
        <v>0</v>
      </c>
      <c r="H4637" s="2" t="s">
        <v>37</v>
      </c>
      <c r="I4637" s="2" t="s">
        <v>32</v>
      </c>
      <c r="J4637" s="2" t="s">
        <v>4067</v>
      </c>
      <c r="K4637" s="2" t="s">
        <v>495</v>
      </c>
      <c r="L4637" s="13" t="s">
        <v>496</v>
      </c>
      <c r="M4637" s="2" t="s">
        <v>26</v>
      </c>
      <c r="N4637" s="29"/>
      <c r="O4637" s="29"/>
      <c r="P4637" s="5" t="str">
        <f>IFERROR(__xludf.DUMMYFUNCTION("TEXTJOIN("" | "",TRUE,IF(OR(D4637="""",E4637="""",I4637="""",J4637="""",H4637=""""),""ফাঁকা ঘর"",""""),IF(AND(C4637&lt;&gt;"""",D4637&lt;&gt;"""",C4637=D4637),""gloss=figurative"",""""),IF(LEN(D4637)&lt;15,""figurative ছোট"",""""),IF(AND(I4637=""Positive"",REGEXMATCH(H4"&amp;"637,""মূর্খ|ভণ্ড|প্রতার|অলস|লোভ|স্বার্থ|অক্ষম|অযোগ্য|বোকা|কৃপণ|হিংস"")),""valence-target অমিল"",""""),IF(COUNTIF($B:$B,B4637)&gt;1,""ডুপ্লিকেট"",""""))"),"")</f>
        <v/>
      </c>
      <c r="Q4637" s="5" t="str">
        <f t="shared" si="1"/>
        <v>২ পরে</v>
      </c>
    </row>
    <row r="4638">
      <c r="A4638" s="4">
        <v>2465.0</v>
      </c>
      <c r="B4638" s="2" t="s">
        <v>19046</v>
      </c>
      <c r="C4638" s="2" t="s">
        <v>19047</v>
      </c>
      <c r="D4638" s="2" t="s">
        <v>19048</v>
      </c>
      <c r="E4638" s="2" t="s">
        <v>19049</v>
      </c>
      <c r="F4638" s="2" t="b">
        <v>1</v>
      </c>
      <c r="G4638" s="2" t="b">
        <v>0</v>
      </c>
      <c r="H4638" s="2" t="s">
        <v>37</v>
      </c>
      <c r="I4638" s="2" t="s">
        <v>49</v>
      </c>
      <c r="J4638" s="2" t="s">
        <v>762</v>
      </c>
      <c r="K4638" s="2" t="s">
        <v>495</v>
      </c>
      <c r="L4638" s="13" t="s">
        <v>496</v>
      </c>
      <c r="M4638" s="2" t="s">
        <v>26</v>
      </c>
      <c r="N4638" s="29"/>
      <c r="O4638" s="29"/>
      <c r="P4638" s="5" t="str">
        <f>IFERROR(__xludf.DUMMYFUNCTION("TEXTJOIN("" | "",TRUE,IF(OR(D4638="""",E4638="""",I4638="""",J4638="""",H4638=""""),""ফাঁকা ঘর"",""""),IF(AND(C4638&lt;&gt;"""",D4638&lt;&gt;"""",C4638=D4638),""gloss=figurative"",""""),IF(LEN(D4638)&lt;15,""figurative ছোট"",""""),IF(AND(I4638=""Positive"",REGEXMATCH(H4"&amp;"638,""মূর্খ|ভণ্ড|প্রতার|অলস|লোভ|স্বার্থ|অক্ষম|অযোগ্য|বোকা|কৃপণ|হিংস"")),""valence-target অমিল"",""""),IF(COUNTIF($B:$B,B4638)&gt;1,""ডুপ্লিকেট"",""""))"),"")</f>
        <v/>
      </c>
      <c r="Q4638" s="5" t="str">
        <f t="shared" si="1"/>
        <v>২ পরে</v>
      </c>
    </row>
    <row r="4639">
      <c r="A4639" s="4">
        <v>2466.0</v>
      </c>
      <c r="B4639" s="2" t="s">
        <v>19050</v>
      </c>
      <c r="C4639" s="2" t="s">
        <v>19051</v>
      </c>
      <c r="D4639" s="2" t="s">
        <v>19052</v>
      </c>
      <c r="E4639" s="2" t="s">
        <v>19053</v>
      </c>
      <c r="F4639" s="2" t="b">
        <v>1</v>
      </c>
      <c r="G4639" s="2" t="b">
        <v>0</v>
      </c>
      <c r="H4639" s="2" t="s">
        <v>37</v>
      </c>
      <c r="I4639" s="2" t="s">
        <v>32</v>
      </c>
      <c r="J4639" s="2" t="s">
        <v>553</v>
      </c>
      <c r="K4639" s="2" t="s">
        <v>495</v>
      </c>
      <c r="L4639" s="13" t="s">
        <v>496</v>
      </c>
      <c r="M4639" s="2" t="s">
        <v>26</v>
      </c>
      <c r="N4639" s="29"/>
      <c r="O4639" s="29"/>
      <c r="P4639" s="5" t="str">
        <f>IFERROR(__xludf.DUMMYFUNCTION("TEXTJOIN("" | "",TRUE,IF(OR(D4639="""",E4639="""",I4639="""",J4639="""",H4639=""""),""ফাঁকা ঘর"",""""),IF(AND(C4639&lt;&gt;"""",D4639&lt;&gt;"""",C4639=D4639),""gloss=figurative"",""""),IF(LEN(D4639)&lt;15,""figurative ছোট"",""""),IF(AND(I4639=""Positive"",REGEXMATCH(H4"&amp;"639,""মূর্খ|ভণ্ড|প্রতার|অলস|লোভ|স্বার্থ|অক্ষম|অযোগ্য|বোকা|কৃপণ|হিংস"")),""valence-target অমিল"",""""),IF(COUNTIF($B:$B,B4639)&gt;1,""ডুপ্লিকেট"",""""))"),"")</f>
        <v/>
      </c>
      <c r="Q4639" s="5" t="str">
        <f t="shared" si="1"/>
        <v>২ পরে</v>
      </c>
    </row>
    <row r="4640">
      <c r="A4640" s="4">
        <v>2467.0</v>
      </c>
      <c r="B4640" s="2" t="s">
        <v>19054</v>
      </c>
      <c r="C4640" s="2" t="s">
        <v>19055</v>
      </c>
      <c r="D4640" s="2" t="s">
        <v>19056</v>
      </c>
      <c r="E4640" s="2" t="s">
        <v>19057</v>
      </c>
      <c r="F4640" s="2" t="b">
        <v>1</v>
      </c>
      <c r="G4640" s="2" t="b">
        <v>0</v>
      </c>
      <c r="H4640" s="2" t="s">
        <v>37</v>
      </c>
      <c r="I4640" s="2" t="s">
        <v>32</v>
      </c>
      <c r="J4640" s="2" t="s">
        <v>739</v>
      </c>
      <c r="K4640" s="2" t="s">
        <v>495</v>
      </c>
      <c r="L4640" s="13" t="s">
        <v>496</v>
      </c>
      <c r="M4640" s="2" t="s">
        <v>26</v>
      </c>
      <c r="N4640" s="29"/>
      <c r="O4640" s="29"/>
      <c r="P4640" s="5" t="str">
        <f>IFERROR(__xludf.DUMMYFUNCTION("TEXTJOIN("" | "",TRUE,IF(OR(D4640="""",E4640="""",I4640="""",J4640="""",H4640=""""),""ফাঁকা ঘর"",""""),IF(AND(C4640&lt;&gt;"""",D4640&lt;&gt;"""",C4640=D4640),""gloss=figurative"",""""),IF(LEN(D4640)&lt;15,""figurative ছোট"",""""),IF(AND(I4640=""Positive"",REGEXMATCH(H4"&amp;"640,""মূর্খ|ভণ্ড|প্রতার|অলস|লোভ|স্বার্থ|অক্ষম|অযোগ্য|বোকা|কৃপণ|হিংস"")),""valence-target অমিল"",""""),IF(COUNTIF($B:$B,B4640)&gt;1,""ডুপ্লিকেট"",""""))"),"")</f>
        <v/>
      </c>
      <c r="Q4640" s="5" t="str">
        <f t="shared" si="1"/>
        <v>২ পরে</v>
      </c>
    </row>
    <row r="4641">
      <c r="A4641" s="4">
        <v>2468.0</v>
      </c>
      <c r="B4641" s="2" t="s">
        <v>19058</v>
      </c>
      <c r="C4641" s="2" t="s">
        <v>19059</v>
      </c>
      <c r="D4641" s="2" t="s">
        <v>19060</v>
      </c>
      <c r="E4641" s="2" t="s">
        <v>19061</v>
      </c>
      <c r="F4641" s="2" t="b">
        <v>1</v>
      </c>
      <c r="G4641" s="2" t="b">
        <v>0</v>
      </c>
      <c r="H4641" s="2" t="s">
        <v>37</v>
      </c>
      <c r="I4641" s="2" t="s">
        <v>32</v>
      </c>
      <c r="J4641" s="2" t="s">
        <v>1584</v>
      </c>
      <c r="K4641" s="2" t="s">
        <v>495</v>
      </c>
      <c r="L4641" s="13" t="s">
        <v>496</v>
      </c>
      <c r="M4641" s="2" t="s">
        <v>26</v>
      </c>
      <c r="N4641" s="29"/>
      <c r="O4641" s="29"/>
      <c r="P4641" s="5" t="str">
        <f>IFERROR(__xludf.DUMMYFUNCTION("TEXTJOIN("" | "",TRUE,IF(OR(D4641="""",E4641="""",I4641="""",J4641="""",H4641=""""),""ফাঁকা ঘর"",""""),IF(AND(C4641&lt;&gt;"""",D4641&lt;&gt;"""",C4641=D4641),""gloss=figurative"",""""),IF(LEN(D4641)&lt;15,""figurative ছোট"",""""),IF(AND(I4641=""Positive"",REGEXMATCH(H4"&amp;"641,""মূর্খ|ভণ্ড|প্রতার|অলস|লোভ|স্বার্থ|অক্ষম|অযোগ্য|বোকা|কৃপণ|হিংস"")),""valence-target অমিল"",""""),IF(COUNTIF($B:$B,B4641)&gt;1,""ডুপ্লিকেট"",""""))"),"")</f>
        <v/>
      </c>
      <c r="Q4641" s="5" t="str">
        <f t="shared" si="1"/>
        <v>২ পরে</v>
      </c>
    </row>
    <row r="4642">
      <c r="A4642" s="4">
        <v>2469.0</v>
      </c>
      <c r="B4642" s="2" t="s">
        <v>19062</v>
      </c>
      <c r="C4642" s="2" t="s">
        <v>19063</v>
      </c>
      <c r="D4642" s="2" t="s">
        <v>19064</v>
      </c>
      <c r="E4642" s="2" t="s">
        <v>19065</v>
      </c>
      <c r="F4642" s="2" t="b">
        <v>1</v>
      </c>
      <c r="G4642" s="2" t="b">
        <v>0</v>
      </c>
      <c r="H4642" s="2" t="s">
        <v>37</v>
      </c>
      <c r="I4642" s="2" t="s">
        <v>49</v>
      </c>
      <c r="J4642" s="2" t="s">
        <v>2732</v>
      </c>
      <c r="K4642" s="2" t="s">
        <v>495</v>
      </c>
      <c r="L4642" s="13" t="s">
        <v>496</v>
      </c>
      <c r="M4642" s="2" t="s">
        <v>26</v>
      </c>
      <c r="N4642" s="29"/>
      <c r="O4642" s="29"/>
      <c r="P4642" s="5" t="str">
        <f>IFERROR(__xludf.DUMMYFUNCTION("TEXTJOIN("" | "",TRUE,IF(OR(D4642="""",E4642="""",I4642="""",J4642="""",H4642=""""),""ফাঁকা ঘর"",""""),IF(AND(C4642&lt;&gt;"""",D4642&lt;&gt;"""",C4642=D4642),""gloss=figurative"",""""),IF(LEN(D4642)&lt;15,""figurative ছোট"",""""),IF(AND(I4642=""Positive"",REGEXMATCH(H4"&amp;"642,""মূর্খ|ভণ্ড|প্রতার|অলস|লোভ|স্বার্থ|অক্ষম|অযোগ্য|বোকা|কৃপণ|হিংস"")),""valence-target অমিল"",""""),IF(COUNTIF($B:$B,B4642)&gt;1,""ডুপ্লিকেট"",""""))"),"")</f>
        <v/>
      </c>
      <c r="Q4642" s="5" t="str">
        <f t="shared" si="1"/>
        <v>২ পরে</v>
      </c>
    </row>
    <row r="4643">
      <c r="A4643" s="4">
        <v>2470.0</v>
      </c>
      <c r="B4643" s="2" t="s">
        <v>19066</v>
      </c>
      <c r="C4643" s="2" t="s">
        <v>19067</v>
      </c>
      <c r="D4643" s="2" t="s">
        <v>19068</v>
      </c>
      <c r="E4643" s="2" t="s">
        <v>19069</v>
      </c>
      <c r="F4643" s="2" t="b">
        <v>1</v>
      </c>
      <c r="G4643" s="2" t="b">
        <v>0</v>
      </c>
      <c r="H4643" s="2" t="s">
        <v>37</v>
      </c>
      <c r="I4643" s="2" t="s">
        <v>32</v>
      </c>
      <c r="J4643" s="2" t="s">
        <v>814</v>
      </c>
      <c r="K4643" s="2" t="s">
        <v>495</v>
      </c>
      <c r="L4643" s="13" t="s">
        <v>496</v>
      </c>
      <c r="M4643" s="2" t="s">
        <v>26</v>
      </c>
      <c r="N4643" s="29"/>
      <c r="O4643" s="29"/>
      <c r="P4643" s="5" t="str">
        <f>IFERROR(__xludf.DUMMYFUNCTION("TEXTJOIN("" | "",TRUE,IF(OR(D4643="""",E4643="""",I4643="""",J4643="""",H4643=""""),""ফাঁকা ঘর"",""""),IF(AND(C4643&lt;&gt;"""",D4643&lt;&gt;"""",C4643=D4643),""gloss=figurative"",""""),IF(LEN(D4643)&lt;15,""figurative ছোট"",""""),IF(AND(I4643=""Positive"",REGEXMATCH(H4"&amp;"643,""মূর্খ|ভণ্ড|প্রতার|অলস|লোভ|স্বার্থ|অক্ষম|অযোগ্য|বোকা|কৃপণ|হিংস"")),""valence-target অমিল"",""""),IF(COUNTIF($B:$B,B4643)&gt;1,""ডুপ্লিকেট"",""""))"),"")</f>
        <v/>
      </c>
      <c r="Q4643" s="5" t="str">
        <f t="shared" si="1"/>
        <v>২ পরে</v>
      </c>
    </row>
    <row r="4644">
      <c r="A4644" s="4">
        <v>2471.0</v>
      </c>
      <c r="B4644" s="2" t="s">
        <v>19070</v>
      </c>
      <c r="C4644" s="2" t="s">
        <v>19071</v>
      </c>
      <c r="D4644" s="2" t="s">
        <v>19072</v>
      </c>
      <c r="E4644" s="2" t="s">
        <v>19073</v>
      </c>
      <c r="F4644" s="2" t="b">
        <v>1</v>
      </c>
      <c r="G4644" s="2" t="b">
        <v>0</v>
      </c>
      <c r="H4644" s="2" t="s">
        <v>8927</v>
      </c>
      <c r="I4644" s="2" t="s">
        <v>22</v>
      </c>
      <c r="J4644" s="2" t="s">
        <v>820</v>
      </c>
      <c r="K4644" s="2" t="s">
        <v>495</v>
      </c>
      <c r="L4644" s="13" t="s">
        <v>496</v>
      </c>
      <c r="M4644" s="2" t="s">
        <v>26</v>
      </c>
      <c r="N4644" s="29"/>
      <c r="O4644" s="29"/>
      <c r="P4644" s="5" t="str">
        <f>IFERROR(__xludf.DUMMYFUNCTION("TEXTJOIN("" | "",TRUE,IF(OR(D4644="""",E4644="""",I4644="""",J4644="""",H4644=""""),""ফাঁকা ঘর"",""""),IF(AND(C4644&lt;&gt;"""",D4644&lt;&gt;"""",C4644=D4644),""gloss=figurative"",""""),IF(LEN(D4644)&lt;15,""figurative ছোট"",""""),IF(AND(I4644=""Positive"",REGEXMATCH(H4"&amp;"644,""মূর্খ|ভণ্ড|প্রতার|অলস|লোভ|স্বার্থ|অক্ষম|অযোগ্য|বোকা|কৃপণ|হিংস"")),""valence-target অমিল"",""""),IF(COUNTIF($B:$B,B4644)&gt;1,""ডুপ্লিকেট"",""""))"),"")</f>
        <v/>
      </c>
      <c r="Q4644" s="5" t="str">
        <f t="shared" si="1"/>
        <v>২ পরে</v>
      </c>
    </row>
    <row r="4645">
      <c r="A4645" s="4">
        <v>2472.0</v>
      </c>
      <c r="B4645" s="2" t="s">
        <v>19074</v>
      </c>
      <c r="C4645" s="2" t="s">
        <v>19075</v>
      </c>
      <c r="D4645" s="2" t="s">
        <v>19076</v>
      </c>
      <c r="E4645" s="2" t="s">
        <v>19077</v>
      </c>
      <c r="F4645" s="2" t="b">
        <v>1</v>
      </c>
      <c r="G4645" s="2" t="b">
        <v>0</v>
      </c>
      <c r="H4645" s="2" t="s">
        <v>17490</v>
      </c>
      <c r="I4645" s="2" t="s">
        <v>22</v>
      </c>
      <c r="J4645" s="2" t="s">
        <v>640</v>
      </c>
      <c r="K4645" s="2" t="s">
        <v>495</v>
      </c>
      <c r="L4645" s="13" t="s">
        <v>496</v>
      </c>
      <c r="M4645" s="2" t="s">
        <v>26</v>
      </c>
      <c r="N4645" s="29"/>
      <c r="O4645" s="29"/>
      <c r="P4645" s="5" t="str">
        <f>IFERROR(__xludf.DUMMYFUNCTION("TEXTJOIN("" | "",TRUE,IF(OR(D4645="""",E4645="""",I4645="""",J4645="""",H4645=""""),""ফাঁকা ঘর"",""""),IF(AND(C4645&lt;&gt;"""",D4645&lt;&gt;"""",C4645=D4645),""gloss=figurative"",""""),IF(LEN(D4645)&lt;15,""figurative ছোট"",""""),IF(AND(I4645=""Positive"",REGEXMATCH(H4"&amp;"645,""মূর্খ|ভণ্ড|প্রতার|অলস|লোভ|স্বার্থ|অক্ষম|অযোগ্য|বোকা|কৃপণ|হিংস"")),""valence-target অমিল"",""""),IF(COUNTIF($B:$B,B4645)&gt;1,""ডুপ্লিকেট"",""""))"),"")</f>
        <v/>
      </c>
      <c r="Q4645" s="5" t="str">
        <f t="shared" si="1"/>
        <v>২ পরে</v>
      </c>
    </row>
    <row r="4646">
      <c r="A4646" s="4">
        <v>2473.0</v>
      </c>
      <c r="B4646" s="2" t="s">
        <v>19078</v>
      </c>
      <c r="C4646" s="2" t="s">
        <v>19079</v>
      </c>
      <c r="D4646" s="2" t="s">
        <v>19080</v>
      </c>
      <c r="E4646" s="2" t="s">
        <v>19081</v>
      </c>
      <c r="F4646" s="2" t="b">
        <v>1</v>
      </c>
      <c r="G4646" s="2" t="b">
        <v>0</v>
      </c>
      <c r="H4646" s="2" t="s">
        <v>37</v>
      </c>
      <c r="I4646" s="2" t="s">
        <v>32</v>
      </c>
      <c r="J4646" s="2" t="s">
        <v>1137</v>
      </c>
      <c r="K4646" s="2" t="s">
        <v>495</v>
      </c>
      <c r="L4646" s="13" t="s">
        <v>496</v>
      </c>
      <c r="M4646" s="2" t="s">
        <v>26</v>
      </c>
      <c r="N4646" s="29"/>
      <c r="O4646" s="29"/>
      <c r="P4646" s="5" t="str">
        <f>IFERROR(__xludf.DUMMYFUNCTION("TEXTJOIN("" | "",TRUE,IF(OR(D4646="""",E4646="""",I4646="""",J4646="""",H4646=""""),""ফাঁকা ঘর"",""""),IF(AND(C4646&lt;&gt;"""",D4646&lt;&gt;"""",C4646=D4646),""gloss=figurative"",""""),IF(LEN(D4646)&lt;15,""figurative ছোট"",""""),IF(AND(I4646=""Positive"",REGEXMATCH(H4"&amp;"646,""মূর্খ|ভণ্ড|প্রতার|অলস|লোভ|স্বার্থ|অক্ষম|অযোগ্য|বোকা|কৃপণ|হিংস"")),""valence-target অমিল"",""""),IF(COUNTIF($B:$B,B4646)&gt;1,""ডুপ্লিকেট"",""""))"),"")</f>
        <v/>
      </c>
      <c r="Q4646" s="5" t="str">
        <f t="shared" si="1"/>
        <v>২ পরে</v>
      </c>
    </row>
    <row r="4647">
      <c r="A4647" s="4">
        <v>2474.0</v>
      </c>
      <c r="B4647" s="2" t="s">
        <v>19082</v>
      </c>
      <c r="C4647" s="2" t="s">
        <v>19083</v>
      </c>
      <c r="D4647" s="2" t="s">
        <v>19084</v>
      </c>
      <c r="E4647" s="2" t="s">
        <v>19085</v>
      </c>
      <c r="F4647" s="2" t="b">
        <v>1</v>
      </c>
      <c r="G4647" s="2" t="b">
        <v>0</v>
      </c>
      <c r="H4647" s="2" t="s">
        <v>19086</v>
      </c>
      <c r="I4647" s="2" t="s">
        <v>22</v>
      </c>
      <c r="J4647" s="2" t="s">
        <v>3327</v>
      </c>
      <c r="K4647" s="2" t="s">
        <v>495</v>
      </c>
      <c r="L4647" s="13" t="s">
        <v>496</v>
      </c>
      <c r="M4647" s="2" t="s">
        <v>26</v>
      </c>
      <c r="N4647" s="29"/>
      <c r="O4647" s="29"/>
      <c r="P4647" s="5" t="str">
        <f>IFERROR(__xludf.DUMMYFUNCTION("TEXTJOIN("" | "",TRUE,IF(OR(D4647="""",E4647="""",I4647="""",J4647="""",H4647=""""),""ফাঁকা ঘর"",""""),IF(AND(C4647&lt;&gt;"""",D4647&lt;&gt;"""",C4647=D4647),""gloss=figurative"",""""),IF(LEN(D4647)&lt;15,""figurative ছোট"",""""),IF(AND(I4647=""Positive"",REGEXMATCH(H4"&amp;"647,""মূর্খ|ভণ্ড|প্রতার|অলস|লোভ|স্বার্থ|অক্ষম|অযোগ্য|বোকা|কৃপণ|হিংস"")),""valence-target অমিল"",""""),IF(COUNTIF($B:$B,B4647)&gt;1,""ডুপ্লিকেট"",""""))"),"")</f>
        <v/>
      </c>
      <c r="Q4647" s="5" t="str">
        <f t="shared" si="1"/>
        <v>২ পরে</v>
      </c>
    </row>
    <row r="4648">
      <c r="A4648" s="4">
        <v>2475.0</v>
      </c>
      <c r="B4648" s="2" t="s">
        <v>19087</v>
      </c>
      <c r="C4648" s="2" t="s">
        <v>19088</v>
      </c>
      <c r="D4648" s="2" t="s">
        <v>19089</v>
      </c>
      <c r="E4648" s="2" t="s">
        <v>19090</v>
      </c>
      <c r="F4648" s="2" t="b">
        <v>1</v>
      </c>
      <c r="G4648" s="2" t="b">
        <v>0</v>
      </c>
      <c r="H4648" s="2" t="s">
        <v>19091</v>
      </c>
      <c r="I4648" s="2" t="s">
        <v>32</v>
      </c>
      <c r="J4648" s="2" t="s">
        <v>3327</v>
      </c>
      <c r="K4648" s="2" t="s">
        <v>495</v>
      </c>
      <c r="L4648" s="13" t="s">
        <v>496</v>
      </c>
      <c r="M4648" s="2" t="s">
        <v>26</v>
      </c>
      <c r="N4648" s="29"/>
      <c r="O4648" s="29"/>
      <c r="P4648" s="5" t="str">
        <f>IFERROR(__xludf.DUMMYFUNCTION("TEXTJOIN("" | "",TRUE,IF(OR(D4648="""",E4648="""",I4648="""",J4648="""",H4648=""""),""ফাঁকা ঘর"",""""),IF(AND(C4648&lt;&gt;"""",D4648&lt;&gt;"""",C4648=D4648),""gloss=figurative"",""""),IF(LEN(D4648)&lt;15,""figurative ছোট"",""""),IF(AND(I4648=""Positive"",REGEXMATCH(H4"&amp;"648,""মূর্খ|ভণ্ড|প্রতার|অলস|লোভ|স্বার্থ|অক্ষম|অযোগ্য|বোকা|কৃপণ|হিংস"")),""valence-target অমিল"",""""),IF(COUNTIF($B:$B,B4648)&gt;1,""ডুপ্লিকেট"",""""))"),"")</f>
        <v/>
      </c>
      <c r="Q4648" s="5" t="str">
        <f t="shared" si="1"/>
        <v>২ পরে</v>
      </c>
    </row>
    <row r="4649">
      <c r="A4649" s="4">
        <v>2476.0</v>
      </c>
      <c r="B4649" s="2" t="s">
        <v>19092</v>
      </c>
      <c r="C4649" s="2" t="s">
        <v>19092</v>
      </c>
      <c r="D4649" s="2" t="s">
        <v>19093</v>
      </c>
      <c r="E4649" s="2" t="s">
        <v>19094</v>
      </c>
      <c r="F4649" s="2" t="b">
        <v>1</v>
      </c>
      <c r="G4649" s="2" t="b">
        <v>0</v>
      </c>
      <c r="H4649" s="2" t="s">
        <v>18896</v>
      </c>
      <c r="I4649" s="2" t="s">
        <v>32</v>
      </c>
      <c r="J4649" s="2" t="s">
        <v>413</v>
      </c>
      <c r="K4649" s="2" t="s">
        <v>495</v>
      </c>
      <c r="L4649" s="13" t="s">
        <v>496</v>
      </c>
      <c r="M4649" s="2" t="s">
        <v>26</v>
      </c>
      <c r="N4649" s="29"/>
      <c r="O4649" s="29"/>
      <c r="P4649" s="5" t="str">
        <f>IFERROR(__xludf.DUMMYFUNCTION("TEXTJOIN("" | "",TRUE,IF(OR(D4649="""",E4649="""",I4649="""",J4649="""",H4649=""""),""ফাঁকা ঘর"",""""),IF(AND(C4649&lt;&gt;"""",D4649&lt;&gt;"""",C4649=D4649),""gloss=figurative"",""""),IF(LEN(D4649)&lt;15,""figurative ছোট"",""""),IF(AND(I4649=""Positive"",REGEXMATCH(H4"&amp;"649,""মূর্খ|ভণ্ড|প্রতার|অলস|লোভ|স্বার্থ|অক্ষম|অযোগ্য|বোকা|কৃপণ|হিংস"")),""valence-target অমিল"",""""),IF(COUNTIF($B:$B,B4649)&gt;1,""ডুপ্লিকেট"",""""))"),"")</f>
        <v/>
      </c>
      <c r="Q4649" s="5" t="str">
        <f t="shared" si="1"/>
        <v>২ পরে</v>
      </c>
    </row>
    <row r="4650">
      <c r="A4650" s="4">
        <v>2477.0</v>
      </c>
      <c r="B4650" s="2" t="s">
        <v>19095</v>
      </c>
      <c r="C4650" s="2" t="s">
        <v>19096</v>
      </c>
      <c r="D4650" s="2" t="s">
        <v>19097</v>
      </c>
      <c r="E4650" s="2" t="s">
        <v>19098</v>
      </c>
      <c r="F4650" s="2" t="b">
        <v>1</v>
      </c>
      <c r="G4650" s="2" t="b">
        <v>0</v>
      </c>
      <c r="H4650" s="2" t="s">
        <v>19099</v>
      </c>
      <c r="I4650" s="2" t="s">
        <v>22</v>
      </c>
      <c r="J4650" s="2" t="s">
        <v>447</v>
      </c>
      <c r="K4650" s="2" t="s">
        <v>495</v>
      </c>
      <c r="L4650" s="13" t="s">
        <v>496</v>
      </c>
      <c r="M4650" s="2" t="s">
        <v>26</v>
      </c>
      <c r="N4650" s="29"/>
      <c r="O4650" s="29"/>
      <c r="P4650" s="5" t="str">
        <f>IFERROR(__xludf.DUMMYFUNCTION("TEXTJOIN("" | "",TRUE,IF(OR(D4650="""",E4650="""",I4650="""",J4650="""",H4650=""""),""ফাঁকা ঘর"",""""),IF(AND(C4650&lt;&gt;"""",D4650&lt;&gt;"""",C4650=D4650),""gloss=figurative"",""""),IF(LEN(D4650)&lt;15,""figurative ছোট"",""""),IF(AND(I4650=""Positive"",REGEXMATCH(H4"&amp;"650,""মূর্খ|ভণ্ড|প্রতার|অলস|লোভ|স্বার্থ|অক্ষম|অযোগ্য|বোকা|কৃপণ|হিংস"")),""valence-target অমিল"",""""),IF(COUNTIF($B:$B,B4650)&gt;1,""ডুপ্লিকেট"",""""))"),"")</f>
        <v/>
      </c>
      <c r="Q4650" s="5" t="str">
        <f t="shared" si="1"/>
        <v>২ পরে</v>
      </c>
    </row>
    <row r="4651">
      <c r="A4651" s="4">
        <v>2478.0</v>
      </c>
      <c r="B4651" s="2" t="s">
        <v>19100</v>
      </c>
      <c r="C4651" s="2" t="s">
        <v>19100</v>
      </c>
      <c r="D4651" s="2" t="s">
        <v>19101</v>
      </c>
      <c r="E4651" s="2" t="s">
        <v>19102</v>
      </c>
      <c r="F4651" s="2" t="b">
        <v>1</v>
      </c>
      <c r="G4651" s="2" t="b">
        <v>0</v>
      </c>
      <c r="H4651" s="2" t="s">
        <v>37</v>
      </c>
      <c r="I4651" s="2" t="s">
        <v>32</v>
      </c>
      <c r="J4651" s="2" t="s">
        <v>601</v>
      </c>
      <c r="K4651" s="2" t="s">
        <v>495</v>
      </c>
      <c r="L4651" s="13" t="s">
        <v>496</v>
      </c>
      <c r="M4651" s="2" t="s">
        <v>26</v>
      </c>
      <c r="N4651" s="29"/>
      <c r="O4651" s="29"/>
      <c r="P4651" s="5" t="str">
        <f>IFERROR(__xludf.DUMMYFUNCTION("TEXTJOIN("" | "",TRUE,IF(OR(D4651="""",E4651="""",I4651="""",J4651="""",H4651=""""),""ফাঁকা ঘর"",""""),IF(AND(C4651&lt;&gt;"""",D4651&lt;&gt;"""",C4651=D4651),""gloss=figurative"",""""),IF(LEN(D4651)&lt;15,""figurative ছোট"",""""),IF(AND(I4651=""Positive"",REGEXMATCH(H4"&amp;"651,""মূর্খ|ভণ্ড|প্রতার|অলস|লোভ|স্বার্থ|অক্ষম|অযোগ্য|বোকা|কৃপণ|হিংস"")),""valence-target অমিল"",""""),IF(COUNTIF($B:$B,B4651)&gt;1,""ডুপ্লিকেট"",""""))"),"")</f>
        <v/>
      </c>
      <c r="Q4651" s="5" t="str">
        <f t="shared" si="1"/>
        <v>২ পরে</v>
      </c>
    </row>
    <row r="4652">
      <c r="A4652" s="4">
        <v>2479.0</v>
      </c>
      <c r="B4652" s="2" t="s">
        <v>19103</v>
      </c>
      <c r="C4652" s="2" t="s">
        <v>19104</v>
      </c>
      <c r="D4652" s="2" t="s">
        <v>19105</v>
      </c>
      <c r="E4652" s="2" t="s">
        <v>19106</v>
      </c>
      <c r="F4652" s="2" t="b">
        <v>1</v>
      </c>
      <c r="G4652" s="2" t="b">
        <v>0</v>
      </c>
      <c r="H4652" s="2" t="s">
        <v>37</v>
      </c>
      <c r="I4652" s="2" t="s">
        <v>32</v>
      </c>
      <c r="J4652" s="2" t="s">
        <v>2040</v>
      </c>
      <c r="K4652" s="2" t="s">
        <v>495</v>
      </c>
      <c r="L4652" s="13" t="s">
        <v>496</v>
      </c>
      <c r="M4652" s="2" t="s">
        <v>26</v>
      </c>
      <c r="N4652" s="29"/>
      <c r="O4652" s="29"/>
      <c r="P4652" s="5" t="str">
        <f>IFERROR(__xludf.DUMMYFUNCTION("TEXTJOIN("" | "",TRUE,IF(OR(D4652="""",E4652="""",I4652="""",J4652="""",H4652=""""),""ফাঁকা ঘর"",""""),IF(AND(C4652&lt;&gt;"""",D4652&lt;&gt;"""",C4652=D4652),""gloss=figurative"",""""),IF(LEN(D4652)&lt;15,""figurative ছোট"",""""),IF(AND(I4652=""Positive"",REGEXMATCH(H4"&amp;"652,""মূর্খ|ভণ্ড|প্রতার|অলস|লোভ|স্বার্থ|অক্ষম|অযোগ্য|বোকা|কৃপণ|হিংস"")),""valence-target অমিল"",""""),IF(COUNTIF($B:$B,B4652)&gt;1,""ডুপ্লিকেট"",""""))"),"")</f>
        <v/>
      </c>
      <c r="Q4652" s="5" t="str">
        <f t="shared" si="1"/>
        <v>২ পরে</v>
      </c>
    </row>
    <row r="4653">
      <c r="A4653" s="4">
        <v>2480.0</v>
      </c>
      <c r="B4653" s="2" t="s">
        <v>19107</v>
      </c>
      <c r="C4653" s="2" t="s">
        <v>19108</v>
      </c>
      <c r="D4653" s="2" t="s">
        <v>19109</v>
      </c>
      <c r="E4653" s="2" t="s">
        <v>19110</v>
      </c>
      <c r="F4653" s="2" t="b">
        <v>1</v>
      </c>
      <c r="G4653" s="2" t="b">
        <v>0</v>
      </c>
      <c r="H4653" s="2" t="s">
        <v>6019</v>
      </c>
      <c r="I4653" s="2" t="s">
        <v>49</v>
      </c>
      <c r="J4653" s="2" t="s">
        <v>2040</v>
      </c>
      <c r="K4653" s="2" t="s">
        <v>495</v>
      </c>
      <c r="L4653" s="13" t="s">
        <v>496</v>
      </c>
      <c r="M4653" s="2" t="s">
        <v>26</v>
      </c>
      <c r="N4653" s="29"/>
      <c r="O4653" s="29"/>
      <c r="P4653" s="5" t="str">
        <f>IFERROR(__xludf.DUMMYFUNCTION("TEXTJOIN("" | "",TRUE,IF(OR(D4653="""",E4653="""",I4653="""",J4653="""",H4653=""""),""ফাঁকা ঘর"",""""),IF(AND(C4653&lt;&gt;"""",D4653&lt;&gt;"""",C4653=D4653),""gloss=figurative"",""""),IF(LEN(D4653)&lt;15,""figurative ছোট"",""""),IF(AND(I4653=""Positive"",REGEXMATCH(H4"&amp;"653,""মূর্খ|ভণ্ড|প্রতার|অলস|লোভ|স্বার্থ|অক্ষম|অযোগ্য|বোকা|কৃপণ|হিংস"")),""valence-target অমিল"",""""),IF(COUNTIF($B:$B,B4653)&gt;1,""ডুপ্লিকেট"",""""))"),"")</f>
        <v/>
      </c>
      <c r="Q4653" s="5" t="str">
        <f t="shared" si="1"/>
        <v>২ পরে</v>
      </c>
    </row>
    <row r="4654">
      <c r="A4654" s="4">
        <v>2481.0</v>
      </c>
      <c r="B4654" s="2" t="s">
        <v>19111</v>
      </c>
      <c r="C4654" s="2" t="s">
        <v>19112</v>
      </c>
      <c r="D4654" s="2" t="s">
        <v>19113</v>
      </c>
      <c r="E4654" s="2" t="s">
        <v>19114</v>
      </c>
      <c r="F4654" s="2" t="b">
        <v>1</v>
      </c>
      <c r="G4654" s="2" t="b">
        <v>0</v>
      </c>
      <c r="H4654" s="2" t="s">
        <v>19115</v>
      </c>
      <c r="I4654" s="2" t="s">
        <v>32</v>
      </c>
      <c r="J4654" s="2" t="s">
        <v>3105</v>
      </c>
      <c r="K4654" s="2" t="s">
        <v>495</v>
      </c>
      <c r="L4654" s="13" t="s">
        <v>496</v>
      </c>
      <c r="M4654" s="2" t="s">
        <v>26</v>
      </c>
      <c r="N4654" s="29"/>
      <c r="O4654" s="29"/>
      <c r="P4654" s="5" t="str">
        <f>IFERROR(__xludf.DUMMYFUNCTION("TEXTJOIN("" | "",TRUE,IF(OR(D4654="""",E4654="""",I4654="""",J4654="""",H4654=""""),""ফাঁকা ঘর"",""""),IF(AND(C4654&lt;&gt;"""",D4654&lt;&gt;"""",C4654=D4654),""gloss=figurative"",""""),IF(LEN(D4654)&lt;15,""figurative ছোট"",""""),IF(AND(I4654=""Positive"",REGEXMATCH(H4"&amp;"654,""মূর্খ|ভণ্ড|প্রতার|অলস|লোভ|স্বার্থ|অক্ষম|অযোগ্য|বোকা|কৃপণ|হিংস"")),""valence-target অমিল"",""""),IF(COUNTIF($B:$B,B4654)&gt;1,""ডুপ্লিকেট"",""""))"),"")</f>
        <v/>
      </c>
      <c r="Q4654" s="5" t="str">
        <f t="shared" si="1"/>
        <v>২ পরে</v>
      </c>
    </row>
    <row r="4655">
      <c r="A4655" s="4">
        <v>2482.0</v>
      </c>
      <c r="B4655" s="2" t="s">
        <v>19116</v>
      </c>
      <c r="C4655" s="2" t="s">
        <v>19117</v>
      </c>
      <c r="D4655" s="2" t="s">
        <v>19118</v>
      </c>
      <c r="E4655" s="2" t="s">
        <v>19119</v>
      </c>
      <c r="F4655" s="2" t="b">
        <v>1</v>
      </c>
      <c r="G4655" s="2" t="b">
        <v>0</v>
      </c>
      <c r="H4655" s="2" t="s">
        <v>13670</v>
      </c>
      <c r="I4655" s="2" t="s">
        <v>22</v>
      </c>
      <c r="J4655" s="2" t="s">
        <v>3105</v>
      </c>
      <c r="K4655" s="2" t="s">
        <v>495</v>
      </c>
      <c r="L4655" s="13" t="s">
        <v>496</v>
      </c>
      <c r="M4655" s="2" t="s">
        <v>26</v>
      </c>
      <c r="N4655" s="29"/>
      <c r="O4655" s="29"/>
      <c r="P4655" s="5" t="str">
        <f>IFERROR(__xludf.DUMMYFUNCTION("TEXTJOIN("" | "",TRUE,IF(OR(D4655="""",E4655="""",I4655="""",J4655="""",H4655=""""),""ফাঁকা ঘর"",""""),IF(AND(C4655&lt;&gt;"""",D4655&lt;&gt;"""",C4655=D4655),""gloss=figurative"",""""),IF(LEN(D4655)&lt;15,""figurative ছোট"",""""),IF(AND(I4655=""Positive"",REGEXMATCH(H4"&amp;"655,""মূর্খ|ভণ্ড|প্রতার|অলস|লোভ|স্বার্থ|অক্ষম|অযোগ্য|বোকা|কৃপণ|হিংস"")),""valence-target অমিল"",""""),IF(COUNTIF($B:$B,B4655)&gt;1,""ডুপ্লিকেট"",""""))"),"")</f>
        <v/>
      </c>
      <c r="Q4655" s="5" t="str">
        <f t="shared" si="1"/>
        <v>২ পরে</v>
      </c>
    </row>
    <row r="4656">
      <c r="A4656" s="4">
        <v>2483.0</v>
      </c>
      <c r="B4656" s="2" t="s">
        <v>19120</v>
      </c>
      <c r="C4656" s="2" t="s">
        <v>19121</v>
      </c>
      <c r="D4656" s="2" t="s">
        <v>19122</v>
      </c>
      <c r="E4656" s="2" t="s">
        <v>19123</v>
      </c>
      <c r="F4656" s="2" t="b">
        <v>1</v>
      </c>
      <c r="G4656" s="2" t="b">
        <v>1</v>
      </c>
      <c r="H4656" s="2" t="s">
        <v>1211</v>
      </c>
      <c r="I4656" s="2" t="s">
        <v>49</v>
      </c>
      <c r="J4656" s="2" t="s">
        <v>1798</v>
      </c>
      <c r="K4656" s="2" t="s">
        <v>495</v>
      </c>
      <c r="L4656" s="13" t="s">
        <v>496</v>
      </c>
      <c r="M4656" s="2" t="s">
        <v>26</v>
      </c>
      <c r="N4656" s="29"/>
      <c r="O4656" s="29"/>
      <c r="P4656" s="5" t="str">
        <f>IFERROR(__xludf.DUMMYFUNCTION("TEXTJOIN("" | "",TRUE,IF(OR(D4656="""",E4656="""",I4656="""",J4656="""",H4656=""""),""ফাঁকা ঘর"",""""),IF(AND(C4656&lt;&gt;"""",D4656&lt;&gt;"""",C4656=D4656),""gloss=figurative"",""""),IF(LEN(D4656)&lt;15,""figurative ছোট"",""""),IF(AND(I4656=""Positive"",REGEXMATCH(H4"&amp;"656,""মূর্খ|ভণ্ড|প্রতার|অলস|লোভ|স্বার্থ|অক্ষম|অযোগ্য|বোকা|কৃপণ|হিংস"")),""valence-target অমিল"",""""),IF(COUNTIF($B:$B,B4656)&gt;1,""ডুপ্লিকেট"",""""))"),"")</f>
        <v/>
      </c>
      <c r="Q4656" s="5" t="str">
        <f t="shared" si="1"/>
        <v>২ পরে</v>
      </c>
    </row>
    <row r="4657">
      <c r="A4657" s="4">
        <v>2484.0</v>
      </c>
      <c r="B4657" s="2" t="s">
        <v>19124</v>
      </c>
      <c r="C4657" s="2" t="s">
        <v>19125</v>
      </c>
      <c r="D4657" s="2" t="s">
        <v>19126</v>
      </c>
      <c r="E4657" s="2" t="s">
        <v>19127</v>
      </c>
      <c r="F4657" s="2" t="b">
        <v>1</v>
      </c>
      <c r="G4657" s="2" t="b">
        <v>0</v>
      </c>
      <c r="H4657" s="2" t="s">
        <v>37</v>
      </c>
      <c r="I4657" s="2" t="s">
        <v>32</v>
      </c>
      <c r="J4657" s="2" t="s">
        <v>4067</v>
      </c>
      <c r="K4657" s="2" t="s">
        <v>495</v>
      </c>
      <c r="L4657" s="13" t="s">
        <v>496</v>
      </c>
      <c r="M4657" s="2" t="s">
        <v>26</v>
      </c>
      <c r="N4657" s="29"/>
      <c r="O4657" s="29"/>
      <c r="P4657" s="5" t="str">
        <f>IFERROR(__xludf.DUMMYFUNCTION("TEXTJOIN("" | "",TRUE,IF(OR(D4657="""",E4657="""",I4657="""",J4657="""",H4657=""""),""ফাঁকা ঘর"",""""),IF(AND(C4657&lt;&gt;"""",D4657&lt;&gt;"""",C4657=D4657),""gloss=figurative"",""""),IF(LEN(D4657)&lt;15,""figurative ছোট"",""""),IF(AND(I4657=""Positive"",REGEXMATCH(H4"&amp;"657,""মূর্খ|ভণ্ড|প্রতার|অলস|লোভ|স্বার্থ|অক্ষম|অযোগ্য|বোকা|কৃপণ|হিংস"")),""valence-target অমিল"",""""),IF(COUNTIF($B:$B,B4657)&gt;1,""ডুপ্লিকেট"",""""))"),"")</f>
        <v/>
      </c>
      <c r="Q4657" s="5" t="str">
        <f t="shared" si="1"/>
        <v>২ পরে</v>
      </c>
    </row>
    <row r="4658">
      <c r="A4658" s="4">
        <v>2485.0</v>
      </c>
      <c r="B4658" s="2" t="s">
        <v>19128</v>
      </c>
      <c r="C4658" s="2" t="s">
        <v>19129</v>
      </c>
      <c r="D4658" s="2" t="s">
        <v>19130</v>
      </c>
      <c r="E4658" s="2" t="s">
        <v>19131</v>
      </c>
      <c r="F4658" s="2" t="b">
        <v>1</v>
      </c>
      <c r="G4658" s="2" t="b">
        <v>0</v>
      </c>
      <c r="H4658" s="2" t="s">
        <v>19132</v>
      </c>
      <c r="I4658" s="2" t="s">
        <v>49</v>
      </c>
      <c r="J4658" s="2" t="s">
        <v>2040</v>
      </c>
      <c r="K4658" s="2" t="s">
        <v>495</v>
      </c>
      <c r="L4658" s="13" t="s">
        <v>496</v>
      </c>
      <c r="M4658" s="2" t="s">
        <v>26</v>
      </c>
      <c r="N4658" s="29"/>
      <c r="O4658" s="29"/>
      <c r="P4658" s="5" t="str">
        <f>IFERROR(__xludf.DUMMYFUNCTION("TEXTJOIN("" | "",TRUE,IF(OR(D4658="""",E4658="""",I4658="""",J4658="""",H4658=""""),""ফাঁকা ঘর"",""""),IF(AND(C4658&lt;&gt;"""",D4658&lt;&gt;"""",C4658=D4658),""gloss=figurative"",""""),IF(LEN(D4658)&lt;15,""figurative ছোট"",""""),IF(AND(I4658=""Positive"",REGEXMATCH(H4"&amp;"658,""মূর্খ|ভণ্ড|প্রতার|অলস|লোভ|স্বার্থ|অক্ষম|অযোগ্য|বোকা|কৃপণ|হিংস"")),""valence-target অমিল"",""""),IF(COUNTIF($B:$B,B4658)&gt;1,""ডুপ্লিকেট"",""""))"),"")</f>
        <v/>
      </c>
      <c r="Q4658" s="5" t="str">
        <f t="shared" si="1"/>
        <v>২ পরে</v>
      </c>
    </row>
    <row r="4659">
      <c r="A4659" s="4">
        <v>2486.0</v>
      </c>
      <c r="B4659" s="2" t="s">
        <v>19133</v>
      </c>
      <c r="C4659" s="2" t="s">
        <v>19134</v>
      </c>
      <c r="D4659" s="2" t="s">
        <v>19135</v>
      </c>
      <c r="E4659" s="2" t="s">
        <v>19136</v>
      </c>
      <c r="F4659" s="2" t="b">
        <v>1</v>
      </c>
      <c r="G4659" s="2" t="b">
        <v>0</v>
      </c>
      <c r="H4659" s="2" t="s">
        <v>37</v>
      </c>
      <c r="I4659" s="2" t="s">
        <v>49</v>
      </c>
      <c r="J4659" s="2" t="s">
        <v>2040</v>
      </c>
      <c r="K4659" s="2" t="s">
        <v>495</v>
      </c>
      <c r="L4659" s="13" t="s">
        <v>496</v>
      </c>
      <c r="M4659" s="2" t="s">
        <v>26</v>
      </c>
      <c r="N4659" s="29"/>
      <c r="O4659" s="29"/>
      <c r="P4659" s="5" t="str">
        <f>IFERROR(__xludf.DUMMYFUNCTION("TEXTJOIN("" | "",TRUE,IF(OR(D4659="""",E4659="""",I4659="""",J4659="""",H4659=""""),""ফাঁকা ঘর"",""""),IF(AND(C4659&lt;&gt;"""",D4659&lt;&gt;"""",C4659=D4659),""gloss=figurative"",""""),IF(LEN(D4659)&lt;15,""figurative ছোট"",""""),IF(AND(I4659=""Positive"",REGEXMATCH(H4"&amp;"659,""মূর্খ|ভণ্ড|প্রতার|অলস|লোভ|স্বার্থ|অক্ষম|অযোগ্য|বোকা|কৃপণ|হিংস"")),""valence-target অমিল"",""""),IF(COUNTIF($B:$B,B4659)&gt;1,""ডুপ্লিকেট"",""""))"),"")</f>
        <v/>
      </c>
      <c r="Q4659" s="5" t="str">
        <f t="shared" si="1"/>
        <v>২ পরে</v>
      </c>
    </row>
    <row r="4660">
      <c r="A4660" s="4">
        <v>2487.0</v>
      </c>
      <c r="B4660" s="2" t="s">
        <v>19137</v>
      </c>
      <c r="C4660" s="2" t="s">
        <v>19138</v>
      </c>
      <c r="D4660" s="2" t="s">
        <v>19139</v>
      </c>
      <c r="E4660" s="2" t="s">
        <v>19140</v>
      </c>
      <c r="F4660" s="2" t="b">
        <v>1</v>
      </c>
      <c r="G4660" s="2" t="b">
        <v>0</v>
      </c>
      <c r="H4660" s="2" t="s">
        <v>37</v>
      </c>
      <c r="I4660" s="2" t="s">
        <v>32</v>
      </c>
      <c r="J4660" s="2" t="s">
        <v>502</v>
      </c>
      <c r="K4660" s="2" t="s">
        <v>495</v>
      </c>
      <c r="L4660" s="13" t="s">
        <v>496</v>
      </c>
      <c r="M4660" s="2" t="s">
        <v>26</v>
      </c>
      <c r="N4660" s="29"/>
      <c r="O4660" s="29"/>
      <c r="P4660" s="5" t="str">
        <f>IFERROR(__xludf.DUMMYFUNCTION("TEXTJOIN("" | "",TRUE,IF(OR(D4660="""",E4660="""",I4660="""",J4660="""",H4660=""""),""ফাঁকা ঘর"",""""),IF(AND(C4660&lt;&gt;"""",D4660&lt;&gt;"""",C4660=D4660),""gloss=figurative"",""""),IF(LEN(D4660)&lt;15,""figurative ছোট"",""""),IF(AND(I4660=""Positive"",REGEXMATCH(H4"&amp;"660,""মূর্খ|ভণ্ড|প্রতার|অলস|লোভ|স্বার্থ|অক্ষম|অযোগ্য|বোকা|কৃপণ|হিংস"")),""valence-target অমিল"",""""),IF(COUNTIF($B:$B,B4660)&gt;1,""ডুপ্লিকেট"",""""))"),"")</f>
        <v/>
      </c>
      <c r="Q4660" s="5" t="str">
        <f t="shared" si="1"/>
        <v>২ পরে</v>
      </c>
    </row>
    <row r="4661">
      <c r="A4661" s="4">
        <v>2488.0</v>
      </c>
      <c r="B4661" s="2" t="s">
        <v>19141</v>
      </c>
      <c r="C4661" s="2" t="s">
        <v>19142</v>
      </c>
      <c r="D4661" s="2" t="s">
        <v>19040</v>
      </c>
      <c r="E4661" s="2" t="s">
        <v>19143</v>
      </c>
      <c r="F4661" s="2" t="b">
        <v>1</v>
      </c>
      <c r="G4661" s="2" t="b">
        <v>0</v>
      </c>
      <c r="H4661" s="2" t="s">
        <v>37</v>
      </c>
      <c r="I4661" s="2" t="s">
        <v>32</v>
      </c>
      <c r="J4661" s="2" t="s">
        <v>231</v>
      </c>
      <c r="K4661" s="2" t="s">
        <v>495</v>
      </c>
      <c r="L4661" s="13" t="s">
        <v>496</v>
      </c>
      <c r="M4661" s="2" t="s">
        <v>26</v>
      </c>
      <c r="N4661" s="29"/>
      <c r="O4661" s="29"/>
      <c r="P4661" s="5" t="str">
        <f>IFERROR(__xludf.DUMMYFUNCTION("TEXTJOIN("" | "",TRUE,IF(OR(D4661="""",E4661="""",I4661="""",J4661="""",H4661=""""),""ফাঁকা ঘর"",""""),IF(AND(C4661&lt;&gt;"""",D4661&lt;&gt;"""",C4661=D4661),""gloss=figurative"",""""),IF(LEN(D4661)&lt;15,""figurative ছোট"",""""),IF(AND(I4661=""Positive"",REGEXMATCH(H4"&amp;"661,""মূর্খ|ভণ্ড|প্রতার|অলস|লোভ|স্বার্থ|অক্ষম|অযোগ্য|বোকা|কৃপণ|হিংস"")),""valence-target অমিল"",""""),IF(COUNTIF($B:$B,B4661)&gt;1,""ডুপ্লিকেট"",""""))"),"")</f>
        <v/>
      </c>
      <c r="Q4661" s="5" t="str">
        <f t="shared" si="1"/>
        <v>২ পরে</v>
      </c>
    </row>
    <row r="4662">
      <c r="A4662" s="4">
        <v>2489.0</v>
      </c>
      <c r="B4662" s="2" t="s">
        <v>19144</v>
      </c>
      <c r="C4662" s="2" t="s">
        <v>19145</v>
      </c>
      <c r="D4662" s="2" t="s">
        <v>19146</v>
      </c>
      <c r="E4662" s="2" t="s">
        <v>19147</v>
      </c>
      <c r="F4662" s="2" t="b">
        <v>1</v>
      </c>
      <c r="G4662" s="2" t="b">
        <v>0</v>
      </c>
      <c r="H4662" s="2" t="s">
        <v>37</v>
      </c>
      <c r="I4662" s="2" t="s">
        <v>22</v>
      </c>
      <c r="J4662" s="2" t="s">
        <v>548</v>
      </c>
      <c r="K4662" s="2" t="s">
        <v>495</v>
      </c>
      <c r="L4662" s="13" t="s">
        <v>496</v>
      </c>
      <c r="M4662" s="2" t="s">
        <v>26</v>
      </c>
      <c r="N4662" s="29"/>
      <c r="O4662" s="29"/>
      <c r="P4662" s="5" t="str">
        <f>IFERROR(__xludf.DUMMYFUNCTION("TEXTJOIN("" | "",TRUE,IF(OR(D4662="""",E4662="""",I4662="""",J4662="""",H4662=""""),""ফাঁকা ঘর"",""""),IF(AND(C4662&lt;&gt;"""",D4662&lt;&gt;"""",C4662=D4662),""gloss=figurative"",""""),IF(LEN(D4662)&lt;15,""figurative ছোট"",""""),IF(AND(I4662=""Positive"",REGEXMATCH(H4"&amp;"662,""মূর্খ|ভণ্ড|প্রতার|অলস|লোভ|স্বার্থ|অক্ষম|অযোগ্য|বোকা|কৃপণ|হিংস"")),""valence-target অমিল"",""""),IF(COUNTIF($B:$B,B4662)&gt;1,""ডুপ্লিকেট"",""""))"),"")</f>
        <v/>
      </c>
      <c r="Q4662" s="5" t="str">
        <f t="shared" si="1"/>
        <v>২ পরে</v>
      </c>
    </row>
    <row r="4663">
      <c r="A4663" s="4">
        <v>2490.0</v>
      </c>
      <c r="B4663" s="2" t="s">
        <v>19148</v>
      </c>
      <c r="C4663" s="2" t="s">
        <v>19149</v>
      </c>
      <c r="D4663" s="2" t="s">
        <v>19150</v>
      </c>
      <c r="E4663" s="2" t="s">
        <v>19151</v>
      </c>
      <c r="F4663" s="2" t="b">
        <v>1</v>
      </c>
      <c r="G4663" s="2" t="b">
        <v>0</v>
      </c>
      <c r="H4663" s="2" t="s">
        <v>37</v>
      </c>
      <c r="I4663" s="2" t="s">
        <v>32</v>
      </c>
      <c r="J4663" s="2" t="s">
        <v>19152</v>
      </c>
      <c r="K4663" s="2" t="s">
        <v>495</v>
      </c>
      <c r="L4663" s="13" t="s">
        <v>496</v>
      </c>
      <c r="M4663" s="2" t="s">
        <v>26</v>
      </c>
      <c r="N4663" s="29"/>
      <c r="O4663" s="29"/>
      <c r="P4663" s="5" t="str">
        <f>IFERROR(__xludf.DUMMYFUNCTION("TEXTJOIN("" | "",TRUE,IF(OR(D4663="""",E4663="""",I4663="""",J4663="""",H4663=""""),""ফাঁকা ঘর"",""""),IF(AND(C4663&lt;&gt;"""",D4663&lt;&gt;"""",C4663=D4663),""gloss=figurative"",""""),IF(LEN(D4663)&lt;15,""figurative ছোট"",""""),IF(AND(I4663=""Positive"",REGEXMATCH(H4"&amp;"663,""মূর্খ|ভণ্ড|প্রতার|অলস|লোভ|স্বার্থ|অক্ষম|অযোগ্য|বোকা|কৃপণ|হিংস"")),""valence-target অমিল"",""""),IF(COUNTIF($B:$B,B4663)&gt;1,""ডুপ্লিকেট"",""""))"),"")</f>
        <v/>
      </c>
      <c r="Q4663" s="5" t="str">
        <f t="shared" si="1"/>
        <v>২ পরে</v>
      </c>
    </row>
    <row r="4664">
      <c r="A4664" s="4">
        <v>2491.0</v>
      </c>
      <c r="B4664" s="2" t="s">
        <v>19153</v>
      </c>
      <c r="C4664" s="2" t="s">
        <v>19154</v>
      </c>
      <c r="D4664" s="2" t="s">
        <v>19155</v>
      </c>
      <c r="E4664" s="2" t="s">
        <v>19156</v>
      </c>
      <c r="F4664" s="2" t="b">
        <v>1</v>
      </c>
      <c r="G4664" s="2" t="b">
        <v>0</v>
      </c>
      <c r="H4664" s="2" t="s">
        <v>37</v>
      </c>
      <c r="I4664" s="2" t="s">
        <v>32</v>
      </c>
      <c r="J4664" s="2" t="s">
        <v>538</v>
      </c>
      <c r="K4664" s="2" t="s">
        <v>495</v>
      </c>
      <c r="L4664" s="13" t="s">
        <v>496</v>
      </c>
      <c r="M4664" s="2" t="s">
        <v>26</v>
      </c>
      <c r="N4664" s="29"/>
      <c r="O4664" s="29"/>
      <c r="P4664" s="5" t="str">
        <f>IFERROR(__xludf.DUMMYFUNCTION("TEXTJOIN("" | "",TRUE,IF(OR(D4664="""",E4664="""",I4664="""",J4664="""",H4664=""""),""ফাঁকা ঘর"",""""),IF(AND(C4664&lt;&gt;"""",D4664&lt;&gt;"""",C4664=D4664),""gloss=figurative"",""""),IF(LEN(D4664)&lt;15,""figurative ছোট"",""""),IF(AND(I4664=""Positive"",REGEXMATCH(H4"&amp;"664,""মূর্খ|ভণ্ড|প্রতার|অলস|লোভ|স্বার্থ|অক্ষম|অযোগ্য|বোকা|কৃপণ|হিংস"")),""valence-target অমিল"",""""),IF(COUNTIF($B:$B,B4664)&gt;1,""ডুপ্লিকেট"",""""))"),"")</f>
        <v/>
      </c>
      <c r="Q4664" s="5" t="str">
        <f t="shared" si="1"/>
        <v>২ পরে</v>
      </c>
    </row>
    <row r="4665">
      <c r="A4665" s="4">
        <v>2492.0</v>
      </c>
      <c r="B4665" s="2" t="s">
        <v>19157</v>
      </c>
      <c r="C4665" s="2" t="s">
        <v>19158</v>
      </c>
      <c r="D4665" s="2" t="s">
        <v>19159</v>
      </c>
      <c r="E4665" s="2" t="s">
        <v>19160</v>
      </c>
      <c r="F4665" s="2" t="b">
        <v>1</v>
      </c>
      <c r="G4665" s="2" t="b">
        <v>0</v>
      </c>
      <c r="H4665" s="2" t="s">
        <v>19161</v>
      </c>
      <c r="I4665" s="2" t="s">
        <v>22</v>
      </c>
      <c r="J4665" s="2" t="s">
        <v>621</v>
      </c>
      <c r="K4665" s="2" t="s">
        <v>495</v>
      </c>
      <c r="L4665" s="13" t="s">
        <v>496</v>
      </c>
      <c r="M4665" s="2" t="s">
        <v>26</v>
      </c>
      <c r="N4665" s="29"/>
      <c r="O4665" s="29"/>
      <c r="P4665" s="5" t="str">
        <f>IFERROR(__xludf.DUMMYFUNCTION("TEXTJOIN("" | "",TRUE,IF(OR(D4665="""",E4665="""",I4665="""",J4665="""",H4665=""""),""ফাঁকা ঘর"",""""),IF(AND(C4665&lt;&gt;"""",D4665&lt;&gt;"""",C4665=D4665),""gloss=figurative"",""""),IF(LEN(D4665)&lt;15,""figurative ছোট"",""""),IF(AND(I4665=""Positive"",REGEXMATCH(H4"&amp;"665,""মূর্খ|ভণ্ড|প্রতার|অলস|লোভ|স্বার্থ|অক্ষম|অযোগ্য|বোকা|কৃপণ|হিংস"")),""valence-target অমিল"",""""),IF(COUNTIF($B:$B,B4665)&gt;1,""ডুপ্লিকেট"",""""))"),"")</f>
        <v/>
      </c>
      <c r="Q4665" s="5" t="str">
        <f t="shared" si="1"/>
        <v>২ পরে</v>
      </c>
    </row>
    <row r="4666">
      <c r="A4666" s="4">
        <v>2493.0</v>
      </c>
      <c r="B4666" s="2" t="s">
        <v>19162</v>
      </c>
      <c r="C4666" s="2" t="s">
        <v>19163</v>
      </c>
      <c r="D4666" s="2" t="s">
        <v>19164</v>
      </c>
      <c r="E4666" s="2" t="s">
        <v>532</v>
      </c>
      <c r="F4666" s="2" t="b">
        <v>1</v>
      </c>
      <c r="G4666" s="2" t="b">
        <v>0</v>
      </c>
      <c r="H4666" s="2" t="s">
        <v>37</v>
      </c>
      <c r="I4666" s="2" t="s">
        <v>49</v>
      </c>
      <c r="J4666" s="2" t="s">
        <v>533</v>
      </c>
      <c r="K4666" s="2" t="s">
        <v>495</v>
      </c>
      <c r="L4666" s="13" t="s">
        <v>496</v>
      </c>
      <c r="M4666" s="2" t="s">
        <v>26</v>
      </c>
      <c r="N4666" s="29"/>
      <c r="O4666" s="29"/>
      <c r="P4666" s="5" t="str">
        <f>IFERROR(__xludf.DUMMYFUNCTION("TEXTJOIN("" | "",TRUE,IF(OR(D4666="""",E4666="""",I4666="""",J4666="""",H4666=""""),""ফাঁকা ঘর"",""""),IF(AND(C4666&lt;&gt;"""",D4666&lt;&gt;"""",C4666=D4666),""gloss=figurative"",""""),IF(LEN(D4666)&lt;15,""figurative ছোট"",""""),IF(AND(I4666=""Positive"",REGEXMATCH(H4"&amp;"666,""মূর্খ|ভণ্ড|প্রতার|অলস|লোভ|স্বার্থ|অক্ষম|অযোগ্য|বোকা|কৃপণ|হিংস"")),""valence-target অমিল"",""""),IF(COUNTIF($B:$B,B4666)&gt;1,""ডুপ্লিকেট"",""""))"),"")</f>
        <v/>
      </c>
      <c r="Q4666" s="5" t="str">
        <f t="shared" si="1"/>
        <v>২ পরে</v>
      </c>
    </row>
    <row r="4667">
      <c r="A4667" s="4">
        <v>2494.0</v>
      </c>
      <c r="B4667" s="2" t="s">
        <v>19165</v>
      </c>
      <c r="C4667" s="2" t="s">
        <v>19166</v>
      </c>
      <c r="D4667" s="2" t="s">
        <v>19167</v>
      </c>
      <c r="E4667" s="2" t="s">
        <v>19168</v>
      </c>
      <c r="F4667" s="2" t="b">
        <v>1</v>
      </c>
      <c r="G4667" s="2" t="b">
        <v>0</v>
      </c>
      <c r="H4667" s="2" t="s">
        <v>189</v>
      </c>
      <c r="I4667" s="2" t="s">
        <v>22</v>
      </c>
      <c r="J4667" s="2" t="s">
        <v>601</v>
      </c>
      <c r="K4667" s="2" t="s">
        <v>495</v>
      </c>
      <c r="L4667" s="13" t="s">
        <v>496</v>
      </c>
      <c r="M4667" s="2" t="s">
        <v>26</v>
      </c>
      <c r="N4667" s="29"/>
      <c r="O4667" s="29"/>
      <c r="P4667" s="5" t="str">
        <f>IFERROR(__xludf.DUMMYFUNCTION("TEXTJOIN("" | "",TRUE,IF(OR(D4667="""",E4667="""",I4667="""",J4667="""",H4667=""""),""ফাঁকা ঘর"",""""),IF(AND(C4667&lt;&gt;"""",D4667&lt;&gt;"""",C4667=D4667),""gloss=figurative"",""""),IF(LEN(D4667)&lt;15,""figurative ছোট"",""""),IF(AND(I4667=""Positive"",REGEXMATCH(H4"&amp;"667,""মূর্খ|ভণ্ড|প্রতার|অলস|লোভ|স্বার্থ|অক্ষম|অযোগ্য|বোকা|কৃপণ|হিংস"")),""valence-target অমিল"",""""),IF(COUNTIF($B:$B,B4667)&gt;1,""ডুপ্লিকেট"",""""))"),"")</f>
        <v/>
      </c>
      <c r="Q4667" s="5" t="str">
        <f t="shared" si="1"/>
        <v>২ পরে</v>
      </c>
    </row>
    <row r="4668">
      <c r="A4668" s="4">
        <v>2495.0</v>
      </c>
      <c r="B4668" s="2" t="s">
        <v>19169</v>
      </c>
      <c r="C4668" s="2" t="s">
        <v>19169</v>
      </c>
      <c r="D4668" s="2" t="s">
        <v>15324</v>
      </c>
      <c r="E4668" s="2" t="s">
        <v>19170</v>
      </c>
      <c r="F4668" s="2" t="b">
        <v>1</v>
      </c>
      <c r="G4668" s="2" t="b">
        <v>0</v>
      </c>
      <c r="H4668" s="2" t="s">
        <v>37</v>
      </c>
      <c r="I4668" s="2" t="s">
        <v>49</v>
      </c>
      <c r="J4668" s="2" t="s">
        <v>15227</v>
      </c>
      <c r="K4668" s="2" t="s">
        <v>495</v>
      </c>
      <c r="L4668" s="13" t="s">
        <v>496</v>
      </c>
      <c r="M4668" s="2" t="s">
        <v>26</v>
      </c>
      <c r="N4668" s="29"/>
      <c r="O4668" s="29"/>
      <c r="P4668" s="5" t="str">
        <f>IFERROR(__xludf.DUMMYFUNCTION("TEXTJOIN("" | "",TRUE,IF(OR(D4668="""",E4668="""",I4668="""",J4668="""",H4668=""""),""ফাঁকা ঘর"",""""),IF(AND(C4668&lt;&gt;"""",D4668&lt;&gt;"""",C4668=D4668),""gloss=figurative"",""""),IF(LEN(D4668)&lt;15,""figurative ছোট"",""""),IF(AND(I4668=""Positive"",REGEXMATCH(H4"&amp;"668,""মূর্খ|ভণ্ড|প্রতার|অলস|লোভ|স্বার্থ|অক্ষম|অযোগ্য|বোকা|কৃপণ|হিংস"")),""valence-target অমিল"",""""),IF(COUNTIF($B:$B,B4668)&gt;1,""ডুপ্লিকেট"",""""))"),"")</f>
        <v/>
      </c>
      <c r="Q4668" s="5" t="str">
        <f t="shared" si="1"/>
        <v>২ পরে</v>
      </c>
    </row>
    <row r="4669">
      <c r="A4669" s="4">
        <v>2496.0</v>
      </c>
      <c r="B4669" s="2" t="s">
        <v>19171</v>
      </c>
      <c r="C4669" s="2" t="s">
        <v>19172</v>
      </c>
      <c r="D4669" s="2" t="s">
        <v>19173</v>
      </c>
      <c r="E4669" s="2" t="s">
        <v>19174</v>
      </c>
      <c r="F4669" s="2" t="b">
        <v>1</v>
      </c>
      <c r="G4669" s="2" t="b">
        <v>0</v>
      </c>
      <c r="H4669" s="2" t="s">
        <v>37</v>
      </c>
      <c r="I4669" s="2" t="s">
        <v>32</v>
      </c>
      <c r="J4669" s="2" t="s">
        <v>553</v>
      </c>
      <c r="K4669" s="2" t="s">
        <v>495</v>
      </c>
      <c r="L4669" s="13" t="s">
        <v>496</v>
      </c>
      <c r="M4669" s="2" t="s">
        <v>26</v>
      </c>
      <c r="N4669" s="29"/>
      <c r="O4669" s="29"/>
      <c r="P4669" s="5" t="str">
        <f>IFERROR(__xludf.DUMMYFUNCTION("TEXTJOIN("" | "",TRUE,IF(OR(D4669="""",E4669="""",I4669="""",J4669="""",H4669=""""),""ফাঁকা ঘর"",""""),IF(AND(C4669&lt;&gt;"""",D4669&lt;&gt;"""",C4669=D4669),""gloss=figurative"",""""),IF(LEN(D4669)&lt;15,""figurative ছোট"",""""),IF(AND(I4669=""Positive"",REGEXMATCH(H4"&amp;"669,""মূর্খ|ভণ্ড|প্রতার|অলস|লোভ|স্বার্থ|অক্ষম|অযোগ্য|বোকা|কৃপণ|হিংস"")),""valence-target অমিল"",""""),IF(COUNTIF($B:$B,B4669)&gt;1,""ডুপ্লিকেট"",""""))"),"")</f>
        <v/>
      </c>
      <c r="Q4669" s="5" t="str">
        <f t="shared" si="1"/>
        <v>২ পরে</v>
      </c>
    </row>
    <row r="4670">
      <c r="A4670" s="4">
        <v>2497.0</v>
      </c>
      <c r="B4670" s="2" t="s">
        <v>19175</v>
      </c>
      <c r="C4670" s="2" t="s">
        <v>19176</v>
      </c>
      <c r="D4670" s="2" t="s">
        <v>19177</v>
      </c>
      <c r="E4670" s="2" t="s">
        <v>19178</v>
      </c>
      <c r="F4670" s="2" t="b">
        <v>1</v>
      </c>
      <c r="G4670" s="2" t="b">
        <v>0</v>
      </c>
      <c r="H4670" s="2" t="s">
        <v>37</v>
      </c>
      <c r="I4670" s="2" t="s">
        <v>49</v>
      </c>
      <c r="J4670" s="2" t="s">
        <v>176</v>
      </c>
      <c r="K4670" s="2" t="s">
        <v>495</v>
      </c>
      <c r="L4670" s="13" t="s">
        <v>496</v>
      </c>
      <c r="M4670" s="2" t="s">
        <v>26</v>
      </c>
      <c r="N4670" s="29"/>
      <c r="O4670" s="29"/>
      <c r="P4670" s="5" t="str">
        <f>IFERROR(__xludf.DUMMYFUNCTION("TEXTJOIN("" | "",TRUE,IF(OR(D4670="""",E4670="""",I4670="""",J4670="""",H4670=""""),""ফাঁকা ঘর"",""""),IF(AND(C4670&lt;&gt;"""",D4670&lt;&gt;"""",C4670=D4670),""gloss=figurative"",""""),IF(LEN(D4670)&lt;15,""figurative ছোট"",""""),IF(AND(I4670=""Positive"",REGEXMATCH(H4"&amp;"670,""মূর্খ|ভণ্ড|প্রতার|অলস|লোভ|স্বার্থ|অক্ষম|অযোগ্য|বোকা|কৃপণ|হিংস"")),""valence-target অমিল"",""""),IF(COUNTIF($B:$B,B4670)&gt;1,""ডুপ্লিকেট"",""""))"),"")</f>
        <v/>
      </c>
      <c r="Q4670" s="5" t="str">
        <f t="shared" si="1"/>
        <v>২ পরে</v>
      </c>
    </row>
    <row r="4671">
      <c r="A4671" s="4">
        <v>2498.0</v>
      </c>
      <c r="B4671" s="2" t="s">
        <v>19179</v>
      </c>
      <c r="C4671" s="2" t="s">
        <v>19180</v>
      </c>
      <c r="D4671" s="2" t="s">
        <v>19181</v>
      </c>
      <c r="E4671" s="2" t="s">
        <v>19182</v>
      </c>
      <c r="F4671" s="2" t="b">
        <v>1</v>
      </c>
      <c r="G4671" s="2" t="b">
        <v>0</v>
      </c>
      <c r="H4671" s="2" t="s">
        <v>37</v>
      </c>
      <c r="I4671" s="2" t="s">
        <v>49</v>
      </c>
      <c r="J4671" s="2" t="s">
        <v>762</v>
      </c>
      <c r="K4671" s="2" t="s">
        <v>495</v>
      </c>
      <c r="L4671" s="13" t="s">
        <v>496</v>
      </c>
      <c r="M4671" s="2" t="s">
        <v>26</v>
      </c>
      <c r="N4671" s="29"/>
      <c r="O4671" s="29"/>
      <c r="P4671" s="5" t="str">
        <f>IFERROR(__xludf.DUMMYFUNCTION("TEXTJOIN("" | "",TRUE,IF(OR(D4671="""",E4671="""",I4671="""",J4671="""",H4671=""""),""ফাঁকা ঘর"",""""),IF(AND(C4671&lt;&gt;"""",D4671&lt;&gt;"""",C4671=D4671),""gloss=figurative"",""""),IF(LEN(D4671)&lt;15,""figurative ছোট"",""""),IF(AND(I4671=""Positive"",REGEXMATCH(H4"&amp;"671,""মূর্খ|ভণ্ড|প্রতার|অলস|লোভ|স্বার্থ|অক্ষম|অযোগ্য|বোকা|কৃপণ|হিংস"")),""valence-target অমিল"",""""),IF(COUNTIF($B:$B,B4671)&gt;1,""ডুপ্লিকেট"",""""))"),"")</f>
        <v/>
      </c>
      <c r="Q4671" s="5" t="str">
        <f t="shared" si="1"/>
        <v>২ পরে</v>
      </c>
    </row>
    <row r="4672">
      <c r="A4672" s="4">
        <v>2499.0</v>
      </c>
      <c r="B4672" s="2" t="s">
        <v>19183</v>
      </c>
      <c r="C4672" s="2" t="s">
        <v>19184</v>
      </c>
      <c r="D4672" s="2" t="s">
        <v>19185</v>
      </c>
      <c r="E4672" s="2" t="s">
        <v>19186</v>
      </c>
      <c r="F4672" s="2" t="b">
        <v>1</v>
      </c>
      <c r="G4672" s="2" t="b">
        <v>0</v>
      </c>
      <c r="H4672" s="2" t="s">
        <v>37</v>
      </c>
      <c r="I4672" s="2" t="s">
        <v>49</v>
      </c>
      <c r="J4672" s="2" t="s">
        <v>447</v>
      </c>
      <c r="K4672" s="2" t="s">
        <v>495</v>
      </c>
      <c r="L4672" s="13" t="s">
        <v>496</v>
      </c>
      <c r="M4672" s="2" t="s">
        <v>26</v>
      </c>
      <c r="N4672" s="29"/>
      <c r="O4672" s="29"/>
      <c r="P4672" s="5" t="str">
        <f>IFERROR(__xludf.DUMMYFUNCTION("TEXTJOIN("" | "",TRUE,IF(OR(D4672="""",E4672="""",I4672="""",J4672="""",H4672=""""),""ফাঁকা ঘর"",""""),IF(AND(C4672&lt;&gt;"""",D4672&lt;&gt;"""",C4672=D4672),""gloss=figurative"",""""),IF(LEN(D4672)&lt;15,""figurative ছোট"",""""),IF(AND(I4672=""Positive"",REGEXMATCH(H4"&amp;"672,""মূর্খ|ভণ্ড|প্রতার|অলস|লোভ|স্বার্থ|অক্ষম|অযোগ্য|বোকা|কৃপণ|হিংস"")),""valence-target অমিল"",""""),IF(COUNTIF($B:$B,B4672)&gt;1,""ডুপ্লিকেট"",""""))"),"")</f>
        <v/>
      </c>
      <c r="Q4672" s="5" t="str">
        <f t="shared" si="1"/>
        <v>২ পরে</v>
      </c>
    </row>
    <row r="4673">
      <c r="A4673" s="4">
        <v>2500.0</v>
      </c>
      <c r="B4673" s="2" t="s">
        <v>19187</v>
      </c>
      <c r="C4673" s="2" t="s">
        <v>19188</v>
      </c>
      <c r="D4673" s="2" t="s">
        <v>19189</v>
      </c>
      <c r="E4673" s="2" t="s">
        <v>19190</v>
      </c>
      <c r="F4673" s="2" t="b">
        <v>1</v>
      </c>
      <c r="G4673" s="2" t="b">
        <v>0</v>
      </c>
      <c r="H4673" s="2" t="s">
        <v>37</v>
      </c>
      <c r="I4673" s="2" t="s">
        <v>32</v>
      </c>
      <c r="J4673" s="2" t="s">
        <v>43</v>
      </c>
      <c r="K4673" s="2" t="s">
        <v>495</v>
      </c>
      <c r="L4673" s="13" t="s">
        <v>496</v>
      </c>
      <c r="M4673" s="2" t="s">
        <v>26</v>
      </c>
      <c r="N4673" s="29"/>
      <c r="O4673" s="29"/>
      <c r="P4673" s="5" t="str">
        <f>IFERROR(__xludf.DUMMYFUNCTION("TEXTJOIN("" | "",TRUE,IF(OR(D4673="""",E4673="""",I4673="""",J4673="""",H4673=""""),""ফাঁকা ঘর"",""""),IF(AND(C4673&lt;&gt;"""",D4673&lt;&gt;"""",C4673=D4673),""gloss=figurative"",""""),IF(LEN(D4673)&lt;15,""figurative ছোট"",""""),IF(AND(I4673=""Positive"",REGEXMATCH(H4"&amp;"673,""মূর্খ|ভণ্ড|প্রতার|অলস|লোভ|স্বার্থ|অক্ষম|অযোগ্য|বোকা|কৃপণ|হিংস"")),""valence-target অমিল"",""""),IF(COUNTIF($B:$B,B4673)&gt;1,""ডুপ্লিকেট"",""""))"),"")</f>
        <v/>
      </c>
      <c r="Q4673" s="5" t="str">
        <f t="shared" si="1"/>
        <v>২ পরে</v>
      </c>
    </row>
    <row r="4674">
      <c r="A4674" s="4">
        <v>2501.0</v>
      </c>
      <c r="B4674" s="2" t="s">
        <v>19191</v>
      </c>
      <c r="C4674" s="2" t="s">
        <v>19192</v>
      </c>
      <c r="D4674" s="2" t="s">
        <v>19193</v>
      </c>
      <c r="E4674" s="2" t="s">
        <v>19194</v>
      </c>
      <c r="F4674" s="2" t="b">
        <v>1</v>
      </c>
      <c r="G4674" s="2" t="b">
        <v>0</v>
      </c>
      <c r="H4674" s="2" t="s">
        <v>37</v>
      </c>
      <c r="I4674" s="2" t="s">
        <v>49</v>
      </c>
      <c r="J4674" s="2" t="s">
        <v>176</v>
      </c>
      <c r="K4674" s="2" t="s">
        <v>495</v>
      </c>
      <c r="L4674" s="13" t="s">
        <v>496</v>
      </c>
      <c r="M4674" s="2" t="s">
        <v>26</v>
      </c>
      <c r="N4674" s="29"/>
      <c r="O4674" s="29"/>
      <c r="P4674" s="5" t="str">
        <f>IFERROR(__xludf.DUMMYFUNCTION("TEXTJOIN("" | "",TRUE,IF(OR(D4674="""",E4674="""",I4674="""",J4674="""",H4674=""""),""ফাঁকা ঘর"",""""),IF(AND(C4674&lt;&gt;"""",D4674&lt;&gt;"""",C4674=D4674),""gloss=figurative"",""""),IF(LEN(D4674)&lt;15,""figurative ছোট"",""""),IF(AND(I4674=""Positive"",REGEXMATCH(H4"&amp;"674,""মূর্খ|ভণ্ড|প্রতার|অলস|লোভ|স্বার্থ|অক্ষম|অযোগ্য|বোকা|কৃপণ|হিংস"")),""valence-target অমিল"",""""),IF(COUNTIF($B:$B,B4674)&gt;1,""ডুপ্লিকেট"",""""))"),"")</f>
        <v/>
      </c>
      <c r="Q4674" s="5" t="str">
        <f t="shared" si="1"/>
        <v>২ পরে</v>
      </c>
    </row>
    <row r="4675">
      <c r="A4675" s="4">
        <v>2502.0</v>
      </c>
      <c r="B4675" s="2" t="s">
        <v>19195</v>
      </c>
      <c r="C4675" s="2" t="s">
        <v>19196</v>
      </c>
      <c r="D4675" s="2" t="s">
        <v>19197</v>
      </c>
      <c r="E4675" s="2" t="s">
        <v>19198</v>
      </c>
      <c r="F4675" s="2" t="b">
        <v>1</v>
      </c>
      <c r="G4675" s="2" t="b">
        <v>0</v>
      </c>
      <c r="H4675" s="2" t="s">
        <v>37</v>
      </c>
      <c r="I4675" s="2" t="s">
        <v>22</v>
      </c>
      <c r="J4675" s="2" t="s">
        <v>2165</v>
      </c>
      <c r="K4675" s="2" t="s">
        <v>495</v>
      </c>
      <c r="L4675" s="13" t="s">
        <v>496</v>
      </c>
      <c r="M4675" s="2" t="s">
        <v>26</v>
      </c>
      <c r="N4675" s="29"/>
      <c r="O4675" s="29"/>
      <c r="P4675" s="5" t="str">
        <f>IFERROR(__xludf.DUMMYFUNCTION("TEXTJOIN("" | "",TRUE,IF(OR(D4675="""",E4675="""",I4675="""",J4675="""",H4675=""""),""ফাঁকা ঘর"",""""),IF(AND(C4675&lt;&gt;"""",D4675&lt;&gt;"""",C4675=D4675),""gloss=figurative"",""""),IF(LEN(D4675)&lt;15,""figurative ছোট"",""""),IF(AND(I4675=""Positive"",REGEXMATCH(H4"&amp;"675,""মূর্খ|ভণ্ড|প্রতার|অলস|লোভ|স্বার্থ|অক্ষম|অযোগ্য|বোকা|কৃপণ|হিংস"")),""valence-target অমিল"",""""),IF(COUNTIF($B:$B,B4675)&gt;1,""ডুপ্লিকেট"",""""))"),"")</f>
        <v/>
      </c>
      <c r="Q4675" s="5" t="str">
        <f t="shared" si="1"/>
        <v>২ পরে</v>
      </c>
    </row>
    <row r="4676">
      <c r="A4676" s="4">
        <v>2503.0</v>
      </c>
      <c r="B4676" s="2" t="s">
        <v>19199</v>
      </c>
      <c r="C4676" s="2" t="s">
        <v>19200</v>
      </c>
      <c r="D4676" s="2" t="s">
        <v>19201</v>
      </c>
      <c r="E4676" s="2" t="s">
        <v>19202</v>
      </c>
      <c r="F4676" s="2" t="b">
        <v>1</v>
      </c>
      <c r="G4676" s="2" t="b">
        <v>0</v>
      </c>
      <c r="H4676" s="2" t="s">
        <v>37</v>
      </c>
      <c r="I4676" s="2" t="s">
        <v>22</v>
      </c>
      <c r="J4676" s="2" t="s">
        <v>1944</v>
      </c>
      <c r="K4676" s="2" t="s">
        <v>495</v>
      </c>
      <c r="L4676" s="13" t="s">
        <v>496</v>
      </c>
      <c r="M4676" s="2" t="s">
        <v>26</v>
      </c>
      <c r="N4676" s="29"/>
      <c r="O4676" s="29"/>
      <c r="P4676" s="5" t="str">
        <f>IFERROR(__xludf.DUMMYFUNCTION("TEXTJOIN("" | "",TRUE,IF(OR(D4676="""",E4676="""",I4676="""",J4676="""",H4676=""""),""ফাঁকা ঘর"",""""),IF(AND(C4676&lt;&gt;"""",D4676&lt;&gt;"""",C4676=D4676),""gloss=figurative"",""""),IF(LEN(D4676)&lt;15,""figurative ছোট"",""""),IF(AND(I4676=""Positive"",REGEXMATCH(H4"&amp;"676,""মূর্খ|ভণ্ড|প্রতার|অলস|লোভ|স্বার্থ|অক্ষম|অযোগ্য|বোকা|কৃপণ|হিংস"")),""valence-target অমিল"",""""),IF(COUNTIF($B:$B,B4676)&gt;1,""ডুপ্লিকেট"",""""))"),"")</f>
        <v/>
      </c>
      <c r="Q4676" s="5" t="str">
        <f t="shared" si="1"/>
        <v>২ পরে</v>
      </c>
    </row>
    <row r="4677">
      <c r="A4677" s="4">
        <v>2504.0</v>
      </c>
      <c r="B4677" s="2" t="s">
        <v>19203</v>
      </c>
      <c r="C4677" s="2" t="s">
        <v>19204</v>
      </c>
      <c r="D4677" s="2" t="s">
        <v>19205</v>
      </c>
      <c r="E4677" s="2" t="s">
        <v>19206</v>
      </c>
      <c r="F4677" s="2" t="b">
        <v>1</v>
      </c>
      <c r="G4677" s="2" t="b">
        <v>0</v>
      </c>
      <c r="H4677" s="2" t="s">
        <v>37</v>
      </c>
      <c r="I4677" s="2" t="s">
        <v>22</v>
      </c>
      <c r="J4677" s="2" t="s">
        <v>565</v>
      </c>
      <c r="K4677" s="2" t="s">
        <v>495</v>
      </c>
      <c r="L4677" s="13" t="s">
        <v>496</v>
      </c>
      <c r="M4677" s="2" t="s">
        <v>26</v>
      </c>
      <c r="N4677" s="29"/>
      <c r="O4677" s="29"/>
      <c r="P4677" s="5" t="str">
        <f>IFERROR(__xludf.DUMMYFUNCTION("TEXTJOIN("" | "",TRUE,IF(OR(D4677="""",E4677="""",I4677="""",J4677="""",H4677=""""),""ফাঁকা ঘর"",""""),IF(AND(C4677&lt;&gt;"""",D4677&lt;&gt;"""",C4677=D4677),""gloss=figurative"",""""),IF(LEN(D4677)&lt;15,""figurative ছোট"",""""),IF(AND(I4677=""Positive"",REGEXMATCH(H4"&amp;"677,""মূর্খ|ভণ্ড|প্রতার|অলস|লোভ|স্বার্থ|অক্ষম|অযোগ্য|বোকা|কৃপণ|হিংস"")),""valence-target অমিল"",""""),IF(COUNTIF($B:$B,B4677)&gt;1,""ডুপ্লিকেট"",""""))"),"")</f>
        <v/>
      </c>
      <c r="Q4677" s="5" t="str">
        <f t="shared" si="1"/>
        <v>২ পরে</v>
      </c>
    </row>
    <row r="4678">
      <c r="A4678" s="4">
        <v>2505.0</v>
      </c>
      <c r="B4678" s="2" t="s">
        <v>19207</v>
      </c>
      <c r="C4678" s="2" t="s">
        <v>19208</v>
      </c>
      <c r="D4678" s="2" t="s">
        <v>19209</v>
      </c>
      <c r="E4678" s="2" t="s">
        <v>19210</v>
      </c>
      <c r="F4678" s="2" t="b">
        <v>1</v>
      </c>
      <c r="G4678" s="2" t="b">
        <v>0</v>
      </c>
      <c r="H4678" s="2" t="s">
        <v>37</v>
      </c>
      <c r="I4678" s="2" t="s">
        <v>22</v>
      </c>
      <c r="J4678" s="2" t="s">
        <v>581</v>
      </c>
      <c r="K4678" s="2" t="s">
        <v>495</v>
      </c>
      <c r="L4678" s="13" t="s">
        <v>496</v>
      </c>
      <c r="M4678" s="2" t="s">
        <v>26</v>
      </c>
      <c r="N4678" s="29"/>
      <c r="O4678" s="29"/>
      <c r="P4678" s="5" t="str">
        <f>IFERROR(__xludf.DUMMYFUNCTION("TEXTJOIN("" | "",TRUE,IF(OR(D4678="""",E4678="""",I4678="""",J4678="""",H4678=""""),""ফাঁকা ঘর"",""""),IF(AND(C4678&lt;&gt;"""",D4678&lt;&gt;"""",C4678=D4678),""gloss=figurative"",""""),IF(LEN(D4678)&lt;15,""figurative ছোট"",""""),IF(AND(I4678=""Positive"",REGEXMATCH(H4"&amp;"678,""মূর্খ|ভণ্ড|প্রতার|অলস|লোভ|স্বার্থ|অক্ষম|অযোগ্য|বোকা|কৃপণ|হিংস"")),""valence-target অমিল"",""""),IF(COUNTIF($B:$B,B4678)&gt;1,""ডুপ্লিকেট"",""""))"),"")</f>
        <v/>
      </c>
      <c r="Q4678" s="5" t="str">
        <f t="shared" si="1"/>
        <v>২ পরে</v>
      </c>
    </row>
    <row r="4679">
      <c r="A4679" s="4">
        <v>2506.0</v>
      </c>
      <c r="B4679" s="2" t="s">
        <v>19211</v>
      </c>
      <c r="C4679" s="2" t="s">
        <v>19212</v>
      </c>
      <c r="D4679" s="2" t="s">
        <v>19213</v>
      </c>
      <c r="E4679" s="2" t="s">
        <v>19214</v>
      </c>
      <c r="F4679" s="2" t="b">
        <v>1</v>
      </c>
      <c r="G4679" s="2" t="b">
        <v>0</v>
      </c>
      <c r="H4679" s="2" t="s">
        <v>37</v>
      </c>
      <c r="I4679" s="2" t="s">
        <v>22</v>
      </c>
      <c r="J4679" s="2" t="s">
        <v>565</v>
      </c>
      <c r="K4679" s="2" t="s">
        <v>495</v>
      </c>
      <c r="L4679" s="13" t="s">
        <v>496</v>
      </c>
      <c r="M4679" s="2" t="s">
        <v>26</v>
      </c>
      <c r="N4679" s="29"/>
      <c r="O4679" s="29"/>
      <c r="P4679" s="5" t="str">
        <f>IFERROR(__xludf.DUMMYFUNCTION("TEXTJOIN("" | "",TRUE,IF(OR(D4679="""",E4679="""",I4679="""",J4679="""",H4679=""""),""ফাঁকা ঘর"",""""),IF(AND(C4679&lt;&gt;"""",D4679&lt;&gt;"""",C4679=D4679),""gloss=figurative"",""""),IF(LEN(D4679)&lt;15,""figurative ছোট"",""""),IF(AND(I4679=""Positive"",REGEXMATCH(H4"&amp;"679,""মূর্খ|ভণ্ড|প্রতার|অলস|লোভ|স্বার্থ|অক্ষম|অযোগ্য|বোকা|কৃপণ|হিংস"")),""valence-target অমিল"",""""),IF(COUNTIF($B:$B,B4679)&gt;1,""ডুপ্লিকেট"",""""))"),"")</f>
        <v/>
      </c>
      <c r="Q4679" s="5" t="str">
        <f t="shared" si="1"/>
        <v>২ পরে</v>
      </c>
    </row>
    <row r="4680">
      <c r="A4680" s="4">
        <v>2507.0</v>
      </c>
      <c r="B4680" s="2" t="s">
        <v>19215</v>
      </c>
      <c r="C4680" s="2" t="s">
        <v>19216</v>
      </c>
      <c r="D4680" s="2" t="s">
        <v>19217</v>
      </c>
      <c r="E4680" s="2" t="s">
        <v>19218</v>
      </c>
      <c r="F4680" s="2" t="b">
        <v>1</v>
      </c>
      <c r="G4680" s="2" t="b">
        <v>0</v>
      </c>
      <c r="H4680" s="2" t="s">
        <v>37</v>
      </c>
      <c r="I4680" s="2" t="s">
        <v>22</v>
      </c>
      <c r="J4680" s="2" t="s">
        <v>766</v>
      </c>
      <c r="K4680" s="2" t="s">
        <v>495</v>
      </c>
      <c r="L4680" s="13" t="s">
        <v>496</v>
      </c>
      <c r="M4680" s="2" t="s">
        <v>26</v>
      </c>
      <c r="N4680" s="29"/>
      <c r="O4680" s="29"/>
      <c r="P4680" s="5" t="str">
        <f>IFERROR(__xludf.DUMMYFUNCTION("TEXTJOIN("" | "",TRUE,IF(OR(D4680="""",E4680="""",I4680="""",J4680="""",H4680=""""),""ফাঁকা ঘর"",""""),IF(AND(C4680&lt;&gt;"""",D4680&lt;&gt;"""",C4680=D4680),""gloss=figurative"",""""),IF(LEN(D4680)&lt;15,""figurative ছোট"",""""),IF(AND(I4680=""Positive"",REGEXMATCH(H4"&amp;"680,""মূর্খ|ভণ্ড|প্রতার|অলস|লোভ|স্বার্থ|অক্ষম|অযোগ্য|বোকা|কৃপণ|হিংস"")),""valence-target অমিল"",""""),IF(COUNTIF($B:$B,B4680)&gt;1,""ডুপ্লিকেট"",""""))"),"")</f>
        <v/>
      </c>
      <c r="Q4680" s="5" t="str">
        <f t="shared" si="1"/>
        <v>২ পরে</v>
      </c>
    </row>
    <row r="4681">
      <c r="A4681" s="4">
        <v>2508.0</v>
      </c>
      <c r="B4681" s="2" t="s">
        <v>19219</v>
      </c>
      <c r="C4681" s="2" t="s">
        <v>19220</v>
      </c>
      <c r="D4681" s="2" t="s">
        <v>19221</v>
      </c>
      <c r="E4681" s="2" t="s">
        <v>19222</v>
      </c>
      <c r="F4681" s="2" t="b">
        <v>1</v>
      </c>
      <c r="G4681" s="2" t="b">
        <v>0</v>
      </c>
      <c r="H4681" s="2" t="s">
        <v>37</v>
      </c>
      <c r="I4681" s="2" t="s">
        <v>49</v>
      </c>
      <c r="J4681" s="2" t="s">
        <v>1621</v>
      </c>
      <c r="K4681" s="2" t="s">
        <v>495</v>
      </c>
      <c r="L4681" s="13" t="s">
        <v>496</v>
      </c>
      <c r="M4681" s="2" t="s">
        <v>26</v>
      </c>
      <c r="N4681" s="29"/>
      <c r="O4681" s="29"/>
      <c r="P4681" s="5" t="str">
        <f>IFERROR(__xludf.DUMMYFUNCTION("TEXTJOIN("" | "",TRUE,IF(OR(D4681="""",E4681="""",I4681="""",J4681="""",H4681=""""),""ফাঁকা ঘর"",""""),IF(AND(C4681&lt;&gt;"""",D4681&lt;&gt;"""",C4681=D4681),""gloss=figurative"",""""),IF(LEN(D4681)&lt;15,""figurative ছোট"",""""),IF(AND(I4681=""Positive"",REGEXMATCH(H4"&amp;"681,""মূর্খ|ভণ্ড|প্রতার|অলস|লোভ|স্বার্থ|অক্ষম|অযোগ্য|বোকা|কৃপণ|হিংস"")),""valence-target অমিল"",""""),IF(COUNTIF($B:$B,B4681)&gt;1,""ডুপ্লিকেট"",""""))"),"")</f>
        <v/>
      </c>
      <c r="Q4681" s="5" t="str">
        <f t="shared" si="1"/>
        <v>২ পরে</v>
      </c>
    </row>
    <row r="4682">
      <c r="A4682" s="4">
        <v>2509.0</v>
      </c>
      <c r="B4682" s="2" t="s">
        <v>19223</v>
      </c>
      <c r="C4682" s="2" t="s">
        <v>19224</v>
      </c>
      <c r="D4682" s="2" t="s">
        <v>19225</v>
      </c>
      <c r="E4682" s="2" t="s">
        <v>19226</v>
      </c>
      <c r="F4682" s="2" t="b">
        <v>1</v>
      </c>
      <c r="G4682" s="2" t="b">
        <v>0</v>
      </c>
      <c r="H4682" s="2" t="s">
        <v>37</v>
      </c>
      <c r="I4682" s="2" t="s">
        <v>49</v>
      </c>
      <c r="J4682" s="2" t="s">
        <v>708</v>
      </c>
      <c r="K4682" s="2" t="s">
        <v>495</v>
      </c>
      <c r="L4682" s="13" t="s">
        <v>496</v>
      </c>
      <c r="M4682" s="2" t="s">
        <v>26</v>
      </c>
      <c r="N4682" s="29"/>
      <c r="O4682" s="29"/>
      <c r="P4682" s="5" t="str">
        <f>IFERROR(__xludf.DUMMYFUNCTION("TEXTJOIN("" | "",TRUE,IF(OR(D4682="""",E4682="""",I4682="""",J4682="""",H4682=""""),""ফাঁকা ঘর"",""""),IF(AND(C4682&lt;&gt;"""",D4682&lt;&gt;"""",C4682=D4682),""gloss=figurative"",""""),IF(LEN(D4682)&lt;15,""figurative ছোট"",""""),IF(AND(I4682=""Positive"",REGEXMATCH(H4"&amp;"682,""মূর্খ|ভণ্ড|প্রতার|অলস|লোভ|স্বার্থ|অক্ষম|অযোগ্য|বোকা|কৃপণ|হিংস"")),""valence-target অমিল"",""""),IF(COUNTIF($B:$B,B4682)&gt;1,""ডুপ্লিকেট"",""""))"),"")</f>
        <v/>
      </c>
      <c r="Q4682" s="5" t="str">
        <f t="shared" si="1"/>
        <v>২ পরে</v>
      </c>
    </row>
    <row r="4683">
      <c r="A4683" s="4">
        <v>2511.0</v>
      </c>
      <c r="B4683" s="2" t="s">
        <v>19227</v>
      </c>
      <c r="C4683" s="2" t="s">
        <v>19228</v>
      </c>
      <c r="D4683" s="2" t="s">
        <v>19229</v>
      </c>
      <c r="E4683" s="2" t="s">
        <v>19230</v>
      </c>
      <c r="F4683" s="2" t="b">
        <v>1</v>
      </c>
      <c r="G4683" s="2" t="b">
        <v>0</v>
      </c>
      <c r="H4683" s="2" t="s">
        <v>37</v>
      </c>
      <c r="I4683" s="2" t="s">
        <v>32</v>
      </c>
      <c r="J4683" s="2" t="s">
        <v>19231</v>
      </c>
      <c r="K4683" s="2" t="s">
        <v>495</v>
      </c>
      <c r="L4683" s="13" t="s">
        <v>496</v>
      </c>
      <c r="M4683" s="2" t="s">
        <v>26</v>
      </c>
      <c r="N4683" s="29"/>
      <c r="O4683" s="29"/>
      <c r="P4683" s="5" t="str">
        <f>IFERROR(__xludf.DUMMYFUNCTION("TEXTJOIN("" | "",TRUE,IF(OR(D4683="""",E4683="""",I4683="""",J4683="""",H4683=""""),""ফাঁকা ঘর"",""""),IF(AND(C4683&lt;&gt;"""",D4683&lt;&gt;"""",C4683=D4683),""gloss=figurative"",""""),IF(LEN(D4683)&lt;15,""figurative ছোট"",""""),IF(AND(I4683=""Positive"",REGEXMATCH(H4"&amp;"683,""মূর্খ|ভণ্ড|প্রতার|অলস|লোভ|স্বার্থ|অক্ষম|অযোগ্য|বোকা|কৃপণ|হিংস"")),""valence-target অমিল"",""""),IF(COUNTIF($B:$B,B4683)&gt;1,""ডুপ্লিকেট"",""""))"),"")</f>
        <v/>
      </c>
      <c r="Q4683" s="5" t="str">
        <f t="shared" si="1"/>
        <v>২ পরে</v>
      </c>
    </row>
    <row r="4684">
      <c r="A4684" s="4">
        <v>2512.0</v>
      </c>
      <c r="B4684" s="2" t="s">
        <v>19232</v>
      </c>
      <c r="C4684" s="2" t="s">
        <v>19233</v>
      </c>
      <c r="D4684" s="2" t="s">
        <v>19234</v>
      </c>
      <c r="E4684" s="2" t="s">
        <v>19235</v>
      </c>
      <c r="F4684" s="2" t="b">
        <v>1</v>
      </c>
      <c r="G4684" s="2" t="b">
        <v>0</v>
      </c>
      <c r="H4684" s="2" t="s">
        <v>37</v>
      </c>
      <c r="I4684" s="2" t="s">
        <v>49</v>
      </c>
      <c r="J4684" s="2" t="s">
        <v>300</v>
      </c>
      <c r="K4684" s="2" t="s">
        <v>495</v>
      </c>
      <c r="L4684" s="13" t="s">
        <v>496</v>
      </c>
      <c r="M4684" s="2" t="s">
        <v>26</v>
      </c>
      <c r="N4684" s="29"/>
      <c r="O4684" s="29"/>
      <c r="P4684" s="5" t="str">
        <f>IFERROR(__xludf.DUMMYFUNCTION("TEXTJOIN("" | "",TRUE,IF(OR(D4684="""",E4684="""",I4684="""",J4684="""",H4684=""""),""ফাঁকা ঘর"",""""),IF(AND(C4684&lt;&gt;"""",D4684&lt;&gt;"""",C4684=D4684),""gloss=figurative"",""""),IF(LEN(D4684)&lt;15,""figurative ছোট"",""""),IF(AND(I4684=""Positive"",REGEXMATCH(H4"&amp;"684,""মূর্খ|ভণ্ড|প্রতার|অলস|লোভ|স্বার্থ|অক্ষম|অযোগ্য|বোকা|কৃপণ|হিংস"")),""valence-target অমিল"",""""),IF(COUNTIF($B:$B,B4684)&gt;1,""ডুপ্লিকেট"",""""))"),"")</f>
        <v/>
      </c>
      <c r="Q4684" s="5" t="str">
        <f t="shared" si="1"/>
        <v>২ পরে</v>
      </c>
    </row>
    <row r="4685">
      <c r="A4685" s="4">
        <v>2513.0</v>
      </c>
      <c r="B4685" s="2" t="s">
        <v>19236</v>
      </c>
      <c r="C4685" s="2" t="s">
        <v>19237</v>
      </c>
      <c r="D4685" s="2" t="s">
        <v>19238</v>
      </c>
      <c r="E4685" s="2" t="s">
        <v>19239</v>
      </c>
      <c r="F4685" s="2" t="b">
        <v>1</v>
      </c>
      <c r="G4685" s="2" t="b">
        <v>0</v>
      </c>
      <c r="H4685" s="2" t="s">
        <v>37</v>
      </c>
      <c r="I4685" s="2" t="s">
        <v>49</v>
      </c>
      <c r="J4685" s="2" t="s">
        <v>708</v>
      </c>
      <c r="K4685" s="2" t="s">
        <v>495</v>
      </c>
      <c r="L4685" s="13" t="s">
        <v>496</v>
      </c>
      <c r="M4685" s="2" t="s">
        <v>26</v>
      </c>
      <c r="N4685" s="29"/>
      <c r="O4685" s="29"/>
      <c r="P4685" s="5" t="str">
        <f>IFERROR(__xludf.DUMMYFUNCTION("TEXTJOIN("" | "",TRUE,IF(OR(D4685="""",E4685="""",I4685="""",J4685="""",H4685=""""),""ফাঁকা ঘর"",""""),IF(AND(C4685&lt;&gt;"""",D4685&lt;&gt;"""",C4685=D4685),""gloss=figurative"",""""),IF(LEN(D4685)&lt;15,""figurative ছোট"",""""),IF(AND(I4685=""Positive"",REGEXMATCH(H4"&amp;"685,""মূর্খ|ভণ্ড|প্রতার|অলস|লোভ|স্বার্থ|অক্ষম|অযোগ্য|বোকা|কৃপণ|হিংস"")),""valence-target অমিল"",""""),IF(COUNTIF($B:$B,B4685)&gt;1,""ডুপ্লিকেট"",""""))"),"")</f>
        <v/>
      </c>
      <c r="Q4685" s="5" t="str">
        <f t="shared" si="1"/>
        <v>২ পরে</v>
      </c>
    </row>
    <row r="4686">
      <c r="A4686" s="4">
        <v>2514.0</v>
      </c>
      <c r="B4686" s="2" t="s">
        <v>19240</v>
      </c>
      <c r="C4686" s="2" t="s">
        <v>19241</v>
      </c>
      <c r="D4686" s="2" t="s">
        <v>19242</v>
      </c>
      <c r="E4686" s="2" t="s">
        <v>19243</v>
      </c>
      <c r="F4686" s="2" t="b">
        <v>1</v>
      </c>
      <c r="G4686" s="2" t="b">
        <v>0</v>
      </c>
      <c r="H4686" s="2" t="s">
        <v>37</v>
      </c>
      <c r="I4686" s="2" t="s">
        <v>49</v>
      </c>
      <c r="J4686" s="2" t="s">
        <v>3701</v>
      </c>
      <c r="K4686" s="2" t="s">
        <v>495</v>
      </c>
      <c r="L4686" s="13" t="s">
        <v>496</v>
      </c>
      <c r="M4686" s="2" t="s">
        <v>26</v>
      </c>
      <c r="N4686" s="29"/>
      <c r="O4686" s="29"/>
      <c r="P4686" s="5" t="str">
        <f>IFERROR(__xludf.DUMMYFUNCTION("TEXTJOIN("" | "",TRUE,IF(OR(D4686="""",E4686="""",I4686="""",J4686="""",H4686=""""),""ফাঁকা ঘর"",""""),IF(AND(C4686&lt;&gt;"""",D4686&lt;&gt;"""",C4686=D4686),""gloss=figurative"",""""),IF(LEN(D4686)&lt;15,""figurative ছোট"",""""),IF(AND(I4686=""Positive"",REGEXMATCH(H4"&amp;"686,""মূর্খ|ভণ্ড|প্রতার|অলস|লোভ|স্বার্থ|অক্ষম|অযোগ্য|বোকা|কৃপণ|হিংস"")),""valence-target অমিল"",""""),IF(COUNTIF($B:$B,B4686)&gt;1,""ডুপ্লিকেট"",""""))"),"")</f>
        <v/>
      </c>
      <c r="Q4686" s="5" t="str">
        <f t="shared" si="1"/>
        <v>২ পরে</v>
      </c>
    </row>
    <row r="4687">
      <c r="A4687" s="4">
        <v>2515.0</v>
      </c>
      <c r="B4687" s="2" t="s">
        <v>19244</v>
      </c>
      <c r="C4687" s="2" t="s">
        <v>19245</v>
      </c>
      <c r="D4687" s="2" t="s">
        <v>19246</v>
      </c>
      <c r="E4687" s="2" t="s">
        <v>19247</v>
      </c>
      <c r="F4687" s="2" t="b">
        <v>1</v>
      </c>
      <c r="G4687" s="2" t="b">
        <v>0</v>
      </c>
      <c r="H4687" s="2" t="s">
        <v>37</v>
      </c>
      <c r="I4687" s="2" t="s">
        <v>22</v>
      </c>
      <c r="J4687" s="2" t="s">
        <v>14872</v>
      </c>
      <c r="K4687" s="2" t="s">
        <v>495</v>
      </c>
      <c r="L4687" s="13" t="s">
        <v>496</v>
      </c>
      <c r="M4687" s="2" t="s">
        <v>26</v>
      </c>
      <c r="N4687" s="29"/>
      <c r="O4687" s="29"/>
      <c r="P4687" s="5" t="str">
        <f>IFERROR(__xludf.DUMMYFUNCTION("TEXTJOIN("" | "",TRUE,IF(OR(D4687="""",E4687="""",I4687="""",J4687="""",H4687=""""),""ফাঁকা ঘর"",""""),IF(AND(C4687&lt;&gt;"""",D4687&lt;&gt;"""",C4687=D4687),""gloss=figurative"",""""),IF(LEN(D4687)&lt;15,""figurative ছোট"",""""),IF(AND(I4687=""Positive"",REGEXMATCH(H4"&amp;"687,""মূর্খ|ভণ্ড|প্রতার|অলস|লোভ|স্বার্থ|অক্ষম|অযোগ্য|বোকা|কৃপণ|হিংস"")),""valence-target অমিল"",""""),IF(COUNTIF($B:$B,B4687)&gt;1,""ডুপ্লিকেট"",""""))"),"")</f>
        <v/>
      </c>
      <c r="Q4687" s="5" t="str">
        <f t="shared" si="1"/>
        <v>২ পরে</v>
      </c>
    </row>
    <row r="4688">
      <c r="A4688" s="4">
        <v>2516.0</v>
      </c>
      <c r="B4688" s="2" t="s">
        <v>19248</v>
      </c>
      <c r="C4688" s="2" t="s">
        <v>19249</v>
      </c>
      <c r="D4688" s="2" t="s">
        <v>19250</v>
      </c>
      <c r="E4688" s="2" t="s">
        <v>19251</v>
      </c>
      <c r="F4688" s="2" t="b">
        <v>1</v>
      </c>
      <c r="G4688" s="2" t="b">
        <v>0</v>
      </c>
      <c r="H4688" s="2" t="s">
        <v>37</v>
      </c>
      <c r="I4688" s="2" t="s">
        <v>22</v>
      </c>
      <c r="J4688" s="2" t="s">
        <v>947</v>
      </c>
      <c r="K4688" s="2" t="s">
        <v>495</v>
      </c>
      <c r="L4688" s="13" t="s">
        <v>496</v>
      </c>
      <c r="M4688" s="2" t="s">
        <v>26</v>
      </c>
      <c r="N4688" s="29"/>
      <c r="O4688" s="29"/>
      <c r="P4688" s="5" t="str">
        <f>IFERROR(__xludf.DUMMYFUNCTION("TEXTJOIN("" | "",TRUE,IF(OR(D4688="""",E4688="""",I4688="""",J4688="""",H4688=""""),""ফাঁকা ঘর"",""""),IF(AND(C4688&lt;&gt;"""",D4688&lt;&gt;"""",C4688=D4688),""gloss=figurative"",""""),IF(LEN(D4688)&lt;15,""figurative ছোট"",""""),IF(AND(I4688=""Positive"",REGEXMATCH(H4"&amp;"688,""মূর্খ|ভণ্ড|প্রতার|অলস|লোভ|স্বার্থ|অক্ষম|অযোগ্য|বোকা|কৃপণ|হিংস"")),""valence-target অমিল"",""""),IF(COUNTIF($B:$B,B4688)&gt;1,""ডুপ্লিকেট"",""""))"),"")</f>
        <v/>
      </c>
      <c r="Q4688" s="5" t="str">
        <f t="shared" si="1"/>
        <v>২ পরে</v>
      </c>
    </row>
    <row r="4689">
      <c r="A4689" s="4">
        <v>2517.0</v>
      </c>
      <c r="B4689" s="2" t="s">
        <v>19252</v>
      </c>
      <c r="C4689" s="2" t="s">
        <v>19253</v>
      </c>
      <c r="D4689" s="2" t="s">
        <v>19254</v>
      </c>
      <c r="E4689" s="2" t="s">
        <v>19255</v>
      </c>
      <c r="F4689" s="2" t="b">
        <v>1</v>
      </c>
      <c r="G4689" s="2" t="b">
        <v>0</v>
      </c>
      <c r="H4689" s="2" t="s">
        <v>37</v>
      </c>
      <c r="I4689" s="2" t="s">
        <v>49</v>
      </c>
      <c r="J4689" s="2" t="s">
        <v>581</v>
      </c>
      <c r="K4689" s="2" t="s">
        <v>495</v>
      </c>
      <c r="L4689" s="13" t="s">
        <v>496</v>
      </c>
      <c r="M4689" s="2" t="s">
        <v>26</v>
      </c>
      <c r="N4689" s="29"/>
      <c r="O4689" s="29"/>
      <c r="P4689" s="5" t="str">
        <f>IFERROR(__xludf.DUMMYFUNCTION("TEXTJOIN("" | "",TRUE,IF(OR(D4689="""",E4689="""",I4689="""",J4689="""",H4689=""""),""ফাঁকা ঘর"",""""),IF(AND(C4689&lt;&gt;"""",D4689&lt;&gt;"""",C4689=D4689),""gloss=figurative"",""""),IF(LEN(D4689)&lt;15,""figurative ছোট"",""""),IF(AND(I4689=""Positive"",REGEXMATCH(H4"&amp;"689,""মূর্খ|ভণ্ড|প্রতার|অলস|লোভ|স্বার্থ|অক্ষম|অযোগ্য|বোকা|কৃপণ|হিংস"")),""valence-target অমিল"",""""),IF(COUNTIF($B:$B,B4689)&gt;1,""ডুপ্লিকেট"",""""))"),"")</f>
        <v/>
      </c>
      <c r="Q4689" s="5" t="str">
        <f t="shared" si="1"/>
        <v>২ পরে</v>
      </c>
    </row>
    <row r="4690">
      <c r="A4690" s="4">
        <v>2518.0</v>
      </c>
      <c r="B4690" s="2" t="s">
        <v>19256</v>
      </c>
      <c r="C4690" s="2" t="s">
        <v>19257</v>
      </c>
      <c r="D4690" s="2" t="s">
        <v>19258</v>
      </c>
      <c r="E4690" s="2" t="s">
        <v>19259</v>
      </c>
      <c r="F4690" s="2" t="b">
        <v>1</v>
      </c>
      <c r="G4690" s="2" t="b">
        <v>0</v>
      </c>
      <c r="H4690" s="2" t="s">
        <v>37</v>
      </c>
      <c r="I4690" s="2" t="s">
        <v>22</v>
      </c>
      <c r="J4690" s="2" t="s">
        <v>2165</v>
      </c>
      <c r="K4690" s="2" t="s">
        <v>495</v>
      </c>
      <c r="L4690" s="13" t="s">
        <v>496</v>
      </c>
      <c r="M4690" s="2" t="s">
        <v>26</v>
      </c>
      <c r="N4690" s="29"/>
      <c r="O4690" s="29"/>
      <c r="P4690" s="5" t="str">
        <f>IFERROR(__xludf.DUMMYFUNCTION("TEXTJOIN("" | "",TRUE,IF(OR(D4690="""",E4690="""",I4690="""",J4690="""",H4690=""""),""ফাঁকা ঘর"",""""),IF(AND(C4690&lt;&gt;"""",D4690&lt;&gt;"""",C4690=D4690),""gloss=figurative"",""""),IF(LEN(D4690)&lt;15,""figurative ছোট"",""""),IF(AND(I4690=""Positive"",REGEXMATCH(H4"&amp;"690,""মূর্খ|ভণ্ড|প্রতার|অলস|লোভ|স্বার্থ|অক্ষম|অযোগ্য|বোকা|কৃপণ|হিংস"")),""valence-target অমিল"",""""),IF(COUNTIF($B:$B,B4690)&gt;1,""ডুপ্লিকেট"",""""))"),"")</f>
        <v/>
      </c>
      <c r="Q4690" s="5" t="str">
        <f t="shared" si="1"/>
        <v>২ পরে</v>
      </c>
    </row>
    <row r="4691">
      <c r="A4691" s="4">
        <v>2519.0</v>
      </c>
      <c r="B4691" s="2" t="s">
        <v>19260</v>
      </c>
      <c r="C4691" s="2" t="s">
        <v>19261</v>
      </c>
      <c r="D4691" s="2" t="s">
        <v>19262</v>
      </c>
      <c r="E4691" s="2" t="s">
        <v>19263</v>
      </c>
      <c r="F4691" s="2" t="b">
        <v>1</v>
      </c>
      <c r="G4691" s="2" t="b">
        <v>0</v>
      </c>
      <c r="H4691" s="2" t="s">
        <v>37</v>
      </c>
      <c r="I4691" s="2" t="s">
        <v>32</v>
      </c>
      <c r="J4691" s="2" t="s">
        <v>1621</v>
      </c>
      <c r="K4691" s="2" t="s">
        <v>495</v>
      </c>
      <c r="L4691" s="13" t="s">
        <v>496</v>
      </c>
      <c r="M4691" s="2" t="s">
        <v>26</v>
      </c>
      <c r="N4691" s="29"/>
      <c r="O4691" s="29"/>
      <c r="P4691" s="5" t="str">
        <f>IFERROR(__xludf.DUMMYFUNCTION("TEXTJOIN("" | "",TRUE,IF(OR(D4691="""",E4691="""",I4691="""",J4691="""",H4691=""""),""ফাঁকা ঘর"",""""),IF(AND(C4691&lt;&gt;"""",D4691&lt;&gt;"""",C4691=D4691),""gloss=figurative"",""""),IF(LEN(D4691)&lt;15,""figurative ছোট"",""""),IF(AND(I4691=""Positive"",REGEXMATCH(H4"&amp;"691,""মূর্খ|ভণ্ড|প্রতার|অলস|লোভ|স্বার্থ|অক্ষম|অযোগ্য|বোকা|কৃপণ|হিংস"")),""valence-target অমিল"",""""),IF(COUNTIF($B:$B,B4691)&gt;1,""ডুপ্লিকেট"",""""))"),"")</f>
        <v/>
      </c>
      <c r="Q4691" s="5" t="str">
        <f t="shared" si="1"/>
        <v>২ পরে</v>
      </c>
    </row>
    <row r="4692">
      <c r="A4692" s="4">
        <v>2520.0</v>
      </c>
      <c r="B4692" s="2" t="s">
        <v>19264</v>
      </c>
      <c r="C4692" s="2" t="s">
        <v>19265</v>
      </c>
      <c r="D4692" s="2" t="s">
        <v>19266</v>
      </c>
      <c r="E4692" s="2" t="s">
        <v>19267</v>
      </c>
      <c r="F4692" s="2" t="b">
        <v>1</v>
      </c>
      <c r="G4692" s="2" t="b">
        <v>0</v>
      </c>
      <c r="H4692" s="2" t="s">
        <v>37</v>
      </c>
      <c r="I4692" s="2" t="s">
        <v>32</v>
      </c>
      <c r="J4692" s="2" t="s">
        <v>2833</v>
      </c>
      <c r="K4692" s="2" t="s">
        <v>495</v>
      </c>
      <c r="L4692" s="13" t="s">
        <v>496</v>
      </c>
      <c r="M4692" s="2" t="s">
        <v>26</v>
      </c>
      <c r="N4692" s="29"/>
      <c r="O4692" s="29"/>
      <c r="P4692" s="5" t="str">
        <f>IFERROR(__xludf.DUMMYFUNCTION("TEXTJOIN("" | "",TRUE,IF(OR(D4692="""",E4692="""",I4692="""",J4692="""",H4692=""""),""ফাঁকা ঘর"",""""),IF(AND(C4692&lt;&gt;"""",D4692&lt;&gt;"""",C4692=D4692),""gloss=figurative"",""""),IF(LEN(D4692)&lt;15,""figurative ছোট"",""""),IF(AND(I4692=""Positive"",REGEXMATCH(H4"&amp;"692,""মূর্খ|ভণ্ড|প্রতার|অলস|লোভ|স্বার্থ|অক্ষম|অযোগ্য|বোকা|কৃপণ|হিংস"")),""valence-target অমিল"",""""),IF(COUNTIF($B:$B,B4692)&gt;1,""ডুপ্লিকেট"",""""))"),"")</f>
        <v/>
      </c>
      <c r="Q4692" s="5" t="str">
        <f t="shared" si="1"/>
        <v>২ পরে</v>
      </c>
    </row>
    <row r="4693">
      <c r="A4693" s="4">
        <v>2521.0</v>
      </c>
      <c r="B4693" s="2" t="s">
        <v>19268</v>
      </c>
      <c r="C4693" s="2" t="s">
        <v>19269</v>
      </c>
      <c r="D4693" s="2" t="s">
        <v>19270</v>
      </c>
      <c r="E4693" s="2" t="s">
        <v>19271</v>
      </c>
      <c r="F4693" s="2" t="b">
        <v>1</v>
      </c>
      <c r="G4693" s="2" t="b">
        <v>0</v>
      </c>
      <c r="H4693" s="2" t="s">
        <v>37</v>
      </c>
      <c r="I4693" s="2" t="s">
        <v>49</v>
      </c>
      <c r="J4693" s="2" t="s">
        <v>300</v>
      </c>
      <c r="K4693" s="2" t="s">
        <v>495</v>
      </c>
      <c r="L4693" s="13" t="s">
        <v>496</v>
      </c>
      <c r="M4693" s="2" t="s">
        <v>26</v>
      </c>
      <c r="N4693" s="29"/>
      <c r="O4693" s="29"/>
      <c r="P4693" s="5" t="str">
        <f>IFERROR(__xludf.DUMMYFUNCTION("TEXTJOIN("" | "",TRUE,IF(OR(D4693="""",E4693="""",I4693="""",J4693="""",H4693=""""),""ফাঁকা ঘর"",""""),IF(AND(C4693&lt;&gt;"""",D4693&lt;&gt;"""",C4693=D4693),""gloss=figurative"",""""),IF(LEN(D4693)&lt;15,""figurative ছোট"",""""),IF(AND(I4693=""Positive"",REGEXMATCH(H4"&amp;"693,""মূর্খ|ভণ্ড|প্রতার|অলস|লোভ|স্বার্থ|অক্ষম|অযোগ্য|বোকা|কৃপণ|হিংস"")),""valence-target অমিল"",""""),IF(COUNTIF($B:$B,B4693)&gt;1,""ডুপ্লিকেট"",""""))"),"")</f>
        <v/>
      </c>
      <c r="Q4693" s="5" t="str">
        <f t="shared" si="1"/>
        <v>২ পরে</v>
      </c>
    </row>
    <row r="4694">
      <c r="A4694" s="4">
        <v>2522.0</v>
      </c>
      <c r="B4694" s="2" t="s">
        <v>19272</v>
      </c>
      <c r="C4694" s="2" t="s">
        <v>19273</v>
      </c>
      <c r="D4694" s="2" t="s">
        <v>19274</v>
      </c>
      <c r="E4694" s="2" t="s">
        <v>19275</v>
      </c>
      <c r="F4694" s="2" t="b">
        <v>1</v>
      </c>
      <c r="G4694" s="2" t="b">
        <v>0</v>
      </c>
      <c r="H4694" s="2" t="s">
        <v>37</v>
      </c>
      <c r="I4694" s="2" t="s">
        <v>22</v>
      </c>
      <c r="J4694" s="2" t="s">
        <v>4284</v>
      </c>
      <c r="K4694" s="2" t="s">
        <v>495</v>
      </c>
      <c r="L4694" s="13" t="s">
        <v>496</v>
      </c>
      <c r="M4694" s="2" t="s">
        <v>26</v>
      </c>
      <c r="N4694" s="29"/>
      <c r="O4694" s="29"/>
      <c r="P4694" s="5" t="str">
        <f>IFERROR(__xludf.DUMMYFUNCTION("TEXTJOIN("" | "",TRUE,IF(OR(D4694="""",E4694="""",I4694="""",J4694="""",H4694=""""),""ফাঁকা ঘর"",""""),IF(AND(C4694&lt;&gt;"""",D4694&lt;&gt;"""",C4694=D4694),""gloss=figurative"",""""),IF(LEN(D4694)&lt;15,""figurative ছোট"",""""),IF(AND(I4694=""Positive"",REGEXMATCH(H4"&amp;"694,""মূর্খ|ভণ্ড|প্রতার|অলস|লোভ|স্বার্থ|অক্ষম|অযোগ্য|বোকা|কৃপণ|হিংস"")),""valence-target অমিল"",""""),IF(COUNTIF($B:$B,B4694)&gt;1,""ডুপ্লিকেট"",""""))"),"")</f>
        <v/>
      </c>
      <c r="Q4694" s="5" t="str">
        <f t="shared" si="1"/>
        <v>২ পরে</v>
      </c>
    </row>
    <row r="4695">
      <c r="A4695" s="4">
        <v>2523.0</v>
      </c>
      <c r="B4695" s="2" t="s">
        <v>19276</v>
      </c>
      <c r="C4695" s="2" t="s">
        <v>19277</v>
      </c>
      <c r="D4695" s="2" t="s">
        <v>19278</v>
      </c>
      <c r="E4695" s="2" t="s">
        <v>19279</v>
      </c>
      <c r="F4695" s="2" t="b">
        <v>1</v>
      </c>
      <c r="G4695" s="2" t="b">
        <v>0</v>
      </c>
      <c r="H4695" s="2" t="s">
        <v>37</v>
      </c>
      <c r="I4695" s="2" t="s">
        <v>32</v>
      </c>
      <c r="J4695" s="2" t="s">
        <v>19280</v>
      </c>
      <c r="K4695" s="2" t="s">
        <v>495</v>
      </c>
      <c r="L4695" s="13" t="s">
        <v>496</v>
      </c>
      <c r="M4695" s="2" t="s">
        <v>26</v>
      </c>
      <c r="N4695" s="29"/>
      <c r="O4695" s="29"/>
      <c r="P4695" s="5" t="str">
        <f>IFERROR(__xludf.DUMMYFUNCTION("TEXTJOIN("" | "",TRUE,IF(OR(D4695="""",E4695="""",I4695="""",J4695="""",H4695=""""),""ফাঁকা ঘর"",""""),IF(AND(C4695&lt;&gt;"""",D4695&lt;&gt;"""",C4695=D4695),""gloss=figurative"",""""),IF(LEN(D4695)&lt;15,""figurative ছোট"",""""),IF(AND(I4695=""Positive"",REGEXMATCH(H4"&amp;"695,""মূর্খ|ভণ্ড|প্রতার|অলস|লোভ|স্বার্থ|অক্ষম|অযোগ্য|বোকা|কৃপণ|হিংস"")),""valence-target অমিল"",""""),IF(COUNTIF($B:$B,B4695)&gt;1,""ডুপ্লিকেট"",""""))"),"")</f>
        <v/>
      </c>
      <c r="Q4695" s="5" t="str">
        <f t="shared" si="1"/>
        <v>২ পরে</v>
      </c>
    </row>
    <row r="4696">
      <c r="A4696" s="4">
        <v>2524.0</v>
      </c>
      <c r="B4696" s="2" t="s">
        <v>19281</v>
      </c>
      <c r="C4696" s="2" t="s">
        <v>19282</v>
      </c>
      <c r="D4696" s="2" t="s">
        <v>19283</v>
      </c>
      <c r="E4696" s="2" t="s">
        <v>19284</v>
      </c>
      <c r="F4696" s="2" t="b">
        <v>1</v>
      </c>
      <c r="G4696" s="2" t="b">
        <v>0</v>
      </c>
      <c r="H4696" s="2" t="s">
        <v>37</v>
      </c>
      <c r="I4696" s="2" t="s">
        <v>22</v>
      </c>
      <c r="J4696" s="2" t="s">
        <v>947</v>
      </c>
      <c r="K4696" s="2" t="s">
        <v>495</v>
      </c>
      <c r="L4696" s="13" t="s">
        <v>496</v>
      </c>
      <c r="M4696" s="2" t="s">
        <v>26</v>
      </c>
      <c r="N4696" s="29"/>
      <c r="O4696" s="29"/>
      <c r="P4696" s="5" t="str">
        <f>IFERROR(__xludf.DUMMYFUNCTION("TEXTJOIN("" | "",TRUE,IF(OR(D4696="""",E4696="""",I4696="""",J4696="""",H4696=""""),""ফাঁকা ঘর"",""""),IF(AND(C4696&lt;&gt;"""",D4696&lt;&gt;"""",C4696=D4696),""gloss=figurative"",""""),IF(LEN(D4696)&lt;15,""figurative ছোট"",""""),IF(AND(I4696=""Positive"",REGEXMATCH(H4"&amp;"696,""মূর্খ|ভণ্ড|প্রতার|অলস|লোভ|স্বার্থ|অক্ষম|অযোগ্য|বোকা|কৃপণ|হিংস"")),""valence-target অমিল"",""""),IF(COUNTIF($B:$B,B4696)&gt;1,""ডুপ্লিকেট"",""""))"),"")</f>
        <v/>
      </c>
      <c r="Q4696" s="5" t="str">
        <f t="shared" si="1"/>
        <v>২ পরে</v>
      </c>
    </row>
    <row r="4697">
      <c r="A4697" s="4">
        <v>2525.0</v>
      </c>
      <c r="B4697" s="2" t="s">
        <v>19285</v>
      </c>
      <c r="C4697" s="2" t="s">
        <v>19285</v>
      </c>
      <c r="D4697" s="2" t="s">
        <v>19286</v>
      </c>
      <c r="E4697" s="2" t="s">
        <v>19287</v>
      </c>
      <c r="F4697" s="2" t="b">
        <v>1</v>
      </c>
      <c r="G4697" s="2" t="b">
        <v>0</v>
      </c>
      <c r="H4697" s="2" t="s">
        <v>37</v>
      </c>
      <c r="I4697" s="2" t="s">
        <v>49</v>
      </c>
      <c r="J4697" s="2" t="s">
        <v>708</v>
      </c>
      <c r="K4697" s="2" t="s">
        <v>495</v>
      </c>
      <c r="L4697" s="13" t="s">
        <v>496</v>
      </c>
      <c r="M4697" s="2" t="s">
        <v>26</v>
      </c>
      <c r="N4697" s="29"/>
      <c r="O4697" s="29"/>
      <c r="P4697" s="5" t="str">
        <f>IFERROR(__xludf.DUMMYFUNCTION("TEXTJOIN("" | "",TRUE,IF(OR(D4697="""",E4697="""",I4697="""",J4697="""",H4697=""""),""ফাঁকা ঘর"",""""),IF(AND(C4697&lt;&gt;"""",D4697&lt;&gt;"""",C4697=D4697),""gloss=figurative"",""""),IF(LEN(D4697)&lt;15,""figurative ছোট"",""""),IF(AND(I4697=""Positive"",REGEXMATCH(H4"&amp;"697,""মূর্খ|ভণ্ড|প্রতার|অলস|লোভ|স্বার্থ|অক্ষম|অযোগ্য|বোকা|কৃপণ|হিংস"")),""valence-target অমিল"",""""),IF(COUNTIF($B:$B,B4697)&gt;1,""ডুপ্লিকেট"",""""))"),"")</f>
        <v/>
      </c>
      <c r="Q4697" s="5" t="str">
        <f t="shared" si="1"/>
        <v>২ পরে</v>
      </c>
    </row>
    <row r="4698">
      <c r="A4698" s="4">
        <v>2526.0</v>
      </c>
      <c r="B4698" s="2" t="s">
        <v>19288</v>
      </c>
      <c r="C4698" s="2" t="s">
        <v>19289</v>
      </c>
      <c r="D4698" s="2" t="s">
        <v>19290</v>
      </c>
      <c r="E4698" s="2" t="s">
        <v>19291</v>
      </c>
      <c r="F4698" s="2" t="b">
        <v>1</v>
      </c>
      <c r="G4698" s="2" t="b">
        <v>0</v>
      </c>
      <c r="H4698" s="2" t="s">
        <v>37</v>
      </c>
      <c r="I4698" s="2" t="s">
        <v>22</v>
      </c>
      <c r="J4698" s="2" t="s">
        <v>565</v>
      </c>
      <c r="K4698" s="2" t="s">
        <v>495</v>
      </c>
      <c r="L4698" s="13" t="s">
        <v>496</v>
      </c>
      <c r="M4698" s="2" t="s">
        <v>26</v>
      </c>
      <c r="N4698" s="29"/>
      <c r="O4698" s="29"/>
      <c r="P4698" s="5" t="str">
        <f>IFERROR(__xludf.DUMMYFUNCTION("TEXTJOIN("" | "",TRUE,IF(OR(D4698="""",E4698="""",I4698="""",J4698="""",H4698=""""),""ফাঁকা ঘর"",""""),IF(AND(C4698&lt;&gt;"""",D4698&lt;&gt;"""",C4698=D4698),""gloss=figurative"",""""),IF(LEN(D4698)&lt;15,""figurative ছোট"",""""),IF(AND(I4698=""Positive"",REGEXMATCH(H4"&amp;"698,""মূর্খ|ভণ্ড|প্রতার|অলস|লোভ|স্বার্থ|অক্ষম|অযোগ্য|বোকা|কৃপণ|হিংস"")),""valence-target অমিল"",""""),IF(COUNTIF($B:$B,B4698)&gt;1,""ডুপ্লিকেট"",""""))"),"")</f>
        <v/>
      </c>
      <c r="Q4698" s="5" t="str">
        <f t="shared" si="1"/>
        <v>২ পরে</v>
      </c>
    </row>
    <row r="4699">
      <c r="A4699" s="4">
        <v>2527.0</v>
      </c>
      <c r="B4699" s="2" t="s">
        <v>19292</v>
      </c>
      <c r="C4699" s="2" t="s">
        <v>19293</v>
      </c>
      <c r="D4699" s="2" t="s">
        <v>19294</v>
      </c>
      <c r="E4699" s="2" t="s">
        <v>19295</v>
      </c>
      <c r="F4699" s="2" t="b">
        <v>1</v>
      </c>
      <c r="G4699" s="2" t="b">
        <v>0</v>
      </c>
      <c r="H4699" s="2" t="s">
        <v>37</v>
      </c>
      <c r="I4699" s="2" t="s">
        <v>49</v>
      </c>
      <c r="J4699" s="2" t="s">
        <v>565</v>
      </c>
      <c r="K4699" s="2" t="s">
        <v>495</v>
      </c>
      <c r="L4699" s="13" t="s">
        <v>496</v>
      </c>
      <c r="M4699" s="2" t="s">
        <v>26</v>
      </c>
      <c r="N4699" s="29"/>
      <c r="O4699" s="29"/>
      <c r="P4699" s="5" t="str">
        <f>IFERROR(__xludf.DUMMYFUNCTION("TEXTJOIN("" | "",TRUE,IF(OR(D4699="""",E4699="""",I4699="""",J4699="""",H4699=""""),""ফাঁকা ঘর"",""""),IF(AND(C4699&lt;&gt;"""",D4699&lt;&gt;"""",C4699=D4699),""gloss=figurative"",""""),IF(LEN(D4699)&lt;15,""figurative ছোট"",""""),IF(AND(I4699=""Positive"",REGEXMATCH(H4"&amp;"699,""মূর্খ|ভণ্ড|প্রতার|অলস|লোভ|স্বার্থ|অক্ষম|অযোগ্য|বোকা|কৃপণ|হিংস"")),""valence-target অমিল"",""""),IF(COUNTIF($B:$B,B4699)&gt;1,""ডুপ্লিকেট"",""""))"),"")</f>
        <v/>
      </c>
      <c r="Q4699" s="5" t="str">
        <f t="shared" si="1"/>
        <v>২ পরে</v>
      </c>
    </row>
    <row r="4700">
      <c r="A4700" s="4">
        <v>2528.0</v>
      </c>
      <c r="B4700" s="2" t="s">
        <v>19296</v>
      </c>
      <c r="C4700" s="2" t="s">
        <v>19297</v>
      </c>
      <c r="D4700" s="2" t="s">
        <v>19298</v>
      </c>
      <c r="E4700" s="2" t="s">
        <v>16184</v>
      </c>
      <c r="F4700" s="2" t="b">
        <v>1</v>
      </c>
      <c r="G4700" s="2" t="b">
        <v>0</v>
      </c>
      <c r="H4700" s="2" t="s">
        <v>37</v>
      </c>
      <c r="I4700" s="2" t="s">
        <v>22</v>
      </c>
      <c r="J4700" s="2" t="s">
        <v>300</v>
      </c>
      <c r="K4700" s="2" t="s">
        <v>495</v>
      </c>
      <c r="L4700" s="13" t="s">
        <v>496</v>
      </c>
      <c r="M4700" s="2" t="s">
        <v>26</v>
      </c>
      <c r="N4700" s="29"/>
      <c r="O4700" s="29"/>
      <c r="P4700" s="5" t="str">
        <f>IFERROR(__xludf.DUMMYFUNCTION("TEXTJOIN("" | "",TRUE,IF(OR(D4700="""",E4700="""",I4700="""",J4700="""",H4700=""""),""ফাঁকা ঘর"",""""),IF(AND(C4700&lt;&gt;"""",D4700&lt;&gt;"""",C4700=D4700),""gloss=figurative"",""""),IF(LEN(D4700)&lt;15,""figurative ছোট"",""""),IF(AND(I4700=""Positive"",REGEXMATCH(H4"&amp;"700,""মূর্খ|ভণ্ড|প্রতার|অলস|লোভ|স্বার্থ|অক্ষম|অযোগ্য|বোকা|কৃপণ|হিংস"")),""valence-target অমিল"",""""),IF(COUNTIF($B:$B,B4700)&gt;1,""ডুপ্লিকেট"",""""))"),"")</f>
        <v/>
      </c>
      <c r="Q4700" s="5" t="str">
        <f t="shared" si="1"/>
        <v>২ পরে</v>
      </c>
    </row>
    <row r="4701">
      <c r="A4701" s="4">
        <v>2529.0</v>
      </c>
      <c r="B4701" s="2" t="s">
        <v>19299</v>
      </c>
      <c r="C4701" s="2" t="s">
        <v>19300</v>
      </c>
      <c r="D4701" s="2" t="s">
        <v>19301</v>
      </c>
      <c r="E4701" s="2" t="s">
        <v>19302</v>
      </c>
      <c r="F4701" s="2" t="b">
        <v>1</v>
      </c>
      <c r="G4701" s="2" t="b">
        <v>0</v>
      </c>
      <c r="H4701" s="2" t="s">
        <v>37</v>
      </c>
      <c r="I4701" s="2" t="s">
        <v>49</v>
      </c>
      <c r="J4701" s="2" t="s">
        <v>1008</v>
      </c>
      <c r="K4701" s="2" t="s">
        <v>495</v>
      </c>
      <c r="L4701" s="13" t="s">
        <v>496</v>
      </c>
      <c r="M4701" s="2" t="s">
        <v>26</v>
      </c>
      <c r="N4701" s="29"/>
      <c r="O4701" s="29"/>
      <c r="P4701" s="5" t="str">
        <f>IFERROR(__xludf.DUMMYFUNCTION("TEXTJOIN("" | "",TRUE,IF(OR(D4701="""",E4701="""",I4701="""",J4701="""",H4701=""""),""ফাঁকা ঘর"",""""),IF(AND(C4701&lt;&gt;"""",D4701&lt;&gt;"""",C4701=D4701),""gloss=figurative"",""""),IF(LEN(D4701)&lt;15,""figurative ছোট"",""""),IF(AND(I4701=""Positive"",REGEXMATCH(H4"&amp;"701,""মূর্খ|ভণ্ড|প্রতার|অলস|লোভ|স্বার্থ|অক্ষম|অযোগ্য|বোকা|কৃপণ|হিংস"")),""valence-target অমিল"",""""),IF(COUNTIF($B:$B,B4701)&gt;1,""ডুপ্লিকেট"",""""))"),"")</f>
        <v/>
      </c>
      <c r="Q4701" s="5" t="str">
        <f t="shared" si="1"/>
        <v>২ পরে</v>
      </c>
    </row>
    <row r="4702">
      <c r="A4702" s="4">
        <v>2530.0</v>
      </c>
      <c r="B4702" s="2" t="s">
        <v>19303</v>
      </c>
      <c r="C4702" s="2" t="s">
        <v>19304</v>
      </c>
      <c r="D4702" s="2" t="s">
        <v>19305</v>
      </c>
      <c r="E4702" s="2" t="s">
        <v>19306</v>
      </c>
      <c r="F4702" s="2" t="b">
        <v>1</v>
      </c>
      <c r="G4702" s="2" t="b">
        <v>0</v>
      </c>
      <c r="H4702" s="2" t="s">
        <v>37</v>
      </c>
      <c r="I4702" s="2" t="s">
        <v>49</v>
      </c>
      <c r="J4702" s="2" t="s">
        <v>814</v>
      </c>
      <c r="K4702" s="2" t="s">
        <v>495</v>
      </c>
      <c r="L4702" s="13" t="s">
        <v>496</v>
      </c>
      <c r="M4702" s="2" t="s">
        <v>26</v>
      </c>
      <c r="N4702" s="29"/>
      <c r="O4702" s="29"/>
      <c r="P4702" s="5" t="str">
        <f>IFERROR(__xludf.DUMMYFUNCTION("TEXTJOIN("" | "",TRUE,IF(OR(D4702="""",E4702="""",I4702="""",J4702="""",H4702=""""),""ফাঁকা ঘর"",""""),IF(AND(C4702&lt;&gt;"""",D4702&lt;&gt;"""",C4702=D4702),""gloss=figurative"",""""),IF(LEN(D4702)&lt;15,""figurative ছোট"",""""),IF(AND(I4702=""Positive"",REGEXMATCH(H4"&amp;"702,""মূর্খ|ভণ্ড|প্রতার|অলস|লোভ|স্বার্থ|অক্ষম|অযোগ্য|বোকা|কৃপণ|হিংস"")),""valence-target অমিল"",""""),IF(COUNTIF($B:$B,B4702)&gt;1,""ডুপ্লিকেট"",""""))"),"")</f>
        <v/>
      </c>
      <c r="Q4702" s="5" t="str">
        <f t="shared" si="1"/>
        <v>২ পরে</v>
      </c>
    </row>
    <row r="4703">
      <c r="A4703" s="4">
        <v>2531.0</v>
      </c>
      <c r="B4703" s="2" t="s">
        <v>19307</v>
      </c>
      <c r="C4703" s="2" t="s">
        <v>19308</v>
      </c>
      <c r="D4703" s="2" t="s">
        <v>19309</v>
      </c>
      <c r="E4703" s="2" t="s">
        <v>19310</v>
      </c>
      <c r="F4703" s="2" t="b">
        <v>1</v>
      </c>
      <c r="G4703" s="2" t="b">
        <v>0</v>
      </c>
      <c r="H4703" s="2" t="s">
        <v>37</v>
      </c>
      <c r="I4703" s="2" t="s">
        <v>32</v>
      </c>
      <c r="J4703" s="2" t="s">
        <v>553</v>
      </c>
      <c r="K4703" s="2" t="s">
        <v>495</v>
      </c>
      <c r="L4703" s="13" t="s">
        <v>496</v>
      </c>
      <c r="M4703" s="2" t="s">
        <v>26</v>
      </c>
      <c r="N4703" s="29"/>
      <c r="O4703" s="29"/>
      <c r="P4703" s="5" t="str">
        <f>IFERROR(__xludf.DUMMYFUNCTION("TEXTJOIN("" | "",TRUE,IF(OR(D4703="""",E4703="""",I4703="""",J4703="""",H4703=""""),""ফাঁকা ঘর"",""""),IF(AND(C4703&lt;&gt;"""",D4703&lt;&gt;"""",C4703=D4703),""gloss=figurative"",""""),IF(LEN(D4703)&lt;15,""figurative ছোট"",""""),IF(AND(I4703=""Positive"",REGEXMATCH(H4"&amp;"703,""মূর্খ|ভণ্ড|প্রতার|অলস|লোভ|স্বার্থ|অক্ষম|অযোগ্য|বোকা|কৃপণ|হিংস"")),""valence-target অমিল"",""""),IF(COUNTIF($B:$B,B4703)&gt;1,""ডুপ্লিকেট"",""""))"),"")</f>
        <v/>
      </c>
      <c r="Q4703" s="5" t="str">
        <f t="shared" si="1"/>
        <v>২ পরে</v>
      </c>
    </row>
    <row r="4704">
      <c r="A4704" s="4">
        <v>2532.0</v>
      </c>
      <c r="B4704" s="2" t="s">
        <v>19311</v>
      </c>
      <c r="C4704" s="2" t="s">
        <v>19312</v>
      </c>
      <c r="D4704" s="2" t="s">
        <v>19313</v>
      </c>
      <c r="E4704" s="2" t="s">
        <v>19314</v>
      </c>
      <c r="F4704" s="2" t="b">
        <v>1</v>
      </c>
      <c r="G4704" s="2" t="b">
        <v>0</v>
      </c>
      <c r="H4704" s="2" t="s">
        <v>37</v>
      </c>
      <c r="I4704" s="2" t="s">
        <v>49</v>
      </c>
      <c r="J4704" s="2" t="s">
        <v>19315</v>
      </c>
      <c r="K4704" s="2" t="s">
        <v>495</v>
      </c>
      <c r="L4704" s="13" t="s">
        <v>496</v>
      </c>
      <c r="M4704" s="2" t="s">
        <v>26</v>
      </c>
      <c r="N4704" s="29"/>
      <c r="O4704" s="29"/>
      <c r="P4704" s="5" t="str">
        <f>IFERROR(__xludf.DUMMYFUNCTION("TEXTJOIN("" | "",TRUE,IF(OR(D4704="""",E4704="""",I4704="""",J4704="""",H4704=""""),""ফাঁকা ঘর"",""""),IF(AND(C4704&lt;&gt;"""",D4704&lt;&gt;"""",C4704=D4704),""gloss=figurative"",""""),IF(LEN(D4704)&lt;15,""figurative ছোট"",""""),IF(AND(I4704=""Positive"",REGEXMATCH(H4"&amp;"704,""মূর্খ|ভণ্ড|প্রতার|অলস|লোভ|স্বার্থ|অক্ষম|অযোগ্য|বোকা|কৃপণ|হিংস"")),""valence-target অমিল"",""""),IF(COUNTIF($B:$B,B4704)&gt;1,""ডুপ্লিকেট"",""""))"),"")</f>
        <v/>
      </c>
      <c r="Q4704" s="5" t="str">
        <f t="shared" si="1"/>
        <v>২ পরে</v>
      </c>
    </row>
    <row r="4705">
      <c r="A4705" s="4">
        <v>2533.0</v>
      </c>
      <c r="B4705" s="2" t="s">
        <v>19316</v>
      </c>
      <c r="C4705" s="2" t="s">
        <v>10831</v>
      </c>
      <c r="D4705" s="2" t="s">
        <v>19317</v>
      </c>
      <c r="E4705" s="2" t="s">
        <v>19033</v>
      </c>
      <c r="F4705" s="2" t="b">
        <v>1</v>
      </c>
      <c r="G4705" s="2" t="b">
        <v>0</v>
      </c>
      <c r="H4705" s="2" t="s">
        <v>37</v>
      </c>
      <c r="I4705" s="2" t="s">
        <v>49</v>
      </c>
      <c r="J4705" s="2" t="s">
        <v>1111</v>
      </c>
      <c r="K4705" s="2" t="s">
        <v>495</v>
      </c>
      <c r="L4705" s="13" t="s">
        <v>496</v>
      </c>
      <c r="M4705" s="2" t="s">
        <v>26</v>
      </c>
      <c r="N4705" s="29"/>
      <c r="O4705" s="29"/>
      <c r="P4705" s="5" t="str">
        <f>IFERROR(__xludf.DUMMYFUNCTION("TEXTJOIN("" | "",TRUE,IF(OR(D4705="""",E4705="""",I4705="""",J4705="""",H4705=""""),""ফাঁকা ঘর"",""""),IF(AND(C4705&lt;&gt;"""",D4705&lt;&gt;"""",C4705=D4705),""gloss=figurative"",""""),IF(LEN(D4705)&lt;15,""figurative ছোট"",""""),IF(AND(I4705=""Positive"",REGEXMATCH(H4"&amp;"705,""মূর্খ|ভণ্ড|প্রতার|অলস|লোভ|স্বার্থ|অক্ষম|অযোগ্য|বোকা|কৃপণ|হিংস"")),""valence-target অমিল"",""""),IF(COUNTIF($B:$B,B4705)&gt;1,""ডুপ্লিকেট"",""""))"),"")</f>
        <v/>
      </c>
      <c r="Q4705" s="5" t="str">
        <f t="shared" si="1"/>
        <v>২ পরে</v>
      </c>
    </row>
    <row r="4706">
      <c r="A4706" s="4">
        <v>2535.0</v>
      </c>
      <c r="B4706" s="2" t="s">
        <v>19318</v>
      </c>
      <c r="C4706" s="2" t="s">
        <v>19318</v>
      </c>
      <c r="D4706" s="2" t="s">
        <v>19319</v>
      </c>
      <c r="E4706" s="2" t="s">
        <v>19320</v>
      </c>
      <c r="F4706" s="2" t="b">
        <v>1</v>
      </c>
      <c r="G4706" s="2" t="b">
        <v>0</v>
      </c>
      <c r="H4706" s="2" t="s">
        <v>18896</v>
      </c>
      <c r="I4706" s="2" t="s">
        <v>32</v>
      </c>
      <c r="J4706" s="2" t="s">
        <v>413</v>
      </c>
      <c r="K4706" s="2" t="s">
        <v>495</v>
      </c>
      <c r="L4706" s="13" t="s">
        <v>496</v>
      </c>
      <c r="M4706" s="2" t="s">
        <v>26</v>
      </c>
      <c r="N4706" s="29"/>
      <c r="O4706" s="29"/>
      <c r="P4706" s="5" t="str">
        <f>IFERROR(__xludf.DUMMYFUNCTION("TEXTJOIN("" | "",TRUE,IF(OR(D4706="""",E4706="""",I4706="""",J4706="""",H4706=""""),""ফাঁকা ঘর"",""""),IF(AND(C4706&lt;&gt;"""",D4706&lt;&gt;"""",C4706=D4706),""gloss=figurative"",""""),IF(LEN(D4706)&lt;15,""figurative ছোট"",""""),IF(AND(I4706=""Positive"",REGEXMATCH(H4"&amp;"706,""মূর্খ|ভণ্ড|প্রতার|অলস|লোভ|স্বার্থ|অক্ষম|অযোগ্য|বোকা|কৃপণ|হিংস"")),""valence-target অমিল"",""""),IF(COUNTIF($B:$B,B4706)&gt;1,""ডুপ্লিকেট"",""""))"),"")</f>
        <v/>
      </c>
      <c r="Q4706" s="5" t="str">
        <f t="shared" si="1"/>
        <v>২ পরে</v>
      </c>
    </row>
    <row r="4707">
      <c r="A4707" s="4">
        <v>2536.0</v>
      </c>
      <c r="B4707" s="2" t="s">
        <v>10970</v>
      </c>
      <c r="C4707" s="2" t="s">
        <v>19321</v>
      </c>
      <c r="D4707" s="2" t="s">
        <v>19322</v>
      </c>
      <c r="E4707" s="2" t="s">
        <v>19323</v>
      </c>
      <c r="F4707" s="2" t="b">
        <v>1</v>
      </c>
      <c r="G4707" s="2" t="b">
        <v>0</v>
      </c>
      <c r="H4707" s="2" t="s">
        <v>37</v>
      </c>
      <c r="I4707" s="2" t="s">
        <v>49</v>
      </c>
      <c r="J4707" s="2" t="s">
        <v>538</v>
      </c>
      <c r="K4707" s="2" t="s">
        <v>495</v>
      </c>
      <c r="L4707" s="13" t="s">
        <v>496</v>
      </c>
      <c r="M4707" s="2" t="s">
        <v>26</v>
      </c>
      <c r="N4707" s="29"/>
      <c r="O4707" s="29"/>
      <c r="P4707" s="5" t="str">
        <f>IFERROR(__xludf.DUMMYFUNCTION("TEXTJOIN("" | "",TRUE,IF(OR(D4707="""",E4707="""",I4707="""",J4707="""",H4707=""""),""ফাঁকা ঘর"",""""),IF(AND(C4707&lt;&gt;"""",D4707&lt;&gt;"""",C4707=D4707),""gloss=figurative"",""""),IF(LEN(D4707)&lt;15,""figurative ছোট"",""""),IF(AND(I4707=""Positive"",REGEXMATCH(H4"&amp;"707,""মূর্খ|ভণ্ড|প্রতার|অলস|লোভ|স্বার্থ|অক্ষম|অযোগ্য|বোকা|কৃপণ|হিংস"")),""valence-target অমিল"",""""),IF(COUNTIF($B:$B,B4707)&gt;1,""ডুপ্লিকেট"",""""))"),"")</f>
        <v/>
      </c>
      <c r="Q4707" s="5" t="str">
        <f t="shared" si="1"/>
        <v>২ পরে</v>
      </c>
    </row>
    <row r="4708">
      <c r="A4708" s="4">
        <v>2537.0</v>
      </c>
      <c r="B4708" s="2" t="s">
        <v>19324</v>
      </c>
      <c r="C4708" s="2" t="s">
        <v>19325</v>
      </c>
      <c r="D4708" s="2" t="s">
        <v>19326</v>
      </c>
      <c r="E4708" s="2" t="s">
        <v>19327</v>
      </c>
      <c r="F4708" s="2" t="b">
        <v>1</v>
      </c>
      <c r="G4708" s="2" t="b">
        <v>0</v>
      </c>
      <c r="H4708" s="2" t="s">
        <v>1686</v>
      </c>
      <c r="I4708" s="2" t="s">
        <v>22</v>
      </c>
      <c r="J4708" s="2" t="s">
        <v>3501</v>
      </c>
      <c r="K4708" s="2" t="s">
        <v>495</v>
      </c>
      <c r="L4708" s="13" t="s">
        <v>496</v>
      </c>
      <c r="M4708" s="2" t="s">
        <v>26</v>
      </c>
      <c r="N4708" s="29"/>
      <c r="O4708" s="29"/>
      <c r="P4708" s="5" t="str">
        <f>IFERROR(__xludf.DUMMYFUNCTION("TEXTJOIN("" | "",TRUE,IF(OR(D4708="""",E4708="""",I4708="""",J4708="""",H4708=""""),""ফাঁকা ঘর"",""""),IF(AND(C4708&lt;&gt;"""",D4708&lt;&gt;"""",C4708=D4708),""gloss=figurative"",""""),IF(LEN(D4708)&lt;15,""figurative ছোট"",""""),IF(AND(I4708=""Positive"",REGEXMATCH(H4"&amp;"708,""মূর্খ|ভণ্ড|প্রতার|অলস|লোভ|স্বার্থ|অক্ষম|অযোগ্য|বোকা|কৃপণ|হিংস"")),""valence-target অমিল"",""""),IF(COUNTIF($B:$B,B4708)&gt;1,""ডুপ্লিকেট"",""""))"),"")</f>
        <v/>
      </c>
      <c r="Q4708" s="5" t="str">
        <f t="shared" si="1"/>
        <v>২ পরে</v>
      </c>
    </row>
    <row r="4709">
      <c r="A4709" s="4">
        <v>2538.0</v>
      </c>
      <c r="B4709" s="2" t="s">
        <v>19328</v>
      </c>
      <c r="C4709" s="2" t="s">
        <v>19329</v>
      </c>
      <c r="D4709" s="2" t="s">
        <v>19330</v>
      </c>
      <c r="E4709" s="2" t="s">
        <v>19331</v>
      </c>
      <c r="F4709" s="2" t="b">
        <v>1</v>
      </c>
      <c r="G4709" s="2" t="b">
        <v>0</v>
      </c>
      <c r="H4709" s="2" t="s">
        <v>19332</v>
      </c>
      <c r="I4709" s="2" t="s">
        <v>22</v>
      </c>
      <c r="J4709" s="2" t="s">
        <v>669</v>
      </c>
      <c r="K4709" s="2" t="s">
        <v>495</v>
      </c>
      <c r="L4709" s="13" t="s">
        <v>496</v>
      </c>
      <c r="M4709" s="2" t="s">
        <v>26</v>
      </c>
      <c r="N4709" s="29"/>
      <c r="O4709" s="29"/>
      <c r="P4709" s="5" t="str">
        <f>IFERROR(__xludf.DUMMYFUNCTION("TEXTJOIN("" | "",TRUE,IF(OR(D4709="""",E4709="""",I4709="""",J4709="""",H4709=""""),""ফাঁকা ঘর"",""""),IF(AND(C4709&lt;&gt;"""",D4709&lt;&gt;"""",C4709=D4709),""gloss=figurative"",""""),IF(LEN(D4709)&lt;15,""figurative ছোট"",""""),IF(AND(I4709=""Positive"",REGEXMATCH(H4"&amp;"709,""মূর্খ|ভণ্ড|প্রতার|অলস|লোভ|স্বার্থ|অক্ষম|অযোগ্য|বোকা|কৃপণ|হিংস"")),""valence-target অমিল"",""""),IF(COUNTIF($B:$B,B4709)&gt;1,""ডুপ্লিকেট"",""""))"),"")</f>
        <v/>
      </c>
      <c r="Q4709" s="5" t="str">
        <f t="shared" si="1"/>
        <v>২ পরে</v>
      </c>
    </row>
    <row r="4710">
      <c r="A4710" s="4">
        <v>2539.0</v>
      </c>
      <c r="B4710" s="2" t="s">
        <v>19333</v>
      </c>
      <c r="C4710" s="2" t="s">
        <v>19334</v>
      </c>
      <c r="D4710" s="2" t="s">
        <v>19335</v>
      </c>
      <c r="E4710" s="2" t="s">
        <v>19336</v>
      </c>
      <c r="F4710" s="2" t="b">
        <v>1</v>
      </c>
      <c r="G4710" s="2" t="b">
        <v>0</v>
      </c>
      <c r="H4710" s="2" t="s">
        <v>37</v>
      </c>
      <c r="I4710" s="2" t="s">
        <v>49</v>
      </c>
      <c r="J4710" s="2" t="s">
        <v>3701</v>
      </c>
      <c r="K4710" s="2" t="s">
        <v>495</v>
      </c>
      <c r="L4710" s="13" t="s">
        <v>496</v>
      </c>
      <c r="M4710" s="2" t="s">
        <v>26</v>
      </c>
      <c r="N4710" s="29"/>
      <c r="O4710" s="29"/>
      <c r="P4710" s="5" t="str">
        <f>IFERROR(__xludf.DUMMYFUNCTION("TEXTJOIN("" | "",TRUE,IF(OR(D4710="""",E4710="""",I4710="""",J4710="""",H4710=""""),""ফাঁকা ঘর"",""""),IF(AND(C4710&lt;&gt;"""",D4710&lt;&gt;"""",C4710=D4710),""gloss=figurative"",""""),IF(LEN(D4710)&lt;15,""figurative ছোট"",""""),IF(AND(I4710=""Positive"",REGEXMATCH(H4"&amp;"710,""মূর্খ|ভণ্ড|প্রতার|অলস|লোভ|স্বার্থ|অক্ষম|অযোগ্য|বোকা|কৃপণ|হিংস"")),""valence-target অমিল"",""""),IF(COUNTIF($B:$B,B4710)&gt;1,""ডুপ্লিকেট"",""""))"),"")</f>
        <v/>
      </c>
      <c r="Q4710" s="5" t="str">
        <f t="shared" si="1"/>
        <v>২ পরে</v>
      </c>
    </row>
    <row r="4711">
      <c r="A4711" s="4">
        <v>2540.0</v>
      </c>
      <c r="B4711" s="2" t="s">
        <v>19337</v>
      </c>
      <c r="C4711" s="2" t="s">
        <v>19338</v>
      </c>
      <c r="D4711" s="2" t="s">
        <v>19339</v>
      </c>
      <c r="E4711" s="2" t="s">
        <v>19340</v>
      </c>
      <c r="F4711" s="2" t="b">
        <v>1</v>
      </c>
      <c r="G4711" s="2" t="b">
        <v>0</v>
      </c>
      <c r="H4711" s="2" t="s">
        <v>37</v>
      </c>
      <c r="I4711" s="2" t="s">
        <v>32</v>
      </c>
      <c r="J4711" s="2" t="s">
        <v>1621</v>
      </c>
      <c r="K4711" s="2" t="s">
        <v>495</v>
      </c>
      <c r="L4711" s="13" t="s">
        <v>496</v>
      </c>
      <c r="M4711" s="2" t="s">
        <v>26</v>
      </c>
      <c r="N4711" s="29"/>
      <c r="O4711" s="29"/>
      <c r="P4711" s="5" t="str">
        <f>IFERROR(__xludf.DUMMYFUNCTION("TEXTJOIN("" | "",TRUE,IF(OR(D4711="""",E4711="""",I4711="""",J4711="""",H4711=""""),""ফাঁকা ঘর"",""""),IF(AND(C4711&lt;&gt;"""",D4711&lt;&gt;"""",C4711=D4711),""gloss=figurative"",""""),IF(LEN(D4711)&lt;15,""figurative ছোট"",""""),IF(AND(I4711=""Positive"",REGEXMATCH(H4"&amp;"711,""মূর্খ|ভণ্ড|প্রতার|অলস|লোভ|স্বার্থ|অক্ষম|অযোগ্য|বোকা|কৃপণ|হিংস"")),""valence-target অমিল"",""""),IF(COUNTIF($B:$B,B4711)&gt;1,""ডুপ্লিকেট"",""""))"),"")</f>
        <v/>
      </c>
      <c r="Q4711" s="5" t="str">
        <f t="shared" si="1"/>
        <v>২ পরে</v>
      </c>
    </row>
    <row r="4712">
      <c r="A4712" s="4">
        <v>2541.0</v>
      </c>
      <c r="B4712" s="2" t="s">
        <v>19341</v>
      </c>
      <c r="C4712" s="2" t="s">
        <v>19342</v>
      </c>
      <c r="D4712" s="2" t="s">
        <v>19343</v>
      </c>
      <c r="E4712" s="2" t="s">
        <v>19344</v>
      </c>
      <c r="F4712" s="2" t="b">
        <v>1</v>
      </c>
      <c r="G4712" s="2" t="b">
        <v>0</v>
      </c>
      <c r="H4712" s="2" t="s">
        <v>37</v>
      </c>
      <c r="I4712" s="2" t="s">
        <v>22</v>
      </c>
      <c r="J4712" s="2" t="s">
        <v>766</v>
      </c>
      <c r="K4712" s="2" t="s">
        <v>495</v>
      </c>
      <c r="L4712" s="13" t="s">
        <v>496</v>
      </c>
      <c r="M4712" s="2" t="s">
        <v>26</v>
      </c>
      <c r="N4712" s="29"/>
      <c r="O4712" s="29"/>
      <c r="P4712" s="5" t="str">
        <f>IFERROR(__xludf.DUMMYFUNCTION("TEXTJOIN("" | "",TRUE,IF(OR(D4712="""",E4712="""",I4712="""",J4712="""",H4712=""""),""ফাঁকা ঘর"",""""),IF(AND(C4712&lt;&gt;"""",D4712&lt;&gt;"""",C4712=D4712),""gloss=figurative"",""""),IF(LEN(D4712)&lt;15,""figurative ছোট"",""""),IF(AND(I4712=""Positive"",REGEXMATCH(H4"&amp;"712,""মূর্খ|ভণ্ড|প্রতার|অলস|লোভ|স্বার্থ|অক্ষম|অযোগ্য|বোকা|কৃপণ|হিংস"")),""valence-target অমিল"",""""),IF(COUNTIF($B:$B,B4712)&gt;1,""ডুপ্লিকেট"",""""))"),"")</f>
        <v/>
      </c>
      <c r="Q4712" s="5" t="str">
        <f t="shared" si="1"/>
        <v>২ পরে</v>
      </c>
    </row>
    <row r="4713">
      <c r="A4713" s="4">
        <v>2542.0</v>
      </c>
      <c r="B4713" s="2" t="s">
        <v>19345</v>
      </c>
      <c r="C4713" s="2" t="s">
        <v>19346</v>
      </c>
      <c r="D4713" s="2" t="s">
        <v>19347</v>
      </c>
      <c r="E4713" s="2" t="s">
        <v>19348</v>
      </c>
      <c r="F4713" s="2" t="b">
        <v>1</v>
      </c>
      <c r="G4713" s="2" t="b">
        <v>0</v>
      </c>
      <c r="H4713" s="2" t="s">
        <v>37</v>
      </c>
      <c r="I4713" s="2" t="s">
        <v>49</v>
      </c>
      <c r="J4713" s="2" t="s">
        <v>1111</v>
      </c>
      <c r="K4713" s="2" t="s">
        <v>495</v>
      </c>
      <c r="L4713" s="13" t="s">
        <v>496</v>
      </c>
      <c r="M4713" s="2" t="s">
        <v>26</v>
      </c>
      <c r="N4713" s="29"/>
      <c r="O4713" s="29"/>
      <c r="P4713" s="5" t="str">
        <f>IFERROR(__xludf.DUMMYFUNCTION("TEXTJOIN("" | "",TRUE,IF(OR(D4713="""",E4713="""",I4713="""",J4713="""",H4713=""""),""ফাঁকা ঘর"",""""),IF(AND(C4713&lt;&gt;"""",D4713&lt;&gt;"""",C4713=D4713),""gloss=figurative"",""""),IF(LEN(D4713)&lt;15,""figurative ছোট"",""""),IF(AND(I4713=""Positive"",REGEXMATCH(H4"&amp;"713,""মূর্খ|ভণ্ড|প্রতার|অলস|লোভ|স্বার্থ|অক্ষম|অযোগ্য|বোকা|কৃপণ|হিংস"")),""valence-target অমিল"",""""),IF(COUNTIF($B:$B,B4713)&gt;1,""ডুপ্লিকেট"",""""))"),"")</f>
        <v/>
      </c>
      <c r="Q4713" s="5" t="str">
        <f t="shared" si="1"/>
        <v>২ পরে</v>
      </c>
    </row>
    <row r="4714">
      <c r="A4714" s="4">
        <v>2545.0</v>
      </c>
      <c r="B4714" s="2" t="s">
        <v>19349</v>
      </c>
      <c r="C4714" s="2" t="s">
        <v>19349</v>
      </c>
      <c r="D4714" s="2" t="s">
        <v>19350</v>
      </c>
      <c r="E4714" s="2" t="s">
        <v>19351</v>
      </c>
      <c r="F4714" s="2" t="b">
        <v>1</v>
      </c>
      <c r="G4714" s="2" t="b">
        <v>0</v>
      </c>
      <c r="H4714" s="2" t="s">
        <v>37</v>
      </c>
      <c r="I4714" s="2" t="s">
        <v>22</v>
      </c>
      <c r="J4714" s="2" t="s">
        <v>729</v>
      </c>
      <c r="K4714" s="2" t="s">
        <v>495</v>
      </c>
      <c r="L4714" s="13" t="s">
        <v>496</v>
      </c>
      <c r="M4714" s="2" t="s">
        <v>26</v>
      </c>
      <c r="N4714" s="29"/>
      <c r="O4714" s="29"/>
      <c r="P4714" s="5" t="str">
        <f>IFERROR(__xludf.DUMMYFUNCTION("TEXTJOIN("" | "",TRUE,IF(OR(D4714="""",E4714="""",I4714="""",J4714="""",H4714=""""),""ফাঁকা ঘর"",""""),IF(AND(C4714&lt;&gt;"""",D4714&lt;&gt;"""",C4714=D4714),""gloss=figurative"",""""),IF(LEN(D4714)&lt;15,""figurative ছোট"",""""),IF(AND(I4714=""Positive"",REGEXMATCH(H4"&amp;"714,""মূর্খ|ভণ্ড|প্রতার|অলস|লোভ|স্বার্থ|অক্ষম|অযোগ্য|বোকা|কৃপণ|হিংস"")),""valence-target অমিল"",""""),IF(COUNTIF($B:$B,B4714)&gt;1,""ডুপ্লিকেট"",""""))"),"")</f>
        <v/>
      </c>
      <c r="Q4714" s="5" t="str">
        <f t="shared" si="1"/>
        <v>২ পরে</v>
      </c>
    </row>
    <row r="4715">
      <c r="A4715" s="4">
        <v>2546.0</v>
      </c>
      <c r="B4715" s="2" t="s">
        <v>19352</v>
      </c>
      <c r="C4715" s="2" t="s">
        <v>19353</v>
      </c>
      <c r="D4715" s="2" t="s">
        <v>19354</v>
      </c>
      <c r="E4715" s="2" t="s">
        <v>19355</v>
      </c>
      <c r="F4715" s="2" t="b">
        <v>1</v>
      </c>
      <c r="G4715" s="2" t="b">
        <v>0</v>
      </c>
      <c r="H4715" s="2" t="s">
        <v>14774</v>
      </c>
      <c r="I4715" s="2" t="s">
        <v>22</v>
      </c>
      <c r="J4715" s="2" t="s">
        <v>19356</v>
      </c>
      <c r="K4715" s="2" t="s">
        <v>495</v>
      </c>
      <c r="L4715" s="13" t="s">
        <v>496</v>
      </c>
      <c r="M4715" s="2" t="s">
        <v>26</v>
      </c>
      <c r="N4715" s="29"/>
      <c r="O4715" s="29"/>
      <c r="P4715" s="5" t="str">
        <f>IFERROR(__xludf.DUMMYFUNCTION("TEXTJOIN("" | "",TRUE,IF(OR(D4715="""",E4715="""",I4715="""",J4715="""",H4715=""""),""ফাঁকা ঘর"",""""),IF(AND(C4715&lt;&gt;"""",D4715&lt;&gt;"""",C4715=D4715),""gloss=figurative"",""""),IF(LEN(D4715)&lt;15,""figurative ছোট"",""""),IF(AND(I4715=""Positive"",REGEXMATCH(H4"&amp;"715,""মূর্খ|ভণ্ড|প্রতার|অলস|লোভ|স্বার্থ|অক্ষম|অযোগ্য|বোকা|কৃপণ|হিংস"")),""valence-target অমিল"",""""),IF(COUNTIF($B:$B,B4715)&gt;1,""ডুপ্লিকেট"",""""))"),"")</f>
        <v/>
      </c>
      <c r="Q4715" s="5" t="str">
        <f t="shared" si="1"/>
        <v>২ পরে</v>
      </c>
    </row>
    <row r="4716">
      <c r="A4716" s="4">
        <v>2547.0</v>
      </c>
      <c r="B4716" s="2" t="s">
        <v>19357</v>
      </c>
      <c r="C4716" s="2" t="s">
        <v>19358</v>
      </c>
      <c r="D4716" s="2" t="s">
        <v>19359</v>
      </c>
      <c r="E4716" s="2" t="s">
        <v>19360</v>
      </c>
      <c r="F4716" s="2" t="b">
        <v>1</v>
      </c>
      <c r="G4716" s="2" t="b">
        <v>0</v>
      </c>
      <c r="H4716" s="2" t="s">
        <v>1025</v>
      </c>
      <c r="I4716" s="2" t="s">
        <v>22</v>
      </c>
      <c r="J4716" s="2" t="s">
        <v>43</v>
      </c>
      <c r="K4716" s="2" t="s">
        <v>495</v>
      </c>
      <c r="L4716" s="13" t="s">
        <v>496</v>
      </c>
      <c r="M4716" s="2" t="s">
        <v>26</v>
      </c>
      <c r="N4716" s="29"/>
      <c r="O4716" s="29"/>
      <c r="P4716" s="5" t="str">
        <f>IFERROR(__xludf.DUMMYFUNCTION("TEXTJOIN("" | "",TRUE,IF(OR(D4716="""",E4716="""",I4716="""",J4716="""",H4716=""""),""ফাঁকা ঘর"",""""),IF(AND(C4716&lt;&gt;"""",D4716&lt;&gt;"""",C4716=D4716),""gloss=figurative"",""""),IF(LEN(D4716)&lt;15,""figurative ছোট"",""""),IF(AND(I4716=""Positive"",REGEXMATCH(H4"&amp;"716,""মূর্খ|ভণ্ড|প্রতার|অলস|লোভ|স্বার্থ|অক্ষম|অযোগ্য|বোকা|কৃপণ|হিংস"")),""valence-target অমিল"",""""),IF(COUNTIF($B:$B,B4716)&gt;1,""ডুপ্লিকেট"",""""))"),"")</f>
        <v/>
      </c>
      <c r="Q4716" s="5" t="str">
        <f t="shared" si="1"/>
        <v>২ পরে</v>
      </c>
    </row>
    <row r="4717">
      <c r="A4717" s="4">
        <v>2548.0</v>
      </c>
      <c r="B4717" s="2" t="s">
        <v>19361</v>
      </c>
      <c r="C4717" s="2" t="s">
        <v>19362</v>
      </c>
      <c r="D4717" s="2" t="s">
        <v>19363</v>
      </c>
      <c r="E4717" s="2" t="s">
        <v>19364</v>
      </c>
      <c r="F4717" s="2" t="b">
        <v>1</v>
      </c>
      <c r="G4717" s="2" t="b">
        <v>0</v>
      </c>
      <c r="H4717" s="2" t="s">
        <v>19365</v>
      </c>
      <c r="I4717" s="2" t="s">
        <v>22</v>
      </c>
      <c r="J4717" s="2" t="s">
        <v>1625</v>
      </c>
      <c r="K4717" s="2" t="s">
        <v>495</v>
      </c>
      <c r="L4717" s="13" t="s">
        <v>496</v>
      </c>
      <c r="M4717" s="2" t="s">
        <v>26</v>
      </c>
      <c r="N4717" s="29"/>
      <c r="O4717" s="29"/>
      <c r="P4717" s="5" t="str">
        <f>IFERROR(__xludf.DUMMYFUNCTION("TEXTJOIN("" | "",TRUE,IF(OR(D4717="""",E4717="""",I4717="""",J4717="""",H4717=""""),""ফাঁকা ঘর"",""""),IF(AND(C4717&lt;&gt;"""",D4717&lt;&gt;"""",C4717=D4717),""gloss=figurative"",""""),IF(LEN(D4717)&lt;15,""figurative ছোট"",""""),IF(AND(I4717=""Positive"",REGEXMATCH(H4"&amp;"717,""মূর্খ|ভণ্ড|প্রতার|অলস|লোভ|স্বার্থ|অক্ষম|অযোগ্য|বোকা|কৃপণ|হিংস"")),""valence-target অমিল"",""""),IF(COUNTIF($B:$B,B4717)&gt;1,""ডুপ্লিকেট"",""""))"),"")</f>
        <v/>
      </c>
      <c r="Q4717" s="5" t="str">
        <f t="shared" si="1"/>
        <v>২ পরে</v>
      </c>
    </row>
    <row r="4718">
      <c r="A4718" s="4">
        <v>2549.0</v>
      </c>
      <c r="B4718" s="2" t="s">
        <v>19366</v>
      </c>
      <c r="C4718" s="2" t="s">
        <v>19367</v>
      </c>
      <c r="D4718" s="2" t="s">
        <v>19368</v>
      </c>
      <c r="E4718" s="2" t="s">
        <v>19369</v>
      </c>
      <c r="F4718" s="2" t="b">
        <v>1</v>
      </c>
      <c r="G4718" s="2" t="b">
        <v>0</v>
      </c>
      <c r="H4718" s="2" t="s">
        <v>37</v>
      </c>
      <c r="I4718" s="2" t="s">
        <v>32</v>
      </c>
      <c r="J4718" s="2" t="s">
        <v>1644</v>
      </c>
      <c r="K4718" s="2" t="s">
        <v>495</v>
      </c>
      <c r="L4718" s="13" t="s">
        <v>496</v>
      </c>
      <c r="M4718" s="2" t="s">
        <v>26</v>
      </c>
      <c r="N4718" s="29"/>
      <c r="O4718" s="29"/>
      <c r="P4718" s="5" t="str">
        <f>IFERROR(__xludf.DUMMYFUNCTION("TEXTJOIN("" | "",TRUE,IF(OR(D4718="""",E4718="""",I4718="""",J4718="""",H4718=""""),""ফাঁকা ঘর"",""""),IF(AND(C4718&lt;&gt;"""",D4718&lt;&gt;"""",C4718=D4718),""gloss=figurative"",""""),IF(LEN(D4718)&lt;15,""figurative ছোট"",""""),IF(AND(I4718=""Positive"",REGEXMATCH(H4"&amp;"718,""মূর্খ|ভণ্ড|প্রতার|অলস|লোভ|স্বার্থ|অক্ষম|অযোগ্য|বোকা|কৃপণ|হিংস"")),""valence-target অমিল"",""""),IF(COUNTIF($B:$B,B4718)&gt;1,""ডুপ্লিকেট"",""""))"),"")</f>
        <v/>
      </c>
      <c r="Q4718" s="5" t="str">
        <f t="shared" si="1"/>
        <v>২ পরে</v>
      </c>
    </row>
    <row r="4719">
      <c r="A4719" s="4">
        <v>2550.0</v>
      </c>
      <c r="B4719" s="2" t="s">
        <v>19370</v>
      </c>
      <c r="C4719" s="2" t="s">
        <v>19371</v>
      </c>
      <c r="D4719" s="2" t="s">
        <v>19372</v>
      </c>
      <c r="E4719" s="2" t="s">
        <v>19373</v>
      </c>
      <c r="F4719" s="2" t="b">
        <v>1</v>
      </c>
      <c r="G4719" s="2" t="b">
        <v>0</v>
      </c>
      <c r="H4719" s="2" t="s">
        <v>37</v>
      </c>
      <c r="I4719" s="2" t="s">
        <v>32</v>
      </c>
      <c r="J4719" s="2" t="s">
        <v>231</v>
      </c>
      <c r="K4719" s="2" t="s">
        <v>495</v>
      </c>
      <c r="L4719" s="13" t="s">
        <v>496</v>
      </c>
      <c r="M4719" s="2" t="s">
        <v>26</v>
      </c>
      <c r="N4719" s="29"/>
      <c r="O4719" s="29"/>
      <c r="P4719" s="5" t="str">
        <f>IFERROR(__xludf.DUMMYFUNCTION("TEXTJOIN("" | "",TRUE,IF(OR(D4719="""",E4719="""",I4719="""",J4719="""",H4719=""""),""ফাঁকা ঘর"",""""),IF(AND(C4719&lt;&gt;"""",D4719&lt;&gt;"""",C4719=D4719),""gloss=figurative"",""""),IF(LEN(D4719)&lt;15,""figurative ছোট"",""""),IF(AND(I4719=""Positive"",REGEXMATCH(H4"&amp;"719,""মূর্খ|ভণ্ড|প্রতার|অলস|লোভ|স্বার্থ|অক্ষম|অযোগ্য|বোকা|কৃপণ|হিংস"")),""valence-target অমিল"",""""),IF(COUNTIF($B:$B,B4719)&gt;1,""ডুপ্লিকেট"",""""))"),"")</f>
        <v/>
      </c>
      <c r="Q4719" s="5" t="str">
        <f t="shared" si="1"/>
        <v>২ পরে</v>
      </c>
    </row>
    <row r="4720">
      <c r="A4720" s="4">
        <v>2551.0</v>
      </c>
      <c r="B4720" s="2" t="s">
        <v>19374</v>
      </c>
      <c r="C4720" s="2" t="s">
        <v>19375</v>
      </c>
      <c r="D4720" s="2" t="s">
        <v>19376</v>
      </c>
      <c r="E4720" s="2" t="s">
        <v>19377</v>
      </c>
      <c r="F4720" s="2" t="b">
        <v>1</v>
      </c>
      <c r="G4720" s="2" t="b">
        <v>0</v>
      </c>
      <c r="H4720" s="2" t="s">
        <v>19378</v>
      </c>
      <c r="I4720" s="2" t="s">
        <v>22</v>
      </c>
      <c r="J4720" s="2" t="s">
        <v>19379</v>
      </c>
      <c r="K4720" s="2" t="s">
        <v>495</v>
      </c>
      <c r="L4720" s="13" t="s">
        <v>496</v>
      </c>
      <c r="M4720" s="2" t="s">
        <v>26</v>
      </c>
      <c r="N4720" s="29"/>
      <c r="O4720" s="29"/>
      <c r="P4720" s="5" t="str">
        <f>IFERROR(__xludf.DUMMYFUNCTION("TEXTJOIN("" | "",TRUE,IF(OR(D4720="""",E4720="""",I4720="""",J4720="""",H4720=""""),""ফাঁকা ঘর"",""""),IF(AND(C4720&lt;&gt;"""",D4720&lt;&gt;"""",C4720=D4720),""gloss=figurative"",""""),IF(LEN(D4720)&lt;15,""figurative ছোট"",""""),IF(AND(I4720=""Positive"",REGEXMATCH(H4"&amp;"720,""মূর্খ|ভণ্ড|প্রতার|অলস|লোভ|স্বার্থ|অক্ষম|অযোগ্য|বোকা|কৃপণ|হিংস"")),""valence-target অমিল"",""""),IF(COUNTIF($B:$B,B4720)&gt;1,""ডুপ্লিকেট"",""""))"),"")</f>
        <v/>
      </c>
      <c r="Q4720" s="5" t="str">
        <f t="shared" si="1"/>
        <v>২ পরে</v>
      </c>
    </row>
    <row r="4721">
      <c r="A4721" s="4">
        <v>2552.0</v>
      </c>
      <c r="B4721" s="2" t="s">
        <v>19380</v>
      </c>
      <c r="C4721" s="2" t="s">
        <v>19381</v>
      </c>
      <c r="D4721" s="2" t="s">
        <v>19382</v>
      </c>
      <c r="E4721" s="2" t="s">
        <v>19383</v>
      </c>
      <c r="F4721" s="2" t="b">
        <v>1</v>
      </c>
      <c r="G4721" s="2" t="b">
        <v>0</v>
      </c>
      <c r="H4721" s="2" t="s">
        <v>37</v>
      </c>
      <c r="I4721" s="2" t="s">
        <v>49</v>
      </c>
      <c r="J4721" s="2" t="s">
        <v>19384</v>
      </c>
      <c r="K4721" s="2" t="s">
        <v>495</v>
      </c>
      <c r="L4721" s="13" t="s">
        <v>496</v>
      </c>
      <c r="M4721" s="2" t="s">
        <v>26</v>
      </c>
      <c r="N4721" s="29"/>
      <c r="O4721" s="29"/>
      <c r="P4721" s="5" t="str">
        <f>IFERROR(__xludf.DUMMYFUNCTION("TEXTJOIN("" | "",TRUE,IF(OR(D4721="""",E4721="""",I4721="""",J4721="""",H4721=""""),""ফাঁকা ঘর"",""""),IF(AND(C4721&lt;&gt;"""",D4721&lt;&gt;"""",C4721=D4721),""gloss=figurative"",""""),IF(LEN(D4721)&lt;15,""figurative ছোট"",""""),IF(AND(I4721=""Positive"",REGEXMATCH(H4"&amp;"721,""মূর্খ|ভণ্ড|প্রতার|অলস|লোভ|স্বার্থ|অক্ষম|অযোগ্য|বোকা|কৃপণ|হিংস"")),""valence-target অমিল"",""""),IF(COUNTIF($B:$B,B4721)&gt;1,""ডুপ্লিকেট"",""""))"),"")</f>
        <v/>
      </c>
      <c r="Q4721" s="5" t="str">
        <f t="shared" si="1"/>
        <v>২ পরে</v>
      </c>
    </row>
    <row r="4722">
      <c r="A4722" s="4">
        <v>2553.0</v>
      </c>
      <c r="B4722" s="2" t="s">
        <v>19385</v>
      </c>
      <c r="C4722" s="2" t="s">
        <v>19386</v>
      </c>
      <c r="D4722" s="2" t="s">
        <v>19387</v>
      </c>
      <c r="E4722" s="2" t="s">
        <v>19388</v>
      </c>
      <c r="F4722" s="2" t="b">
        <v>1</v>
      </c>
      <c r="G4722" s="2" t="b">
        <v>0</v>
      </c>
      <c r="H4722" s="2" t="s">
        <v>37</v>
      </c>
      <c r="I4722" s="2" t="s">
        <v>32</v>
      </c>
      <c r="J4722" s="2" t="s">
        <v>538</v>
      </c>
      <c r="K4722" s="2" t="s">
        <v>495</v>
      </c>
      <c r="L4722" s="13" t="s">
        <v>496</v>
      </c>
      <c r="M4722" s="2" t="s">
        <v>26</v>
      </c>
      <c r="N4722" s="29"/>
      <c r="O4722" s="29"/>
      <c r="P4722" s="5" t="str">
        <f>IFERROR(__xludf.DUMMYFUNCTION("TEXTJOIN("" | "",TRUE,IF(OR(D4722="""",E4722="""",I4722="""",J4722="""",H4722=""""),""ফাঁকা ঘর"",""""),IF(AND(C4722&lt;&gt;"""",D4722&lt;&gt;"""",C4722=D4722),""gloss=figurative"",""""),IF(LEN(D4722)&lt;15,""figurative ছোট"",""""),IF(AND(I4722=""Positive"",REGEXMATCH(H4"&amp;"722,""মূর্খ|ভণ্ড|প্রতার|অলস|লোভ|স্বার্থ|অক্ষম|অযোগ্য|বোকা|কৃপণ|হিংস"")),""valence-target অমিল"",""""),IF(COUNTIF($B:$B,B4722)&gt;1,""ডুপ্লিকেট"",""""))"),"")</f>
        <v/>
      </c>
      <c r="Q4722" s="5" t="str">
        <f t="shared" si="1"/>
        <v>২ পরে</v>
      </c>
    </row>
    <row r="4723">
      <c r="A4723" s="4">
        <v>2554.0</v>
      </c>
      <c r="B4723" s="2" t="s">
        <v>19389</v>
      </c>
      <c r="C4723" s="2" t="s">
        <v>19390</v>
      </c>
      <c r="D4723" s="2" t="s">
        <v>19391</v>
      </c>
      <c r="E4723" s="2" t="s">
        <v>19392</v>
      </c>
      <c r="F4723" s="2" t="b">
        <v>1</v>
      </c>
      <c r="G4723" s="2" t="b">
        <v>0</v>
      </c>
      <c r="H4723" s="2" t="s">
        <v>37</v>
      </c>
      <c r="I4723" s="2" t="s">
        <v>32</v>
      </c>
      <c r="J4723" s="2" t="s">
        <v>19393</v>
      </c>
      <c r="K4723" s="2" t="s">
        <v>495</v>
      </c>
      <c r="L4723" s="13" t="s">
        <v>496</v>
      </c>
      <c r="M4723" s="2" t="s">
        <v>26</v>
      </c>
      <c r="N4723" s="29"/>
      <c r="O4723" s="29"/>
      <c r="P4723" s="5" t="str">
        <f>IFERROR(__xludf.DUMMYFUNCTION("TEXTJOIN("" | "",TRUE,IF(OR(D4723="""",E4723="""",I4723="""",J4723="""",H4723=""""),""ফাঁকা ঘর"",""""),IF(AND(C4723&lt;&gt;"""",D4723&lt;&gt;"""",C4723=D4723),""gloss=figurative"",""""),IF(LEN(D4723)&lt;15,""figurative ছোট"",""""),IF(AND(I4723=""Positive"",REGEXMATCH(H4"&amp;"723,""মূর্খ|ভণ্ড|প্রতার|অলস|লোভ|স্বার্থ|অক্ষম|অযোগ্য|বোকা|কৃপণ|হিংস"")),""valence-target অমিল"",""""),IF(COUNTIF($B:$B,B4723)&gt;1,""ডুপ্লিকেট"",""""))"),"")</f>
        <v/>
      </c>
      <c r="Q4723" s="5" t="str">
        <f t="shared" si="1"/>
        <v>২ পরে</v>
      </c>
    </row>
    <row r="4724">
      <c r="A4724" s="4">
        <v>2555.0</v>
      </c>
      <c r="B4724" s="2" t="s">
        <v>19394</v>
      </c>
      <c r="C4724" s="2" t="s">
        <v>19395</v>
      </c>
      <c r="D4724" s="2" t="s">
        <v>19396</v>
      </c>
      <c r="E4724" s="2" t="s">
        <v>19397</v>
      </c>
      <c r="F4724" s="2" t="b">
        <v>1</v>
      </c>
      <c r="G4724" s="2" t="b">
        <v>0</v>
      </c>
      <c r="H4724" s="2" t="s">
        <v>18896</v>
      </c>
      <c r="I4724" s="2" t="s">
        <v>32</v>
      </c>
      <c r="J4724" s="2" t="s">
        <v>413</v>
      </c>
      <c r="K4724" s="2" t="s">
        <v>495</v>
      </c>
      <c r="L4724" s="13" t="s">
        <v>496</v>
      </c>
      <c r="M4724" s="2" t="s">
        <v>26</v>
      </c>
      <c r="N4724" s="29"/>
      <c r="O4724" s="29"/>
      <c r="P4724" s="5" t="str">
        <f>IFERROR(__xludf.DUMMYFUNCTION("TEXTJOIN("" | "",TRUE,IF(OR(D4724="""",E4724="""",I4724="""",J4724="""",H4724=""""),""ফাঁকা ঘর"",""""),IF(AND(C4724&lt;&gt;"""",D4724&lt;&gt;"""",C4724=D4724),""gloss=figurative"",""""),IF(LEN(D4724)&lt;15,""figurative ছোট"",""""),IF(AND(I4724=""Positive"",REGEXMATCH(H4"&amp;"724,""মূর্খ|ভণ্ড|প্রতার|অলস|লোভ|স্বার্থ|অক্ষম|অযোগ্য|বোকা|কৃপণ|হিংস"")),""valence-target অমিল"",""""),IF(COUNTIF($B:$B,B4724)&gt;1,""ডুপ্লিকেট"",""""))"),"")</f>
        <v/>
      </c>
      <c r="Q4724" s="5" t="str">
        <f t="shared" si="1"/>
        <v>২ পরে</v>
      </c>
    </row>
    <row r="4725">
      <c r="A4725" s="4">
        <v>2556.0</v>
      </c>
      <c r="B4725" s="2" t="s">
        <v>19398</v>
      </c>
      <c r="C4725" s="2" t="s">
        <v>19399</v>
      </c>
      <c r="D4725" s="2" t="s">
        <v>19400</v>
      </c>
      <c r="E4725" s="2" t="s">
        <v>19401</v>
      </c>
      <c r="F4725" s="2" t="b">
        <v>1</v>
      </c>
      <c r="G4725" s="2" t="b">
        <v>1</v>
      </c>
      <c r="H4725" s="2" t="s">
        <v>19402</v>
      </c>
      <c r="I4725" s="2" t="s">
        <v>22</v>
      </c>
      <c r="J4725" s="2" t="s">
        <v>16590</v>
      </c>
      <c r="K4725" s="2" t="s">
        <v>495</v>
      </c>
      <c r="L4725" s="13" t="s">
        <v>496</v>
      </c>
      <c r="M4725" s="2" t="s">
        <v>26</v>
      </c>
      <c r="N4725" s="29"/>
      <c r="O4725" s="29"/>
      <c r="P4725" s="5" t="str">
        <f>IFERROR(__xludf.DUMMYFUNCTION("TEXTJOIN("" | "",TRUE,IF(OR(D4725="""",E4725="""",I4725="""",J4725="""",H4725=""""),""ফাঁকা ঘর"",""""),IF(AND(C4725&lt;&gt;"""",D4725&lt;&gt;"""",C4725=D4725),""gloss=figurative"",""""),IF(LEN(D4725)&lt;15,""figurative ছোট"",""""),IF(AND(I4725=""Positive"",REGEXMATCH(H4"&amp;"725,""মূর্খ|ভণ্ড|প্রতার|অলস|লোভ|স্বার্থ|অক্ষম|অযোগ্য|বোকা|কৃপণ|হিংস"")),""valence-target অমিল"",""""),IF(COUNTIF($B:$B,B4725)&gt;1,""ডুপ্লিকেট"",""""))"),"")</f>
        <v/>
      </c>
      <c r="Q4725" s="5" t="str">
        <f t="shared" si="1"/>
        <v>২ পরে</v>
      </c>
    </row>
    <row r="4726">
      <c r="A4726" s="4">
        <v>2557.0</v>
      </c>
      <c r="B4726" s="2" t="s">
        <v>19403</v>
      </c>
      <c r="C4726" s="2" t="s">
        <v>19404</v>
      </c>
      <c r="D4726" s="2" t="s">
        <v>19405</v>
      </c>
      <c r="E4726" s="2" t="s">
        <v>19406</v>
      </c>
      <c r="F4726" s="2" t="b">
        <v>1</v>
      </c>
      <c r="G4726" s="2" t="b">
        <v>0</v>
      </c>
      <c r="H4726" s="2" t="s">
        <v>37</v>
      </c>
      <c r="I4726" s="2" t="s">
        <v>49</v>
      </c>
      <c r="J4726" s="2" t="s">
        <v>565</v>
      </c>
      <c r="K4726" s="2" t="s">
        <v>495</v>
      </c>
      <c r="L4726" s="13" t="s">
        <v>496</v>
      </c>
      <c r="M4726" s="2" t="s">
        <v>26</v>
      </c>
      <c r="N4726" s="29"/>
      <c r="O4726" s="29"/>
      <c r="P4726" s="5" t="str">
        <f>IFERROR(__xludf.DUMMYFUNCTION("TEXTJOIN("" | "",TRUE,IF(OR(D4726="""",E4726="""",I4726="""",J4726="""",H4726=""""),""ফাঁকা ঘর"",""""),IF(AND(C4726&lt;&gt;"""",D4726&lt;&gt;"""",C4726=D4726),""gloss=figurative"",""""),IF(LEN(D4726)&lt;15,""figurative ছোট"",""""),IF(AND(I4726=""Positive"",REGEXMATCH(H4"&amp;"726,""মূর্খ|ভণ্ড|প্রতার|অলস|লোভ|স্বার্থ|অক্ষম|অযোগ্য|বোকা|কৃপণ|হিংস"")),""valence-target অমিল"",""""),IF(COUNTIF($B:$B,B4726)&gt;1,""ডুপ্লিকেট"",""""))"),"")</f>
        <v/>
      </c>
      <c r="Q4726" s="5" t="str">
        <f t="shared" si="1"/>
        <v>২ পরে</v>
      </c>
    </row>
    <row r="4727">
      <c r="A4727" s="4">
        <v>2558.0</v>
      </c>
      <c r="B4727" s="2" t="s">
        <v>19407</v>
      </c>
      <c r="C4727" s="2" t="s">
        <v>19407</v>
      </c>
      <c r="D4727" s="2" t="s">
        <v>19408</v>
      </c>
      <c r="E4727" s="2" t="s">
        <v>19409</v>
      </c>
      <c r="F4727" s="2" t="b">
        <v>1</v>
      </c>
      <c r="G4727" s="2" t="b">
        <v>0</v>
      </c>
      <c r="H4727" s="2" t="s">
        <v>37</v>
      </c>
      <c r="I4727" s="2" t="s">
        <v>49</v>
      </c>
      <c r="J4727" s="2" t="s">
        <v>2732</v>
      </c>
      <c r="K4727" s="2" t="s">
        <v>495</v>
      </c>
      <c r="L4727" s="13" t="s">
        <v>496</v>
      </c>
      <c r="M4727" s="2" t="s">
        <v>26</v>
      </c>
      <c r="N4727" s="29"/>
      <c r="O4727" s="29"/>
      <c r="P4727" s="5" t="str">
        <f>IFERROR(__xludf.DUMMYFUNCTION("TEXTJOIN("" | "",TRUE,IF(OR(D4727="""",E4727="""",I4727="""",J4727="""",H4727=""""),""ফাঁকা ঘর"",""""),IF(AND(C4727&lt;&gt;"""",D4727&lt;&gt;"""",C4727=D4727),""gloss=figurative"",""""),IF(LEN(D4727)&lt;15,""figurative ছোট"",""""),IF(AND(I4727=""Positive"",REGEXMATCH(H4"&amp;"727,""মূর্খ|ভণ্ড|প্রতার|অলস|লোভ|স্বার্থ|অক্ষম|অযোগ্য|বোকা|কৃপণ|হিংস"")),""valence-target অমিল"",""""),IF(COUNTIF($B:$B,B4727)&gt;1,""ডুপ্লিকেট"",""""))"),"")</f>
        <v/>
      </c>
      <c r="Q4727" s="5" t="str">
        <f t="shared" si="1"/>
        <v>২ পরে</v>
      </c>
    </row>
    <row r="4728">
      <c r="A4728" s="4">
        <v>2559.0</v>
      </c>
      <c r="B4728" s="2" t="s">
        <v>19410</v>
      </c>
      <c r="C4728" s="2" t="s">
        <v>19411</v>
      </c>
      <c r="D4728" s="2" t="s">
        <v>19412</v>
      </c>
      <c r="E4728" s="2" t="s">
        <v>19413</v>
      </c>
      <c r="F4728" s="2" t="b">
        <v>1</v>
      </c>
      <c r="G4728" s="2" t="b">
        <v>0</v>
      </c>
      <c r="H4728" s="2" t="s">
        <v>10389</v>
      </c>
      <c r="I4728" s="2" t="s">
        <v>49</v>
      </c>
      <c r="J4728" s="2" t="s">
        <v>565</v>
      </c>
      <c r="K4728" s="2" t="s">
        <v>495</v>
      </c>
      <c r="L4728" s="13" t="s">
        <v>496</v>
      </c>
      <c r="M4728" s="2" t="s">
        <v>26</v>
      </c>
      <c r="N4728" s="29"/>
      <c r="O4728" s="29"/>
      <c r="P4728" s="5" t="str">
        <f>IFERROR(__xludf.DUMMYFUNCTION("TEXTJOIN("" | "",TRUE,IF(OR(D4728="""",E4728="""",I4728="""",J4728="""",H4728=""""),""ফাঁকা ঘর"",""""),IF(AND(C4728&lt;&gt;"""",D4728&lt;&gt;"""",C4728=D4728),""gloss=figurative"",""""),IF(LEN(D4728)&lt;15,""figurative ছোট"",""""),IF(AND(I4728=""Positive"",REGEXMATCH(H4"&amp;"728,""মূর্খ|ভণ্ড|প্রতার|অলস|লোভ|স্বার্থ|অক্ষম|অযোগ্য|বোকা|কৃপণ|হিংস"")),""valence-target অমিল"",""""),IF(COUNTIF($B:$B,B4728)&gt;1,""ডুপ্লিকেট"",""""))"),"")</f>
        <v/>
      </c>
      <c r="Q4728" s="5" t="str">
        <f t="shared" si="1"/>
        <v>২ পরে</v>
      </c>
    </row>
    <row r="4729">
      <c r="A4729" s="4">
        <v>2560.0</v>
      </c>
      <c r="B4729" s="2" t="s">
        <v>19414</v>
      </c>
      <c r="C4729" s="2" t="s">
        <v>19414</v>
      </c>
      <c r="D4729" s="2" t="s">
        <v>19415</v>
      </c>
      <c r="E4729" s="2" t="s">
        <v>19416</v>
      </c>
      <c r="F4729" s="2" t="b">
        <v>1</v>
      </c>
      <c r="G4729" s="2" t="b">
        <v>0</v>
      </c>
      <c r="H4729" s="2" t="s">
        <v>37</v>
      </c>
      <c r="I4729" s="2" t="s">
        <v>49</v>
      </c>
      <c r="J4729" s="2" t="s">
        <v>3364</v>
      </c>
      <c r="K4729" s="2" t="s">
        <v>495</v>
      </c>
      <c r="L4729" s="13" t="s">
        <v>496</v>
      </c>
      <c r="M4729" s="2" t="s">
        <v>26</v>
      </c>
      <c r="N4729" s="29"/>
      <c r="O4729" s="29"/>
      <c r="P4729" s="5" t="str">
        <f>IFERROR(__xludf.DUMMYFUNCTION("TEXTJOIN("" | "",TRUE,IF(OR(D4729="""",E4729="""",I4729="""",J4729="""",H4729=""""),""ফাঁকা ঘর"",""""),IF(AND(C4729&lt;&gt;"""",D4729&lt;&gt;"""",C4729=D4729),""gloss=figurative"",""""),IF(LEN(D4729)&lt;15,""figurative ছোট"",""""),IF(AND(I4729=""Positive"",REGEXMATCH(H4"&amp;"729,""মূর্খ|ভণ্ড|প্রতার|অলস|লোভ|স্বার্থ|অক্ষম|অযোগ্য|বোকা|কৃপণ|হিংস"")),""valence-target অমিল"",""""),IF(COUNTIF($B:$B,B4729)&gt;1,""ডুপ্লিকেট"",""""))"),"")</f>
        <v/>
      </c>
      <c r="Q4729" s="5" t="str">
        <f t="shared" si="1"/>
        <v>২ পরে</v>
      </c>
    </row>
    <row r="4730">
      <c r="A4730" s="4">
        <v>2561.0</v>
      </c>
      <c r="B4730" s="2" t="s">
        <v>19417</v>
      </c>
      <c r="C4730" s="2" t="s">
        <v>19418</v>
      </c>
      <c r="D4730" s="2" t="s">
        <v>19419</v>
      </c>
      <c r="E4730" s="2" t="s">
        <v>19420</v>
      </c>
      <c r="F4730" s="2" t="b">
        <v>1</v>
      </c>
      <c r="G4730" s="2" t="b">
        <v>0</v>
      </c>
      <c r="H4730" s="2" t="s">
        <v>37</v>
      </c>
      <c r="I4730" s="2" t="s">
        <v>32</v>
      </c>
      <c r="J4730" s="2" t="s">
        <v>1679</v>
      </c>
      <c r="K4730" s="2" t="s">
        <v>495</v>
      </c>
      <c r="L4730" s="13" t="s">
        <v>496</v>
      </c>
      <c r="M4730" s="2" t="s">
        <v>26</v>
      </c>
      <c r="N4730" s="29"/>
      <c r="O4730" s="29"/>
      <c r="P4730" s="5" t="str">
        <f>IFERROR(__xludf.DUMMYFUNCTION("TEXTJOIN("" | "",TRUE,IF(OR(D4730="""",E4730="""",I4730="""",J4730="""",H4730=""""),""ফাঁকা ঘর"",""""),IF(AND(C4730&lt;&gt;"""",D4730&lt;&gt;"""",C4730=D4730),""gloss=figurative"",""""),IF(LEN(D4730)&lt;15,""figurative ছোট"",""""),IF(AND(I4730=""Positive"",REGEXMATCH(H4"&amp;"730,""মূর্খ|ভণ্ড|প্রতার|অলস|লোভ|স্বার্থ|অক্ষম|অযোগ্য|বোকা|কৃপণ|হিংস"")),""valence-target অমিল"",""""),IF(COUNTIF($B:$B,B4730)&gt;1,""ডুপ্লিকেট"",""""))"),"")</f>
        <v/>
      </c>
      <c r="Q4730" s="5" t="str">
        <f t="shared" si="1"/>
        <v>২ পরে</v>
      </c>
    </row>
    <row r="4731">
      <c r="A4731" s="4">
        <v>2562.0</v>
      </c>
      <c r="B4731" s="2" t="s">
        <v>19421</v>
      </c>
      <c r="C4731" s="2" t="s">
        <v>19422</v>
      </c>
      <c r="D4731" s="2" t="s">
        <v>19423</v>
      </c>
      <c r="E4731" s="2" t="s">
        <v>19424</v>
      </c>
      <c r="F4731" s="2" t="b">
        <v>1</v>
      </c>
      <c r="G4731" s="2" t="b">
        <v>0</v>
      </c>
      <c r="H4731" s="2" t="s">
        <v>37</v>
      </c>
      <c r="I4731" s="2" t="s">
        <v>32</v>
      </c>
      <c r="J4731" s="2" t="s">
        <v>1621</v>
      </c>
      <c r="K4731" s="2" t="s">
        <v>495</v>
      </c>
      <c r="L4731" s="13" t="s">
        <v>496</v>
      </c>
      <c r="M4731" s="2" t="s">
        <v>26</v>
      </c>
      <c r="N4731" s="29"/>
      <c r="O4731" s="29"/>
      <c r="P4731" s="5" t="str">
        <f>IFERROR(__xludf.DUMMYFUNCTION("TEXTJOIN("" | "",TRUE,IF(OR(D4731="""",E4731="""",I4731="""",J4731="""",H4731=""""),""ফাঁকা ঘর"",""""),IF(AND(C4731&lt;&gt;"""",D4731&lt;&gt;"""",C4731=D4731),""gloss=figurative"",""""),IF(LEN(D4731)&lt;15,""figurative ছোট"",""""),IF(AND(I4731=""Positive"",REGEXMATCH(H4"&amp;"731,""মূর্খ|ভণ্ড|প্রতার|অলস|লোভ|স্বার্থ|অক্ষম|অযোগ্য|বোকা|কৃপণ|হিংস"")),""valence-target অমিল"",""""),IF(COUNTIF($B:$B,B4731)&gt;1,""ডুপ্লিকেট"",""""))"),"")</f>
        <v/>
      </c>
      <c r="Q4731" s="5" t="str">
        <f t="shared" si="1"/>
        <v>২ পরে</v>
      </c>
    </row>
    <row r="4732">
      <c r="A4732" s="4">
        <v>2563.0</v>
      </c>
      <c r="B4732" s="2" t="s">
        <v>19425</v>
      </c>
      <c r="C4732" s="2" t="s">
        <v>19426</v>
      </c>
      <c r="D4732" s="2" t="s">
        <v>19427</v>
      </c>
      <c r="E4732" s="2" t="s">
        <v>19428</v>
      </c>
      <c r="F4732" s="2" t="b">
        <v>1</v>
      </c>
      <c r="G4732" s="2" t="b">
        <v>0</v>
      </c>
      <c r="H4732" s="2" t="s">
        <v>37</v>
      </c>
      <c r="I4732" s="2" t="s">
        <v>22</v>
      </c>
      <c r="J4732" s="2" t="s">
        <v>19429</v>
      </c>
      <c r="K4732" s="2" t="s">
        <v>495</v>
      </c>
      <c r="L4732" s="13" t="s">
        <v>496</v>
      </c>
      <c r="M4732" s="2" t="s">
        <v>26</v>
      </c>
      <c r="N4732" s="29"/>
      <c r="O4732" s="29"/>
      <c r="P4732" s="5" t="str">
        <f>IFERROR(__xludf.DUMMYFUNCTION("TEXTJOIN("" | "",TRUE,IF(OR(D4732="""",E4732="""",I4732="""",J4732="""",H4732=""""),""ফাঁকা ঘর"",""""),IF(AND(C4732&lt;&gt;"""",D4732&lt;&gt;"""",C4732=D4732),""gloss=figurative"",""""),IF(LEN(D4732)&lt;15,""figurative ছোট"",""""),IF(AND(I4732=""Positive"",REGEXMATCH(H4"&amp;"732,""মূর্খ|ভণ্ড|প্রতার|অলস|লোভ|স্বার্থ|অক্ষম|অযোগ্য|বোকা|কৃপণ|হিংস"")),""valence-target অমিল"",""""),IF(COUNTIF($B:$B,B4732)&gt;1,""ডুপ্লিকেট"",""""))"),"")</f>
        <v/>
      </c>
      <c r="Q4732" s="5" t="str">
        <f t="shared" si="1"/>
        <v>২ পরে</v>
      </c>
    </row>
    <row r="4733">
      <c r="A4733" s="4">
        <v>2564.0</v>
      </c>
      <c r="B4733" s="2" t="s">
        <v>19430</v>
      </c>
      <c r="C4733" s="2" t="s">
        <v>19431</v>
      </c>
      <c r="D4733" s="2" t="s">
        <v>19432</v>
      </c>
      <c r="E4733" s="2" t="s">
        <v>19433</v>
      </c>
      <c r="F4733" s="2" t="b">
        <v>1</v>
      </c>
      <c r="G4733" s="2" t="b">
        <v>0</v>
      </c>
      <c r="H4733" s="2" t="s">
        <v>19434</v>
      </c>
      <c r="I4733" s="2" t="s">
        <v>22</v>
      </c>
      <c r="J4733" s="2" t="s">
        <v>3105</v>
      </c>
      <c r="K4733" s="2" t="s">
        <v>495</v>
      </c>
      <c r="L4733" s="13" t="s">
        <v>496</v>
      </c>
      <c r="M4733" s="2" t="s">
        <v>26</v>
      </c>
      <c r="N4733" s="29"/>
      <c r="O4733" s="29"/>
      <c r="P4733" s="5" t="str">
        <f>IFERROR(__xludf.DUMMYFUNCTION("TEXTJOIN("" | "",TRUE,IF(OR(D4733="""",E4733="""",I4733="""",J4733="""",H4733=""""),""ফাঁকা ঘর"",""""),IF(AND(C4733&lt;&gt;"""",D4733&lt;&gt;"""",C4733=D4733),""gloss=figurative"",""""),IF(LEN(D4733)&lt;15,""figurative ছোট"",""""),IF(AND(I4733=""Positive"",REGEXMATCH(H4"&amp;"733,""মূর্খ|ভণ্ড|প্রতার|অলস|লোভ|স্বার্থ|অক্ষম|অযোগ্য|বোকা|কৃপণ|হিংস"")),""valence-target অমিল"",""""),IF(COUNTIF($B:$B,B4733)&gt;1,""ডুপ্লিকেট"",""""))"),"")</f>
        <v/>
      </c>
      <c r="Q4733" s="5" t="str">
        <f t="shared" si="1"/>
        <v>২ পরে</v>
      </c>
    </row>
    <row r="4734">
      <c r="A4734" s="4">
        <v>2565.0</v>
      </c>
      <c r="B4734" s="2" t="s">
        <v>19435</v>
      </c>
      <c r="C4734" s="2" t="s">
        <v>19436</v>
      </c>
      <c r="D4734" s="2" t="s">
        <v>19437</v>
      </c>
      <c r="E4734" s="2" t="s">
        <v>19438</v>
      </c>
      <c r="F4734" s="2" t="b">
        <v>1</v>
      </c>
      <c r="G4734" s="2" t="b">
        <v>0</v>
      </c>
      <c r="H4734" s="2" t="s">
        <v>19439</v>
      </c>
      <c r="I4734" s="2" t="s">
        <v>22</v>
      </c>
      <c r="J4734" s="2" t="s">
        <v>3105</v>
      </c>
      <c r="K4734" s="2" t="s">
        <v>495</v>
      </c>
      <c r="L4734" s="13" t="s">
        <v>496</v>
      </c>
      <c r="M4734" s="2" t="s">
        <v>26</v>
      </c>
      <c r="N4734" s="29"/>
      <c r="O4734" s="29"/>
      <c r="P4734" s="5" t="str">
        <f>IFERROR(__xludf.DUMMYFUNCTION("TEXTJOIN("" | "",TRUE,IF(OR(D4734="""",E4734="""",I4734="""",J4734="""",H4734=""""),""ফাঁকা ঘর"",""""),IF(AND(C4734&lt;&gt;"""",D4734&lt;&gt;"""",C4734=D4734),""gloss=figurative"",""""),IF(LEN(D4734)&lt;15,""figurative ছোট"",""""),IF(AND(I4734=""Positive"",REGEXMATCH(H4"&amp;"734,""মূর্খ|ভণ্ড|প্রতার|অলস|লোভ|স্বার্থ|অক্ষম|অযোগ্য|বোকা|কৃপণ|হিংস"")),""valence-target অমিল"",""""),IF(COUNTIF($B:$B,B4734)&gt;1,""ডুপ্লিকেট"",""""))"),"")</f>
        <v/>
      </c>
      <c r="Q4734" s="5" t="str">
        <f t="shared" si="1"/>
        <v>২ পরে</v>
      </c>
    </row>
    <row r="4735">
      <c r="A4735" s="4">
        <v>2566.0</v>
      </c>
      <c r="B4735" s="2" t="s">
        <v>19440</v>
      </c>
      <c r="C4735" s="2" t="s">
        <v>19441</v>
      </c>
      <c r="D4735" s="2" t="s">
        <v>19442</v>
      </c>
      <c r="E4735" s="2" t="s">
        <v>19443</v>
      </c>
      <c r="F4735" s="2" t="b">
        <v>1</v>
      </c>
      <c r="G4735" s="2" t="b">
        <v>0</v>
      </c>
      <c r="H4735" s="2" t="s">
        <v>37</v>
      </c>
      <c r="I4735" s="2" t="s">
        <v>32</v>
      </c>
      <c r="J4735" s="2" t="s">
        <v>19444</v>
      </c>
      <c r="K4735" s="2" t="s">
        <v>495</v>
      </c>
      <c r="L4735" s="13" t="s">
        <v>496</v>
      </c>
      <c r="M4735" s="2" t="s">
        <v>26</v>
      </c>
      <c r="N4735" s="29"/>
      <c r="O4735" s="29"/>
      <c r="P4735" s="5" t="str">
        <f>IFERROR(__xludf.DUMMYFUNCTION("TEXTJOIN("" | "",TRUE,IF(OR(D4735="""",E4735="""",I4735="""",J4735="""",H4735=""""),""ফাঁকা ঘর"",""""),IF(AND(C4735&lt;&gt;"""",D4735&lt;&gt;"""",C4735=D4735),""gloss=figurative"",""""),IF(LEN(D4735)&lt;15,""figurative ছোট"",""""),IF(AND(I4735=""Positive"",REGEXMATCH(H4"&amp;"735,""মূর্খ|ভণ্ড|প্রতার|অলস|লোভ|স্বার্থ|অক্ষম|অযোগ্য|বোকা|কৃপণ|হিংস"")),""valence-target অমিল"",""""),IF(COUNTIF($B:$B,B4735)&gt;1,""ডুপ্লিকেট"",""""))"),"")</f>
        <v/>
      </c>
      <c r="Q4735" s="5" t="str">
        <f t="shared" si="1"/>
        <v>২ পরে</v>
      </c>
    </row>
    <row r="4736">
      <c r="A4736" s="4">
        <v>2567.0</v>
      </c>
      <c r="B4736" s="2" t="s">
        <v>19445</v>
      </c>
      <c r="C4736" s="2" t="s">
        <v>19446</v>
      </c>
      <c r="D4736" s="2" t="s">
        <v>19447</v>
      </c>
      <c r="E4736" s="2" t="s">
        <v>19448</v>
      </c>
      <c r="F4736" s="2" t="b">
        <v>1</v>
      </c>
      <c r="G4736" s="2" t="b">
        <v>0</v>
      </c>
      <c r="H4736" s="2" t="s">
        <v>37</v>
      </c>
      <c r="I4736" s="2" t="s">
        <v>32</v>
      </c>
      <c r="J4736" s="2" t="s">
        <v>19449</v>
      </c>
      <c r="K4736" s="2" t="s">
        <v>495</v>
      </c>
      <c r="L4736" s="13" t="s">
        <v>496</v>
      </c>
      <c r="M4736" s="2" t="s">
        <v>26</v>
      </c>
      <c r="N4736" s="29"/>
      <c r="O4736" s="29"/>
      <c r="P4736" s="5" t="str">
        <f>IFERROR(__xludf.DUMMYFUNCTION("TEXTJOIN("" | "",TRUE,IF(OR(D4736="""",E4736="""",I4736="""",J4736="""",H4736=""""),""ফাঁকা ঘর"",""""),IF(AND(C4736&lt;&gt;"""",D4736&lt;&gt;"""",C4736=D4736),""gloss=figurative"",""""),IF(LEN(D4736)&lt;15,""figurative ছোট"",""""),IF(AND(I4736=""Positive"",REGEXMATCH(H4"&amp;"736,""মূর্খ|ভণ্ড|প্রতার|অলস|লোভ|স্বার্থ|অক্ষম|অযোগ্য|বোকা|কৃপণ|হিংস"")),""valence-target অমিল"",""""),IF(COUNTIF($B:$B,B4736)&gt;1,""ডুপ্লিকেট"",""""))"),"")</f>
        <v/>
      </c>
      <c r="Q4736" s="5" t="str">
        <f t="shared" si="1"/>
        <v>২ পরে</v>
      </c>
    </row>
    <row r="4737">
      <c r="A4737" s="4">
        <v>2568.0</v>
      </c>
      <c r="B4737" s="2" t="s">
        <v>19450</v>
      </c>
      <c r="C4737" s="2" t="s">
        <v>19451</v>
      </c>
      <c r="D4737" s="2" t="s">
        <v>19452</v>
      </c>
      <c r="E4737" s="2" t="s">
        <v>19453</v>
      </c>
      <c r="F4737" s="2" t="b">
        <v>1</v>
      </c>
      <c r="G4737" s="2" t="b">
        <v>0</v>
      </c>
      <c r="H4737" s="2" t="s">
        <v>37</v>
      </c>
      <c r="I4737" s="2" t="s">
        <v>49</v>
      </c>
      <c r="J4737" s="2" t="s">
        <v>538</v>
      </c>
      <c r="K4737" s="2" t="s">
        <v>495</v>
      </c>
      <c r="L4737" s="13" t="s">
        <v>496</v>
      </c>
      <c r="M4737" s="2" t="s">
        <v>26</v>
      </c>
      <c r="N4737" s="29"/>
      <c r="O4737" s="29"/>
      <c r="P4737" s="5" t="str">
        <f>IFERROR(__xludf.DUMMYFUNCTION("TEXTJOIN("" | "",TRUE,IF(OR(D4737="""",E4737="""",I4737="""",J4737="""",H4737=""""),""ফাঁকা ঘর"",""""),IF(AND(C4737&lt;&gt;"""",D4737&lt;&gt;"""",C4737=D4737),""gloss=figurative"",""""),IF(LEN(D4737)&lt;15,""figurative ছোট"",""""),IF(AND(I4737=""Positive"",REGEXMATCH(H4"&amp;"737,""মূর্খ|ভণ্ড|প্রতার|অলস|লোভ|স্বার্থ|অক্ষম|অযোগ্য|বোকা|কৃপণ|হিংস"")),""valence-target অমিল"",""""),IF(COUNTIF($B:$B,B4737)&gt;1,""ডুপ্লিকেট"",""""))"),"")</f>
        <v/>
      </c>
      <c r="Q4737" s="5" t="str">
        <f t="shared" si="1"/>
        <v>২ পরে</v>
      </c>
    </row>
    <row r="4738">
      <c r="A4738" s="4">
        <v>2569.0</v>
      </c>
      <c r="B4738" s="2" t="s">
        <v>19454</v>
      </c>
      <c r="C4738" s="2" t="s">
        <v>10302</v>
      </c>
      <c r="D4738" s="2" t="s">
        <v>19455</v>
      </c>
      <c r="E4738" s="2" t="s">
        <v>19456</v>
      </c>
      <c r="F4738" s="2" t="b">
        <v>1</v>
      </c>
      <c r="G4738" s="2" t="b">
        <v>0</v>
      </c>
      <c r="H4738" s="2" t="s">
        <v>37</v>
      </c>
      <c r="I4738" s="2" t="s">
        <v>32</v>
      </c>
      <c r="J4738" s="2" t="s">
        <v>208</v>
      </c>
      <c r="K4738" s="2" t="s">
        <v>495</v>
      </c>
      <c r="L4738" s="13" t="s">
        <v>496</v>
      </c>
      <c r="M4738" s="2" t="s">
        <v>26</v>
      </c>
      <c r="N4738" s="29"/>
      <c r="O4738" s="29"/>
      <c r="P4738" s="5" t="str">
        <f>IFERROR(__xludf.DUMMYFUNCTION("TEXTJOIN("" | "",TRUE,IF(OR(D4738="""",E4738="""",I4738="""",J4738="""",H4738=""""),""ফাঁকা ঘর"",""""),IF(AND(C4738&lt;&gt;"""",D4738&lt;&gt;"""",C4738=D4738),""gloss=figurative"",""""),IF(LEN(D4738)&lt;15,""figurative ছোট"",""""),IF(AND(I4738=""Positive"",REGEXMATCH(H4"&amp;"738,""মূর্খ|ভণ্ড|প্রতার|অলস|লোভ|স্বার্থ|অক্ষম|অযোগ্য|বোকা|কৃপণ|হিংস"")),""valence-target অমিল"",""""),IF(COUNTIF($B:$B,B4738)&gt;1,""ডুপ্লিকেট"",""""))"),"")</f>
        <v/>
      </c>
      <c r="Q4738" s="5" t="str">
        <f t="shared" si="1"/>
        <v>২ পরে</v>
      </c>
    </row>
    <row r="4739">
      <c r="A4739" s="4">
        <v>2570.0</v>
      </c>
      <c r="B4739" s="2" t="s">
        <v>19457</v>
      </c>
      <c r="C4739" s="2" t="s">
        <v>19458</v>
      </c>
      <c r="D4739" s="2" t="s">
        <v>19459</v>
      </c>
      <c r="E4739" s="2" t="s">
        <v>19460</v>
      </c>
      <c r="F4739" s="2" t="b">
        <v>1</v>
      </c>
      <c r="G4739" s="2" t="b">
        <v>0</v>
      </c>
      <c r="H4739" s="2" t="s">
        <v>37</v>
      </c>
      <c r="I4739" s="2" t="s">
        <v>32</v>
      </c>
      <c r="J4739" s="2" t="s">
        <v>208</v>
      </c>
      <c r="K4739" s="2" t="s">
        <v>495</v>
      </c>
      <c r="L4739" s="13" t="s">
        <v>496</v>
      </c>
      <c r="M4739" s="2" t="s">
        <v>26</v>
      </c>
      <c r="N4739" s="29"/>
      <c r="O4739" s="29"/>
      <c r="P4739" s="5" t="str">
        <f>IFERROR(__xludf.DUMMYFUNCTION("TEXTJOIN("" | "",TRUE,IF(OR(D4739="""",E4739="""",I4739="""",J4739="""",H4739=""""),""ফাঁকা ঘর"",""""),IF(AND(C4739&lt;&gt;"""",D4739&lt;&gt;"""",C4739=D4739),""gloss=figurative"",""""),IF(LEN(D4739)&lt;15,""figurative ছোট"",""""),IF(AND(I4739=""Positive"",REGEXMATCH(H4"&amp;"739,""মূর্খ|ভণ্ড|প্রতার|অলস|লোভ|স্বার্থ|অক্ষম|অযোগ্য|বোকা|কৃপণ|হিংস"")),""valence-target অমিল"",""""),IF(COUNTIF($B:$B,B4739)&gt;1,""ডুপ্লিকেট"",""""))"),"")</f>
        <v/>
      </c>
      <c r="Q4739" s="5" t="str">
        <f t="shared" si="1"/>
        <v>২ পরে</v>
      </c>
    </row>
    <row r="4740">
      <c r="A4740" s="4">
        <v>2571.0</v>
      </c>
      <c r="B4740" s="2" t="s">
        <v>19461</v>
      </c>
      <c r="C4740" s="2" t="s">
        <v>19462</v>
      </c>
      <c r="D4740" s="2" t="s">
        <v>19463</v>
      </c>
      <c r="E4740" s="2" t="s">
        <v>19464</v>
      </c>
      <c r="F4740" s="2" t="b">
        <v>1</v>
      </c>
      <c r="G4740" s="2" t="b">
        <v>0</v>
      </c>
      <c r="H4740" s="2" t="s">
        <v>37</v>
      </c>
      <c r="I4740" s="2" t="s">
        <v>49</v>
      </c>
      <c r="J4740" s="2" t="s">
        <v>3506</v>
      </c>
      <c r="K4740" s="2" t="s">
        <v>495</v>
      </c>
      <c r="L4740" s="13" t="s">
        <v>496</v>
      </c>
      <c r="M4740" s="2" t="s">
        <v>26</v>
      </c>
      <c r="N4740" s="29"/>
      <c r="O4740" s="29"/>
      <c r="P4740" s="5" t="str">
        <f>IFERROR(__xludf.DUMMYFUNCTION("TEXTJOIN("" | "",TRUE,IF(OR(D4740="""",E4740="""",I4740="""",J4740="""",H4740=""""),""ফাঁকা ঘর"",""""),IF(AND(C4740&lt;&gt;"""",D4740&lt;&gt;"""",C4740=D4740),""gloss=figurative"",""""),IF(LEN(D4740)&lt;15,""figurative ছোট"",""""),IF(AND(I4740=""Positive"",REGEXMATCH(H4"&amp;"740,""মূর্খ|ভণ্ড|প্রতার|অলস|লোভ|স্বার্থ|অক্ষম|অযোগ্য|বোকা|কৃপণ|হিংস"")),""valence-target অমিল"",""""),IF(COUNTIF($B:$B,B4740)&gt;1,""ডুপ্লিকেট"",""""))"),"")</f>
        <v/>
      </c>
      <c r="Q4740" s="5" t="str">
        <f t="shared" si="1"/>
        <v>২ পরে</v>
      </c>
    </row>
    <row r="4741">
      <c r="A4741" s="4">
        <v>2572.0</v>
      </c>
      <c r="B4741" s="2" t="s">
        <v>19465</v>
      </c>
      <c r="C4741" s="2" t="s">
        <v>19466</v>
      </c>
      <c r="D4741" s="2" t="s">
        <v>19467</v>
      </c>
      <c r="E4741" s="2" t="s">
        <v>19468</v>
      </c>
      <c r="F4741" s="2" t="b">
        <v>1</v>
      </c>
      <c r="G4741" s="2" t="b">
        <v>0</v>
      </c>
      <c r="H4741" s="2" t="s">
        <v>37</v>
      </c>
      <c r="I4741" s="2" t="s">
        <v>32</v>
      </c>
      <c r="J4741" s="2" t="s">
        <v>669</v>
      </c>
      <c r="K4741" s="2" t="s">
        <v>495</v>
      </c>
      <c r="L4741" s="13" t="s">
        <v>496</v>
      </c>
      <c r="M4741" s="2" t="s">
        <v>26</v>
      </c>
      <c r="N4741" s="29"/>
      <c r="O4741" s="29"/>
      <c r="P4741" s="5" t="str">
        <f>IFERROR(__xludf.DUMMYFUNCTION("TEXTJOIN("" | "",TRUE,IF(OR(D4741="""",E4741="""",I4741="""",J4741="""",H4741=""""),""ফাঁকা ঘর"",""""),IF(AND(C4741&lt;&gt;"""",D4741&lt;&gt;"""",C4741=D4741),""gloss=figurative"",""""),IF(LEN(D4741)&lt;15,""figurative ছোট"",""""),IF(AND(I4741=""Positive"",REGEXMATCH(H4"&amp;"741,""মূর্খ|ভণ্ড|প্রতার|অলস|লোভ|স্বার্থ|অক্ষম|অযোগ্য|বোকা|কৃপণ|হিংস"")),""valence-target অমিল"",""""),IF(COUNTIF($B:$B,B4741)&gt;1,""ডুপ্লিকেট"",""""))"),"")</f>
        <v/>
      </c>
      <c r="Q4741" s="5" t="str">
        <f t="shared" si="1"/>
        <v>২ পরে</v>
      </c>
    </row>
    <row r="4742">
      <c r="A4742" s="4">
        <v>2573.0</v>
      </c>
      <c r="B4742" s="2" t="s">
        <v>19469</v>
      </c>
      <c r="C4742" s="2" t="s">
        <v>19469</v>
      </c>
      <c r="D4742" s="2" t="s">
        <v>19470</v>
      </c>
      <c r="E4742" s="2" t="s">
        <v>19471</v>
      </c>
      <c r="F4742" s="2" t="b">
        <v>1</v>
      </c>
      <c r="G4742" s="2" t="b">
        <v>0</v>
      </c>
      <c r="H4742" s="2" t="s">
        <v>37</v>
      </c>
      <c r="I4742" s="2" t="s">
        <v>32</v>
      </c>
      <c r="J4742" s="2" t="s">
        <v>1510</v>
      </c>
      <c r="K4742" s="2" t="s">
        <v>495</v>
      </c>
      <c r="L4742" s="13" t="s">
        <v>496</v>
      </c>
      <c r="M4742" s="2" t="s">
        <v>26</v>
      </c>
      <c r="N4742" s="29"/>
      <c r="O4742" s="29"/>
      <c r="P4742" s="5" t="str">
        <f>IFERROR(__xludf.DUMMYFUNCTION("TEXTJOIN("" | "",TRUE,IF(OR(D4742="""",E4742="""",I4742="""",J4742="""",H4742=""""),""ফাঁকা ঘর"",""""),IF(AND(C4742&lt;&gt;"""",D4742&lt;&gt;"""",C4742=D4742),""gloss=figurative"",""""),IF(LEN(D4742)&lt;15,""figurative ছোট"",""""),IF(AND(I4742=""Positive"",REGEXMATCH(H4"&amp;"742,""মূর্খ|ভণ্ড|প্রতার|অলস|লোভ|স্বার্থ|অক্ষম|অযোগ্য|বোকা|কৃপণ|হিংস"")),""valence-target অমিল"",""""),IF(COUNTIF($B:$B,B4742)&gt;1,""ডুপ্লিকেট"",""""))"),"")</f>
        <v/>
      </c>
      <c r="Q4742" s="5" t="str">
        <f t="shared" si="1"/>
        <v>২ পরে</v>
      </c>
    </row>
    <row r="4743">
      <c r="A4743" s="4">
        <v>2574.0</v>
      </c>
      <c r="B4743" s="2" t="s">
        <v>19472</v>
      </c>
      <c r="C4743" s="2" t="s">
        <v>19472</v>
      </c>
      <c r="D4743" s="2" t="s">
        <v>19473</v>
      </c>
      <c r="E4743" s="2" t="s">
        <v>19474</v>
      </c>
      <c r="F4743" s="2" t="b">
        <v>1</v>
      </c>
      <c r="G4743" s="2" t="b">
        <v>0</v>
      </c>
      <c r="H4743" s="2" t="s">
        <v>37</v>
      </c>
      <c r="I4743" s="2" t="s">
        <v>22</v>
      </c>
      <c r="J4743" s="2" t="s">
        <v>4284</v>
      </c>
      <c r="K4743" s="2" t="s">
        <v>495</v>
      </c>
      <c r="L4743" s="13" t="s">
        <v>496</v>
      </c>
      <c r="M4743" s="2" t="s">
        <v>26</v>
      </c>
      <c r="N4743" s="29"/>
      <c r="O4743" s="29"/>
      <c r="P4743" s="5" t="str">
        <f>IFERROR(__xludf.DUMMYFUNCTION("TEXTJOIN("" | "",TRUE,IF(OR(D4743="""",E4743="""",I4743="""",J4743="""",H4743=""""),""ফাঁকা ঘর"",""""),IF(AND(C4743&lt;&gt;"""",D4743&lt;&gt;"""",C4743=D4743),""gloss=figurative"",""""),IF(LEN(D4743)&lt;15,""figurative ছোট"",""""),IF(AND(I4743=""Positive"",REGEXMATCH(H4"&amp;"743,""মূর্খ|ভণ্ড|প্রতার|অলস|লোভ|স্বার্থ|অক্ষম|অযোগ্য|বোকা|কৃপণ|হিংস"")),""valence-target অমিল"",""""),IF(COUNTIF($B:$B,B4743)&gt;1,""ডুপ্লিকেট"",""""))"),"")</f>
        <v/>
      </c>
      <c r="Q4743" s="5" t="str">
        <f t="shared" si="1"/>
        <v>২ পরে</v>
      </c>
    </row>
    <row r="4744">
      <c r="A4744" s="4">
        <v>2575.0</v>
      </c>
      <c r="B4744" s="2" t="s">
        <v>19475</v>
      </c>
      <c r="C4744" s="2" t="s">
        <v>19475</v>
      </c>
      <c r="D4744" s="2" t="s">
        <v>19476</v>
      </c>
      <c r="E4744" s="2" t="s">
        <v>19477</v>
      </c>
      <c r="F4744" s="2" t="b">
        <v>1</v>
      </c>
      <c r="G4744" s="2" t="b">
        <v>0</v>
      </c>
      <c r="H4744" s="2" t="s">
        <v>37</v>
      </c>
      <c r="I4744" s="2" t="s">
        <v>32</v>
      </c>
      <c r="J4744" s="2" t="s">
        <v>581</v>
      </c>
      <c r="K4744" s="2" t="s">
        <v>495</v>
      </c>
      <c r="L4744" s="13" t="s">
        <v>496</v>
      </c>
      <c r="M4744" s="2" t="s">
        <v>26</v>
      </c>
      <c r="N4744" s="29"/>
      <c r="O4744" s="29"/>
      <c r="P4744" s="5" t="str">
        <f>IFERROR(__xludf.DUMMYFUNCTION("TEXTJOIN("" | "",TRUE,IF(OR(D4744="""",E4744="""",I4744="""",J4744="""",H4744=""""),""ফাঁকা ঘর"",""""),IF(AND(C4744&lt;&gt;"""",D4744&lt;&gt;"""",C4744=D4744),""gloss=figurative"",""""),IF(LEN(D4744)&lt;15,""figurative ছোট"",""""),IF(AND(I4744=""Positive"",REGEXMATCH(H4"&amp;"744,""মূর্খ|ভণ্ড|প্রতার|অলস|লোভ|স্বার্থ|অক্ষম|অযোগ্য|বোকা|কৃপণ|হিংস"")),""valence-target অমিল"",""""),IF(COUNTIF($B:$B,B4744)&gt;1,""ডুপ্লিকেট"",""""))"),"")</f>
        <v/>
      </c>
      <c r="Q4744" s="5" t="str">
        <f t="shared" si="1"/>
        <v>২ পরে</v>
      </c>
    </row>
    <row r="4745">
      <c r="A4745" s="4">
        <v>2576.0</v>
      </c>
      <c r="B4745" s="2" t="s">
        <v>19478</v>
      </c>
      <c r="C4745" s="2" t="s">
        <v>19479</v>
      </c>
      <c r="D4745" s="2" t="s">
        <v>19480</v>
      </c>
      <c r="E4745" s="2" t="s">
        <v>19481</v>
      </c>
      <c r="F4745" s="2" t="b">
        <v>1</v>
      </c>
      <c r="G4745" s="2" t="b">
        <v>0</v>
      </c>
      <c r="H4745" s="2" t="s">
        <v>37</v>
      </c>
      <c r="I4745" s="2" t="s">
        <v>22</v>
      </c>
      <c r="J4745" s="2" t="s">
        <v>1853</v>
      </c>
      <c r="K4745" s="2" t="s">
        <v>495</v>
      </c>
      <c r="L4745" s="13" t="s">
        <v>496</v>
      </c>
      <c r="M4745" s="2" t="s">
        <v>26</v>
      </c>
      <c r="N4745" s="29"/>
      <c r="O4745" s="29"/>
      <c r="P4745" s="5" t="str">
        <f>IFERROR(__xludf.DUMMYFUNCTION("TEXTJOIN("" | "",TRUE,IF(OR(D4745="""",E4745="""",I4745="""",J4745="""",H4745=""""),""ফাঁকা ঘর"",""""),IF(AND(C4745&lt;&gt;"""",D4745&lt;&gt;"""",C4745=D4745),""gloss=figurative"",""""),IF(LEN(D4745)&lt;15,""figurative ছোট"",""""),IF(AND(I4745=""Positive"",REGEXMATCH(H4"&amp;"745,""মূর্খ|ভণ্ড|প্রতার|অলস|লোভ|স্বার্থ|অক্ষম|অযোগ্য|বোকা|কৃপণ|হিংস"")),""valence-target অমিল"",""""),IF(COUNTIF($B:$B,B4745)&gt;1,""ডুপ্লিকেট"",""""))"),"")</f>
        <v/>
      </c>
      <c r="Q4745" s="5" t="str">
        <f t="shared" si="1"/>
        <v>২ পরে</v>
      </c>
    </row>
    <row r="4746">
      <c r="A4746" s="4">
        <v>2577.0</v>
      </c>
      <c r="B4746" s="2" t="s">
        <v>19482</v>
      </c>
      <c r="C4746" s="2" t="s">
        <v>19483</v>
      </c>
      <c r="D4746" s="2" t="s">
        <v>19484</v>
      </c>
      <c r="E4746" s="2" t="s">
        <v>19485</v>
      </c>
      <c r="F4746" s="2" t="b">
        <v>1</v>
      </c>
      <c r="G4746" s="2" t="b">
        <v>0</v>
      </c>
      <c r="H4746" s="2" t="s">
        <v>37</v>
      </c>
      <c r="I4746" s="2" t="s">
        <v>22</v>
      </c>
      <c r="J4746" s="2" t="s">
        <v>5829</v>
      </c>
      <c r="K4746" s="2" t="s">
        <v>495</v>
      </c>
      <c r="L4746" s="13" t="s">
        <v>496</v>
      </c>
      <c r="M4746" s="2" t="s">
        <v>26</v>
      </c>
      <c r="N4746" s="29"/>
      <c r="O4746" s="29"/>
      <c r="P4746" s="5" t="str">
        <f>IFERROR(__xludf.DUMMYFUNCTION("TEXTJOIN("" | "",TRUE,IF(OR(D4746="""",E4746="""",I4746="""",J4746="""",H4746=""""),""ফাঁকা ঘর"",""""),IF(AND(C4746&lt;&gt;"""",D4746&lt;&gt;"""",C4746=D4746),""gloss=figurative"",""""),IF(LEN(D4746)&lt;15,""figurative ছোট"",""""),IF(AND(I4746=""Positive"",REGEXMATCH(H4"&amp;"746,""মূর্খ|ভণ্ড|প্রতার|অলস|লোভ|স্বার্থ|অক্ষম|অযোগ্য|বোকা|কৃপণ|হিংস"")),""valence-target অমিল"",""""),IF(COUNTIF($B:$B,B4746)&gt;1,""ডুপ্লিকেট"",""""))"),"")</f>
        <v/>
      </c>
      <c r="Q4746" s="5" t="str">
        <f t="shared" si="1"/>
        <v>২ পরে</v>
      </c>
    </row>
    <row r="4747">
      <c r="A4747" s="4">
        <v>2578.0</v>
      </c>
      <c r="B4747" s="2" t="s">
        <v>19486</v>
      </c>
      <c r="C4747" s="2" t="s">
        <v>19487</v>
      </c>
      <c r="D4747" s="2" t="s">
        <v>19488</v>
      </c>
      <c r="E4747" s="2" t="s">
        <v>19489</v>
      </c>
      <c r="F4747" s="2" t="b">
        <v>1</v>
      </c>
      <c r="G4747" s="2" t="b">
        <v>0</v>
      </c>
      <c r="H4747" s="2" t="s">
        <v>37</v>
      </c>
      <c r="I4747" s="2" t="s">
        <v>32</v>
      </c>
      <c r="J4747" s="2" t="s">
        <v>1060</v>
      </c>
      <c r="K4747" s="2" t="s">
        <v>495</v>
      </c>
      <c r="L4747" s="13" t="s">
        <v>496</v>
      </c>
      <c r="M4747" s="2" t="s">
        <v>26</v>
      </c>
      <c r="N4747" s="29"/>
      <c r="O4747" s="29"/>
      <c r="P4747" s="5" t="str">
        <f>IFERROR(__xludf.DUMMYFUNCTION("TEXTJOIN("" | "",TRUE,IF(OR(D4747="""",E4747="""",I4747="""",J4747="""",H4747=""""),""ফাঁকা ঘর"",""""),IF(AND(C4747&lt;&gt;"""",D4747&lt;&gt;"""",C4747=D4747),""gloss=figurative"",""""),IF(LEN(D4747)&lt;15,""figurative ছোট"",""""),IF(AND(I4747=""Positive"",REGEXMATCH(H4"&amp;"747,""মূর্খ|ভণ্ড|প্রতার|অলস|লোভ|স্বার্থ|অক্ষম|অযোগ্য|বোকা|কৃপণ|হিংস"")),""valence-target অমিল"",""""),IF(COUNTIF($B:$B,B4747)&gt;1,""ডুপ্লিকেট"",""""))"),"")</f>
        <v/>
      </c>
      <c r="Q4747" s="5" t="str">
        <f t="shared" si="1"/>
        <v>২ পরে</v>
      </c>
    </row>
    <row r="4748">
      <c r="A4748" s="4">
        <v>2579.0</v>
      </c>
      <c r="B4748" s="2" t="s">
        <v>19490</v>
      </c>
      <c r="C4748" s="2" t="s">
        <v>19491</v>
      </c>
      <c r="D4748" s="2" t="s">
        <v>19492</v>
      </c>
      <c r="E4748" s="2" t="s">
        <v>19493</v>
      </c>
      <c r="F4748" s="2" t="b">
        <v>1</v>
      </c>
      <c r="G4748" s="2" t="b">
        <v>0</v>
      </c>
      <c r="H4748" s="2" t="s">
        <v>37</v>
      </c>
      <c r="I4748" s="2" t="s">
        <v>32</v>
      </c>
      <c r="J4748" s="2" t="s">
        <v>1598</v>
      </c>
      <c r="K4748" s="2" t="s">
        <v>495</v>
      </c>
      <c r="L4748" s="13" t="s">
        <v>496</v>
      </c>
      <c r="M4748" s="2" t="s">
        <v>26</v>
      </c>
      <c r="N4748" s="29"/>
      <c r="O4748" s="29"/>
      <c r="P4748" s="5" t="str">
        <f>IFERROR(__xludf.DUMMYFUNCTION("TEXTJOIN("" | "",TRUE,IF(OR(D4748="""",E4748="""",I4748="""",J4748="""",H4748=""""),""ফাঁকা ঘর"",""""),IF(AND(C4748&lt;&gt;"""",D4748&lt;&gt;"""",C4748=D4748),""gloss=figurative"",""""),IF(LEN(D4748)&lt;15,""figurative ছোট"",""""),IF(AND(I4748=""Positive"",REGEXMATCH(H4"&amp;"748,""মূর্খ|ভণ্ড|প্রতার|অলস|লোভ|স্বার্থ|অক্ষম|অযোগ্য|বোকা|কৃপণ|হিংস"")),""valence-target অমিল"",""""),IF(COUNTIF($B:$B,B4748)&gt;1,""ডুপ্লিকেট"",""""))"),"")</f>
        <v/>
      </c>
      <c r="Q4748" s="5" t="str">
        <f t="shared" si="1"/>
        <v>২ পরে</v>
      </c>
    </row>
    <row r="4749">
      <c r="A4749" s="4">
        <v>2580.0</v>
      </c>
      <c r="B4749" s="2" t="s">
        <v>19494</v>
      </c>
      <c r="C4749" s="2" t="s">
        <v>19495</v>
      </c>
      <c r="D4749" s="2" t="s">
        <v>19496</v>
      </c>
      <c r="E4749" s="2" t="s">
        <v>19497</v>
      </c>
      <c r="F4749" s="2" t="b">
        <v>1</v>
      </c>
      <c r="G4749" s="2" t="b">
        <v>0</v>
      </c>
      <c r="H4749" s="2" t="s">
        <v>37</v>
      </c>
      <c r="I4749" s="2" t="s">
        <v>32</v>
      </c>
      <c r="J4749" s="2" t="s">
        <v>19498</v>
      </c>
      <c r="K4749" s="2" t="s">
        <v>495</v>
      </c>
      <c r="L4749" s="13" t="s">
        <v>496</v>
      </c>
      <c r="M4749" s="2" t="s">
        <v>26</v>
      </c>
      <c r="N4749" s="29"/>
      <c r="O4749" s="29"/>
      <c r="P4749" s="5" t="str">
        <f>IFERROR(__xludf.DUMMYFUNCTION("TEXTJOIN("" | "",TRUE,IF(OR(D4749="""",E4749="""",I4749="""",J4749="""",H4749=""""),""ফাঁকা ঘর"",""""),IF(AND(C4749&lt;&gt;"""",D4749&lt;&gt;"""",C4749=D4749),""gloss=figurative"",""""),IF(LEN(D4749)&lt;15,""figurative ছোট"",""""),IF(AND(I4749=""Positive"",REGEXMATCH(H4"&amp;"749,""মূর্খ|ভণ্ড|প্রতার|অলস|লোভ|স্বার্থ|অক্ষম|অযোগ্য|বোকা|কৃপণ|হিংস"")),""valence-target অমিল"",""""),IF(COUNTIF($B:$B,B4749)&gt;1,""ডুপ্লিকেট"",""""))"),"")</f>
        <v/>
      </c>
      <c r="Q4749" s="5" t="str">
        <f t="shared" si="1"/>
        <v>২ পরে</v>
      </c>
    </row>
    <row r="4750">
      <c r="A4750" s="4">
        <v>2581.0</v>
      </c>
      <c r="B4750" s="2" t="s">
        <v>19499</v>
      </c>
      <c r="C4750" s="2" t="s">
        <v>19500</v>
      </c>
      <c r="D4750" s="2" t="s">
        <v>19501</v>
      </c>
      <c r="E4750" s="2" t="s">
        <v>19502</v>
      </c>
      <c r="F4750" s="2" t="b">
        <v>1</v>
      </c>
      <c r="G4750" s="2" t="b">
        <v>0</v>
      </c>
      <c r="H4750" s="2" t="s">
        <v>37</v>
      </c>
      <c r="I4750" s="2" t="s">
        <v>32</v>
      </c>
      <c r="J4750" s="2" t="s">
        <v>19498</v>
      </c>
      <c r="K4750" s="2" t="s">
        <v>495</v>
      </c>
      <c r="L4750" s="13" t="s">
        <v>496</v>
      </c>
      <c r="M4750" s="2" t="s">
        <v>26</v>
      </c>
      <c r="N4750" s="29"/>
      <c r="O4750" s="29"/>
      <c r="P4750" s="5" t="str">
        <f>IFERROR(__xludf.DUMMYFUNCTION("TEXTJOIN("" | "",TRUE,IF(OR(D4750="""",E4750="""",I4750="""",J4750="""",H4750=""""),""ফাঁকা ঘর"",""""),IF(AND(C4750&lt;&gt;"""",D4750&lt;&gt;"""",C4750=D4750),""gloss=figurative"",""""),IF(LEN(D4750)&lt;15,""figurative ছোট"",""""),IF(AND(I4750=""Positive"",REGEXMATCH(H4"&amp;"750,""মূর্খ|ভণ্ড|প্রতার|অলস|লোভ|স্বার্থ|অক্ষম|অযোগ্য|বোকা|কৃপণ|হিংস"")),""valence-target অমিল"",""""),IF(COUNTIF($B:$B,B4750)&gt;1,""ডুপ্লিকেট"",""""))"),"")</f>
        <v/>
      </c>
      <c r="Q4750" s="5" t="str">
        <f t="shared" si="1"/>
        <v>২ পরে</v>
      </c>
    </row>
    <row r="4751">
      <c r="A4751" s="4">
        <v>2582.0</v>
      </c>
      <c r="B4751" s="2" t="s">
        <v>19503</v>
      </c>
      <c r="C4751" s="2" t="s">
        <v>19504</v>
      </c>
      <c r="D4751" s="2" t="s">
        <v>19505</v>
      </c>
      <c r="E4751" s="2" t="s">
        <v>19506</v>
      </c>
      <c r="F4751" s="2" t="b">
        <v>1</v>
      </c>
      <c r="G4751" s="2" t="b">
        <v>0</v>
      </c>
      <c r="H4751" s="2" t="s">
        <v>37</v>
      </c>
      <c r="I4751" s="2" t="s">
        <v>32</v>
      </c>
      <c r="J4751" s="2" t="s">
        <v>19507</v>
      </c>
      <c r="K4751" s="2" t="s">
        <v>495</v>
      </c>
      <c r="L4751" s="13" t="s">
        <v>496</v>
      </c>
      <c r="M4751" s="2" t="s">
        <v>26</v>
      </c>
      <c r="N4751" s="29"/>
      <c r="O4751" s="29"/>
      <c r="P4751" s="5" t="str">
        <f>IFERROR(__xludf.DUMMYFUNCTION("TEXTJOIN("" | "",TRUE,IF(OR(D4751="""",E4751="""",I4751="""",J4751="""",H4751=""""),""ফাঁকা ঘর"",""""),IF(AND(C4751&lt;&gt;"""",D4751&lt;&gt;"""",C4751=D4751),""gloss=figurative"",""""),IF(LEN(D4751)&lt;15,""figurative ছোট"",""""),IF(AND(I4751=""Positive"",REGEXMATCH(H4"&amp;"751,""মূর্খ|ভণ্ড|প্রতার|অলস|লোভ|স্বার্থ|অক্ষম|অযোগ্য|বোকা|কৃপণ|হিংস"")),""valence-target অমিল"",""""),IF(COUNTIF($B:$B,B4751)&gt;1,""ডুপ্লিকেট"",""""))"),"")</f>
        <v/>
      </c>
      <c r="Q4751" s="5" t="str">
        <f t="shared" si="1"/>
        <v>২ পরে</v>
      </c>
    </row>
    <row r="4752">
      <c r="A4752" s="4">
        <v>2585.0</v>
      </c>
      <c r="B4752" s="2" t="s">
        <v>19508</v>
      </c>
      <c r="C4752" s="2" t="s">
        <v>19508</v>
      </c>
      <c r="D4752" s="2" t="s">
        <v>19509</v>
      </c>
      <c r="E4752" s="2" t="s">
        <v>19510</v>
      </c>
      <c r="F4752" s="2" t="b">
        <v>1</v>
      </c>
      <c r="G4752" s="2" t="b">
        <v>0</v>
      </c>
      <c r="H4752" s="2" t="s">
        <v>37</v>
      </c>
      <c r="I4752" s="2" t="s">
        <v>32</v>
      </c>
      <c r="J4752" s="2" t="s">
        <v>231</v>
      </c>
      <c r="K4752" s="2" t="s">
        <v>495</v>
      </c>
      <c r="L4752" s="13" t="s">
        <v>496</v>
      </c>
      <c r="M4752" s="2" t="s">
        <v>26</v>
      </c>
      <c r="N4752" s="29"/>
      <c r="O4752" s="29"/>
      <c r="P4752" s="5" t="str">
        <f>IFERROR(__xludf.DUMMYFUNCTION("TEXTJOIN("" | "",TRUE,IF(OR(D4752="""",E4752="""",I4752="""",J4752="""",H4752=""""),""ফাঁকা ঘর"",""""),IF(AND(C4752&lt;&gt;"""",D4752&lt;&gt;"""",C4752=D4752),""gloss=figurative"",""""),IF(LEN(D4752)&lt;15,""figurative ছোট"",""""),IF(AND(I4752=""Positive"",REGEXMATCH(H4"&amp;"752,""মূর্খ|ভণ্ড|প্রতার|অলস|লোভ|স্বার্থ|অক্ষম|অযোগ্য|বোকা|কৃপণ|হিংস"")),""valence-target অমিল"",""""),IF(COUNTIF($B:$B,B4752)&gt;1,""ডুপ্লিকেট"",""""))"),"")</f>
        <v/>
      </c>
      <c r="Q4752" s="5" t="str">
        <f t="shared" si="1"/>
        <v>২ পরে</v>
      </c>
    </row>
    <row r="4753">
      <c r="A4753" s="4">
        <v>2586.0</v>
      </c>
      <c r="B4753" s="2" t="s">
        <v>19511</v>
      </c>
      <c r="C4753" s="2" t="s">
        <v>19512</v>
      </c>
      <c r="D4753" s="2" t="s">
        <v>19513</v>
      </c>
      <c r="E4753" s="2" t="s">
        <v>19514</v>
      </c>
      <c r="F4753" s="2" t="b">
        <v>1</v>
      </c>
      <c r="G4753" s="2" t="b">
        <v>0</v>
      </c>
      <c r="H4753" s="2" t="s">
        <v>37</v>
      </c>
      <c r="I4753" s="2" t="s">
        <v>32</v>
      </c>
      <c r="J4753" s="2" t="s">
        <v>1598</v>
      </c>
      <c r="K4753" s="2" t="s">
        <v>495</v>
      </c>
      <c r="L4753" s="13" t="s">
        <v>496</v>
      </c>
      <c r="M4753" s="2" t="s">
        <v>26</v>
      </c>
      <c r="N4753" s="29"/>
      <c r="O4753" s="29"/>
      <c r="P4753" s="5" t="str">
        <f>IFERROR(__xludf.DUMMYFUNCTION("TEXTJOIN("" | "",TRUE,IF(OR(D4753="""",E4753="""",I4753="""",J4753="""",H4753=""""),""ফাঁকা ঘর"",""""),IF(AND(C4753&lt;&gt;"""",D4753&lt;&gt;"""",C4753=D4753),""gloss=figurative"",""""),IF(LEN(D4753)&lt;15,""figurative ছোট"",""""),IF(AND(I4753=""Positive"",REGEXMATCH(H4"&amp;"753,""মূর্খ|ভণ্ড|প্রতার|অলস|লোভ|স্বার্থ|অক্ষম|অযোগ্য|বোকা|কৃপণ|হিংস"")),""valence-target অমিল"",""""),IF(COUNTIF($B:$B,B4753)&gt;1,""ডুপ্লিকেট"",""""))"),"")</f>
        <v/>
      </c>
      <c r="Q4753" s="5" t="str">
        <f t="shared" si="1"/>
        <v>২ পরে</v>
      </c>
    </row>
    <row r="4754">
      <c r="A4754" s="4">
        <v>2587.0</v>
      </c>
      <c r="B4754" s="2" t="s">
        <v>19515</v>
      </c>
      <c r="C4754" s="2" t="s">
        <v>19516</v>
      </c>
      <c r="D4754" s="2" t="s">
        <v>19517</v>
      </c>
      <c r="E4754" s="2" t="s">
        <v>19518</v>
      </c>
      <c r="F4754" s="2" t="b">
        <v>1</v>
      </c>
      <c r="G4754" s="2" t="b">
        <v>1</v>
      </c>
      <c r="H4754" s="2" t="s">
        <v>19519</v>
      </c>
      <c r="I4754" s="2" t="s">
        <v>22</v>
      </c>
      <c r="J4754" s="2" t="s">
        <v>14971</v>
      </c>
      <c r="K4754" s="2" t="s">
        <v>495</v>
      </c>
      <c r="L4754" s="13" t="s">
        <v>496</v>
      </c>
      <c r="M4754" s="2" t="s">
        <v>26</v>
      </c>
      <c r="N4754" s="29"/>
      <c r="O4754" s="29"/>
      <c r="P4754" s="5" t="str">
        <f>IFERROR(__xludf.DUMMYFUNCTION("TEXTJOIN("" | "",TRUE,IF(OR(D4754="""",E4754="""",I4754="""",J4754="""",H4754=""""),""ফাঁকা ঘর"",""""),IF(AND(C4754&lt;&gt;"""",D4754&lt;&gt;"""",C4754=D4754),""gloss=figurative"",""""),IF(LEN(D4754)&lt;15,""figurative ছোট"",""""),IF(AND(I4754=""Positive"",REGEXMATCH(H4"&amp;"754,""মূর্খ|ভণ্ড|প্রতার|অলস|লোভ|স্বার্থ|অক্ষম|অযোগ্য|বোকা|কৃপণ|হিংস"")),""valence-target অমিল"",""""),IF(COUNTIF($B:$B,B4754)&gt;1,""ডুপ্লিকেট"",""""))"),"")</f>
        <v/>
      </c>
      <c r="Q4754" s="5" t="str">
        <f t="shared" si="1"/>
        <v>২ পরে</v>
      </c>
    </row>
    <row r="4755">
      <c r="A4755" s="4">
        <v>2588.0</v>
      </c>
      <c r="B4755" s="2" t="s">
        <v>19520</v>
      </c>
      <c r="C4755" s="2" t="s">
        <v>19520</v>
      </c>
      <c r="D4755" s="2" t="s">
        <v>19521</v>
      </c>
      <c r="E4755" s="2" t="s">
        <v>19522</v>
      </c>
      <c r="F4755" s="2" t="b">
        <v>1</v>
      </c>
      <c r="G4755" s="2" t="b">
        <v>0</v>
      </c>
      <c r="H4755" s="2" t="s">
        <v>37</v>
      </c>
      <c r="I4755" s="2" t="s">
        <v>32</v>
      </c>
      <c r="J4755" s="2" t="s">
        <v>2140</v>
      </c>
      <c r="K4755" s="2" t="s">
        <v>495</v>
      </c>
      <c r="L4755" s="13" t="s">
        <v>496</v>
      </c>
      <c r="M4755" s="2" t="s">
        <v>26</v>
      </c>
      <c r="N4755" s="29"/>
      <c r="O4755" s="29"/>
      <c r="P4755" s="5" t="str">
        <f>IFERROR(__xludf.DUMMYFUNCTION("TEXTJOIN("" | "",TRUE,IF(OR(D4755="""",E4755="""",I4755="""",J4755="""",H4755=""""),""ফাঁকা ঘর"",""""),IF(AND(C4755&lt;&gt;"""",D4755&lt;&gt;"""",C4755=D4755),""gloss=figurative"",""""),IF(LEN(D4755)&lt;15,""figurative ছোট"",""""),IF(AND(I4755=""Positive"",REGEXMATCH(H4"&amp;"755,""মূর্খ|ভণ্ড|প্রতার|অলস|লোভ|স্বার্থ|অক্ষম|অযোগ্য|বোকা|কৃপণ|হিংস"")),""valence-target অমিল"",""""),IF(COUNTIF($B:$B,B4755)&gt;1,""ডুপ্লিকেট"",""""))"),"")</f>
        <v/>
      </c>
      <c r="Q4755" s="5" t="str">
        <f t="shared" si="1"/>
        <v>২ পরে</v>
      </c>
    </row>
    <row r="4756">
      <c r="A4756" s="4">
        <v>2589.0</v>
      </c>
      <c r="B4756" s="2" t="s">
        <v>19523</v>
      </c>
      <c r="C4756" s="2" t="s">
        <v>19524</v>
      </c>
      <c r="D4756" s="2" t="s">
        <v>19525</v>
      </c>
      <c r="E4756" s="2" t="s">
        <v>19526</v>
      </c>
      <c r="F4756" s="2" t="b">
        <v>1</v>
      </c>
      <c r="G4756" s="2" t="b">
        <v>0</v>
      </c>
      <c r="H4756" s="2" t="s">
        <v>37</v>
      </c>
      <c r="I4756" s="2" t="s">
        <v>49</v>
      </c>
      <c r="J4756" s="2" t="s">
        <v>1111</v>
      </c>
      <c r="K4756" s="2" t="s">
        <v>495</v>
      </c>
      <c r="L4756" s="13" t="s">
        <v>496</v>
      </c>
      <c r="M4756" s="2" t="s">
        <v>26</v>
      </c>
      <c r="N4756" s="29"/>
      <c r="O4756" s="29"/>
      <c r="P4756" s="5" t="str">
        <f>IFERROR(__xludf.DUMMYFUNCTION("TEXTJOIN("" | "",TRUE,IF(OR(D4756="""",E4756="""",I4756="""",J4756="""",H4756=""""),""ফাঁকা ঘর"",""""),IF(AND(C4756&lt;&gt;"""",D4756&lt;&gt;"""",C4756=D4756),""gloss=figurative"",""""),IF(LEN(D4756)&lt;15,""figurative ছোট"",""""),IF(AND(I4756=""Positive"",REGEXMATCH(H4"&amp;"756,""মূর্খ|ভণ্ড|প্রতার|অলস|লোভ|স্বার্থ|অক্ষম|অযোগ্য|বোকা|কৃপণ|হিংস"")),""valence-target অমিল"",""""),IF(COUNTIF($B:$B,B4756)&gt;1,""ডুপ্লিকেট"",""""))"),"")</f>
        <v/>
      </c>
      <c r="Q4756" s="5" t="str">
        <f t="shared" si="1"/>
        <v>২ পরে</v>
      </c>
    </row>
    <row r="4757">
      <c r="A4757" s="4">
        <v>2590.0</v>
      </c>
      <c r="B4757" s="2" t="s">
        <v>19527</v>
      </c>
      <c r="C4757" s="2" t="s">
        <v>9511</v>
      </c>
      <c r="D4757" s="2" t="s">
        <v>19528</v>
      </c>
      <c r="E4757" s="2" t="s">
        <v>19529</v>
      </c>
      <c r="F4757" s="2" t="b">
        <v>1</v>
      </c>
      <c r="G4757" s="2" t="b">
        <v>0</v>
      </c>
      <c r="H4757" s="2" t="s">
        <v>37</v>
      </c>
      <c r="I4757" s="2" t="s">
        <v>32</v>
      </c>
      <c r="J4757" s="2" t="s">
        <v>208</v>
      </c>
      <c r="K4757" s="2" t="s">
        <v>495</v>
      </c>
      <c r="L4757" s="13" t="s">
        <v>496</v>
      </c>
      <c r="M4757" s="2" t="s">
        <v>26</v>
      </c>
      <c r="N4757" s="29"/>
      <c r="O4757" s="29"/>
      <c r="P4757" s="5" t="str">
        <f>IFERROR(__xludf.DUMMYFUNCTION("TEXTJOIN("" | "",TRUE,IF(OR(D4757="""",E4757="""",I4757="""",J4757="""",H4757=""""),""ফাঁকা ঘর"",""""),IF(AND(C4757&lt;&gt;"""",D4757&lt;&gt;"""",C4757=D4757),""gloss=figurative"",""""),IF(LEN(D4757)&lt;15,""figurative ছোট"",""""),IF(AND(I4757=""Positive"",REGEXMATCH(H4"&amp;"757,""মূর্খ|ভণ্ড|প্রতার|অলস|লোভ|স্বার্থ|অক্ষম|অযোগ্য|বোকা|কৃপণ|হিংস"")),""valence-target অমিল"",""""),IF(COUNTIF($B:$B,B4757)&gt;1,""ডুপ্লিকেট"",""""))"),"")</f>
        <v/>
      </c>
      <c r="Q4757" s="5" t="str">
        <f t="shared" si="1"/>
        <v>২ পরে</v>
      </c>
    </row>
    <row r="4758">
      <c r="A4758" s="4">
        <v>2591.0</v>
      </c>
      <c r="B4758" s="2" t="s">
        <v>19530</v>
      </c>
      <c r="C4758" s="2" t="s">
        <v>19530</v>
      </c>
      <c r="D4758" s="2" t="s">
        <v>19531</v>
      </c>
      <c r="E4758" s="2" t="s">
        <v>19532</v>
      </c>
      <c r="F4758" s="2" t="b">
        <v>1</v>
      </c>
      <c r="G4758" s="2" t="b">
        <v>0</v>
      </c>
      <c r="H4758" s="2" t="s">
        <v>37</v>
      </c>
      <c r="I4758" s="2" t="s">
        <v>32</v>
      </c>
      <c r="J4758" s="2" t="s">
        <v>4112</v>
      </c>
      <c r="K4758" s="2" t="s">
        <v>495</v>
      </c>
      <c r="L4758" s="13" t="s">
        <v>496</v>
      </c>
      <c r="M4758" s="2" t="s">
        <v>26</v>
      </c>
      <c r="N4758" s="29"/>
      <c r="O4758" s="29"/>
      <c r="P4758" s="5" t="str">
        <f>IFERROR(__xludf.DUMMYFUNCTION("TEXTJOIN("" | "",TRUE,IF(OR(D4758="""",E4758="""",I4758="""",J4758="""",H4758=""""),""ফাঁকা ঘর"",""""),IF(AND(C4758&lt;&gt;"""",D4758&lt;&gt;"""",C4758=D4758),""gloss=figurative"",""""),IF(LEN(D4758)&lt;15,""figurative ছোট"",""""),IF(AND(I4758=""Positive"",REGEXMATCH(H4"&amp;"758,""মূর্খ|ভণ্ড|প্রতার|অলস|লোভ|স্বার্থ|অক্ষম|অযোগ্য|বোকা|কৃপণ|হিংস"")),""valence-target অমিল"",""""),IF(COUNTIF($B:$B,B4758)&gt;1,""ডুপ্লিকেট"",""""))"),"")</f>
        <v/>
      </c>
      <c r="Q4758" s="5" t="str">
        <f t="shared" si="1"/>
        <v>২ পরে</v>
      </c>
    </row>
    <row r="4759">
      <c r="A4759" s="4">
        <v>2592.0</v>
      </c>
      <c r="B4759" s="2" t="s">
        <v>19533</v>
      </c>
      <c r="C4759" s="2" t="s">
        <v>19533</v>
      </c>
      <c r="D4759" s="2" t="s">
        <v>19534</v>
      </c>
      <c r="E4759" s="2" t="s">
        <v>19535</v>
      </c>
      <c r="F4759" s="2" t="b">
        <v>1</v>
      </c>
      <c r="G4759" s="2" t="b">
        <v>1</v>
      </c>
      <c r="H4759" s="2" t="s">
        <v>2173</v>
      </c>
      <c r="I4759" s="2" t="s">
        <v>49</v>
      </c>
      <c r="J4759" s="2" t="s">
        <v>3327</v>
      </c>
      <c r="K4759" s="2" t="s">
        <v>495</v>
      </c>
      <c r="L4759" s="13" t="s">
        <v>496</v>
      </c>
      <c r="M4759" s="2" t="s">
        <v>26</v>
      </c>
      <c r="N4759" s="29"/>
      <c r="O4759" s="29"/>
      <c r="P4759" s="5" t="str">
        <f>IFERROR(__xludf.DUMMYFUNCTION("TEXTJOIN("" | "",TRUE,IF(OR(D4759="""",E4759="""",I4759="""",J4759="""",H4759=""""),""ফাঁকা ঘর"",""""),IF(AND(C4759&lt;&gt;"""",D4759&lt;&gt;"""",C4759=D4759),""gloss=figurative"",""""),IF(LEN(D4759)&lt;15,""figurative ছোট"",""""),IF(AND(I4759=""Positive"",REGEXMATCH(H4"&amp;"759,""মূর্খ|ভণ্ড|প্রতার|অলস|লোভ|স্বার্থ|অক্ষম|অযোগ্য|বোকা|কৃপণ|হিংস"")),""valence-target অমিল"",""""),IF(COUNTIF($B:$B,B4759)&gt;1,""ডুপ্লিকেট"",""""))"),"")</f>
        <v/>
      </c>
      <c r="Q4759" s="5" t="str">
        <f t="shared" si="1"/>
        <v>২ পরে</v>
      </c>
    </row>
    <row r="4760">
      <c r="A4760" s="4">
        <v>2593.0</v>
      </c>
      <c r="B4760" s="2" t="s">
        <v>19536</v>
      </c>
      <c r="C4760" s="2" t="s">
        <v>19537</v>
      </c>
      <c r="D4760" s="2" t="s">
        <v>19538</v>
      </c>
      <c r="E4760" s="2" t="s">
        <v>19539</v>
      </c>
      <c r="F4760" s="2" t="b">
        <v>1</v>
      </c>
      <c r="G4760" s="2" t="b">
        <v>0</v>
      </c>
      <c r="H4760" s="2" t="s">
        <v>19540</v>
      </c>
      <c r="I4760" s="2" t="s">
        <v>22</v>
      </c>
      <c r="J4760" s="2" t="s">
        <v>553</v>
      </c>
      <c r="K4760" s="2" t="s">
        <v>495</v>
      </c>
      <c r="L4760" s="13" t="s">
        <v>496</v>
      </c>
      <c r="M4760" s="2" t="s">
        <v>26</v>
      </c>
      <c r="N4760" s="29"/>
      <c r="O4760" s="29"/>
      <c r="P4760" s="5" t="str">
        <f>IFERROR(__xludf.DUMMYFUNCTION("TEXTJOIN("" | "",TRUE,IF(OR(D4760="""",E4760="""",I4760="""",J4760="""",H4760=""""),""ফাঁকা ঘর"",""""),IF(AND(C4760&lt;&gt;"""",D4760&lt;&gt;"""",C4760=D4760),""gloss=figurative"",""""),IF(LEN(D4760)&lt;15,""figurative ছোট"",""""),IF(AND(I4760=""Positive"",REGEXMATCH(H4"&amp;"760,""মূর্খ|ভণ্ড|প্রতার|অলস|লোভ|স্বার্থ|অক্ষম|অযোগ্য|বোকা|কৃপণ|হিংস"")),""valence-target অমিল"",""""),IF(COUNTIF($B:$B,B4760)&gt;1,""ডুপ্লিকেট"",""""))"),"")</f>
        <v/>
      </c>
      <c r="Q4760" s="5" t="str">
        <f t="shared" si="1"/>
        <v>২ পরে</v>
      </c>
    </row>
    <row r="4761">
      <c r="A4761" s="4">
        <v>2594.0</v>
      </c>
      <c r="B4761" s="2" t="s">
        <v>19541</v>
      </c>
      <c r="C4761" s="2" t="s">
        <v>19542</v>
      </c>
      <c r="D4761" s="2" t="s">
        <v>19543</v>
      </c>
      <c r="E4761" s="2" t="s">
        <v>19544</v>
      </c>
      <c r="F4761" s="2" t="b">
        <v>1</v>
      </c>
      <c r="G4761" s="2" t="b">
        <v>0</v>
      </c>
      <c r="H4761" s="2" t="s">
        <v>37</v>
      </c>
      <c r="I4761" s="2" t="s">
        <v>49</v>
      </c>
      <c r="J4761" s="2" t="s">
        <v>708</v>
      </c>
      <c r="K4761" s="2" t="s">
        <v>495</v>
      </c>
      <c r="L4761" s="13" t="s">
        <v>496</v>
      </c>
      <c r="M4761" s="2" t="s">
        <v>26</v>
      </c>
      <c r="N4761" s="29"/>
      <c r="O4761" s="29"/>
      <c r="P4761" s="5" t="str">
        <f>IFERROR(__xludf.DUMMYFUNCTION("TEXTJOIN("" | "",TRUE,IF(OR(D4761="""",E4761="""",I4761="""",J4761="""",H4761=""""),""ফাঁকা ঘর"",""""),IF(AND(C4761&lt;&gt;"""",D4761&lt;&gt;"""",C4761=D4761),""gloss=figurative"",""""),IF(LEN(D4761)&lt;15,""figurative ছোট"",""""),IF(AND(I4761=""Positive"",REGEXMATCH(H4"&amp;"761,""মূর্খ|ভণ্ড|প্রতার|অলস|লোভ|স্বার্থ|অক্ষম|অযোগ্য|বোকা|কৃপণ|হিংস"")),""valence-target অমিল"",""""),IF(COUNTIF($B:$B,B4761)&gt;1,""ডুপ্লিকেট"",""""))"),"")</f>
        <v/>
      </c>
      <c r="Q4761" s="5" t="str">
        <f t="shared" si="1"/>
        <v>২ পরে</v>
      </c>
    </row>
    <row r="4762">
      <c r="A4762" s="4">
        <v>2595.0</v>
      </c>
      <c r="B4762" s="2" t="s">
        <v>19545</v>
      </c>
      <c r="C4762" s="2" t="s">
        <v>19546</v>
      </c>
      <c r="D4762" s="2" t="s">
        <v>19547</v>
      </c>
      <c r="E4762" s="2" t="s">
        <v>19548</v>
      </c>
      <c r="F4762" s="2" t="b">
        <v>1</v>
      </c>
      <c r="G4762" s="2" t="b">
        <v>0</v>
      </c>
      <c r="H4762" s="2" t="s">
        <v>37</v>
      </c>
      <c r="I4762" s="2" t="s">
        <v>32</v>
      </c>
      <c r="J4762" s="2" t="s">
        <v>19549</v>
      </c>
      <c r="K4762" s="2" t="s">
        <v>495</v>
      </c>
      <c r="L4762" s="13" t="s">
        <v>496</v>
      </c>
      <c r="M4762" s="2" t="s">
        <v>26</v>
      </c>
      <c r="N4762" s="29"/>
      <c r="O4762" s="29"/>
      <c r="P4762" s="5" t="str">
        <f>IFERROR(__xludf.DUMMYFUNCTION("TEXTJOIN("" | "",TRUE,IF(OR(D4762="""",E4762="""",I4762="""",J4762="""",H4762=""""),""ফাঁকা ঘর"",""""),IF(AND(C4762&lt;&gt;"""",D4762&lt;&gt;"""",C4762=D4762),""gloss=figurative"",""""),IF(LEN(D4762)&lt;15,""figurative ছোট"",""""),IF(AND(I4762=""Positive"",REGEXMATCH(H4"&amp;"762,""মূর্খ|ভণ্ড|প্রতার|অলস|লোভ|স্বার্থ|অক্ষম|অযোগ্য|বোকা|কৃপণ|হিংস"")),""valence-target অমিল"",""""),IF(COUNTIF($B:$B,B4762)&gt;1,""ডুপ্লিকেট"",""""))"),"")</f>
        <v/>
      </c>
      <c r="Q4762" s="5" t="str">
        <f t="shared" si="1"/>
        <v>২ পরে</v>
      </c>
    </row>
    <row r="4763">
      <c r="A4763" s="4">
        <v>2596.0</v>
      </c>
      <c r="B4763" s="2" t="s">
        <v>19550</v>
      </c>
      <c r="C4763" s="2" t="s">
        <v>19551</v>
      </c>
      <c r="D4763" s="2" t="s">
        <v>19552</v>
      </c>
      <c r="E4763" s="2" t="s">
        <v>19553</v>
      </c>
      <c r="F4763" s="2" t="b">
        <v>1</v>
      </c>
      <c r="G4763" s="2" t="b">
        <v>0</v>
      </c>
      <c r="H4763" s="2" t="s">
        <v>37</v>
      </c>
      <c r="I4763" s="2" t="s">
        <v>32</v>
      </c>
      <c r="J4763" s="2" t="s">
        <v>553</v>
      </c>
      <c r="K4763" s="2" t="s">
        <v>495</v>
      </c>
      <c r="L4763" s="13" t="s">
        <v>496</v>
      </c>
      <c r="M4763" s="2" t="s">
        <v>26</v>
      </c>
      <c r="N4763" s="29"/>
      <c r="O4763" s="29"/>
      <c r="P4763" s="5" t="str">
        <f>IFERROR(__xludf.DUMMYFUNCTION("TEXTJOIN("" | "",TRUE,IF(OR(D4763="""",E4763="""",I4763="""",J4763="""",H4763=""""),""ফাঁকা ঘর"",""""),IF(AND(C4763&lt;&gt;"""",D4763&lt;&gt;"""",C4763=D4763),""gloss=figurative"",""""),IF(LEN(D4763)&lt;15,""figurative ছোট"",""""),IF(AND(I4763=""Positive"",REGEXMATCH(H4"&amp;"763,""মূর্খ|ভণ্ড|প্রতার|অলস|লোভ|স্বার্থ|অক্ষম|অযোগ্য|বোকা|কৃপণ|হিংস"")),""valence-target অমিল"",""""),IF(COUNTIF($B:$B,B4763)&gt;1,""ডুপ্লিকেট"",""""))"),"")</f>
        <v/>
      </c>
      <c r="Q4763" s="5" t="str">
        <f t="shared" si="1"/>
        <v>২ পরে</v>
      </c>
    </row>
    <row r="4764">
      <c r="A4764" s="4">
        <v>2597.0</v>
      </c>
      <c r="B4764" s="2" t="s">
        <v>19554</v>
      </c>
      <c r="C4764" s="2" t="s">
        <v>19555</v>
      </c>
      <c r="D4764" s="2" t="s">
        <v>19556</v>
      </c>
      <c r="E4764" s="2" t="s">
        <v>19557</v>
      </c>
      <c r="F4764" s="2" t="b">
        <v>1</v>
      </c>
      <c r="G4764" s="2" t="b">
        <v>0</v>
      </c>
      <c r="H4764" s="2" t="s">
        <v>37</v>
      </c>
      <c r="I4764" s="2" t="s">
        <v>22</v>
      </c>
      <c r="J4764" s="2" t="s">
        <v>1644</v>
      </c>
      <c r="K4764" s="2" t="s">
        <v>495</v>
      </c>
      <c r="L4764" s="13" t="s">
        <v>496</v>
      </c>
      <c r="M4764" s="2" t="s">
        <v>26</v>
      </c>
      <c r="N4764" s="29"/>
      <c r="O4764" s="29"/>
      <c r="P4764" s="5" t="str">
        <f>IFERROR(__xludf.DUMMYFUNCTION("TEXTJOIN("" | "",TRUE,IF(OR(D4764="""",E4764="""",I4764="""",J4764="""",H4764=""""),""ফাঁকা ঘর"",""""),IF(AND(C4764&lt;&gt;"""",D4764&lt;&gt;"""",C4764=D4764),""gloss=figurative"",""""),IF(LEN(D4764)&lt;15,""figurative ছোট"",""""),IF(AND(I4764=""Positive"",REGEXMATCH(H4"&amp;"764,""মূর্খ|ভণ্ড|প্রতার|অলস|লোভ|স্বার্থ|অক্ষম|অযোগ্য|বোকা|কৃপণ|হিংস"")),""valence-target অমিল"",""""),IF(COUNTIF($B:$B,B4764)&gt;1,""ডুপ্লিকেট"",""""))"),"")</f>
        <v/>
      </c>
      <c r="Q4764" s="5" t="str">
        <f t="shared" si="1"/>
        <v>২ পরে</v>
      </c>
    </row>
    <row r="4765">
      <c r="A4765" s="4">
        <v>2598.0</v>
      </c>
      <c r="B4765" s="2" t="s">
        <v>19558</v>
      </c>
      <c r="C4765" s="2" t="s">
        <v>19559</v>
      </c>
      <c r="D4765" s="2" t="s">
        <v>19560</v>
      </c>
      <c r="E4765" s="2" t="s">
        <v>19561</v>
      </c>
      <c r="F4765" s="2" t="b">
        <v>1</v>
      </c>
      <c r="G4765" s="2" t="b">
        <v>0</v>
      </c>
      <c r="H4765" s="2" t="s">
        <v>37</v>
      </c>
      <c r="I4765" s="2" t="s">
        <v>22</v>
      </c>
      <c r="J4765" s="2" t="s">
        <v>1644</v>
      </c>
      <c r="K4765" s="2" t="s">
        <v>495</v>
      </c>
      <c r="L4765" s="13" t="s">
        <v>496</v>
      </c>
      <c r="M4765" s="2" t="s">
        <v>26</v>
      </c>
      <c r="N4765" s="29"/>
      <c r="O4765" s="29"/>
      <c r="P4765" s="5" t="str">
        <f>IFERROR(__xludf.DUMMYFUNCTION("TEXTJOIN("" | "",TRUE,IF(OR(D4765="""",E4765="""",I4765="""",J4765="""",H4765=""""),""ফাঁকা ঘর"",""""),IF(AND(C4765&lt;&gt;"""",D4765&lt;&gt;"""",C4765=D4765),""gloss=figurative"",""""),IF(LEN(D4765)&lt;15,""figurative ছোট"",""""),IF(AND(I4765=""Positive"",REGEXMATCH(H4"&amp;"765,""মূর্খ|ভণ্ড|প্রতার|অলস|লোভ|স্বার্থ|অক্ষম|অযোগ্য|বোকা|কৃপণ|হিংস"")),""valence-target অমিল"",""""),IF(COUNTIF($B:$B,B4765)&gt;1,""ডুপ্লিকেট"",""""))"),"")</f>
        <v/>
      </c>
      <c r="Q4765" s="5" t="str">
        <f t="shared" si="1"/>
        <v>২ পরে</v>
      </c>
    </row>
    <row r="4766">
      <c r="A4766" s="4">
        <v>2600.0</v>
      </c>
      <c r="B4766" s="2" t="s">
        <v>19562</v>
      </c>
      <c r="C4766" s="2" t="s">
        <v>19562</v>
      </c>
      <c r="D4766" s="2" t="s">
        <v>19563</v>
      </c>
      <c r="E4766" s="2" t="s">
        <v>19564</v>
      </c>
      <c r="F4766" s="2" t="b">
        <v>1</v>
      </c>
      <c r="G4766" s="2" t="b">
        <v>0</v>
      </c>
      <c r="H4766" s="2" t="s">
        <v>37</v>
      </c>
      <c r="I4766" s="2" t="s">
        <v>49</v>
      </c>
      <c r="J4766" s="2" t="s">
        <v>868</v>
      </c>
      <c r="K4766" s="2" t="s">
        <v>495</v>
      </c>
      <c r="L4766" s="13" t="s">
        <v>496</v>
      </c>
      <c r="M4766" s="2" t="s">
        <v>26</v>
      </c>
      <c r="N4766" s="29"/>
      <c r="O4766" s="29"/>
      <c r="P4766" s="5" t="str">
        <f>IFERROR(__xludf.DUMMYFUNCTION("TEXTJOIN("" | "",TRUE,IF(OR(D4766="""",E4766="""",I4766="""",J4766="""",H4766=""""),""ফাঁকা ঘর"",""""),IF(AND(C4766&lt;&gt;"""",D4766&lt;&gt;"""",C4766=D4766),""gloss=figurative"",""""),IF(LEN(D4766)&lt;15,""figurative ছোট"",""""),IF(AND(I4766=""Positive"",REGEXMATCH(H4"&amp;"766,""মূর্খ|ভণ্ড|প্রতার|অলস|লোভ|স্বার্থ|অক্ষম|অযোগ্য|বোকা|কৃপণ|হিংস"")),""valence-target অমিল"",""""),IF(COUNTIF($B:$B,B4766)&gt;1,""ডুপ্লিকেট"",""""))"),"")</f>
        <v/>
      </c>
      <c r="Q4766" s="5" t="str">
        <f t="shared" si="1"/>
        <v>২ পরে</v>
      </c>
    </row>
    <row r="4767">
      <c r="A4767" s="4">
        <v>2601.0</v>
      </c>
      <c r="B4767" s="2" t="s">
        <v>19565</v>
      </c>
      <c r="C4767" s="2" t="s">
        <v>19565</v>
      </c>
      <c r="D4767" s="2" t="s">
        <v>19566</v>
      </c>
      <c r="E4767" s="2" t="s">
        <v>19567</v>
      </c>
      <c r="F4767" s="2" t="b">
        <v>1</v>
      </c>
      <c r="G4767" s="2" t="b">
        <v>0</v>
      </c>
      <c r="H4767" s="2" t="s">
        <v>10766</v>
      </c>
      <c r="I4767" s="2" t="s">
        <v>22</v>
      </c>
      <c r="J4767" s="2" t="s">
        <v>19568</v>
      </c>
      <c r="K4767" s="2" t="s">
        <v>495</v>
      </c>
      <c r="L4767" s="13" t="s">
        <v>496</v>
      </c>
      <c r="M4767" s="2" t="s">
        <v>26</v>
      </c>
      <c r="N4767" s="29"/>
      <c r="O4767" s="29"/>
      <c r="P4767" s="5" t="str">
        <f>IFERROR(__xludf.DUMMYFUNCTION("TEXTJOIN("" | "",TRUE,IF(OR(D4767="""",E4767="""",I4767="""",J4767="""",H4767=""""),""ফাঁকা ঘর"",""""),IF(AND(C4767&lt;&gt;"""",D4767&lt;&gt;"""",C4767=D4767),""gloss=figurative"",""""),IF(LEN(D4767)&lt;15,""figurative ছোট"",""""),IF(AND(I4767=""Positive"",REGEXMATCH(H4"&amp;"767,""মূর্খ|ভণ্ড|প্রতার|অলস|লোভ|স্বার্থ|অক্ষম|অযোগ্য|বোকা|কৃপণ|হিংস"")),""valence-target অমিল"",""""),IF(COUNTIF($B:$B,B4767)&gt;1,""ডুপ্লিকেট"",""""))"),"")</f>
        <v/>
      </c>
      <c r="Q4767" s="5" t="str">
        <f t="shared" si="1"/>
        <v>২ পরে</v>
      </c>
    </row>
    <row r="4768">
      <c r="A4768" s="4">
        <v>2602.0</v>
      </c>
      <c r="B4768" s="2" t="s">
        <v>19569</v>
      </c>
      <c r="C4768" s="2" t="s">
        <v>19569</v>
      </c>
      <c r="D4768" s="2" t="s">
        <v>19570</v>
      </c>
      <c r="E4768" s="2" t="s">
        <v>19571</v>
      </c>
      <c r="F4768" s="2" t="b">
        <v>1</v>
      </c>
      <c r="G4768" s="2" t="b">
        <v>0</v>
      </c>
      <c r="H4768" s="2" t="s">
        <v>37</v>
      </c>
      <c r="I4768" s="2" t="s">
        <v>32</v>
      </c>
      <c r="J4768" s="2" t="s">
        <v>19568</v>
      </c>
      <c r="K4768" s="2" t="s">
        <v>495</v>
      </c>
      <c r="L4768" s="13" t="s">
        <v>496</v>
      </c>
      <c r="M4768" s="2" t="s">
        <v>26</v>
      </c>
      <c r="N4768" s="29"/>
      <c r="O4768" s="29"/>
      <c r="P4768" s="5" t="str">
        <f>IFERROR(__xludf.DUMMYFUNCTION("TEXTJOIN("" | "",TRUE,IF(OR(D4768="""",E4768="""",I4768="""",J4768="""",H4768=""""),""ফাঁকা ঘর"",""""),IF(AND(C4768&lt;&gt;"""",D4768&lt;&gt;"""",C4768=D4768),""gloss=figurative"",""""),IF(LEN(D4768)&lt;15,""figurative ছোট"",""""),IF(AND(I4768=""Positive"",REGEXMATCH(H4"&amp;"768,""মূর্খ|ভণ্ড|প্রতার|অলস|লোভ|স্বার্থ|অক্ষম|অযোগ্য|বোকা|কৃপণ|হিংস"")),""valence-target অমিল"",""""),IF(COUNTIF($B:$B,B4768)&gt;1,""ডুপ্লিকেট"",""""))"),"")</f>
        <v/>
      </c>
      <c r="Q4768" s="5" t="str">
        <f t="shared" si="1"/>
        <v>২ পরে</v>
      </c>
    </row>
    <row r="4769">
      <c r="A4769" s="4">
        <v>2603.0</v>
      </c>
      <c r="B4769" s="2" t="s">
        <v>19572</v>
      </c>
      <c r="C4769" s="2" t="s">
        <v>19572</v>
      </c>
      <c r="D4769" s="2" t="s">
        <v>19573</v>
      </c>
      <c r="E4769" s="2" t="s">
        <v>19574</v>
      </c>
      <c r="F4769" s="2" t="b">
        <v>1</v>
      </c>
      <c r="G4769" s="2" t="b">
        <v>0</v>
      </c>
      <c r="H4769" s="2" t="s">
        <v>37</v>
      </c>
      <c r="I4769" s="2" t="s">
        <v>49</v>
      </c>
      <c r="J4769" s="2" t="s">
        <v>2140</v>
      </c>
      <c r="K4769" s="2" t="s">
        <v>495</v>
      </c>
      <c r="L4769" s="13" t="s">
        <v>496</v>
      </c>
      <c r="M4769" s="2" t="s">
        <v>26</v>
      </c>
      <c r="N4769" s="29"/>
      <c r="O4769" s="29"/>
      <c r="P4769" s="5" t="str">
        <f>IFERROR(__xludf.DUMMYFUNCTION("TEXTJOIN("" | "",TRUE,IF(OR(D4769="""",E4769="""",I4769="""",J4769="""",H4769=""""),""ফাঁকা ঘর"",""""),IF(AND(C4769&lt;&gt;"""",D4769&lt;&gt;"""",C4769=D4769),""gloss=figurative"",""""),IF(LEN(D4769)&lt;15,""figurative ছোট"",""""),IF(AND(I4769=""Positive"",REGEXMATCH(H4"&amp;"769,""মূর্খ|ভণ্ড|প্রতার|অলস|লোভ|স্বার্থ|অক্ষম|অযোগ্য|বোকা|কৃপণ|হিংস"")),""valence-target অমিল"",""""),IF(COUNTIF($B:$B,B4769)&gt;1,""ডুপ্লিকেট"",""""))"),"")</f>
        <v/>
      </c>
      <c r="Q4769" s="5" t="str">
        <f t="shared" si="1"/>
        <v>২ পরে</v>
      </c>
    </row>
    <row r="4770">
      <c r="A4770" s="4">
        <v>2604.0</v>
      </c>
      <c r="B4770" s="2" t="s">
        <v>19575</v>
      </c>
      <c r="C4770" s="2" t="s">
        <v>19575</v>
      </c>
      <c r="D4770" s="2" t="s">
        <v>19576</v>
      </c>
      <c r="E4770" s="2" t="s">
        <v>19577</v>
      </c>
      <c r="F4770" s="2" t="b">
        <v>1</v>
      </c>
      <c r="G4770" s="2" t="b">
        <v>0</v>
      </c>
      <c r="H4770" s="2" t="s">
        <v>37</v>
      </c>
      <c r="I4770" s="2" t="s">
        <v>32</v>
      </c>
      <c r="J4770" s="2" t="s">
        <v>19578</v>
      </c>
      <c r="K4770" s="2" t="s">
        <v>495</v>
      </c>
      <c r="L4770" s="13" t="s">
        <v>496</v>
      </c>
      <c r="M4770" s="2" t="s">
        <v>26</v>
      </c>
      <c r="N4770" s="29"/>
      <c r="O4770" s="29"/>
      <c r="P4770" s="5" t="str">
        <f>IFERROR(__xludf.DUMMYFUNCTION("TEXTJOIN("" | "",TRUE,IF(OR(D4770="""",E4770="""",I4770="""",J4770="""",H4770=""""),""ফাঁকা ঘর"",""""),IF(AND(C4770&lt;&gt;"""",D4770&lt;&gt;"""",C4770=D4770),""gloss=figurative"",""""),IF(LEN(D4770)&lt;15,""figurative ছোট"",""""),IF(AND(I4770=""Positive"",REGEXMATCH(H4"&amp;"770,""মূর্খ|ভণ্ড|প্রতার|অলস|লোভ|স্বার্থ|অক্ষম|অযোগ্য|বোকা|কৃপণ|হিংস"")),""valence-target অমিল"",""""),IF(COUNTIF($B:$B,B4770)&gt;1,""ডুপ্লিকেট"",""""))"),"")</f>
        <v/>
      </c>
      <c r="Q4770" s="5" t="str">
        <f t="shared" si="1"/>
        <v>২ পরে</v>
      </c>
    </row>
    <row r="4771">
      <c r="A4771" s="4">
        <v>2605.0</v>
      </c>
      <c r="B4771" s="2" t="s">
        <v>19579</v>
      </c>
      <c r="C4771" s="2" t="s">
        <v>19580</v>
      </c>
      <c r="D4771" s="2" t="s">
        <v>19581</v>
      </c>
      <c r="E4771" s="2" t="s">
        <v>19582</v>
      </c>
      <c r="F4771" s="2" t="b">
        <v>1</v>
      </c>
      <c r="G4771" s="2" t="b">
        <v>0</v>
      </c>
      <c r="H4771" s="2" t="s">
        <v>37</v>
      </c>
      <c r="I4771" s="2" t="s">
        <v>32</v>
      </c>
      <c r="J4771" s="2" t="s">
        <v>2140</v>
      </c>
      <c r="K4771" s="2" t="s">
        <v>495</v>
      </c>
      <c r="L4771" s="13" t="s">
        <v>496</v>
      </c>
      <c r="M4771" s="2" t="s">
        <v>26</v>
      </c>
      <c r="N4771" s="29"/>
      <c r="O4771" s="29"/>
      <c r="P4771" s="5" t="str">
        <f>IFERROR(__xludf.DUMMYFUNCTION("TEXTJOIN("" | "",TRUE,IF(OR(D4771="""",E4771="""",I4771="""",J4771="""",H4771=""""),""ফাঁকা ঘর"",""""),IF(AND(C4771&lt;&gt;"""",D4771&lt;&gt;"""",C4771=D4771),""gloss=figurative"",""""),IF(LEN(D4771)&lt;15,""figurative ছোট"",""""),IF(AND(I4771=""Positive"",REGEXMATCH(H4"&amp;"771,""মূর্খ|ভণ্ড|প্রতার|অলস|লোভ|স্বার্থ|অক্ষম|অযোগ্য|বোকা|কৃপণ|হিংস"")),""valence-target অমিল"",""""),IF(COUNTIF($B:$B,B4771)&gt;1,""ডুপ্লিকেট"",""""))"),"")</f>
        <v/>
      </c>
      <c r="Q4771" s="5" t="str">
        <f t="shared" si="1"/>
        <v>২ পরে</v>
      </c>
    </row>
    <row r="4772">
      <c r="A4772" s="4">
        <v>2606.0</v>
      </c>
      <c r="B4772" s="2" t="s">
        <v>19583</v>
      </c>
      <c r="C4772" s="2" t="s">
        <v>19583</v>
      </c>
      <c r="D4772" s="2" t="s">
        <v>19584</v>
      </c>
      <c r="E4772" s="2" t="s">
        <v>19585</v>
      </c>
      <c r="F4772" s="2" t="b">
        <v>1</v>
      </c>
      <c r="G4772" s="2" t="b">
        <v>0</v>
      </c>
      <c r="H4772" s="2" t="s">
        <v>37</v>
      </c>
      <c r="I4772" s="2" t="s">
        <v>22</v>
      </c>
      <c r="J4772" s="2" t="s">
        <v>19568</v>
      </c>
      <c r="K4772" s="2" t="s">
        <v>495</v>
      </c>
      <c r="L4772" s="13" t="s">
        <v>496</v>
      </c>
      <c r="M4772" s="2" t="s">
        <v>26</v>
      </c>
      <c r="N4772" s="29"/>
      <c r="O4772" s="29"/>
      <c r="P4772" s="5" t="str">
        <f>IFERROR(__xludf.DUMMYFUNCTION("TEXTJOIN("" | "",TRUE,IF(OR(D4772="""",E4772="""",I4772="""",J4772="""",H4772=""""),""ফাঁকা ঘর"",""""),IF(AND(C4772&lt;&gt;"""",D4772&lt;&gt;"""",C4772=D4772),""gloss=figurative"",""""),IF(LEN(D4772)&lt;15,""figurative ছোট"",""""),IF(AND(I4772=""Positive"",REGEXMATCH(H4"&amp;"772,""মূর্খ|ভণ্ড|প্রতার|অলস|লোভ|স্বার্থ|অক্ষম|অযোগ্য|বোকা|কৃপণ|হিংস"")),""valence-target অমিল"",""""),IF(COUNTIF($B:$B,B4772)&gt;1,""ডুপ্লিকেট"",""""))"),"")</f>
        <v/>
      </c>
      <c r="Q4772" s="5" t="str">
        <f t="shared" si="1"/>
        <v>২ পরে</v>
      </c>
    </row>
    <row r="4773">
      <c r="A4773" s="4">
        <v>2607.0</v>
      </c>
      <c r="B4773" s="2" t="s">
        <v>19586</v>
      </c>
      <c r="C4773" s="2" t="s">
        <v>19587</v>
      </c>
      <c r="D4773" s="2" t="s">
        <v>19588</v>
      </c>
      <c r="E4773" s="2" t="s">
        <v>19589</v>
      </c>
      <c r="F4773" s="2" t="b">
        <v>1</v>
      </c>
      <c r="G4773" s="2" t="b">
        <v>0</v>
      </c>
      <c r="H4773" s="2" t="s">
        <v>37</v>
      </c>
      <c r="I4773" s="2" t="s">
        <v>49</v>
      </c>
      <c r="J4773" s="2" t="s">
        <v>708</v>
      </c>
      <c r="K4773" s="2" t="s">
        <v>495</v>
      </c>
      <c r="L4773" s="13" t="s">
        <v>496</v>
      </c>
      <c r="M4773" s="2" t="s">
        <v>26</v>
      </c>
      <c r="N4773" s="29"/>
      <c r="O4773" s="29"/>
      <c r="P4773" s="5" t="str">
        <f>IFERROR(__xludf.DUMMYFUNCTION("TEXTJOIN("" | "",TRUE,IF(OR(D4773="""",E4773="""",I4773="""",J4773="""",H4773=""""),""ফাঁকা ঘর"",""""),IF(AND(C4773&lt;&gt;"""",D4773&lt;&gt;"""",C4773=D4773),""gloss=figurative"",""""),IF(LEN(D4773)&lt;15,""figurative ছোট"",""""),IF(AND(I4773=""Positive"",REGEXMATCH(H4"&amp;"773,""মূর্খ|ভণ্ড|প্রতার|অলস|লোভ|স্বার্থ|অক্ষম|অযোগ্য|বোকা|কৃপণ|হিংস"")),""valence-target অমিল"",""""),IF(COUNTIF($B:$B,B4773)&gt;1,""ডুপ্লিকেট"",""""))"),"")</f>
        <v/>
      </c>
      <c r="Q4773" s="5" t="str">
        <f t="shared" si="1"/>
        <v>২ পরে</v>
      </c>
    </row>
    <row r="4774">
      <c r="A4774" s="4">
        <v>2608.0</v>
      </c>
      <c r="B4774" s="2" t="s">
        <v>19590</v>
      </c>
      <c r="C4774" s="2" t="s">
        <v>19590</v>
      </c>
      <c r="D4774" s="2" t="s">
        <v>19591</v>
      </c>
      <c r="E4774" s="2" t="s">
        <v>19592</v>
      </c>
      <c r="F4774" s="2" t="b">
        <v>1</v>
      </c>
      <c r="G4774" s="2" t="b">
        <v>1</v>
      </c>
      <c r="H4774" s="2" t="s">
        <v>19593</v>
      </c>
      <c r="I4774" s="2" t="s">
        <v>22</v>
      </c>
      <c r="J4774" s="2" t="s">
        <v>16590</v>
      </c>
      <c r="K4774" s="2" t="s">
        <v>495</v>
      </c>
      <c r="L4774" s="13" t="s">
        <v>496</v>
      </c>
      <c r="M4774" s="2" t="s">
        <v>26</v>
      </c>
      <c r="N4774" s="29"/>
      <c r="O4774" s="29"/>
      <c r="P4774" s="5" t="str">
        <f>IFERROR(__xludf.DUMMYFUNCTION("TEXTJOIN("" | "",TRUE,IF(OR(D4774="""",E4774="""",I4774="""",J4774="""",H4774=""""),""ফাঁকা ঘর"",""""),IF(AND(C4774&lt;&gt;"""",D4774&lt;&gt;"""",C4774=D4774),""gloss=figurative"",""""),IF(LEN(D4774)&lt;15,""figurative ছোট"",""""),IF(AND(I4774=""Positive"",REGEXMATCH(H4"&amp;"774,""মূর্খ|ভণ্ড|প্রতার|অলস|লোভ|স্বার্থ|অক্ষম|অযোগ্য|বোকা|কৃপণ|হিংস"")),""valence-target অমিল"",""""),IF(COUNTIF($B:$B,B4774)&gt;1,""ডুপ্লিকেট"",""""))"),"")</f>
        <v/>
      </c>
      <c r="Q4774" s="5" t="str">
        <f t="shared" si="1"/>
        <v>২ পরে</v>
      </c>
    </row>
    <row r="4775">
      <c r="A4775" s="4">
        <v>2609.0</v>
      </c>
      <c r="B4775" s="2" t="s">
        <v>19594</v>
      </c>
      <c r="C4775" s="2" t="s">
        <v>19595</v>
      </c>
      <c r="D4775" s="2" t="s">
        <v>19596</v>
      </c>
      <c r="E4775" s="2" t="s">
        <v>19597</v>
      </c>
      <c r="F4775" s="2" t="b">
        <v>1</v>
      </c>
      <c r="G4775" s="2" t="b">
        <v>0</v>
      </c>
      <c r="H4775" s="2" t="s">
        <v>37</v>
      </c>
      <c r="I4775" s="2" t="s">
        <v>49</v>
      </c>
      <c r="J4775" s="2" t="s">
        <v>739</v>
      </c>
      <c r="K4775" s="2" t="s">
        <v>495</v>
      </c>
      <c r="L4775" s="13" t="s">
        <v>496</v>
      </c>
      <c r="M4775" s="2" t="s">
        <v>26</v>
      </c>
      <c r="N4775" s="29"/>
      <c r="O4775" s="29"/>
      <c r="P4775" s="5" t="str">
        <f>IFERROR(__xludf.DUMMYFUNCTION("TEXTJOIN("" | "",TRUE,IF(OR(D4775="""",E4775="""",I4775="""",J4775="""",H4775=""""),""ফাঁকা ঘর"",""""),IF(AND(C4775&lt;&gt;"""",D4775&lt;&gt;"""",C4775=D4775),""gloss=figurative"",""""),IF(LEN(D4775)&lt;15,""figurative ছোট"",""""),IF(AND(I4775=""Positive"",REGEXMATCH(H4"&amp;"775,""মূর্খ|ভণ্ড|প্রতার|অলস|লোভ|স্বার্থ|অক্ষম|অযোগ্য|বোকা|কৃপণ|হিংস"")),""valence-target অমিল"",""""),IF(COUNTIF($B:$B,B4775)&gt;1,""ডুপ্লিকেট"",""""))"),"")</f>
        <v/>
      </c>
      <c r="Q4775" s="5" t="str">
        <f t="shared" si="1"/>
        <v>২ পরে</v>
      </c>
    </row>
    <row r="4776">
      <c r="A4776" s="4">
        <v>2610.0</v>
      </c>
      <c r="B4776" s="2" t="s">
        <v>19598</v>
      </c>
      <c r="C4776" s="2" t="s">
        <v>19598</v>
      </c>
      <c r="D4776" s="2" t="s">
        <v>19599</v>
      </c>
      <c r="E4776" s="2" t="s">
        <v>19600</v>
      </c>
      <c r="F4776" s="2" t="b">
        <v>1</v>
      </c>
      <c r="G4776" s="2" t="b">
        <v>0</v>
      </c>
      <c r="H4776" s="2" t="s">
        <v>37</v>
      </c>
      <c r="I4776" s="2" t="s">
        <v>32</v>
      </c>
      <c r="J4776" s="2" t="s">
        <v>225</v>
      </c>
      <c r="K4776" s="2" t="s">
        <v>495</v>
      </c>
      <c r="L4776" s="13" t="s">
        <v>496</v>
      </c>
      <c r="M4776" s="2" t="s">
        <v>26</v>
      </c>
      <c r="N4776" s="29"/>
      <c r="O4776" s="29"/>
      <c r="P4776" s="5" t="str">
        <f>IFERROR(__xludf.DUMMYFUNCTION("TEXTJOIN("" | "",TRUE,IF(OR(D4776="""",E4776="""",I4776="""",J4776="""",H4776=""""),""ফাঁকা ঘর"",""""),IF(AND(C4776&lt;&gt;"""",D4776&lt;&gt;"""",C4776=D4776),""gloss=figurative"",""""),IF(LEN(D4776)&lt;15,""figurative ছোট"",""""),IF(AND(I4776=""Positive"",REGEXMATCH(H4"&amp;"776,""মূর্খ|ভণ্ড|প্রতার|অলস|লোভ|স্বার্থ|অক্ষম|অযোগ্য|বোকা|কৃপণ|হিংস"")),""valence-target অমিল"",""""),IF(COUNTIF($B:$B,B4776)&gt;1,""ডুপ্লিকেট"",""""))"),"")</f>
        <v/>
      </c>
      <c r="Q4776" s="5" t="str">
        <f t="shared" si="1"/>
        <v>২ পরে</v>
      </c>
    </row>
    <row r="4777">
      <c r="A4777" s="4">
        <v>2611.0</v>
      </c>
      <c r="B4777" s="2" t="s">
        <v>19601</v>
      </c>
      <c r="C4777" s="2" t="s">
        <v>19602</v>
      </c>
      <c r="D4777" s="2" t="s">
        <v>19603</v>
      </c>
      <c r="E4777" s="2" t="s">
        <v>19604</v>
      </c>
      <c r="F4777" s="2" t="b">
        <v>1</v>
      </c>
      <c r="G4777" s="2" t="b">
        <v>0</v>
      </c>
      <c r="H4777" s="2" t="s">
        <v>37</v>
      </c>
      <c r="I4777" s="2" t="s">
        <v>32</v>
      </c>
      <c r="J4777" s="2" t="s">
        <v>553</v>
      </c>
      <c r="K4777" s="2" t="s">
        <v>495</v>
      </c>
      <c r="L4777" s="13" t="s">
        <v>496</v>
      </c>
      <c r="M4777" s="2" t="s">
        <v>26</v>
      </c>
      <c r="N4777" s="29"/>
      <c r="O4777" s="29"/>
      <c r="P4777" s="5" t="str">
        <f>IFERROR(__xludf.DUMMYFUNCTION("TEXTJOIN("" | "",TRUE,IF(OR(D4777="""",E4777="""",I4777="""",J4777="""",H4777=""""),""ফাঁকা ঘর"",""""),IF(AND(C4777&lt;&gt;"""",D4777&lt;&gt;"""",C4777=D4777),""gloss=figurative"",""""),IF(LEN(D4777)&lt;15,""figurative ছোট"",""""),IF(AND(I4777=""Positive"",REGEXMATCH(H4"&amp;"777,""মূর্খ|ভণ্ড|প্রতার|অলস|লোভ|স্বার্থ|অক্ষম|অযোগ্য|বোকা|কৃপণ|হিংস"")),""valence-target অমিল"",""""),IF(COUNTIF($B:$B,B4777)&gt;1,""ডুপ্লিকেট"",""""))"),"")</f>
        <v/>
      </c>
      <c r="Q4777" s="5" t="str">
        <f t="shared" si="1"/>
        <v>২ পরে</v>
      </c>
    </row>
    <row r="4778">
      <c r="A4778" s="4">
        <v>2612.0</v>
      </c>
      <c r="B4778" s="2" t="s">
        <v>19605</v>
      </c>
      <c r="C4778" s="2" t="s">
        <v>19605</v>
      </c>
      <c r="D4778" s="2" t="s">
        <v>19606</v>
      </c>
      <c r="E4778" s="2" t="s">
        <v>19607</v>
      </c>
      <c r="F4778" s="2" t="b">
        <v>1</v>
      </c>
      <c r="G4778" s="2" t="b">
        <v>1</v>
      </c>
      <c r="H4778" s="2" t="s">
        <v>19608</v>
      </c>
      <c r="I4778" s="2" t="s">
        <v>22</v>
      </c>
      <c r="J4778" s="2" t="s">
        <v>14971</v>
      </c>
      <c r="K4778" s="2" t="s">
        <v>495</v>
      </c>
      <c r="L4778" s="13" t="s">
        <v>496</v>
      </c>
      <c r="M4778" s="2" t="s">
        <v>26</v>
      </c>
      <c r="N4778" s="29"/>
      <c r="O4778" s="29"/>
      <c r="P4778" s="5" t="str">
        <f>IFERROR(__xludf.DUMMYFUNCTION("TEXTJOIN("" | "",TRUE,IF(OR(D4778="""",E4778="""",I4778="""",J4778="""",H4778=""""),""ফাঁকা ঘর"",""""),IF(AND(C4778&lt;&gt;"""",D4778&lt;&gt;"""",C4778=D4778),""gloss=figurative"",""""),IF(LEN(D4778)&lt;15,""figurative ছোট"",""""),IF(AND(I4778=""Positive"",REGEXMATCH(H4"&amp;"778,""মূর্খ|ভণ্ড|প্রতার|অলস|লোভ|স্বার্থ|অক্ষম|অযোগ্য|বোকা|কৃপণ|হিংস"")),""valence-target অমিল"",""""),IF(COUNTIF($B:$B,B4778)&gt;1,""ডুপ্লিকেট"",""""))"),"")</f>
        <v/>
      </c>
      <c r="Q4778" s="5" t="str">
        <f t="shared" si="1"/>
        <v>২ পরে</v>
      </c>
    </row>
    <row r="4779">
      <c r="A4779" s="4">
        <v>2613.0</v>
      </c>
      <c r="B4779" s="2" t="s">
        <v>19609</v>
      </c>
      <c r="C4779" s="2" t="s">
        <v>19610</v>
      </c>
      <c r="D4779" s="2" t="s">
        <v>19611</v>
      </c>
      <c r="E4779" s="2" t="s">
        <v>19612</v>
      </c>
      <c r="F4779" s="2" t="b">
        <v>1</v>
      </c>
      <c r="G4779" s="2" t="b">
        <v>0</v>
      </c>
      <c r="H4779" s="2" t="s">
        <v>21</v>
      </c>
      <c r="I4779" s="2" t="s">
        <v>22</v>
      </c>
      <c r="J4779" s="2" t="s">
        <v>19613</v>
      </c>
      <c r="K4779" s="2" t="s">
        <v>495</v>
      </c>
      <c r="L4779" s="13" t="s">
        <v>496</v>
      </c>
      <c r="M4779" s="2" t="s">
        <v>26</v>
      </c>
      <c r="N4779" s="29"/>
      <c r="O4779" s="29"/>
      <c r="P4779" s="5" t="str">
        <f>IFERROR(__xludf.DUMMYFUNCTION("TEXTJOIN("" | "",TRUE,IF(OR(D4779="""",E4779="""",I4779="""",J4779="""",H4779=""""),""ফাঁকা ঘর"",""""),IF(AND(C4779&lt;&gt;"""",D4779&lt;&gt;"""",C4779=D4779),""gloss=figurative"",""""),IF(LEN(D4779)&lt;15,""figurative ছোট"",""""),IF(AND(I4779=""Positive"",REGEXMATCH(H4"&amp;"779,""মূর্খ|ভণ্ড|প্রতার|অলস|লোভ|স্বার্থ|অক্ষম|অযোগ্য|বোকা|কৃপণ|হিংস"")),""valence-target অমিল"",""""),IF(COUNTIF($B:$B,B4779)&gt;1,""ডুপ্লিকেট"",""""))"),"")</f>
        <v/>
      </c>
      <c r="Q4779" s="5" t="str">
        <f t="shared" si="1"/>
        <v>২ পরে</v>
      </c>
    </row>
    <row r="4780">
      <c r="A4780" s="4">
        <v>2614.0</v>
      </c>
      <c r="B4780" s="2" t="s">
        <v>19614</v>
      </c>
      <c r="C4780" s="2" t="s">
        <v>19615</v>
      </c>
      <c r="D4780" s="2" t="s">
        <v>19616</v>
      </c>
      <c r="E4780" s="2" t="s">
        <v>19617</v>
      </c>
      <c r="F4780" s="2" t="b">
        <v>1</v>
      </c>
      <c r="G4780" s="2" t="b">
        <v>1</v>
      </c>
      <c r="H4780" s="2" t="s">
        <v>19618</v>
      </c>
      <c r="I4780" s="2" t="s">
        <v>22</v>
      </c>
      <c r="J4780" s="2" t="s">
        <v>19619</v>
      </c>
      <c r="K4780" s="2" t="s">
        <v>495</v>
      </c>
      <c r="L4780" s="13" t="s">
        <v>496</v>
      </c>
      <c r="M4780" s="2" t="s">
        <v>26</v>
      </c>
      <c r="N4780" s="29"/>
      <c r="O4780" s="29"/>
      <c r="P4780" s="5" t="str">
        <f>IFERROR(__xludf.DUMMYFUNCTION("TEXTJOIN("" | "",TRUE,IF(OR(D4780="""",E4780="""",I4780="""",J4780="""",H4780=""""),""ফাঁকা ঘর"",""""),IF(AND(C4780&lt;&gt;"""",D4780&lt;&gt;"""",C4780=D4780),""gloss=figurative"",""""),IF(LEN(D4780)&lt;15,""figurative ছোট"",""""),IF(AND(I4780=""Positive"",REGEXMATCH(H4"&amp;"780,""মূর্খ|ভণ্ড|প্রতার|অলস|লোভ|স্বার্থ|অক্ষম|অযোগ্য|বোকা|কৃপণ|হিংস"")),""valence-target অমিল"",""""),IF(COUNTIF($B:$B,B4780)&gt;1,""ডুপ্লিকেট"",""""))"),"")</f>
        <v/>
      </c>
      <c r="Q4780" s="5" t="str">
        <f t="shared" si="1"/>
        <v>২ পরে</v>
      </c>
    </row>
    <row r="4781">
      <c r="A4781" s="4">
        <v>2615.0</v>
      </c>
      <c r="B4781" s="2" t="s">
        <v>19620</v>
      </c>
      <c r="C4781" s="2" t="s">
        <v>19621</v>
      </c>
      <c r="D4781" s="2" t="s">
        <v>19622</v>
      </c>
      <c r="E4781" s="2" t="s">
        <v>19623</v>
      </c>
      <c r="F4781" s="2" t="b">
        <v>1</v>
      </c>
      <c r="G4781" s="2" t="b">
        <v>0</v>
      </c>
      <c r="H4781" s="2" t="s">
        <v>37</v>
      </c>
      <c r="I4781" s="2" t="s">
        <v>22</v>
      </c>
      <c r="J4781" s="2" t="s">
        <v>842</v>
      </c>
      <c r="K4781" s="2" t="s">
        <v>495</v>
      </c>
      <c r="L4781" s="13" t="s">
        <v>496</v>
      </c>
      <c r="M4781" s="2" t="s">
        <v>26</v>
      </c>
      <c r="N4781" s="29"/>
      <c r="O4781" s="29"/>
      <c r="P4781" s="5" t="str">
        <f>IFERROR(__xludf.DUMMYFUNCTION("TEXTJOIN("" | "",TRUE,IF(OR(D4781="""",E4781="""",I4781="""",J4781="""",H4781=""""),""ফাঁকা ঘর"",""""),IF(AND(C4781&lt;&gt;"""",D4781&lt;&gt;"""",C4781=D4781),""gloss=figurative"",""""),IF(LEN(D4781)&lt;15,""figurative ছোট"",""""),IF(AND(I4781=""Positive"",REGEXMATCH(H4"&amp;"781,""মূর্খ|ভণ্ড|প্রতার|অলস|লোভ|স্বার্থ|অক্ষম|অযোগ্য|বোকা|কৃপণ|হিংস"")),""valence-target অমিল"",""""),IF(COUNTIF($B:$B,B4781)&gt;1,""ডুপ্লিকেট"",""""))"),"")</f>
        <v/>
      </c>
      <c r="Q4781" s="5" t="str">
        <f t="shared" si="1"/>
        <v>২ পরে</v>
      </c>
    </row>
    <row r="4782">
      <c r="A4782" s="4">
        <v>2616.0</v>
      </c>
      <c r="B4782" s="2" t="s">
        <v>19624</v>
      </c>
      <c r="C4782" s="2" t="s">
        <v>19625</v>
      </c>
      <c r="D4782" s="2" t="s">
        <v>19626</v>
      </c>
      <c r="E4782" s="2" t="s">
        <v>19627</v>
      </c>
      <c r="F4782" s="2" t="b">
        <v>1</v>
      </c>
      <c r="G4782" s="2" t="b">
        <v>0</v>
      </c>
      <c r="H4782" s="2" t="s">
        <v>1605</v>
      </c>
      <c r="I4782" s="2" t="s">
        <v>22</v>
      </c>
      <c r="J4782" s="2" t="s">
        <v>669</v>
      </c>
      <c r="K4782" s="2" t="s">
        <v>495</v>
      </c>
      <c r="L4782" s="13" t="s">
        <v>496</v>
      </c>
      <c r="M4782" s="2" t="s">
        <v>26</v>
      </c>
      <c r="N4782" s="29"/>
      <c r="O4782" s="29"/>
      <c r="P4782" s="5" t="str">
        <f>IFERROR(__xludf.DUMMYFUNCTION("TEXTJOIN("" | "",TRUE,IF(OR(D4782="""",E4782="""",I4782="""",J4782="""",H4782=""""),""ফাঁকা ঘর"",""""),IF(AND(C4782&lt;&gt;"""",D4782&lt;&gt;"""",C4782=D4782),""gloss=figurative"",""""),IF(LEN(D4782)&lt;15,""figurative ছোট"",""""),IF(AND(I4782=""Positive"",REGEXMATCH(H4"&amp;"782,""মূর্খ|ভণ্ড|প্রতার|অলস|লোভ|স্বার্থ|অক্ষম|অযোগ্য|বোকা|কৃপণ|হিংস"")),""valence-target অমিল"",""""),IF(COUNTIF($B:$B,B4782)&gt;1,""ডুপ্লিকেট"",""""))"),"")</f>
        <v/>
      </c>
      <c r="Q4782" s="5" t="str">
        <f t="shared" si="1"/>
        <v>২ পরে</v>
      </c>
    </row>
    <row r="4783">
      <c r="A4783" s="4">
        <v>2617.0</v>
      </c>
      <c r="B4783" s="2" t="s">
        <v>19628</v>
      </c>
      <c r="C4783" s="2" t="s">
        <v>19629</v>
      </c>
      <c r="D4783" s="2" t="s">
        <v>19630</v>
      </c>
      <c r="E4783" s="2" t="s">
        <v>19631</v>
      </c>
      <c r="F4783" s="2" t="b">
        <v>1</v>
      </c>
      <c r="G4783" s="2" t="b">
        <v>0</v>
      </c>
      <c r="H4783" s="2" t="s">
        <v>1605</v>
      </c>
      <c r="I4783" s="2" t="s">
        <v>22</v>
      </c>
      <c r="J4783" s="2" t="s">
        <v>669</v>
      </c>
      <c r="K4783" s="2" t="s">
        <v>495</v>
      </c>
      <c r="L4783" s="13" t="s">
        <v>496</v>
      </c>
      <c r="M4783" s="2" t="s">
        <v>26</v>
      </c>
      <c r="N4783" s="29"/>
      <c r="O4783" s="29"/>
      <c r="P4783" s="5" t="str">
        <f>IFERROR(__xludf.DUMMYFUNCTION("TEXTJOIN("" | "",TRUE,IF(OR(D4783="""",E4783="""",I4783="""",J4783="""",H4783=""""),""ফাঁকা ঘর"",""""),IF(AND(C4783&lt;&gt;"""",D4783&lt;&gt;"""",C4783=D4783),""gloss=figurative"",""""),IF(LEN(D4783)&lt;15,""figurative ছোট"",""""),IF(AND(I4783=""Positive"",REGEXMATCH(H4"&amp;"783,""মূর্খ|ভণ্ড|প্রতার|অলস|লোভ|স্বার্থ|অক্ষম|অযোগ্য|বোকা|কৃপণ|হিংস"")),""valence-target অমিল"",""""),IF(COUNTIF($B:$B,B4783)&gt;1,""ডুপ্লিকেট"",""""))"),"")</f>
        <v/>
      </c>
      <c r="Q4783" s="5" t="str">
        <f t="shared" si="1"/>
        <v>২ পরে</v>
      </c>
    </row>
    <row r="4784">
      <c r="A4784" s="4">
        <v>2618.0</v>
      </c>
      <c r="B4784" s="2" t="s">
        <v>19632</v>
      </c>
      <c r="C4784" s="2" t="s">
        <v>19633</v>
      </c>
      <c r="D4784" s="2" t="s">
        <v>19634</v>
      </c>
      <c r="E4784" s="2" t="s">
        <v>19635</v>
      </c>
      <c r="F4784" s="2" t="b">
        <v>1</v>
      </c>
      <c r="G4784" s="2" t="b">
        <v>0</v>
      </c>
      <c r="H4784" s="2" t="s">
        <v>37</v>
      </c>
      <c r="I4784" s="2" t="s">
        <v>32</v>
      </c>
      <c r="J4784" s="2" t="s">
        <v>19636</v>
      </c>
      <c r="K4784" s="2" t="s">
        <v>495</v>
      </c>
      <c r="L4784" s="13" t="s">
        <v>496</v>
      </c>
      <c r="M4784" s="2" t="s">
        <v>26</v>
      </c>
      <c r="N4784" s="29"/>
      <c r="O4784" s="29"/>
      <c r="P4784" s="5" t="str">
        <f>IFERROR(__xludf.DUMMYFUNCTION("TEXTJOIN("" | "",TRUE,IF(OR(D4784="""",E4784="""",I4784="""",J4784="""",H4784=""""),""ফাঁকা ঘর"",""""),IF(AND(C4784&lt;&gt;"""",D4784&lt;&gt;"""",C4784=D4784),""gloss=figurative"",""""),IF(LEN(D4784)&lt;15,""figurative ছোট"",""""),IF(AND(I4784=""Positive"",REGEXMATCH(H4"&amp;"784,""মূর্খ|ভণ্ড|প্রতার|অলস|লোভ|স্বার্থ|অক্ষম|অযোগ্য|বোকা|কৃপণ|হিংস"")),""valence-target অমিল"",""""),IF(COUNTIF($B:$B,B4784)&gt;1,""ডুপ্লিকেট"",""""))"),"")</f>
        <v/>
      </c>
      <c r="Q4784" s="5" t="str">
        <f t="shared" si="1"/>
        <v>২ পরে</v>
      </c>
    </row>
    <row r="4785">
      <c r="A4785" s="4">
        <v>2619.0</v>
      </c>
      <c r="B4785" s="2" t="s">
        <v>19637</v>
      </c>
      <c r="C4785" s="2" t="s">
        <v>19637</v>
      </c>
      <c r="D4785" s="2" t="s">
        <v>19638</v>
      </c>
      <c r="E4785" s="2" t="s">
        <v>19639</v>
      </c>
      <c r="F4785" s="2" t="b">
        <v>1</v>
      </c>
      <c r="G4785" s="2" t="b">
        <v>0</v>
      </c>
      <c r="H4785" s="2" t="s">
        <v>37</v>
      </c>
      <c r="I4785" s="2" t="s">
        <v>32</v>
      </c>
      <c r="J4785" s="2" t="s">
        <v>739</v>
      </c>
      <c r="K4785" s="2" t="s">
        <v>495</v>
      </c>
      <c r="L4785" s="13" t="s">
        <v>496</v>
      </c>
      <c r="M4785" s="2" t="s">
        <v>26</v>
      </c>
      <c r="N4785" s="29"/>
      <c r="O4785" s="29"/>
      <c r="P4785" s="5" t="str">
        <f>IFERROR(__xludf.DUMMYFUNCTION("TEXTJOIN("" | "",TRUE,IF(OR(D4785="""",E4785="""",I4785="""",J4785="""",H4785=""""),""ফাঁকা ঘর"",""""),IF(AND(C4785&lt;&gt;"""",D4785&lt;&gt;"""",C4785=D4785),""gloss=figurative"",""""),IF(LEN(D4785)&lt;15,""figurative ছোট"",""""),IF(AND(I4785=""Positive"",REGEXMATCH(H4"&amp;"785,""মূর্খ|ভণ্ড|প্রতার|অলস|লোভ|স্বার্থ|অক্ষম|অযোগ্য|বোকা|কৃপণ|হিংস"")),""valence-target অমিল"",""""),IF(COUNTIF($B:$B,B4785)&gt;1,""ডুপ্লিকেট"",""""))"),"")</f>
        <v/>
      </c>
      <c r="Q4785" s="5" t="str">
        <f t="shared" si="1"/>
        <v>২ পরে</v>
      </c>
    </row>
    <row r="4786">
      <c r="A4786" s="4">
        <v>2620.0</v>
      </c>
      <c r="B4786" s="2" t="s">
        <v>19640</v>
      </c>
      <c r="C4786" s="2" t="s">
        <v>19641</v>
      </c>
      <c r="D4786" s="2" t="s">
        <v>19642</v>
      </c>
      <c r="E4786" s="2" t="s">
        <v>19643</v>
      </c>
      <c r="F4786" s="2" t="b">
        <v>1</v>
      </c>
      <c r="G4786" s="2" t="b">
        <v>0</v>
      </c>
      <c r="H4786" s="2" t="s">
        <v>37</v>
      </c>
      <c r="I4786" s="2" t="s">
        <v>22</v>
      </c>
      <c r="J4786" s="2" t="s">
        <v>4026</v>
      </c>
      <c r="K4786" s="2" t="s">
        <v>495</v>
      </c>
      <c r="L4786" s="13" t="s">
        <v>496</v>
      </c>
      <c r="M4786" s="2" t="s">
        <v>26</v>
      </c>
      <c r="N4786" s="29"/>
      <c r="O4786" s="29"/>
      <c r="P4786" s="5" t="str">
        <f>IFERROR(__xludf.DUMMYFUNCTION("TEXTJOIN("" | "",TRUE,IF(OR(D4786="""",E4786="""",I4786="""",J4786="""",H4786=""""),""ফাঁকা ঘর"",""""),IF(AND(C4786&lt;&gt;"""",D4786&lt;&gt;"""",C4786=D4786),""gloss=figurative"",""""),IF(LEN(D4786)&lt;15,""figurative ছোট"",""""),IF(AND(I4786=""Positive"",REGEXMATCH(H4"&amp;"786,""মূর্খ|ভণ্ড|প্রতার|অলস|লোভ|স্বার্থ|অক্ষম|অযোগ্য|বোকা|কৃপণ|হিংস"")),""valence-target অমিল"",""""),IF(COUNTIF($B:$B,B4786)&gt;1,""ডুপ্লিকেট"",""""))"),"")</f>
        <v/>
      </c>
      <c r="Q4786" s="5" t="str">
        <f t="shared" si="1"/>
        <v>২ পরে</v>
      </c>
    </row>
    <row r="4787">
      <c r="A4787" s="4">
        <v>2621.0</v>
      </c>
      <c r="B4787" s="2" t="s">
        <v>19644</v>
      </c>
      <c r="C4787" s="2" t="s">
        <v>19645</v>
      </c>
      <c r="D4787" s="2" t="s">
        <v>19646</v>
      </c>
      <c r="E4787" s="2" t="s">
        <v>19647</v>
      </c>
      <c r="F4787" s="2" t="b">
        <v>1</v>
      </c>
      <c r="G4787" s="2" t="b">
        <v>0</v>
      </c>
      <c r="H4787" s="2" t="s">
        <v>37</v>
      </c>
      <c r="I4787" s="2" t="s">
        <v>22</v>
      </c>
      <c r="J4787" s="2" t="s">
        <v>4026</v>
      </c>
      <c r="K4787" s="2" t="s">
        <v>495</v>
      </c>
      <c r="L4787" s="13" t="s">
        <v>496</v>
      </c>
      <c r="M4787" s="2" t="s">
        <v>26</v>
      </c>
      <c r="N4787" s="29"/>
      <c r="O4787" s="29"/>
      <c r="P4787" s="5" t="str">
        <f>IFERROR(__xludf.DUMMYFUNCTION("TEXTJOIN("" | "",TRUE,IF(OR(D4787="""",E4787="""",I4787="""",J4787="""",H4787=""""),""ফাঁকা ঘর"",""""),IF(AND(C4787&lt;&gt;"""",D4787&lt;&gt;"""",C4787=D4787),""gloss=figurative"",""""),IF(LEN(D4787)&lt;15,""figurative ছোট"",""""),IF(AND(I4787=""Positive"",REGEXMATCH(H4"&amp;"787,""মূর্খ|ভণ্ড|প্রতার|অলস|লোভ|স্বার্থ|অক্ষম|অযোগ্য|বোকা|কৃপণ|হিংস"")),""valence-target অমিল"",""""),IF(COUNTIF($B:$B,B4787)&gt;1,""ডুপ্লিকেট"",""""))"),"")</f>
        <v/>
      </c>
      <c r="Q4787" s="5" t="str">
        <f t="shared" si="1"/>
        <v>২ পরে</v>
      </c>
    </row>
    <row r="4788">
      <c r="A4788" s="4">
        <v>2622.0</v>
      </c>
      <c r="B4788" s="2" t="s">
        <v>19648</v>
      </c>
      <c r="C4788" s="2" t="s">
        <v>19649</v>
      </c>
      <c r="D4788" s="2" t="s">
        <v>19650</v>
      </c>
      <c r="E4788" s="2" t="s">
        <v>19651</v>
      </c>
      <c r="F4788" s="2" t="b">
        <v>1</v>
      </c>
      <c r="G4788" s="2" t="b">
        <v>0</v>
      </c>
      <c r="H4788" s="2" t="s">
        <v>37</v>
      </c>
      <c r="I4788" s="2" t="s">
        <v>22</v>
      </c>
      <c r="J4788" s="2" t="s">
        <v>947</v>
      </c>
      <c r="K4788" s="2" t="s">
        <v>495</v>
      </c>
      <c r="L4788" s="13" t="s">
        <v>496</v>
      </c>
      <c r="M4788" s="2" t="s">
        <v>26</v>
      </c>
      <c r="N4788" s="29"/>
      <c r="O4788" s="29"/>
      <c r="P4788" s="5" t="str">
        <f>IFERROR(__xludf.DUMMYFUNCTION("TEXTJOIN("" | "",TRUE,IF(OR(D4788="""",E4788="""",I4788="""",J4788="""",H4788=""""),""ফাঁকা ঘর"",""""),IF(AND(C4788&lt;&gt;"""",D4788&lt;&gt;"""",C4788=D4788),""gloss=figurative"",""""),IF(LEN(D4788)&lt;15,""figurative ছোট"",""""),IF(AND(I4788=""Positive"",REGEXMATCH(H4"&amp;"788,""মূর্খ|ভণ্ড|প্রতার|অলস|লোভ|স্বার্থ|অক্ষম|অযোগ্য|বোকা|কৃপণ|হিংস"")),""valence-target অমিল"",""""),IF(COUNTIF($B:$B,B4788)&gt;1,""ডুপ্লিকেট"",""""))"),"")</f>
        <v/>
      </c>
      <c r="Q4788" s="5" t="str">
        <f t="shared" si="1"/>
        <v>২ পরে</v>
      </c>
    </row>
    <row r="4789">
      <c r="A4789" s="4">
        <v>2623.0</v>
      </c>
      <c r="B4789" s="2" t="s">
        <v>19652</v>
      </c>
      <c r="C4789" s="2" t="s">
        <v>19653</v>
      </c>
      <c r="D4789" s="2" t="s">
        <v>19654</v>
      </c>
      <c r="E4789" s="2" t="s">
        <v>19655</v>
      </c>
      <c r="F4789" s="2" t="b">
        <v>1</v>
      </c>
      <c r="G4789" s="2" t="b">
        <v>0</v>
      </c>
      <c r="H4789" s="2" t="s">
        <v>37</v>
      </c>
      <c r="I4789" s="2" t="s">
        <v>22</v>
      </c>
      <c r="J4789" s="2" t="s">
        <v>766</v>
      </c>
      <c r="K4789" s="2" t="s">
        <v>495</v>
      </c>
      <c r="L4789" s="13" t="s">
        <v>496</v>
      </c>
      <c r="M4789" s="2" t="s">
        <v>26</v>
      </c>
      <c r="N4789" s="29"/>
      <c r="O4789" s="29"/>
      <c r="P4789" s="5" t="str">
        <f>IFERROR(__xludf.DUMMYFUNCTION("TEXTJOIN("" | "",TRUE,IF(OR(D4789="""",E4789="""",I4789="""",J4789="""",H4789=""""),""ফাঁকা ঘর"",""""),IF(AND(C4789&lt;&gt;"""",D4789&lt;&gt;"""",C4789=D4789),""gloss=figurative"",""""),IF(LEN(D4789)&lt;15,""figurative ছোট"",""""),IF(AND(I4789=""Positive"",REGEXMATCH(H4"&amp;"789,""মূর্খ|ভণ্ড|প্রতার|অলস|লোভ|স্বার্থ|অক্ষম|অযোগ্য|বোকা|কৃপণ|হিংস"")),""valence-target অমিল"",""""),IF(COUNTIF($B:$B,B4789)&gt;1,""ডুপ্লিকেট"",""""))"),"")</f>
        <v/>
      </c>
      <c r="Q4789" s="5" t="str">
        <f t="shared" si="1"/>
        <v>২ পরে</v>
      </c>
    </row>
    <row r="4790">
      <c r="A4790" s="4">
        <v>2624.0</v>
      </c>
      <c r="B4790" s="2" t="s">
        <v>19656</v>
      </c>
      <c r="C4790" s="2" t="s">
        <v>19657</v>
      </c>
      <c r="D4790" s="2" t="s">
        <v>19658</v>
      </c>
      <c r="E4790" s="2" t="s">
        <v>19659</v>
      </c>
      <c r="F4790" s="2" t="b">
        <v>1</v>
      </c>
      <c r="G4790" s="2" t="b">
        <v>0</v>
      </c>
      <c r="H4790" s="2" t="s">
        <v>37</v>
      </c>
      <c r="I4790" s="2" t="s">
        <v>49</v>
      </c>
      <c r="J4790" s="2" t="s">
        <v>868</v>
      </c>
      <c r="K4790" s="2" t="s">
        <v>495</v>
      </c>
      <c r="L4790" s="13" t="s">
        <v>496</v>
      </c>
      <c r="M4790" s="2" t="s">
        <v>26</v>
      </c>
      <c r="N4790" s="29"/>
      <c r="O4790" s="29"/>
      <c r="P4790" s="5" t="str">
        <f>IFERROR(__xludf.DUMMYFUNCTION("TEXTJOIN("" | "",TRUE,IF(OR(D4790="""",E4790="""",I4790="""",J4790="""",H4790=""""),""ফাঁকা ঘর"",""""),IF(AND(C4790&lt;&gt;"""",D4790&lt;&gt;"""",C4790=D4790),""gloss=figurative"",""""),IF(LEN(D4790)&lt;15,""figurative ছোট"",""""),IF(AND(I4790=""Positive"",REGEXMATCH(H4"&amp;"790,""মূর্খ|ভণ্ড|প্রতার|অলস|লোভ|স্বার্থ|অক্ষম|অযোগ্য|বোকা|কৃপণ|হিংস"")),""valence-target অমিল"",""""),IF(COUNTIF($B:$B,B4790)&gt;1,""ডুপ্লিকেট"",""""))"),"")</f>
        <v/>
      </c>
      <c r="Q4790" s="5" t="str">
        <f t="shared" si="1"/>
        <v>২ পরে</v>
      </c>
    </row>
    <row r="4791">
      <c r="A4791" s="4">
        <v>2625.0</v>
      </c>
      <c r="B4791" s="2" t="s">
        <v>19660</v>
      </c>
      <c r="C4791" s="2" t="s">
        <v>19661</v>
      </c>
      <c r="D4791" s="2" t="s">
        <v>19662</v>
      </c>
      <c r="E4791" s="2" t="s">
        <v>19663</v>
      </c>
      <c r="F4791" s="2" t="b">
        <v>1</v>
      </c>
      <c r="G4791" s="2" t="b">
        <v>0</v>
      </c>
      <c r="H4791" s="2" t="s">
        <v>37</v>
      </c>
      <c r="I4791" s="2" t="s">
        <v>22</v>
      </c>
      <c r="J4791" s="2" t="s">
        <v>225</v>
      </c>
      <c r="K4791" s="2" t="s">
        <v>495</v>
      </c>
      <c r="L4791" s="13" t="s">
        <v>496</v>
      </c>
      <c r="M4791" s="2" t="s">
        <v>26</v>
      </c>
      <c r="N4791" s="29"/>
      <c r="O4791" s="29"/>
      <c r="P4791" s="5" t="str">
        <f>IFERROR(__xludf.DUMMYFUNCTION("TEXTJOIN("" | "",TRUE,IF(OR(D4791="""",E4791="""",I4791="""",J4791="""",H4791=""""),""ফাঁকা ঘর"",""""),IF(AND(C4791&lt;&gt;"""",D4791&lt;&gt;"""",C4791=D4791),""gloss=figurative"",""""),IF(LEN(D4791)&lt;15,""figurative ছোট"",""""),IF(AND(I4791=""Positive"",REGEXMATCH(H4"&amp;"791,""মূর্খ|ভণ্ড|প্রতার|অলস|লোভ|স্বার্থ|অক্ষম|অযোগ্য|বোকা|কৃপণ|হিংস"")),""valence-target অমিল"",""""),IF(COUNTIF($B:$B,B4791)&gt;1,""ডুপ্লিকেট"",""""))"),"")</f>
        <v/>
      </c>
      <c r="Q4791" s="5" t="str">
        <f t="shared" si="1"/>
        <v>২ পরে</v>
      </c>
    </row>
    <row r="4792">
      <c r="A4792" s="4">
        <v>2626.0</v>
      </c>
      <c r="B4792" s="2" t="s">
        <v>19664</v>
      </c>
      <c r="C4792" s="2" t="s">
        <v>19665</v>
      </c>
      <c r="D4792" s="2" t="s">
        <v>19666</v>
      </c>
      <c r="E4792" s="2" t="s">
        <v>19667</v>
      </c>
      <c r="F4792" s="2" t="b">
        <v>1</v>
      </c>
      <c r="G4792" s="2" t="b">
        <v>1</v>
      </c>
      <c r="H4792" s="2" t="s">
        <v>19668</v>
      </c>
      <c r="I4792" s="2" t="s">
        <v>22</v>
      </c>
      <c r="J4792" s="2" t="s">
        <v>19669</v>
      </c>
      <c r="K4792" s="2" t="s">
        <v>495</v>
      </c>
      <c r="L4792" s="13" t="s">
        <v>496</v>
      </c>
      <c r="M4792" s="2" t="s">
        <v>26</v>
      </c>
      <c r="N4792" s="29"/>
      <c r="O4792" s="29"/>
      <c r="P4792" s="5" t="str">
        <f>IFERROR(__xludf.DUMMYFUNCTION("TEXTJOIN("" | "",TRUE,IF(OR(D4792="""",E4792="""",I4792="""",J4792="""",H4792=""""),""ফাঁকা ঘর"",""""),IF(AND(C4792&lt;&gt;"""",D4792&lt;&gt;"""",C4792=D4792),""gloss=figurative"",""""),IF(LEN(D4792)&lt;15,""figurative ছোট"",""""),IF(AND(I4792=""Positive"",REGEXMATCH(H4"&amp;"792,""মূর্খ|ভণ্ড|প্রতার|অলস|লোভ|স্বার্থ|অক্ষম|অযোগ্য|বোকা|কৃপণ|হিংস"")),""valence-target অমিল"",""""),IF(COUNTIF($B:$B,B4792)&gt;1,""ডুপ্লিকেট"",""""))"),"")</f>
        <v/>
      </c>
      <c r="Q4792" s="5" t="str">
        <f t="shared" si="1"/>
        <v>২ পরে</v>
      </c>
    </row>
    <row r="4793">
      <c r="A4793" s="4">
        <v>2627.0</v>
      </c>
      <c r="B4793" s="2" t="s">
        <v>19670</v>
      </c>
      <c r="C4793" s="2" t="s">
        <v>19671</v>
      </c>
      <c r="D4793" s="2" t="s">
        <v>19672</v>
      </c>
      <c r="E4793" s="2" t="s">
        <v>19673</v>
      </c>
      <c r="F4793" s="2" t="b">
        <v>1</v>
      </c>
      <c r="G4793" s="2" t="b">
        <v>1</v>
      </c>
      <c r="H4793" s="2" t="s">
        <v>19674</v>
      </c>
      <c r="I4793" s="2" t="s">
        <v>22</v>
      </c>
      <c r="J4793" s="2" t="s">
        <v>3327</v>
      </c>
      <c r="K4793" s="2" t="s">
        <v>495</v>
      </c>
      <c r="L4793" s="13" t="s">
        <v>496</v>
      </c>
      <c r="M4793" s="2" t="s">
        <v>26</v>
      </c>
      <c r="N4793" s="29"/>
      <c r="O4793" s="29"/>
      <c r="P4793" s="5" t="str">
        <f>IFERROR(__xludf.DUMMYFUNCTION("TEXTJOIN("" | "",TRUE,IF(OR(D4793="""",E4793="""",I4793="""",J4793="""",H4793=""""),""ফাঁকা ঘর"",""""),IF(AND(C4793&lt;&gt;"""",D4793&lt;&gt;"""",C4793=D4793),""gloss=figurative"",""""),IF(LEN(D4793)&lt;15,""figurative ছোট"",""""),IF(AND(I4793=""Positive"",REGEXMATCH(H4"&amp;"793,""মূর্খ|ভণ্ড|প্রতার|অলস|লোভ|স্বার্থ|অক্ষম|অযোগ্য|বোকা|কৃপণ|হিংস"")),""valence-target অমিল"",""""),IF(COUNTIF($B:$B,B4793)&gt;1,""ডুপ্লিকেট"",""""))"),"")</f>
        <v/>
      </c>
      <c r="Q4793" s="5" t="str">
        <f t="shared" si="1"/>
        <v>২ পরে</v>
      </c>
    </row>
    <row r="4794">
      <c r="A4794" s="4">
        <v>2628.0</v>
      </c>
      <c r="B4794" s="2" t="s">
        <v>19675</v>
      </c>
      <c r="C4794" s="2" t="s">
        <v>19676</v>
      </c>
      <c r="D4794" s="2" t="s">
        <v>19677</v>
      </c>
      <c r="E4794" s="2" t="s">
        <v>19678</v>
      </c>
      <c r="F4794" s="2" t="b">
        <v>1</v>
      </c>
      <c r="G4794" s="2" t="b">
        <v>1</v>
      </c>
      <c r="H4794" s="2" t="s">
        <v>19679</v>
      </c>
      <c r="I4794" s="2" t="s">
        <v>49</v>
      </c>
      <c r="J4794" s="2" t="s">
        <v>3327</v>
      </c>
      <c r="K4794" s="2" t="s">
        <v>495</v>
      </c>
      <c r="L4794" s="13" t="s">
        <v>496</v>
      </c>
      <c r="M4794" s="2" t="s">
        <v>26</v>
      </c>
      <c r="N4794" s="29"/>
      <c r="O4794" s="29"/>
      <c r="P4794" s="5" t="str">
        <f>IFERROR(__xludf.DUMMYFUNCTION("TEXTJOIN("" | "",TRUE,IF(OR(D4794="""",E4794="""",I4794="""",J4794="""",H4794=""""),""ফাঁকা ঘর"",""""),IF(AND(C4794&lt;&gt;"""",D4794&lt;&gt;"""",C4794=D4794),""gloss=figurative"",""""),IF(LEN(D4794)&lt;15,""figurative ছোট"",""""),IF(AND(I4794=""Positive"",REGEXMATCH(H4"&amp;"794,""মূর্খ|ভণ্ড|প্রতার|অলস|লোভ|স্বার্থ|অক্ষম|অযোগ্য|বোকা|কৃপণ|হিংস"")),""valence-target অমিল"",""""),IF(COUNTIF($B:$B,B4794)&gt;1,""ডুপ্লিকেট"",""""))"),"")</f>
        <v/>
      </c>
      <c r="Q4794" s="5" t="str">
        <f t="shared" si="1"/>
        <v>২ পরে</v>
      </c>
    </row>
    <row r="4795">
      <c r="A4795" s="4">
        <v>2629.0</v>
      </c>
      <c r="B4795" s="2" t="s">
        <v>19680</v>
      </c>
      <c r="C4795" s="2" t="s">
        <v>19681</v>
      </c>
      <c r="D4795" s="2" t="s">
        <v>19682</v>
      </c>
      <c r="E4795" s="2" t="s">
        <v>19683</v>
      </c>
      <c r="F4795" s="2" t="b">
        <v>1</v>
      </c>
      <c r="G4795" s="2" t="b">
        <v>0</v>
      </c>
      <c r="H4795" s="2" t="s">
        <v>37</v>
      </c>
      <c r="I4795" s="2" t="s">
        <v>22</v>
      </c>
      <c r="J4795" s="2" t="s">
        <v>1656</v>
      </c>
      <c r="K4795" s="2" t="s">
        <v>495</v>
      </c>
      <c r="L4795" s="13" t="s">
        <v>496</v>
      </c>
      <c r="M4795" s="2" t="s">
        <v>26</v>
      </c>
      <c r="N4795" s="29"/>
      <c r="O4795" s="29"/>
      <c r="P4795" s="5" t="str">
        <f>IFERROR(__xludf.DUMMYFUNCTION("TEXTJOIN("" | "",TRUE,IF(OR(D4795="""",E4795="""",I4795="""",J4795="""",H4795=""""),""ফাঁকা ঘর"",""""),IF(AND(C4795&lt;&gt;"""",D4795&lt;&gt;"""",C4795=D4795),""gloss=figurative"",""""),IF(LEN(D4795)&lt;15,""figurative ছোট"",""""),IF(AND(I4795=""Positive"",REGEXMATCH(H4"&amp;"795,""মূর্খ|ভণ্ড|প্রতার|অলস|লোভ|স্বার্থ|অক্ষম|অযোগ্য|বোকা|কৃপণ|হিংস"")),""valence-target অমিল"",""""),IF(COUNTIF($B:$B,B4795)&gt;1,""ডুপ্লিকেট"",""""))"),"")</f>
        <v/>
      </c>
      <c r="Q4795" s="5" t="str">
        <f t="shared" si="1"/>
        <v>২ পরে</v>
      </c>
    </row>
    <row r="4796">
      <c r="A4796" s="4">
        <v>2630.0</v>
      </c>
      <c r="B4796" s="2" t="s">
        <v>19684</v>
      </c>
      <c r="C4796" s="2" t="s">
        <v>19685</v>
      </c>
      <c r="D4796" s="2" t="s">
        <v>19686</v>
      </c>
      <c r="E4796" s="2" t="s">
        <v>19687</v>
      </c>
      <c r="F4796" s="2" t="b">
        <v>1</v>
      </c>
      <c r="G4796" s="2" t="b">
        <v>0</v>
      </c>
      <c r="H4796" s="2" t="s">
        <v>37</v>
      </c>
      <c r="I4796" s="2" t="s">
        <v>22</v>
      </c>
      <c r="J4796" s="2" t="s">
        <v>1656</v>
      </c>
      <c r="K4796" s="2" t="s">
        <v>495</v>
      </c>
      <c r="L4796" s="13" t="s">
        <v>496</v>
      </c>
      <c r="M4796" s="2" t="s">
        <v>26</v>
      </c>
      <c r="N4796" s="29"/>
      <c r="O4796" s="29"/>
      <c r="P4796" s="5" t="str">
        <f>IFERROR(__xludf.DUMMYFUNCTION("TEXTJOIN("" | "",TRUE,IF(OR(D4796="""",E4796="""",I4796="""",J4796="""",H4796=""""),""ফাঁকা ঘর"",""""),IF(AND(C4796&lt;&gt;"""",D4796&lt;&gt;"""",C4796=D4796),""gloss=figurative"",""""),IF(LEN(D4796)&lt;15,""figurative ছোট"",""""),IF(AND(I4796=""Positive"",REGEXMATCH(H4"&amp;"796,""মূর্খ|ভণ্ড|প্রতার|অলস|লোভ|স্বার্থ|অক্ষম|অযোগ্য|বোকা|কৃপণ|হিংস"")),""valence-target অমিল"",""""),IF(COUNTIF($B:$B,B4796)&gt;1,""ডুপ্লিকেট"",""""))"),"")</f>
        <v/>
      </c>
      <c r="Q4796" s="5" t="str">
        <f t="shared" si="1"/>
        <v>২ পরে</v>
      </c>
    </row>
    <row r="4797">
      <c r="A4797" s="4">
        <v>2631.0</v>
      </c>
      <c r="B4797" s="2" t="s">
        <v>19688</v>
      </c>
      <c r="C4797" s="2" t="s">
        <v>19689</v>
      </c>
      <c r="D4797" s="2" t="s">
        <v>19690</v>
      </c>
      <c r="E4797" s="2" t="s">
        <v>16831</v>
      </c>
      <c r="F4797" s="2" t="b">
        <v>1</v>
      </c>
      <c r="G4797" s="2" t="b">
        <v>0</v>
      </c>
      <c r="H4797" s="2" t="s">
        <v>37</v>
      </c>
      <c r="I4797" s="2" t="s">
        <v>49</v>
      </c>
      <c r="J4797" s="2" t="s">
        <v>646</v>
      </c>
      <c r="K4797" s="2" t="s">
        <v>495</v>
      </c>
      <c r="L4797" s="13" t="s">
        <v>496</v>
      </c>
      <c r="M4797" s="2" t="s">
        <v>26</v>
      </c>
      <c r="N4797" s="29"/>
      <c r="O4797" s="29"/>
      <c r="P4797" s="5" t="str">
        <f>IFERROR(__xludf.DUMMYFUNCTION("TEXTJOIN("" | "",TRUE,IF(OR(D4797="""",E4797="""",I4797="""",J4797="""",H4797=""""),""ফাঁকা ঘর"",""""),IF(AND(C4797&lt;&gt;"""",D4797&lt;&gt;"""",C4797=D4797),""gloss=figurative"",""""),IF(LEN(D4797)&lt;15,""figurative ছোট"",""""),IF(AND(I4797=""Positive"",REGEXMATCH(H4"&amp;"797,""মূর্খ|ভণ্ড|প্রতার|অলস|লোভ|স্বার্থ|অক্ষম|অযোগ্য|বোকা|কৃপণ|হিংস"")),""valence-target অমিল"",""""),IF(COUNTIF($B:$B,B4797)&gt;1,""ডুপ্লিকেট"",""""))"),"")</f>
        <v/>
      </c>
      <c r="Q4797" s="5" t="str">
        <f t="shared" si="1"/>
        <v>২ পরে</v>
      </c>
    </row>
    <row r="4798">
      <c r="A4798" s="4">
        <v>2632.0</v>
      </c>
      <c r="B4798" s="2" t="s">
        <v>19691</v>
      </c>
      <c r="C4798" s="2" t="s">
        <v>19692</v>
      </c>
      <c r="D4798" s="2" t="s">
        <v>19693</v>
      </c>
      <c r="E4798" s="2" t="s">
        <v>16831</v>
      </c>
      <c r="F4798" s="2" t="b">
        <v>1</v>
      </c>
      <c r="G4798" s="2" t="b">
        <v>0</v>
      </c>
      <c r="H4798" s="2" t="s">
        <v>37</v>
      </c>
      <c r="I4798" s="2" t="s">
        <v>49</v>
      </c>
      <c r="J4798" s="2" t="s">
        <v>646</v>
      </c>
      <c r="K4798" s="2" t="s">
        <v>495</v>
      </c>
      <c r="L4798" s="13" t="s">
        <v>496</v>
      </c>
      <c r="M4798" s="2" t="s">
        <v>26</v>
      </c>
      <c r="N4798" s="29"/>
      <c r="O4798" s="29"/>
      <c r="P4798" s="5" t="str">
        <f>IFERROR(__xludf.DUMMYFUNCTION("TEXTJOIN("" | "",TRUE,IF(OR(D4798="""",E4798="""",I4798="""",J4798="""",H4798=""""),""ফাঁকা ঘর"",""""),IF(AND(C4798&lt;&gt;"""",D4798&lt;&gt;"""",C4798=D4798),""gloss=figurative"",""""),IF(LEN(D4798)&lt;15,""figurative ছোট"",""""),IF(AND(I4798=""Positive"",REGEXMATCH(H4"&amp;"798,""মূর্খ|ভণ্ড|প্রতার|অলস|লোভ|স্বার্থ|অক্ষম|অযোগ্য|বোকা|কৃপণ|হিংস"")),""valence-target অমিল"",""""),IF(COUNTIF($B:$B,B4798)&gt;1,""ডুপ্লিকেট"",""""))"),"")</f>
        <v/>
      </c>
      <c r="Q4798" s="5" t="str">
        <f t="shared" si="1"/>
        <v>২ পরে</v>
      </c>
    </row>
    <row r="4799">
      <c r="A4799" s="4">
        <v>2633.0</v>
      </c>
      <c r="B4799" s="2" t="s">
        <v>19694</v>
      </c>
      <c r="C4799" s="2" t="s">
        <v>19694</v>
      </c>
      <c r="D4799" s="2" t="s">
        <v>19695</v>
      </c>
      <c r="E4799" s="2" t="s">
        <v>19696</v>
      </c>
      <c r="F4799" s="2" t="b">
        <v>1</v>
      </c>
      <c r="G4799" s="2" t="b">
        <v>0</v>
      </c>
      <c r="H4799" s="2" t="s">
        <v>37</v>
      </c>
      <c r="I4799" s="2" t="s">
        <v>22</v>
      </c>
      <c r="J4799" s="2" t="s">
        <v>708</v>
      </c>
      <c r="K4799" s="2" t="s">
        <v>495</v>
      </c>
      <c r="L4799" s="13" t="s">
        <v>496</v>
      </c>
      <c r="M4799" s="2" t="s">
        <v>26</v>
      </c>
      <c r="N4799" s="29"/>
      <c r="O4799" s="29"/>
      <c r="P4799" s="5" t="str">
        <f>IFERROR(__xludf.DUMMYFUNCTION("TEXTJOIN("" | "",TRUE,IF(OR(D4799="""",E4799="""",I4799="""",J4799="""",H4799=""""),""ফাঁকা ঘর"",""""),IF(AND(C4799&lt;&gt;"""",D4799&lt;&gt;"""",C4799=D4799),""gloss=figurative"",""""),IF(LEN(D4799)&lt;15,""figurative ছোট"",""""),IF(AND(I4799=""Positive"",REGEXMATCH(H4"&amp;"799,""মূর্খ|ভণ্ড|প্রতার|অলস|লোভ|স্বার্থ|অক্ষম|অযোগ্য|বোকা|কৃপণ|হিংস"")),""valence-target অমিল"",""""),IF(COUNTIF($B:$B,B4799)&gt;1,""ডুপ্লিকেট"",""""))"),"")</f>
        <v/>
      </c>
      <c r="Q4799" s="5" t="str">
        <f t="shared" si="1"/>
        <v>২ পরে</v>
      </c>
    </row>
    <row r="4800">
      <c r="A4800" s="4">
        <v>2634.0</v>
      </c>
      <c r="B4800" s="2" t="s">
        <v>19697</v>
      </c>
      <c r="C4800" s="2" t="s">
        <v>19698</v>
      </c>
      <c r="D4800" s="2" t="s">
        <v>19699</v>
      </c>
      <c r="E4800" s="2" t="s">
        <v>19700</v>
      </c>
      <c r="F4800" s="2" t="b">
        <v>1</v>
      </c>
      <c r="G4800" s="2" t="b">
        <v>0</v>
      </c>
      <c r="H4800" s="2" t="s">
        <v>37</v>
      </c>
      <c r="I4800" s="2" t="s">
        <v>22</v>
      </c>
      <c r="J4800" s="2" t="s">
        <v>1644</v>
      </c>
      <c r="K4800" s="2" t="s">
        <v>495</v>
      </c>
      <c r="L4800" s="13" t="s">
        <v>496</v>
      </c>
      <c r="M4800" s="2" t="s">
        <v>26</v>
      </c>
      <c r="N4800" s="29"/>
      <c r="O4800" s="29"/>
      <c r="P4800" s="5" t="str">
        <f>IFERROR(__xludf.DUMMYFUNCTION("TEXTJOIN("" | "",TRUE,IF(OR(D4800="""",E4800="""",I4800="""",J4800="""",H4800=""""),""ফাঁকা ঘর"",""""),IF(AND(C4800&lt;&gt;"""",D4800&lt;&gt;"""",C4800=D4800),""gloss=figurative"",""""),IF(LEN(D4800)&lt;15,""figurative ছোট"",""""),IF(AND(I4800=""Positive"",REGEXMATCH(H4"&amp;"800,""মূর্খ|ভণ্ড|প্রতার|অলস|লোভ|স্বার্থ|অক্ষম|অযোগ্য|বোকা|কৃপণ|হিংস"")),""valence-target অমিল"",""""),IF(COUNTIF($B:$B,B4800)&gt;1,""ডুপ্লিকেট"",""""))"),"")</f>
        <v/>
      </c>
      <c r="Q4800" s="5" t="str">
        <f t="shared" si="1"/>
        <v>২ পরে</v>
      </c>
    </row>
    <row r="4801">
      <c r="A4801" s="4">
        <v>2635.0</v>
      </c>
      <c r="B4801" s="2" t="s">
        <v>19701</v>
      </c>
      <c r="C4801" s="2" t="s">
        <v>19702</v>
      </c>
      <c r="D4801" s="2" t="s">
        <v>19703</v>
      </c>
      <c r="E4801" s="2" t="s">
        <v>19704</v>
      </c>
      <c r="F4801" s="2" t="b">
        <v>1</v>
      </c>
      <c r="G4801" s="2" t="b">
        <v>0</v>
      </c>
      <c r="H4801" s="2" t="s">
        <v>37</v>
      </c>
      <c r="I4801" s="2" t="s">
        <v>22</v>
      </c>
      <c r="J4801" s="2" t="s">
        <v>3105</v>
      </c>
      <c r="K4801" s="2" t="s">
        <v>495</v>
      </c>
      <c r="L4801" s="13" t="s">
        <v>496</v>
      </c>
      <c r="M4801" s="2" t="s">
        <v>26</v>
      </c>
      <c r="N4801" s="29"/>
      <c r="O4801" s="29"/>
      <c r="P4801" s="5" t="str">
        <f>IFERROR(__xludf.DUMMYFUNCTION("TEXTJOIN("" | "",TRUE,IF(OR(D4801="""",E4801="""",I4801="""",J4801="""",H4801=""""),""ফাঁকা ঘর"",""""),IF(AND(C4801&lt;&gt;"""",D4801&lt;&gt;"""",C4801=D4801),""gloss=figurative"",""""),IF(LEN(D4801)&lt;15,""figurative ছোট"",""""),IF(AND(I4801=""Positive"",REGEXMATCH(H4"&amp;"801,""মূর্খ|ভণ্ড|প্রতার|অলস|লোভ|স্বার্থ|অক্ষম|অযোগ্য|বোকা|কৃপণ|হিংস"")),""valence-target অমিল"",""""),IF(COUNTIF($B:$B,B4801)&gt;1,""ডুপ্লিকেট"",""""))"),"")</f>
        <v/>
      </c>
      <c r="Q4801" s="5" t="str">
        <f t="shared" si="1"/>
        <v>২ পরে</v>
      </c>
    </row>
    <row r="4802">
      <c r="A4802" s="4">
        <v>2636.0</v>
      </c>
      <c r="B4802" s="2" t="s">
        <v>19705</v>
      </c>
      <c r="C4802" s="2" t="s">
        <v>19706</v>
      </c>
      <c r="D4802" s="2" t="s">
        <v>19707</v>
      </c>
      <c r="E4802" s="2" t="s">
        <v>19708</v>
      </c>
      <c r="F4802" s="2" t="b">
        <v>1</v>
      </c>
      <c r="G4802" s="2" t="b">
        <v>0</v>
      </c>
      <c r="H4802" s="2" t="s">
        <v>37</v>
      </c>
      <c r="I4802" s="2" t="s">
        <v>32</v>
      </c>
      <c r="J4802" s="2" t="s">
        <v>2108</v>
      </c>
      <c r="K4802" s="2" t="s">
        <v>495</v>
      </c>
      <c r="L4802" s="13" t="s">
        <v>496</v>
      </c>
      <c r="M4802" s="2" t="s">
        <v>26</v>
      </c>
      <c r="N4802" s="29"/>
      <c r="O4802" s="29"/>
      <c r="P4802" s="5" t="str">
        <f>IFERROR(__xludf.DUMMYFUNCTION("TEXTJOIN("" | "",TRUE,IF(OR(D4802="""",E4802="""",I4802="""",J4802="""",H4802=""""),""ফাঁকা ঘর"",""""),IF(AND(C4802&lt;&gt;"""",D4802&lt;&gt;"""",C4802=D4802),""gloss=figurative"",""""),IF(LEN(D4802)&lt;15,""figurative ছোট"",""""),IF(AND(I4802=""Positive"",REGEXMATCH(H4"&amp;"802,""মূর্খ|ভণ্ড|প্রতার|অলস|লোভ|স্বার্থ|অক্ষম|অযোগ্য|বোকা|কৃপণ|হিংস"")),""valence-target অমিল"",""""),IF(COUNTIF($B:$B,B4802)&gt;1,""ডুপ্লিকেট"",""""))"),"")</f>
        <v/>
      </c>
      <c r="Q4802" s="5" t="str">
        <f t="shared" si="1"/>
        <v>২ পরে</v>
      </c>
    </row>
    <row r="4803">
      <c r="A4803" s="4">
        <v>2637.0</v>
      </c>
      <c r="B4803" s="2" t="s">
        <v>19709</v>
      </c>
      <c r="C4803" s="2" t="s">
        <v>19709</v>
      </c>
      <c r="D4803" s="2" t="s">
        <v>19710</v>
      </c>
      <c r="E4803" s="2" t="s">
        <v>19711</v>
      </c>
      <c r="F4803" s="2" t="b">
        <v>1</v>
      </c>
      <c r="G4803" s="2" t="b">
        <v>0</v>
      </c>
      <c r="H4803" s="2" t="s">
        <v>37</v>
      </c>
      <c r="I4803" s="2" t="s">
        <v>32</v>
      </c>
      <c r="J4803" s="2" t="s">
        <v>553</v>
      </c>
      <c r="K4803" s="2" t="s">
        <v>495</v>
      </c>
      <c r="L4803" s="13" t="s">
        <v>496</v>
      </c>
      <c r="M4803" s="2" t="s">
        <v>26</v>
      </c>
      <c r="N4803" s="29"/>
      <c r="O4803" s="29"/>
      <c r="P4803" s="5" t="str">
        <f>IFERROR(__xludf.DUMMYFUNCTION("TEXTJOIN("" | "",TRUE,IF(OR(D4803="""",E4803="""",I4803="""",J4803="""",H4803=""""),""ফাঁকা ঘর"",""""),IF(AND(C4803&lt;&gt;"""",D4803&lt;&gt;"""",C4803=D4803),""gloss=figurative"",""""),IF(LEN(D4803)&lt;15,""figurative ছোট"",""""),IF(AND(I4803=""Positive"",REGEXMATCH(H4"&amp;"803,""মূর্খ|ভণ্ড|প্রতার|অলস|লোভ|স্বার্থ|অক্ষম|অযোগ্য|বোকা|কৃপণ|হিংস"")),""valence-target অমিল"",""""),IF(COUNTIF($B:$B,B4803)&gt;1,""ডুপ্লিকেট"",""""))"),"")</f>
        <v/>
      </c>
      <c r="Q4803" s="5" t="str">
        <f t="shared" si="1"/>
        <v>২ পরে</v>
      </c>
    </row>
    <row r="4804">
      <c r="A4804" s="4">
        <v>2638.0</v>
      </c>
      <c r="B4804" s="2" t="s">
        <v>19712</v>
      </c>
      <c r="C4804" s="2" t="s">
        <v>19713</v>
      </c>
      <c r="D4804" s="2" t="s">
        <v>19714</v>
      </c>
      <c r="E4804" s="2" t="s">
        <v>19715</v>
      </c>
      <c r="F4804" s="2" t="b">
        <v>1</v>
      </c>
      <c r="G4804" s="2" t="b">
        <v>0</v>
      </c>
      <c r="H4804" s="2" t="s">
        <v>37</v>
      </c>
      <c r="I4804" s="2" t="s">
        <v>32</v>
      </c>
      <c r="J4804" s="2" t="s">
        <v>19716</v>
      </c>
      <c r="K4804" s="2" t="s">
        <v>495</v>
      </c>
      <c r="L4804" s="13" t="s">
        <v>496</v>
      </c>
      <c r="M4804" s="2" t="s">
        <v>26</v>
      </c>
      <c r="N4804" s="29"/>
      <c r="O4804" s="29"/>
      <c r="P4804" s="5" t="str">
        <f>IFERROR(__xludf.DUMMYFUNCTION("TEXTJOIN("" | "",TRUE,IF(OR(D4804="""",E4804="""",I4804="""",J4804="""",H4804=""""),""ফাঁকা ঘর"",""""),IF(AND(C4804&lt;&gt;"""",D4804&lt;&gt;"""",C4804=D4804),""gloss=figurative"",""""),IF(LEN(D4804)&lt;15,""figurative ছোট"",""""),IF(AND(I4804=""Positive"",REGEXMATCH(H4"&amp;"804,""মূর্খ|ভণ্ড|প্রতার|অলস|লোভ|স্বার্থ|অক্ষম|অযোগ্য|বোকা|কৃপণ|হিংস"")),""valence-target অমিল"",""""),IF(COUNTIF($B:$B,B4804)&gt;1,""ডুপ্লিকেট"",""""))"),"")</f>
        <v/>
      </c>
      <c r="Q4804" s="5" t="str">
        <f t="shared" si="1"/>
        <v>২ পরে</v>
      </c>
    </row>
    <row r="4805">
      <c r="A4805" s="4">
        <v>2639.0</v>
      </c>
      <c r="B4805" s="2" t="s">
        <v>19717</v>
      </c>
      <c r="C4805" s="2" t="s">
        <v>19718</v>
      </c>
      <c r="D4805" s="2" t="s">
        <v>19719</v>
      </c>
      <c r="E4805" s="2" t="s">
        <v>19720</v>
      </c>
      <c r="F4805" s="2" t="b">
        <v>1</v>
      </c>
      <c r="G4805" s="2" t="b">
        <v>0</v>
      </c>
      <c r="H4805" s="2" t="s">
        <v>1284</v>
      </c>
      <c r="I4805" s="2" t="s">
        <v>22</v>
      </c>
      <c r="J4805" s="2" t="s">
        <v>1471</v>
      </c>
      <c r="K4805" s="2" t="s">
        <v>495</v>
      </c>
      <c r="L4805" s="13" t="s">
        <v>496</v>
      </c>
      <c r="M4805" s="2" t="s">
        <v>26</v>
      </c>
      <c r="N4805" s="29"/>
      <c r="O4805" s="29"/>
      <c r="P4805" s="5" t="str">
        <f>IFERROR(__xludf.DUMMYFUNCTION("TEXTJOIN("" | "",TRUE,IF(OR(D4805="""",E4805="""",I4805="""",J4805="""",H4805=""""),""ফাঁকা ঘর"",""""),IF(AND(C4805&lt;&gt;"""",D4805&lt;&gt;"""",C4805=D4805),""gloss=figurative"",""""),IF(LEN(D4805)&lt;15,""figurative ছোট"",""""),IF(AND(I4805=""Positive"",REGEXMATCH(H4"&amp;"805,""মূর্খ|ভণ্ড|প্রতার|অলস|লোভ|স্বার্থ|অক্ষম|অযোগ্য|বোকা|কৃপণ|হিংস"")),""valence-target অমিল"",""""),IF(COUNTIF($B:$B,B4805)&gt;1,""ডুপ্লিকেট"",""""))"),"")</f>
        <v/>
      </c>
      <c r="Q4805" s="5" t="str">
        <f t="shared" si="1"/>
        <v>২ পরে</v>
      </c>
    </row>
    <row r="4806">
      <c r="A4806" s="4">
        <v>2640.0</v>
      </c>
      <c r="B4806" s="2" t="s">
        <v>19721</v>
      </c>
      <c r="C4806" s="2" t="s">
        <v>19722</v>
      </c>
      <c r="D4806" s="2" t="s">
        <v>19723</v>
      </c>
      <c r="E4806" s="2" t="s">
        <v>19724</v>
      </c>
      <c r="F4806" s="2" t="b">
        <v>1</v>
      </c>
      <c r="G4806" s="2" t="b">
        <v>0</v>
      </c>
      <c r="H4806" s="2" t="s">
        <v>16798</v>
      </c>
      <c r="I4806" s="2" t="s">
        <v>22</v>
      </c>
      <c r="J4806" s="2" t="s">
        <v>565</v>
      </c>
      <c r="K4806" s="2" t="s">
        <v>495</v>
      </c>
      <c r="L4806" s="13" t="s">
        <v>496</v>
      </c>
      <c r="M4806" s="2" t="s">
        <v>26</v>
      </c>
      <c r="N4806" s="29"/>
      <c r="O4806" s="29"/>
      <c r="P4806" s="5" t="str">
        <f>IFERROR(__xludf.DUMMYFUNCTION("TEXTJOIN("" | "",TRUE,IF(OR(D4806="""",E4806="""",I4806="""",J4806="""",H4806=""""),""ফাঁকা ঘর"",""""),IF(AND(C4806&lt;&gt;"""",D4806&lt;&gt;"""",C4806=D4806),""gloss=figurative"",""""),IF(LEN(D4806)&lt;15,""figurative ছোট"",""""),IF(AND(I4806=""Positive"",REGEXMATCH(H4"&amp;"806,""মূর্খ|ভণ্ড|প্রতার|অলস|লোভ|স্বার্থ|অক্ষম|অযোগ্য|বোকা|কৃপণ|হিংস"")),""valence-target অমিল"",""""),IF(COUNTIF($B:$B,B4806)&gt;1,""ডুপ্লিকেট"",""""))"),"")</f>
        <v/>
      </c>
      <c r="Q4806" s="5" t="str">
        <f t="shared" si="1"/>
        <v>২ পরে</v>
      </c>
    </row>
    <row r="4807">
      <c r="A4807" s="4">
        <v>2641.0</v>
      </c>
      <c r="B4807" s="2" t="s">
        <v>19725</v>
      </c>
      <c r="C4807" s="2" t="s">
        <v>19726</v>
      </c>
      <c r="D4807" s="2" t="s">
        <v>19727</v>
      </c>
      <c r="E4807" s="2" t="s">
        <v>19728</v>
      </c>
      <c r="F4807" s="2" t="b">
        <v>1</v>
      </c>
      <c r="G4807" s="2" t="b">
        <v>0</v>
      </c>
      <c r="H4807" s="2" t="s">
        <v>37</v>
      </c>
      <c r="I4807" s="2" t="s">
        <v>32</v>
      </c>
      <c r="J4807" s="2" t="s">
        <v>1859</v>
      </c>
      <c r="K4807" s="2" t="s">
        <v>495</v>
      </c>
      <c r="L4807" s="13" t="s">
        <v>496</v>
      </c>
      <c r="M4807" s="2" t="s">
        <v>26</v>
      </c>
      <c r="N4807" s="29"/>
      <c r="O4807" s="29"/>
      <c r="P4807" s="5" t="str">
        <f>IFERROR(__xludf.DUMMYFUNCTION("TEXTJOIN("" | "",TRUE,IF(OR(D4807="""",E4807="""",I4807="""",J4807="""",H4807=""""),""ফাঁকা ঘর"",""""),IF(AND(C4807&lt;&gt;"""",D4807&lt;&gt;"""",C4807=D4807),""gloss=figurative"",""""),IF(LEN(D4807)&lt;15,""figurative ছোট"",""""),IF(AND(I4807=""Positive"",REGEXMATCH(H4"&amp;"807,""মূর্খ|ভণ্ড|প্রতার|অলস|লোভ|স্বার্থ|অক্ষম|অযোগ্য|বোকা|কৃপণ|হিংস"")),""valence-target অমিল"",""""),IF(COUNTIF($B:$B,B4807)&gt;1,""ডুপ্লিকেট"",""""))"),"")</f>
        <v/>
      </c>
      <c r="Q4807" s="5" t="str">
        <f t="shared" si="1"/>
        <v>২ পরে</v>
      </c>
    </row>
    <row r="4808">
      <c r="A4808" s="4">
        <v>2642.0</v>
      </c>
      <c r="B4808" s="2" t="s">
        <v>19729</v>
      </c>
      <c r="C4808" s="2" t="s">
        <v>19730</v>
      </c>
      <c r="D4808" s="2" t="s">
        <v>19731</v>
      </c>
      <c r="E4808" s="2" t="s">
        <v>19732</v>
      </c>
      <c r="F4808" s="2" t="b">
        <v>1</v>
      </c>
      <c r="G4808" s="2" t="b">
        <v>0</v>
      </c>
      <c r="H4808" s="2" t="s">
        <v>37</v>
      </c>
      <c r="I4808" s="2" t="s">
        <v>32</v>
      </c>
      <c r="J4808" s="2" t="s">
        <v>1607</v>
      </c>
      <c r="K4808" s="2" t="s">
        <v>495</v>
      </c>
      <c r="L4808" s="13" t="s">
        <v>496</v>
      </c>
      <c r="M4808" s="2" t="s">
        <v>26</v>
      </c>
      <c r="N4808" s="29"/>
      <c r="O4808" s="29"/>
      <c r="P4808" s="5" t="str">
        <f>IFERROR(__xludf.DUMMYFUNCTION("TEXTJOIN("" | "",TRUE,IF(OR(D4808="""",E4808="""",I4808="""",J4808="""",H4808=""""),""ফাঁকা ঘর"",""""),IF(AND(C4808&lt;&gt;"""",D4808&lt;&gt;"""",C4808=D4808),""gloss=figurative"",""""),IF(LEN(D4808)&lt;15,""figurative ছোট"",""""),IF(AND(I4808=""Positive"",REGEXMATCH(H4"&amp;"808,""মূর্খ|ভণ্ড|প্রতার|অলস|লোভ|স্বার্থ|অক্ষম|অযোগ্য|বোকা|কৃপণ|হিংস"")),""valence-target অমিল"",""""),IF(COUNTIF($B:$B,B4808)&gt;1,""ডুপ্লিকেট"",""""))"),"")</f>
        <v/>
      </c>
      <c r="Q4808" s="5" t="str">
        <f t="shared" si="1"/>
        <v>২ পরে</v>
      </c>
    </row>
    <row r="4809">
      <c r="A4809" s="4">
        <v>2643.0</v>
      </c>
      <c r="B4809" s="2" t="s">
        <v>19733</v>
      </c>
      <c r="C4809" s="2" t="s">
        <v>19733</v>
      </c>
      <c r="D4809" s="2" t="s">
        <v>19734</v>
      </c>
      <c r="E4809" s="2" t="s">
        <v>19735</v>
      </c>
      <c r="F4809" s="2" t="b">
        <v>1</v>
      </c>
      <c r="G4809" s="2" t="b">
        <v>0</v>
      </c>
      <c r="H4809" s="2" t="s">
        <v>37</v>
      </c>
      <c r="I4809" s="2" t="s">
        <v>32</v>
      </c>
      <c r="J4809" s="2" t="s">
        <v>176</v>
      </c>
      <c r="K4809" s="2" t="s">
        <v>495</v>
      </c>
      <c r="L4809" s="13" t="s">
        <v>496</v>
      </c>
      <c r="M4809" s="2" t="s">
        <v>26</v>
      </c>
      <c r="N4809" s="29"/>
      <c r="O4809" s="29"/>
      <c r="P4809" s="5" t="str">
        <f>IFERROR(__xludf.DUMMYFUNCTION("TEXTJOIN("" | "",TRUE,IF(OR(D4809="""",E4809="""",I4809="""",J4809="""",H4809=""""),""ফাঁকা ঘর"",""""),IF(AND(C4809&lt;&gt;"""",D4809&lt;&gt;"""",C4809=D4809),""gloss=figurative"",""""),IF(LEN(D4809)&lt;15,""figurative ছোট"",""""),IF(AND(I4809=""Positive"",REGEXMATCH(H4"&amp;"809,""মূর্খ|ভণ্ড|প্রতার|অলস|লোভ|স্বার্থ|অক্ষম|অযোগ্য|বোকা|কৃপণ|হিংস"")),""valence-target অমিল"",""""),IF(COUNTIF($B:$B,B4809)&gt;1,""ডুপ্লিকেট"",""""))"),"")</f>
        <v/>
      </c>
      <c r="Q4809" s="5" t="str">
        <f t="shared" si="1"/>
        <v>২ পরে</v>
      </c>
    </row>
    <row r="4810">
      <c r="A4810" s="4">
        <v>2644.0</v>
      </c>
      <c r="B4810" s="2" t="s">
        <v>19736</v>
      </c>
      <c r="C4810" s="2" t="s">
        <v>19737</v>
      </c>
      <c r="D4810" s="2" t="s">
        <v>19738</v>
      </c>
      <c r="E4810" s="2" t="s">
        <v>19739</v>
      </c>
      <c r="F4810" s="2" t="b">
        <v>1</v>
      </c>
      <c r="G4810" s="2" t="b">
        <v>0</v>
      </c>
      <c r="H4810" s="2" t="s">
        <v>37</v>
      </c>
      <c r="I4810" s="2" t="s">
        <v>22</v>
      </c>
      <c r="J4810" s="2" t="s">
        <v>842</v>
      </c>
      <c r="K4810" s="2" t="s">
        <v>495</v>
      </c>
      <c r="L4810" s="13" t="s">
        <v>496</v>
      </c>
      <c r="M4810" s="2" t="s">
        <v>26</v>
      </c>
      <c r="N4810" s="29"/>
      <c r="O4810" s="29"/>
      <c r="P4810" s="5" t="str">
        <f>IFERROR(__xludf.DUMMYFUNCTION("TEXTJOIN("" | "",TRUE,IF(OR(D4810="""",E4810="""",I4810="""",J4810="""",H4810=""""),""ফাঁকা ঘর"",""""),IF(AND(C4810&lt;&gt;"""",D4810&lt;&gt;"""",C4810=D4810),""gloss=figurative"",""""),IF(LEN(D4810)&lt;15,""figurative ছোট"",""""),IF(AND(I4810=""Positive"",REGEXMATCH(H4"&amp;"810,""মূর্খ|ভণ্ড|প্রতার|অলস|লোভ|স্বার্থ|অক্ষম|অযোগ্য|বোকা|কৃপণ|হিংস"")),""valence-target অমিল"",""""),IF(COUNTIF($B:$B,B4810)&gt;1,""ডুপ্লিকেট"",""""))"),"")</f>
        <v/>
      </c>
      <c r="Q4810" s="5" t="str">
        <f t="shared" si="1"/>
        <v>২ পরে</v>
      </c>
    </row>
    <row r="4811">
      <c r="A4811" s="4">
        <v>2645.0</v>
      </c>
      <c r="B4811" s="2" t="s">
        <v>19740</v>
      </c>
      <c r="C4811" s="2" t="s">
        <v>19741</v>
      </c>
      <c r="D4811" s="2" t="s">
        <v>19742</v>
      </c>
      <c r="E4811" s="2" t="s">
        <v>19743</v>
      </c>
      <c r="F4811" s="2" t="b">
        <v>1</v>
      </c>
      <c r="G4811" s="2" t="b">
        <v>0</v>
      </c>
      <c r="H4811" s="2" t="s">
        <v>19744</v>
      </c>
      <c r="I4811" s="2" t="s">
        <v>22</v>
      </c>
      <c r="J4811" s="2" t="s">
        <v>43</v>
      </c>
      <c r="K4811" s="2" t="s">
        <v>495</v>
      </c>
      <c r="L4811" s="13" t="s">
        <v>496</v>
      </c>
      <c r="M4811" s="2" t="s">
        <v>26</v>
      </c>
      <c r="N4811" s="29"/>
      <c r="O4811" s="29"/>
      <c r="P4811" s="5" t="str">
        <f>IFERROR(__xludf.DUMMYFUNCTION("TEXTJOIN("" | "",TRUE,IF(OR(D4811="""",E4811="""",I4811="""",J4811="""",H4811=""""),""ফাঁকা ঘর"",""""),IF(AND(C4811&lt;&gt;"""",D4811&lt;&gt;"""",C4811=D4811),""gloss=figurative"",""""),IF(LEN(D4811)&lt;15,""figurative ছোট"",""""),IF(AND(I4811=""Positive"",REGEXMATCH(H4"&amp;"811,""মূর্খ|ভণ্ড|প্রতার|অলস|লোভ|স্বার্থ|অক্ষম|অযোগ্য|বোকা|কৃপণ|হিংস"")),""valence-target অমিল"",""""),IF(COUNTIF($B:$B,B4811)&gt;1,""ডুপ্লিকেট"",""""))"),"")</f>
        <v/>
      </c>
      <c r="Q4811" s="5" t="str">
        <f t="shared" si="1"/>
        <v>২ পরে</v>
      </c>
    </row>
    <row r="4812">
      <c r="A4812" s="4">
        <v>2646.0</v>
      </c>
      <c r="B4812" s="2" t="s">
        <v>19745</v>
      </c>
      <c r="C4812" s="2" t="s">
        <v>19746</v>
      </c>
      <c r="D4812" s="2" t="s">
        <v>19747</v>
      </c>
      <c r="E4812" s="2" t="s">
        <v>19748</v>
      </c>
      <c r="F4812" s="2" t="b">
        <v>1</v>
      </c>
      <c r="G4812" s="2" t="b">
        <v>0</v>
      </c>
      <c r="H4812" s="2" t="s">
        <v>3161</v>
      </c>
      <c r="I4812" s="2" t="s">
        <v>22</v>
      </c>
      <c r="J4812" s="2" t="s">
        <v>43</v>
      </c>
      <c r="K4812" s="2" t="s">
        <v>495</v>
      </c>
      <c r="L4812" s="13" t="s">
        <v>496</v>
      </c>
      <c r="M4812" s="2" t="s">
        <v>26</v>
      </c>
      <c r="N4812" s="29"/>
      <c r="O4812" s="29"/>
      <c r="P4812" s="5" t="str">
        <f>IFERROR(__xludf.DUMMYFUNCTION("TEXTJOIN("" | "",TRUE,IF(OR(D4812="""",E4812="""",I4812="""",J4812="""",H4812=""""),""ফাঁকা ঘর"",""""),IF(AND(C4812&lt;&gt;"""",D4812&lt;&gt;"""",C4812=D4812),""gloss=figurative"",""""),IF(LEN(D4812)&lt;15,""figurative ছোট"",""""),IF(AND(I4812=""Positive"",REGEXMATCH(H4"&amp;"812,""মূর্খ|ভণ্ড|প্রতার|অলস|লোভ|স্বার্থ|অক্ষম|অযোগ্য|বোকা|কৃপণ|হিংস"")),""valence-target অমিল"",""""),IF(COUNTIF($B:$B,B4812)&gt;1,""ডুপ্লিকেট"",""""))"),"")</f>
        <v/>
      </c>
      <c r="Q4812" s="5" t="str">
        <f t="shared" si="1"/>
        <v>২ পরে</v>
      </c>
    </row>
    <row r="4813">
      <c r="A4813" s="4">
        <v>2647.0</v>
      </c>
      <c r="B4813" s="2" t="s">
        <v>19749</v>
      </c>
      <c r="C4813" s="2" t="s">
        <v>19750</v>
      </c>
      <c r="D4813" s="2" t="s">
        <v>19751</v>
      </c>
      <c r="E4813" s="2" t="s">
        <v>19752</v>
      </c>
      <c r="F4813" s="2" t="b">
        <v>1</v>
      </c>
      <c r="G4813" s="2" t="b">
        <v>0</v>
      </c>
      <c r="H4813" s="2" t="s">
        <v>37</v>
      </c>
      <c r="I4813" s="2" t="s">
        <v>22</v>
      </c>
      <c r="J4813" s="2" t="s">
        <v>43</v>
      </c>
      <c r="K4813" s="2" t="s">
        <v>495</v>
      </c>
      <c r="L4813" s="13" t="s">
        <v>496</v>
      </c>
      <c r="M4813" s="2" t="s">
        <v>26</v>
      </c>
      <c r="N4813" s="29"/>
      <c r="O4813" s="29"/>
      <c r="P4813" s="5" t="str">
        <f>IFERROR(__xludf.DUMMYFUNCTION("TEXTJOIN("" | "",TRUE,IF(OR(D4813="""",E4813="""",I4813="""",J4813="""",H4813=""""),""ফাঁকা ঘর"",""""),IF(AND(C4813&lt;&gt;"""",D4813&lt;&gt;"""",C4813=D4813),""gloss=figurative"",""""),IF(LEN(D4813)&lt;15,""figurative ছোট"",""""),IF(AND(I4813=""Positive"",REGEXMATCH(H4"&amp;"813,""মূর্খ|ভণ্ড|প্রতার|অলস|লোভ|স্বার্থ|অক্ষম|অযোগ্য|বোকা|কৃপণ|হিংস"")),""valence-target অমিল"",""""),IF(COUNTIF($B:$B,B4813)&gt;1,""ডুপ্লিকেট"",""""))"),"")</f>
        <v/>
      </c>
      <c r="Q4813" s="5" t="str">
        <f t="shared" si="1"/>
        <v>২ পরে</v>
      </c>
    </row>
    <row r="4814">
      <c r="A4814" s="4">
        <v>2648.0</v>
      </c>
      <c r="B4814" s="2" t="s">
        <v>19753</v>
      </c>
      <c r="C4814" s="2" t="s">
        <v>19754</v>
      </c>
      <c r="D4814" s="2" t="s">
        <v>19755</v>
      </c>
      <c r="E4814" s="2" t="s">
        <v>19756</v>
      </c>
      <c r="F4814" s="2" t="b">
        <v>1</v>
      </c>
      <c r="G4814" s="2" t="b">
        <v>0</v>
      </c>
      <c r="H4814" s="2" t="s">
        <v>756</v>
      </c>
      <c r="I4814" s="2" t="s">
        <v>22</v>
      </c>
      <c r="J4814" s="2" t="s">
        <v>1630</v>
      </c>
      <c r="K4814" s="2" t="s">
        <v>495</v>
      </c>
      <c r="L4814" s="13" t="s">
        <v>496</v>
      </c>
      <c r="M4814" s="2" t="s">
        <v>26</v>
      </c>
      <c r="N4814" s="29"/>
      <c r="O4814" s="29"/>
      <c r="P4814" s="5" t="str">
        <f>IFERROR(__xludf.DUMMYFUNCTION("TEXTJOIN("" | "",TRUE,IF(OR(D4814="""",E4814="""",I4814="""",J4814="""",H4814=""""),""ফাঁকা ঘর"",""""),IF(AND(C4814&lt;&gt;"""",D4814&lt;&gt;"""",C4814=D4814),""gloss=figurative"",""""),IF(LEN(D4814)&lt;15,""figurative ছোট"",""""),IF(AND(I4814=""Positive"",REGEXMATCH(H4"&amp;"814,""মূর্খ|ভণ্ড|প্রতার|অলস|লোভ|স্বার্থ|অক্ষম|অযোগ্য|বোকা|কৃপণ|হিংস"")),""valence-target অমিল"",""""),IF(COUNTIF($B:$B,B4814)&gt;1,""ডুপ্লিকেট"",""""))"),"")</f>
        <v/>
      </c>
      <c r="Q4814" s="5" t="str">
        <f t="shared" si="1"/>
        <v>২ পরে</v>
      </c>
    </row>
    <row r="4815">
      <c r="A4815" s="4">
        <v>2649.0</v>
      </c>
      <c r="B4815" s="2" t="s">
        <v>19757</v>
      </c>
      <c r="C4815" s="2" t="s">
        <v>19758</v>
      </c>
      <c r="D4815" s="2" t="s">
        <v>19759</v>
      </c>
      <c r="E4815" s="2" t="s">
        <v>19760</v>
      </c>
      <c r="F4815" s="2" t="b">
        <v>1</v>
      </c>
      <c r="G4815" s="2" t="b">
        <v>0</v>
      </c>
      <c r="H4815" s="2" t="s">
        <v>37</v>
      </c>
      <c r="I4815" s="2" t="s">
        <v>49</v>
      </c>
      <c r="J4815" s="2" t="s">
        <v>19761</v>
      </c>
      <c r="K4815" s="2" t="s">
        <v>495</v>
      </c>
      <c r="L4815" s="13" t="s">
        <v>496</v>
      </c>
      <c r="M4815" s="2" t="s">
        <v>26</v>
      </c>
      <c r="N4815" s="29"/>
      <c r="O4815" s="29"/>
      <c r="P4815" s="5" t="str">
        <f>IFERROR(__xludf.DUMMYFUNCTION("TEXTJOIN("" | "",TRUE,IF(OR(D4815="""",E4815="""",I4815="""",J4815="""",H4815=""""),""ফাঁকা ঘর"",""""),IF(AND(C4815&lt;&gt;"""",D4815&lt;&gt;"""",C4815=D4815),""gloss=figurative"",""""),IF(LEN(D4815)&lt;15,""figurative ছোট"",""""),IF(AND(I4815=""Positive"",REGEXMATCH(H4"&amp;"815,""মূর্খ|ভণ্ড|প্রতার|অলস|লোভ|স্বার্থ|অক্ষম|অযোগ্য|বোকা|কৃপণ|হিংস"")),""valence-target অমিল"",""""),IF(COUNTIF($B:$B,B4815)&gt;1,""ডুপ্লিকেট"",""""))"),"")</f>
        <v/>
      </c>
      <c r="Q4815" s="5" t="str">
        <f t="shared" si="1"/>
        <v>২ পরে</v>
      </c>
    </row>
    <row r="4816">
      <c r="A4816" s="4">
        <v>2650.0</v>
      </c>
      <c r="B4816" s="2" t="s">
        <v>19762</v>
      </c>
      <c r="C4816" s="2" t="s">
        <v>19763</v>
      </c>
      <c r="D4816" s="2" t="s">
        <v>19764</v>
      </c>
      <c r="E4816" s="2" t="s">
        <v>19765</v>
      </c>
      <c r="F4816" s="2" t="b">
        <v>1</v>
      </c>
      <c r="G4816" s="2" t="b">
        <v>0</v>
      </c>
      <c r="H4816" s="2" t="s">
        <v>37</v>
      </c>
      <c r="I4816" s="2" t="s">
        <v>32</v>
      </c>
      <c r="J4816" s="2" t="s">
        <v>19766</v>
      </c>
      <c r="K4816" s="2" t="s">
        <v>495</v>
      </c>
      <c r="L4816" s="13" t="s">
        <v>496</v>
      </c>
      <c r="M4816" s="2" t="s">
        <v>26</v>
      </c>
      <c r="N4816" s="29"/>
      <c r="O4816" s="29"/>
      <c r="P4816" s="5" t="str">
        <f>IFERROR(__xludf.DUMMYFUNCTION("TEXTJOIN("" | "",TRUE,IF(OR(D4816="""",E4816="""",I4816="""",J4816="""",H4816=""""),""ফাঁকা ঘর"",""""),IF(AND(C4816&lt;&gt;"""",D4816&lt;&gt;"""",C4816=D4816),""gloss=figurative"",""""),IF(LEN(D4816)&lt;15,""figurative ছোট"",""""),IF(AND(I4816=""Positive"",REGEXMATCH(H4"&amp;"816,""মূর্খ|ভণ্ড|প্রতার|অলস|লোভ|স্বার্থ|অক্ষম|অযোগ্য|বোকা|কৃপণ|হিংস"")),""valence-target অমিল"",""""),IF(COUNTIF($B:$B,B4816)&gt;1,""ডুপ্লিকেট"",""""))"),"")</f>
        <v/>
      </c>
      <c r="Q4816" s="5" t="str">
        <f t="shared" si="1"/>
        <v>২ পরে</v>
      </c>
    </row>
    <row r="4817">
      <c r="A4817" s="4">
        <v>2651.0</v>
      </c>
      <c r="B4817" s="2" t="s">
        <v>19767</v>
      </c>
      <c r="C4817" s="2" t="s">
        <v>19768</v>
      </c>
      <c r="D4817" s="2" t="s">
        <v>19769</v>
      </c>
      <c r="E4817" s="2" t="s">
        <v>19770</v>
      </c>
      <c r="F4817" s="2" t="b">
        <v>1</v>
      </c>
      <c r="G4817" s="2" t="b">
        <v>0</v>
      </c>
      <c r="H4817" s="2" t="s">
        <v>37</v>
      </c>
      <c r="I4817" s="2" t="s">
        <v>22</v>
      </c>
      <c r="J4817" s="2" t="s">
        <v>19771</v>
      </c>
      <c r="K4817" s="2" t="s">
        <v>495</v>
      </c>
      <c r="L4817" s="13" t="s">
        <v>496</v>
      </c>
      <c r="M4817" s="2" t="s">
        <v>26</v>
      </c>
      <c r="N4817" s="29"/>
      <c r="O4817" s="29"/>
      <c r="P4817" s="5" t="str">
        <f>IFERROR(__xludf.DUMMYFUNCTION("TEXTJOIN("" | "",TRUE,IF(OR(D4817="""",E4817="""",I4817="""",J4817="""",H4817=""""),""ফাঁকা ঘর"",""""),IF(AND(C4817&lt;&gt;"""",D4817&lt;&gt;"""",C4817=D4817),""gloss=figurative"",""""),IF(LEN(D4817)&lt;15,""figurative ছোট"",""""),IF(AND(I4817=""Positive"",REGEXMATCH(H4"&amp;"817,""মূর্খ|ভণ্ড|প্রতার|অলস|লোভ|স্বার্থ|অক্ষম|অযোগ্য|বোকা|কৃপণ|হিংস"")),""valence-target অমিল"",""""),IF(COUNTIF($B:$B,B4817)&gt;1,""ডুপ্লিকেট"",""""))"),"")</f>
        <v/>
      </c>
      <c r="Q4817" s="5" t="str">
        <f t="shared" si="1"/>
        <v>২ পরে</v>
      </c>
    </row>
    <row r="4818">
      <c r="A4818" s="4">
        <v>2652.0</v>
      </c>
      <c r="B4818" s="2" t="s">
        <v>19772</v>
      </c>
      <c r="C4818" s="2" t="s">
        <v>19773</v>
      </c>
      <c r="D4818" s="2" t="s">
        <v>19774</v>
      </c>
      <c r="E4818" s="2" t="s">
        <v>19775</v>
      </c>
      <c r="F4818" s="2" t="b">
        <v>1</v>
      </c>
      <c r="G4818" s="2" t="b">
        <v>0</v>
      </c>
      <c r="H4818" s="2" t="s">
        <v>37</v>
      </c>
      <c r="I4818" s="2" t="s">
        <v>22</v>
      </c>
      <c r="J4818" s="2" t="s">
        <v>739</v>
      </c>
      <c r="K4818" s="2" t="s">
        <v>495</v>
      </c>
      <c r="L4818" s="13" t="s">
        <v>496</v>
      </c>
      <c r="M4818" s="2" t="s">
        <v>26</v>
      </c>
      <c r="N4818" s="29"/>
      <c r="O4818" s="29"/>
      <c r="P4818" s="5" t="str">
        <f>IFERROR(__xludf.DUMMYFUNCTION("TEXTJOIN("" | "",TRUE,IF(OR(D4818="""",E4818="""",I4818="""",J4818="""",H4818=""""),""ফাঁকা ঘর"",""""),IF(AND(C4818&lt;&gt;"""",D4818&lt;&gt;"""",C4818=D4818),""gloss=figurative"",""""),IF(LEN(D4818)&lt;15,""figurative ছোট"",""""),IF(AND(I4818=""Positive"",REGEXMATCH(H4"&amp;"818,""মূর্খ|ভণ্ড|প্রতার|অলস|লোভ|স্বার্থ|অক্ষম|অযোগ্য|বোকা|কৃপণ|হিংস"")),""valence-target অমিল"",""""),IF(COUNTIF($B:$B,B4818)&gt;1,""ডুপ্লিকেট"",""""))"),"")</f>
        <v/>
      </c>
      <c r="Q4818" s="5" t="str">
        <f t="shared" si="1"/>
        <v>২ পরে</v>
      </c>
    </row>
    <row r="4819">
      <c r="A4819" s="4">
        <v>2653.0</v>
      </c>
      <c r="B4819" s="2" t="s">
        <v>19776</v>
      </c>
      <c r="C4819" s="2" t="s">
        <v>19777</v>
      </c>
      <c r="D4819" s="2" t="s">
        <v>19778</v>
      </c>
      <c r="E4819" s="2" t="s">
        <v>19779</v>
      </c>
      <c r="F4819" s="2" t="b">
        <v>1</v>
      </c>
      <c r="G4819" s="2" t="b">
        <v>0</v>
      </c>
      <c r="H4819" s="2" t="s">
        <v>37</v>
      </c>
      <c r="I4819" s="2" t="s">
        <v>22</v>
      </c>
      <c r="J4819" s="2" t="s">
        <v>739</v>
      </c>
      <c r="K4819" s="2" t="s">
        <v>495</v>
      </c>
      <c r="L4819" s="13" t="s">
        <v>496</v>
      </c>
      <c r="M4819" s="2" t="s">
        <v>26</v>
      </c>
      <c r="N4819" s="29"/>
      <c r="O4819" s="29"/>
      <c r="P4819" s="5" t="str">
        <f>IFERROR(__xludf.DUMMYFUNCTION("TEXTJOIN("" | "",TRUE,IF(OR(D4819="""",E4819="""",I4819="""",J4819="""",H4819=""""),""ফাঁকা ঘর"",""""),IF(AND(C4819&lt;&gt;"""",D4819&lt;&gt;"""",C4819=D4819),""gloss=figurative"",""""),IF(LEN(D4819)&lt;15,""figurative ছোট"",""""),IF(AND(I4819=""Positive"",REGEXMATCH(H4"&amp;"819,""মূর্খ|ভণ্ড|প্রতার|অলস|লোভ|স্বার্থ|অক্ষম|অযোগ্য|বোকা|কৃপণ|হিংস"")),""valence-target অমিল"",""""),IF(COUNTIF($B:$B,B4819)&gt;1,""ডুপ্লিকেট"",""""))"),"")</f>
        <v/>
      </c>
      <c r="Q4819" s="5" t="str">
        <f t="shared" si="1"/>
        <v>২ পরে</v>
      </c>
    </row>
    <row r="4820">
      <c r="A4820" s="4">
        <v>2654.0</v>
      </c>
      <c r="B4820" s="2" t="s">
        <v>19780</v>
      </c>
      <c r="C4820" s="2" t="s">
        <v>19781</v>
      </c>
      <c r="D4820" s="2" t="s">
        <v>19782</v>
      </c>
      <c r="E4820" s="2" t="s">
        <v>19783</v>
      </c>
      <c r="F4820" s="2" t="b">
        <v>1</v>
      </c>
      <c r="G4820" s="2" t="b">
        <v>0</v>
      </c>
      <c r="H4820" s="2" t="s">
        <v>37</v>
      </c>
      <c r="I4820" s="2" t="s">
        <v>49</v>
      </c>
      <c r="J4820" s="2" t="s">
        <v>708</v>
      </c>
      <c r="K4820" s="2" t="s">
        <v>495</v>
      </c>
      <c r="L4820" s="13" t="s">
        <v>496</v>
      </c>
      <c r="M4820" s="2" t="s">
        <v>26</v>
      </c>
      <c r="N4820" s="29"/>
      <c r="O4820" s="29"/>
      <c r="P4820" s="5" t="str">
        <f>IFERROR(__xludf.DUMMYFUNCTION("TEXTJOIN("" | "",TRUE,IF(OR(D4820="""",E4820="""",I4820="""",J4820="""",H4820=""""),""ফাঁকা ঘর"",""""),IF(AND(C4820&lt;&gt;"""",D4820&lt;&gt;"""",C4820=D4820),""gloss=figurative"",""""),IF(LEN(D4820)&lt;15,""figurative ছোট"",""""),IF(AND(I4820=""Positive"",REGEXMATCH(H4"&amp;"820,""মূর্খ|ভণ্ড|প্রতার|অলস|লোভ|স্বার্থ|অক্ষম|অযোগ্য|বোকা|কৃপণ|হিংস"")),""valence-target অমিল"",""""),IF(COUNTIF($B:$B,B4820)&gt;1,""ডুপ্লিকেট"",""""))"),"")</f>
        <v/>
      </c>
      <c r="Q4820" s="5" t="str">
        <f t="shared" si="1"/>
        <v>২ পরে</v>
      </c>
    </row>
    <row r="4821">
      <c r="A4821" s="4">
        <v>2655.0</v>
      </c>
      <c r="B4821" s="2" t="s">
        <v>19784</v>
      </c>
      <c r="C4821" s="2" t="s">
        <v>19785</v>
      </c>
      <c r="D4821" s="2" t="s">
        <v>19786</v>
      </c>
      <c r="E4821" s="2" t="s">
        <v>19787</v>
      </c>
      <c r="F4821" s="2" t="b">
        <v>1</v>
      </c>
      <c r="G4821" s="2" t="b">
        <v>0</v>
      </c>
      <c r="H4821" s="2" t="s">
        <v>37</v>
      </c>
      <c r="I4821" s="2" t="s">
        <v>32</v>
      </c>
      <c r="J4821" s="2" t="s">
        <v>565</v>
      </c>
      <c r="K4821" s="2" t="s">
        <v>495</v>
      </c>
      <c r="L4821" s="13" t="s">
        <v>496</v>
      </c>
      <c r="M4821" s="2" t="s">
        <v>26</v>
      </c>
      <c r="N4821" s="29"/>
      <c r="O4821" s="29"/>
      <c r="P4821" s="5" t="str">
        <f>IFERROR(__xludf.DUMMYFUNCTION("TEXTJOIN("" | "",TRUE,IF(OR(D4821="""",E4821="""",I4821="""",J4821="""",H4821=""""),""ফাঁকা ঘর"",""""),IF(AND(C4821&lt;&gt;"""",D4821&lt;&gt;"""",C4821=D4821),""gloss=figurative"",""""),IF(LEN(D4821)&lt;15,""figurative ছোট"",""""),IF(AND(I4821=""Positive"",REGEXMATCH(H4"&amp;"821,""মূর্খ|ভণ্ড|প্রতার|অলস|লোভ|স্বার্থ|অক্ষম|অযোগ্য|বোকা|কৃপণ|হিংস"")),""valence-target অমিল"",""""),IF(COUNTIF($B:$B,B4821)&gt;1,""ডুপ্লিকেট"",""""))"),"")</f>
        <v/>
      </c>
      <c r="Q4821" s="5" t="str">
        <f t="shared" si="1"/>
        <v>২ পরে</v>
      </c>
    </row>
    <row r="4822">
      <c r="A4822" s="4">
        <v>2656.0</v>
      </c>
      <c r="B4822" s="2" t="s">
        <v>19788</v>
      </c>
      <c r="C4822" s="2" t="s">
        <v>19789</v>
      </c>
      <c r="D4822" s="2" t="s">
        <v>19790</v>
      </c>
      <c r="E4822" s="2" t="s">
        <v>19791</v>
      </c>
      <c r="F4822" s="2" t="b">
        <v>1</v>
      </c>
      <c r="G4822" s="2" t="b">
        <v>0</v>
      </c>
      <c r="H4822" s="2" t="s">
        <v>37</v>
      </c>
      <c r="I4822" s="2" t="s">
        <v>22</v>
      </c>
      <c r="J4822" s="2" t="s">
        <v>7349</v>
      </c>
      <c r="K4822" s="2" t="s">
        <v>495</v>
      </c>
      <c r="L4822" s="13" t="s">
        <v>496</v>
      </c>
      <c r="M4822" s="2" t="s">
        <v>26</v>
      </c>
      <c r="N4822" s="29"/>
      <c r="O4822" s="29"/>
      <c r="P4822" s="5" t="str">
        <f>IFERROR(__xludf.DUMMYFUNCTION("TEXTJOIN("" | "",TRUE,IF(OR(D4822="""",E4822="""",I4822="""",J4822="""",H4822=""""),""ফাঁকা ঘর"",""""),IF(AND(C4822&lt;&gt;"""",D4822&lt;&gt;"""",C4822=D4822),""gloss=figurative"",""""),IF(LEN(D4822)&lt;15,""figurative ছোট"",""""),IF(AND(I4822=""Positive"",REGEXMATCH(H4"&amp;"822,""মূর্খ|ভণ্ড|প্রতার|অলস|লোভ|স্বার্থ|অক্ষম|অযোগ্য|বোকা|কৃপণ|হিংস"")),""valence-target অমিল"",""""),IF(COUNTIF($B:$B,B4822)&gt;1,""ডুপ্লিকেট"",""""))"),"")</f>
        <v/>
      </c>
      <c r="Q4822" s="5" t="str">
        <f t="shared" si="1"/>
        <v>২ পরে</v>
      </c>
    </row>
    <row r="4823">
      <c r="A4823" s="4">
        <v>2657.0</v>
      </c>
      <c r="B4823" s="2" t="s">
        <v>19792</v>
      </c>
      <c r="C4823" s="2" t="s">
        <v>19793</v>
      </c>
      <c r="D4823" s="2" t="s">
        <v>19794</v>
      </c>
      <c r="E4823" s="2" t="s">
        <v>19795</v>
      </c>
      <c r="F4823" s="2" t="b">
        <v>1</v>
      </c>
      <c r="G4823" s="2" t="b">
        <v>0</v>
      </c>
      <c r="H4823" s="2" t="s">
        <v>37</v>
      </c>
      <c r="I4823" s="2" t="s">
        <v>49</v>
      </c>
      <c r="J4823" s="2" t="s">
        <v>3701</v>
      </c>
      <c r="K4823" s="2" t="s">
        <v>495</v>
      </c>
      <c r="L4823" s="13" t="s">
        <v>496</v>
      </c>
      <c r="M4823" s="2" t="s">
        <v>26</v>
      </c>
      <c r="N4823" s="29"/>
      <c r="O4823" s="29"/>
      <c r="P4823" s="5" t="str">
        <f>IFERROR(__xludf.DUMMYFUNCTION("TEXTJOIN("" | "",TRUE,IF(OR(D4823="""",E4823="""",I4823="""",J4823="""",H4823=""""),""ফাঁকা ঘর"",""""),IF(AND(C4823&lt;&gt;"""",D4823&lt;&gt;"""",C4823=D4823),""gloss=figurative"",""""),IF(LEN(D4823)&lt;15,""figurative ছোট"",""""),IF(AND(I4823=""Positive"",REGEXMATCH(H4"&amp;"823,""মূর্খ|ভণ্ড|প্রতার|অলস|লোভ|স্বার্থ|অক্ষম|অযোগ্য|বোকা|কৃপণ|হিংস"")),""valence-target অমিল"",""""),IF(COUNTIF($B:$B,B4823)&gt;1,""ডুপ্লিকেট"",""""))"),"")</f>
        <v/>
      </c>
      <c r="Q4823" s="5" t="str">
        <f t="shared" si="1"/>
        <v>২ পরে</v>
      </c>
    </row>
    <row r="4824">
      <c r="A4824" s="4">
        <v>2658.0</v>
      </c>
      <c r="B4824" s="2" t="s">
        <v>19796</v>
      </c>
      <c r="C4824" s="2" t="s">
        <v>19797</v>
      </c>
      <c r="D4824" s="2" t="s">
        <v>19798</v>
      </c>
      <c r="E4824" s="2" t="s">
        <v>19799</v>
      </c>
      <c r="F4824" s="2" t="b">
        <v>1</v>
      </c>
      <c r="G4824" s="2" t="b">
        <v>0</v>
      </c>
      <c r="H4824" s="2" t="s">
        <v>19800</v>
      </c>
      <c r="I4824" s="2" t="s">
        <v>22</v>
      </c>
      <c r="J4824" s="2" t="s">
        <v>43</v>
      </c>
      <c r="K4824" s="2" t="s">
        <v>495</v>
      </c>
      <c r="L4824" s="13" t="s">
        <v>496</v>
      </c>
      <c r="M4824" s="2" t="s">
        <v>26</v>
      </c>
      <c r="N4824" s="29"/>
      <c r="O4824" s="29"/>
      <c r="P4824" s="5" t="str">
        <f>IFERROR(__xludf.DUMMYFUNCTION("TEXTJOIN("" | "",TRUE,IF(OR(D4824="""",E4824="""",I4824="""",J4824="""",H4824=""""),""ফাঁকা ঘর"",""""),IF(AND(C4824&lt;&gt;"""",D4824&lt;&gt;"""",C4824=D4824),""gloss=figurative"",""""),IF(LEN(D4824)&lt;15,""figurative ছোট"",""""),IF(AND(I4824=""Positive"",REGEXMATCH(H4"&amp;"824,""মূর্খ|ভণ্ড|প্রতার|অলস|লোভ|স্বার্থ|অক্ষম|অযোগ্য|বোকা|কৃপণ|হিংস"")),""valence-target অমিল"",""""),IF(COUNTIF($B:$B,B4824)&gt;1,""ডুপ্লিকেট"",""""))"),"")</f>
        <v/>
      </c>
      <c r="Q4824" s="5" t="str">
        <f t="shared" si="1"/>
        <v>২ পরে</v>
      </c>
    </row>
    <row r="4825">
      <c r="A4825" s="4">
        <v>2659.0</v>
      </c>
      <c r="B4825" s="2" t="s">
        <v>19801</v>
      </c>
      <c r="C4825" s="2" t="s">
        <v>19802</v>
      </c>
      <c r="D4825" s="2" t="s">
        <v>19803</v>
      </c>
      <c r="E4825" s="2" t="s">
        <v>19804</v>
      </c>
      <c r="F4825" s="2" t="b">
        <v>1</v>
      </c>
      <c r="G4825" s="2" t="b">
        <v>0</v>
      </c>
      <c r="H4825" s="2" t="s">
        <v>37</v>
      </c>
      <c r="I4825" s="2" t="s">
        <v>32</v>
      </c>
      <c r="J4825" s="2" t="s">
        <v>1679</v>
      </c>
      <c r="K4825" s="2" t="s">
        <v>495</v>
      </c>
      <c r="L4825" s="13" t="s">
        <v>496</v>
      </c>
      <c r="M4825" s="2" t="s">
        <v>26</v>
      </c>
      <c r="N4825" s="29"/>
      <c r="O4825" s="29"/>
      <c r="P4825" s="5" t="str">
        <f>IFERROR(__xludf.DUMMYFUNCTION("TEXTJOIN("" | "",TRUE,IF(OR(D4825="""",E4825="""",I4825="""",J4825="""",H4825=""""),""ফাঁকা ঘর"",""""),IF(AND(C4825&lt;&gt;"""",D4825&lt;&gt;"""",C4825=D4825),""gloss=figurative"",""""),IF(LEN(D4825)&lt;15,""figurative ছোট"",""""),IF(AND(I4825=""Positive"",REGEXMATCH(H4"&amp;"825,""মূর্খ|ভণ্ড|প্রতার|অলস|লোভ|স্বার্থ|অক্ষম|অযোগ্য|বোকা|কৃপণ|হিংস"")),""valence-target অমিল"",""""),IF(COUNTIF($B:$B,B4825)&gt;1,""ডুপ্লিকেট"",""""))"),"")</f>
        <v/>
      </c>
      <c r="Q4825" s="5" t="str">
        <f t="shared" si="1"/>
        <v>২ পরে</v>
      </c>
    </row>
    <row r="4826">
      <c r="A4826" s="4">
        <v>2660.0</v>
      </c>
      <c r="B4826" s="2" t="s">
        <v>19805</v>
      </c>
      <c r="C4826" s="2" t="s">
        <v>19806</v>
      </c>
      <c r="D4826" s="2" t="s">
        <v>19807</v>
      </c>
      <c r="E4826" s="2" t="s">
        <v>19808</v>
      </c>
      <c r="F4826" s="2" t="b">
        <v>1</v>
      </c>
      <c r="G4826" s="2" t="b">
        <v>0</v>
      </c>
      <c r="H4826" s="2" t="s">
        <v>37</v>
      </c>
      <c r="I4826" s="2" t="s">
        <v>22</v>
      </c>
      <c r="J4826" s="2" t="s">
        <v>2675</v>
      </c>
      <c r="K4826" s="2" t="s">
        <v>495</v>
      </c>
      <c r="L4826" s="13" t="s">
        <v>496</v>
      </c>
      <c r="M4826" s="2" t="s">
        <v>26</v>
      </c>
      <c r="N4826" s="29"/>
      <c r="O4826" s="29"/>
      <c r="P4826" s="5" t="str">
        <f>IFERROR(__xludf.DUMMYFUNCTION("TEXTJOIN("" | "",TRUE,IF(OR(D4826="""",E4826="""",I4826="""",J4826="""",H4826=""""),""ফাঁকা ঘর"",""""),IF(AND(C4826&lt;&gt;"""",D4826&lt;&gt;"""",C4826=D4826),""gloss=figurative"",""""),IF(LEN(D4826)&lt;15,""figurative ছোট"",""""),IF(AND(I4826=""Positive"",REGEXMATCH(H4"&amp;"826,""মূর্খ|ভণ্ড|প্রতার|অলস|লোভ|স্বার্থ|অক্ষম|অযোগ্য|বোকা|কৃপণ|হিংস"")),""valence-target অমিল"",""""),IF(COUNTIF($B:$B,B4826)&gt;1,""ডুপ্লিকেট"",""""))"),"")</f>
        <v/>
      </c>
      <c r="Q4826" s="5" t="str">
        <f t="shared" si="1"/>
        <v>২ পরে</v>
      </c>
    </row>
    <row r="4827">
      <c r="A4827" s="4">
        <v>2661.0</v>
      </c>
      <c r="B4827" s="2" t="s">
        <v>19809</v>
      </c>
      <c r="C4827" s="2" t="s">
        <v>19810</v>
      </c>
      <c r="D4827" s="2" t="s">
        <v>19811</v>
      </c>
      <c r="E4827" s="2" t="s">
        <v>19812</v>
      </c>
      <c r="F4827" s="2" t="b">
        <v>1</v>
      </c>
      <c r="G4827" s="2" t="b">
        <v>0</v>
      </c>
      <c r="H4827" s="2" t="s">
        <v>37</v>
      </c>
      <c r="I4827" s="2" t="s">
        <v>49</v>
      </c>
      <c r="J4827" s="2" t="s">
        <v>265</v>
      </c>
      <c r="K4827" s="2" t="s">
        <v>495</v>
      </c>
      <c r="L4827" s="13" t="s">
        <v>496</v>
      </c>
      <c r="M4827" s="2" t="s">
        <v>26</v>
      </c>
      <c r="N4827" s="29"/>
      <c r="O4827" s="29"/>
      <c r="P4827" s="5" t="str">
        <f>IFERROR(__xludf.DUMMYFUNCTION("TEXTJOIN("" | "",TRUE,IF(OR(D4827="""",E4827="""",I4827="""",J4827="""",H4827=""""),""ফাঁকা ঘর"",""""),IF(AND(C4827&lt;&gt;"""",D4827&lt;&gt;"""",C4827=D4827),""gloss=figurative"",""""),IF(LEN(D4827)&lt;15,""figurative ছোট"",""""),IF(AND(I4827=""Positive"",REGEXMATCH(H4"&amp;"827,""মূর্খ|ভণ্ড|প্রতার|অলস|লোভ|স্বার্থ|অক্ষম|অযোগ্য|বোকা|কৃপণ|হিংস"")),""valence-target অমিল"",""""),IF(COUNTIF($B:$B,B4827)&gt;1,""ডুপ্লিকেট"",""""))"),"")</f>
        <v/>
      </c>
      <c r="Q4827" s="5" t="str">
        <f t="shared" si="1"/>
        <v>২ পরে</v>
      </c>
    </row>
    <row r="4828">
      <c r="A4828" s="4">
        <v>2662.0</v>
      </c>
      <c r="B4828" s="2" t="s">
        <v>19813</v>
      </c>
      <c r="C4828" s="2" t="s">
        <v>19813</v>
      </c>
      <c r="D4828" s="2" t="s">
        <v>19814</v>
      </c>
      <c r="E4828" s="2" t="s">
        <v>19815</v>
      </c>
      <c r="F4828" s="2" t="b">
        <v>1</v>
      </c>
      <c r="G4828" s="2" t="b">
        <v>0</v>
      </c>
      <c r="H4828" s="2" t="s">
        <v>37</v>
      </c>
      <c r="I4828" s="2" t="s">
        <v>32</v>
      </c>
      <c r="J4828" s="2" t="s">
        <v>762</v>
      </c>
      <c r="K4828" s="2" t="s">
        <v>495</v>
      </c>
      <c r="L4828" s="13" t="s">
        <v>496</v>
      </c>
      <c r="M4828" s="2" t="s">
        <v>26</v>
      </c>
      <c r="N4828" s="29"/>
      <c r="O4828" s="29"/>
      <c r="P4828" s="5" t="str">
        <f>IFERROR(__xludf.DUMMYFUNCTION("TEXTJOIN("" | "",TRUE,IF(OR(D4828="""",E4828="""",I4828="""",J4828="""",H4828=""""),""ফাঁকা ঘর"",""""),IF(AND(C4828&lt;&gt;"""",D4828&lt;&gt;"""",C4828=D4828),""gloss=figurative"",""""),IF(LEN(D4828)&lt;15,""figurative ছোট"",""""),IF(AND(I4828=""Positive"",REGEXMATCH(H4"&amp;"828,""মূর্খ|ভণ্ড|প্রতার|অলস|লোভ|স্বার্থ|অক্ষম|অযোগ্য|বোকা|কৃপণ|হিংস"")),""valence-target অমিল"",""""),IF(COUNTIF($B:$B,B4828)&gt;1,""ডুপ্লিকেট"",""""))"),"")</f>
        <v/>
      </c>
      <c r="Q4828" s="5" t="str">
        <f t="shared" si="1"/>
        <v>২ পরে</v>
      </c>
    </row>
    <row r="4829">
      <c r="A4829" s="4">
        <v>2663.0</v>
      </c>
      <c r="B4829" s="2" t="s">
        <v>19816</v>
      </c>
      <c r="C4829" s="2" t="s">
        <v>19817</v>
      </c>
      <c r="D4829" s="2" t="s">
        <v>19818</v>
      </c>
      <c r="E4829" s="2" t="s">
        <v>19819</v>
      </c>
      <c r="F4829" s="2" t="b">
        <v>1</v>
      </c>
      <c r="G4829" s="2" t="b">
        <v>0</v>
      </c>
      <c r="H4829" s="2" t="s">
        <v>37</v>
      </c>
      <c r="I4829" s="2" t="s">
        <v>32</v>
      </c>
      <c r="J4829" s="2" t="s">
        <v>6917</v>
      </c>
      <c r="K4829" s="2" t="s">
        <v>495</v>
      </c>
      <c r="L4829" s="13" t="s">
        <v>496</v>
      </c>
      <c r="M4829" s="2" t="s">
        <v>26</v>
      </c>
      <c r="N4829" s="29"/>
      <c r="O4829" s="29"/>
      <c r="P4829" s="5" t="str">
        <f>IFERROR(__xludf.DUMMYFUNCTION("TEXTJOIN("" | "",TRUE,IF(OR(D4829="""",E4829="""",I4829="""",J4829="""",H4829=""""),""ফাঁকা ঘর"",""""),IF(AND(C4829&lt;&gt;"""",D4829&lt;&gt;"""",C4829=D4829),""gloss=figurative"",""""),IF(LEN(D4829)&lt;15,""figurative ছোট"",""""),IF(AND(I4829=""Positive"",REGEXMATCH(H4"&amp;"829,""মূর্খ|ভণ্ড|প্রতার|অলস|লোভ|স্বার্থ|অক্ষম|অযোগ্য|বোকা|কৃপণ|হিংস"")),""valence-target অমিল"",""""),IF(COUNTIF($B:$B,B4829)&gt;1,""ডুপ্লিকেট"",""""))"),"")</f>
        <v/>
      </c>
      <c r="Q4829" s="5" t="str">
        <f t="shared" si="1"/>
        <v>২ পরে</v>
      </c>
    </row>
    <row r="4830">
      <c r="A4830" s="4">
        <v>2664.0</v>
      </c>
      <c r="B4830" s="2" t="s">
        <v>19820</v>
      </c>
      <c r="C4830" s="2" t="s">
        <v>19820</v>
      </c>
      <c r="D4830" s="2" t="s">
        <v>19821</v>
      </c>
      <c r="E4830" s="2" t="s">
        <v>19822</v>
      </c>
      <c r="F4830" s="2" t="b">
        <v>1</v>
      </c>
      <c r="G4830" s="2" t="b">
        <v>0</v>
      </c>
      <c r="H4830" s="2" t="s">
        <v>37</v>
      </c>
      <c r="I4830" s="2" t="s">
        <v>32</v>
      </c>
      <c r="J4830" s="2" t="s">
        <v>1635</v>
      </c>
      <c r="K4830" s="2" t="s">
        <v>495</v>
      </c>
      <c r="L4830" s="13" t="s">
        <v>496</v>
      </c>
      <c r="M4830" s="2" t="s">
        <v>26</v>
      </c>
      <c r="N4830" s="29"/>
      <c r="O4830" s="29"/>
      <c r="P4830" s="5" t="str">
        <f>IFERROR(__xludf.DUMMYFUNCTION("TEXTJOIN("" | "",TRUE,IF(OR(D4830="""",E4830="""",I4830="""",J4830="""",H4830=""""),""ফাঁকা ঘর"",""""),IF(AND(C4830&lt;&gt;"""",D4830&lt;&gt;"""",C4830=D4830),""gloss=figurative"",""""),IF(LEN(D4830)&lt;15,""figurative ছোট"",""""),IF(AND(I4830=""Positive"",REGEXMATCH(H4"&amp;"830,""মূর্খ|ভণ্ড|প্রতার|অলস|লোভ|স্বার্থ|অক্ষম|অযোগ্য|বোকা|কৃপণ|হিংস"")),""valence-target অমিল"",""""),IF(COUNTIF($B:$B,B4830)&gt;1,""ডুপ্লিকেট"",""""))"),"")</f>
        <v/>
      </c>
      <c r="Q4830" s="5" t="str">
        <f t="shared" si="1"/>
        <v>২ পরে</v>
      </c>
    </row>
    <row r="4831">
      <c r="A4831" s="4">
        <v>2665.0</v>
      </c>
      <c r="B4831" s="2" t="s">
        <v>19823</v>
      </c>
      <c r="C4831" s="2" t="s">
        <v>19823</v>
      </c>
      <c r="D4831" s="2" t="s">
        <v>19824</v>
      </c>
      <c r="E4831" s="2" t="s">
        <v>19825</v>
      </c>
      <c r="F4831" s="2" t="b">
        <v>1</v>
      </c>
      <c r="G4831" s="2" t="b">
        <v>0</v>
      </c>
      <c r="H4831" s="2" t="s">
        <v>37</v>
      </c>
      <c r="I4831" s="2" t="s">
        <v>32</v>
      </c>
      <c r="J4831" s="2" t="s">
        <v>1239</v>
      </c>
      <c r="K4831" s="2" t="s">
        <v>495</v>
      </c>
      <c r="L4831" s="13" t="s">
        <v>496</v>
      </c>
      <c r="M4831" s="2" t="s">
        <v>26</v>
      </c>
      <c r="N4831" s="29"/>
      <c r="O4831" s="29"/>
      <c r="P4831" s="5" t="str">
        <f>IFERROR(__xludf.DUMMYFUNCTION("TEXTJOIN("" | "",TRUE,IF(OR(D4831="""",E4831="""",I4831="""",J4831="""",H4831=""""),""ফাঁকা ঘর"",""""),IF(AND(C4831&lt;&gt;"""",D4831&lt;&gt;"""",C4831=D4831),""gloss=figurative"",""""),IF(LEN(D4831)&lt;15,""figurative ছোট"",""""),IF(AND(I4831=""Positive"",REGEXMATCH(H4"&amp;"831,""মূর্খ|ভণ্ড|প্রতার|অলস|লোভ|স্বার্থ|অক্ষম|অযোগ্য|বোকা|কৃপণ|হিংস"")),""valence-target অমিল"",""""),IF(COUNTIF($B:$B,B4831)&gt;1,""ডুপ্লিকেট"",""""))"),"")</f>
        <v/>
      </c>
      <c r="Q4831" s="5" t="str">
        <f t="shared" si="1"/>
        <v>২ পরে</v>
      </c>
    </row>
    <row r="4832">
      <c r="A4832" s="4">
        <v>2666.0</v>
      </c>
      <c r="B4832" s="2" t="s">
        <v>19826</v>
      </c>
      <c r="C4832" s="2" t="s">
        <v>19827</v>
      </c>
      <c r="D4832" s="2" t="s">
        <v>19828</v>
      </c>
      <c r="E4832" s="2" t="s">
        <v>19829</v>
      </c>
      <c r="F4832" s="2" t="b">
        <v>1</v>
      </c>
      <c r="G4832" s="2" t="b">
        <v>0</v>
      </c>
      <c r="H4832" s="2" t="s">
        <v>37</v>
      </c>
      <c r="I4832" s="2" t="s">
        <v>22</v>
      </c>
      <c r="J4832" s="2" t="s">
        <v>646</v>
      </c>
      <c r="K4832" s="2" t="s">
        <v>495</v>
      </c>
      <c r="L4832" s="13" t="s">
        <v>496</v>
      </c>
      <c r="M4832" s="2" t="s">
        <v>26</v>
      </c>
      <c r="N4832" s="29"/>
      <c r="O4832" s="29"/>
      <c r="P4832" s="5" t="str">
        <f>IFERROR(__xludf.DUMMYFUNCTION("TEXTJOIN("" | "",TRUE,IF(OR(D4832="""",E4832="""",I4832="""",J4832="""",H4832=""""),""ফাঁকা ঘর"",""""),IF(AND(C4832&lt;&gt;"""",D4832&lt;&gt;"""",C4832=D4832),""gloss=figurative"",""""),IF(LEN(D4832)&lt;15,""figurative ছোট"",""""),IF(AND(I4832=""Positive"",REGEXMATCH(H4"&amp;"832,""মূর্খ|ভণ্ড|প্রতার|অলস|লোভ|স্বার্থ|অক্ষম|অযোগ্য|বোকা|কৃপণ|হিংস"")),""valence-target অমিল"",""""),IF(COUNTIF($B:$B,B4832)&gt;1,""ডুপ্লিকেট"",""""))"),"")</f>
        <v/>
      </c>
      <c r="Q4832" s="5" t="str">
        <f t="shared" si="1"/>
        <v>২ পরে</v>
      </c>
    </row>
    <row r="4833">
      <c r="A4833" s="4">
        <v>2667.0</v>
      </c>
      <c r="B4833" s="2" t="s">
        <v>19830</v>
      </c>
      <c r="C4833" s="2" t="s">
        <v>19831</v>
      </c>
      <c r="D4833" s="2" t="s">
        <v>19832</v>
      </c>
      <c r="E4833" s="2" t="s">
        <v>19833</v>
      </c>
      <c r="F4833" s="2" t="b">
        <v>1</v>
      </c>
      <c r="G4833" s="2" t="b">
        <v>0</v>
      </c>
      <c r="H4833" s="2" t="s">
        <v>37</v>
      </c>
      <c r="I4833" s="2" t="s">
        <v>22</v>
      </c>
      <c r="J4833" s="2" t="s">
        <v>646</v>
      </c>
      <c r="K4833" s="2" t="s">
        <v>495</v>
      </c>
      <c r="L4833" s="13" t="s">
        <v>496</v>
      </c>
      <c r="M4833" s="2" t="s">
        <v>26</v>
      </c>
      <c r="N4833" s="29"/>
      <c r="O4833" s="29"/>
      <c r="P4833" s="5" t="str">
        <f>IFERROR(__xludf.DUMMYFUNCTION("TEXTJOIN("" | "",TRUE,IF(OR(D4833="""",E4833="""",I4833="""",J4833="""",H4833=""""),""ফাঁকা ঘর"",""""),IF(AND(C4833&lt;&gt;"""",D4833&lt;&gt;"""",C4833=D4833),""gloss=figurative"",""""),IF(LEN(D4833)&lt;15,""figurative ছোট"",""""),IF(AND(I4833=""Positive"",REGEXMATCH(H4"&amp;"833,""মূর্খ|ভণ্ড|প্রতার|অলস|লোভ|স্বার্থ|অক্ষম|অযোগ্য|বোকা|কৃপণ|হিংস"")),""valence-target অমিল"",""""),IF(COUNTIF($B:$B,B4833)&gt;1,""ডুপ্লিকেট"",""""))"),"")</f>
        <v/>
      </c>
      <c r="Q4833" s="5" t="str">
        <f t="shared" si="1"/>
        <v>২ পরে</v>
      </c>
    </row>
    <row r="4834">
      <c r="A4834" s="4">
        <v>2668.0</v>
      </c>
      <c r="B4834" s="2" t="s">
        <v>19834</v>
      </c>
      <c r="C4834" s="2" t="s">
        <v>19834</v>
      </c>
      <c r="D4834" s="2" t="s">
        <v>19835</v>
      </c>
      <c r="E4834" s="2" t="s">
        <v>19836</v>
      </c>
      <c r="F4834" s="2" t="b">
        <v>1</v>
      </c>
      <c r="G4834" s="2" t="b">
        <v>0</v>
      </c>
      <c r="H4834" s="2" t="s">
        <v>37</v>
      </c>
      <c r="I4834" s="2" t="s">
        <v>32</v>
      </c>
      <c r="J4834" s="2" t="s">
        <v>1775</v>
      </c>
      <c r="K4834" s="2" t="s">
        <v>495</v>
      </c>
      <c r="L4834" s="13" t="s">
        <v>496</v>
      </c>
      <c r="M4834" s="2" t="s">
        <v>26</v>
      </c>
      <c r="N4834" s="29"/>
      <c r="O4834" s="29"/>
      <c r="P4834" s="5" t="str">
        <f>IFERROR(__xludf.DUMMYFUNCTION("TEXTJOIN("" | "",TRUE,IF(OR(D4834="""",E4834="""",I4834="""",J4834="""",H4834=""""),""ফাঁকা ঘর"",""""),IF(AND(C4834&lt;&gt;"""",D4834&lt;&gt;"""",C4834=D4834),""gloss=figurative"",""""),IF(LEN(D4834)&lt;15,""figurative ছোট"",""""),IF(AND(I4834=""Positive"",REGEXMATCH(H4"&amp;"834,""মূর্খ|ভণ্ড|প্রতার|অলস|লোভ|স্বার্থ|অক্ষম|অযোগ্য|বোকা|কৃপণ|হিংস"")),""valence-target অমিল"",""""),IF(COUNTIF($B:$B,B4834)&gt;1,""ডুপ্লিকেট"",""""))"),"")</f>
        <v/>
      </c>
      <c r="Q4834" s="5" t="str">
        <f t="shared" si="1"/>
        <v>২ পরে</v>
      </c>
    </row>
    <row r="4835">
      <c r="A4835" s="4">
        <v>2669.0</v>
      </c>
      <c r="B4835" s="2" t="s">
        <v>19837</v>
      </c>
      <c r="C4835" s="2" t="s">
        <v>19837</v>
      </c>
      <c r="D4835" s="2" t="s">
        <v>19838</v>
      </c>
      <c r="E4835" s="2" t="s">
        <v>19839</v>
      </c>
      <c r="F4835" s="2" t="b">
        <v>1</v>
      </c>
      <c r="G4835" s="2" t="b">
        <v>0</v>
      </c>
      <c r="H4835" s="2" t="s">
        <v>37</v>
      </c>
      <c r="I4835" s="2" t="s">
        <v>22</v>
      </c>
      <c r="J4835" s="2" t="s">
        <v>7349</v>
      </c>
      <c r="K4835" s="2" t="s">
        <v>495</v>
      </c>
      <c r="L4835" s="13" t="s">
        <v>496</v>
      </c>
      <c r="M4835" s="2" t="s">
        <v>26</v>
      </c>
      <c r="N4835" s="29"/>
      <c r="O4835" s="29"/>
      <c r="P4835" s="5" t="str">
        <f>IFERROR(__xludf.DUMMYFUNCTION("TEXTJOIN("" | "",TRUE,IF(OR(D4835="""",E4835="""",I4835="""",J4835="""",H4835=""""),""ফাঁকা ঘর"",""""),IF(AND(C4835&lt;&gt;"""",D4835&lt;&gt;"""",C4835=D4835),""gloss=figurative"",""""),IF(LEN(D4835)&lt;15,""figurative ছোট"",""""),IF(AND(I4835=""Positive"",REGEXMATCH(H4"&amp;"835,""মূর্খ|ভণ্ড|প্রতার|অলস|লোভ|স্বার্থ|অক্ষম|অযোগ্য|বোকা|কৃপণ|হিংস"")),""valence-target অমিল"",""""),IF(COUNTIF($B:$B,B4835)&gt;1,""ডুপ্লিকেট"",""""))"),"")</f>
        <v/>
      </c>
      <c r="Q4835" s="5" t="str">
        <f t="shared" si="1"/>
        <v>২ পরে</v>
      </c>
    </row>
    <row r="4836">
      <c r="A4836" s="4">
        <v>2670.0</v>
      </c>
      <c r="B4836" s="2" t="s">
        <v>19840</v>
      </c>
      <c r="C4836" s="2" t="s">
        <v>19841</v>
      </c>
      <c r="D4836" s="2" t="s">
        <v>19842</v>
      </c>
      <c r="E4836" s="2" t="s">
        <v>19843</v>
      </c>
      <c r="F4836" s="2" t="b">
        <v>1</v>
      </c>
      <c r="G4836" s="2" t="b">
        <v>0</v>
      </c>
      <c r="H4836" s="2" t="s">
        <v>37</v>
      </c>
      <c r="I4836" s="2" t="s">
        <v>22</v>
      </c>
      <c r="J4836" s="2" t="s">
        <v>1221</v>
      </c>
      <c r="K4836" s="2" t="s">
        <v>495</v>
      </c>
      <c r="L4836" s="13" t="s">
        <v>496</v>
      </c>
      <c r="M4836" s="2" t="s">
        <v>26</v>
      </c>
      <c r="N4836" s="29"/>
      <c r="O4836" s="29"/>
      <c r="P4836" s="5" t="str">
        <f>IFERROR(__xludf.DUMMYFUNCTION("TEXTJOIN("" | "",TRUE,IF(OR(D4836="""",E4836="""",I4836="""",J4836="""",H4836=""""),""ফাঁকা ঘর"",""""),IF(AND(C4836&lt;&gt;"""",D4836&lt;&gt;"""",C4836=D4836),""gloss=figurative"",""""),IF(LEN(D4836)&lt;15,""figurative ছোট"",""""),IF(AND(I4836=""Positive"",REGEXMATCH(H4"&amp;"836,""মূর্খ|ভণ্ড|প্রতার|অলস|লোভ|স্বার্থ|অক্ষম|অযোগ্য|বোকা|কৃপণ|হিংস"")),""valence-target অমিল"",""""),IF(COUNTIF($B:$B,B4836)&gt;1,""ডুপ্লিকেট"",""""))"),"")</f>
        <v/>
      </c>
      <c r="Q4836" s="5" t="str">
        <f t="shared" si="1"/>
        <v>২ পরে</v>
      </c>
    </row>
    <row r="4837">
      <c r="A4837" s="4">
        <v>2671.0</v>
      </c>
      <c r="B4837" s="2" t="s">
        <v>19844</v>
      </c>
      <c r="C4837" s="2" t="s">
        <v>19845</v>
      </c>
      <c r="D4837" s="2" t="s">
        <v>19846</v>
      </c>
      <c r="E4837" s="2" t="s">
        <v>19847</v>
      </c>
      <c r="F4837" s="2" t="b">
        <v>1</v>
      </c>
      <c r="G4837" s="2" t="b">
        <v>0</v>
      </c>
      <c r="H4837" s="2" t="s">
        <v>37</v>
      </c>
      <c r="I4837" s="2" t="s">
        <v>22</v>
      </c>
      <c r="J4837" s="2" t="s">
        <v>19848</v>
      </c>
      <c r="K4837" s="2" t="s">
        <v>495</v>
      </c>
      <c r="L4837" s="13" t="s">
        <v>496</v>
      </c>
      <c r="M4837" s="2" t="s">
        <v>26</v>
      </c>
      <c r="N4837" s="29"/>
      <c r="O4837" s="29"/>
      <c r="P4837" s="5" t="str">
        <f>IFERROR(__xludf.DUMMYFUNCTION("TEXTJOIN("" | "",TRUE,IF(OR(D4837="""",E4837="""",I4837="""",J4837="""",H4837=""""),""ফাঁকা ঘর"",""""),IF(AND(C4837&lt;&gt;"""",D4837&lt;&gt;"""",C4837=D4837),""gloss=figurative"",""""),IF(LEN(D4837)&lt;15,""figurative ছোট"",""""),IF(AND(I4837=""Positive"",REGEXMATCH(H4"&amp;"837,""মূর্খ|ভণ্ড|প্রতার|অলস|লোভ|স্বার্থ|অক্ষম|অযোগ্য|বোকা|কৃপণ|হিংস"")),""valence-target অমিল"",""""),IF(COUNTIF($B:$B,B4837)&gt;1,""ডুপ্লিকেট"",""""))"),"")</f>
        <v/>
      </c>
      <c r="Q4837" s="5" t="str">
        <f t="shared" si="1"/>
        <v>২ পরে</v>
      </c>
    </row>
    <row r="4838">
      <c r="A4838" s="4">
        <v>2672.0</v>
      </c>
      <c r="B4838" s="2" t="s">
        <v>19849</v>
      </c>
      <c r="C4838" s="2" t="s">
        <v>19850</v>
      </c>
      <c r="D4838" s="2" t="s">
        <v>19851</v>
      </c>
      <c r="E4838" s="2" t="s">
        <v>19852</v>
      </c>
      <c r="F4838" s="2" t="b">
        <v>1</v>
      </c>
      <c r="G4838" s="2" t="b">
        <v>0</v>
      </c>
      <c r="H4838" s="2" t="s">
        <v>37</v>
      </c>
      <c r="I4838" s="2" t="s">
        <v>49</v>
      </c>
      <c r="J4838" s="2" t="s">
        <v>8149</v>
      </c>
      <c r="K4838" s="2" t="s">
        <v>495</v>
      </c>
      <c r="L4838" s="13" t="s">
        <v>496</v>
      </c>
      <c r="M4838" s="2" t="s">
        <v>26</v>
      </c>
      <c r="N4838" s="29"/>
      <c r="O4838" s="29"/>
      <c r="P4838" s="5" t="str">
        <f>IFERROR(__xludf.DUMMYFUNCTION("TEXTJOIN("" | "",TRUE,IF(OR(D4838="""",E4838="""",I4838="""",J4838="""",H4838=""""),""ফাঁকা ঘর"",""""),IF(AND(C4838&lt;&gt;"""",D4838&lt;&gt;"""",C4838=D4838),""gloss=figurative"",""""),IF(LEN(D4838)&lt;15,""figurative ছোট"",""""),IF(AND(I4838=""Positive"",REGEXMATCH(H4"&amp;"838,""মূর্খ|ভণ্ড|প্রতার|অলস|লোভ|স্বার্থ|অক্ষম|অযোগ্য|বোকা|কৃপণ|হিংস"")),""valence-target অমিল"",""""),IF(COUNTIF($B:$B,B4838)&gt;1,""ডুপ্লিকেট"",""""))"),"")</f>
        <v/>
      </c>
      <c r="Q4838" s="5" t="str">
        <f t="shared" si="1"/>
        <v>২ পরে</v>
      </c>
    </row>
    <row r="4839">
      <c r="A4839" s="4">
        <v>2673.0</v>
      </c>
      <c r="B4839" s="2" t="s">
        <v>19853</v>
      </c>
      <c r="C4839" s="2" t="s">
        <v>19854</v>
      </c>
      <c r="D4839" s="2" t="s">
        <v>19855</v>
      </c>
      <c r="E4839" s="2" t="s">
        <v>19856</v>
      </c>
      <c r="F4839" s="2" t="b">
        <v>1</v>
      </c>
      <c r="G4839" s="2" t="b">
        <v>0</v>
      </c>
      <c r="H4839" s="2" t="s">
        <v>37</v>
      </c>
      <c r="I4839" s="2" t="s">
        <v>32</v>
      </c>
      <c r="J4839" s="2" t="s">
        <v>19857</v>
      </c>
      <c r="K4839" s="2" t="s">
        <v>495</v>
      </c>
      <c r="L4839" s="13" t="s">
        <v>496</v>
      </c>
      <c r="M4839" s="2" t="s">
        <v>26</v>
      </c>
      <c r="N4839" s="29"/>
      <c r="O4839" s="29"/>
      <c r="P4839" s="5" t="str">
        <f>IFERROR(__xludf.DUMMYFUNCTION("TEXTJOIN("" | "",TRUE,IF(OR(D4839="""",E4839="""",I4839="""",J4839="""",H4839=""""),""ফাঁকা ঘর"",""""),IF(AND(C4839&lt;&gt;"""",D4839&lt;&gt;"""",C4839=D4839),""gloss=figurative"",""""),IF(LEN(D4839)&lt;15,""figurative ছোট"",""""),IF(AND(I4839=""Positive"",REGEXMATCH(H4"&amp;"839,""মূর্খ|ভণ্ড|প্রতার|অলস|লোভ|স্বার্থ|অক্ষম|অযোগ্য|বোকা|কৃপণ|হিংস"")),""valence-target অমিল"",""""),IF(COUNTIF($B:$B,B4839)&gt;1,""ডুপ্লিকেট"",""""))"),"")</f>
        <v/>
      </c>
      <c r="Q4839" s="5" t="str">
        <f t="shared" si="1"/>
        <v>২ পরে</v>
      </c>
    </row>
    <row r="4840">
      <c r="A4840" s="4">
        <v>2674.0</v>
      </c>
      <c r="B4840" s="2" t="s">
        <v>19858</v>
      </c>
      <c r="C4840" s="2" t="s">
        <v>19859</v>
      </c>
      <c r="D4840" s="2" t="s">
        <v>19860</v>
      </c>
      <c r="E4840" s="2" t="s">
        <v>19861</v>
      </c>
      <c r="F4840" s="2" t="b">
        <v>1</v>
      </c>
      <c r="G4840" s="2" t="b">
        <v>0</v>
      </c>
      <c r="H4840" s="2" t="s">
        <v>3054</v>
      </c>
      <c r="I4840" s="2" t="s">
        <v>22</v>
      </c>
      <c r="J4840" s="2" t="s">
        <v>43</v>
      </c>
      <c r="K4840" s="2" t="s">
        <v>495</v>
      </c>
      <c r="L4840" s="13" t="s">
        <v>496</v>
      </c>
      <c r="M4840" s="2" t="s">
        <v>26</v>
      </c>
      <c r="N4840" s="29"/>
      <c r="O4840" s="29"/>
      <c r="P4840" s="5" t="str">
        <f>IFERROR(__xludf.DUMMYFUNCTION("TEXTJOIN("" | "",TRUE,IF(OR(D4840="""",E4840="""",I4840="""",J4840="""",H4840=""""),""ফাঁকা ঘর"",""""),IF(AND(C4840&lt;&gt;"""",D4840&lt;&gt;"""",C4840=D4840),""gloss=figurative"",""""),IF(LEN(D4840)&lt;15,""figurative ছোট"",""""),IF(AND(I4840=""Positive"",REGEXMATCH(H4"&amp;"840,""মূর্খ|ভণ্ড|প্রতার|অলস|লোভ|স্বার্থ|অক্ষম|অযোগ্য|বোকা|কৃপণ|হিংস"")),""valence-target অমিল"",""""),IF(COUNTIF($B:$B,B4840)&gt;1,""ডুপ্লিকেট"",""""))"),"")</f>
        <v/>
      </c>
      <c r="Q4840" s="5" t="str">
        <f t="shared" si="1"/>
        <v>২ পরে</v>
      </c>
    </row>
    <row r="4841">
      <c r="A4841" s="4">
        <v>2675.0</v>
      </c>
      <c r="B4841" s="2" t="s">
        <v>19862</v>
      </c>
      <c r="C4841" s="2" t="s">
        <v>19863</v>
      </c>
      <c r="D4841" s="2" t="s">
        <v>19864</v>
      </c>
      <c r="E4841" s="2" t="s">
        <v>19865</v>
      </c>
      <c r="F4841" s="2" t="b">
        <v>1</v>
      </c>
      <c r="G4841" s="2" t="b">
        <v>0</v>
      </c>
      <c r="H4841" s="2" t="s">
        <v>37</v>
      </c>
      <c r="I4841" s="2" t="s">
        <v>22</v>
      </c>
      <c r="J4841" s="2" t="s">
        <v>13497</v>
      </c>
      <c r="K4841" s="2" t="s">
        <v>495</v>
      </c>
      <c r="L4841" s="13" t="s">
        <v>496</v>
      </c>
      <c r="M4841" s="2" t="s">
        <v>26</v>
      </c>
      <c r="N4841" s="29"/>
      <c r="O4841" s="29"/>
      <c r="P4841" s="5" t="str">
        <f>IFERROR(__xludf.DUMMYFUNCTION("TEXTJOIN("" | "",TRUE,IF(OR(D4841="""",E4841="""",I4841="""",J4841="""",H4841=""""),""ফাঁকা ঘর"",""""),IF(AND(C4841&lt;&gt;"""",D4841&lt;&gt;"""",C4841=D4841),""gloss=figurative"",""""),IF(LEN(D4841)&lt;15,""figurative ছোট"",""""),IF(AND(I4841=""Positive"",REGEXMATCH(H4"&amp;"841,""মূর্খ|ভণ্ড|প্রতার|অলস|লোভ|স্বার্থ|অক্ষম|অযোগ্য|বোকা|কৃপণ|হিংস"")),""valence-target অমিল"",""""),IF(COUNTIF($B:$B,B4841)&gt;1,""ডুপ্লিকেট"",""""))"),"")</f>
        <v/>
      </c>
      <c r="Q4841" s="5" t="str">
        <f t="shared" si="1"/>
        <v>২ পরে</v>
      </c>
    </row>
    <row r="4842">
      <c r="A4842" s="4">
        <v>2676.0</v>
      </c>
      <c r="B4842" s="2" t="s">
        <v>19866</v>
      </c>
      <c r="C4842" s="2" t="s">
        <v>19867</v>
      </c>
      <c r="D4842" s="2" t="s">
        <v>19868</v>
      </c>
      <c r="E4842" s="2" t="s">
        <v>19869</v>
      </c>
      <c r="F4842" s="2" t="b">
        <v>1</v>
      </c>
      <c r="G4842" s="2" t="b">
        <v>0</v>
      </c>
      <c r="H4842" s="2" t="s">
        <v>37</v>
      </c>
      <c r="I4842" s="2" t="s">
        <v>32</v>
      </c>
      <c r="J4842" s="2" t="s">
        <v>162</v>
      </c>
      <c r="K4842" s="2" t="s">
        <v>495</v>
      </c>
      <c r="L4842" s="13" t="s">
        <v>496</v>
      </c>
      <c r="M4842" s="2" t="s">
        <v>26</v>
      </c>
      <c r="N4842" s="29"/>
      <c r="O4842" s="29"/>
      <c r="P4842" s="5" t="str">
        <f>IFERROR(__xludf.DUMMYFUNCTION("TEXTJOIN("" | "",TRUE,IF(OR(D4842="""",E4842="""",I4842="""",J4842="""",H4842=""""),""ফাঁকা ঘর"",""""),IF(AND(C4842&lt;&gt;"""",D4842&lt;&gt;"""",C4842=D4842),""gloss=figurative"",""""),IF(LEN(D4842)&lt;15,""figurative ছোট"",""""),IF(AND(I4842=""Positive"",REGEXMATCH(H4"&amp;"842,""মূর্খ|ভণ্ড|প্রতার|অলস|লোভ|স্বার্থ|অক্ষম|অযোগ্য|বোকা|কৃপণ|হিংস"")),""valence-target অমিল"",""""),IF(COUNTIF($B:$B,B4842)&gt;1,""ডুপ্লিকেট"",""""))"),"")</f>
        <v/>
      </c>
      <c r="Q4842" s="5" t="str">
        <f t="shared" si="1"/>
        <v>২ পরে</v>
      </c>
    </row>
    <row r="4843">
      <c r="A4843" s="4">
        <v>2677.0</v>
      </c>
      <c r="B4843" s="2" t="s">
        <v>19870</v>
      </c>
      <c r="C4843" s="2" t="s">
        <v>19871</v>
      </c>
      <c r="D4843" s="2" t="s">
        <v>19872</v>
      </c>
      <c r="E4843" s="2" t="s">
        <v>19873</v>
      </c>
      <c r="F4843" s="2" t="b">
        <v>1</v>
      </c>
      <c r="G4843" s="2" t="b">
        <v>0</v>
      </c>
      <c r="H4843" s="2" t="s">
        <v>19744</v>
      </c>
      <c r="I4843" s="2" t="s">
        <v>22</v>
      </c>
      <c r="J4843" s="2" t="s">
        <v>43</v>
      </c>
      <c r="K4843" s="2" t="s">
        <v>495</v>
      </c>
      <c r="L4843" s="13" t="s">
        <v>496</v>
      </c>
      <c r="M4843" s="2" t="s">
        <v>26</v>
      </c>
      <c r="N4843" s="29"/>
      <c r="O4843" s="29"/>
      <c r="P4843" s="5" t="str">
        <f>IFERROR(__xludf.DUMMYFUNCTION("TEXTJOIN("" | "",TRUE,IF(OR(D4843="""",E4843="""",I4843="""",J4843="""",H4843=""""),""ফাঁকা ঘর"",""""),IF(AND(C4843&lt;&gt;"""",D4843&lt;&gt;"""",C4843=D4843),""gloss=figurative"",""""),IF(LEN(D4843)&lt;15,""figurative ছোট"",""""),IF(AND(I4843=""Positive"",REGEXMATCH(H4"&amp;"843,""মূর্খ|ভণ্ড|প্রতার|অলস|লোভ|স্বার্থ|অক্ষম|অযোগ্য|বোকা|কৃপণ|হিংস"")),""valence-target অমিল"",""""),IF(COUNTIF($B:$B,B4843)&gt;1,""ডুপ্লিকেট"",""""))"),"")</f>
        <v/>
      </c>
      <c r="Q4843" s="5" t="str">
        <f t="shared" si="1"/>
        <v>২ পরে</v>
      </c>
    </row>
    <row r="4844">
      <c r="A4844" s="4">
        <v>2678.0</v>
      </c>
      <c r="B4844" s="2" t="s">
        <v>19874</v>
      </c>
      <c r="C4844" s="2" t="s">
        <v>19875</v>
      </c>
      <c r="D4844" s="2" t="s">
        <v>19876</v>
      </c>
      <c r="E4844" s="2" t="s">
        <v>19877</v>
      </c>
      <c r="F4844" s="2" t="b">
        <v>1</v>
      </c>
      <c r="G4844" s="2" t="b">
        <v>0</v>
      </c>
      <c r="H4844" s="2" t="s">
        <v>19744</v>
      </c>
      <c r="I4844" s="2" t="s">
        <v>22</v>
      </c>
      <c r="J4844" s="2" t="s">
        <v>43</v>
      </c>
      <c r="K4844" s="2" t="s">
        <v>495</v>
      </c>
      <c r="L4844" s="13" t="s">
        <v>496</v>
      </c>
      <c r="M4844" s="2" t="s">
        <v>26</v>
      </c>
      <c r="N4844" s="29"/>
      <c r="O4844" s="29"/>
      <c r="P4844" s="5" t="str">
        <f>IFERROR(__xludf.DUMMYFUNCTION("TEXTJOIN("" | "",TRUE,IF(OR(D4844="""",E4844="""",I4844="""",J4844="""",H4844=""""),""ফাঁকা ঘর"",""""),IF(AND(C4844&lt;&gt;"""",D4844&lt;&gt;"""",C4844=D4844),""gloss=figurative"",""""),IF(LEN(D4844)&lt;15,""figurative ছোট"",""""),IF(AND(I4844=""Positive"",REGEXMATCH(H4"&amp;"844,""মূর্খ|ভণ্ড|প্রতার|অলস|লোভ|স্বার্থ|অক্ষম|অযোগ্য|বোকা|কৃপণ|হিংস"")),""valence-target অমিল"",""""),IF(COUNTIF($B:$B,B4844)&gt;1,""ডুপ্লিকেট"",""""))"),"")</f>
        <v/>
      </c>
      <c r="Q4844" s="5" t="str">
        <f t="shared" si="1"/>
        <v>২ পরে</v>
      </c>
    </row>
    <row r="4845">
      <c r="A4845" s="4">
        <v>2679.0</v>
      </c>
      <c r="B4845" s="2" t="s">
        <v>19878</v>
      </c>
      <c r="C4845" s="2" t="s">
        <v>19879</v>
      </c>
      <c r="D4845" s="2" t="s">
        <v>19880</v>
      </c>
      <c r="E4845" s="2" t="s">
        <v>19881</v>
      </c>
      <c r="F4845" s="2" t="b">
        <v>1</v>
      </c>
      <c r="G4845" s="2" t="b">
        <v>0</v>
      </c>
      <c r="H4845" s="2" t="s">
        <v>37</v>
      </c>
      <c r="I4845" s="2" t="s">
        <v>32</v>
      </c>
      <c r="J4845" s="2" t="s">
        <v>4711</v>
      </c>
      <c r="K4845" s="2" t="s">
        <v>495</v>
      </c>
      <c r="L4845" s="13" t="s">
        <v>496</v>
      </c>
      <c r="M4845" s="2" t="s">
        <v>26</v>
      </c>
      <c r="N4845" s="29"/>
      <c r="O4845" s="29"/>
      <c r="P4845" s="5" t="str">
        <f>IFERROR(__xludf.DUMMYFUNCTION("TEXTJOIN("" | "",TRUE,IF(OR(D4845="""",E4845="""",I4845="""",J4845="""",H4845=""""),""ফাঁকা ঘর"",""""),IF(AND(C4845&lt;&gt;"""",D4845&lt;&gt;"""",C4845=D4845),""gloss=figurative"",""""),IF(LEN(D4845)&lt;15,""figurative ছোট"",""""),IF(AND(I4845=""Positive"",REGEXMATCH(H4"&amp;"845,""মূর্খ|ভণ্ড|প্রতার|অলস|লোভ|স্বার্থ|অক্ষম|অযোগ্য|বোকা|কৃপণ|হিংস"")),""valence-target অমিল"",""""),IF(COUNTIF($B:$B,B4845)&gt;1,""ডুপ্লিকেট"",""""))"),"")</f>
        <v/>
      </c>
      <c r="Q4845" s="5" t="str">
        <f t="shared" si="1"/>
        <v>২ পরে</v>
      </c>
    </row>
    <row r="4846">
      <c r="A4846" s="4">
        <v>2680.0</v>
      </c>
      <c r="B4846" s="2" t="s">
        <v>19882</v>
      </c>
      <c r="C4846" s="2" t="s">
        <v>19883</v>
      </c>
      <c r="D4846" s="2" t="s">
        <v>19884</v>
      </c>
      <c r="E4846" s="2" t="s">
        <v>19885</v>
      </c>
      <c r="F4846" s="2" t="b">
        <v>1</v>
      </c>
      <c r="G4846" s="2" t="b">
        <v>0</v>
      </c>
      <c r="H4846" s="2" t="s">
        <v>37</v>
      </c>
      <c r="I4846" s="2" t="s">
        <v>22</v>
      </c>
      <c r="J4846" s="2" t="s">
        <v>646</v>
      </c>
      <c r="K4846" s="2" t="s">
        <v>495</v>
      </c>
      <c r="L4846" s="13" t="s">
        <v>496</v>
      </c>
      <c r="M4846" s="2" t="s">
        <v>26</v>
      </c>
      <c r="N4846" s="29"/>
      <c r="O4846" s="29"/>
      <c r="P4846" s="5" t="str">
        <f>IFERROR(__xludf.DUMMYFUNCTION("TEXTJOIN("" | "",TRUE,IF(OR(D4846="""",E4846="""",I4846="""",J4846="""",H4846=""""),""ফাঁকা ঘর"",""""),IF(AND(C4846&lt;&gt;"""",D4846&lt;&gt;"""",C4846=D4846),""gloss=figurative"",""""),IF(LEN(D4846)&lt;15,""figurative ছোট"",""""),IF(AND(I4846=""Positive"",REGEXMATCH(H4"&amp;"846,""মূর্খ|ভণ্ড|প্রতার|অলস|লোভ|স্বার্থ|অক্ষম|অযোগ্য|বোকা|কৃপণ|হিংস"")),""valence-target অমিল"",""""),IF(COUNTIF($B:$B,B4846)&gt;1,""ডুপ্লিকেট"",""""))"),"")</f>
        <v/>
      </c>
      <c r="Q4846" s="5" t="str">
        <f t="shared" si="1"/>
        <v>২ পরে</v>
      </c>
    </row>
    <row r="4847">
      <c r="A4847" s="4">
        <v>2681.0</v>
      </c>
      <c r="B4847" s="2" t="s">
        <v>19886</v>
      </c>
      <c r="C4847" s="2" t="s">
        <v>19887</v>
      </c>
      <c r="D4847" s="2" t="s">
        <v>19888</v>
      </c>
      <c r="E4847" s="2" t="s">
        <v>19889</v>
      </c>
      <c r="F4847" s="2" t="b">
        <v>1</v>
      </c>
      <c r="G4847" s="2" t="b">
        <v>1</v>
      </c>
      <c r="H4847" s="2" t="s">
        <v>19890</v>
      </c>
      <c r="I4847" s="2" t="s">
        <v>32</v>
      </c>
      <c r="J4847" s="2" t="s">
        <v>19891</v>
      </c>
      <c r="K4847" s="2" t="s">
        <v>495</v>
      </c>
      <c r="L4847" s="13" t="s">
        <v>496</v>
      </c>
      <c r="M4847" s="2" t="s">
        <v>26</v>
      </c>
      <c r="N4847" s="29"/>
      <c r="O4847" s="29"/>
      <c r="P4847" s="5" t="str">
        <f>IFERROR(__xludf.DUMMYFUNCTION("TEXTJOIN("" | "",TRUE,IF(OR(D4847="""",E4847="""",I4847="""",J4847="""",H4847=""""),""ফাঁকা ঘর"",""""),IF(AND(C4847&lt;&gt;"""",D4847&lt;&gt;"""",C4847=D4847),""gloss=figurative"",""""),IF(LEN(D4847)&lt;15,""figurative ছোট"",""""),IF(AND(I4847=""Positive"",REGEXMATCH(H4"&amp;"847,""মূর্খ|ভণ্ড|প্রতার|অলস|লোভ|স্বার্থ|অক্ষম|অযোগ্য|বোকা|কৃপণ|হিংস"")),""valence-target অমিল"",""""),IF(COUNTIF($B:$B,B4847)&gt;1,""ডুপ্লিকেট"",""""))"),"")</f>
        <v/>
      </c>
      <c r="Q4847" s="5" t="str">
        <f t="shared" si="1"/>
        <v>২ পরে</v>
      </c>
    </row>
    <row r="4848">
      <c r="A4848" s="4">
        <v>2682.0</v>
      </c>
      <c r="B4848" s="2" t="s">
        <v>19892</v>
      </c>
      <c r="C4848" s="2" t="s">
        <v>19893</v>
      </c>
      <c r="D4848" s="2" t="s">
        <v>19894</v>
      </c>
      <c r="E4848" s="2" t="s">
        <v>19895</v>
      </c>
      <c r="F4848" s="2" t="b">
        <v>1</v>
      </c>
      <c r="G4848" s="2" t="b">
        <v>0</v>
      </c>
      <c r="H4848" s="2" t="s">
        <v>37</v>
      </c>
      <c r="I4848" s="2" t="s">
        <v>32</v>
      </c>
      <c r="J4848" s="2" t="s">
        <v>729</v>
      </c>
      <c r="K4848" s="2" t="s">
        <v>495</v>
      </c>
      <c r="L4848" s="13" t="s">
        <v>496</v>
      </c>
      <c r="M4848" s="2" t="s">
        <v>26</v>
      </c>
      <c r="N4848" s="29"/>
      <c r="O4848" s="29"/>
      <c r="P4848" s="5" t="str">
        <f>IFERROR(__xludf.DUMMYFUNCTION("TEXTJOIN("" | "",TRUE,IF(OR(D4848="""",E4848="""",I4848="""",J4848="""",H4848=""""),""ফাঁকা ঘর"",""""),IF(AND(C4848&lt;&gt;"""",D4848&lt;&gt;"""",C4848=D4848),""gloss=figurative"",""""),IF(LEN(D4848)&lt;15,""figurative ছোট"",""""),IF(AND(I4848=""Positive"",REGEXMATCH(H4"&amp;"848,""মূর্খ|ভণ্ড|প্রতার|অলস|লোভ|স্বার্থ|অক্ষম|অযোগ্য|বোকা|কৃপণ|হিংস"")),""valence-target অমিল"",""""),IF(COUNTIF($B:$B,B4848)&gt;1,""ডুপ্লিকেট"",""""))"),"")</f>
        <v/>
      </c>
      <c r="Q4848" s="5" t="str">
        <f t="shared" si="1"/>
        <v>২ পরে</v>
      </c>
    </row>
    <row r="4849">
      <c r="A4849" s="4">
        <v>2683.0</v>
      </c>
      <c r="B4849" s="2" t="s">
        <v>19896</v>
      </c>
      <c r="C4849" s="2" t="s">
        <v>19896</v>
      </c>
      <c r="D4849" s="2" t="s">
        <v>19897</v>
      </c>
      <c r="E4849" s="2" t="s">
        <v>19898</v>
      </c>
      <c r="F4849" s="2" t="b">
        <v>1</v>
      </c>
      <c r="G4849" s="2" t="b">
        <v>0</v>
      </c>
      <c r="H4849" s="2" t="s">
        <v>37</v>
      </c>
      <c r="I4849" s="2" t="s">
        <v>22</v>
      </c>
      <c r="J4849" s="2" t="s">
        <v>447</v>
      </c>
      <c r="K4849" s="2" t="s">
        <v>495</v>
      </c>
      <c r="L4849" s="13" t="s">
        <v>496</v>
      </c>
      <c r="M4849" s="2" t="s">
        <v>26</v>
      </c>
      <c r="N4849" s="29"/>
      <c r="O4849" s="29"/>
      <c r="P4849" s="5" t="str">
        <f>IFERROR(__xludf.DUMMYFUNCTION("TEXTJOIN("" | "",TRUE,IF(OR(D4849="""",E4849="""",I4849="""",J4849="""",H4849=""""),""ফাঁকা ঘর"",""""),IF(AND(C4849&lt;&gt;"""",D4849&lt;&gt;"""",C4849=D4849),""gloss=figurative"",""""),IF(LEN(D4849)&lt;15,""figurative ছোট"",""""),IF(AND(I4849=""Positive"",REGEXMATCH(H4"&amp;"849,""মূর্খ|ভণ্ড|প্রতার|অলস|লোভ|স্বার্থ|অক্ষম|অযোগ্য|বোকা|কৃপণ|হিংস"")),""valence-target অমিল"",""""),IF(COUNTIF($B:$B,B4849)&gt;1,""ডুপ্লিকেট"",""""))"),"")</f>
        <v/>
      </c>
      <c r="Q4849" s="5" t="str">
        <f t="shared" si="1"/>
        <v>২ পরে</v>
      </c>
    </row>
    <row r="4850">
      <c r="A4850" s="4">
        <v>2684.0</v>
      </c>
      <c r="B4850" s="2" t="s">
        <v>19899</v>
      </c>
      <c r="C4850" s="2" t="s">
        <v>19900</v>
      </c>
      <c r="D4850" s="2" t="s">
        <v>19901</v>
      </c>
      <c r="E4850" s="2" t="s">
        <v>19902</v>
      </c>
      <c r="F4850" s="2" t="b">
        <v>1</v>
      </c>
      <c r="G4850" s="2" t="b">
        <v>0</v>
      </c>
      <c r="H4850" s="2" t="s">
        <v>37</v>
      </c>
      <c r="I4850" s="2" t="s">
        <v>49</v>
      </c>
      <c r="J4850" s="2" t="s">
        <v>1803</v>
      </c>
      <c r="K4850" s="2" t="s">
        <v>495</v>
      </c>
      <c r="L4850" s="13" t="s">
        <v>496</v>
      </c>
      <c r="M4850" s="2" t="s">
        <v>26</v>
      </c>
      <c r="N4850" s="29"/>
      <c r="O4850" s="29"/>
      <c r="P4850" s="5" t="str">
        <f>IFERROR(__xludf.DUMMYFUNCTION("TEXTJOIN("" | "",TRUE,IF(OR(D4850="""",E4850="""",I4850="""",J4850="""",H4850=""""),""ফাঁকা ঘর"",""""),IF(AND(C4850&lt;&gt;"""",D4850&lt;&gt;"""",C4850=D4850),""gloss=figurative"",""""),IF(LEN(D4850)&lt;15,""figurative ছোট"",""""),IF(AND(I4850=""Positive"",REGEXMATCH(H4"&amp;"850,""মূর্খ|ভণ্ড|প্রতার|অলস|লোভ|স্বার্থ|অক্ষম|অযোগ্য|বোকা|কৃপণ|হিংস"")),""valence-target অমিল"",""""),IF(COUNTIF($B:$B,B4850)&gt;1,""ডুপ্লিকেট"",""""))"),"")</f>
        <v/>
      </c>
      <c r="Q4850" s="5" t="str">
        <f t="shared" si="1"/>
        <v>২ পরে</v>
      </c>
    </row>
    <row r="4851">
      <c r="A4851" s="4">
        <v>2685.0</v>
      </c>
      <c r="B4851" s="2" t="s">
        <v>19903</v>
      </c>
      <c r="C4851" s="2" t="s">
        <v>19904</v>
      </c>
      <c r="D4851" s="2" t="s">
        <v>19905</v>
      </c>
      <c r="E4851" s="2" t="s">
        <v>19906</v>
      </c>
      <c r="F4851" s="2" t="b">
        <v>1</v>
      </c>
      <c r="G4851" s="2" t="b">
        <v>0</v>
      </c>
      <c r="H4851" s="2" t="s">
        <v>37</v>
      </c>
      <c r="I4851" s="2" t="s">
        <v>49</v>
      </c>
      <c r="J4851" s="2" t="s">
        <v>162</v>
      </c>
      <c r="K4851" s="2" t="s">
        <v>495</v>
      </c>
      <c r="L4851" s="13" t="s">
        <v>496</v>
      </c>
      <c r="M4851" s="2" t="s">
        <v>26</v>
      </c>
      <c r="N4851" s="29"/>
      <c r="O4851" s="29"/>
      <c r="P4851" s="5" t="str">
        <f>IFERROR(__xludf.DUMMYFUNCTION("TEXTJOIN("" | "",TRUE,IF(OR(D4851="""",E4851="""",I4851="""",J4851="""",H4851=""""),""ফাঁকা ঘর"",""""),IF(AND(C4851&lt;&gt;"""",D4851&lt;&gt;"""",C4851=D4851),""gloss=figurative"",""""),IF(LEN(D4851)&lt;15,""figurative ছোট"",""""),IF(AND(I4851=""Positive"",REGEXMATCH(H4"&amp;"851,""মূর্খ|ভণ্ড|প্রতার|অলস|লোভ|স্বার্থ|অক্ষম|অযোগ্য|বোকা|কৃপণ|হিংস"")),""valence-target অমিল"",""""),IF(COUNTIF($B:$B,B4851)&gt;1,""ডুপ্লিকেট"",""""))"),"")</f>
        <v/>
      </c>
      <c r="Q4851" s="5" t="str">
        <f t="shared" si="1"/>
        <v>২ পরে</v>
      </c>
    </row>
    <row r="4852">
      <c r="A4852" s="4">
        <v>2688.0</v>
      </c>
      <c r="B4852" s="2" t="s">
        <v>19907</v>
      </c>
      <c r="C4852" s="2" t="s">
        <v>19908</v>
      </c>
      <c r="D4852" s="2" t="s">
        <v>19909</v>
      </c>
      <c r="E4852" s="2" t="s">
        <v>19910</v>
      </c>
      <c r="F4852" s="2" t="b">
        <v>1</v>
      </c>
      <c r="G4852" s="2" t="b">
        <v>0</v>
      </c>
      <c r="H4852" s="2" t="s">
        <v>37</v>
      </c>
      <c r="I4852" s="2" t="s">
        <v>22</v>
      </c>
      <c r="J4852" s="2" t="s">
        <v>19911</v>
      </c>
      <c r="K4852" s="2" t="s">
        <v>495</v>
      </c>
      <c r="L4852" s="13" t="s">
        <v>496</v>
      </c>
      <c r="M4852" s="2" t="s">
        <v>26</v>
      </c>
      <c r="N4852" s="29"/>
      <c r="O4852" s="29"/>
      <c r="P4852" s="5" t="str">
        <f>IFERROR(__xludf.DUMMYFUNCTION("TEXTJOIN("" | "",TRUE,IF(OR(D4852="""",E4852="""",I4852="""",J4852="""",H4852=""""),""ফাঁকা ঘর"",""""),IF(AND(C4852&lt;&gt;"""",D4852&lt;&gt;"""",C4852=D4852),""gloss=figurative"",""""),IF(LEN(D4852)&lt;15,""figurative ছোট"",""""),IF(AND(I4852=""Positive"",REGEXMATCH(H4"&amp;"852,""মূর্খ|ভণ্ড|প্রতার|অলস|লোভ|স্বার্থ|অক্ষম|অযোগ্য|বোকা|কৃপণ|হিংস"")),""valence-target অমিল"",""""),IF(COUNTIF($B:$B,B4852)&gt;1,""ডুপ্লিকেট"",""""))"),"")</f>
        <v/>
      </c>
      <c r="Q4852" s="5" t="str">
        <f t="shared" si="1"/>
        <v>২ পরে</v>
      </c>
    </row>
    <row r="4853">
      <c r="A4853" s="4">
        <v>2689.0</v>
      </c>
      <c r="B4853" s="2" t="s">
        <v>19912</v>
      </c>
      <c r="C4853" s="2" t="s">
        <v>19912</v>
      </c>
      <c r="D4853" s="2" t="s">
        <v>19913</v>
      </c>
      <c r="E4853" s="2" t="s">
        <v>19914</v>
      </c>
      <c r="F4853" s="2" t="b">
        <v>1</v>
      </c>
      <c r="G4853" s="2" t="b">
        <v>0</v>
      </c>
      <c r="H4853" s="2" t="s">
        <v>37</v>
      </c>
      <c r="I4853" s="2" t="s">
        <v>22</v>
      </c>
      <c r="J4853" s="2" t="s">
        <v>669</v>
      </c>
      <c r="K4853" s="2" t="s">
        <v>495</v>
      </c>
      <c r="L4853" s="13" t="s">
        <v>496</v>
      </c>
      <c r="M4853" s="2" t="s">
        <v>26</v>
      </c>
      <c r="N4853" s="29"/>
      <c r="O4853" s="29"/>
      <c r="P4853" s="5" t="str">
        <f>IFERROR(__xludf.DUMMYFUNCTION("TEXTJOIN("" | "",TRUE,IF(OR(D4853="""",E4853="""",I4853="""",J4853="""",H4853=""""),""ফাঁকা ঘর"",""""),IF(AND(C4853&lt;&gt;"""",D4853&lt;&gt;"""",C4853=D4853),""gloss=figurative"",""""),IF(LEN(D4853)&lt;15,""figurative ছোট"",""""),IF(AND(I4853=""Positive"",REGEXMATCH(H4"&amp;"853,""মূর্খ|ভণ্ড|প্রতার|অলস|লোভ|স্বার্থ|অক্ষম|অযোগ্য|বোকা|কৃপণ|হিংস"")),""valence-target অমিল"",""""),IF(COUNTIF($B:$B,B4853)&gt;1,""ডুপ্লিকেট"",""""))"),"")</f>
        <v/>
      </c>
      <c r="Q4853" s="5" t="str">
        <f t="shared" si="1"/>
        <v>২ পরে</v>
      </c>
    </row>
    <row r="4854">
      <c r="A4854" s="4">
        <v>2690.0</v>
      </c>
      <c r="B4854" s="2" t="s">
        <v>19915</v>
      </c>
      <c r="C4854" s="2" t="s">
        <v>19916</v>
      </c>
      <c r="D4854" s="2" t="s">
        <v>19917</v>
      </c>
      <c r="E4854" s="2" t="s">
        <v>19918</v>
      </c>
      <c r="F4854" s="2" t="b">
        <v>1</v>
      </c>
      <c r="G4854" s="2" t="b">
        <v>1</v>
      </c>
      <c r="H4854" s="2" t="s">
        <v>19919</v>
      </c>
      <c r="I4854" s="2" t="s">
        <v>22</v>
      </c>
      <c r="J4854" s="2" t="s">
        <v>16419</v>
      </c>
      <c r="K4854" s="2" t="s">
        <v>495</v>
      </c>
      <c r="L4854" s="13" t="s">
        <v>496</v>
      </c>
      <c r="M4854" s="2" t="s">
        <v>26</v>
      </c>
      <c r="N4854" s="29"/>
      <c r="O4854" s="29"/>
      <c r="P4854" s="5" t="str">
        <f>IFERROR(__xludf.DUMMYFUNCTION("TEXTJOIN("" | "",TRUE,IF(OR(D4854="""",E4854="""",I4854="""",J4854="""",H4854=""""),""ফাঁকা ঘর"",""""),IF(AND(C4854&lt;&gt;"""",D4854&lt;&gt;"""",C4854=D4854),""gloss=figurative"",""""),IF(LEN(D4854)&lt;15,""figurative ছোট"",""""),IF(AND(I4854=""Positive"",REGEXMATCH(H4"&amp;"854,""মূর্খ|ভণ্ড|প্রতার|অলস|লোভ|স্বার্থ|অক্ষম|অযোগ্য|বোকা|কৃপণ|হিংস"")),""valence-target অমিল"",""""),IF(COUNTIF($B:$B,B4854)&gt;1,""ডুপ্লিকেট"",""""))"),"")</f>
        <v/>
      </c>
      <c r="Q4854" s="5" t="str">
        <f t="shared" si="1"/>
        <v>২ পরে</v>
      </c>
    </row>
    <row r="4855">
      <c r="A4855" s="4">
        <v>2691.0</v>
      </c>
      <c r="B4855" s="2" t="s">
        <v>19920</v>
      </c>
      <c r="C4855" s="2" t="s">
        <v>19921</v>
      </c>
      <c r="D4855" s="2" t="s">
        <v>19922</v>
      </c>
      <c r="E4855" s="2" t="s">
        <v>19923</v>
      </c>
      <c r="F4855" s="2" t="b">
        <v>1</v>
      </c>
      <c r="G4855" s="2" t="b">
        <v>0</v>
      </c>
      <c r="H4855" s="2" t="s">
        <v>37</v>
      </c>
      <c r="I4855" s="2" t="s">
        <v>22</v>
      </c>
      <c r="J4855" s="2" t="s">
        <v>820</v>
      </c>
      <c r="K4855" s="2" t="s">
        <v>495</v>
      </c>
      <c r="L4855" s="13" t="s">
        <v>496</v>
      </c>
      <c r="M4855" s="2" t="s">
        <v>26</v>
      </c>
      <c r="N4855" s="29"/>
      <c r="O4855" s="29"/>
      <c r="P4855" s="5" t="str">
        <f>IFERROR(__xludf.DUMMYFUNCTION("TEXTJOIN("" | "",TRUE,IF(OR(D4855="""",E4855="""",I4855="""",J4855="""",H4855=""""),""ফাঁকা ঘর"",""""),IF(AND(C4855&lt;&gt;"""",D4855&lt;&gt;"""",C4855=D4855),""gloss=figurative"",""""),IF(LEN(D4855)&lt;15,""figurative ছোট"",""""),IF(AND(I4855=""Positive"",REGEXMATCH(H4"&amp;"855,""মূর্খ|ভণ্ড|প্রতার|অলস|লোভ|স্বার্থ|অক্ষম|অযোগ্য|বোকা|কৃপণ|হিংস"")),""valence-target অমিল"",""""),IF(COUNTIF($B:$B,B4855)&gt;1,""ডুপ্লিকেট"",""""))"),"")</f>
        <v/>
      </c>
      <c r="Q4855" s="5" t="str">
        <f t="shared" si="1"/>
        <v>২ পরে</v>
      </c>
    </row>
    <row r="4856">
      <c r="A4856" s="4">
        <v>2692.0</v>
      </c>
      <c r="B4856" s="2" t="s">
        <v>19924</v>
      </c>
      <c r="C4856" s="2" t="s">
        <v>19925</v>
      </c>
      <c r="D4856" s="2" t="s">
        <v>19926</v>
      </c>
      <c r="E4856" s="2" t="s">
        <v>19927</v>
      </c>
      <c r="F4856" s="2" t="b">
        <v>1</v>
      </c>
      <c r="G4856" s="2" t="b">
        <v>0</v>
      </c>
      <c r="H4856" s="2" t="s">
        <v>37</v>
      </c>
      <c r="I4856" s="2" t="s">
        <v>49</v>
      </c>
      <c r="J4856" s="2" t="s">
        <v>1060</v>
      </c>
      <c r="K4856" s="2" t="s">
        <v>495</v>
      </c>
      <c r="L4856" s="13" t="s">
        <v>496</v>
      </c>
      <c r="M4856" s="2" t="s">
        <v>26</v>
      </c>
      <c r="N4856" s="29"/>
      <c r="O4856" s="29"/>
      <c r="P4856" s="5" t="str">
        <f>IFERROR(__xludf.DUMMYFUNCTION("TEXTJOIN("" | "",TRUE,IF(OR(D4856="""",E4856="""",I4856="""",J4856="""",H4856=""""),""ফাঁকা ঘর"",""""),IF(AND(C4856&lt;&gt;"""",D4856&lt;&gt;"""",C4856=D4856),""gloss=figurative"",""""),IF(LEN(D4856)&lt;15,""figurative ছোট"",""""),IF(AND(I4856=""Positive"",REGEXMATCH(H4"&amp;"856,""মূর্খ|ভণ্ড|প্রতার|অলস|লোভ|স্বার্থ|অক্ষম|অযোগ্য|বোকা|কৃপণ|হিংস"")),""valence-target অমিল"",""""),IF(COUNTIF($B:$B,B4856)&gt;1,""ডুপ্লিকেট"",""""))"),"")</f>
        <v/>
      </c>
      <c r="Q4856" s="5" t="str">
        <f t="shared" si="1"/>
        <v>২ পরে</v>
      </c>
    </row>
    <row r="4857">
      <c r="A4857" s="4">
        <v>2693.0</v>
      </c>
      <c r="B4857" s="2" t="s">
        <v>19928</v>
      </c>
      <c r="C4857" s="2" t="s">
        <v>19929</v>
      </c>
      <c r="D4857" s="2" t="s">
        <v>19930</v>
      </c>
      <c r="E4857" s="2" t="s">
        <v>19931</v>
      </c>
      <c r="F4857" s="2" t="b">
        <v>1</v>
      </c>
      <c r="G4857" s="2" t="b">
        <v>0</v>
      </c>
      <c r="H4857" s="2" t="s">
        <v>19365</v>
      </c>
      <c r="I4857" s="2" t="s">
        <v>22</v>
      </c>
      <c r="J4857" s="2" t="s">
        <v>1630</v>
      </c>
      <c r="K4857" s="2" t="s">
        <v>495</v>
      </c>
      <c r="L4857" s="13" t="s">
        <v>496</v>
      </c>
      <c r="M4857" s="2" t="s">
        <v>26</v>
      </c>
      <c r="N4857" s="29"/>
      <c r="O4857" s="29"/>
      <c r="P4857" s="5" t="str">
        <f>IFERROR(__xludf.DUMMYFUNCTION("TEXTJOIN("" | "",TRUE,IF(OR(D4857="""",E4857="""",I4857="""",J4857="""",H4857=""""),""ফাঁকা ঘর"",""""),IF(AND(C4857&lt;&gt;"""",D4857&lt;&gt;"""",C4857=D4857),""gloss=figurative"",""""),IF(LEN(D4857)&lt;15,""figurative ছোট"",""""),IF(AND(I4857=""Positive"",REGEXMATCH(H4"&amp;"857,""মূর্খ|ভণ্ড|প্রতার|অলস|লোভ|স্বার্থ|অক্ষম|অযোগ্য|বোকা|কৃপণ|হিংস"")),""valence-target অমিল"",""""),IF(COUNTIF($B:$B,B4857)&gt;1,""ডুপ্লিকেট"",""""))"),"")</f>
        <v/>
      </c>
      <c r="Q4857" s="5" t="str">
        <f t="shared" si="1"/>
        <v>২ পরে</v>
      </c>
    </row>
    <row r="4858">
      <c r="A4858" s="4">
        <v>2694.0</v>
      </c>
      <c r="B4858" s="2" t="s">
        <v>19932</v>
      </c>
      <c r="C4858" s="2" t="s">
        <v>19933</v>
      </c>
      <c r="D4858" s="2" t="s">
        <v>19934</v>
      </c>
      <c r="E4858" s="2" t="s">
        <v>19935</v>
      </c>
      <c r="F4858" s="2" t="b">
        <v>1</v>
      </c>
      <c r="G4858" s="2" t="b">
        <v>0</v>
      </c>
      <c r="H4858" s="2" t="s">
        <v>37</v>
      </c>
      <c r="I4858" s="2" t="s">
        <v>32</v>
      </c>
      <c r="J4858" s="2" t="s">
        <v>2108</v>
      </c>
      <c r="K4858" s="2" t="s">
        <v>495</v>
      </c>
      <c r="L4858" s="13" t="s">
        <v>496</v>
      </c>
      <c r="M4858" s="2" t="s">
        <v>26</v>
      </c>
      <c r="N4858" s="29"/>
      <c r="O4858" s="29"/>
      <c r="P4858" s="5" t="str">
        <f>IFERROR(__xludf.DUMMYFUNCTION("TEXTJOIN("" | "",TRUE,IF(OR(D4858="""",E4858="""",I4858="""",J4858="""",H4858=""""),""ফাঁকা ঘর"",""""),IF(AND(C4858&lt;&gt;"""",D4858&lt;&gt;"""",C4858=D4858),""gloss=figurative"",""""),IF(LEN(D4858)&lt;15,""figurative ছোট"",""""),IF(AND(I4858=""Positive"",REGEXMATCH(H4"&amp;"858,""মূর্খ|ভণ্ড|প্রতার|অলস|লোভ|স্বার্থ|অক্ষম|অযোগ্য|বোকা|কৃপণ|হিংস"")),""valence-target অমিল"",""""),IF(COUNTIF($B:$B,B4858)&gt;1,""ডুপ্লিকেট"",""""))"),"")</f>
        <v/>
      </c>
      <c r="Q4858" s="5" t="str">
        <f t="shared" si="1"/>
        <v>২ পরে</v>
      </c>
    </row>
    <row r="4859">
      <c r="A4859" s="4">
        <v>2695.0</v>
      </c>
      <c r="B4859" s="2" t="s">
        <v>19936</v>
      </c>
      <c r="C4859" s="2" t="s">
        <v>19936</v>
      </c>
      <c r="D4859" s="2" t="s">
        <v>19937</v>
      </c>
      <c r="E4859" s="2" t="s">
        <v>19938</v>
      </c>
      <c r="F4859" s="2" t="b">
        <v>1</v>
      </c>
      <c r="G4859" s="2" t="b">
        <v>0</v>
      </c>
      <c r="H4859" s="2" t="s">
        <v>37</v>
      </c>
      <c r="I4859" s="2" t="s">
        <v>22</v>
      </c>
      <c r="J4859" s="2" t="s">
        <v>2675</v>
      </c>
      <c r="K4859" s="2" t="s">
        <v>495</v>
      </c>
      <c r="L4859" s="13" t="s">
        <v>496</v>
      </c>
      <c r="M4859" s="2" t="s">
        <v>26</v>
      </c>
      <c r="N4859" s="29"/>
      <c r="O4859" s="29"/>
      <c r="P4859" s="5" t="str">
        <f>IFERROR(__xludf.DUMMYFUNCTION("TEXTJOIN("" | "",TRUE,IF(OR(D4859="""",E4859="""",I4859="""",J4859="""",H4859=""""),""ফাঁকা ঘর"",""""),IF(AND(C4859&lt;&gt;"""",D4859&lt;&gt;"""",C4859=D4859),""gloss=figurative"",""""),IF(LEN(D4859)&lt;15,""figurative ছোট"",""""),IF(AND(I4859=""Positive"",REGEXMATCH(H4"&amp;"859,""মূর্খ|ভণ্ড|প্রতার|অলস|লোভ|স্বার্থ|অক্ষম|অযোগ্য|বোকা|কৃপণ|হিংস"")),""valence-target অমিল"",""""),IF(COUNTIF($B:$B,B4859)&gt;1,""ডুপ্লিকেট"",""""))"),"")</f>
        <v/>
      </c>
      <c r="Q4859" s="5" t="str">
        <f t="shared" si="1"/>
        <v>২ পরে</v>
      </c>
    </row>
    <row r="4860">
      <c r="A4860" s="4">
        <v>2696.0</v>
      </c>
      <c r="B4860" s="2" t="s">
        <v>19939</v>
      </c>
      <c r="C4860" s="2" t="s">
        <v>19940</v>
      </c>
      <c r="D4860" s="2" t="s">
        <v>19941</v>
      </c>
      <c r="E4860" s="2" t="s">
        <v>19942</v>
      </c>
      <c r="F4860" s="2" t="b">
        <v>1</v>
      </c>
      <c r="G4860" s="2" t="b">
        <v>0</v>
      </c>
      <c r="H4860" s="2" t="s">
        <v>37</v>
      </c>
      <c r="I4860" s="2" t="s">
        <v>22</v>
      </c>
      <c r="J4860" s="2" t="s">
        <v>19848</v>
      </c>
      <c r="K4860" s="2" t="s">
        <v>495</v>
      </c>
      <c r="L4860" s="13" t="s">
        <v>496</v>
      </c>
      <c r="M4860" s="2" t="s">
        <v>26</v>
      </c>
      <c r="N4860" s="29"/>
      <c r="O4860" s="29"/>
      <c r="P4860" s="5" t="str">
        <f>IFERROR(__xludf.DUMMYFUNCTION("TEXTJOIN("" | "",TRUE,IF(OR(D4860="""",E4860="""",I4860="""",J4860="""",H4860=""""),""ফাঁকা ঘর"",""""),IF(AND(C4860&lt;&gt;"""",D4860&lt;&gt;"""",C4860=D4860),""gloss=figurative"",""""),IF(LEN(D4860)&lt;15,""figurative ছোট"",""""),IF(AND(I4860=""Positive"",REGEXMATCH(H4"&amp;"860,""মূর্খ|ভণ্ড|প্রতার|অলস|লোভ|স্বার্থ|অক্ষম|অযোগ্য|বোকা|কৃপণ|হিংস"")),""valence-target অমিল"",""""),IF(COUNTIF($B:$B,B4860)&gt;1,""ডুপ্লিকেট"",""""))"),"")</f>
        <v/>
      </c>
      <c r="Q4860" s="5" t="str">
        <f t="shared" si="1"/>
        <v>২ পরে</v>
      </c>
    </row>
    <row r="4861">
      <c r="A4861" s="4">
        <v>2697.0</v>
      </c>
      <c r="B4861" s="2" t="s">
        <v>19943</v>
      </c>
      <c r="C4861" s="2" t="s">
        <v>19944</v>
      </c>
      <c r="D4861" s="2" t="s">
        <v>19945</v>
      </c>
      <c r="E4861" s="2" t="s">
        <v>19946</v>
      </c>
      <c r="F4861" s="2" t="b">
        <v>1</v>
      </c>
      <c r="G4861" s="2" t="b">
        <v>1</v>
      </c>
      <c r="H4861" s="2" t="s">
        <v>19947</v>
      </c>
      <c r="I4861" s="2" t="s">
        <v>22</v>
      </c>
      <c r="J4861" s="2" t="s">
        <v>14971</v>
      </c>
      <c r="K4861" s="2" t="s">
        <v>495</v>
      </c>
      <c r="L4861" s="13" t="s">
        <v>496</v>
      </c>
      <c r="M4861" s="2" t="s">
        <v>26</v>
      </c>
      <c r="N4861" s="29"/>
      <c r="O4861" s="29"/>
      <c r="P4861" s="5" t="str">
        <f>IFERROR(__xludf.DUMMYFUNCTION("TEXTJOIN("" | "",TRUE,IF(OR(D4861="""",E4861="""",I4861="""",J4861="""",H4861=""""),""ফাঁকা ঘর"",""""),IF(AND(C4861&lt;&gt;"""",D4861&lt;&gt;"""",C4861=D4861),""gloss=figurative"",""""),IF(LEN(D4861)&lt;15,""figurative ছোট"",""""),IF(AND(I4861=""Positive"",REGEXMATCH(H4"&amp;"861,""মূর্খ|ভণ্ড|প্রতার|অলস|লোভ|স্বার্থ|অক্ষম|অযোগ্য|বোকা|কৃপণ|হিংস"")),""valence-target অমিল"",""""),IF(COUNTIF($B:$B,B4861)&gt;1,""ডুপ্লিকেট"",""""))"),"")</f>
        <v/>
      </c>
      <c r="Q4861" s="5" t="str">
        <f t="shared" si="1"/>
        <v>২ পরে</v>
      </c>
    </row>
    <row r="4862">
      <c r="A4862" s="4">
        <v>2698.0</v>
      </c>
      <c r="B4862" s="2" t="s">
        <v>19948</v>
      </c>
      <c r="C4862" s="2" t="s">
        <v>19948</v>
      </c>
      <c r="D4862" s="2" t="s">
        <v>19949</v>
      </c>
      <c r="E4862" s="2" t="s">
        <v>19950</v>
      </c>
      <c r="F4862" s="2" t="b">
        <v>1</v>
      </c>
      <c r="G4862" s="2" t="b">
        <v>0</v>
      </c>
      <c r="H4862" s="2" t="s">
        <v>37</v>
      </c>
      <c r="I4862" s="2" t="s">
        <v>32</v>
      </c>
      <c r="J4862" s="2" t="s">
        <v>1644</v>
      </c>
      <c r="K4862" s="2" t="s">
        <v>495</v>
      </c>
      <c r="L4862" s="13" t="s">
        <v>496</v>
      </c>
      <c r="M4862" s="2" t="s">
        <v>26</v>
      </c>
      <c r="N4862" s="29"/>
      <c r="O4862" s="29"/>
      <c r="P4862" s="5" t="str">
        <f>IFERROR(__xludf.DUMMYFUNCTION("TEXTJOIN("" | "",TRUE,IF(OR(D4862="""",E4862="""",I4862="""",J4862="""",H4862=""""),""ফাঁকা ঘর"",""""),IF(AND(C4862&lt;&gt;"""",D4862&lt;&gt;"""",C4862=D4862),""gloss=figurative"",""""),IF(LEN(D4862)&lt;15,""figurative ছোট"",""""),IF(AND(I4862=""Positive"",REGEXMATCH(H4"&amp;"862,""মূর্খ|ভণ্ড|প্রতার|অলস|লোভ|স্বার্থ|অক্ষম|অযোগ্য|বোকা|কৃপণ|হিংস"")),""valence-target অমিল"",""""),IF(COUNTIF($B:$B,B4862)&gt;1,""ডুপ্লিকেট"",""""))"),"")</f>
        <v/>
      </c>
      <c r="Q4862" s="5" t="str">
        <f t="shared" si="1"/>
        <v>২ পরে</v>
      </c>
    </row>
    <row r="4863">
      <c r="A4863" s="4">
        <v>2699.0</v>
      </c>
      <c r="B4863" s="2" t="s">
        <v>19951</v>
      </c>
      <c r="C4863" s="2" t="s">
        <v>19951</v>
      </c>
      <c r="D4863" s="2" t="s">
        <v>19952</v>
      </c>
      <c r="E4863" s="2" t="s">
        <v>19953</v>
      </c>
      <c r="F4863" s="2" t="b">
        <v>1</v>
      </c>
      <c r="G4863" s="2" t="b">
        <v>0</v>
      </c>
      <c r="H4863" s="2" t="s">
        <v>37</v>
      </c>
      <c r="I4863" s="2" t="s">
        <v>22</v>
      </c>
      <c r="J4863" s="2" t="s">
        <v>8648</v>
      </c>
      <c r="K4863" s="2" t="s">
        <v>495</v>
      </c>
      <c r="L4863" s="13" t="s">
        <v>496</v>
      </c>
      <c r="M4863" s="2" t="s">
        <v>26</v>
      </c>
      <c r="N4863" s="29"/>
      <c r="O4863" s="29"/>
      <c r="P4863" s="5" t="str">
        <f>IFERROR(__xludf.DUMMYFUNCTION("TEXTJOIN("" | "",TRUE,IF(OR(D4863="""",E4863="""",I4863="""",J4863="""",H4863=""""),""ফাঁকা ঘর"",""""),IF(AND(C4863&lt;&gt;"""",D4863&lt;&gt;"""",C4863=D4863),""gloss=figurative"",""""),IF(LEN(D4863)&lt;15,""figurative ছোট"",""""),IF(AND(I4863=""Positive"",REGEXMATCH(H4"&amp;"863,""মূর্খ|ভণ্ড|প্রতার|অলস|লোভ|স্বার্থ|অক্ষম|অযোগ্য|বোকা|কৃপণ|হিংস"")),""valence-target অমিল"",""""),IF(COUNTIF($B:$B,B4863)&gt;1,""ডুপ্লিকেট"",""""))"),"")</f>
        <v/>
      </c>
      <c r="Q4863" s="5" t="str">
        <f t="shared" si="1"/>
        <v>২ পরে</v>
      </c>
    </row>
    <row r="4864">
      <c r="A4864" s="4">
        <v>2700.0</v>
      </c>
      <c r="B4864" s="2" t="s">
        <v>19954</v>
      </c>
      <c r="C4864" s="2" t="s">
        <v>19955</v>
      </c>
      <c r="D4864" s="2" t="s">
        <v>19956</v>
      </c>
      <c r="E4864" s="2" t="s">
        <v>19957</v>
      </c>
      <c r="F4864" s="2" t="b">
        <v>1</v>
      </c>
      <c r="G4864" s="2" t="b">
        <v>0</v>
      </c>
      <c r="H4864" s="2" t="s">
        <v>37</v>
      </c>
      <c r="I4864" s="2" t="s">
        <v>49</v>
      </c>
      <c r="J4864" s="2" t="s">
        <v>1008</v>
      </c>
      <c r="K4864" s="2" t="s">
        <v>495</v>
      </c>
      <c r="L4864" s="13" t="s">
        <v>496</v>
      </c>
      <c r="M4864" s="2" t="s">
        <v>26</v>
      </c>
      <c r="N4864" s="29"/>
      <c r="O4864" s="29"/>
      <c r="P4864" s="5" t="str">
        <f>IFERROR(__xludf.DUMMYFUNCTION("TEXTJOIN("" | "",TRUE,IF(OR(D4864="""",E4864="""",I4864="""",J4864="""",H4864=""""),""ফাঁকা ঘর"",""""),IF(AND(C4864&lt;&gt;"""",D4864&lt;&gt;"""",C4864=D4864),""gloss=figurative"",""""),IF(LEN(D4864)&lt;15,""figurative ছোট"",""""),IF(AND(I4864=""Positive"",REGEXMATCH(H4"&amp;"864,""মূর্খ|ভণ্ড|প্রতার|অলস|লোভ|স্বার্থ|অক্ষম|অযোগ্য|বোকা|কৃপণ|হিংস"")),""valence-target অমিল"",""""),IF(COUNTIF($B:$B,B4864)&gt;1,""ডুপ্লিকেট"",""""))"),"")</f>
        <v/>
      </c>
      <c r="Q4864" s="5" t="str">
        <f t="shared" si="1"/>
        <v>২ পরে</v>
      </c>
    </row>
    <row r="4865">
      <c r="A4865" s="4">
        <v>2701.0</v>
      </c>
      <c r="B4865" s="2" t="s">
        <v>19958</v>
      </c>
      <c r="C4865" s="2" t="s">
        <v>19958</v>
      </c>
      <c r="D4865" s="2" t="s">
        <v>19959</v>
      </c>
      <c r="E4865" s="2" t="s">
        <v>19960</v>
      </c>
      <c r="F4865" s="2" t="b">
        <v>1</v>
      </c>
      <c r="G4865" s="2" t="b">
        <v>0</v>
      </c>
      <c r="H4865" s="2" t="s">
        <v>37</v>
      </c>
      <c r="I4865" s="2" t="s">
        <v>32</v>
      </c>
      <c r="J4865" s="2" t="s">
        <v>1111</v>
      </c>
      <c r="K4865" s="2" t="s">
        <v>495</v>
      </c>
      <c r="L4865" s="13" t="s">
        <v>496</v>
      </c>
      <c r="M4865" s="2" t="s">
        <v>26</v>
      </c>
      <c r="N4865" s="29"/>
      <c r="O4865" s="29"/>
      <c r="P4865" s="5" t="str">
        <f>IFERROR(__xludf.DUMMYFUNCTION("TEXTJOIN("" | "",TRUE,IF(OR(D4865="""",E4865="""",I4865="""",J4865="""",H4865=""""),""ফাঁকা ঘর"",""""),IF(AND(C4865&lt;&gt;"""",D4865&lt;&gt;"""",C4865=D4865),""gloss=figurative"",""""),IF(LEN(D4865)&lt;15,""figurative ছোট"",""""),IF(AND(I4865=""Positive"",REGEXMATCH(H4"&amp;"865,""মূর্খ|ভণ্ড|প্রতার|অলস|লোভ|স্বার্থ|অক্ষম|অযোগ্য|বোকা|কৃপণ|হিংস"")),""valence-target অমিল"",""""),IF(COUNTIF($B:$B,B4865)&gt;1,""ডুপ্লিকেট"",""""))"),"")</f>
        <v/>
      </c>
      <c r="Q4865" s="5" t="str">
        <f t="shared" si="1"/>
        <v>২ পরে</v>
      </c>
    </row>
    <row r="4866">
      <c r="A4866" s="4">
        <v>2702.0</v>
      </c>
      <c r="B4866" s="2" t="s">
        <v>19961</v>
      </c>
      <c r="C4866" s="2" t="s">
        <v>19961</v>
      </c>
      <c r="D4866" s="2" t="s">
        <v>19962</v>
      </c>
      <c r="E4866" s="2" t="s">
        <v>19963</v>
      </c>
      <c r="F4866" s="2" t="b">
        <v>1</v>
      </c>
      <c r="G4866" s="2" t="b">
        <v>0</v>
      </c>
      <c r="H4866" s="2" t="s">
        <v>37</v>
      </c>
      <c r="I4866" s="2" t="s">
        <v>32</v>
      </c>
      <c r="J4866" s="2" t="s">
        <v>4711</v>
      </c>
      <c r="K4866" s="2" t="s">
        <v>495</v>
      </c>
      <c r="L4866" s="13" t="s">
        <v>496</v>
      </c>
      <c r="M4866" s="2" t="s">
        <v>26</v>
      </c>
      <c r="N4866" s="29"/>
      <c r="O4866" s="29"/>
      <c r="P4866" s="5" t="str">
        <f>IFERROR(__xludf.DUMMYFUNCTION("TEXTJOIN("" | "",TRUE,IF(OR(D4866="""",E4866="""",I4866="""",J4866="""",H4866=""""),""ফাঁকা ঘর"",""""),IF(AND(C4866&lt;&gt;"""",D4866&lt;&gt;"""",C4866=D4866),""gloss=figurative"",""""),IF(LEN(D4866)&lt;15,""figurative ছোট"",""""),IF(AND(I4866=""Positive"",REGEXMATCH(H4"&amp;"866,""মূর্খ|ভণ্ড|প্রতার|অলস|লোভ|স্বার্থ|অক্ষম|অযোগ্য|বোকা|কৃপণ|হিংস"")),""valence-target অমিল"",""""),IF(COUNTIF($B:$B,B4866)&gt;1,""ডুপ্লিকেট"",""""))"),"")</f>
        <v/>
      </c>
      <c r="Q4866" s="5" t="str">
        <f t="shared" si="1"/>
        <v>২ পরে</v>
      </c>
    </row>
    <row r="4867">
      <c r="A4867" s="4">
        <v>2703.0</v>
      </c>
      <c r="B4867" s="2" t="s">
        <v>19964</v>
      </c>
      <c r="C4867" s="2" t="s">
        <v>19965</v>
      </c>
      <c r="D4867" s="2" t="s">
        <v>19966</v>
      </c>
      <c r="E4867" s="2" t="s">
        <v>19967</v>
      </c>
      <c r="F4867" s="2" t="b">
        <v>1</v>
      </c>
      <c r="G4867" s="2" t="b">
        <v>0</v>
      </c>
      <c r="H4867" s="2" t="s">
        <v>37</v>
      </c>
      <c r="I4867" s="2" t="s">
        <v>22</v>
      </c>
      <c r="J4867" s="2" t="s">
        <v>565</v>
      </c>
      <c r="K4867" s="2" t="s">
        <v>495</v>
      </c>
      <c r="L4867" s="13" t="s">
        <v>496</v>
      </c>
      <c r="M4867" s="2" t="s">
        <v>26</v>
      </c>
      <c r="N4867" s="29"/>
      <c r="O4867" s="29"/>
      <c r="P4867" s="5" t="str">
        <f>IFERROR(__xludf.DUMMYFUNCTION("TEXTJOIN("" | "",TRUE,IF(OR(D4867="""",E4867="""",I4867="""",J4867="""",H4867=""""),""ফাঁকা ঘর"",""""),IF(AND(C4867&lt;&gt;"""",D4867&lt;&gt;"""",C4867=D4867),""gloss=figurative"",""""),IF(LEN(D4867)&lt;15,""figurative ছোট"",""""),IF(AND(I4867=""Positive"",REGEXMATCH(H4"&amp;"867,""মূর্খ|ভণ্ড|প্রতার|অলস|লোভ|স্বার্থ|অক্ষম|অযোগ্য|বোকা|কৃপণ|হিংস"")),""valence-target অমিল"",""""),IF(COUNTIF($B:$B,B4867)&gt;1,""ডুপ্লিকেট"",""""))"),"")</f>
        <v/>
      </c>
      <c r="Q4867" s="5" t="str">
        <f t="shared" si="1"/>
        <v>২ পরে</v>
      </c>
    </row>
    <row r="4868">
      <c r="A4868" s="4">
        <v>2704.0</v>
      </c>
      <c r="B4868" s="2" t="s">
        <v>19968</v>
      </c>
      <c r="C4868" s="2" t="s">
        <v>19969</v>
      </c>
      <c r="D4868" s="2" t="s">
        <v>19970</v>
      </c>
      <c r="E4868" s="2" t="s">
        <v>19971</v>
      </c>
      <c r="F4868" s="2" t="b">
        <v>1</v>
      </c>
      <c r="G4868" s="2" t="b">
        <v>0</v>
      </c>
      <c r="H4868" s="2" t="s">
        <v>756</v>
      </c>
      <c r="I4868" s="2" t="s">
        <v>22</v>
      </c>
      <c r="J4868" s="2" t="s">
        <v>1630</v>
      </c>
      <c r="K4868" s="2" t="s">
        <v>495</v>
      </c>
      <c r="L4868" s="13" t="s">
        <v>496</v>
      </c>
      <c r="M4868" s="2" t="s">
        <v>26</v>
      </c>
      <c r="N4868" s="29"/>
      <c r="O4868" s="29"/>
      <c r="P4868" s="5" t="str">
        <f>IFERROR(__xludf.DUMMYFUNCTION("TEXTJOIN("" | "",TRUE,IF(OR(D4868="""",E4868="""",I4868="""",J4868="""",H4868=""""),""ফাঁকা ঘর"",""""),IF(AND(C4868&lt;&gt;"""",D4868&lt;&gt;"""",C4868=D4868),""gloss=figurative"",""""),IF(LEN(D4868)&lt;15,""figurative ছোট"",""""),IF(AND(I4868=""Positive"",REGEXMATCH(H4"&amp;"868,""মূর্খ|ভণ্ড|প্রতার|অলস|লোভ|স্বার্থ|অক্ষম|অযোগ্য|বোকা|কৃপণ|হিংস"")),""valence-target অমিল"",""""),IF(COUNTIF($B:$B,B4868)&gt;1,""ডুপ্লিকেট"",""""))"),"")</f>
        <v/>
      </c>
      <c r="Q4868" s="5" t="str">
        <f t="shared" si="1"/>
        <v>২ পরে</v>
      </c>
    </row>
    <row r="4869">
      <c r="A4869" s="4">
        <v>2705.0</v>
      </c>
      <c r="B4869" s="2" t="s">
        <v>19972</v>
      </c>
      <c r="C4869" s="2" t="s">
        <v>19973</v>
      </c>
      <c r="D4869" s="2" t="s">
        <v>19974</v>
      </c>
      <c r="E4869" s="2" t="s">
        <v>19975</v>
      </c>
      <c r="F4869" s="2" t="b">
        <v>1</v>
      </c>
      <c r="G4869" s="2" t="b">
        <v>0</v>
      </c>
      <c r="H4869" s="2" t="s">
        <v>37</v>
      </c>
      <c r="I4869" s="2" t="s">
        <v>49</v>
      </c>
      <c r="J4869" s="2" t="s">
        <v>581</v>
      </c>
      <c r="K4869" s="2" t="s">
        <v>495</v>
      </c>
      <c r="L4869" s="13" t="s">
        <v>496</v>
      </c>
      <c r="M4869" s="2" t="s">
        <v>26</v>
      </c>
      <c r="N4869" s="29"/>
      <c r="O4869" s="29"/>
      <c r="P4869" s="5" t="str">
        <f>IFERROR(__xludf.DUMMYFUNCTION("TEXTJOIN("" | "",TRUE,IF(OR(D4869="""",E4869="""",I4869="""",J4869="""",H4869=""""),""ফাঁকা ঘর"",""""),IF(AND(C4869&lt;&gt;"""",D4869&lt;&gt;"""",C4869=D4869),""gloss=figurative"",""""),IF(LEN(D4869)&lt;15,""figurative ছোট"",""""),IF(AND(I4869=""Positive"",REGEXMATCH(H4"&amp;"869,""মূর্খ|ভণ্ড|প্রতার|অলস|লোভ|স্বার্থ|অক্ষম|অযোগ্য|বোকা|কৃপণ|হিংস"")),""valence-target অমিল"",""""),IF(COUNTIF($B:$B,B4869)&gt;1,""ডুপ্লিকেট"",""""))"),"")</f>
        <v/>
      </c>
      <c r="Q4869" s="5" t="str">
        <f t="shared" si="1"/>
        <v>২ পরে</v>
      </c>
    </row>
    <row r="4870">
      <c r="A4870" s="4">
        <v>2706.0</v>
      </c>
      <c r="B4870" s="2" t="s">
        <v>19976</v>
      </c>
      <c r="C4870" s="2" t="s">
        <v>19977</v>
      </c>
      <c r="D4870" s="2" t="s">
        <v>19978</v>
      </c>
      <c r="E4870" s="2" t="s">
        <v>19979</v>
      </c>
      <c r="F4870" s="2" t="b">
        <v>1</v>
      </c>
      <c r="G4870" s="2" t="b">
        <v>0</v>
      </c>
      <c r="H4870" s="2" t="s">
        <v>37</v>
      </c>
      <c r="I4870" s="2" t="s">
        <v>32</v>
      </c>
      <c r="J4870" s="2" t="s">
        <v>300</v>
      </c>
      <c r="K4870" s="2" t="s">
        <v>495</v>
      </c>
      <c r="L4870" s="13" t="s">
        <v>496</v>
      </c>
      <c r="M4870" s="2" t="s">
        <v>26</v>
      </c>
      <c r="N4870" s="29"/>
      <c r="O4870" s="29"/>
      <c r="P4870" s="5" t="str">
        <f>IFERROR(__xludf.DUMMYFUNCTION("TEXTJOIN("" | "",TRUE,IF(OR(D4870="""",E4870="""",I4870="""",J4870="""",H4870=""""),""ফাঁকা ঘর"",""""),IF(AND(C4870&lt;&gt;"""",D4870&lt;&gt;"""",C4870=D4870),""gloss=figurative"",""""),IF(LEN(D4870)&lt;15,""figurative ছোট"",""""),IF(AND(I4870=""Positive"",REGEXMATCH(H4"&amp;"870,""মূর্খ|ভণ্ড|প্রতার|অলস|লোভ|স্বার্থ|অক্ষম|অযোগ্য|বোকা|কৃপণ|হিংস"")),""valence-target অমিল"",""""),IF(COUNTIF($B:$B,B4870)&gt;1,""ডুপ্লিকেট"",""""))"),"")</f>
        <v/>
      </c>
      <c r="Q4870" s="5" t="str">
        <f t="shared" si="1"/>
        <v>২ পরে</v>
      </c>
    </row>
    <row r="4871">
      <c r="A4871" s="4">
        <v>2707.0</v>
      </c>
      <c r="B4871" s="2" t="s">
        <v>19980</v>
      </c>
      <c r="C4871" s="2" t="s">
        <v>19981</v>
      </c>
      <c r="D4871" s="2" t="s">
        <v>19982</v>
      </c>
      <c r="E4871" s="2" t="s">
        <v>19983</v>
      </c>
      <c r="F4871" s="2" t="b">
        <v>1</v>
      </c>
      <c r="G4871" s="2" t="b">
        <v>0</v>
      </c>
      <c r="H4871" s="2" t="s">
        <v>37</v>
      </c>
      <c r="I4871" s="2" t="s">
        <v>32</v>
      </c>
      <c r="J4871" s="2" t="s">
        <v>424</v>
      </c>
      <c r="K4871" s="2" t="s">
        <v>495</v>
      </c>
      <c r="L4871" s="13" t="s">
        <v>496</v>
      </c>
      <c r="M4871" s="2" t="s">
        <v>26</v>
      </c>
      <c r="N4871" s="29"/>
      <c r="O4871" s="29"/>
      <c r="P4871" s="5" t="str">
        <f>IFERROR(__xludf.DUMMYFUNCTION("TEXTJOIN("" | "",TRUE,IF(OR(D4871="""",E4871="""",I4871="""",J4871="""",H4871=""""),""ফাঁকা ঘর"",""""),IF(AND(C4871&lt;&gt;"""",D4871&lt;&gt;"""",C4871=D4871),""gloss=figurative"",""""),IF(LEN(D4871)&lt;15,""figurative ছোট"",""""),IF(AND(I4871=""Positive"",REGEXMATCH(H4"&amp;"871,""মূর্খ|ভণ্ড|প্রতার|অলস|লোভ|স্বার্থ|অক্ষম|অযোগ্য|বোকা|কৃপণ|হিংস"")),""valence-target অমিল"",""""),IF(COUNTIF($B:$B,B4871)&gt;1,""ডুপ্লিকেট"",""""))"),"")</f>
        <v/>
      </c>
      <c r="Q4871" s="5" t="str">
        <f t="shared" si="1"/>
        <v>২ পরে</v>
      </c>
    </row>
    <row r="4872">
      <c r="A4872" s="4">
        <v>2708.0</v>
      </c>
      <c r="B4872" s="2" t="s">
        <v>19984</v>
      </c>
      <c r="C4872" s="2" t="s">
        <v>19985</v>
      </c>
      <c r="D4872" s="2" t="s">
        <v>19986</v>
      </c>
      <c r="E4872" s="2" t="s">
        <v>19987</v>
      </c>
      <c r="F4872" s="2" t="b">
        <v>1</v>
      </c>
      <c r="G4872" s="2" t="b">
        <v>0</v>
      </c>
      <c r="H4872" s="2" t="s">
        <v>37</v>
      </c>
      <c r="I4872" s="2" t="s">
        <v>32</v>
      </c>
      <c r="J4872" s="2" t="s">
        <v>2732</v>
      </c>
      <c r="K4872" s="2" t="s">
        <v>495</v>
      </c>
      <c r="L4872" s="13" t="s">
        <v>496</v>
      </c>
      <c r="M4872" s="2" t="s">
        <v>26</v>
      </c>
      <c r="N4872" s="29"/>
      <c r="O4872" s="29"/>
      <c r="P4872" s="5" t="str">
        <f>IFERROR(__xludf.DUMMYFUNCTION("TEXTJOIN("" | "",TRUE,IF(OR(D4872="""",E4872="""",I4872="""",J4872="""",H4872=""""),""ফাঁকা ঘর"",""""),IF(AND(C4872&lt;&gt;"""",D4872&lt;&gt;"""",C4872=D4872),""gloss=figurative"",""""),IF(LEN(D4872)&lt;15,""figurative ছোট"",""""),IF(AND(I4872=""Positive"",REGEXMATCH(H4"&amp;"872,""মূর্খ|ভণ্ড|প্রতার|অলস|লোভ|স্বার্থ|অক্ষম|অযোগ্য|বোকা|কৃপণ|হিংস"")),""valence-target অমিল"",""""),IF(COUNTIF($B:$B,B4872)&gt;1,""ডুপ্লিকেট"",""""))"),"")</f>
        <v/>
      </c>
      <c r="Q4872" s="5" t="str">
        <f t="shared" si="1"/>
        <v>২ পরে</v>
      </c>
    </row>
    <row r="4873">
      <c r="A4873" s="4">
        <v>2709.0</v>
      </c>
      <c r="B4873" s="2" t="s">
        <v>19988</v>
      </c>
      <c r="C4873" s="2" t="s">
        <v>19989</v>
      </c>
      <c r="D4873" s="2" t="s">
        <v>19990</v>
      </c>
      <c r="E4873" s="2" t="s">
        <v>19991</v>
      </c>
      <c r="F4873" s="2" t="b">
        <v>1</v>
      </c>
      <c r="G4873" s="2" t="b">
        <v>0</v>
      </c>
      <c r="H4873" s="2" t="s">
        <v>37</v>
      </c>
      <c r="I4873" s="2" t="s">
        <v>22</v>
      </c>
      <c r="J4873" s="2" t="s">
        <v>3156</v>
      </c>
      <c r="K4873" s="2" t="s">
        <v>495</v>
      </c>
      <c r="L4873" s="13" t="s">
        <v>496</v>
      </c>
      <c r="M4873" s="2" t="s">
        <v>26</v>
      </c>
      <c r="N4873" s="29"/>
      <c r="O4873" s="29"/>
      <c r="P4873" s="5" t="str">
        <f>IFERROR(__xludf.DUMMYFUNCTION("TEXTJOIN("" | "",TRUE,IF(OR(D4873="""",E4873="""",I4873="""",J4873="""",H4873=""""),""ফাঁকা ঘর"",""""),IF(AND(C4873&lt;&gt;"""",D4873&lt;&gt;"""",C4873=D4873),""gloss=figurative"",""""),IF(LEN(D4873)&lt;15,""figurative ছোট"",""""),IF(AND(I4873=""Positive"",REGEXMATCH(H4"&amp;"873,""মূর্খ|ভণ্ড|প্রতার|অলস|লোভ|স্বার্থ|অক্ষম|অযোগ্য|বোকা|কৃপণ|হিংস"")),""valence-target অমিল"",""""),IF(COUNTIF($B:$B,B4873)&gt;1,""ডুপ্লিকেট"",""""))"),"")</f>
        <v/>
      </c>
      <c r="Q4873" s="5" t="str">
        <f t="shared" si="1"/>
        <v>২ পরে</v>
      </c>
    </row>
    <row r="4874">
      <c r="A4874" s="4">
        <v>2710.0</v>
      </c>
      <c r="B4874" s="2" t="s">
        <v>19992</v>
      </c>
      <c r="C4874" s="2" t="s">
        <v>19993</v>
      </c>
      <c r="D4874" s="2" t="s">
        <v>19994</v>
      </c>
      <c r="E4874" s="2" t="s">
        <v>19995</v>
      </c>
      <c r="F4874" s="2" t="b">
        <v>1</v>
      </c>
      <c r="G4874" s="2" t="b">
        <v>0</v>
      </c>
      <c r="H4874" s="2" t="s">
        <v>37</v>
      </c>
      <c r="I4874" s="2" t="s">
        <v>49</v>
      </c>
      <c r="J4874" s="2" t="s">
        <v>2742</v>
      </c>
      <c r="K4874" s="2" t="s">
        <v>495</v>
      </c>
      <c r="L4874" s="13" t="s">
        <v>496</v>
      </c>
      <c r="M4874" s="2" t="s">
        <v>26</v>
      </c>
      <c r="N4874" s="29"/>
      <c r="O4874" s="29"/>
      <c r="P4874" s="5" t="str">
        <f>IFERROR(__xludf.DUMMYFUNCTION("TEXTJOIN("" | "",TRUE,IF(OR(D4874="""",E4874="""",I4874="""",J4874="""",H4874=""""),""ফাঁকা ঘর"",""""),IF(AND(C4874&lt;&gt;"""",D4874&lt;&gt;"""",C4874=D4874),""gloss=figurative"",""""),IF(LEN(D4874)&lt;15,""figurative ছোট"",""""),IF(AND(I4874=""Positive"",REGEXMATCH(H4"&amp;"874,""মূর্খ|ভণ্ড|প্রতার|অলস|লোভ|স্বার্থ|অক্ষম|অযোগ্য|বোকা|কৃপণ|হিংস"")),""valence-target অমিল"",""""),IF(COUNTIF($B:$B,B4874)&gt;1,""ডুপ্লিকেট"",""""))"),"")</f>
        <v/>
      </c>
      <c r="Q4874" s="5" t="str">
        <f t="shared" si="1"/>
        <v>২ পরে</v>
      </c>
    </row>
    <row r="4875">
      <c r="A4875" s="4">
        <v>2711.0</v>
      </c>
      <c r="B4875" s="2" t="s">
        <v>19996</v>
      </c>
      <c r="C4875" s="2" t="s">
        <v>19997</v>
      </c>
      <c r="D4875" s="2" t="s">
        <v>19998</v>
      </c>
      <c r="E4875" s="2" t="s">
        <v>19999</v>
      </c>
      <c r="F4875" s="2" t="b">
        <v>1</v>
      </c>
      <c r="G4875" s="2" t="b">
        <v>0</v>
      </c>
      <c r="H4875" s="2" t="s">
        <v>37</v>
      </c>
      <c r="I4875" s="2" t="s">
        <v>32</v>
      </c>
      <c r="J4875" s="2" t="s">
        <v>636</v>
      </c>
      <c r="K4875" s="2" t="s">
        <v>495</v>
      </c>
      <c r="L4875" s="13" t="s">
        <v>496</v>
      </c>
      <c r="M4875" s="2" t="s">
        <v>26</v>
      </c>
      <c r="N4875" s="29"/>
      <c r="O4875" s="29"/>
      <c r="P4875" s="5" t="str">
        <f>IFERROR(__xludf.DUMMYFUNCTION("TEXTJOIN("" | "",TRUE,IF(OR(D4875="""",E4875="""",I4875="""",J4875="""",H4875=""""),""ফাঁকা ঘর"",""""),IF(AND(C4875&lt;&gt;"""",D4875&lt;&gt;"""",C4875=D4875),""gloss=figurative"",""""),IF(LEN(D4875)&lt;15,""figurative ছোট"",""""),IF(AND(I4875=""Positive"",REGEXMATCH(H4"&amp;"875,""মূর্খ|ভণ্ড|প্রতার|অলস|লোভ|স্বার্থ|অক্ষম|অযোগ্য|বোকা|কৃপণ|হিংস"")),""valence-target অমিল"",""""),IF(COUNTIF($B:$B,B4875)&gt;1,""ডুপ্লিকেট"",""""))"),"")</f>
        <v/>
      </c>
      <c r="Q4875" s="5" t="str">
        <f t="shared" si="1"/>
        <v>২ পরে</v>
      </c>
    </row>
    <row r="4876">
      <c r="A4876" s="4">
        <v>2712.0</v>
      </c>
      <c r="B4876" s="2" t="s">
        <v>20000</v>
      </c>
      <c r="C4876" s="2" t="s">
        <v>20001</v>
      </c>
      <c r="D4876" s="2" t="s">
        <v>20002</v>
      </c>
      <c r="E4876" s="2" t="s">
        <v>20003</v>
      </c>
      <c r="F4876" s="2" t="b">
        <v>1</v>
      </c>
      <c r="G4876" s="2" t="b">
        <v>0</v>
      </c>
      <c r="H4876" s="2" t="s">
        <v>37</v>
      </c>
      <c r="I4876" s="2" t="s">
        <v>32</v>
      </c>
      <c r="J4876" s="2" t="s">
        <v>2835</v>
      </c>
      <c r="K4876" s="2" t="s">
        <v>495</v>
      </c>
      <c r="L4876" s="13" t="s">
        <v>496</v>
      </c>
      <c r="M4876" s="2" t="s">
        <v>26</v>
      </c>
      <c r="N4876" s="29"/>
      <c r="O4876" s="29"/>
      <c r="P4876" s="5" t="str">
        <f>IFERROR(__xludf.DUMMYFUNCTION("TEXTJOIN("" | "",TRUE,IF(OR(D4876="""",E4876="""",I4876="""",J4876="""",H4876=""""),""ফাঁকা ঘর"",""""),IF(AND(C4876&lt;&gt;"""",D4876&lt;&gt;"""",C4876=D4876),""gloss=figurative"",""""),IF(LEN(D4876)&lt;15,""figurative ছোট"",""""),IF(AND(I4876=""Positive"",REGEXMATCH(H4"&amp;"876,""মূর্খ|ভণ্ড|প্রতার|অলস|লোভ|স্বার্থ|অক্ষম|অযোগ্য|বোকা|কৃপণ|হিংস"")),""valence-target অমিল"",""""),IF(COUNTIF($B:$B,B4876)&gt;1,""ডুপ্লিকেট"",""""))"),"")</f>
        <v/>
      </c>
      <c r="Q4876" s="5" t="str">
        <f t="shared" si="1"/>
        <v>২ পরে</v>
      </c>
    </row>
    <row r="4877">
      <c r="A4877" s="4">
        <v>2713.0</v>
      </c>
      <c r="B4877" s="2" t="s">
        <v>20004</v>
      </c>
      <c r="C4877" s="2" t="s">
        <v>20005</v>
      </c>
      <c r="D4877" s="2" t="s">
        <v>20006</v>
      </c>
      <c r="E4877" s="2" t="s">
        <v>20007</v>
      </c>
      <c r="F4877" s="2" t="b">
        <v>1</v>
      </c>
      <c r="G4877" s="2" t="b">
        <v>0</v>
      </c>
      <c r="H4877" s="2" t="s">
        <v>37</v>
      </c>
      <c r="I4877" s="2" t="s">
        <v>32</v>
      </c>
      <c r="J4877" s="2" t="s">
        <v>4103</v>
      </c>
      <c r="K4877" s="2" t="s">
        <v>495</v>
      </c>
      <c r="L4877" s="13" t="s">
        <v>496</v>
      </c>
      <c r="M4877" s="2" t="s">
        <v>26</v>
      </c>
      <c r="N4877" s="29"/>
      <c r="O4877" s="29"/>
      <c r="P4877" s="5" t="str">
        <f>IFERROR(__xludf.DUMMYFUNCTION("TEXTJOIN("" | "",TRUE,IF(OR(D4877="""",E4877="""",I4877="""",J4877="""",H4877=""""),""ফাঁকা ঘর"",""""),IF(AND(C4877&lt;&gt;"""",D4877&lt;&gt;"""",C4877=D4877),""gloss=figurative"",""""),IF(LEN(D4877)&lt;15,""figurative ছোট"",""""),IF(AND(I4877=""Positive"",REGEXMATCH(H4"&amp;"877,""মূর্খ|ভণ্ড|প্রতার|অলস|লোভ|স্বার্থ|অক্ষম|অযোগ্য|বোকা|কৃপণ|হিংস"")),""valence-target অমিল"",""""),IF(COUNTIF($B:$B,B4877)&gt;1,""ডুপ্লিকেট"",""""))"),"")</f>
        <v/>
      </c>
      <c r="Q4877" s="5" t="str">
        <f t="shared" si="1"/>
        <v>২ পরে</v>
      </c>
    </row>
    <row r="4878">
      <c r="A4878" s="4">
        <v>2715.0</v>
      </c>
      <c r="B4878" s="2" t="s">
        <v>20008</v>
      </c>
      <c r="C4878" s="2" t="s">
        <v>20009</v>
      </c>
      <c r="D4878" s="2" t="s">
        <v>20010</v>
      </c>
      <c r="E4878" s="2" t="s">
        <v>20011</v>
      </c>
      <c r="F4878" s="2" t="b">
        <v>1</v>
      </c>
      <c r="G4878" s="2" t="b">
        <v>0</v>
      </c>
      <c r="H4878" s="2" t="s">
        <v>37</v>
      </c>
      <c r="I4878" s="2" t="s">
        <v>32</v>
      </c>
      <c r="J4878" s="2" t="s">
        <v>660</v>
      </c>
      <c r="K4878" s="2" t="s">
        <v>495</v>
      </c>
      <c r="L4878" s="13" t="s">
        <v>496</v>
      </c>
      <c r="M4878" s="2" t="s">
        <v>26</v>
      </c>
      <c r="N4878" s="29"/>
      <c r="O4878" s="29"/>
      <c r="P4878" s="5" t="str">
        <f>IFERROR(__xludf.DUMMYFUNCTION("TEXTJOIN("" | "",TRUE,IF(OR(D4878="""",E4878="""",I4878="""",J4878="""",H4878=""""),""ফাঁকা ঘর"",""""),IF(AND(C4878&lt;&gt;"""",D4878&lt;&gt;"""",C4878=D4878),""gloss=figurative"",""""),IF(LEN(D4878)&lt;15,""figurative ছোট"",""""),IF(AND(I4878=""Positive"",REGEXMATCH(H4"&amp;"878,""মূর্খ|ভণ্ড|প্রতার|অলস|লোভ|স্বার্থ|অক্ষম|অযোগ্য|বোকা|কৃপণ|হিংস"")),""valence-target অমিল"",""""),IF(COUNTIF($B:$B,B4878)&gt;1,""ডুপ্লিকেট"",""""))"),"")</f>
        <v/>
      </c>
      <c r="Q4878" s="5" t="str">
        <f t="shared" si="1"/>
        <v>২ পরে</v>
      </c>
    </row>
    <row r="4879">
      <c r="A4879" s="4">
        <v>2716.0</v>
      </c>
      <c r="B4879" s="2" t="s">
        <v>20012</v>
      </c>
      <c r="C4879" s="2" t="s">
        <v>20013</v>
      </c>
      <c r="D4879" s="2" t="s">
        <v>20014</v>
      </c>
      <c r="E4879" s="2" t="s">
        <v>20015</v>
      </c>
      <c r="F4879" s="2" t="b">
        <v>1</v>
      </c>
      <c r="G4879" s="2" t="b">
        <v>0</v>
      </c>
      <c r="H4879" s="2" t="s">
        <v>37</v>
      </c>
      <c r="I4879" s="2" t="s">
        <v>32</v>
      </c>
      <c r="J4879" s="2" t="s">
        <v>581</v>
      </c>
      <c r="K4879" s="2" t="s">
        <v>495</v>
      </c>
      <c r="L4879" s="13" t="s">
        <v>496</v>
      </c>
      <c r="M4879" s="2" t="s">
        <v>26</v>
      </c>
      <c r="N4879" s="29"/>
      <c r="O4879" s="29"/>
      <c r="P4879" s="5" t="str">
        <f>IFERROR(__xludf.DUMMYFUNCTION("TEXTJOIN("" | "",TRUE,IF(OR(D4879="""",E4879="""",I4879="""",J4879="""",H4879=""""),""ফাঁকা ঘর"",""""),IF(AND(C4879&lt;&gt;"""",D4879&lt;&gt;"""",C4879=D4879),""gloss=figurative"",""""),IF(LEN(D4879)&lt;15,""figurative ছোট"",""""),IF(AND(I4879=""Positive"",REGEXMATCH(H4"&amp;"879,""মূর্খ|ভণ্ড|প্রতার|অলস|লোভ|স্বার্থ|অক্ষম|অযোগ্য|বোকা|কৃপণ|হিংস"")),""valence-target অমিল"",""""),IF(COUNTIF($B:$B,B4879)&gt;1,""ডুপ্লিকেট"",""""))"),"")</f>
        <v/>
      </c>
      <c r="Q4879" s="5" t="str">
        <f t="shared" si="1"/>
        <v>২ পরে</v>
      </c>
    </row>
    <row r="4880">
      <c r="A4880" s="4">
        <v>2717.0</v>
      </c>
      <c r="B4880" s="2" t="s">
        <v>20016</v>
      </c>
      <c r="C4880" s="2" t="s">
        <v>20017</v>
      </c>
      <c r="D4880" s="2" t="s">
        <v>20018</v>
      </c>
      <c r="E4880" s="2" t="s">
        <v>20019</v>
      </c>
      <c r="F4880" s="2" t="b">
        <v>1</v>
      </c>
      <c r="G4880" s="2" t="b">
        <v>0</v>
      </c>
      <c r="H4880" s="2" t="s">
        <v>37</v>
      </c>
      <c r="I4880" s="2" t="s">
        <v>49</v>
      </c>
      <c r="J4880" s="2" t="s">
        <v>565</v>
      </c>
      <c r="K4880" s="2" t="s">
        <v>495</v>
      </c>
      <c r="L4880" s="13" t="s">
        <v>496</v>
      </c>
      <c r="M4880" s="2" t="s">
        <v>26</v>
      </c>
      <c r="N4880" s="29"/>
      <c r="O4880" s="29"/>
      <c r="P4880" s="5" t="str">
        <f>IFERROR(__xludf.DUMMYFUNCTION("TEXTJOIN("" | "",TRUE,IF(OR(D4880="""",E4880="""",I4880="""",J4880="""",H4880=""""),""ফাঁকা ঘর"",""""),IF(AND(C4880&lt;&gt;"""",D4880&lt;&gt;"""",C4880=D4880),""gloss=figurative"",""""),IF(LEN(D4880)&lt;15,""figurative ছোট"",""""),IF(AND(I4880=""Positive"",REGEXMATCH(H4"&amp;"880,""মূর্খ|ভণ্ড|প্রতার|অলস|লোভ|স্বার্থ|অক্ষম|অযোগ্য|বোকা|কৃপণ|হিংস"")),""valence-target অমিল"",""""),IF(COUNTIF($B:$B,B4880)&gt;1,""ডুপ্লিকেট"",""""))"),"")</f>
        <v/>
      </c>
      <c r="Q4880" s="5" t="str">
        <f t="shared" si="1"/>
        <v>২ পরে</v>
      </c>
    </row>
    <row r="4881">
      <c r="A4881" s="4">
        <v>2718.0</v>
      </c>
      <c r="B4881" s="2" t="s">
        <v>20020</v>
      </c>
      <c r="C4881" s="2" t="s">
        <v>20021</v>
      </c>
      <c r="D4881" s="2" t="s">
        <v>19693</v>
      </c>
      <c r="E4881" s="2" t="s">
        <v>16831</v>
      </c>
      <c r="F4881" s="2" t="b">
        <v>1</v>
      </c>
      <c r="G4881" s="2" t="b">
        <v>0</v>
      </c>
      <c r="H4881" s="2" t="s">
        <v>37</v>
      </c>
      <c r="I4881" s="2" t="s">
        <v>49</v>
      </c>
      <c r="J4881" s="2" t="s">
        <v>646</v>
      </c>
      <c r="K4881" s="2" t="s">
        <v>495</v>
      </c>
      <c r="L4881" s="13" t="s">
        <v>496</v>
      </c>
      <c r="M4881" s="2" t="s">
        <v>26</v>
      </c>
      <c r="N4881" s="29"/>
      <c r="O4881" s="29"/>
      <c r="P4881" s="5" t="str">
        <f>IFERROR(__xludf.DUMMYFUNCTION("TEXTJOIN("" | "",TRUE,IF(OR(D4881="""",E4881="""",I4881="""",J4881="""",H4881=""""),""ফাঁকা ঘর"",""""),IF(AND(C4881&lt;&gt;"""",D4881&lt;&gt;"""",C4881=D4881),""gloss=figurative"",""""),IF(LEN(D4881)&lt;15,""figurative ছোট"",""""),IF(AND(I4881=""Positive"",REGEXMATCH(H4"&amp;"881,""মূর্খ|ভণ্ড|প্রতার|অলস|লোভ|স্বার্থ|অক্ষম|অযোগ্য|বোকা|কৃপণ|হিংস"")),""valence-target অমিল"",""""),IF(COUNTIF($B:$B,B4881)&gt;1,""ডুপ্লিকেট"",""""))"),"")</f>
        <v/>
      </c>
      <c r="Q4881" s="5" t="str">
        <f t="shared" si="1"/>
        <v>২ পরে</v>
      </c>
    </row>
    <row r="4882">
      <c r="A4882" s="4">
        <v>2719.0</v>
      </c>
      <c r="B4882" s="2" t="s">
        <v>20022</v>
      </c>
      <c r="C4882" s="2" t="s">
        <v>20023</v>
      </c>
      <c r="D4882" s="2" t="s">
        <v>20024</v>
      </c>
      <c r="E4882" s="2" t="s">
        <v>20025</v>
      </c>
      <c r="F4882" s="2" t="b">
        <v>1</v>
      </c>
      <c r="G4882" s="2" t="b">
        <v>0</v>
      </c>
      <c r="H4882" s="2" t="s">
        <v>37</v>
      </c>
      <c r="I4882" s="2" t="s">
        <v>32</v>
      </c>
      <c r="J4882" s="2" t="s">
        <v>2732</v>
      </c>
      <c r="K4882" s="2" t="s">
        <v>495</v>
      </c>
      <c r="L4882" s="13" t="s">
        <v>496</v>
      </c>
      <c r="M4882" s="2" t="s">
        <v>26</v>
      </c>
      <c r="N4882" s="29"/>
      <c r="O4882" s="29"/>
      <c r="P4882" s="5" t="str">
        <f>IFERROR(__xludf.DUMMYFUNCTION("TEXTJOIN("" | "",TRUE,IF(OR(D4882="""",E4882="""",I4882="""",J4882="""",H4882=""""),""ফাঁকা ঘর"",""""),IF(AND(C4882&lt;&gt;"""",D4882&lt;&gt;"""",C4882=D4882),""gloss=figurative"",""""),IF(LEN(D4882)&lt;15,""figurative ছোট"",""""),IF(AND(I4882=""Positive"",REGEXMATCH(H4"&amp;"882,""মূর্খ|ভণ্ড|প্রতার|অলস|লোভ|স্বার্থ|অক্ষম|অযোগ্য|বোকা|কৃপণ|হিংস"")),""valence-target অমিল"",""""),IF(COUNTIF($B:$B,B4882)&gt;1,""ডুপ্লিকেট"",""""))"),"")</f>
        <v/>
      </c>
      <c r="Q4882" s="5" t="str">
        <f t="shared" si="1"/>
        <v>২ পরে</v>
      </c>
    </row>
    <row r="4883">
      <c r="A4883" s="4">
        <v>2720.0</v>
      </c>
      <c r="B4883" s="2" t="s">
        <v>20026</v>
      </c>
      <c r="C4883" s="2" t="s">
        <v>20027</v>
      </c>
      <c r="D4883" s="2" t="s">
        <v>20028</v>
      </c>
      <c r="E4883" s="2" t="s">
        <v>20029</v>
      </c>
      <c r="F4883" s="2" t="b">
        <v>1</v>
      </c>
      <c r="G4883" s="2" t="b">
        <v>0</v>
      </c>
      <c r="H4883" s="2" t="s">
        <v>1284</v>
      </c>
      <c r="I4883" s="2" t="s">
        <v>22</v>
      </c>
      <c r="J4883" s="2" t="s">
        <v>3105</v>
      </c>
      <c r="K4883" s="2" t="s">
        <v>495</v>
      </c>
      <c r="L4883" s="13" t="s">
        <v>496</v>
      </c>
      <c r="M4883" s="2" t="s">
        <v>26</v>
      </c>
      <c r="N4883" s="29"/>
      <c r="O4883" s="29"/>
      <c r="P4883" s="5" t="str">
        <f>IFERROR(__xludf.DUMMYFUNCTION("TEXTJOIN("" | "",TRUE,IF(OR(D4883="""",E4883="""",I4883="""",J4883="""",H4883=""""),""ফাঁকা ঘর"",""""),IF(AND(C4883&lt;&gt;"""",D4883&lt;&gt;"""",C4883=D4883),""gloss=figurative"",""""),IF(LEN(D4883)&lt;15,""figurative ছোট"",""""),IF(AND(I4883=""Positive"",REGEXMATCH(H4"&amp;"883,""মূর্খ|ভণ্ড|প্রতার|অলস|লোভ|স্বার্থ|অক্ষম|অযোগ্য|বোকা|কৃপণ|হিংস"")),""valence-target অমিল"",""""),IF(COUNTIF($B:$B,B4883)&gt;1,""ডুপ্লিকেট"",""""))"),"")</f>
        <v/>
      </c>
      <c r="Q4883" s="5" t="str">
        <f t="shared" si="1"/>
        <v>২ পরে</v>
      </c>
    </row>
    <row r="4884">
      <c r="A4884" s="4">
        <v>2721.0</v>
      </c>
      <c r="B4884" s="2" t="s">
        <v>20030</v>
      </c>
      <c r="C4884" s="2" t="s">
        <v>20031</v>
      </c>
      <c r="D4884" s="2" t="s">
        <v>20032</v>
      </c>
      <c r="E4884" s="2" t="s">
        <v>20033</v>
      </c>
      <c r="F4884" s="2" t="b">
        <v>1</v>
      </c>
      <c r="G4884" s="2" t="b">
        <v>0</v>
      </c>
      <c r="H4884" s="2" t="s">
        <v>37</v>
      </c>
      <c r="I4884" s="2" t="s">
        <v>49</v>
      </c>
      <c r="J4884" s="2" t="s">
        <v>2575</v>
      </c>
      <c r="K4884" s="2" t="s">
        <v>495</v>
      </c>
      <c r="L4884" s="13" t="s">
        <v>496</v>
      </c>
      <c r="M4884" s="2" t="s">
        <v>26</v>
      </c>
      <c r="N4884" s="29"/>
      <c r="O4884" s="29"/>
      <c r="P4884" s="5" t="str">
        <f>IFERROR(__xludf.DUMMYFUNCTION("TEXTJOIN("" | "",TRUE,IF(OR(D4884="""",E4884="""",I4884="""",J4884="""",H4884=""""),""ফাঁকা ঘর"",""""),IF(AND(C4884&lt;&gt;"""",D4884&lt;&gt;"""",C4884=D4884),""gloss=figurative"",""""),IF(LEN(D4884)&lt;15,""figurative ছোট"",""""),IF(AND(I4884=""Positive"",REGEXMATCH(H4"&amp;"884,""মূর্খ|ভণ্ড|প্রতার|অলস|লোভ|স্বার্থ|অক্ষম|অযোগ্য|বোকা|কৃপণ|হিংস"")),""valence-target অমিল"",""""),IF(COUNTIF($B:$B,B4884)&gt;1,""ডুপ্লিকেট"",""""))"),"")</f>
        <v/>
      </c>
      <c r="Q4884" s="5" t="str">
        <f t="shared" si="1"/>
        <v>২ পরে</v>
      </c>
    </row>
    <row r="4885">
      <c r="A4885" s="4">
        <v>2722.0</v>
      </c>
      <c r="B4885" s="2" t="s">
        <v>20034</v>
      </c>
      <c r="C4885" s="2" t="s">
        <v>20035</v>
      </c>
      <c r="D4885" s="2" t="s">
        <v>20036</v>
      </c>
      <c r="E4885" s="2" t="s">
        <v>20037</v>
      </c>
      <c r="F4885" s="2" t="b">
        <v>1</v>
      </c>
      <c r="G4885" s="2" t="b">
        <v>0</v>
      </c>
      <c r="H4885" s="2" t="s">
        <v>37</v>
      </c>
      <c r="I4885" s="2" t="s">
        <v>49</v>
      </c>
      <c r="J4885" s="2" t="s">
        <v>6697</v>
      </c>
      <c r="K4885" s="2" t="s">
        <v>495</v>
      </c>
      <c r="L4885" s="13" t="s">
        <v>496</v>
      </c>
      <c r="M4885" s="2" t="s">
        <v>26</v>
      </c>
      <c r="N4885" s="29"/>
      <c r="O4885" s="29"/>
      <c r="P4885" s="5" t="str">
        <f>IFERROR(__xludf.DUMMYFUNCTION("TEXTJOIN("" | "",TRUE,IF(OR(D4885="""",E4885="""",I4885="""",J4885="""",H4885=""""),""ফাঁকা ঘর"",""""),IF(AND(C4885&lt;&gt;"""",D4885&lt;&gt;"""",C4885=D4885),""gloss=figurative"",""""),IF(LEN(D4885)&lt;15,""figurative ছোট"",""""),IF(AND(I4885=""Positive"",REGEXMATCH(H4"&amp;"885,""মূর্খ|ভণ্ড|প্রতার|অলস|লোভ|স্বার্থ|অক্ষম|অযোগ্য|বোকা|কৃপণ|হিংস"")),""valence-target অমিল"",""""),IF(COUNTIF($B:$B,B4885)&gt;1,""ডুপ্লিকেট"",""""))"),"")</f>
        <v/>
      </c>
      <c r="Q4885" s="5" t="str">
        <f t="shared" si="1"/>
        <v>২ পরে</v>
      </c>
    </row>
    <row r="4886">
      <c r="A4886" s="4">
        <v>2723.0</v>
      </c>
      <c r="B4886" s="2" t="s">
        <v>20038</v>
      </c>
      <c r="C4886" s="2" t="s">
        <v>20039</v>
      </c>
      <c r="D4886" s="2" t="s">
        <v>20040</v>
      </c>
      <c r="E4886" s="2" t="s">
        <v>20041</v>
      </c>
      <c r="F4886" s="2" t="b">
        <v>1</v>
      </c>
      <c r="G4886" s="2" t="b">
        <v>0</v>
      </c>
      <c r="H4886" s="2" t="s">
        <v>37</v>
      </c>
      <c r="I4886" s="2" t="s">
        <v>49</v>
      </c>
      <c r="J4886" s="2" t="s">
        <v>6697</v>
      </c>
      <c r="K4886" s="2" t="s">
        <v>495</v>
      </c>
      <c r="L4886" s="13" t="s">
        <v>496</v>
      </c>
      <c r="M4886" s="2" t="s">
        <v>26</v>
      </c>
      <c r="N4886" s="29"/>
      <c r="O4886" s="29"/>
      <c r="P4886" s="5" t="str">
        <f>IFERROR(__xludf.DUMMYFUNCTION("TEXTJOIN("" | "",TRUE,IF(OR(D4886="""",E4886="""",I4886="""",J4886="""",H4886=""""),""ফাঁকা ঘর"",""""),IF(AND(C4886&lt;&gt;"""",D4886&lt;&gt;"""",C4886=D4886),""gloss=figurative"",""""),IF(LEN(D4886)&lt;15,""figurative ছোট"",""""),IF(AND(I4886=""Positive"",REGEXMATCH(H4"&amp;"886,""মূর্খ|ভণ্ড|প্রতার|অলস|লোভ|স্বার্থ|অক্ষম|অযোগ্য|বোকা|কৃপণ|হিংস"")),""valence-target অমিল"",""""),IF(COUNTIF($B:$B,B4886)&gt;1,""ডুপ্লিকেট"",""""))"),"")</f>
        <v/>
      </c>
      <c r="Q4886" s="5" t="str">
        <f t="shared" si="1"/>
        <v>২ পরে</v>
      </c>
    </row>
    <row r="4887">
      <c r="A4887" s="4">
        <v>2724.0</v>
      </c>
      <c r="B4887" s="2" t="s">
        <v>20042</v>
      </c>
      <c r="C4887" s="2" t="s">
        <v>20043</v>
      </c>
      <c r="D4887" s="2" t="s">
        <v>20044</v>
      </c>
      <c r="E4887" s="2" t="s">
        <v>20045</v>
      </c>
      <c r="F4887" s="2" t="b">
        <v>1</v>
      </c>
      <c r="G4887" s="2" t="b">
        <v>1</v>
      </c>
      <c r="H4887" s="2" t="s">
        <v>20046</v>
      </c>
      <c r="I4887" s="2" t="s">
        <v>22</v>
      </c>
      <c r="J4887" s="2" t="s">
        <v>14971</v>
      </c>
      <c r="K4887" s="2" t="s">
        <v>495</v>
      </c>
      <c r="L4887" s="13" t="s">
        <v>496</v>
      </c>
      <c r="M4887" s="2" t="s">
        <v>26</v>
      </c>
      <c r="N4887" s="29"/>
      <c r="O4887" s="29"/>
      <c r="P4887" s="5" t="str">
        <f>IFERROR(__xludf.DUMMYFUNCTION("TEXTJOIN("" | "",TRUE,IF(OR(D4887="""",E4887="""",I4887="""",J4887="""",H4887=""""),""ফাঁকা ঘর"",""""),IF(AND(C4887&lt;&gt;"""",D4887&lt;&gt;"""",C4887=D4887),""gloss=figurative"",""""),IF(LEN(D4887)&lt;15,""figurative ছোট"",""""),IF(AND(I4887=""Positive"",REGEXMATCH(H4"&amp;"887,""মূর্খ|ভণ্ড|প্রতার|অলস|লোভ|স্বার্থ|অক্ষম|অযোগ্য|বোকা|কৃপণ|হিংস"")),""valence-target অমিল"",""""),IF(COUNTIF($B:$B,B4887)&gt;1,""ডুপ্লিকেট"",""""))"),"")</f>
        <v/>
      </c>
      <c r="Q4887" s="5" t="str">
        <f t="shared" si="1"/>
        <v>২ পরে</v>
      </c>
    </row>
    <row r="4888">
      <c r="A4888" s="4">
        <v>2725.0</v>
      </c>
      <c r="B4888" s="2" t="s">
        <v>20047</v>
      </c>
      <c r="C4888" s="2" t="s">
        <v>20047</v>
      </c>
      <c r="D4888" s="2" t="s">
        <v>20048</v>
      </c>
      <c r="E4888" s="2" t="s">
        <v>20049</v>
      </c>
      <c r="F4888" s="2" t="b">
        <v>1</v>
      </c>
      <c r="G4888" s="2" t="b">
        <v>0</v>
      </c>
      <c r="H4888" s="2" t="s">
        <v>37</v>
      </c>
      <c r="I4888" s="2" t="s">
        <v>22</v>
      </c>
      <c r="J4888" s="2" t="s">
        <v>225</v>
      </c>
      <c r="K4888" s="2" t="s">
        <v>495</v>
      </c>
      <c r="L4888" s="13" t="s">
        <v>496</v>
      </c>
      <c r="M4888" s="2" t="s">
        <v>26</v>
      </c>
      <c r="N4888" s="29"/>
      <c r="O4888" s="29"/>
      <c r="P4888" s="5" t="str">
        <f>IFERROR(__xludf.DUMMYFUNCTION("TEXTJOIN("" | "",TRUE,IF(OR(D4888="""",E4888="""",I4888="""",J4888="""",H4888=""""),""ফাঁকা ঘর"",""""),IF(AND(C4888&lt;&gt;"""",D4888&lt;&gt;"""",C4888=D4888),""gloss=figurative"",""""),IF(LEN(D4888)&lt;15,""figurative ছোট"",""""),IF(AND(I4888=""Positive"",REGEXMATCH(H4"&amp;"888,""মূর্খ|ভণ্ড|প্রতার|অলস|লোভ|স্বার্থ|অক্ষম|অযোগ্য|বোকা|কৃপণ|হিংস"")),""valence-target অমিল"",""""),IF(COUNTIF($B:$B,B4888)&gt;1,""ডুপ্লিকেট"",""""))"),"")</f>
        <v/>
      </c>
      <c r="Q4888" s="5" t="str">
        <f t="shared" si="1"/>
        <v>২ পরে</v>
      </c>
    </row>
    <row r="4889">
      <c r="A4889" s="4">
        <v>2726.0</v>
      </c>
      <c r="B4889" s="2" t="s">
        <v>20050</v>
      </c>
      <c r="C4889" s="2" t="s">
        <v>20051</v>
      </c>
      <c r="D4889" s="2" t="s">
        <v>20052</v>
      </c>
      <c r="E4889" s="2" t="s">
        <v>20053</v>
      </c>
      <c r="F4889" s="2" t="b">
        <v>1</v>
      </c>
      <c r="G4889" s="2" t="b">
        <v>0</v>
      </c>
      <c r="H4889" s="2" t="s">
        <v>37</v>
      </c>
      <c r="I4889" s="2" t="s">
        <v>22</v>
      </c>
      <c r="J4889" s="2" t="s">
        <v>1644</v>
      </c>
      <c r="K4889" s="2" t="s">
        <v>495</v>
      </c>
      <c r="L4889" s="13" t="s">
        <v>496</v>
      </c>
      <c r="M4889" s="2" t="s">
        <v>26</v>
      </c>
      <c r="N4889" s="29"/>
      <c r="O4889" s="29"/>
      <c r="P4889" s="5" t="str">
        <f>IFERROR(__xludf.DUMMYFUNCTION("TEXTJOIN("" | "",TRUE,IF(OR(D4889="""",E4889="""",I4889="""",J4889="""",H4889=""""),""ফাঁকা ঘর"",""""),IF(AND(C4889&lt;&gt;"""",D4889&lt;&gt;"""",C4889=D4889),""gloss=figurative"",""""),IF(LEN(D4889)&lt;15,""figurative ছোট"",""""),IF(AND(I4889=""Positive"",REGEXMATCH(H4"&amp;"889,""মূর্খ|ভণ্ড|প্রতার|অলস|লোভ|স্বার্থ|অক্ষম|অযোগ্য|বোকা|কৃপণ|হিংস"")),""valence-target অমিল"",""""),IF(COUNTIF($B:$B,B4889)&gt;1,""ডুপ্লিকেট"",""""))"),"")</f>
        <v/>
      </c>
      <c r="Q4889" s="5" t="str">
        <f t="shared" si="1"/>
        <v>২ পরে</v>
      </c>
    </row>
    <row r="4890">
      <c r="A4890" s="4">
        <v>2727.0</v>
      </c>
      <c r="B4890" s="2" t="s">
        <v>20054</v>
      </c>
      <c r="C4890" s="2" t="s">
        <v>20055</v>
      </c>
      <c r="D4890" s="2" t="s">
        <v>20056</v>
      </c>
      <c r="E4890" s="2" t="s">
        <v>20057</v>
      </c>
      <c r="F4890" s="2" t="b">
        <v>1</v>
      </c>
      <c r="G4890" s="2" t="b">
        <v>0</v>
      </c>
      <c r="H4890" s="2" t="s">
        <v>37</v>
      </c>
      <c r="I4890" s="2" t="s">
        <v>22</v>
      </c>
      <c r="J4890" s="2" t="s">
        <v>1630</v>
      </c>
      <c r="K4890" s="2" t="s">
        <v>495</v>
      </c>
      <c r="L4890" s="13" t="s">
        <v>496</v>
      </c>
      <c r="M4890" s="2" t="s">
        <v>26</v>
      </c>
      <c r="N4890" s="29"/>
      <c r="O4890" s="29"/>
      <c r="P4890" s="5" t="str">
        <f>IFERROR(__xludf.DUMMYFUNCTION("TEXTJOIN("" | "",TRUE,IF(OR(D4890="""",E4890="""",I4890="""",J4890="""",H4890=""""),""ফাঁকা ঘর"",""""),IF(AND(C4890&lt;&gt;"""",D4890&lt;&gt;"""",C4890=D4890),""gloss=figurative"",""""),IF(LEN(D4890)&lt;15,""figurative ছোট"",""""),IF(AND(I4890=""Positive"",REGEXMATCH(H4"&amp;"890,""মূর্খ|ভণ্ড|প্রতার|অলস|লোভ|স্বার্থ|অক্ষম|অযোগ্য|বোকা|কৃপণ|হিংস"")),""valence-target অমিল"",""""),IF(COUNTIF($B:$B,B4890)&gt;1,""ডুপ্লিকেট"",""""))"),"")</f>
        <v/>
      </c>
      <c r="Q4890" s="5" t="str">
        <f t="shared" si="1"/>
        <v>২ পরে</v>
      </c>
    </row>
    <row r="4891">
      <c r="A4891" s="4">
        <v>2728.0</v>
      </c>
      <c r="B4891" s="2" t="s">
        <v>20058</v>
      </c>
      <c r="C4891" s="2" t="s">
        <v>20059</v>
      </c>
      <c r="D4891" s="2" t="s">
        <v>20060</v>
      </c>
      <c r="E4891" s="2" t="s">
        <v>20061</v>
      </c>
      <c r="F4891" s="2" t="b">
        <v>1</v>
      </c>
      <c r="G4891" s="2" t="b">
        <v>0</v>
      </c>
      <c r="H4891" s="2" t="s">
        <v>37</v>
      </c>
      <c r="I4891" s="2" t="s">
        <v>49</v>
      </c>
      <c r="J4891" s="2" t="s">
        <v>913</v>
      </c>
      <c r="K4891" s="2" t="s">
        <v>495</v>
      </c>
      <c r="L4891" s="13" t="s">
        <v>496</v>
      </c>
      <c r="M4891" s="2" t="s">
        <v>26</v>
      </c>
      <c r="N4891" s="29"/>
      <c r="O4891" s="29"/>
      <c r="P4891" s="5" t="str">
        <f>IFERROR(__xludf.DUMMYFUNCTION("TEXTJOIN("" | "",TRUE,IF(OR(D4891="""",E4891="""",I4891="""",J4891="""",H4891=""""),""ফাঁকা ঘর"",""""),IF(AND(C4891&lt;&gt;"""",D4891&lt;&gt;"""",C4891=D4891),""gloss=figurative"",""""),IF(LEN(D4891)&lt;15,""figurative ছোট"",""""),IF(AND(I4891=""Positive"",REGEXMATCH(H4"&amp;"891,""মূর্খ|ভণ্ড|প্রতার|অলস|লোভ|স্বার্থ|অক্ষম|অযোগ্য|বোকা|কৃপণ|হিংস"")),""valence-target অমিল"",""""),IF(COUNTIF($B:$B,B4891)&gt;1,""ডুপ্লিকেট"",""""))"),"")</f>
        <v/>
      </c>
      <c r="Q4891" s="5" t="str">
        <f t="shared" si="1"/>
        <v>২ পরে</v>
      </c>
    </row>
    <row r="4892">
      <c r="A4892" s="4">
        <v>2729.0</v>
      </c>
      <c r="B4892" s="2" t="s">
        <v>20062</v>
      </c>
      <c r="C4892" s="2" t="s">
        <v>20062</v>
      </c>
      <c r="D4892" s="2" t="s">
        <v>20063</v>
      </c>
      <c r="E4892" s="2" t="s">
        <v>20064</v>
      </c>
      <c r="F4892" s="2" t="b">
        <v>1</v>
      </c>
      <c r="G4892" s="2" t="b">
        <v>0</v>
      </c>
      <c r="H4892" s="2" t="s">
        <v>37</v>
      </c>
      <c r="I4892" s="2" t="s">
        <v>32</v>
      </c>
      <c r="J4892" s="2" t="s">
        <v>2671</v>
      </c>
      <c r="K4892" s="2" t="s">
        <v>495</v>
      </c>
      <c r="L4892" s="13" t="s">
        <v>496</v>
      </c>
      <c r="M4892" s="2" t="s">
        <v>26</v>
      </c>
      <c r="N4892" s="29"/>
      <c r="O4892" s="29"/>
      <c r="P4892" s="5" t="str">
        <f>IFERROR(__xludf.DUMMYFUNCTION("TEXTJOIN("" | "",TRUE,IF(OR(D4892="""",E4892="""",I4892="""",J4892="""",H4892=""""),""ফাঁকা ঘর"",""""),IF(AND(C4892&lt;&gt;"""",D4892&lt;&gt;"""",C4892=D4892),""gloss=figurative"",""""),IF(LEN(D4892)&lt;15,""figurative ছোট"",""""),IF(AND(I4892=""Positive"",REGEXMATCH(H4"&amp;"892,""মূর্খ|ভণ্ড|প্রতার|অলস|লোভ|স্বার্থ|অক্ষম|অযোগ্য|বোকা|কৃপণ|হিংস"")),""valence-target অমিল"",""""),IF(COUNTIF($B:$B,B4892)&gt;1,""ডুপ্লিকেট"",""""))"),"")</f>
        <v/>
      </c>
      <c r="Q4892" s="5" t="str">
        <f t="shared" si="1"/>
        <v>২ পরে</v>
      </c>
    </row>
    <row r="4893">
      <c r="A4893" s="4">
        <v>2730.0</v>
      </c>
      <c r="B4893" s="2" t="s">
        <v>20065</v>
      </c>
      <c r="C4893" s="2" t="s">
        <v>20065</v>
      </c>
      <c r="D4893" s="2" t="s">
        <v>20066</v>
      </c>
      <c r="E4893" s="2" t="s">
        <v>20067</v>
      </c>
      <c r="F4893" s="2" t="b">
        <v>1</v>
      </c>
      <c r="G4893" s="2" t="b">
        <v>0</v>
      </c>
      <c r="H4893" s="2" t="s">
        <v>37</v>
      </c>
      <c r="I4893" s="2" t="s">
        <v>22</v>
      </c>
      <c r="J4893" s="2" t="s">
        <v>836</v>
      </c>
      <c r="K4893" s="2" t="s">
        <v>495</v>
      </c>
      <c r="L4893" s="13" t="s">
        <v>496</v>
      </c>
      <c r="M4893" s="2" t="s">
        <v>26</v>
      </c>
      <c r="N4893" s="29"/>
      <c r="O4893" s="29"/>
      <c r="P4893" s="5" t="str">
        <f>IFERROR(__xludf.DUMMYFUNCTION("TEXTJOIN("" | "",TRUE,IF(OR(D4893="""",E4893="""",I4893="""",J4893="""",H4893=""""),""ফাঁকা ঘর"",""""),IF(AND(C4893&lt;&gt;"""",D4893&lt;&gt;"""",C4893=D4893),""gloss=figurative"",""""),IF(LEN(D4893)&lt;15,""figurative ছোট"",""""),IF(AND(I4893=""Positive"",REGEXMATCH(H4"&amp;"893,""মূর্খ|ভণ্ড|প্রতার|অলস|লোভ|স্বার্থ|অক্ষম|অযোগ্য|বোকা|কৃপণ|হিংস"")),""valence-target অমিল"",""""),IF(COUNTIF($B:$B,B4893)&gt;1,""ডুপ্লিকেট"",""""))"),"")</f>
        <v/>
      </c>
      <c r="Q4893" s="5" t="str">
        <f t="shared" si="1"/>
        <v>২ পরে</v>
      </c>
    </row>
    <row r="4894">
      <c r="A4894" s="4">
        <v>2731.0</v>
      </c>
      <c r="B4894" s="2" t="s">
        <v>20068</v>
      </c>
      <c r="C4894" s="2" t="s">
        <v>20069</v>
      </c>
      <c r="D4894" s="2" t="s">
        <v>20070</v>
      </c>
      <c r="E4894" s="2" t="s">
        <v>20071</v>
      </c>
      <c r="F4894" s="2" t="b">
        <v>1</v>
      </c>
      <c r="G4894" s="2" t="b">
        <v>0</v>
      </c>
      <c r="H4894" s="2" t="s">
        <v>37</v>
      </c>
      <c r="I4894" s="2" t="s">
        <v>32</v>
      </c>
      <c r="J4894" s="2" t="s">
        <v>565</v>
      </c>
      <c r="K4894" s="2" t="s">
        <v>495</v>
      </c>
      <c r="L4894" s="13" t="s">
        <v>496</v>
      </c>
      <c r="M4894" s="2" t="s">
        <v>26</v>
      </c>
      <c r="N4894" s="29"/>
      <c r="O4894" s="29"/>
      <c r="P4894" s="5" t="str">
        <f>IFERROR(__xludf.DUMMYFUNCTION("TEXTJOIN("" | "",TRUE,IF(OR(D4894="""",E4894="""",I4894="""",J4894="""",H4894=""""),""ফাঁকা ঘর"",""""),IF(AND(C4894&lt;&gt;"""",D4894&lt;&gt;"""",C4894=D4894),""gloss=figurative"",""""),IF(LEN(D4894)&lt;15,""figurative ছোট"",""""),IF(AND(I4894=""Positive"",REGEXMATCH(H4"&amp;"894,""মূর্খ|ভণ্ড|প্রতার|অলস|লোভ|স্বার্থ|অক্ষম|অযোগ্য|বোকা|কৃপণ|হিংস"")),""valence-target অমিল"",""""),IF(COUNTIF($B:$B,B4894)&gt;1,""ডুপ্লিকেট"",""""))"),"")</f>
        <v/>
      </c>
      <c r="Q4894" s="5" t="str">
        <f t="shared" si="1"/>
        <v>২ পরে</v>
      </c>
    </row>
    <row r="4895">
      <c r="A4895" s="4">
        <v>2732.0</v>
      </c>
      <c r="B4895" s="2" t="s">
        <v>20072</v>
      </c>
      <c r="C4895" s="2" t="s">
        <v>20072</v>
      </c>
      <c r="D4895" s="2" t="s">
        <v>20073</v>
      </c>
      <c r="E4895" s="2" t="s">
        <v>20074</v>
      </c>
      <c r="F4895" s="2" t="b">
        <v>1</v>
      </c>
      <c r="G4895" s="2" t="b">
        <v>0</v>
      </c>
      <c r="H4895" s="2" t="s">
        <v>37</v>
      </c>
      <c r="I4895" s="2" t="s">
        <v>22</v>
      </c>
      <c r="J4895" s="2" t="s">
        <v>590</v>
      </c>
      <c r="K4895" s="2" t="s">
        <v>495</v>
      </c>
      <c r="L4895" s="13" t="s">
        <v>496</v>
      </c>
      <c r="M4895" s="2" t="s">
        <v>26</v>
      </c>
      <c r="N4895" s="29"/>
      <c r="O4895" s="29"/>
      <c r="P4895" s="5" t="str">
        <f>IFERROR(__xludf.DUMMYFUNCTION("TEXTJOIN("" | "",TRUE,IF(OR(D4895="""",E4895="""",I4895="""",J4895="""",H4895=""""),""ফাঁকা ঘর"",""""),IF(AND(C4895&lt;&gt;"""",D4895&lt;&gt;"""",C4895=D4895),""gloss=figurative"",""""),IF(LEN(D4895)&lt;15,""figurative ছোট"",""""),IF(AND(I4895=""Positive"",REGEXMATCH(H4"&amp;"895,""মূর্খ|ভণ্ড|প্রতার|অলস|লোভ|স্বার্থ|অক্ষম|অযোগ্য|বোকা|কৃপণ|হিংস"")),""valence-target অমিল"",""""),IF(COUNTIF($B:$B,B4895)&gt;1,""ডুপ্লিকেট"",""""))"),"")</f>
        <v/>
      </c>
      <c r="Q4895" s="5" t="str">
        <f t="shared" si="1"/>
        <v>২ পরে</v>
      </c>
    </row>
    <row r="4896">
      <c r="A4896" s="4">
        <v>2733.0</v>
      </c>
      <c r="B4896" s="2" t="s">
        <v>20075</v>
      </c>
      <c r="C4896" s="2" t="s">
        <v>20076</v>
      </c>
      <c r="D4896" s="2" t="s">
        <v>20077</v>
      </c>
      <c r="E4896" s="2" t="s">
        <v>20078</v>
      </c>
      <c r="F4896" s="2" t="b">
        <v>1</v>
      </c>
      <c r="G4896" s="2" t="b">
        <v>1</v>
      </c>
      <c r="H4896" s="2" t="s">
        <v>11892</v>
      </c>
      <c r="I4896" s="2" t="s">
        <v>22</v>
      </c>
      <c r="J4896" s="2" t="s">
        <v>20079</v>
      </c>
      <c r="K4896" s="2" t="s">
        <v>495</v>
      </c>
      <c r="L4896" s="13" t="s">
        <v>496</v>
      </c>
      <c r="M4896" s="2" t="s">
        <v>26</v>
      </c>
      <c r="N4896" s="29"/>
      <c r="O4896" s="29"/>
      <c r="P4896" s="5" t="str">
        <f>IFERROR(__xludf.DUMMYFUNCTION("TEXTJOIN("" | "",TRUE,IF(OR(D4896="""",E4896="""",I4896="""",J4896="""",H4896=""""),""ফাঁকা ঘর"",""""),IF(AND(C4896&lt;&gt;"""",D4896&lt;&gt;"""",C4896=D4896),""gloss=figurative"",""""),IF(LEN(D4896)&lt;15,""figurative ছোট"",""""),IF(AND(I4896=""Positive"",REGEXMATCH(H4"&amp;"896,""মূর্খ|ভণ্ড|প্রতার|অলস|লোভ|স্বার্থ|অক্ষম|অযোগ্য|বোকা|কৃপণ|হিংস"")),""valence-target অমিল"",""""),IF(COUNTIF($B:$B,B4896)&gt;1,""ডুপ্লিকেট"",""""))"),"")</f>
        <v/>
      </c>
      <c r="Q4896" s="5" t="str">
        <f t="shared" si="1"/>
        <v>২ পরে</v>
      </c>
    </row>
    <row r="4897">
      <c r="A4897" s="4">
        <v>2734.0</v>
      </c>
      <c r="B4897" s="2" t="s">
        <v>20080</v>
      </c>
      <c r="C4897" s="2" t="s">
        <v>20081</v>
      </c>
      <c r="D4897" s="2" t="s">
        <v>20082</v>
      </c>
      <c r="E4897" s="2" t="s">
        <v>20083</v>
      </c>
      <c r="F4897" s="2" t="b">
        <v>1</v>
      </c>
      <c r="G4897" s="2" t="b">
        <v>0</v>
      </c>
      <c r="H4897" s="2" t="s">
        <v>37</v>
      </c>
      <c r="I4897" s="2" t="s">
        <v>22</v>
      </c>
      <c r="J4897" s="2" t="s">
        <v>820</v>
      </c>
      <c r="K4897" s="2" t="s">
        <v>495</v>
      </c>
      <c r="L4897" s="13" t="s">
        <v>496</v>
      </c>
      <c r="M4897" s="2" t="s">
        <v>26</v>
      </c>
      <c r="N4897" s="29"/>
      <c r="O4897" s="29"/>
      <c r="P4897" s="5" t="str">
        <f>IFERROR(__xludf.DUMMYFUNCTION("TEXTJOIN("" | "",TRUE,IF(OR(D4897="""",E4897="""",I4897="""",J4897="""",H4897=""""),""ফাঁকা ঘর"",""""),IF(AND(C4897&lt;&gt;"""",D4897&lt;&gt;"""",C4897=D4897),""gloss=figurative"",""""),IF(LEN(D4897)&lt;15,""figurative ছোট"",""""),IF(AND(I4897=""Positive"",REGEXMATCH(H4"&amp;"897,""মূর্খ|ভণ্ড|প্রতার|অলস|লোভ|স্বার্থ|অক্ষম|অযোগ্য|বোকা|কৃপণ|হিংস"")),""valence-target অমিল"",""""),IF(COUNTIF($B:$B,B4897)&gt;1,""ডুপ্লিকেট"",""""))"),"")</f>
        <v/>
      </c>
      <c r="Q4897" s="5" t="str">
        <f t="shared" si="1"/>
        <v>২ পরে</v>
      </c>
    </row>
    <row r="4898">
      <c r="A4898" s="4">
        <v>2735.0</v>
      </c>
      <c r="B4898" s="2" t="s">
        <v>20084</v>
      </c>
      <c r="C4898" s="2" t="s">
        <v>20084</v>
      </c>
      <c r="D4898" s="2" t="s">
        <v>20085</v>
      </c>
      <c r="E4898" s="2" t="s">
        <v>20086</v>
      </c>
      <c r="F4898" s="2" t="b">
        <v>1</v>
      </c>
      <c r="G4898" s="2" t="b">
        <v>0</v>
      </c>
      <c r="H4898" s="2" t="s">
        <v>37</v>
      </c>
      <c r="I4898" s="2" t="s">
        <v>49</v>
      </c>
      <c r="J4898" s="2" t="s">
        <v>739</v>
      </c>
      <c r="K4898" s="2" t="s">
        <v>495</v>
      </c>
      <c r="L4898" s="13" t="s">
        <v>496</v>
      </c>
      <c r="M4898" s="2" t="s">
        <v>26</v>
      </c>
      <c r="N4898" s="29"/>
      <c r="O4898" s="29"/>
      <c r="P4898" s="5" t="str">
        <f>IFERROR(__xludf.DUMMYFUNCTION("TEXTJOIN("" | "",TRUE,IF(OR(D4898="""",E4898="""",I4898="""",J4898="""",H4898=""""),""ফাঁকা ঘর"",""""),IF(AND(C4898&lt;&gt;"""",D4898&lt;&gt;"""",C4898=D4898),""gloss=figurative"",""""),IF(LEN(D4898)&lt;15,""figurative ছোট"",""""),IF(AND(I4898=""Positive"",REGEXMATCH(H4"&amp;"898,""মূর্খ|ভণ্ড|প্রতার|অলস|লোভ|স্বার্থ|অক্ষম|অযোগ্য|বোকা|কৃপণ|হিংস"")),""valence-target অমিল"",""""),IF(COUNTIF($B:$B,B4898)&gt;1,""ডুপ্লিকেট"",""""))"),"")</f>
        <v/>
      </c>
      <c r="Q4898" s="5" t="str">
        <f t="shared" si="1"/>
        <v>২ পরে</v>
      </c>
    </row>
    <row r="4899">
      <c r="A4899" s="4">
        <v>2736.0</v>
      </c>
      <c r="B4899" s="2" t="s">
        <v>20087</v>
      </c>
      <c r="C4899" s="2" t="s">
        <v>20087</v>
      </c>
      <c r="D4899" s="2" t="s">
        <v>20088</v>
      </c>
      <c r="E4899" s="2" t="s">
        <v>20089</v>
      </c>
      <c r="F4899" s="2" t="b">
        <v>1</v>
      </c>
      <c r="G4899" s="2" t="b">
        <v>0</v>
      </c>
      <c r="H4899" s="2" t="s">
        <v>37</v>
      </c>
      <c r="I4899" s="2" t="s">
        <v>49</v>
      </c>
      <c r="J4899" s="2" t="s">
        <v>8633</v>
      </c>
      <c r="K4899" s="2" t="s">
        <v>495</v>
      </c>
      <c r="L4899" s="13" t="s">
        <v>496</v>
      </c>
      <c r="M4899" s="2" t="s">
        <v>26</v>
      </c>
      <c r="N4899" s="29"/>
      <c r="O4899" s="29"/>
      <c r="P4899" s="5" t="str">
        <f>IFERROR(__xludf.DUMMYFUNCTION("TEXTJOIN("" | "",TRUE,IF(OR(D4899="""",E4899="""",I4899="""",J4899="""",H4899=""""),""ফাঁকা ঘর"",""""),IF(AND(C4899&lt;&gt;"""",D4899&lt;&gt;"""",C4899=D4899),""gloss=figurative"",""""),IF(LEN(D4899)&lt;15,""figurative ছোট"",""""),IF(AND(I4899=""Positive"",REGEXMATCH(H4"&amp;"899,""মূর্খ|ভণ্ড|প্রতার|অলস|লোভ|স্বার্থ|অক্ষম|অযোগ্য|বোকা|কৃপণ|হিংস"")),""valence-target অমিল"",""""),IF(COUNTIF($B:$B,B4899)&gt;1,""ডুপ্লিকেট"",""""))"),"")</f>
        <v/>
      </c>
      <c r="Q4899" s="5" t="str">
        <f t="shared" si="1"/>
        <v>২ পরে</v>
      </c>
    </row>
    <row r="4900">
      <c r="A4900" s="4">
        <v>2737.0</v>
      </c>
      <c r="B4900" s="2" t="s">
        <v>20090</v>
      </c>
      <c r="C4900" s="2" t="s">
        <v>20090</v>
      </c>
      <c r="D4900" s="2" t="s">
        <v>20091</v>
      </c>
      <c r="E4900" s="2" t="s">
        <v>20092</v>
      </c>
      <c r="F4900" s="2" t="b">
        <v>1</v>
      </c>
      <c r="G4900" s="2" t="b">
        <v>0</v>
      </c>
      <c r="H4900" s="2" t="s">
        <v>37</v>
      </c>
      <c r="I4900" s="2" t="s">
        <v>22</v>
      </c>
      <c r="J4900" s="2" t="s">
        <v>1987</v>
      </c>
      <c r="K4900" s="2" t="s">
        <v>495</v>
      </c>
      <c r="L4900" s="13" t="s">
        <v>496</v>
      </c>
      <c r="M4900" s="2" t="s">
        <v>26</v>
      </c>
      <c r="N4900" s="29"/>
      <c r="O4900" s="29"/>
      <c r="P4900" s="5" t="str">
        <f>IFERROR(__xludf.DUMMYFUNCTION("TEXTJOIN("" | "",TRUE,IF(OR(D4900="""",E4900="""",I4900="""",J4900="""",H4900=""""),""ফাঁকা ঘর"",""""),IF(AND(C4900&lt;&gt;"""",D4900&lt;&gt;"""",C4900=D4900),""gloss=figurative"",""""),IF(LEN(D4900)&lt;15,""figurative ছোট"",""""),IF(AND(I4900=""Positive"",REGEXMATCH(H4"&amp;"900,""মূর্খ|ভণ্ড|প্রতার|অলস|লোভ|স্বার্থ|অক্ষম|অযোগ্য|বোকা|কৃপণ|হিংস"")),""valence-target অমিল"",""""),IF(COUNTIF($B:$B,B4900)&gt;1,""ডুপ্লিকেট"",""""))"),"")</f>
        <v/>
      </c>
      <c r="Q4900" s="5" t="str">
        <f t="shared" si="1"/>
        <v>২ পরে</v>
      </c>
    </row>
    <row r="4901">
      <c r="A4901" s="4">
        <v>2738.0</v>
      </c>
      <c r="B4901" s="2" t="s">
        <v>20093</v>
      </c>
      <c r="C4901" s="2" t="s">
        <v>20094</v>
      </c>
      <c r="D4901" s="2" t="s">
        <v>20095</v>
      </c>
      <c r="E4901" s="2" t="s">
        <v>20096</v>
      </c>
      <c r="F4901" s="2" t="b">
        <v>1</v>
      </c>
      <c r="G4901" s="2" t="b">
        <v>0</v>
      </c>
      <c r="H4901" s="2" t="s">
        <v>37</v>
      </c>
      <c r="I4901" s="2" t="s">
        <v>32</v>
      </c>
      <c r="J4901" s="2" t="s">
        <v>729</v>
      </c>
      <c r="K4901" s="2" t="s">
        <v>495</v>
      </c>
      <c r="L4901" s="13" t="s">
        <v>496</v>
      </c>
      <c r="M4901" s="2" t="s">
        <v>26</v>
      </c>
      <c r="N4901" s="29"/>
      <c r="O4901" s="29"/>
      <c r="P4901" s="5" t="str">
        <f>IFERROR(__xludf.DUMMYFUNCTION("TEXTJOIN("" | "",TRUE,IF(OR(D4901="""",E4901="""",I4901="""",J4901="""",H4901=""""),""ফাঁকা ঘর"",""""),IF(AND(C4901&lt;&gt;"""",D4901&lt;&gt;"""",C4901=D4901),""gloss=figurative"",""""),IF(LEN(D4901)&lt;15,""figurative ছোট"",""""),IF(AND(I4901=""Positive"",REGEXMATCH(H4"&amp;"901,""মূর্খ|ভণ্ড|প্রতার|অলস|লোভ|স্বার্থ|অক্ষম|অযোগ্য|বোকা|কৃপণ|হিংস"")),""valence-target অমিল"",""""),IF(COUNTIF($B:$B,B4901)&gt;1,""ডুপ্লিকেট"",""""))"),"")</f>
        <v/>
      </c>
      <c r="Q4901" s="5" t="str">
        <f t="shared" si="1"/>
        <v>২ পরে</v>
      </c>
    </row>
    <row r="4902">
      <c r="A4902" s="4">
        <v>2739.0</v>
      </c>
      <c r="B4902" s="2" t="s">
        <v>20097</v>
      </c>
      <c r="C4902" s="2" t="s">
        <v>20097</v>
      </c>
      <c r="D4902" s="2" t="s">
        <v>20098</v>
      </c>
      <c r="E4902" s="2" t="s">
        <v>20099</v>
      </c>
      <c r="F4902" s="2" t="b">
        <v>1</v>
      </c>
      <c r="G4902" s="2" t="b">
        <v>0</v>
      </c>
      <c r="H4902" s="2" t="s">
        <v>37</v>
      </c>
      <c r="I4902" s="2" t="s">
        <v>22</v>
      </c>
      <c r="J4902" s="2" t="s">
        <v>729</v>
      </c>
      <c r="K4902" s="2" t="s">
        <v>495</v>
      </c>
      <c r="L4902" s="13" t="s">
        <v>496</v>
      </c>
      <c r="M4902" s="2" t="s">
        <v>26</v>
      </c>
      <c r="N4902" s="29"/>
      <c r="O4902" s="29"/>
      <c r="P4902" s="5" t="str">
        <f>IFERROR(__xludf.DUMMYFUNCTION("TEXTJOIN("" | "",TRUE,IF(OR(D4902="""",E4902="""",I4902="""",J4902="""",H4902=""""),""ফাঁকা ঘর"",""""),IF(AND(C4902&lt;&gt;"""",D4902&lt;&gt;"""",C4902=D4902),""gloss=figurative"",""""),IF(LEN(D4902)&lt;15,""figurative ছোট"",""""),IF(AND(I4902=""Positive"",REGEXMATCH(H4"&amp;"902,""মূর্খ|ভণ্ড|প্রতার|অলস|লোভ|স্বার্থ|অক্ষম|অযোগ্য|বোকা|কৃপণ|হিংস"")),""valence-target অমিল"",""""),IF(COUNTIF($B:$B,B4902)&gt;1,""ডুপ্লিকেট"",""""))"),"")</f>
        <v/>
      </c>
      <c r="Q4902" s="5" t="str">
        <f t="shared" si="1"/>
        <v>২ পরে</v>
      </c>
    </row>
    <row r="4903">
      <c r="A4903" s="4">
        <v>2740.0</v>
      </c>
      <c r="B4903" s="2" t="s">
        <v>20100</v>
      </c>
      <c r="C4903" s="2" t="s">
        <v>20100</v>
      </c>
      <c r="D4903" s="2" t="s">
        <v>20101</v>
      </c>
      <c r="E4903" s="2" t="s">
        <v>20102</v>
      </c>
      <c r="F4903" s="2" t="b">
        <v>1</v>
      </c>
      <c r="G4903" s="2" t="b">
        <v>0</v>
      </c>
      <c r="H4903" s="2" t="s">
        <v>37</v>
      </c>
      <c r="I4903" s="2" t="s">
        <v>22</v>
      </c>
      <c r="J4903" s="2" t="s">
        <v>1013</v>
      </c>
      <c r="K4903" s="2" t="s">
        <v>495</v>
      </c>
      <c r="L4903" s="13" t="s">
        <v>496</v>
      </c>
      <c r="M4903" s="2" t="s">
        <v>26</v>
      </c>
      <c r="N4903" s="29"/>
      <c r="O4903" s="29"/>
      <c r="P4903" s="5" t="str">
        <f>IFERROR(__xludf.DUMMYFUNCTION("TEXTJOIN("" | "",TRUE,IF(OR(D4903="""",E4903="""",I4903="""",J4903="""",H4903=""""),""ফাঁকা ঘর"",""""),IF(AND(C4903&lt;&gt;"""",D4903&lt;&gt;"""",C4903=D4903),""gloss=figurative"",""""),IF(LEN(D4903)&lt;15,""figurative ছোট"",""""),IF(AND(I4903=""Positive"",REGEXMATCH(H4"&amp;"903,""মূর্খ|ভণ্ড|প্রতার|অলস|লোভ|স্বার্থ|অক্ষম|অযোগ্য|বোকা|কৃপণ|হিংস"")),""valence-target অমিল"",""""),IF(COUNTIF($B:$B,B4903)&gt;1,""ডুপ্লিকেট"",""""))"),"")</f>
        <v/>
      </c>
      <c r="Q4903" s="5" t="str">
        <f t="shared" si="1"/>
        <v>২ পরে</v>
      </c>
    </row>
    <row r="4904">
      <c r="A4904" s="4">
        <v>2741.0</v>
      </c>
      <c r="B4904" s="2" t="s">
        <v>20103</v>
      </c>
      <c r="C4904" s="2" t="s">
        <v>20104</v>
      </c>
      <c r="D4904" s="2" t="s">
        <v>20105</v>
      </c>
      <c r="E4904" s="2" t="s">
        <v>20106</v>
      </c>
      <c r="F4904" s="2" t="b">
        <v>1</v>
      </c>
      <c r="G4904" s="2" t="b">
        <v>1</v>
      </c>
      <c r="H4904" s="2" t="s">
        <v>20107</v>
      </c>
      <c r="I4904" s="2" t="s">
        <v>32</v>
      </c>
      <c r="J4904" s="2" t="s">
        <v>20108</v>
      </c>
      <c r="K4904" s="2" t="s">
        <v>495</v>
      </c>
      <c r="L4904" s="13" t="s">
        <v>496</v>
      </c>
      <c r="M4904" s="2" t="s">
        <v>26</v>
      </c>
      <c r="N4904" s="29"/>
      <c r="O4904" s="29"/>
      <c r="P4904" s="5" t="str">
        <f>IFERROR(__xludf.DUMMYFUNCTION("TEXTJOIN("" | "",TRUE,IF(OR(D4904="""",E4904="""",I4904="""",J4904="""",H4904=""""),""ফাঁকা ঘর"",""""),IF(AND(C4904&lt;&gt;"""",D4904&lt;&gt;"""",C4904=D4904),""gloss=figurative"",""""),IF(LEN(D4904)&lt;15,""figurative ছোট"",""""),IF(AND(I4904=""Positive"",REGEXMATCH(H4"&amp;"904,""মূর্খ|ভণ্ড|প্রতার|অলস|লোভ|স্বার্থ|অক্ষম|অযোগ্য|বোকা|কৃপণ|হিংস"")),""valence-target অমিল"",""""),IF(COUNTIF($B:$B,B4904)&gt;1,""ডুপ্লিকেট"",""""))"),"")</f>
        <v/>
      </c>
      <c r="Q4904" s="5" t="str">
        <f t="shared" si="1"/>
        <v>২ পরে</v>
      </c>
    </row>
    <row r="4905">
      <c r="A4905" s="4">
        <v>2742.0</v>
      </c>
      <c r="B4905" s="2" t="s">
        <v>20109</v>
      </c>
      <c r="C4905" s="2" t="s">
        <v>20110</v>
      </c>
      <c r="D4905" s="2" t="s">
        <v>20111</v>
      </c>
      <c r="E4905" s="2" t="s">
        <v>20112</v>
      </c>
      <c r="F4905" s="2" t="b">
        <v>1</v>
      </c>
      <c r="G4905" s="2" t="b">
        <v>1</v>
      </c>
      <c r="H4905" s="2" t="s">
        <v>20107</v>
      </c>
      <c r="I4905" s="2" t="s">
        <v>32</v>
      </c>
      <c r="J4905" s="2" t="s">
        <v>20108</v>
      </c>
      <c r="K4905" s="2" t="s">
        <v>495</v>
      </c>
      <c r="L4905" s="13" t="s">
        <v>496</v>
      </c>
      <c r="M4905" s="2" t="s">
        <v>26</v>
      </c>
      <c r="N4905" s="29"/>
      <c r="O4905" s="29"/>
      <c r="P4905" s="5" t="str">
        <f>IFERROR(__xludf.DUMMYFUNCTION("TEXTJOIN("" | "",TRUE,IF(OR(D4905="""",E4905="""",I4905="""",J4905="""",H4905=""""),""ফাঁকা ঘর"",""""),IF(AND(C4905&lt;&gt;"""",D4905&lt;&gt;"""",C4905=D4905),""gloss=figurative"",""""),IF(LEN(D4905)&lt;15,""figurative ছোট"",""""),IF(AND(I4905=""Positive"",REGEXMATCH(H4"&amp;"905,""মূর্খ|ভণ্ড|প্রতার|অলস|লোভ|স্বার্থ|অক্ষম|অযোগ্য|বোকা|কৃপণ|হিংস"")),""valence-target অমিল"",""""),IF(COUNTIF($B:$B,B4905)&gt;1,""ডুপ্লিকেট"",""""))"),"")</f>
        <v/>
      </c>
      <c r="Q4905" s="5" t="str">
        <f t="shared" si="1"/>
        <v>২ পরে</v>
      </c>
    </row>
    <row r="4906">
      <c r="A4906" s="4">
        <v>2743.0</v>
      </c>
      <c r="B4906" s="2" t="s">
        <v>20113</v>
      </c>
      <c r="C4906" s="2" t="s">
        <v>20114</v>
      </c>
      <c r="D4906" s="2" t="s">
        <v>20115</v>
      </c>
      <c r="E4906" s="2" t="s">
        <v>20116</v>
      </c>
      <c r="F4906" s="2" t="b">
        <v>1</v>
      </c>
      <c r="G4906" s="2" t="b">
        <v>0</v>
      </c>
      <c r="H4906" s="2" t="s">
        <v>37</v>
      </c>
      <c r="I4906" s="2" t="s">
        <v>22</v>
      </c>
      <c r="J4906" s="2" t="s">
        <v>1630</v>
      </c>
      <c r="K4906" s="2" t="s">
        <v>495</v>
      </c>
      <c r="L4906" s="13" t="s">
        <v>496</v>
      </c>
      <c r="M4906" s="2" t="s">
        <v>26</v>
      </c>
      <c r="N4906" s="29"/>
      <c r="O4906" s="29"/>
      <c r="P4906" s="5" t="str">
        <f>IFERROR(__xludf.DUMMYFUNCTION("TEXTJOIN("" | "",TRUE,IF(OR(D4906="""",E4906="""",I4906="""",J4906="""",H4906=""""),""ফাঁকা ঘর"",""""),IF(AND(C4906&lt;&gt;"""",D4906&lt;&gt;"""",C4906=D4906),""gloss=figurative"",""""),IF(LEN(D4906)&lt;15,""figurative ছোট"",""""),IF(AND(I4906=""Positive"",REGEXMATCH(H4"&amp;"906,""মূর্খ|ভণ্ড|প্রতার|অলস|লোভ|স্বার্থ|অক্ষম|অযোগ্য|বোকা|কৃপণ|হিংস"")),""valence-target অমিল"",""""),IF(COUNTIF($B:$B,B4906)&gt;1,""ডুপ্লিকেট"",""""))"),"")</f>
        <v/>
      </c>
      <c r="Q4906" s="5" t="str">
        <f t="shared" si="1"/>
        <v>২ পরে</v>
      </c>
    </row>
    <row r="4907">
      <c r="A4907" s="4">
        <v>2744.0</v>
      </c>
      <c r="B4907" s="2" t="s">
        <v>20117</v>
      </c>
      <c r="C4907" s="2" t="s">
        <v>20118</v>
      </c>
      <c r="D4907" s="2" t="s">
        <v>20119</v>
      </c>
      <c r="E4907" s="2" t="s">
        <v>20120</v>
      </c>
      <c r="F4907" s="2" t="b">
        <v>1</v>
      </c>
      <c r="G4907" s="2" t="b">
        <v>0</v>
      </c>
      <c r="H4907" s="2" t="s">
        <v>37</v>
      </c>
      <c r="I4907" s="2" t="s">
        <v>22</v>
      </c>
      <c r="J4907" s="2" t="s">
        <v>565</v>
      </c>
      <c r="K4907" s="2" t="s">
        <v>495</v>
      </c>
      <c r="L4907" s="13" t="s">
        <v>496</v>
      </c>
      <c r="M4907" s="2" t="s">
        <v>26</v>
      </c>
      <c r="N4907" s="29"/>
      <c r="O4907" s="29"/>
      <c r="P4907" s="5" t="str">
        <f>IFERROR(__xludf.DUMMYFUNCTION("TEXTJOIN("" | "",TRUE,IF(OR(D4907="""",E4907="""",I4907="""",J4907="""",H4907=""""),""ফাঁকা ঘর"",""""),IF(AND(C4907&lt;&gt;"""",D4907&lt;&gt;"""",C4907=D4907),""gloss=figurative"",""""),IF(LEN(D4907)&lt;15,""figurative ছোট"",""""),IF(AND(I4907=""Positive"",REGEXMATCH(H4"&amp;"907,""মূর্খ|ভণ্ড|প্রতার|অলস|লোভ|স্বার্থ|অক্ষম|অযোগ্য|বোকা|কৃপণ|হিংস"")),""valence-target অমিল"",""""),IF(COUNTIF($B:$B,B4907)&gt;1,""ডুপ্লিকেট"",""""))"),"")</f>
        <v/>
      </c>
      <c r="Q4907" s="5" t="str">
        <f t="shared" si="1"/>
        <v>২ পরে</v>
      </c>
    </row>
    <row r="4908">
      <c r="A4908" s="4">
        <v>2745.0</v>
      </c>
      <c r="B4908" s="2" t="s">
        <v>20121</v>
      </c>
      <c r="C4908" s="2" t="s">
        <v>20122</v>
      </c>
      <c r="D4908" s="2" t="s">
        <v>20123</v>
      </c>
      <c r="E4908" s="2" t="s">
        <v>20124</v>
      </c>
      <c r="F4908" s="2" t="b">
        <v>1</v>
      </c>
      <c r="G4908" s="2" t="b">
        <v>0</v>
      </c>
      <c r="H4908" s="2" t="s">
        <v>37</v>
      </c>
      <c r="I4908" s="2" t="s">
        <v>49</v>
      </c>
      <c r="J4908" s="2" t="s">
        <v>565</v>
      </c>
      <c r="K4908" s="2" t="s">
        <v>495</v>
      </c>
      <c r="L4908" s="13" t="s">
        <v>496</v>
      </c>
      <c r="M4908" s="2" t="s">
        <v>26</v>
      </c>
      <c r="N4908" s="29"/>
      <c r="O4908" s="29"/>
      <c r="P4908" s="5" t="str">
        <f>IFERROR(__xludf.DUMMYFUNCTION("TEXTJOIN("" | "",TRUE,IF(OR(D4908="""",E4908="""",I4908="""",J4908="""",H4908=""""),""ফাঁকা ঘর"",""""),IF(AND(C4908&lt;&gt;"""",D4908&lt;&gt;"""",C4908=D4908),""gloss=figurative"",""""),IF(LEN(D4908)&lt;15,""figurative ছোট"",""""),IF(AND(I4908=""Positive"",REGEXMATCH(H4"&amp;"908,""মূর্খ|ভণ্ড|প্রতার|অলস|লোভ|স্বার্থ|অক্ষম|অযোগ্য|বোকা|কৃপণ|হিংস"")),""valence-target অমিল"",""""),IF(COUNTIF($B:$B,B4908)&gt;1,""ডুপ্লিকেট"",""""))"),"")</f>
        <v/>
      </c>
      <c r="Q4908" s="5" t="str">
        <f t="shared" si="1"/>
        <v>২ পরে</v>
      </c>
    </row>
    <row r="4909">
      <c r="A4909" s="4">
        <v>2746.0</v>
      </c>
      <c r="B4909" s="2" t="s">
        <v>20125</v>
      </c>
      <c r="C4909" s="2" t="s">
        <v>20125</v>
      </c>
      <c r="D4909" s="2" t="s">
        <v>20126</v>
      </c>
      <c r="E4909" s="2" t="s">
        <v>20127</v>
      </c>
      <c r="F4909" s="2" t="b">
        <v>1</v>
      </c>
      <c r="G4909" s="2" t="b">
        <v>0</v>
      </c>
      <c r="H4909" s="2" t="s">
        <v>20128</v>
      </c>
      <c r="I4909" s="2" t="s">
        <v>22</v>
      </c>
      <c r="J4909" s="2" t="s">
        <v>750</v>
      </c>
      <c r="K4909" s="2" t="s">
        <v>495</v>
      </c>
      <c r="L4909" s="13" t="s">
        <v>496</v>
      </c>
      <c r="M4909" s="2" t="s">
        <v>26</v>
      </c>
      <c r="N4909" s="29"/>
      <c r="O4909" s="29"/>
      <c r="P4909" s="5" t="str">
        <f>IFERROR(__xludf.DUMMYFUNCTION("TEXTJOIN("" | "",TRUE,IF(OR(D4909="""",E4909="""",I4909="""",J4909="""",H4909=""""),""ফাঁকা ঘর"",""""),IF(AND(C4909&lt;&gt;"""",D4909&lt;&gt;"""",C4909=D4909),""gloss=figurative"",""""),IF(LEN(D4909)&lt;15,""figurative ছোট"",""""),IF(AND(I4909=""Positive"",REGEXMATCH(H4"&amp;"909,""মূর্খ|ভণ্ড|প্রতার|অলস|লোভ|স্বার্থ|অক্ষম|অযোগ্য|বোকা|কৃপণ|হিংস"")),""valence-target অমিল"",""""),IF(COUNTIF($B:$B,B4909)&gt;1,""ডুপ্লিকেট"",""""))"),"")</f>
        <v/>
      </c>
      <c r="Q4909" s="5" t="str">
        <f t="shared" si="1"/>
        <v>২ পরে</v>
      </c>
    </row>
    <row r="4910">
      <c r="A4910" s="4">
        <v>2747.0</v>
      </c>
      <c r="B4910" s="2" t="s">
        <v>20129</v>
      </c>
      <c r="C4910" s="2" t="s">
        <v>20130</v>
      </c>
      <c r="D4910" s="2" t="s">
        <v>20131</v>
      </c>
      <c r="E4910" s="2" t="s">
        <v>20132</v>
      </c>
      <c r="F4910" s="2" t="b">
        <v>1</v>
      </c>
      <c r="G4910" s="2" t="b">
        <v>0</v>
      </c>
      <c r="H4910" s="2" t="s">
        <v>37</v>
      </c>
      <c r="I4910" s="2" t="s">
        <v>32</v>
      </c>
      <c r="J4910" s="2" t="s">
        <v>729</v>
      </c>
      <c r="K4910" s="2" t="s">
        <v>495</v>
      </c>
      <c r="L4910" s="13" t="s">
        <v>496</v>
      </c>
      <c r="M4910" s="2" t="s">
        <v>26</v>
      </c>
      <c r="N4910" s="29"/>
      <c r="O4910" s="29"/>
      <c r="P4910" s="5" t="str">
        <f>IFERROR(__xludf.DUMMYFUNCTION("TEXTJOIN("" | "",TRUE,IF(OR(D4910="""",E4910="""",I4910="""",J4910="""",H4910=""""),""ফাঁকা ঘর"",""""),IF(AND(C4910&lt;&gt;"""",D4910&lt;&gt;"""",C4910=D4910),""gloss=figurative"",""""),IF(LEN(D4910)&lt;15,""figurative ছোট"",""""),IF(AND(I4910=""Positive"",REGEXMATCH(H4"&amp;"910,""মূর্খ|ভণ্ড|প্রতার|অলস|লোভ|স্বার্থ|অক্ষম|অযোগ্য|বোকা|কৃপণ|হিংস"")),""valence-target অমিল"",""""),IF(COUNTIF($B:$B,B4910)&gt;1,""ডুপ্লিকেট"",""""))"),"")</f>
        <v/>
      </c>
      <c r="Q4910" s="5" t="str">
        <f t="shared" si="1"/>
        <v>২ পরে</v>
      </c>
    </row>
    <row r="4911">
      <c r="A4911" s="4">
        <v>2748.0</v>
      </c>
      <c r="B4911" s="2" t="s">
        <v>20133</v>
      </c>
      <c r="C4911" s="2" t="s">
        <v>20134</v>
      </c>
      <c r="D4911" s="2" t="s">
        <v>20135</v>
      </c>
      <c r="E4911" s="2" t="s">
        <v>20136</v>
      </c>
      <c r="F4911" s="2" t="b">
        <v>1</v>
      </c>
      <c r="G4911" s="2" t="b">
        <v>0</v>
      </c>
      <c r="H4911" s="2" t="s">
        <v>37</v>
      </c>
      <c r="I4911" s="2" t="s">
        <v>32</v>
      </c>
      <c r="J4911" s="2" t="s">
        <v>20137</v>
      </c>
      <c r="K4911" s="2" t="s">
        <v>495</v>
      </c>
      <c r="L4911" s="13" t="s">
        <v>496</v>
      </c>
      <c r="M4911" s="2" t="s">
        <v>26</v>
      </c>
      <c r="N4911" s="29"/>
      <c r="O4911" s="29"/>
      <c r="P4911" s="5" t="str">
        <f>IFERROR(__xludf.DUMMYFUNCTION("TEXTJOIN("" | "",TRUE,IF(OR(D4911="""",E4911="""",I4911="""",J4911="""",H4911=""""),""ফাঁকা ঘর"",""""),IF(AND(C4911&lt;&gt;"""",D4911&lt;&gt;"""",C4911=D4911),""gloss=figurative"",""""),IF(LEN(D4911)&lt;15,""figurative ছোট"",""""),IF(AND(I4911=""Positive"",REGEXMATCH(H4"&amp;"911,""মূর্খ|ভণ্ড|প্রতার|অলস|লোভ|স্বার্থ|অক্ষম|অযোগ্য|বোকা|কৃপণ|হিংস"")),""valence-target অমিল"",""""),IF(COUNTIF($B:$B,B4911)&gt;1,""ডুপ্লিকেট"",""""))"),"")</f>
        <v/>
      </c>
      <c r="Q4911" s="5" t="str">
        <f t="shared" si="1"/>
        <v>২ পরে</v>
      </c>
    </row>
    <row r="4912">
      <c r="A4912" s="4">
        <v>2749.0</v>
      </c>
      <c r="B4912" s="2" t="s">
        <v>20138</v>
      </c>
      <c r="C4912" s="2" t="s">
        <v>20139</v>
      </c>
      <c r="D4912" s="2" t="s">
        <v>20140</v>
      </c>
      <c r="E4912" s="2" t="s">
        <v>20141</v>
      </c>
      <c r="F4912" s="2" t="b">
        <v>1</v>
      </c>
      <c r="G4912" s="2" t="b">
        <v>0</v>
      </c>
      <c r="H4912" s="2" t="s">
        <v>37</v>
      </c>
      <c r="I4912" s="2" t="s">
        <v>22</v>
      </c>
      <c r="J4912" s="2" t="s">
        <v>2040</v>
      </c>
      <c r="K4912" s="2" t="s">
        <v>495</v>
      </c>
      <c r="L4912" s="13" t="s">
        <v>496</v>
      </c>
      <c r="M4912" s="2" t="s">
        <v>26</v>
      </c>
      <c r="N4912" s="29"/>
      <c r="O4912" s="29"/>
      <c r="P4912" s="5" t="str">
        <f>IFERROR(__xludf.DUMMYFUNCTION("TEXTJOIN("" | "",TRUE,IF(OR(D4912="""",E4912="""",I4912="""",J4912="""",H4912=""""),""ফাঁকা ঘর"",""""),IF(AND(C4912&lt;&gt;"""",D4912&lt;&gt;"""",C4912=D4912),""gloss=figurative"",""""),IF(LEN(D4912)&lt;15,""figurative ছোট"",""""),IF(AND(I4912=""Positive"",REGEXMATCH(H4"&amp;"912,""মূর্খ|ভণ্ড|প্রতার|অলস|লোভ|স্বার্থ|অক্ষম|অযোগ্য|বোকা|কৃপণ|হিংস"")),""valence-target অমিল"",""""),IF(COUNTIF($B:$B,B4912)&gt;1,""ডুপ্লিকেট"",""""))"),"")</f>
        <v/>
      </c>
      <c r="Q4912" s="5" t="str">
        <f t="shared" si="1"/>
        <v>২ পরে</v>
      </c>
    </row>
    <row r="4913">
      <c r="A4913" s="4">
        <v>2750.0</v>
      </c>
      <c r="B4913" s="2" t="s">
        <v>20142</v>
      </c>
      <c r="C4913" s="2" t="s">
        <v>20143</v>
      </c>
      <c r="D4913" s="2" t="s">
        <v>20144</v>
      </c>
      <c r="E4913" s="2" t="s">
        <v>20096</v>
      </c>
      <c r="F4913" s="2" t="b">
        <v>1</v>
      </c>
      <c r="G4913" s="2" t="b">
        <v>0</v>
      </c>
      <c r="H4913" s="2" t="s">
        <v>37</v>
      </c>
      <c r="I4913" s="2" t="s">
        <v>32</v>
      </c>
      <c r="J4913" s="2" t="s">
        <v>729</v>
      </c>
      <c r="K4913" s="2" t="s">
        <v>495</v>
      </c>
      <c r="L4913" s="13" t="s">
        <v>496</v>
      </c>
      <c r="M4913" s="2" t="s">
        <v>26</v>
      </c>
      <c r="N4913" s="29"/>
      <c r="O4913" s="29"/>
      <c r="P4913" s="5" t="str">
        <f>IFERROR(__xludf.DUMMYFUNCTION("TEXTJOIN("" | "",TRUE,IF(OR(D4913="""",E4913="""",I4913="""",J4913="""",H4913=""""),""ফাঁকা ঘর"",""""),IF(AND(C4913&lt;&gt;"""",D4913&lt;&gt;"""",C4913=D4913),""gloss=figurative"",""""),IF(LEN(D4913)&lt;15,""figurative ছোট"",""""),IF(AND(I4913=""Positive"",REGEXMATCH(H4"&amp;"913,""মূর্খ|ভণ্ড|প্রতার|অলস|লোভ|স্বার্থ|অক্ষম|অযোগ্য|বোকা|কৃপণ|হিংস"")),""valence-target অমিল"",""""),IF(COUNTIF($B:$B,B4913)&gt;1,""ডুপ্লিকেট"",""""))"),"")</f>
        <v/>
      </c>
      <c r="Q4913" s="5" t="str">
        <f t="shared" si="1"/>
        <v>২ পরে</v>
      </c>
    </row>
    <row r="4914">
      <c r="A4914" s="4">
        <v>2751.0</v>
      </c>
      <c r="B4914" s="2" t="s">
        <v>20145</v>
      </c>
      <c r="C4914" s="2" t="s">
        <v>20146</v>
      </c>
      <c r="D4914" s="2" t="s">
        <v>20147</v>
      </c>
      <c r="E4914" s="2" t="s">
        <v>20148</v>
      </c>
      <c r="F4914" s="2" t="b">
        <v>1</v>
      </c>
      <c r="G4914" s="2" t="b">
        <v>0</v>
      </c>
      <c r="H4914" s="2" t="s">
        <v>37</v>
      </c>
      <c r="I4914" s="2" t="s">
        <v>49</v>
      </c>
      <c r="J4914" s="2" t="s">
        <v>2575</v>
      </c>
      <c r="K4914" s="2" t="s">
        <v>495</v>
      </c>
      <c r="L4914" s="13" t="s">
        <v>496</v>
      </c>
      <c r="M4914" s="2" t="s">
        <v>26</v>
      </c>
      <c r="N4914" s="29"/>
      <c r="O4914" s="29"/>
      <c r="P4914" s="5" t="str">
        <f>IFERROR(__xludf.DUMMYFUNCTION("TEXTJOIN("" | "",TRUE,IF(OR(D4914="""",E4914="""",I4914="""",J4914="""",H4914=""""),""ফাঁকা ঘর"",""""),IF(AND(C4914&lt;&gt;"""",D4914&lt;&gt;"""",C4914=D4914),""gloss=figurative"",""""),IF(LEN(D4914)&lt;15,""figurative ছোট"",""""),IF(AND(I4914=""Positive"",REGEXMATCH(H4"&amp;"914,""মূর্খ|ভণ্ড|প্রতার|অলস|লোভ|স্বার্থ|অক্ষম|অযোগ্য|বোকা|কৃপণ|হিংস"")),""valence-target অমিল"",""""),IF(COUNTIF($B:$B,B4914)&gt;1,""ডুপ্লিকেট"",""""))"),"")</f>
        <v/>
      </c>
      <c r="Q4914" s="5" t="str">
        <f t="shared" si="1"/>
        <v>২ পরে</v>
      </c>
    </row>
    <row r="4915">
      <c r="A4915" s="4">
        <v>2752.0</v>
      </c>
      <c r="B4915" s="2" t="s">
        <v>20149</v>
      </c>
      <c r="C4915" s="2" t="s">
        <v>20150</v>
      </c>
      <c r="D4915" s="2" t="s">
        <v>20151</v>
      </c>
      <c r="E4915" s="2" t="s">
        <v>20152</v>
      </c>
      <c r="F4915" s="2" t="b">
        <v>1</v>
      </c>
      <c r="G4915" s="2" t="b">
        <v>0</v>
      </c>
      <c r="H4915" s="2" t="s">
        <v>37</v>
      </c>
      <c r="I4915" s="2" t="s">
        <v>49</v>
      </c>
      <c r="J4915" s="2" t="s">
        <v>2575</v>
      </c>
      <c r="K4915" s="2" t="s">
        <v>495</v>
      </c>
      <c r="L4915" s="13" t="s">
        <v>496</v>
      </c>
      <c r="M4915" s="2" t="s">
        <v>26</v>
      </c>
      <c r="N4915" s="29"/>
      <c r="O4915" s="29"/>
      <c r="P4915" s="5" t="str">
        <f>IFERROR(__xludf.DUMMYFUNCTION("TEXTJOIN("" | "",TRUE,IF(OR(D4915="""",E4915="""",I4915="""",J4915="""",H4915=""""),""ফাঁকা ঘর"",""""),IF(AND(C4915&lt;&gt;"""",D4915&lt;&gt;"""",C4915=D4915),""gloss=figurative"",""""),IF(LEN(D4915)&lt;15,""figurative ছোট"",""""),IF(AND(I4915=""Positive"",REGEXMATCH(H4"&amp;"915,""মূর্খ|ভণ্ড|প্রতার|অলস|লোভ|স্বার্থ|অক্ষম|অযোগ্য|বোকা|কৃপণ|হিংস"")),""valence-target অমিল"",""""),IF(COUNTIF($B:$B,B4915)&gt;1,""ডুপ্লিকেট"",""""))"),"")</f>
        <v/>
      </c>
      <c r="Q4915" s="5" t="str">
        <f t="shared" si="1"/>
        <v>২ পরে</v>
      </c>
    </row>
    <row r="4916">
      <c r="A4916" s="4">
        <v>2753.0</v>
      </c>
      <c r="B4916" s="2" t="s">
        <v>20153</v>
      </c>
      <c r="C4916" s="2" t="s">
        <v>20154</v>
      </c>
      <c r="D4916" s="2" t="s">
        <v>20155</v>
      </c>
      <c r="E4916" s="2" t="s">
        <v>20156</v>
      </c>
      <c r="F4916" s="2" t="b">
        <v>1</v>
      </c>
      <c r="G4916" s="2" t="b">
        <v>1</v>
      </c>
      <c r="H4916" s="2" t="s">
        <v>20157</v>
      </c>
      <c r="I4916" s="2" t="s">
        <v>22</v>
      </c>
      <c r="J4916" s="2" t="s">
        <v>20158</v>
      </c>
      <c r="K4916" s="2" t="s">
        <v>495</v>
      </c>
      <c r="L4916" s="13" t="s">
        <v>496</v>
      </c>
      <c r="M4916" s="2" t="s">
        <v>26</v>
      </c>
      <c r="N4916" s="29"/>
      <c r="O4916" s="29"/>
      <c r="P4916" s="5" t="str">
        <f>IFERROR(__xludf.DUMMYFUNCTION("TEXTJOIN("" | "",TRUE,IF(OR(D4916="""",E4916="""",I4916="""",J4916="""",H4916=""""),""ফাঁকা ঘর"",""""),IF(AND(C4916&lt;&gt;"""",D4916&lt;&gt;"""",C4916=D4916),""gloss=figurative"",""""),IF(LEN(D4916)&lt;15,""figurative ছোট"",""""),IF(AND(I4916=""Positive"",REGEXMATCH(H4"&amp;"916,""মূর্খ|ভণ্ড|প্রতার|অলস|লোভ|স্বার্থ|অক্ষম|অযোগ্য|বোকা|কৃপণ|হিংস"")),""valence-target অমিল"",""""),IF(COUNTIF($B:$B,B4916)&gt;1,""ডুপ্লিকেট"",""""))"),"")</f>
        <v/>
      </c>
      <c r="Q4916" s="5" t="str">
        <f t="shared" si="1"/>
        <v>২ পরে</v>
      </c>
    </row>
    <row r="4917">
      <c r="A4917" s="4">
        <v>2754.0</v>
      </c>
      <c r="B4917" s="2" t="s">
        <v>20159</v>
      </c>
      <c r="C4917" s="2" t="s">
        <v>20160</v>
      </c>
      <c r="D4917" s="2" t="s">
        <v>20161</v>
      </c>
      <c r="E4917" s="2" t="s">
        <v>20162</v>
      </c>
      <c r="F4917" s="2" t="b">
        <v>1</v>
      </c>
      <c r="G4917" s="2" t="b">
        <v>1</v>
      </c>
      <c r="H4917" s="2" t="s">
        <v>20157</v>
      </c>
      <c r="I4917" s="2" t="s">
        <v>22</v>
      </c>
      <c r="J4917" s="2" t="s">
        <v>729</v>
      </c>
      <c r="K4917" s="2" t="s">
        <v>495</v>
      </c>
      <c r="L4917" s="13" t="s">
        <v>496</v>
      </c>
      <c r="M4917" s="2" t="s">
        <v>26</v>
      </c>
      <c r="N4917" s="29"/>
      <c r="O4917" s="29"/>
      <c r="P4917" s="5" t="str">
        <f>IFERROR(__xludf.DUMMYFUNCTION("TEXTJOIN("" | "",TRUE,IF(OR(D4917="""",E4917="""",I4917="""",J4917="""",H4917=""""),""ফাঁকা ঘর"",""""),IF(AND(C4917&lt;&gt;"""",D4917&lt;&gt;"""",C4917=D4917),""gloss=figurative"",""""),IF(LEN(D4917)&lt;15,""figurative ছোট"",""""),IF(AND(I4917=""Positive"",REGEXMATCH(H4"&amp;"917,""মূর্খ|ভণ্ড|প্রতার|অলস|লোভ|স্বার্থ|অক্ষম|অযোগ্য|বোকা|কৃপণ|হিংস"")),""valence-target অমিল"",""""),IF(COUNTIF($B:$B,B4917)&gt;1,""ডুপ্লিকেট"",""""))"),"")</f>
        <v/>
      </c>
      <c r="Q4917" s="5" t="str">
        <f t="shared" si="1"/>
        <v>২ পরে</v>
      </c>
    </row>
    <row r="4918">
      <c r="A4918" s="4">
        <v>2755.0</v>
      </c>
      <c r="B4918" s="2" t="s">
        <v>20163</v>
      </c>
      <c r="C4918" s="2" t="s">
        <v>20164</v>
      </c>
      <c r="D4918" s="2" t="s">
        <v>20165</v>
      </c>
      <c r="E4918" s="2" t="s">
        <v>20166</v>
      </c>
      <c r="F4918" s="2" t="b">
        <v>1</v>
      </c>
      <c r="G4918" s="2" t="b">
        <v>0</v>
      </c>
      <c r="H4918" s="2" t="s">
        <v>37</v>
      </c>
      <c r="I4918" s="2" t="s">
        <v>49</v>
      </c>
      <c r="J4918" s="2" t="s">
        <v>2575</v>
      </c>
      <c r="K4918" s="2" t="s">
        <v>495</v>
      </c>
      <c r="L4918" s="13" t="s">
        <v>496</v>
      </c>
      <c r="M4918" s="2" t="s">
        <v>26</v>
      </c>
      <c r="N4918" s="29"/>
      <c r="O4918" s="29"/>
      <c r="P4918" s="5" t="str">
        <f>IFERROR(__xludf.DUMMYFUNCTION("TEXTJOIN("" | "",TRUE,IF(OR(D4918="""",E4918="""",I4918="""",J4918="""",H4918=""""),""ফাঁকা ঘর"",""""),IF(AND(C4918&lt;&gt;"""",D4918&lt;&gt;"""",C4918=D4918),""gloss=figurative"",""""),IF(LEN(D4918)&lt;15,""figurative ছোট"",""""),IF(AND(I4918=""Positive"",REGEXMATCH(H4"&amp;"918,""মূর্খ|ভণ্ড|প্রতার|অলস|লোভ|স্বার্থ|অক্ষম|অযোগ্য|বোকা|কৃপণ|হিংস"")),""valence-target অমিল"",""""),IF(COUNTIF($B:$B,B4918)&gt;1,""ডুপ্লিকেট"",""""))"),"")</f>
        <v/>
      </c>
      <c r="Q4918" s="5" t="str">
        <f t="shared" si="1"/>
        <v>২ পরে</v>
      </c>
    </row>
    <row r="4919">
      <c r="A4919" s="4">
        <v>2756.0</v>
      </c>
      <c r="B4919" s="2" t="s">
        <v>20167</v>
      </c>
      <c r="C4919" s="2" t="s">
        <v>20168</v>
      </c>
      <c r="D4919" s="2" t="s">
        <v>20169</v>
      </c>
      <c r="E4919" s="2" t="s">
        <v>20170</v>
      </c>
      <c r="F4919" s="2" t="b">
        <v>1</v>
      </c>
      <c r="G4919" s="2" t="b">
        <v>0</v>
      </c>
      <c r="H4919" s="2" t="s">
        <v>37</v>
      </c>
      <c r="I4919" s="2" t="s">
        <v>49</v>
      </c>
      <c r="J4919" s="2" t="s">
        <v>20171</v>
      </c>
      <c r="K4919" s="2" t="s">
        <v>495</v>
      </c>
      <c r="L4919" s="13" t="s">
        <v>496</v>
      </c>
      <c r="M4919" s="2" t="s">
        <v>26</v>
      </c>
      <c r="N4919" s="29"/>
      <c r="O4919" s="29"/>
      <c r="P4919" s="5" t="str">
        <f>IFERROR(__xludf.DUMMYFUNCTION("TEXTJOIN("" | "",TRUE,IF(OR(D4919="""",E4919="""",I4919="""",J4919="""",H4919=""""),""ফাঁকা ঘর"",""""),IF(AND(C4919&lt;&gt;"""",D4919&lt;&gt;"""",C4919=D4919),""gloss=figurative"",""""),IF(LEN(D4919)&lt;15,""figurative ছোট"",""""),IF(AND(I4919=""Positive"",REGEXMATCH(H4"&amp;"919,""মূর্খ|ভণ্ড|প্রতার|অলস|লোভ|স্বার্থ|অক্ষম|অযোগ্য|বোকা|কৃপণ|হিংস"")),""valence-target অমিল"",""""),IF(COUNTIF($B:$B,B4919)&gt;1,""ডুপ্লিকেট"",""""))"),"")</f>
        <v/>
      </c>
      <c r="Q4919" s="5" t="str">
        <f t="shared" si="1"/>
        <v>২ পরে</v>
      </c>
    </row>
    <row r="4920">
      <c r="A4920" s="4">
        <v>2757.0</v>
      </c>
      <c r="B4920" s="2" t="s">
        <v>20172</v>
      </c>
      <c r="C4920" s="2" t="s">
        <v>20173</v>
      </c>
      <c r="D4920" s="2" t="s">
        <v>20174</v>
      </c>
      <c r="E4920" s="2" t="s">
        <v>20175</v>
      </c>
      <c r="F4920" s="2" t="b">
        <v>1</v>
      </c>
      <c r="G4920" s="2" t="b">
        <v>0</v>
      </c>
      <c r="H4920" s="2" t="s">
        <v>37</v>
      </c>
      <c r="I4920" s="2" t="s">
        <v>32</v>
      </c>
      <c r="J4920" s="2" t="s">
        <v>1843</v>
      </c>
      <c r="K4920" s="2" t="s">
        <v>495</v>
      </c>
      <c r="L4920" s="13" t="s">
        <v>496</v>
      </c>
      <c r="M4920" s="2" t="s">
        <v>26</v>
      </c>
      <c r="N4920" s="29"/>
      <c r="O4920" s="29"/>
      <c r="P4920" s="5" t="str">
        <f>IFERROR(__xludf.DUMMYFUNCTION("TEXTJOIN("" | "",TRUE,IF(OR(D4920="""",E4920="""",I4920="""",J4920="""",H4920=""""),""ফাঁকা ঘর"",""""),IF(AND(C4920&lt;&gt;"""",D4920&lt;&gt;"""",C4920=D4920),""gloss=figurative"",""""),IF(LEN(D4920)&lt;15,""figurative ছোট"",""""),IF(AND(I4920=""Positive"",REGEXMATCH(H4"&amp;"920,""মূর্খ|ভণ্ড|প্রতার|অলস|লোভ|স্বার্থ|অক্ষম|অযোগ্য|বোকা|কৃপণ|হিংস"")),""valence-target অমিল"",""""),IF(COUNTIF($B:$B,B4920)&gt;1,""ডুপ্লিকেট"",""""))"),"")</f>
        <v/>
      </c>
      <c r="Q4920" s="5" t="str">
        <f t="shared" si="1"/>
        <v>২ পরে</v>
      </c>
    </row>
    <row r="4921">
      <c r="A4921" s="4">
        <v>2758.0</v>
      </c>
      <c r="B4921" s="2" t="s">
        <v>20176</v>
      </c>
      <c r="C4921" s="2" t="s">
        <v>10036</v>
      </c>
      <c r="D4921" s="2" t="s">
        <v>20177</v>
      </c>
      <c r="E4921" s="2" t="s">
        <v>20178</v>
      </c>
      <c r="F4921" s="2" t="b">
        <v>1</v>
      </c>
      <c r="G4921" s="2" t="b">
        <v>0</v>
      </c>
      <c r="H4921" s="2" t="s">
        <v>37</v>
      </c>
      <c r="I4921" s="2" t="s">
        <v>32</v>
      </c>
      <c r="J4921" s="2" t="s">
        <v>1111</v>
      </c>
      <c r="K4921" s="2" t="s">
        <v>495</v>
      </c>
      <c r="L4921" s="13" t="s">
        <v>496</v>
      </c>
      <c r="M4921" s="2" t="s">
        <v>26</v>
      </c>
      <c r="N4921" s="29"/>
      <c r="O4921" s="29"/>
      <c r="P4921" s="5" t="str">
        <f>IFERROR(__xludf.DUMMYFUNCTION("TEXTJOIN("" | "",TRUE,IF(OR(D4921="""",E4921="""",I4921="""",J4921="""",H4921=""""),""ফাঁকা ঘর"",""""),IF(AND(C4921&lt;&gt;"""",D4921&lt;&gt;"""",C4921=D4921),""gloss=figurative"",""""),IF(LEN(D4921)&lt;15,""figurative ছোট"",""""),IF(AND(I4921=""Positive"",REGEXMATCH(H4"&amp;"921,""মূর্খ|ভণ্ড|প্রতার|অলস|লোভ|স্বার্থ|অক্ষম|অযোগ্য|বোকা|কৃপণ|হিংস"")),""valence-target অমিল"",""""),IF(COUNTIF($B:$B,B4921)&gt;1,""ডুপ্লিকেট"",""""))"),"")</f>
        <v/>
      </c>
      <c r="Q4921" s="5" t="str">
        <f t="shared" si="1"/>
        <v>২ পরে</v>
      </c>
    </row>
    <row r="4922">
      <c r="A4922" s="4">
        <v>2759.0</v>
      </c>
      <c r="B4922" s="2" t="s">
        <v>20179</v>
      </c>
      <c r="C4922" s="2" t="s">
        <v>20180</v>
      </c>
      <c r="D4922" s="2" t="s">
        <v>20181</v>
      </c>
      <c r="E4922" s="2" t="s">
        <v>20182</v>
      </c>
      <c r="F4922" s="2" t="b">
        <v>1</v>
      </c>
      <c r="G4922" s="2" t="b">
        <v>0</v>
      </c>
      <c r="H4922" s="2" t="s">
        <v>37</v>
      </c>
      <c r="I4922" s="2" t="s">
        <v>49</v>
      </c>
      <c r="J4922" s="2" t="s">
        <v>708</v>
      </c>
      <c r="K4922" s="2" t="s">
        <v>495</v>
      </c>
      <c r="L4922" s="13" t="s">
        <v>496</v>
      </c>
      <c r="M4922" s="2" t="s">
        <v>26</v>
      </c>
      <c r="N4922" s="29"/>
      <c r="O4922" s="29"/>
      <c r="P4922" s="5" t="str">
        <f>IFERROR(__xludf.DUMMYFUNCTION("TEXTJOIN("" | "",TRUE,IF(OR(D4922="""",E4922="""",I4922="""",J4922="""",H4922=""""),""ফাঁকা ঘর"",""""),IF(AND(C4922&lt;&gt;"""",D4922&lt;&gt;"""",C4922=D4922),""gloss=figurative"",""""),IF(LEN(D4922)&lt;15,""figurative ছোট"",""""),IF(AND(I4922=""Positive"",REGEXMATCH(H4"&amp;"922,""মূর্খ|ভণ্ড|প্রতার|অলস|লোভ|স্বার্থ|অক্ষম|অযোগ্য|বোকা|কৃপণ|হিংস"")),""valence-target অমিল"",""""),IF(COUNTIF($B:$B,B4922)&gt;1,""ডুপ্লিকেট"",""""))"),"")</f>
        <v/>
      </c>
      <c r="Q4922" s="5" t="str">
        <f t="shared" si="1"/>
        <v>২ পরে</v>
      </c>
    </row>
    <row r="4923">
      <c r="A4923" s="4">
        <v>2760.0</v>
      </c>
      <c r="B4923" s="2" t="s">
        <v>20183</v>
      </c>
      <c r="C4923" s="2" t="s">
        <v>20184</v>
      </c>
      <c r="D4923" s="2" t="s">
        <v>20185</v>
      </c>
      <c r="E4923" s="2" t="s">
        <v>20186</v>
      </c>
      <c r="F4923" s="2" t="b">
        <v>1</v>
      </c>
      <c r="G4923" s="2" t="b">
        <v>0</v>
      </c>
      <c r="H4923" s="2" t="s">
        <v>37</v>
      </c>
      <c r="I4923" s="2" t="s">
        <v>22</v>
      </c>
      <c r="J4923" s="2" t="s">
        <v>5207</v>
      </c>
      <c r="K4923" s="2" t="s">
        <v>495</v>
      </c>
      <c r="L4923" s="13" t="s">
        <v>496</v>
      </c>
      <c r="M4923" s="2" t="s">
        <v>26</v>
      </c>
      <c r="N4923" s="29"/>
      <c r="O4923" s="29"/>
      <c r="P4923" s="5" t="str">
        <f>IFERROR(__xludf.DUMMYFUNCTION("TEXTJOIN("" | "",TRUE,IF(OR(D4923="""",E4923="""",I4923="""",J4923="""",H4923=""""),""ফাঁকা ঘর"",""""),IF(AND(C4923&lt;&gt;"""",D4923&lt;&gt;"""",C4923=D4923),""gloss=figurative"",""""),IF(LEN(D4923)&lt;15,""figurative ছোট"",""""),IF(AND(I4923=""Positive"",REGEXMATCH(H4"&amp;"923,""মূর্খ|ভণ্ড|প্রতার|অলস|লোভ|স্বার্থ|অক্ষম|অযোগ্য|বোকা|কৃপণ|হিংস"")),""valence-target অমিল"",""""),IF(COUNTIF($B:$B,B4923)&gt;1,""ডুপ্লিকেট"",""""))"),"")</f>
        <v/>
      </c>
      <c r="Q4923" s="5" t="str">
        <f t="shared" si="1"/>
        <v>২ পরে</v>
      </c>
    </row>
    <row r="4924">
      <c r="A4924" s="4">
        <v>2761.0</v>
      </c>
      <c r="B4924" s="2" t="s">
        <v>20187</v>
      </c>
      <c r="C4924" s="2" t="s">
        <v>20188</v>
      </c>
      <c r="D4924" s="2" t="s">
        <v>20189</v>
      </c>
      <c r="E4924" s="2" t="s">
        <v>20190</v>
      </c>
      <c r="F4924" s="2" t="b">
        <v>1</v>
      </c>
      <c r="G4924" s="2" t="b">
        <v>0</v>
      </c>
      <c r="H4924" s="2" t="s">
        <v>37</v>
      </c>
      <c r="I4924" s="2" t="s">
        <v>22</v>
      </c>
      <c r="J4924" s="2" t="s">
        <v>2316</v>
      </c>
      <c r="K4924" s="2" t="s">
        <v>495</v>
      </c>
      <c r="L4924" s="13" t="s">
        <v>496</v>
      </c>
      <c r="M4924" s="2" t="s">
        <v>26</v>
      </c>
      <c r="N4924" s="29"/>
      <c r="O4924" s="29"/>
      <c r="P4924" s="5" t="str">
        <f>IFERROR(__xludf.DUMMYFUNCTION("TEXTJOIN("" | "",TRUE,IF(OR(D4924="""",E4924="""",I4924="""",J4924="""",H4924=""""),""ফাঁকা ঘর"",""""),IF(AND(C4924&lt;&gt;"""",D4924&lt;&gt;"""",C4924=D4924),""gloss=figurative"",""""),IF(LEN(D4924)&lt;15,""figurative ছোট"",""""),IF(AND(I4924=""Positive"",REGEXMATCH(H4"&amp;"924,""মূর্খ|ভণ্ড|প্রতার|অলস|লোভ|স্বার্থ|অক্ষম|অযোগ্য|বোকা|কৃপণ|হিংস"")),""valence-target অমিল"",""""),IF(COUNTIF($B:$B,B4924)&gt;1,""ডুপ্লিকেট"",""""))"),"")</f>
        <v/>
      </c>
      <c r="Q4924" s="5" t="str">
        <f t="shared" si="1"/>
        <v>২ পরে</v>
      </c>
    </row>
    <row r="4925">
      <c r="A4925" s="4">
        <v>2762.0</v>
      </c>
      <c r="B4925" s="2" t="s">
        <v>20191</v>
      </c>
      <c r="C4925" s="2" t="s">
        <v>20192</v>
      </c>
      <c r="D4925" s="2" t="s">
        <v>20193</v>
      </c>
      <c r="E4925" s="2" t="s">
        <v>20194</v>
      </c>
      <c r="F4925" s="2" t="b">
        <v>1</v>
      </c>
      <c r="G4925" s="2" t="b">
        <v>0</v>
      </c>
      <c r="H4925" s="2" t="s">
        <v>37</v>
      </c>
      <c r="I4925" s="2" t="s">
        <v>22</v>
      </c>
      <c r="J4925" s="2" t="s">
        <v>2316</v>
      </c>
      <c r="K4925" s="2" t="s">
        <v>495</v>
      </c>
      <c r="L4925" s="13" t="s">
        <v>496</v>
      </c>
      <c r="M4925" s="2" t="s">
        <v>26</v>
      </c>
      <c r="N4925" s="29"/>
      <c r="O4925" s="29"/>
      <c r="P4925" s="5" t="str">
        <f>IFERROR(__xludf.DUMMYFUNCTION("TEXTJOIN("" | "",TRUE,IF(OR(D4925="""",E4925="""",I4925="""",J4925="""",H4925=""""),""ফাঁকা ঘর"",""""),IF(AND(C4925&lt;&gt;"""",D4925&lt;&gt;"""",C4925=D4925),""gloss=figurative"",""""),IF(LEN(D4925)&lt;15,""figurative ছোট"",""""),IF(AND(I4925=""Positive"",REGEXMATCH(H4"&amp;"925,""মূর্খ|ভণ্ড|প্রতার|অলস|লোভ|স্বার্থ|অক্ষম|অযোগ্য|বোকা|কৃপণ|হিংস"")),""valence-target অমিল"",""""),IF(COUNTIF($B:$B,B4925)&gt;1,""ডুপ্লিকেট"",""""))"),"")</f>
        <v/>
      </c>
      <c r="Q4925" s="5" t="str">
        <f t="shared" si="1"/>
        <v>২ পরে</v>
      </c>
    </row>
    <row r="4926">
      <c r="A4926" s="4">
        <v>2763.0</v>
      </c>
      <c r="B4926" s="2" t="s">
        <v>20195</v>
      </c>
      <c r="C4926" s="2" t="s">
        <v>20196</v>
      </c>
      <c r="D4926" s="2" t="s">
        <v>20197</v>
      </c>
      <c r="E4926" s="2" t="s">
        <v>20198</v>
      </c>
      <c r="F4926" s="2" t="b">
        <v>1</v>
      </c>
      <c r="G4926" s="2" t="b">
        <v>0</v>
      </c>
      <c r="H4926" s="2" t="s">
        <v>37</v>
      </c>
      <c r="I4926" s="2" t="s">
        <v>22</v>
      </c>
      <c r="J4926" s="2" t="s">
        <v>723</v>
      </c>
      <c r="K4926" s="2" t="s">
        <v>495</v>
      </c>
      <c r="L4926" s="13" t="s">
        <v>496</v>
      </c>
      <c r="M4926" s="2" t="s">
        <v>26</v>
      </c>
      <c r="N4926" s="29"/>
      <c r="O4926" s="29"/>
      <c r="P4926" s="5" t="str">
        <f>IFERROR(__xludf.DUMMYFUNCTION("TEXTJOIN("" | "",TRUE,IF(OR(D4926="""",E4926="""",I4926="""",J4926="""",H4926=""""),""ফাঁকা ঘর"",""""),IF(AND(C4926&lt;&gt;"""",D4926&lt;&gt;"""",C4926=D4926),""gloss=figurative"",""""),IF(LEN(D4926)&lt;15,""figurative ছোট"",""""),IF(AND(I4926=""Positive"",REGEXMATCH(H4"&amp;"926,""মূর্খ|ভণ্ড|প্রতার|অলস|লোভ|স্বার্থ|অক্ষম|অযোগ্য|বোকা|কৃপণ|হিংস"")),""valence-target অমিল"",""""),IF(COUNTIF($B:$B,B4926)&gt;1,""ডুপ্লিকেট"",""""))"),"")</f>
        <v/>
      </c>
      <c r="Q4926" s="5" t="str">
        <f t="shared" si="1"/>
        <v>২ পরে</v>
      </c>
    </row>
    <row r="4927">
      <c r="A4927" s="4">
        <v>2764.0</v>
      </c>
      <c r="B4927" s="2" t="s">
        <v>20199</v>
      </c>
      <c r="C4927" s="2" t="s">
        <v>20200</v>
      </c>
      <c r="D4927" s="2" t="s">
        <v>20201</v>
      </c>
      <c r="E4927" s="2" t="s">
        <v>20202</v>
      </c>
      <c r="F4927" s="2" t="b">
        <v>1</v>
      </c>
      <c r="G4927" s="2" t="b">
        <v>0</v>
      </c>
      <c r="H4927" s="2" t="s">
        <v>37</v>
      </c>
      <c r="I4927" s="2" t="s">
        <v>32</v>
      </c>
      <c r="J4927" s="2" t="s">
        <v>621</v>
      </c>
      <c r="K4927" s="2" t="s">
        <v>495</v>
      </c>
      <c r="L4927" s="13" t="s">
        <v>496</v>
      </c>
      <c r="M4927" s="2" t="s">
        <v>26</v>
      </c>
      <c r="N4927" s="29"/>
      <c r="O4927" s="29"/>
      <c r="P4927" s="5" t="str">
        <f>IFERROR(__xludf.DUMMYFUNCTION("TEXTJOIN("" | "",TRUE,IF(OR(D4927="""",E4927="""",I4927="""",J4927="""",H4927=""""),""ফাঁকা ঘর"",""""),IF(AND(C4927&lt;&gt;"""",D4927&lt;&gt;"""",C4927=D4927),""gloss=figurative"",""""),IF(LEN(D4927)&lt;15,""figurative ছোট"",""""),IF(AND(I4927=""Positive"",REGEXMATCH(H4"&amp;"927,""মূর্খ|ভণ্ড|প্রতার|অলস|লোভ|স্বার্থ|অক্ষম|অযোগ্য|বোকা|কৃপণ|হিংস"")),""valence-target অমিল"",""""),IF(COUNTIF($B:$B,B4927)&gt;1,""ডুপ্লিকেট"",""""))"),"")</f>
        <v/>
      </c>
      <c r="Q4927" s="5" t="str">
        <f t="shared" si="1"/>
        <v>২ পরে</v>
      </c>
    </row>
    <row r="4928">
      <c r="A4928" s="4">
        <v>2765.0</v>
      </c>
      <c r="B4928" s="2" t="s">
        <v>20203</v>
      </c>
      <c r="C4928" s="2" t="s">
        <v>20203</v>
      </c>
      <c r="D4928" s="2" t="s">
        <v>20204</v>
      </c>
      <c r="E4928" s="2" t="s">
        <v>20205</v>
      </c>
      <c r="F4928" s="2" t="b">
        <v>1</v>
      </c>
      <c r="G4928" s="2" t="b">
        <v>0</v>
      </c>
      <c r="H4928" s="2" t="s">
        <v>37</v>
      </c>
      <c r="I4928" s="2" t="s">
        <v>49</v>
      </c>
      <c r="J4928" s="2" t="s">
        <v>16048</v>
      </c>
      <c r="K4928" s="2" t="s">
        <v>495</v>
      </c>
      <c r="L4928" s="13" t="s">
        <v>496</v>
      </c>
      <c r="M4928" s="2" t="s">
        <v>26</v>
      </c>
      <c r="N4928" s="29"/>
      <c r="O4928" s="29"/>
      <c r="P4928" s="5" t="str">
        <f>IFERROR(__xludf.DUMMYFUNCTION("TEXTJOIN("" | "",TRUE,IF(OR(D4928="""",E4928="""",I4928="""",J4928="""",H4928=""""),""ফাঁকা ঘর"",""""),IF(AND(C4928&lt;&gt;"""",D4928&lt;&gt;"""",C4928=D4928),""gloss=figurative"",""""),IF(LEN(D4928)&lt;15,""figurative ছোট"",""""),IF(AND(I4928=""Positive"",REGEXMATCH(H4"&amp;"928,""মূর্খ|ভণ্ড|প্রতার|অলস|লোভ|স্বার্থ|অক্ষম|অযোগ্য|বোকা|কৃপণ|হিংস"")),""valence-target অমিল"",""""),IF(COUNTIF($B:$B,B4928)&gt;1,""ডুপ্লিকেট"",""""))"),"")</f>
        <v/>
      </c>
      <c r="Q4928" s="5" t="str">
        <f t="shared" si="1"/>
        <v>২ পরে</v>
      </c>
    </row>
    <row r="4929">
      <c r="A4929" s="4">
        <v>2766.0</v>
      </c>
      <c r="B4929" s="2" t="s">
        <v>20206</v>
      </c>
      <c r="C4929" s="2" t="s">
        <v>20206</v>
      </c>
      <c r="D4929" s="2" t="s">
        <v>20207</v>
      </c>
      <c r="E4929" s="2" t="s">
        <v>20208</v>
      </c>
      <c r="F4929" s="2" t="b">
        <v>1</v>
      </c>
      <c r="G4929" s="2" t="b">
        <v>0</v>
      </c>
      <c r="H4929" s="2" t="s">
        <v>8927</v>
      </c>
      <c r="I4929" s="2" t="s">
        <v>22</v>
      </c>
      <c r="J4929" s="2" t="s">
        <v>820</v>
      </c>
      <c r="K4929" s="2" t="s">
        <v>495</v>
      </c>
      <c r="L4929" s="13" t="s">
        <v>496</v>
      </c>
      <c r="M4929" s="2" t="s">
        <v>26</v>
      </c>
      <c r="N4929" s="29"/>
      <c r="O4929" s="29"/>
      <c r="P4929" s="5" t="str">
        <f>IFERROR(__xludf.DUMMYFUNCTION("TEXTJOIN("" | "",TRUE,IF(OR(D4929="""",E4929="""",I4929="""",J4929="""",H4929=""""),""ফাঁকা ঘর"",""""),IF(AND(C4929&lt;&gt;"""",D4929&lt;&gt;"""",C4929=D4929),""gloss=figurative"",""""),IF(LEN(D4929)&lt;15,""figurative ছোট"",""""),IF(AND(I4929=""Positive"",REGEXMATCH(H4"&amp;"929,""মূর্খ|ভণ্ড|প্রতার|অলস|লোভ|স্বার্থ|অক্ষম|অযোগ্য|বোকা|কৃপণ|হিংস"")),""valence-target অমিল"",""""),IF(COUNTIF($B:$B,B4929)&gt;1,""ডুপ্লিকেট"",""""))"),"")</f>
        <v/>
      </c>
      <c r="Q4929" s="5" t="str">
        <f t="shared" si="1"/>
        <v>২ পরে</v>
      </c>
    </row>
    <row r="4930">
      <c r="A4930" s="4">
        <v>2767.0</v>
      </c>
      <c r="B4930" s="2" t="s">
        <v>20209</v>
      </c>
      <c r="C4930" s="2" t="s">
        <v>20210</v>
      </c>
      <c r="D4930" s="2" t="s">
        <v>20211</v>
      </c>
      <c r="E4930" s="2" t="s">
        <v>20212</v>
      </c>
      <c r="F4930" s="2" t="b">
        <v>1</v>
      </c>
      <c r="G4930" s="2" t="b">
        <v>0</v>
      </c>
      <c r="H4930" s="2" t="s">
        <v>8241</v>
      </c>
      <c r="I4930" s="2" t="s">
        <v>22</v>
      </c>
      <c r="J4930" s="2" t="s">
        <v>8633</v>
      </c>
      <c r="K4930" s="2" t="s">
        <v>495</v>
      </c>
      <c r="L4930" s="13" t="s">
        <v>496</v>
      </c>
      <c r="M4930" s="2" t="s">
        <v>26</v>
      </c>
      <c r="N4930" s="29"/>
      <c r="O4930" s="29"/>
      <c r="P4930" s="5" t="str">
        <f>IFERROR(__xludf.DUMMYFUNCTION("TEXTJOIN("" | "",TRUE,IF(OR(D4930="""",E4930="""",I4930="""",J4930="""",H4930=""""),""ফাঁকা ঘর"",""""),IF(AND(C4930&lt;&gt;"""",D4930&lt;&gt;"""",C4930=D4930),""gloss=figurative"",""""),IF(LEN(D4930)&lt;15,""figurative ছোট"",""""),IF(AND(I4930=""Positive"",REGEXMATCH(H4"&amp;"930,""মূর্খ|ভণ্ড|প্রতার|অলস|লোভ|স্বার্থ|অক্ষম|অযোগ্য|বোকা|কৃপণ|হিংস"")),""valence-target অমিল"",""""),IF(COUNTIF($B:$B,B4930)&gt;1,""ডুপ্লিকেট"",""""))"),"")</f>
        <v/>
      </c>
      <c r="Q4930" s="5" t="str">
        <f t="shared" si="1"/>
        <v>২ পরে</v>
      </c>
    </row>
    <row r="4931">
      <c r="A4931" s="4">
        <v>2768.0</v>
      </c>
      <c r="B4931" s="2" t="s">
        <v>20213</v>
      </c>
      <c r="C4931" s="2" t="s">
        <v>20213</v>
      </c>
      <c r="D4931" s="2" t="s">
        <v>20214</v>
      </c>
      <c r="E4931" s="2" t="s">
        <v>20215</v>
      </c>
      <c r="F4931" s="2" t="b">
        <v>1</v>
      </c>
      <c r="G4931" s="2" t="b">
        <v>1</v>
      </c>
      <c r="H4931" s="2" t="s">
        <v>20216</v>
      </c>
      <c r="I4931" s="2" t="s">
        <v>32</v>
      </c>
      <c r="J4931" s="2" t="s">
        <v>43</v>
      </c>
      <c r="K4931" s="2" t="s">
        <v>495</v>
      </c>
      <c r="L4931" s="13" t="s">
        <v>496</v>
      </c>
      <c r="M4931" s="2" t="s">
        <v>26</v>
      </c>
      <c r="N4931" s="29"/>
      <c r="O4931" s="29"/>
      <c r="P4931" s="5" t="str">
        <f>IFERROR(__xludf.DUMMYFUNCTION("TEXTJOIN("" | "",TRUE,IF(OR(D4931="""",E4931="""",I4931="""",J4931="""",H4931=""""),""ফাঁকা ঘর"",""""),IF(AND(C4931&lt;&gt;"""",D4931&lt;&gt;"""",C4931=D4931),""gloss=figurative"",""""),IF(LEN(D4931)&lt;15,""figurative ছোট"",""""),IF(AND(I4931=""Positive"",REGEXMATCH(H4"&amp;"931,""মূর্খ|ভণ্ড|প্রতার|অলস|লোভ|স্বার্থ|অক্ষম|অযোগ্য|বোকা|কৃপণ|হিংস"")),""valence-target অমিল"",""""),IF(COUNTIF($B:$B,B4931)&gt;1,""ডুপ্লিকেট"",""""))"),"")</f>
        <v/>
      </c>
      <c r="Q4931" s="5" t="str">
        <f t="shared" si="1"/>
        <v>২ পরে</v>
      </c>
    </row>
    <row r="4932">
      <c r="A4932" s="4">
        <v>2769.0</v>
      </c>
      <c r="B4932" s="2" t="s">
        <v>20217</v>
      </c>
      <c r="C4932" s="2" t="s">
        <v>20218</v>
      </c>
      <c r="D4932" s="2" t="s">
        <v>20219</v>
      </c>
      <c r="E4932" s="2" t="s">
        <v>20220</v>
      </c>
      <c r="F4932" s="2" t="b">
        <v>1</v>
      </c>
      <c r="G4932" s="2" t="b">
        <v>0</v>
      </c>
      <c r="H4932" s="2" t="s">
        <v>37</v>
      </c>
      <c r="I4932" s="2" t="s">
        <v>22</v>
      </c>
      <c r="J4932" s="2" t="s">
        <v>20221</v>
      </c>
      <c r="K4932" s="2" t="s">
        <v>495</v>
      </c>
      <c r="L4932" s="13" t="s">
        <v>496</v>
      </c>
      <c r="M4932" s="2" t="s">
        <v>26</v>
      </c>
      <c r="N4932" s="29"/>
      <c r="O4932" s="29"/>
      <c r="P4932" s="5" t="str">
        <f>IFERROR(__xludf.DUMMYFUNCTION("TEXTJOIN("" | "",TRUE,IF(OR(D4932="""",E4932="""",I4932="""",J4932="""",H4932=""""),""ফাঁকা ঘর"",""""),IF(AND(C4932&lt;&gt;"""",D4932&lt;&gt;"""",C4932=D4932),""gloss=figurative"",""""),IF(LEN(D4932)&lt;15,""figurative ছোট"",""""),IF(AND(I4932=""Positive"",REGEXMATCH(H4"&amp;"932,""মূর্খ|ভণ্ড|প্রতার|অলস|লোভ|স্বার্থ|অক্ষম|অযোগ্য|বোকা|কৃপণ|হিংস"")),""valence-target অমিল"",""""),IF(COUNTIF($B:$B,B4932)&gt;1,""ডুপ্লিকেট"",""""))"),"")</f>
        <v/>
      </c>
      <c r="Q4932" s="5" t="str">
        <f t="shared" si="1"/>
        <v>২ পরে</v>
      </c>
    </row>
    <row r="4933">
      <c r="A4933" s="4">
        <v>2770.0</v>
      </c>
      <c r="B4933" s="2" t="s">
        <v>20222</v>
      </c>
      <c r="C4933" s="2" t="s">
        <v>20223</v>
      </c>
      <c r="D4933" s="2" t="s">
        <v>20224</v>
      </c>
      <c r="E4933" s="2" t="s">
        <v>20225</v>
      </c>
      <c r="F4933" s="2" t="b">
        <v>1</v>
      </c>
      <c r="G4933" s="2" t="b">
        <v>0</v>
      </c>
      <c r="H4933" s="2" t="s">
        <v>37</v>
      </c>
      <c r="I4933" s="2" t="s">
        <v>22</v>
      </c>
      <c r="J4933" s="2" t="s">
        <v>836</v>
      </c>
      <c r="K4933" s="2" t="s">
        <v>495</v>
      </c>
      <c r="L4933" s="13" t="s">
        <v>496</v>
      </c>
      <c r="M4933" s="2" t="s">
        <v>26</v>
      </c>
      <c r="N4933" s="29"/>
      <c r="O4933" s="29"/>
      <c r="P4933" s="5" t="str">
        <f>IFERROR(__xludf.DUMMYFUNCTION("TEXTJOIN("" | "",TRUE,IF(OR(D4933="""",E4933="""",I4933="""",J4933="""",H4933=""""),""ফাঁকা ঘর"",""""),IF(AND(C4933&lt;&gt;"""",D4933&lt;&gt;"""",C4933=D4933),""gloss=figurative"",""""),IF(LEN(D4933)&lt;15,""figurative ছোট"",""""),IF(AND(I4933=""Positive"",REGEXMATCH(H4"&amp;"933,""মূর্খ|ভণ্ড|প্রতার|অলস|লোভ|স্বার্থ|অক্ষম|অযোগ্য|বোকা|কৃপণ|হিংস"")),""valence-target অমিল"",""""),IF(COUNTIF($B:$B,B4933)&gt;1,""ডুপ্লিকেট"",""""))"),"")</f>
        <v/>
      </c>
      <c r="Q4933" s="5" t="str">
        <f t="shared" si="1"/>
        <v>২ পরে</v>
      </c>
    </row>
    <row r="4934">
      <c r="A4934" s="4">
        <v>2771.0</v>
      </c>
      <c r="B4934" s="2" t="s">
        <v>20226</v>
      </c>
      <c r="C4934" s="2" t="s">
        <v>20227</v>
      </c>
      <c r="D4934" s="2" t="s">
        <v>20228</v>
      </c>
      <c r="E4934" s="2" t="s">
        <v>20229</v>
      </c>
      <c r="F4934" s="2" t="b">
        <v>1</v>
      </c>
      <c r="G4934" s="2" t="b">
        <v>0</v>
      </c>
      <c r="H4934" s="2" t="s">
        <v>37</v>
      </c>
      <c r="I4934" s="2" t="s">
        <v>22</v>
      </c>
      <c r="J4934" s="2" t="s">
        <v>2629</v>
      </c>
      <c r="K4934" s="2" t="s">
        <v>495</v>
      </c>
      <c r="L4934" s="13" t="s">
        <v>496</v>
      </c>
      <c r="M4934" s="2" t="s">
        <v>26</v>
      </c>
      <c r="N4934" s="29"/>
      <c r="O4934" s="29"/>
      <c r="P4934" s="5" t="str">
        <f>IFERROR(__xludf.DUMMYFUNCTION("TEXTJOIN("" | "",TRUE,IF(OR(D4934="""",E4934="""",I4934="""",J4934="""",H4934=""""),""ফাঁকা ঘর"",""""),IF(AND(C4934&lt;&gt;"""",D4934&lt;&gt;"""",C4934=D4934),""gloss=figurative"",""""),IF(LEN(D4934)&lt;15,""figurative ছোট"",""""),IF(AND(I4934=""Positive"",REGEXMATCH(H4"&amp;"934,""মূর্খ|ভণ্ড|প্রতার|অলস|লোভ|স্বার্থ|অক্ষম|অযোগ্য|বোকা|কৃপণ|হিংস"")),""valence-target অমিল"",""""),IF(COUNTIF($B:$B,B4934)&gt;1,""ডুপ্লিকেট"",""""))"),"")</f>
        <v/>
      </c>
      <c r="Q4934" s="5" t="str">
        <f t="shared" si="1"/>
        <v>২ পরে</v>
      </c>
    </row>
    <row r="4935">
      <c r="A4935" s="4">
        <v>2772.0</v>
      </c>
      <c r="B4935" s="2" t="s">
        <v>20230</v>
      </c>
      <c r="C4935" s="2" t="s">
        <v>20231</v>
      </c>
      <c r="D4935" s="2" t="s">
        <v>20232</v>
      </c>
      <c r="E4935" s="2" t="s">
        <v>20233</v>
      </c>
      <c r="F4935" s="2" t="b">
        <v>1</v>
      </c>
      <c r="G4935" s="2" t="b">
        <v>0</v>
      </c>
      <c r="H4935" s="2" t="s">
        <v>37</v>
      </c>
      <c r="I4935" s="2" t="s">
        <v>49</v>
      </c>
      <c r="J4935" s="2" t="s">
        <v>708</v>
      </c>
      <c r="K4935" s="2" t="s">
        <v>495</v>
      </c>
      <c r="L4935" s="13" t="s">
        <v>496</v>
      </c>
      <c r="M4935" s="2" t="s">
        <v>26</v>
      </c>
      <c r="N4935" s="29"/>
      <c r="O4935" s="29"/>
      <c r="P4935" s="5" t="str">
        <f>IFERROR(__xludf.DUMMYFUNCTION("TEXTJOIN("" | "",TRUE,IF(OR(D4935="""",E4935="""",I4935="""",J4935="""",H4935=""""),""ফাঁকা ঘর"",""""),IF(AND(C4935&lt;&gt;"""",D4935&lt;&gt;"""",C4935=D4935),""gloss=figurative"",""""),IF(LEN(D4935)&lt;15,""figurative ছোট"",""""),IF(AND(I4935=""Positive"",REGEXMATCH(H4"&amp;"935,""মূর্খ|ভণ্ড|প্রতার|অলস|লোভ|স্বার্থ|অক্ষম|অযোগ্য|বোকা|কৃপণ|হিংস"")),""valence-target অমিল"",""""),IF(COUNTIF($B:$B,B4935)&gt;1,""ডুপ্লিকেট"",""""))"),"")</f>
        <v/>
      </c>
      <c r="Q4935" s="5" t="str">
        <f t="shared" si="1"/>
        <v>২ পরে</v>
      </c>
    </row>
    <row r="4936">
      <c r="A4936" s="4">
        <v>2773.0</v>
      </c>
      <c r="B4936" s="2" t="s">
        <v>20234</v>
      </c>
      <c r="C4936" s="2" t="s">
        <v>20234</v>
      </c>
      <c r="D4936" s="2" t="s">
        <v>20235</v>
      </c>
      <c r="E4936" s="2" t="s">
        <v>20236</v>
      </c>
      <c r="F4936" s="2" t="b">
        <v>1</v>
      </c>
      <c r="G4936" s="2" t="b">
        <v>0</v>
      </c>
      <c r="H4936" s="2" t="s">
        <v>37</v>
      </c>
      <c r="I4936" s="2" t="s">
        <v>49</v>
      </c>
      <c r="J4936" s="2" t="s">
        <v>581</v>
      </c>
      <c r="K4936" s="2" t="s">
        <v>495</v>
      </c>
      <c r="L4936" s="13" t="s">
        <v>496</v>
      </c>
      <c r="M4936" s="2" t="s">
        <v>26</v>
      </c>
      <c r="N4936" s="29"/>
      <c r="O4936" s="29"/>
      <c r="P4936" s="5" t="str">
        <f>IFERROR(__xludf.DUMMYFUNCTION("TEXTJOIN("" | "",TRUE,IF(OR(D4936="""",E4936="""",I4936="""",J4936="""",H4936=""""),""ফাঁকা ঘর"",""""),IF(AND(C4936&lt;&gt;"""",D4936&lt;&gt;"""",C4936=D4936),""gloss=figurative"",""""),IF(LEN(D4936)&lt;15,""figurative ছোট"",""""),IF(AND(I4936=""Positive"",REGEXMATCH(H4"&amp;"936,""মূর্খ|ভণ্ড|প্রতার|অলস|লোভ|স্বার্থ|অক্ষম|অযোগ্য|বোকা|কৃপণ|হিংস"")),""valence-target অমিল"",""""),IF(COUNTIF($B:$B,B4936)&gt;1,""ডুপ্লিকেট"",""""))"),"")</f>
        <v/>
      </c>
      <c r="Q4936" s="5" t="str">
        <f t="shared" si="1"/>
        <v>২ পরে</v>
      </c>
    </row>
    <row r="4937">
      <c r="A4937" s="4">
        <v>2774.0</v>
      </c>
      <c r="B4937" s="2" t="s">
        <v>20237</v>
      </c>
      <c r="C4937" s="2" t="s">
        <v>20238</v>
      </c>
      <c r="D4937" s="2" t="s">
        <v>20239</v>
      </c>
      <c r="E4937" s="2" t="s">
        <v>20240</v>
      </c>
      <c r="F4937" s="2" t="b">
        <v>1</v>
      </c>
      <c r="G4937" s="2" t="b">
        <v>0</v>
      </c>
      <c r="H4937" s="2" t="s">
        <v>37</v>
      </c>
      <c r="I4937" s="2" t="s">
        <v>22</v>
      </c>
      <c r="J4937" s="2" t="s">
        <v>1895</v>
      </c>
      <c r="K4937" s="2" t="s">
        <v>495</v>
      </c>
      <c r="L4937" s="13" t="s">
        <v>496</v>
      </c>
      <c r="M4937" s="2" t="s">
        <v>26</v>
      </c>
      <c r="N4937" s="29"/>
      <c r="O4937" s="29"/>
      <c r="P4937" s="5" t="str">
        <f>IFERROR(__xludf.DUMMYFUNCTION("TEXTJOIN("" | "",TRUE,IF(OR(D4937="""",E4937="""",I4937="""",J4937="""",H4937=""""),""ফাঁকা ঘর"",""""),IF(AND(C4937&lt;&gt;"""",D4937&lt;&gt;"""",C4937=D4937),""gloss=figurative"",""""),IF(LEN(D4937)&lt;15,""figurative ছোট"",""""),IF(AND(I4937=""Positive"",REGEXMATCH(H4"&amp;"937,""মূর্খ|ভণ্ড|প্রতার|অলস|লোভ|স্বার্থ|অক্ষম|অযোগ্য|বোকা|কৃপণ|হিংস"")),""valence-target অমিল"",""""),IF(COUNTIF($B:$B,B4937)&gt;1,""ডুপ্লিকেট"",""""))"),"")</f>
        <v/>
      </c>
      <c r="Q4937" s="5" t="str">
        <f t="shared" si="1"/>
        <v>২ পরে</v>
      </c>
    </row>
    <row r="4938">
      <c r="A4938" s="4">
        <v>2775.0</v>
      </c>
      <c r="B4938" s="2" t="s">
        <v>20241</v>
      </c>
      <c r="C4938" s="2" t="s">
        <v>20242</v>
      </c>
      <c r="D4938" s="2" t="s">
        <v>20243</v>
      </c>
      <c r="E4938" s="2" t="s">
        <v>20244</v>
      </c>
      <c r="F4938" s="2" t="b">
        <v>1</v>
      </c>
      <c r="G4938" s="2" t="b">
        <v>0</v>
      </c>
      <c r="H4938" s="2" t="s">
        <v>37</v>
      </c>
      <c r="I4938" s="2" t="s">
        <v>49</v>
      </c>
      <c r="J4938" s="2" t="s">
        <v>565</v>
      </c>
      <c r="K4938" s="2" t="s">
        <v>495</v>
      </c>
      <c r="L4938" s="13" t="s">
        <v>496</v>
      </c>
      <c r="M4938" s="2" t="s">
        <v>26</v>
      </c>
      <c r="N4938" s="29"/>
      <c r="O4938" s="29"/>
      <c r="P4938" s="5" t="str">
        <f>IFERROR(__xludf.DUMMYFUNCTION("TEXTJOIN("" | "",TRUE,IF(OR(D4938="""",E4938="""",I4938="""",J4938="""",H4938=""""),""ফাঁকা ঘর"",""""),IF(AND(C4938&lt;&gt;"""",D4938&lt;&gt;"""",C4938=D4938),""gloss=figurative"",""""),IF(LEN(D4938)&lt;15,""figurative ছোট"",""""),IF(AND(I4938=""Positive"",REGEXMATCH(H4"&amp;"938,""মূর্খ|ভণ্ড|প্রতার|অলস|লোভ|স্বার্থ|অক্ষম|অযোগ্য|বোকা|কৃপণ|হিংস"")),""valence-target অমিল"",""""),IF(COUNTIF($B:$B,B4938)&gt;1,""ডুপ্লিকেট"",""""))"),"")</f>
        <v/>
      </c>
      <c r="Q4938" s="5" t="str">
        <f t="shared" si="1"/>
        <v>২ পরে</v>
      </c>
    </row>
    <row r="4939">
      <c r="A4939" s="4">
        <v>2776.0</v>
      </c>
      <c r="B4939" s="2" t="s">
        <v>20245</v>
      </c>
      <c r="C4939" s="2" t="s">
        <v>20246</v>
      </c>
      <c r="D4939" s="2" t="s">
        <v>20247</v>
      </c>
      <c r="E4939" s="2" t="s">
        <v>20248</v>
      </c>
      <c r="F4939" s="2" t="b">
        <v>1</v>
      </c>
      <c r="G4939" s="2" t="b">
        <v>0</v>
      </c>
      <c r="H4939" s="2" t="s">
        <v>37</v>
      </c>
      <c r="I4939" s="2" t="s">
        <v>49</v>
      </c>
      <c r="J4939" s="2" t="s">
        <v>565</v>
      </c>
      <c r="K4939" s="2" t="s">
        <v>495</v>
      </c>
      <c r="L4939" s="13" t="s">
        <v>496</v>
      </c>
      <c r="M4939" s="2" t="s">
        <v>26</v>
      </c>
      <c r="N4939" s="29"/>
      <c r="O4939" s="29"/>
      <c r="P4939" s="5" t="str">
        <f>IFERROR(__xludf.DUMMYFUNCTION("TEXTJOIN("" | "",TRUE,IF(OR(D4939="""",E4939="""",I4939="""",J4939="""",H4939=""""),""ফাঁকা ঘর"",""""),IF(AND(C4939&lt;&gt;"""",D4939&lt;&gt;"""",C4939=D4939),""gloss=figurative"",""""),IF(LEN(D4939)&lt;15,""figurative ছোট"",""""),IF(AND(I4939=""Positive"",REGEXMATCH(H4"&amp;"939,""মূর্খ|ভণ্ড|প্রতার|অলস|লোভ|স্বার্থ|অক্ষম|অযোগ্য|বোকা|কৃপণ|হিংস"")),""valence-target অমিল"",""""),IF(COUNTIF($B:$B,B4939)&gt;1,""ডুপ্লিকেট"",""""))"),"")</f>
        <v/>
      </c>
      <c r="Q4939" s="5" t="str">
        <f t="shared" si="1"/>
        <v>২ পরে</v>
      </c>
    </row>
    <row r="4940">
      <c r="A4940" s="4">
        <v>2777.0</v>
      </c>
      <c r="B4940" s="2" t="s">
        <v>20249</v>
      </c>
      <c r="C4940" s="2" t="s">
        <v>20250</v>
      </c>
      <c r="D4940" s="2" t="s">
        <v>20251</v>
      </c>
      <c r="E4940" s="2" t="s">
        <v>20252</v>
      </c>
      <c r="F4940" s="2" t="b">
        <v>1</v>
      </c>
      <c r="G4940" s="2" t="b">
        <v>0</v>
      </c>
      <c r="H4940" s="2" t="s">
        <v>37</v>
      </c>
      <c r="I4940" s="2" t="s">
        <v>49</v>
      </c>
      <c r="J4940" s="2" t="s">
        <v>708</v>
      </c>
      <c r="K4940" s="2" t="s">
        <v>495</v>
      </c>
      <c r="L4940" s="13" t="s">
        <v>496</v>
      </c>
      <c r="M4940" s="2" t="s">
        <v>26</v>
      </c>
      <c r="N4940" s="29"/>
      <c r="O4940" s="29"/>
      <c r="P4940" s="5" t="str">
        <f>IFERROR(__xludf.DUMMYFUNCTION("TEXTJOIN("" | "",TRUE,IF(OR(D4940="""",E4940="""",I4940="""",J4940="""",H4940=""""),""ফাঁকা ঘর"",""""),IF(AND(C4940&lt;&gt;"""",D4940&lt;&gt;"""",C4940=D4940),""gloss=figurative"",""""),IF(LEN(D4940)&lt;15,""figurative ছোট"",""""),IF(AND(I4940=""Positive"",REGEXMATCH(H4"&amp;"940,""মূর্খ|ভণ্ড|প্রতার|অলস|লোভ|স্বার্থ|অক্ষম|অযোগ্য|বোকা|কৃপণ|হিংস"")),""valence-target অমিল"",""""),IF(COUNTIF($B:$B,B4940)&gt;1,""ডুপ্লিকেট"",""""))"),"")</f>
        <v/>
      </c>
      <c r="Q4940" s="5" t="str">
        <f t="shared" si="1"/>
        <v>২ পরে</v>
      </c>
    </row>
    <row r="4941">
      <c r="A4941" s="4">
        <v>2778.0</v>
      </c>
      <c r="B4941" s="2" t="s">
        <v>20253</v>
      </c>
      <c r="C4941" s="2" t="s">
        <v>20254</v>
      </c>
      <c r="D4941" s="2" t="s">
        <v>20255</v>
      </c>
      <c r="E4941" s="2" t="s">
        <v>20256</v>
      </c>
      <c r="F4941" s="2" t="b">
        <v>1</v>
      </c>
      <c r="G4941" s="2" t="b">
        <v>0</v>
      </c>
      <c r="H4941" s="2" t="s">
        <v>37</v>
      </c>
      <c r="I4941" s="2" t="s">
        <v>32</v>
      </c>
      <c r="J4941" s="2" t="s">
        <v>581</v>
      </c>
      <c r="K4941" s="2" t="s">
        <v>495</v>
      </c>
      <c r="L4941" s="13" t="s">
        <v>496</v>
      </c>
      <c r="M4941" s="2" t="s">
        <v>26</v>
      </c>
      <c r="N4941" s="29"/>
      <c r="O4941" s="29"/>
      <c r="P4941" s="5" t="str">
        <f>IFERROR(__xludf.DUMMYFUNCTION("TEXTJOIN("" | "",TRUE,IF(OR(D4941="""",E4941="""",I4941="""",J4941="""",H4941=""""),""ফাঁকা ঘর"",""""),IF(AND(C4941&lt;&gt;"""",D4941&lt;&gt;"""",C4941=D4941),""gloss=figurative"",""""),IF(LEN(D4941)&lt;15,""figurative ছোট"",""""),IF(AND(I4941=""Positive"",REGEXMATCH(H4"&amp;"941,""মূর্খ|ভণ্ড|প্রতার|অলস|লোভ|স্বার্থ|অক্ষম|অযোগ্য|বোকা|কৃপণ|হিংস"")),""valence-target অমিল"",""""),IF(COUNTIF($B:$B,B4941)&gt;1,""ডুপ্লিকেট"",""""))"),"")</f>
        <v/>
      </c>
      <c r="Q4941" s="5" t="str">
        <f t="shared" si="1"/>
        <v>২ পরে</v>
      </c>
    </row>
    <row r="4942">
      <c r="A4942" s="4">
        <v>2779.0</v>
      </c>
      <c r="B4942" s="2" t="s">
        <v>20257</v>
      </c>
      <c r="C4942" s="2" t="s">
        <v>20258</v>
      </c>
      <c r="D4942" s="2" t="s">
        <v>20259</v>
      </c>
      <c r="E4942" s="2" t="s">
        <v>20260</v>
      </c>
      <c r="F4942" s="2" t="b">
        <v>1</v>
      </c>
      <c r="G4942" s="2" t="b">
        <v>0</v>
      </c>
      <c r="H4942" s="2" t="s">
        <v>37</v>
      </c>
      <c r="I4942" s="2" t="s">
        <v>49</v>
      </c>
      <c r="J4942" s="2" t="s">
        <v>6458</v>
      </c>
      <c r="K4942" s="2" t="s">
        <v>495</v>
      </c>
      <c r="L4942" s="13" t="s">
        <v>496</v>
      </c>
      <c r="M4942" s="2" t="s">
        <v>26</v>
      </c>
      <c r="N4942" s="29"/>
      <c r="O4942" s="29"/>
      <c r="P4942" s="5" t="str">
        <f>IFERROR(__xludf.DUMMYFUNCTION("TEXTJOIN("" | "",TRUE,IF(OR(D4942="""",E4942="""",I4942="""",J4942="""",H4942=""""),""ফাঁকা ঘর"",""""),IF(AND(C4942&lt;&gt;"""",D4942&lt;&gt;"""",C4942=D4942),""gloss=figurative"",""""),IF(LEN(D4942)&lt;15,""figurative ছোট"",""""),IF(AND(I4942=""Positive"",REGEXMATCH(H4"&amp;"942,""মূর্খ|ভণ্ড|প্রতার|অলস|লোভ|স্বার্থ|অক্ষম|অযোগ্য|বোকা|কৃপণ|হিংস"")),""valence-target অমিল"",""""),IF(COUNTIF($B:$B,B4942)&gt;1,""ডুপ্লিকেট"",""""))"),"")</f>
        <v/>
      </c>
      <c r="Q4942" s="5" t="str">
        <f t="shared" si="1"/>
        <v>২ পরে</v>
      </c>
    </row>
    <row r="4943">
      <c r="A4943" s="4">
        <v>2781.0</v>
      </c>
      <c r="B4943" s="2" t="s">
        <v>20261</v>
      </c>
      <c r="C4943" s="2" t="s">
        <v>20262</v>
      </c>
      <c r="D4943" s="2" t="s">
        <v>20263</v>
      </c>
      <c r="E4943" s="2" t="s">
        <v>20264</v>
      </c>
      <c r="F4943" s="2" t="b">
        <v>1</v>
      </c>
      <c r="G4943" s="2" t="b">
        <v>0</v>
      </c>
      <c r="H4943" s="2" t="s">
        <v>37</v>
      </c>
      <c r="I4943" s="2" t="s">
        <v>32</v>
      </c>
      <c r="J4943" s="2" t="s">
        <v>10356</v>
      </c>
      <c r="K4943" s="2" t="s">
        <v>495</v>
      </c>
      <c r="L4943" s="13" t="s">
        <v>496</v>
      </c>
      <c r="M4943" s="2" t="s">
        <v>26</v>
      </c>
      <c r="N4943" s="29"/>
      <c r="O4943" s="29"/>
      <c r="P4943" s="5" t="str">
        <f>IFERROR(__xludf.DUMMYFUNCTION("TEXTJOIN("" | "",TRUE,IF(OR(D4943="""",E4943="""",I4943="""",J4943="""",H4943=""""),""ফাঁকা ঘর"",""""),IF(AND(C4943&lt;&gt;"""",D4943&lt;&gt;"""",C4943=D4943),""gloss=figurative"",""""),IF(LEN(D4943)&lt;15,""figurative ছোট"",""""),IF(AND(I4943=""Positive"",REGEXMATCH(H4"&amp;"943,""মূর্খ|ভণ্ড|প্রতার|অলস|লোভ|স্বার্থ|অক্ষম|অযোগ্য|বোকা|কৃপণ|হিংস"")),""valence-target অমিল"",""""),IF(COUNTIF($B:$B,B4943)&gt;1,""ডুপ্লিকেট"",""""))"),"")</f>
        <v/>
      </c>
      <c r="Q4943" s="5" t="str">
        <f t="shared" si="1"/>
        <v>২ পরে</v>
      </c>
    </row>
    <row r="4944">
      <c r="A4944" s="4">
        <v>2782.0</v>
      </c>
      <c r="B4944" s="2" t="s">
        <v>20265</v>
      </c>
      <c r="C4944" s="2" t="s">
        <v>20266</v>
      </c>
      <c r="D4944" s="2" t="s">
        <v>20267</v>
      </c>
      <c r="E4944" s="2" t="s">
        <v>20268</v>
      </c>
      <c r="F4944" s="2" t="b">
        <v>1</v>
      </c>
      <c r="G4944" s="2" t="b">
        <v>0</v>
      </c>
      <c r="H4944" s="2" t="s">
        <v>37</v>
      </c>
      <c r="I4944" s="2" t="s">
        <v>32</v>
      </c>
      <c r="J4944" s="2" t="s">
        <v>10356</v>
      </c>
      <c r="K4944" s="2" t="s">
        <v>495</v>
      </c>
      <c r="L4944" s="13" t="s">
        <v>496</v>
      </c>
      <c r="M4944" s="2" t="s">
        <v>26</v>
      </c>
      <c r="N4944" s="29"/>
      <c r="O4944" s="29"/>
      <c r="P4944" s="5" t="str">
        <f>IFERROR(__xludf.DUMMYFUNCTION("TEXTJOIN("" | "",TRUE,IF(OR(D4944="""",E4944="""",I4944="""",J4944="""",H4944=""""),""ফাঁকা ঘর"",""""),IF(AND(C4944&lt;&gt;"""",D4944&lt;&gt;"""",C4944=D4944),""gloss=figurative"",""""),IF(LEN(D4944)&lt;15,""figurative ছোট"",""""),IF(AND(I4944=""Positive"",REGEXMATCH(H4"&amp;"944,""মূর্খ|ভণ্ড|প্রতার|অলস|লোভ|স্বার্থ|অক্ষম|অযোগ্য|বোকা|কৃপণ|হিংস"")),""valence-target অমিল"",""""),IF(COUNTIF($B:$B,B4944)&gt;1,""ডুপ্লিকেট"",""""))"),"")</f>
        <v/>
      </c>
      <c r="Q4944" s="5" t="str">
        <f t="shared" si="1"/>
        <v>২ পরে</v>
      </c>
    </row>
    <row r="4945">
      <c r="A4945" s="4">
        <v>2783.0</v>
      </c>
      <c r="B4945" s="2" t="s">
        <v>20269</v>
      </c>
      <c r="C4945" s="2" t="s">
        <v>20270</v>
      </c>
      <c r="D4945" s="2" t="s">
        <v>20271</v>
      </c>
      <c r="E4945" s="2" t="s">
        <v>20272</v>
      </c>
      <c r="F4945" s="2" t="b">
        <v>1</v>
      </c>
      <c r="G4945" s="2" t="b">
        <v>0</v>
      </c>
      <c r="H4945" s="2" t="s">
        <v>37</v>
      </c>
      <c r="I4945" s="2" t="s">
        <v>49</v>
      </c>
      <c r="J4945" s="2" t="s">
        <v>43</v>
      </c>
      <c r="K4945" s="2" t="s">
        <v>495</v>
      </c>
      <c r="L4945" s="13" t="s">
        <v>496</v>
      </c>
      <c r="M4945" s="2" t="s">
        <v>26</v>
      </c>
      <c r="N4945" s="29"/>
      <c r="O4945" s="29"/>
      <c r="P4945" s="5" t="str">
        <f>IFERROR(__xludf.DUMMYFUNCTION("TEXTJOIN("" | "",TRUE,IF(OR(D4945="""",E4945="""",I4945="""",J4945="""",H4945=""""),""ফাঁকা ঘর"",""""),IF(AND(C4945&lt;&gt;"""",D4945&lt;&gt;"""",C4945=D4945),""gloss=figurative"",""""),IF(LEN(D4945)&lt;15,""figurative ছোট"",""""),IF(AND(I4945=""Positive"",REGEXMATCH(H4"&amp;"945,""মূর্খ|ভণ্ড|প্রতার|অলস|লোভ|স্বার্থ|অক্ষম|অযোগ্য|বোকা|কৃপণ|হিংস"")),""valence-target অমিল"",""""),IF(COUNTIF($B:$B,B4945)&gt;1,""ডুপ্লিকেট"",""""))"),"")</f>
        <v/>
      </c>
      <c r="Q4945" s="5" t="str">
        <f t="shared" si="1"/>
        <v>২ পরে</v>
      </c>
    </row>
    <row r="4946">
      <c r="A4946" s="4">
        <v>2784.0</v>
      </c>
      <c r="B4946" s="2" t="s">
        <v>20273</v>
      </c>
      <c r="C4946" s="2" t="s">
        <v>20273</v>
      </c>
      <c r="D4946" s="2" t="s">
        <v>20274</v>
      </c>
      <c r="E4946" s="2" t="s">
        <v>20275</v>
      </c>
      <c r="F4946" s="2" t="b">
        <v>1</v>
      </c>
      <c r="G4946" s="2" t="b">
        <v>0</v>
      </c>
      <c r="H4946" s="2" t="s">
        <v>37</v>
      </c>
      <c r="I4946" s="2" t="s">
        <v>22</v>
      </c>
      <c r="J4946" s="2" t="s">
        <v>814</v>
      </c>
      <c r="K4946" s="2" t="s">
        <v>495</v>
      </c>
      <c r="L4946" s="13" t="s">
        <v>496</v>
      </c>
      <c r="M4946" s="2" t="s">
        <v>26</v>
      </c>
      <c r="N4946" s="29"/>
      <c r="O4946" s="29"/>
      <c r="P4946" s="5" t="str">
        <f>IFERROR(__xludf.DUMMYFUNCTION("TEXTJOIN("" | "",TRUE,IF(OR(D4946="""",E4946="""",I4946="""",J4946="""",H4946=""""),""ফাঁকা ঘর"",""""),IF(AND(C4946&lt;&gt;"""",D4946&lt;&gt;"""",C4946=D4946),""gloss=figurative"",""""),IF(LEN(D4946)&lt;15,""figurative ছোট"",""""),IF(AND(I4946=""Positive"",REGEXMATCH(H4"&amp;"946,""মূর্খ|ভণ্ড|প্রতার|অলস|লোভ|স্বার্থ|অক্ষম|অযোগ্য|বোকা|কৃপণ|হিংস"")),""valence-target অমিল"",""""),IF(COUNTIF($B:$B,B4946)&gt;1,""ডুপ্লিকেট"",""""))"),"")</f>
        <v/>
      </c>
      <c r="Q4946" s="5" t="str">
        <f t="shared" si="1"/>
        <v>২ পরে</v>
      </c>
    </row>
    <row r="4947">
      <c r="A4947" s="4">
        <v>2785.0</v>
      </c>
      <c r="B4947" s="2" t="s">
        <v>20276</v>
      </c>
      <c r="C4947" s="2" t="s">
        <v>20276</v>
      </c>
      <c r="D4947" s="2" t="s">
        <v>20277</v>
      </c>
      <c r="E4947" s="2" t="s">
        <v>20278</v>
      </c>
      <c r="F4947" s="2" t="b">
        <v>1</v>
      </c>
      <c r="G4947" s="2" t="b">
        <v>0</v>
      </c>
      <c r="H4947" s="2" t="s">
        <v>37</v>
      </c>
      <c r="I4947" s="2" t="s">
        <v>22</v>
      </c>
      <c r="J4947" s="2" t="s">
        <v>6010</v>
      </c>
      <c r="K4947" s="2" t="s">
        <v>495</v>
      </c>
      <c r="L4947" s="13" t="s">
        <v>496</v>
      </c>
      <c r="M4947" s="2" t="s">
        <v>26</v>
      </c>
      <c r="N4947" s="29"/>
      <c r="O4947" s="29"/>
      <c r="P4947" s="5" t="str">
        <f>IFERROR(__xludf.DUMMYFUNCTION("TEXTJOIN("" | "",TRUE,IF(OR(D4947="""",E4947="""",I4947="""",J4947="""",H4947=""""),""ফাঁকা ঘর"",""""),IF(AND(C4947&lt;&gt;"""",D4947&lt;&gt;"""",C4947=D4947),""gloss=figurative"",""""),IF(LEN(D4947)&lt;15,""figurative ছোট"",""""),IF(AND(I4947=""Positive"",REGEXMATCH(H4"&amp;"947,""মূর্খ|ভণ্ড|প্রতার|অলস|লোভ|স্বার্থ|অক্ষম|অযোগ্য|বোকা|কৃপণ|হিংস"")),""valence-target অমিল"",""""),IF(COUNTIF($B:$B,B4947)&gt;1,""ডুপ্লিকেট"",""""))"),"")</f>
        <v/>
      </c>
      <c r="Q4947" s="5" t="str">
        <f t="shared" si="1"/>
        <v>২ পরে</v>
      </c>
    </row>
    <row r="4948">
      <c r="A4948" s="4">
        <v>2786.0</v>
      </c>
      <c r="B4948" s="2" t="s">
        <v>20279</v>
      </c>
      <c r="C4948" s="2" t="s">
        <v>20280</v>
      </c>
      <c r="D4948" s="2" t="s">
        <v>20281</v>
      </c>
      <c r="E4948" s="2" t="s">
        <v>20282</v>
      </c>
      <c r="F4948" s="2" t="b">
        <v>1</v>
      </c>
      <c r="G4948" s="2" t="b">
        <v>0</v>
      </c>
      <c r="H4948" s="2" t="s">
        <v>37</v>
      </c>
      <c r="I4948" s="2" t="s">
        <v>49</v>
      </c>
      <c r="J4948" s="2" t="s">
        <v>581</v>
      </c>
      <c r="K4948" s="2" t="s">
        <v>495</v>
      </c>
      <c r="L4948" s="13" t="s">
        <v>496</v>
      </c>
      <c r="M4948" s="2" t="s">
        <v>26</v>
      </c>
      <c r="N4948" s="29"/>
      <c r="O4948" s="29"/>
      <c r="P4948" s="5" t="str">
        <f>IFERROR(__xludf.DUMMYFUNCTION("TEXTJOIN("" | "",TRUE,IF(OR(D4948="""",E4948="""",I4948="""",J4948="""",H4948=""""),""ফাঁকা ঘর"",""""),IF(AND(C4948&lt;&gt;"""",D4948&lt;&gt;"""",C4948=D4948),""gloss=figurative"",""""),IF(LEN(D4948)&lt;15,""figurative ছোট"",""""),IF(AND(I4948=""Positive"",REGEXMATCH(H4"&amp;"948,""মূর্খ|ভণ্ড|প্রতার|অলস|লোভ|স্বার্থ|অক্ষম|অযোগ্য|বোকা|কৃপণ|হিংস"")),""valence-target অমিল"",""""),IF(COUNTIF($B:$B,B4948)&gt;1,""ডুপ্লিকেট"",""""))"),"")</f>
        <v/>
      </c>
      <c r="Q4948" s="5" t="str">
        <f t="shared" si="1"/>
        <v>২ পরে</v>
      </c>
    </row>
    <row r="4949">
      <c r="A4949" s="4">
        <v>2787.0</v>
      </c>
      <c r="B4949" s="2" t="s">
        <v>20283</v>
      </c>
      <c r="C4949" s="2" t="s">
        <v>20284</v>
      </c>
      <c r="D4949" s="2" t="s">
        <v>20285</v>
      </c>
      <c r="E4949" s="2" t="s">
        <v>20286</v>
      </c>
      <c r="F4949" s="2" t="b">
        <v>1</v>
      </c>
      <c r="G4949" s="2" t="b">
        <v>0</v>
      </c>
      <c r="H4949" s="2" t="s">
        <v>37</v>
      </c>
      <c r="I4949" s="2" t="s">
        <v>32</v>
      </c>
      <c r="J4949" s="2" t="s">
        <v>669</v>
      </c>
      <c r="K4949" s="2" t="s">
        <v>495</v>
      </c>
      <c r="L4949" s="13" t="s">
        <v>496</v>
      </c>
      <c r="M4949" s="2" t="s">
        <v>26</v>
      </c>
      <c r="N4949" s="29"/>
      <c r="O4949" s="29"/>
      <c r="P4949" s="5" t="str">
        <f>IFERROR(__xludf.DUMMYFUNCTION("TEXTJOIN("" | "",TRUE,IF(OR(D4949="""",E4949="""",I4949="""",J4949="""",H4949=""""),""ফাঁকা ঘর"",""""),IF(AND(C4949&lt;&gt;"""",D4949&lt;&gt;"""",C4949=D4949),""gloss=figurative"",""""),IF(LEN(D4949)&lt;15,""figurative ছোট"",""""),IF(AND(I4949=""Positive"",REGEXMATCH(H4"&amp;"949,""মূর্খ|ভণ্ড|প্রতার|অলস|লোভ|স্বার্থ|অক্ষম|অযোগ্য|বোকা|কৃপণ|হিংস"")),""valence-target অমিল"",""""),IF(COUNTIF($B:$B,B4949)&gt;1,""ডুপ্লিকেট"",""""))"),"")</f>
        <v/>
      </c>
      <c r="Q4949" s="5" t="str">
        <f t="shared" si="1"/>
        <v>২ পরে</v>
      </c>
    </row>
    <row r="4950">
      <c r="A4950" s="4">
        <v>2788.0</v>
      </c>
      <c r="B4950" s="2" t="s">
        <v>20287</v>
      </c>
      <c r="C4950" s="2" t="s">
        <v>20288</v>
      </c>
      <c r="D4950" s="2" t="s">
        <v>20289</v>
      </c>
      <c r="E4950" s="2" t="s">
        <v>20290</v>
      </c>
      <c r="F4950" s="2" t="b">
        <v>1</v>
      </c>
      <c r="G4950" s="2" t="b">
        <v>0</v>
      </c>
      <c r="H4950" s="2" t="s">
        <v>37</v>
      </c>
      <c r="I4950" s="2" t="s">
        <v>32</v>
      </c>
      <c r="J4950" s="2" t="s">
        <v>581</v>
      </c>
      <c r="K4950" s="2" t="s">
        <v>495</v>
      </c>
      <c r="L4950" s="13" t="s">
        <v>496</v>
      </c>
      <c r="M4950" s="2" t="s">
        <v>26</v>
      </c>
      <c r="N4950" s="29"/>
      <c r="O4950" s="29"/>
      <c r="P4950" s="5" t="str">
        <f>IFERROR(__xludf.DUMMYFUNCTION("TEXTJOIN("" | "",TRUE,IF(OR(D4950="""",E4950="""",I4950="""",J4950="""",H4950=""""),""ফাঁকা ঘর"",""""),IF(AND(C4950&lt;&gt;"""",D4950&lt;&gt;"""",C4950=D4950),""gloss=figurative"",""""),IF(LEN(D4950)&lt;15,""figurative ছোট"",""""),IF(AND(I4950=""Positive"",REGEXMATCH(H4"&amp;"950,""মূর্খ|ভণ্ড|প্রতার|অলস|লোভ|স্বার্থ|অক্ষম|অযোগ্য|বোকা|কৃপণ|হিংস"")),""valence-target অমিল"",""""),IF(COUNTIF($B:$B,B4950)&gt;1,""ডুপ্লিকেট"",""""))"),"")</f>
        <v/>
      </c>
      <c r="Q4950" s="5" t="str">
        <f t="shared" si="1"/>
        <v>২ পরে</v>
      </c>
    </row>
    <row r="4951">
      <c r="A4951" s="4">
        <v>2789.0</v>
      </c>
      <c r="B4951" s="2" t="s">
        <v>20291</v>
      </c>
      <c r="C4951" s="2" t="s">
        <v>20291</v>
      </c>
      <c r="D4951" s="2" t="s">
        <v>20292</v>
      </c>
      <c r="E4951" s="2" t="s">
        <v>20293</v>
      </c>
      <c r="F4951" s="2" t="b">
        <v>1</v>
      </c>
      <c r="G4951" s="2" t="b">
        <v>0</v>
      </c>
      <c r="H4951" s="2" t="s">
        <v>37</v>
      </c>
      <c r="I4951" s="2" t="s">
        <v>22</v>
      </c>
      <c r="J4951" s="2" t="s">
        <v>1962</v>
      </c>
      <c r="K4951" s="2" t="s">
        <v>495</v>
      </c>
      <c r="L4951" s="13" t="s">
        <v>496</v>
      </c>
      <c r="M4951" s="2" t="s">
        <v>26</v>
      </c>
      <c r="N4951" s="29"/>
      <c r="O4951" s="29"/>
      <c r="P4951" s="5" t="str">
        <f>IFERROR(__xludf.DUMMYFUNCTION("TEXTJOIN("" | "",TRUE,IF(OR(D4951="""",E4951="""",I4951="""",J4951="""",H4951=""""),""ফাঁকা ঘর"",""""),IF(AND(C4951&lt;&gt;"""",D4951&lt;&gt;"""",C4951=D4951),""gloss=figurative"",""""),IF(LEN(D4951)&lt;15,""figurative ছোট"",""""),IF(AND(I4951=""Positive"",REGEXMATCH(H4"&amp;"951,""মূর্খ|ভণ্ড|প্রতার|অলস|লোভ|স্বার্থ|অক্ষম|অযোগ্য|বোকা|কৃপণ|হিংস"")),""valence-target অমিল"",""""),IF(COUNTIF($B:$B,B4951)&gt;1,""ডুপ্লিকেট"",""""))"),"")</f>
        <v/>
      </c>
      <c r="Q4951" s="5" t="str">
        <f t="shared" si="1"/>
        <v>২ পরে</v>
      </c>
    </row>
    <row r="4952">
      <c r="A4952" s="4">
        <v>2790.0</v>
      </c>
      <c r="B4952" s="2" t="s">
        <v>20294</v>
      </c>
      <c r="C4952" s="2" t="s">
        <v>20295</v>
      </c>
      <c r="D4952" s="2" t="s">
        <v>20296</v>
      </c>
      <c r="E4952" s="2" t="s">
        <v>20297</v>
      </c>
      <c r="F4952" s="2" t="b">
        <v>1</v>
      </c>
      <c r="G4952" s="2" t="b">
        <v>0</v>
      </c>
      <c r="H4952" s="2" t="s">
        <v>37</v>
      </c>
      <c r="I4952" s="2" t="s">
        <v>32</v>
      </c>
      <c r="J4952" s="2" t="s">
        <v>708</v>
      </c>
      <c r="K4952" s="2" t="s">
        <v>495</v>
      </c>
      <c r="L4952" s="13" t="s">
        <v>496</v>
      </c>
      <c r="M4952" s="2" t="s">
        <v>26</v>
      </c>
      <c r="N4952" s="29"/>
      <c r="O4952" s="29"/>
      <c r="P4952" s="5" t="str">
        <f>IFERROR(__xludf.DUMMYFUNCTION("TEXTJOIN("" | "",TRUE,IF(OR(D4952="""",E4952="""",I4952="""",J4952="""",H4952=""""),""ফাঁকা ঘর"",""""),IF(AND(C4952&lt;&gt;"""",D4952&lt;&gt;"""",C4952=D4952),""gloss=figurative"",""""),IF(LEN(D4952)&lt;15,""figurative ছোট"",""""),IF(AND(I4952=""Positive"",REGEXMATCH(H4"&amp;"952,""মূর্খ|ভণ্ড|প্রতার|অলস|লোভ|স্বার্থ|অক্ষম|অযোগ্য|বোকা|কৃপণ|হিংস"")),""valence-target অমিল"",""""),IF(COUNTIF($B:$B,B4952)&gt;1,""ডুপ্লিকেট"",""""))"),"")</f>
        <v/>
      </c>
      <c r="Q4952" s="5" t="str">
        <f t="shared" si="1"/>
        <v>২ পরে</v>
      </c>
    </row>
    <row r="4953">
      <c r="A4953" s="4">
        <v>2791.0</v>
      </c>
      <c r="B4953" s="2" t="s">
        <v>20298</v>
      </c>
      <c r="C4953" s="2" t="s">
        <v>20299</v>
      </c>
      <c r="D4953" s="2" t="s">
        <v>20300</v>
      </c>
      <c r="E4953" s="2" t="s">
        <v>20301</v>
      </c>
      <c r="F4953" s="2" t="b">
        <v>1</v>
      </c>
      <c r="G4953" s="2" t="b">
        <v>0</v>
      </c>
      <c r="H4953" s="2" t="s">
        <v>37</v>
      </c>
      <c r="I4953" s="2" t="s">
        <v>32</v>
      </c>
      <c r="J4953" s="2" t="s">
        <v>708</v>
      </c>
      <c r="K4953" s="2" t="s">
        <v>495</v>
      </c>
      <c r="L4953" s="13" t="s">
        <v>496</v>
      </c>
      <c r="M4953" s="2" t="s">
        <v>26</v>
      </c>
      <c r="N4953" s="29"/>
      <c r="O4953" s="29"/>
      <c r="P4953" s="5" t="str">
        <f>IFERROR(__xludf.DUMMYFUNCTION("TEXTJOIN("" | "",TRUE,IF(OR(D4953="""",E4953="""",I4953="""",J4953="""",H4953=""""),""ফাঁকা ঘর"",""""),IF(AND(C4953&lt;&gt;"""",D4953&lt;&gt;"""",C4953=D4953),""gloss=figurative"",""""),IF(LEN(D4953)&lt;15,""figurative ছোট"",""""),IF(AND(I4953=""Positive"",REGEXMATCH(H4"&amp;"953,""মূর্খ|ভণ্ড|প্রতার|অলস|লোভ|স্বার্থ|অক্ষম|অযোগ্য|বোকা|কৃপণ|হিংস"")),""valence-target অমিল"",""""),IF(COUNTIF($B:$B,B4953)&gt;1,""ডুপ্লিকেট"",""""))"),"")</f>
        <v/>
      </c>
      <c r="Q4953" s="5" t="str">
        <f t="shared" si="1"/>
        <v>২ পরে</v>
      </c>
    </row>
    <row r="4954">
      <c r="A4954" s="4">
        <v>2792.0</v>
      </c>
      <c r="B4954" s="2" t="s">
        <v>20302</v>
      </c>
      <c r="C4954" s="2" t="s">
        <v>20302</v>
      </c>
      <c r="D4954" s="2" t="s">
        <v>20303</v>
      </c>
      <c r="E4954" s="2" t="s">
        <v>20304</v>
      </c>
      <c r="F4954" s="2" t="b">
        <v>1</v>
      </c>
      <c r="G4954" s="2" t="b">
        <v>0</v>
      </c>
      <c r="H4954" s="2" t="s">
        <v>37</v>
      </c>
      <c r="I4954" s="2" t="s">
        <v>49</v>
      </c>
      <c r="J4954" s="2" t="s">
        <v>565</v>
      </c>
      <c r="K4954" s="2" t="s">
        <v>495</v>
      </c>
      <c r="L4954" s="13" t="s">
        <v>496</v>
      </c>
      <c r="M4954" s="2" t="s">
        <v>26</v>
      </c>
      <c r="N4954" s="29"/>
      <c r="O4954" s="29"/>
      <c r="P4954" s="5" t="str">
        <f>IFERROR(__xludf.DUMMYFUNCTION("TEXTJOIN("" | "",TRUE,IF(OR(D4954="""",E4954="""",I4954="""",J4954="""",H4954=""""),""ফাঁকা ঘর"",""""),IF(AND(C4954&lt;&gt;"""",D4954&lt;&gt;"""",C4954=D4954),""gloss=figurative"",""""),IF(LEN(D4954)&lt;15,""figurative ছোট"",""""),IF(AND(I4954=""Positive"",REGEXMATCH(H4"&amp;"954,""মূর্খ|ভণ্ড|প্রতার|অলস|লোভ|স্বার্থ|অক্ষম|অযোগ্য|বোকা|কৃপণ|হিংস"")),""valence-target অমিল"",""""),IF(COUNTIF($B:$B,B4954)&gt;1,""ডুপ্লিকেট"",""""))"),"")</f>
        <v/>
      </c>
      <c r="Q4954" s="5" t="str">
        <f t="shared" si="1"/>
        <v>২ পরে</v>
      </c>
    </row>
    <row r="4955">
      <c r="A4955" s="4">
        <v>2793.0</v>
      </c>
      <c r="B4955" s="2" t="s">
        <v>20305</v>
      </c>
      <c r="C4955" s="2" t="s">
        <v>20306</v>
      </c>
      <c r="D4955" s="2" t="s">
        <v>20307</v>
      </c>
      <c r="E4955" s="2" t="s">
        <v>20308</v>
      </c>
      <c r="F4955" s="2" t="b">
        <v>1</v>
      </c>
      <c r="G4955" s="2" t="b">
        <v>0</v>
      </c>
      <c r="H4955" s="2" t="s">
        <v>37</v>
      </c>
      <c r="I4955" s="2" t="s">
        <v>49</v>
      </c>
      <c r="J4955" s="2" t="s">
        <v>708</v>
      </c>
      <c r="K4955" s="2" t="s">
        <v>495</v>
      </c>
      <c r="L4955" s="13" t="s">
        <v>496</v>
      </c>
      <c r="M4955" s="2" t="s">
        <v>26</v>
      </c>
      <c r="N4955" s="29"/>
      <c r="O4955" s="29"/>
      <c r="P4955" s="5" t="str">
        <f>IFERROR(__xludf.DUMMYFUNCTION("TEXTJOIN("" | "",TRUE,IF(OR(D4955="""",E4955="""",I4955="""",J4955="""",H4955=""""),""ফাঁকা ঘর"",""""),IF(AND(C4955&lt;&gt;"""",D4955&lt;&gt;"""",C4955=D4955),""gloss=figurative"",""""),IF(LEN(D4955)&lt;15,""figurative ছোট"",""""),IF(AND(I4955=""Positive"",REGEXMATCH(H4"&amp;"955,""মূর্খ|ভণ্ড|প্রতার|অলস|লোভ|স্বার্থ|অক্ষম|অযোগ্য|বোকা|কৃপণ|হিংস"")),""valence-target অমিল"",""""),IF(COUNTIF($B:$B,B4955)&gt;1,""ডুপ্লিকেট"",""""))"),"")</f>
        <v/>
      </c>
      <c r="Q4955" s="5" t="str">
        <f t="shared" si="1"/>
        <v>২ পরে</v>
      </c>
    </row>
    <row r="4956">
      <c r="A4956" s="4">
        <v>2794.0</v>
      </c>
      <c r="B4956" s="2" t="s">
        <v>20309</v>
      </c>
      <c r="C4956" s="2" t="s">
        <v>20309</v>
      </c>
      <c r="D4956" s="2" t="s">
        <v>20310</v>
      </c>
      <c r="E4956" s="2" t="s">
        <v>20311</v>
      </c>
      <c r="F4956" s="2" t="b">
        <v>1</v>
      </c>
      <c r="G4956" s="2" t="b">
        <v>0</v>
      </c>
      <c r="H4956" s="2" t="s">
        <v>37</v>
      </c>
      <c r="I4956" s="2" t="s">
        <v>49</v>
      </c>
      <c r="J4956" s="2" t="s">
        <v>708</v>
      </c>
      <c r="K4956" s="2" t="s">
        <v>495</v>
      </c>
      <c r="L4956" s="13" t="s">
        <v>496</v>
      </c>
      <c r="M4956" s="2" t="s">
        <v>26</v>
      </c>
      <c r="N4956" s="29"/>
      <c r="O4956" s="29"/>
      <c r="P4956" s="5" t="str">
        <f>IFERROR(__xludf.DUMMYFUNCTION("TEXTJOIN("" | "",TRUE,IF(OR(D4956="""",E4956="""",I4956="""",J4956="""",H4956=""""),""ফাঁকা ঘর"",""""),IF(AND(C4956&lt;&gt;"""",D4956&lt;&gt;"""",C4956=D4956),""gloss=figurative"",""""),IF(LEN(D4956)&lt;15,""figurative ছোট"",""""),IF(AND(I4956=""Positive"",REGEXMATCH(H4"&amp;"956,""মূর্খ|ভণ্ড|প্রতার|অলস|লোভ|স্বার্থ|অক্ষম|অযোগ্য|বোকা|কৃপণ|হিংস"")),""valence-target অমিল"",""""),IF(COUNTIF($B:$B,B4956)&gt;1,""ডুপ্লিকেট"",""""))"),"")</f>
        <v/>
      </c>
      <c r="Q4956" s="5" t="str">
        <f t="shared" si="1"/>
        <v>২ পরে</v>
      </c>
    </row>
    <row r="4957">
      <c r="A4957" s="4">
        <v>2795.0</v>
      </c>
      <c r="B4957" s="2" t="s">
        <v>20312</v>
      </c>
      <c r="C4957" s="2" t="s">
        <v>20312</v>
      </c>
      <c r="D4957" s="2" t="s">
        <v>20313</v>
      </c>
      <c r="E4957" s="2" t="s">
        <v>20314</v>
      </c>
      <c r="F4957" s="2" t="b">
        <v>1</v>
      </c>
      <c r="G4957" s="2" t="b">
        <v>0</v>
      </c>
      <c r="H4957" s="2" t="s">
        <v>37</v>
      </c>
      <c r="I4957" s="2" t="s">
        <v>22</v>
      </c>
      <c r="J4957" s="2" t="s">
        <v>43</v>
      </c>
      <c r="K4957" s="2" t="s">
        <v>495</v>
      </c>
      <c r="L4957" s="13" t="s">
        <v>496</v>
      </c>
      <c r="M4957" s="2" t="s">
        <v>26</v>
      </c>
      <c r="N4957" s="29"/>
      <c r="O4957" s="29"/>
      <c r="P4957" s="5" t="str">
        <f>IFERROR(__xludf.DUMMYFUNCTION("TEXTJOIN("" | "",TRUE,IF(OR(D4957="""",E4957="""",I4957="""",J4957="""",H4957=""""),""ফাঁকা ঘর"",""""),IF(AND(C4957&lt;&gt;"""",D4957&lt;&gt;"""",C4957=D4957),""gloss=figurative"",""""),IF(LEN(D4957)&lt;15,""figurative ছোট"",""""),IF(AND(I4957=""Positive"",REGEXMATCH(H4"&amp;"957,""মূর্খ|ভণ্ড|প্রতার|অলস|লোভ|স্বার্থ|অক্ষম|অযোগ্য|বোকা|কৃপণ|হিংস"")),""valence-target অমিল"",""""),IF(COUNTIF($B:$B,B4957)&gt;1,""ডুপ্লিকেট"",""""))"),"")</f>
        <v/>
      </c>
      <c r="Q4957" s="5" t="str">
        <f t="shared" si="1"/>
        <v>২ পরে</v>
      </c>
    </row>
    <row r="4958">
      <c r="A4958" s="4">
        <v>2796.0</v>
      </c>
      <c r="B4958" s="2" t="s">
        <v>20315</v>
      </c>
      <c r="C4958" s="2" t="s">
        <v>20316</v>
      </c>
      <c r="D4958" s="2" t="s">
        <v>20317</v>
      </c>
      <c r="E4958" s="2" t="s">
        <v>20318</v>
      </c>
      <c r="F4958" s="2" t="b">
        <v>1</v>
      </c>
      <c r="G4958" s="2" t="b">
        <v>0</v>
      </c>
      <c r="H4958" s="2" t="s">
        <v>37</v>
      </c>
      <c r="I4958" s="2" t="s">
        <v>32</v>
      </c>
      <c r="J4958" s="2" t="s">
        <v>708</v>
      </c>
      <c r="K4958" s="2" t="s">
        <v>495</v>
      </c>
      <c r="L4958" s="13" t="s">
        <v>496</v>
      </c>
      <c r="M4958" s="2" t="s">
        <v>26</v>
      </c>
      <c r="N4958" s="29"/>
      <c r="O4958" s="29"/>
      <c r="P4958" s="5" t="str">
        <f>IFERROR(__xludf.DUMMYFUNCTION("TEXTJOIN("" | "",TRUE,IF(OR(D4958="""",E4958="""",I4958="""",J4958="""",H4958=""""),""ফাঁকা ঘর"",""""),IF(AND(C4958&lt;&gt;"""",D4958&lt;&gt;"""",C4958=D4958),""gloss=figurative"",""""),IF(LEN(D4958)&lt;15,""figurative ছোট"",""""),IF(AND(I4958=""Positive"",REGEXMATCH(H4"&amp;"958,""মূর্খ|ভণ্ড|প্রতার|অলস|লোভ|স্বার্থ|অক্ষম|অযোগ্য|বোকা|কৃপণ|হিংস"")),""valence-target অমিল"",""""),IF(COUNTIF($B:$B,B4958)&gt;1,""ডুপ্লিকেট"",""""))"),"")</f>
        <v/>
      </c>
      <c r="Q4958" s="5" t="str">
        <f t="shared" si="1"/>
        <v>২ পরে</v>
      </c>
    </row>
    <row r="4959">
      <c r="A4959" s="4">
        <v>2797.0</v>
      </c>
      <c r="B4959" s="2" t="s">
        <v>20319</v>
      </c>
      <c r="C4959" s="2" t="s">
        <v>20320</v>
      </c>
      <c r="D4959" s="2" t="s">
        <v>20321</v>
      </c>
      <c r="E4959" s="2" t="s">
        <v>20322</v>
      </c>
      <c r="F4959" s="2" t="b">
        <v>1</v>
      </c>
      <c r="G4959" s="2" t="b">
        <v>0</v>
      </c>
      <c r="H4959" s="2" t="s">
        <v>37</v>
      </c>
      <c r="I4959" s="2" t="s">
        <v>32</v>
      </c>
      <c r="J4959" s="2" t="s">
        <v>708</v>
      </c>
      <c r="K4959" s="2" t="s">
        <v>495</v>
      </c>
      <c r="L4959" s="13" t="s">
        <v>496</v>
      </c>
      <c r="M4959" s="2" t="s">
        <v>26</v>
      </c>
      <c r="N4959" s="29"/>
      <c r="O4959" s="29"/>
      <c r="P4959" s="5" t="str">
        <f>IFERROR(__xludf.DUMMYFUNCTION("TEXTJOIN("" | "",TRUE,IF(OR(D4959="""",E4959="""",I4959="""",J4959="""",H4959=""""),""ফাঁকা ঘর"",""""),IF(AND(C4959&lt;&gt;"""",D4959&lt;&gt;"""",C4959=D4959),""gloss=figurative"",""""),IF(LEN(D4959)&lt;15,""figurative ছোট"",""""),IF(AND(I4959=""Positive"",REGEXMATCH(H4"&amp;"959,""মূর্খ|ভণ্ড|প্রতার|অলস|লোভ|স্বার্থ|অক্ষম|অযোগ্য|বোকা|কৃপণ|হিংস"")),""valence-target অমিল"",""""),IF(COUNTIF($B:$B,B4959)&gt;1,""ডুপ্লিকেট"",""""))"),"")</f>
        <v/>
      </c>
      <c r="Q4959" s="5" t="str">
        <f t="shared" si="1"/>
        <v>২ পরে</v>
      </c>
    </row>
    <row r="4960">
      <c r="A4960" s="4">
        <v>2798.0</v>
      </c>
      <c r="B4960" s="2" t="s">
        <v>20323</v>
      </c>
      <c r="C4960" s="2" t="s">
        <v>20324</v>
      </c>
      <c r="D4960" s="2" t="s">
        <v>20325</v>
      </c>
      <c r="E4960" s="2" t="s">
        <v>20326</v>
      </c>
      <c r="F4960" s="2" t="b">
        <v>1</v>
      </c>
      <c r="G4960" s="2" t="b">
        <v>0</v>
      </c>
      <c r="H4960" s="2" t="s">
        <v>37</v>
      </c>
      <c r="I4960" s="2" t="s">
        <v>22</v>
      </c>
      <c r="J4960" s="2" t="s">
        <v>1859</v>
      </c>
      <c r="K4960" s="2" t="s">
        <v>495</v>
      </c>
      <c r="L4960" s="13" t="s">
        <v>496</v>
      </c>
      <c r="M4960" s="2" t="s">
        <v>26</v>
      </c>
      <c r="N4960" s="29"/>
      <c r="O4960" s="29"/>
      <c r="P4960" s="5" t="str">
        <f>IFERROR(__xludf.DUMMYFUNCTION("TEXTJOIN("" | "",TRUE,IF(OR(D4960="""",E4960="""",I4960="""",J4960="""",H4960=""""),""ফাঁকা ঘর"",""""),IF(AND(C4960&lt;&gt;"""",D4960&lt;&gt;"""",C4960=D4960),""gloss=figurative"",""""),IF(LEN(D4960)&lt;15,""figurative ছোট"",""""),IF(AND(I4960=""Positive"",REGEXMATCH(H4"&amp;"960,""মূর্খ|ভণ্ড|প্রতার|অলস|লোভ|স্বার্থ|অক্ষম|অযোগ্য|বোকা|কৃপণ|হিংস"")),""valence-target অমিল"",""""),IF(COUNTIF($B:$B,B4960)&gt;1,""ডুপ্লিকেট"",""""))"),"")</f>
        <v/>
      </c>
      <c r="Q4960" s="5" t="str">
        <f t="shared" si="1"/>
        <v>২ পরে</v>
      </c>
    </row>
    <row r="4961">
      <c r="A4961" s="4">
        <v>2799.0</v>
      </c>
      <c r="B4961" s="2" t="s">
        <v>20327</v>
      </c>
      <c r="C4961" s="2" t="s">
        <v>20328</v>
      </c>
      <c r="D4961" s="2" t="s">
        <v>20329</v>
      </c>
      <c r="E4961" s="2" t="s">
        <v>14949</v>
      </c>
      <c r="F4961" s="2" t="b">
        <v>1</v>
      </c>
      <c r="G4961" s="2" t="b">
        <v>0</v>
      </c>
      <c r="H4961" s="2" t="s">
        <v>37</v>
      </c>
      <c r="I4961" s="2" t="s">
        <v>22</v>
      </c>
      <c r="J4961" s="2" t="s">
        <v>581</v>
      </c>
      <c r="K4961" s="2" t="s">
        <v>495</v>
      </c>
      <c r="L4961" s="13" t="s">
        <v>496</v>
      </c>
      <c r="M4961" s="2" t="s">
        <v>26</v>
      </c>
      <c r="N4961" s="29"/>
      <c r="O4961" s="29"/>
      <c r="P4961" s="5" t="str">
        <f>IFERROR(__xludf.DUMMYFUNCTION("TEXTJOIN("" | "",TRUE,IF(OR(D4961="""",E4961="""",I4961="""",J4961="""",H4961=""""),""ফাঁকা ঘর"",""""),IF(AND(C4961&lt;&gt;"""",D4961&lt;&gt;"""",C4961=D4961),""gloss=figurative"",""""),IF(LEN(D4961)&lt;15,""figurative ছোট"",""""),IF(AND(I4961=""Positive"",REGEXMATCH(H4"&amp;"961,""মূর্খ|ভণ্ড|প্রতার|অলস|লোভ|স্বার্থ|অক্ষম|অযোগ্য|বোকা|কৃপণ|হিংস"")),""valence-target অমিল"",""""),IF(COUNTIF($B:$B,B4961)&gt;1,""ডুপ্লিকেট"",""""))"),"")</f>
        <v/>
      </c>
      <c r="Q4961" s="5" t="str">
        <f t="shared" si="1"/>
        <v>২ পরে</v>
      </c>
    </row>
    <row r="4962">
      <c r="A4962" s="4">
        <v>2800.0</v>
      </c>
      <c r="B4962" s="2" t="s">
        <v>20330</v>
      </c>
      <c r="C4962" s="2" t="s">
        <v>20331</v>
      </c>
      <c r="D4962" s="2" t="s">
        <v>20332</v>
      </c>
      <c r="E4962" s="2" t="s">
        <v>20333</v>
      </c>
      <c r="F4962" s="2" t="b">
        <v>1</v>
      </c>
      <c r="G4962" s="2" t="b">
        <v>0</v>
      </c>
      <c r="H4962" s="2" t="s">
        <v>37</v>
      </c>
      <c r="I4962" s="2" t="s">
        <v>22</v>
      </c>
      <c r="J4962" s="2" t="s">
        <v>581</v>
      </c>
      <c r="K4962" s="2" t="s">
        <v>495</v>
      </c>
      <c r="L4962" s="13" t="s">
        <v>496</v>
      </c>
      <c r="M4962" s="2" t="s">
        <v>26</v>
      </c>
      <c r="N4962" s="29"/>
      <c r="O4962" s="29"/>
      <c r="P4962" s="5" t="str">
        <f>IFERROR(__xludf.DUMMYFUNCTION("TEXTJOIN("" | "",TRUE,IF(OR(D4962="""",E4962="""",I4962="""",J4962="""",H4962=""""),""ফাঁকা ঘর"",""""),IF(AND(C4962&lt;&gt;"""",D4962&lt;&gt;"""",C4962=D4962),""gloss=figurative"",""""),IF(LEN(D4962)&lt;15,""figurative ছোট"",""""),IF(AND(I4962=""Positive"",REGEXMATCH(H4"&amp;"962,""মূর্খ|ভণ্ড|প্রতার|অলস|লোভ|স্বার্থ|অক্ষম|অযোগ্য|বোকা|কৃপণ|হিংস"")),""valence-target অমিল"",""""),IF(COUNTIF($B:$B,B4962)&gt;1,""ডুপ্লিকেট"",""""))"),"")</f>
        <v/>
      </c>
      <c r="Q4962" s="5" t="str">
        <f t="shared" si="1"/>
        <v>২ পরে</v>
      </c>
    </row>
    <row r="4963">
      <c r="A4963" s="4">
        <v>2801.0</v>
      </c>
      <c r="B4963" s="2" t="s">
        <v>20334</v>
      </c>
      <c r="C4963" s="2" t="s">
        <v>20334</v>
      </c>
      <c r="D4963" s="2" t="s">
        <v>20335</v>
      </c>
      <c r="E4963" s="2" t="s">
        <v>20336</v>
      </c>
      <c r="F4963" s="2" t="b">
        <v>1</v>
      </c>
      <c r="G4963" s="2" t="b">
        <v>0</v>
      </c>
      <c r="H4963" s="2" t="s">
        <v>37</v>
      </c>
      <c r="I4963" s="2" t="s">
        <v>49</v>
      </c>
      <c r="J4963" s="2" t="s">
        <v>708</v>
      </c>
      <c r="K4963" s="2" t="s">
        <v>495</v>
      </c>
      <c r="L4963" s="13" t="s">
        <v>496</v>
      </c>
      <c r="M4963" s="2" t="s">
        <v>26</v>
      </c>
      <c r="N4963" s="29"/>
      <c r="O4963" s="29"/>
      <c r="P4963" s="5" t="str">
        <f>IFERROR(__xludf.DUMMYFUNCTION("TEXTJOIN("" | "",TRUE,IF(OR(D4963="""",E4963="""",I4963="""",J4963="""",H4963=""""),""ফাঁকা ঘর"",""""),IF(AND(C4963&lt;&gt;"""",D4963&lt;&gt;"""",C4963=D4963),""gloss=figurative"",""""),IF(LEN(D4963)&lt;15,""figurative ছোট"",""""),IF(AND(I4963=""Positive"",REGEXMATCH(H4"&amp;"963,""মূর্খ|ভণ্ড|প্রতার|অলস|লোভ|স্বার্থ|অক্ষম|অযোগ্য|বোকা|কৃপণ|হিংস"")),""valence-target অমিল"",""""),IF(COUNTIF($B:$B,B4963)&gt;1,""ডুপ্লিকেট"",""""))"),"")</f>
        <v/>
      </c>
      <c r="Q4963" s="5" t="str">
        <f t="shared" si="1"/>
        <v>২ পরে</v>
      </c>
    </row>
    <row r="4964">
      <c r="A4964" s="4">
        <v>2802.0</v>
      </c>
      <c r="B4964" s="2" t="s">
        <v>20337</v>
      </c>
      <c r="C4964" s="2" t="s">
        <v>20338</v>
      </c>
      <c r="D4964" s="2" t="s">
        <v>20339</v>
      </c>
      <c r="E4964" s="2" t="s">
        <v>20340</v>
      </c>
      <c r="F4964" s="2" t="b">
        <v>1</v>
      </c>
      <c r="G4964" s="2" t="b">
        <v>0</v>
      </c>
      <c r="H4964" s="2" t="s">
        <v>37</v>
      </c>
      <c r="I4964" s="2" t="s">
        <v>22</v>
      </c>
      <c r="J4964" s="2" t="s">
        <v>43</v>
      </c>
      <c r="K4964" s="2" t="s">
        <v>495</v>
      </c>
      <c r="L4964" s="13" t="s">
        <v>496</v>
      </c>
      <c r="M4964" s="2" t="s">
        <v>26</v>
      </c>
      <c r="N4964" s="29"/>
      <c r="O4964" s="29"/>
      <c r="P4964" s="5" t="str">
        <f>IFERROR(__xludf.DUMMYFUNCTION("TEXTJOIN("" | "",TRUE,IF(OR(D4964="""",E4964="""",I4964="""",J4964="""",H4964=""""),""ফাঁকা ঘর"",""""),IF(AND(C4964&lt;&gt;"""",D4964&lt;&gt;"""",C4964=D4964),""gloss=figurative"",""""),IF(LEN(D4964)&lt;15,""figurative ছোট"",""""),IF(AND(I4964=""Positive"",REGEXMATCH(H4"&amp;"964,""মূর্খ|ভণ্ড|প্রতার|অলস|লোভ|স্বার্থ|অক্ষম|অযোগ্য|বোকা|কৃপণ|হিংস"")),""valence-target অমিল"",""""),IF(COUNTIF($B:$B,B4964)&gt;1,""ডুপ্লিকেট"",""""))"),"")</f>
        <v/>
      </c>
      <c r="Q4964" s="5" t="str">
        <f t="shared" si="1"/>
        <v>২ পরে</v>
      </c>
    </row>
    <row r="4965">
      <c r="A4965" s="4">
        <v>2803.0</v>
      </c>
      <c r="B4965" s="2" t="s">
        <v>20341</v>
      </c>
      <c r="C4965" s="2" t="s">
        <v>20342</v>
      </c>
      <c r="D4965" s="2" t="s">
        <v>20343</v>
      </c>
      <c r="E4965" s="2" t="s">
        <v>20344</v>
      </c>
      <c r="F4965" s="2" t="b">
        <v>1</v>
      </c>
      <c r="G4965" s="2" t="b">
        <v>0</v>
      </c>
      <c r="H4965" s="2" t="s">
        <v>37</v>
      </c>
      <c r="I4965" s="2" t="s">
        <v>32</v>
      </c>
      <c r="J4965" s="2" t="s">
        <v>1859</v>
      </c>
      <c r="K4965" s="2" t="s">
        <v>495</v>
      </c>
      <c r="L4965" s="13" t="s">
        <v>496</v>
      </c>
      <c r="M4965" s="2" t="s">
        <v>26</v>
      </c>
      <c r="N4965" s="29"/>
      <c r="O4965" s="29"/>
      <c r="P4965" s="5" t="str">
        <f>IFERROR(__xludf.DUMMYFUNCTION("TEXTJOIN("" | "",TRUE,IF(OR(D4965="""",E4965="""",I4965="""",J4965="""",H4965=""""),""ফাঁকা ঘর"",""""),IF(AND(C4965&lt;&gt;"""",D4965&lt;&gt;"""",C4965=D4965),""gloss=figurative"",""""),IF(LEN(D4965)&lt;15,""figurative ছোট"",""""),IF(AND(I4965=""Positive"",REGEXMATCH(H4"&amp;"965,""মূর্খ|ভণ্ড|প্রতার|অলস|লোভ|স্বার্থ|অক্ষম|অযোগ্য|বোকা|কৃপণ|হিংস"")),""valence-target অমিল"",""""),IF(COUNTIF($B:$B,B4965)&gt;1,""ডুপ্লিকেট"",""""))"),"")</f>
        <v/>
      </c>
      <c r="Q4965" s="5" t="str">
        <f t="shared" si="1"/>
        <v>২ পরে</v>
      </c>
    </row>
    <row r="4966">
      <c r="A4966" s="4">
        <v>2804.0</v>
      </c>
      <c r="B4966" s="2" t="s">
        <v>20345</v>
      </c>
      <c r="C4966" s="2" t="s">
        <v>20346</v>
      </c>
      <c r="D4966" s="2" t="s">
        <v>20347</v>
      </c>
      <c r="E4966" s="2" t="s">
        <v>20348</v>
      </c>
      <c r="F4966" s="2" t="b">
        <v>1</v>
      </c>
      <c r="G4966" s="2" t="b">
        <v>0</v>
      </c>
      <c r="H4966" s="2" t="s">
        <v>37</v>
      </c>
      <c r="I4966" s="2" t="s">
        <v>22</v>
      </c>
      <c r="J4966" s="2" t="s">
        <v>616</v>
      </c>
      <c r="K4966" s="2" t="s">
        <v>495</v>
      </c>
      <c r="L4966" s="13" t="s">
        <v>496</v>
      </c>
      <c r="M4966" s="2" t="s">
        <v>26</v>
      </c>
      <c r="N4966" s="29"/>
      <c r="O4966" s="29"/>
      <c r="P4966" s="5" t="str">
        <f>IFERROR(__xludf.DUMMYFUNCTION("TEXTJOIN("" | "",TRUE,IF(OR(D4966="""",E4966="""",I4966="""",J4966="""",H4966=""""),""ফাঁকা ঘর"",""""),IF(AND(C4966&lt;&gt;"""",D4966&lt;&gt;"""",C4966=D4966),""gloss=figurative"",""""),IF(LEN(D4966)&lt;15,""figurative ছোট"",""""),IF(AND(I4966=""Positive"",REGEXMATCH(H4"&amp;"966,""মূর্খ|ভণ্ড|প্রতার|অলস|লোভ|স্বার্থ|অক্ষম|অযোগ্য|বোকা|কৃপণ|হিংস"")),""valence-target অমিল"",""""),IF(COUNTIF($B:$B,B4966)&gt;1,""ডুপ্লিকেট"",""""))"),"")</f>
        <v/>
      </c>
      <c r="Q4966" s="5" t="str">
        <f t="shared" si="1"/>
        <v>২ পরে</v>
      </c>
    </row>
    <row r="4967">
      <c r="A4967" s="4">
        <v>2805.0</v>
      </c>
      <c r="B4967" s="2" t="s">
        <v>20349</v>
      </c>
      <c r="C4967" s="2" t="s">
        <v>20350</v>
      </c>
      <c r="D4967" s="2" t="s">
        <v>20351</v>
      </c>
      <c r="E4967" s="2" t="s">
        <v>20352</v>
      </c>
      <c r="F4967" s="2" t="b">
        <v>1</v>
      </c>
      <c r="G4967" s="2" t="b">
        <v>1</v>
      </c>
      <c r="H4967" s="2" t="s">
        <v>20353</v>
      </c>
      <c r="I4967" s="2" t="s">
        <v>32</v>
      </c>
      <c r="J4967" s="2" t="s">
        <v>3327</v>
      </c>
      <c r="K4967" s="2" t="s">
        <v>495</v>
      </c>
      <c r="L4967" s="13" t="s">
        <v>496</v>
      </c>
      <c r="M4967" s="2" t="s">
        <v>26</v>
      </c>
      <c r="N4967" s="29"/>
      <c r="O4967" s="29"/>
      <c r="P4967" s="5" t="str">
        <f>IFERROR(__xludf.DUMMYFUNCTION("TEXTJOIN("" | "",TRUE,IF(OR(D4967="""",E4967="""",I4967="""",J4967="""",H4967=""""),""ফাঁকা ঘর"",""""),IF(AND(C4967&lt;&gt;"""",D4967&lt;&gt;"""",C4967=D4967),""gloss=figurative"",""""),IF(LEN(D4967)&lt;15,""figurative ছোট"",""""),IF(AND(I4967=""Positive"",REGEXMATCH(H4"&amp;"967,""মূর্খ|ভণ্ড|প্রতার|অলস|লোভ|স্বার্থ|অক্ষম|অযোগ্য|বোকা|কৃপণ|হিংস"")),""valence-target অমিল"",""""),IF(COUNTIF($B:$B,B4967)&gt;1,""ডুপ্লিকেট"",""""))"),"")</f>
        <v/>
      </c>
      <c r="Q4967" s="5" t="str">
        <f t="shared" si="1"/>
        <v>২ পরে</v>
      </c>
    </row>
    <row r="4968">
      <c r="A4968" s="4">
        <v>2806.0</v>
      </c>
      <c r="B4968" s="2" t="s">
        <v>20354</v>
      </c>
      <c r="C4968" s="2" t="s">
        <v>20355</v>
      </c>
      <c r="D4968" s="2" t="s">
        <v>20356</v>
      </c>
      <c r="E4968" s="2" t="s">
        <v>20357</v>
      </c>
      <c r="F4968" s="2" t="b">
        <v>1</v>
      </c>
      <c r="G4968" s="2" t="b">
        <v>1</v>
      </c>
      <c r="H4968" s="2" t="s">
        <v>20353</v>
      </c>
      <c r="I4968" s="2" t="s">
        <v>32</v>
      </c>
      <c r="J4968" s="2" t="s">
        <v>3327</v>
      </c>
      <c r="K4968" s="2" t="s">
        <v>495</v>
      </c>
      <c r="L4968" s="13" t="s">
        <v>496</v>
      </c>
      <c r="M4968" s="2" t="s">
        <v>26</v>
      </c>
      <c r="N4968" s="29"/>
      <c r="O4968" s="29"/>
      <c r="P4968" s="5" t="str">
        <f>IFERROR(__xludf.DUMMYFUNCTION("TEXTJOIN("" | "",TRUE,IF(OR(D4968="""",E4968="""",I4968="""",J4968="""",H4968=""""),""ফাঁকা ঘর"",""""),IF(AND(C4968&lt;&gt;"""",D4968&lt;&gt;"""",C4968=D4968),""gloss=figurative"",""""),IF(LEN(D4968)&lt;15,""figurative ছোট"",""""),IF(AND(I4968=""Positive"",REGEXMATCH(H4"&amp;"968,""মূর্খ|ভণ্ড|প্রতার|অলস|লোভ|স্বার্থ|অক্ষম|অযোগ্য|বোকা|কৃপণ|হিংস"")),""valence-target অমিল"",""""),IF(COUNTIF($B:$B,B4968)&gt;1,""ডুপ্লিকেট"",""""))"),"")</f>
        <v/>
      </c>
      <c r="Q4968" s="5" t="str">
        <f t="shared" si="1"/>
        <v>২ পরে</v>
      </c>
    </row>
    <row r="4969">
      <c r="A4969" s="4">
        <v>2807.0</v>
      </c>
      <c r="B4969" s="2" t="s">
        <v>20358</v>
      </c>
      <c r="C4969" s="2" t="s">
        <v>20359</v>
      </c>
      <c r="D4969" s="2" t="s">
        <v>20360</v>
      </c>
      <c r="E4969" s="2" t="s">
        <v>20361</v>
      </c>
      <c r="F4969" s="2" t="b">
        <v>1</v>
      </c>
      <c r="G4969" s="2" t="b">
        <v>1</v>
      </c>
      <c r="H4969" s="2" t="s">
        <v>20362</v>
      </c>
      <c r="I4969" s="2" t="s">
        <v>22</v>
      </c>
      <c r="J4969" s="2" t="s">
        <v>16419</v>
      </c>
      <c r="K4969" s="2" t="s">
        <v>495</v>
      </c>
      <c r="L4969" s="13" t="s">
        <v>496</v>
      </c>
      <c r="M4969" s="2" t="s">
        <v>26</v>
      </c>
      <c r="N4969" s="29"/>
      <c r="O4969" s="29"/>
      <c r="P4969" s="5" t="str">
        <f>IFERROR(__xludf.DUMMYFUNCTION("TEXTJOIN("" | "",TRUE,IF(OR(D4969="""",E4969="""",I4969="""",J4969="""",H4969=""""),""ফাঁকা ঘর"",""""),IF(AND(C4969&lt;&gt;"""",D4969&lt;&gt;"""",C4969=D4969),""gloss=figurative"",""""),IF(LEN(D4969)&lt;15,""figurative ছোট"",""""),IF(AND(I4969=""Positive"",REGEXMATCH(H4"&amp;"969,""মূর্খ|ভণ্ড|প্রতার|অলস|লোভ|স্বার্থ|অক্ষম|অযোগ্য|বোকা|কৃপণ|হিংস"")),""valence-target অমিল"",""""),IF(COUNTIF($B:$B,B4969)&gt;1,""ডুপ্লিকেট"",""""))"),"")</f>
        <v/>
      </c>
      <c r="Q4969" s="5" t="str">
        <f t="shared" si="1"/>
        <v>২ পরে</v>
      </c>
    </row>
    <row r="4970">
      <c r="A4970" s="4">
        <v>2808.0</v>
      </c>
      <c r="B4970" s="2" t="s">
        <v>20363</v>
      </c>
      <c r="C4970" s="2" t="s">
        <v>20363</v>
      </c>
      <c r="D4970" s="2" t="s">
        <v>20364</v>
      </c>
      <c r="E4970" s="2" t="s">
        <v>20365</v>
      </c>
      <c r="F4970" s="2" t="b">
        <v>1</v>
      </c>
      <c r="G4970" s="2" t="b">
        <v>1</v>
      </c>
      <c r="H4970" s="2" t="s">
        <v>20366</v>
      </c>
      <c r="I4970" s="2" t="s">
        <v>22</v>
      </c>
      <c r="J4970" s="2" t="s">
        <v>16419</v>
      </c>
      <c r="K4970" s="2" t="s">
        <v>495</v>
      </c>
      <c r="L4970" s="13" t="s">
        <v>496</v>
      </c>
      <c r="M4970" s="2" t="s">
        <v>26</v>
      </c>
      <c r="N4970" s="29"/>
      <c r="O4970" s="29"/>
      <c r="P4970" s="5" t="str">
        <f>IFERROR(__xludf.DUMMYFUNCTION("TEXTJOIN("" | "",TRUE,IF(OR(D4970="""",E4970="""",I4970="""",J4970="""",H4970=""""),""ফাঁকা ঘর"",""""),IF(AND(C4970&lt;&gt;"""",D4970&lt;&gt;"""",C4970=D4970),""gloss=figurative"",""""),IF(LEN(D4970)&lt;15,""figurative ছোট"",""""),IF(AND(I4970=""Positive"",REGEXMATCH(H4"&amp;"970,""মূর্খ|ভণ্ড|প্রতার|অলস|লোভ|স্বার্থ|অক্ষম|অযোগ্য|বোকা|কৃপণ|হিংস"")),""valence-target অমিল"",""""),IF(COUNTIF($B:$B,B4970)&gt;1,""ডুপ্লিকেট"",""""))"),"")</f>
        <v/>
      </c>
      <c r="Q4970" s="5" t="str">
        <f t="shared" si="1"/>
        <v>২ পরে</v>
      </c>
    </row>
    <row r="4971">
      <c r="A4971" s="4">
        <v>2809.0</v>
      </c>
      <c r="B4971" s="2" t="s">
        <v>20367</v>
      </c>
      <c r="C4971" s="2" t="s">
        <v>20368</v>
      </c>
      <c r="D4971" s="2" t="s">
        <v>20369</v>
      </c>
      <c r="E4971" s="2" t="s">
        <v>20370</v>
      </c>
      <c r="F4971" s="2" t="b">
        <v>1</v>
      </c>
      <c r="G4971" s="2" t="b">
        <v>0</v>
      </c>
      <c r="H4971" s="2" t="s">
        <v>37</v>
      </c>
      <c r="I4971" s="2" t="s">
        <v>32</v>
      </c>
      <c r="J4971" s="2" t="s">
        <v>1438</v>
      </c>
      <c r="K4971" s="2" t="s">
        <v>495</v>
      </c>
      <c r="L4971" s="13" t="s">
        <v>496</v>
      </c>
      <c r="M4971" s="2" t="s">
        <v>26</v>
      </c>
      <c r="N4971" s="29"/>
      <c r="O4971" s="29"/>
      <c r="P4971" s="5" t="str">
        <f>IFERROR(__xludf.DUMMYFUNCTION("TEXTJOIN("" | "",TRUE,IF(OR(D4971="""",E4971="""",I4971="""",J4971="""",H4971=""""),""ফাঁকা ঘর"",""""),IF(AND(C4971&lt;&gt;"""",D4971&lt;&gt;"""",C4971=D4971),""gloss=figurative"",""""),IF(LEN(D4971)&lt;15,""figurative ছোট"",""""),IF(AND(I4971=""Positive"",REGEXMATCH(H4"&amp;"971,""মূর্খ|ভণ্ড|প্রতার|অলস|লোভ|স্বার্থ|অক্ষম|অযোগ্য|বোকা|কৃপণ|হিংস"")),""valence-target অমিল"",""""),IF(COUNTIF($B:$B,B4971)&gt;1,""ডুপ্লিকেট"",""""))"),"")</f>
        <v/>
      </c>
      <c r="Q4971" s="5" t="str">
        <f t="shared" si="1"/>
        <v>২ পরে</v>
      </c>
    </row>
    <row r="4972">
      <c r="A4972" s="4">
        <v>2810.0</v>
      </c>
      <c r="B4972" s="2" t="s">
        <v>20371</v>
      </c>
      <c r="C4972" s="2" t="s">
        <v>20372</v>
      </c>
      <c r="D4972" s="2" t="s">
        <v>20373</v>
      </c>
      <c r="E4972" s="2" t="s">
        <v>20374</v>
      </c>
      <c r="F4972" s="2" t="b">
        <v>1</v>
      </c>
      <c r="G4972" s="2" t="b">
        <v>0</v>
      </c>
      <c r="H4972" s="2" t="s">
        <v>20375</v>
      </c>
      <c r="I4972" s="2" t="s">
        <v>22</v>
      </c>
      <c r="J4972" s="2" t="s">
        <v>1803</v>
      </c>
      <c r="K4972" s="2" t="s">
        <v>495</v>
      </c>
      <c r="L4972" s="13" t="s">
        <v>496</v>
      </c>
      <c r="M4972" s="2" t="s">
        <v>26</v>
      </c>
      <c r="N4972" s="29"/>
      <c r="O4972" s="29"/>
      <c r="P4972" s="5" t="str">
        <f>IFERROR(__xludf.DUMMYFUNCTION("TEXTJOIN("" | "",TRUE,IF(OR(D4972="""",E4972="""",I4972="""",J4972="""",H4972=""""),""ফাঁকা ঘর"",""""),IF(AND(C4972&lt;&gt;"""",D4972&lt;&gt;"""",C4972=D4972),""gloss=figurative"",""""),IF(LEN(D4972)&lt;15,""figurative ছোট"",""""),IF(AND(I4972=""Positive"",REGEXMATCH(H4"&amp;"972,""মূর্খ|ভণ্ড|প্রতার|অলস|লোভ|স্বার্থ|অক্ষম|অযোগ্য|বোকা|কৃপণ|হিংস"")),""valence-target অমিল"",""""),IF(COUNTIF($B:$B,B4972)&gt;1,""ডুপ্লিকেট"",""""))"),"")</f>
        <v/>
      </c>
      <c r="Q4972" s="5" t="str">
        <f t="shared" si="1"/>
        <v>২ পরে</v>
      </c>
    </row>
    <row r="4973">
      <c r="A4973" s="4">
        <v>2811.0</v>
      </c>
      <c r="B4973" s="2" t="s">
        <v>20376</v>
      </c>
      <c r="C4973" s="2" t="s">
        <v>20377</v>
      </c>
      <c r="D4973" s="2" t="s">
        <v>20378</v>
      </c>
      <c r="E4973" s="2" t="s">
        <v>20379</v>
      </c>
      <c r="F4973" s="2" t="b">
        <v>1</v>
      </c>
      <c r="G4973" s="2" t="b">
        <v>0</v>
      </c>
      <c r="H4973" s="2" t="s">
        <v>37</v>
      </c>
      <c r="I4973" s="2" t="s">
        <v>22</v>
      </c>
      <c r="J4973" s="2" t="s">
        <v>2040</v>
      </c>
      <c r="K4973" s="2" t="s">
        <v>495</v>
      </c>
      <c r="L4973" s="13" t="s">
        <v>496</v>
      </c>
      <c r="M4973" s="2" t="s">
        <v>26</v>
      </c>
      <c r="N4973" s="29"/>
      <c r="O4973" s="29"/>
      <c r="P4973" s="5" t="str">
        <f>IFERROR(__xludf.DUMMYFUNCTION("TEXTJOIN("" | "",TRUE,IF(OR(D4973="""",E4973="""",I4973="""",J4973="""",H4973=""""),""ফাঁকা ঘর"",""""),IF(AND(C4973&lt;&gt;"""",D4973&lt;&gt;"""",C4973=D4973),""gloss=figurative"",""""),IF(LEN(D4973)&lt;15,""figurative ছোট"",""""),IF(AND(I4973=""Positive"",REGEXMATCH(H4"&amp;"973,""মূর্খ|ভণ্ড|প্রতার|অলস|লোভ|স্বার্থ|অক্ষম|অযোগ্য|বোকা|কৃপণ|হিংস"")),""valence-target অমিল"",""""),IF(COUNTIF($B:$B,B4973)&gt;1,""ডুপ্লিকেট"",""""))"),"")</f>
        <v/>
      </c>
      <c r="Q4973" s="5" t="str">
        <f t="shared" si="1"/>
        <v>২ পরে</v>
      </c>
    </row>
    <row r="4974">
      <c r="A4974" s="4">
        <v>2812.0</v>
      </c>
      <c r="B4974" s="2" t="s">
        <v>20380</v>
      </c>
      <c r="C4974" s="2" t="s">
        <v>20381</v>
      </c>
      <c r="D4974" s="2" t="s">
        <v>20382</v>
      </c>
      <c r="E4974" s="2" t="s">
        <v>20383</v>
      </c>
      <c r="F4974" s="2" t="b">
        <v>1</v>
      </c>
      <c r="G4974" s="2" t="b">
        <v>0</v>
      </c>
      <c r="H4974" s="2" t="s">
        <v>37</v>
      </c>
      <c r="I4974" s="2" t="s">
        <v>49</v>
      </c>
      <c r="J4974" s="2" t="s">
        <v>739</v>
      </c>
      <c r="K4974" s="2" t="s">
        <v>495</v>
      </c>
      <c r="L4974" s="13" t="s">
        <v>496</v>
      </c>
      <c r="M4974" s="2" t="s">
        <v>26</v>
      </c>
      <c r="N4974" s="29"/>
      <c r="O4974" s="29"/>
      <c r="P4974" s="5" t="str">
        <f>IFERROR(__xludf.DUMMYFUNCTION("TEXTJOIN("" | "",TRUE,IF(OR(D4974="""",E4974="""",I4974="""",J4974="""",H4974=""""),""ফাঁকা ঘর"",""""),IF(AND(C4974&lt;&gt;"""",D4974&lt;&gt;"""",C4974=D4974),""gloss=figurative"",""""),IF(LEN(D4974)&lt;15,""figurative ছোট"",""""),IF(AND(I4974=""Positive"",REGEXMATCH(H4"&amp;"974,""মূর্খ|ভণ্ড|প্রতার|অলস|লোভ|স্বার্থ|অক্ষম|অযোগ্য|বোকা|কৃপণ|হিংস"")),""valence-target অমিল"",""""),IF(COUNTIF($B:$B,B4974)&gt;1,""ডুপ্লিকেট"",""""))"),"")</f>
        <v/>
      </c>
      <c r="Q4974" s="5" t="str">
        <f t="shared" si="1"/>
        <v>২ পরে</v>
      </c>
    </row>
    <row r="4975">
      <c r="A4975" s="4">
        <v>2813.0</v>
      </c>
      <c r="B4975" s="2" t="s">
        <v>20384</v>
      </c>
      <c r="C4975" s="2" t="s">
        <v>20385</v>
      </c>
      <c r="D4975" s="2" t="s">
        <v>20386</v>
      </c>
      <c r="E4975" s="2" t="s">
        <v>20387</v>
      </c>
      <c r="F4975" s="2" t="b">
        <v>1</v>
      </c>
      <c r="G4975" s="2" t="b">
        <v>0</v>
      </c>
      <c r="H4975" s="2" t="s">
        <v>37</v>
      </c>
      <c r="I4975" s="2" t="s">
        <v>32</v>
      </c>
      <c r="J4975" s="2" t="s">
        <v>739</v>
      </c>
      <c r="K4975" s="2" t="s">
        <v>495</v>
      </c>
      <c r="L4975" s="13" t="s">
        <v>496</v>
      </c>
      <c r="M4975" s="2" t="s">
        <v>26</v>
      </c>
      <c r="N4975" s="29"/>
      <c r="O4975" s="29"/>
      <c r="P4975" s="5" t="str">
        <f>IFERROR(__xludf.DUMMYFUNCTION("TEXTJOIN("" | "",TRUE,IF(OR(D4975="""",E4975="""",I4975="""",J4975="""",H4975=""""),""ফাঁকা ঘর"",""""),IF(AND(C4975&lt;&gt;"""",D4975&lt;&gt;"""",C4975=D4975),""gloss=figurative"",""""),IF(LEN(D4975)&lt;15,""figurative ছোট"",""""),IF(AND(I4975=""Positive"",REGEXMATCH(H4"&amp;"975,""মূর্খ|ভণ্ড|প্রতার|অলস|লোভ|স্বার্থ|অক্ষম|অযোগ্য|বোকা|কৃপণ|হিংস"")),""valence-target অমিল"",""""),IF(COUNTIF($B:$B,B4975)&gt;1,""ডুপ্লিকেট"",""""))"),"")</f>
        <v/>
      </c>
      <c r="Q4975" s="5" t="str">
        <f t="shared" si="1"/>
        <v>২ পরে</v>
      </c>
    </row>
    <row r="4976">
      <c r="A4976" s="4">
        <v>2814.0</v>
      </c>
      <c r="B4976" s="2" t="s">
        <v>20388</v>
      </c>
      <c r="C4976" s="2" t="s">
        <v>20389</v>
      </c>
      <c r="D4976" s="2" t="s">
        <v>20390</v>
      </c>
      <c r="E4976" s="2" t="s">
        <v>20391</v>
      </c>
      <c r="F4976" s="2" t="b">
        <v>1</v>
      </c>
      <c r="G4976" s="2" t="b">
        <v>0</v>
      </c>
      <c r="H4976" s="2" t="s">
        <v>37</v>
      </c>
      <c r="I4976" s="2" t="s">
        <v>22</v>
      </c>
      <c r="J4976" s="2" t="s">
        <v>739</v>
      </c>
      <c r="K4976" s="2" t="s">
        <v>495</v>
      </c>
      <c r="L4976" s="13" t="s">
        <v>496</v>
      </c>
      <c r="M4976" s="2" t="s">
        <v>26</v>
      </c>
      <c r="N4976" s="29"/>
      <c r="O4976" s="29"/>
      <c r="P4976" s="5" t="str">
        <f>IFERROR(__xludf.DUMMYFUNCTION("TEXTJOIN("" | "",TRUE,IF(OR(D4976="""",E4976="""",I4976="""",J4976="""",H4976=""""),""ফাঁকা ঘর"",""""),IF(AND(C4976&lt;&gt;"""",D4976&lt;&gt;"""",C4976=D4976),""gloss=figurative"",""""),IF(LEN(D4976)&lt;15,""figurative ছোট"",""""),IF(AND(I4976=""Positive"",REGEXMATCH(H4"&amp;"976,""মূর্খ|ভণ্ড|প্রতার|অলস|লোভ|স্বার্থ|অক্ষম|অযোগ্য|বোকা|কৃপণ|হিংস"")),""valence-target অমিল"",""""),IF(COUNTIF($B:$B,B4976)&gt;1,""ডুপ্লিকেট"",""""))"),"")</f>
        <v/>
      </c>
      <c r="Q4976" s="5" t="str">
        <f t="shared" si="1"/>
        <v>২ পরে</v>
      </c>
    </row>
    <row r="4977">
      <c r="A4977" s="4">
        <v>2815.0</v>
      </c>
      <c r="B4977" s="2" t="s">
        <v>20392</v>
      </c>
      <c r="C4977" s="2" t="s">
        <v>20392</v>
      </c>
      <c r="D4977" s="2" t="s">
        <v>20393</v>
      </c>
      <c r="E4977" s="2" t="s">
        <v>20394</v>
      </c>
      <c r="F4977" s="2" t="b">
        <v>1</v>
      </c>
      <c r="G4977" s="2" t="b">
        <v>0</v>
      </c>
      <c r="H4977" s="2" t="s">
        <v>37</v>
      </c>
      <c r="I4977" s="2" t="s">
        <v>49</v>
      </c>
      <c r="J4977" s="2" t="s">
        <v>739</v>
      </c>
      <c r="K4977" s="2" t="s">
        <v>495</v>
      </c>
      <c r="L4977" s="13" t="s">
        <v>496</v>
      </c>
      <c r="M4977" s="2" t="s">
        <v>26</v>
      </c>
      <c r="N4977" s="29"/>
      <c r="O4977" s="29"/>
      <c r="P4977" s="5" t="str">
        <f>IFERROR(__xludf.DUMMYFUNCTION("TEXTJOIN("" | "",TRUE,IF(OR(D4977="""",E4977="""",I4977="""",J4977="""",H4977=""""),""ফাঁকা ঘর"",""""),IF(AND(C4977&lt;&gt;"""",D4977&lt;&gt;"""",C4977=D4977),""gloss=figurative"",""""),IF(LEN(D4977)&lt;15,""figurative ছোট"",""""),IF(AND(I4977=""Positive"",REGEXMATCH(H4"&amp;"977,""মূর্খ|ভণ্ড|প্রতার|অলস|লোভ|স্বার্থ|অক্ষম|অযোগ্য|বোকা|কৃপণ|হিংস"")),""valence-target অমিল"",""""),IF(COUNTIF($B:$B,B4977)&gt;1,""ডুপ্লিকেট"",""""))"),"")</f>
        <v/>
      </c>
      <c r="Q4977" s="5" t="str">
        <f t="shared" si="1"/>
        <v>২ পরে</v>
      </c>
    </row>
    <row r="4978">
      <c r="A4978" s="4">
        <v>2816.0</v>
      </c>
      <c r="B4978" s="2" t="s">
        <v>20395</v>
      </c>
      <c r="C4978" s="2" t="s">
        <v>20396</v>
      </c>
      <c r="D4978" s="2" t="s">
        <v>20397</v>
      </c>
      <c r="E4978" s="2" t="s">
        <v>20398</v>
      </c>
      <c r="F4978" s="2" t="b">
        <v>1</v>
      </c>
      <c r="G4978" s="2" t="b">
        <v>0</v>
      </c>
      <c r="H4978" s="2" t="s">
        <v>37</v>
      </c>
      <c r="I4978" s="2" t="s">
        <v>22</v>
      </c>
      <c r="J4978" s="2" t="s">
        <v>739</v>
      </c>
      <c r="K4978" s="2" t="s">
        <v>495</v>
      </c>
      <c r="L4978" s="13" t="s">
        <v>496</v>
      </c>
      <c r="M4978" s="2" t="s">
        <v>26</v>
      </c>
      <c r="N4978" s="29"/>
      <c r="O4978" s="29"/>
      <c r="P4978" s="5" t="str">
        <f>IFERROR(__xludf.DUMMYFUNCTION("TEXTJOIN("" | "",TRUE,IF(OR(D4978="""",E4978="""",I4978="""",J4978="""",H4978=""""),""ফাঁকা ঘর"",""""),IF(AND(C4978&lt;&gt;"""",D4978&lt;&gt;"""",C4978=D4978),""gloss=figurative"",""""),IF(LEN(D4978)&lt;15,""figurative ছোট"",""""),IF(AND(I4978=""Positive"",REGEXMATCH(H4"&amp;"978,""মূর্খ|ভণ্ড|প্রতার|অলস|লোভ|স্বার্থ|অক্ষম|অযোগ্য|বোকা|কৃপণ|হিংস"")),""valence-target অমিল"",""""),IF(COUNTIF($B:$B,B4978)&gt;1,""ডুপ্লিকেট"",""""))"),"")</f>
        <v/>
      </c>
      <c r="Q4978" s="5" t="str">
        <f t="shared" si="1"/>
        <v>২ পরে</v>
      </c>
    </row>
    <row r="4979">
      <c r="A4979" s="4">
        <v>2817.0</v>
      </c>
      <c r="B4979" s="2" t="s">
        <v>20399</v>
      </c>
      <c r="C4979" s="2" t="s">
        <v>20400</v>
      </c>
      <c r="D4979" s="2" t="s">
        <v>20401</v>
      </c>
      <c r="E4979" s="2" t="s">
        <v>20402</v>
      </c>
      <c r="F4979" s="2" t="b">
        <v>1</v>
      </c>
      <c r="G4979" s="2" t="b">
        <v>0</v>
      </c>
      <c r="H4979" s="2" t="s">
        <v>37</v>
      </c>
      <c r="I4979" s="2" t="s">
        <v>22</v>
      </c>
      <c r="J4979" s="2" t="s">
        <v>739</v>
      </c>
      <c r="K4979" s="2" t="s">
        <v>495</v>
      </c>
      <c r="L4979" s="13" t="s">
        <v>496</v>
      </c>
      <c r="M4979" s="2" t="s">
        <v>26</v>
      </c>
      <c r="N4979" s="29"/>
      <c r="O4979" s="29"/>
      <c r="P4979" s="5" t="str">
        <f>IFERROR(__xludf.DUMMYFUNCTION("TEXTJOIN("" | "",TRUE,IF(OR(D4979="""",E4979="""",I4979="""",J4979="""",H4979=""""),""ফাঁকা ঘর"",""""),IF(AND(C4979&lt;&gt;"""",D4979&lt;&gt;"""",C4979=D4979),""gloss=figurative"",""""),IF(LEN(D4979)&lt;15,""figurative ছোট"",""""),IF(AND(I4979=""Positive"",REGEXMATCH(H4"&amp;"979,""মূর্খ|ভণ্ড|প্রতার|অলস|লোভ|স্বার্থ|অক্ষম|অযোগ্য|বোকা|কৃপণ|হিংস"")),""valence-target অমিল"",""""),IF(COUNTIF($B:$B,B4979)&gt;1,""ডুপ্লিকেট"",""""))"),"")</f>
        <v/>
      </c>
      <c r="Q4979" s="5" t="str">
        <f t="shared" si="1"/>
        <v>২ পরে</v>
      </c>
    </row>
    <row r="4980">
      <c r="A4980" s="4">
        <v>2818.0</v>
      </c>
      <c r="B4980" s="2" t="s">
        <v>20403</v>
      </c>
      <c r="C4980" s="2" t="s">
        <v>20404</v>
      </c>
      <c r="D4980" s="2" t="s">
        <v>20405</v>
      </c>
      <c r="E4980" s="2" t="s">
        <v>20406</v>
      </c>
      <c r="F4980" s="2" t="b">
        <v>1</v>
      </c>
      <c r="G4980" s="2" t="b">
        <v>0</v>
      </c>
      <c r="H4980" s="2" t="s">
        <v>37</v>
      </c>
      <c r="I4980" s="2" t="s">
        <v>22</v>
      </c>
      <c r="J4980" s="2" t="s">
        <v>739</v>
      </c>
      <c r="K4980" s="2" t="s">
        <v>495</v>
      </c>
      <c r="L4980" s="13" t="s">
        <v>496</v>
      </c>
      <c r="M4980" s="2" t="s">
        <v>26</v>
      </c>
      <c r="N4980" s="29"/>
      <c r="O4980" s="29"/>
      <c r="P4980" s="5" t="str">
        <f>IFERROR(__xludf.DUMMYFUNCTION("TEXTJOIN("" | "",TRUE,IF(OR(D4980="""",E4980="""",I4980="""",J4980="""",H4980=""""),""ফাঁকা ঘর"",""""),IF(AND(C4980&lt;&gt;"""",D4980&lt;&gt;"""",C4980=D4980),""gloss=figurative"",""""),IF(LEN(D4980)&lt;15,""figurative ছোট"",""""),IF(AND(I4980=""Positive"",REGEXMATCH(H4"&amp;"980,""মূর্খ|ভণ্ড|প্রতার|অলস|লোভ|স্বার্থ|অক্ষম|অযোগ্য|বোকা|কৃপণ|হিংস"")),""valence-target অমিল"",""""),IF(COUNTIF($B:$B,B4980)&gt;1,""ডুপ্লিকেট"",""""))"),"")</f>
        <v/>
      </c>
      <c r="Q4980" s="5" t="str">
        <f t="shared" si="1"/>
        <v>২ পরে</v>
      </c>
    </row>
    <row r="4981">
      <c r="A4981" s="4">
        <v>2819.0</v>
      </c>
      <c r="B4981" s="2" t="s">
        <v>20407</v>
      </c>
      <c r="C4981" s="2" t="s">
        <v>20407</v>
      </c>
      <c r="D4981" s="2" t="s">
        <v>20408</v>
      </c>
      <c r="E4981" s="2" t="s">
        <v>20409</v>
      </c>
      <c r="F4981" s="2" t="b">
        <v>1</v>
      </c>
      <c r="G4981" s="2" t="b">
        <v>0</v>
      </c>
      <c r="H4981" s="2" t="s">
        <v>37</v>
      </c>
      <c r="I4981" s="2" t="s">
        <v>32</v>
      </c>
      <c r="J4981" s="2" t="s">
        <v>739</v>
      </c>
      <c r="K4981" s="2" t="s">
        <v>495</v>
      </c>
      <c r="L4981" s="13" t="s">
        <v>496</v>
      </c>
      <c r="M4981" s="2" t="s">
        <v>26</v>
      </c>
      <c r="N4981" s="29"/>
      <c r="O4981" s="29"/>
      <c r="P4981" s="5" t="str">
        <f>IFERROR(__xludf.DUMMYFUNCTION("TEXTJOIN("" | "",TRUE,IF(OR(D4981="""",E4981="""",I4981="""",J4981="""",H4981=""""),""ফাঁকা ঘর"",""""),IF(AND(C4981&lt;&gt;"""",D4981&lt;&gt;"""",C4981=D4981),""gloss=figurative"",""""),IF(LEN(D4981)&lt;15,""figurative ছোট"",""""),IF(AND(I4981=""Positive"",REGEXMATCH(H4"&amp;"981,""মূর্খ|ভণ্ড|প্রতার|অলস|লোভ|স্বার্থ|অক্ষম|অযোগ্য|বোকা|কৃপণ|হিংস"")),""valence-target অমিল"",""""),IF(COUNTIF($B:$B,B4981)&gt;1,""ডুপ্লিকেট"",""""))"),"")</f>
        <v/>
      </c>
      <c r="Q4981" s="5" t="str">
        <f t="shared" si="1"/>
        <v>২ পরে</v>
      </c>
    </row>
    <row r="4982">
      <c r="A4982" s="4">
        <v>2820.0</v>
      </c>
      <c r="B4982" s="2" t="s">
        <v>20410</v>
      </c>
      <c r="C4982" s="2" t="s">
        <v>20411</v>
      </c>
      <c r="D4982" s="2" t="s">
        <v>20412</v>
      </c>
      <c r="E4982" s="2" t="s">
        <v>20413</v>
      </c>
      <c r="F4982" s="2" t="b">
        <v>1</v>
      </c>
      <c r="G4982" s="2" t="b">
        <v>0</v>
      </c>
      <c r="H4982" s="2" t="s">
        <v>37</v>
      </c>
      <c r="I4982" s="2" t="s">
        <v>22</v>
      </c>
      <c r="J4982" s="2" t="s">
        <v>739</v>
      </c>
      <c r="K4982" s="2" t="s">
        <v>495</v>
      </c>
      <c r="L4982" s="13" t="s">
        <v>496</v>
      </c>
      <c r="M4982" s="2" t="s">
        <v>26</v>
      </c>
      <c r="N4982" s="29"/>
      <c r="O4982" s="29"/>
      <c r="P4982" s="5" t="str">
        <f>IFERROR(__xludf.DUMMYFUNCTION("TEXTJOIN("" | "",TRUE,IF(OR(D4982="""",E4982="""",I4982="""",J4982="""",H4982=""""),""ফাঁকা ঘর"",""""),IF(AND(C4982&lt;&gt;"""",D4982&lt;&gt;"""",C4982=D4982),""gloss=figurative"",""""),IF(LEN(D4982)&lt;15,""figurative ছোট"",""""),IF(AND(I4982=""Positive"",REGEXMATCH(H4"&amp;"982,""মূর্খ|ভণ্ড|প্রতার|অলস|লোভ|স্বার্থ|অক্ষম|অযোগ্য|বোকা|কৃপণ|হিংস"")),""valence-target অমিল"",""""),IF(COUNTIF($B:$B,B4982)&gt;1,""ডুপ্লিকেট"",""""))"),"")</f>
        <v/>
      </c>
      <c r="Q4982" s="5" t="str">
        <f t="shared" si="1"/>
        <v>২ পরে</v>
      </c>
    </row>
    <row r="4983">
      <c r="A4983" s="4">
        <v>2821.0</v>
      </c>
      <c r="B4983" s="2" t="s">
        <v>20414</v>
      </c>
      <c r="C4983" s="2" t="s">
        <v>20415</v>
      </c>
      <c r="D4983" s="2" t="s">
        <v>20416</v>
      </c>
      <c r="E4983" s="2" t="s">
        <v>20417</v>
      </c>
      <c r="F4983" s="2" t="b">
        <v>1</v>
      </c>
      <c r="G4983" s="2" t="b">
        <v>0</v>
      </c>
      <c r="H4983" s="2" t="s">
        <v>37</v>
      </c>
      <c r="I4983" s="2" t="s">
        <v>32</v>
      </c>
      <c r="J4983" s="2" t="s">
        <v>739</v>
      </c>
      <c r="K4983" s="2" t="s">
        <v>495</v>
      </c>
      <c r="L4983" s="13" t="s">
        <v>496</v>
      </c>
      <c r="M4983" s="2" t="s">
        <v>26</v>
      </c>
      <c r="N4983" s="29"/>
      <c r="O4983" s="29"/>
      <c r="P4983" s="5" t="str">
        <f>IFERROR(__xludf.DUMMYFUNCTION("TEXTJOIN("" | "",TRUE,IF(OR(D4983="""",E4983="""",I4983="""",J4983="""",H4983=""""),""ফাঁকা ঘর"",""""),IF(AND(C4983&lt;&gt;"""",D4983&lt;&gt;"""",C4983=D4983),""gloss=figurative"",""""),IF(LEN(D4983)&lt;15,""figurative ছোট"",""""),IF(AND(I4983=""Positive"",REGEXMATCH(H4"&amp;"983,""মূর্খ|ভণ্ড|প্রতার|অলস|লোভ|স্বার্থ|অক্ষম|অযোগ্য|বোকা|কৃপণ|হিংস"")),""valence-target অমিল"",""""),IF(COUNTIF($B:$B,B4983)&gt;1,""ডুপ্লিকেট"",""""))"),"")</f>
        <v/>
      </c>
      <c r="Q4983" s="5" t="str">
        <f t="shared" si="1"/>
        <v>২ পরে</v>
      </c>
    </row>
    <row r="4984">
      <c r="A4984" s="4">
        <v>2822.0</v>
      </c>
      <c r="B4984" s="2" t="s">
        <v>20418</v>
      </c>
      <c r="C4984" s="2" t="s">
        <v>20419</v>
      </c>
      <c r="D4984" s="2" t="s">
        <v>20420</v>
      </c>
      <c r="E4984" s="2" t="s">
        <v>20421</v>
      </c>
      <c r="F4984" s="2" t="b">
        <v>1</v>
      </c>
      <c r="G4984" s="2" t="b">
        <v>0</v>
      </c>
      <c r="H4984" s="2" t="s">
        <v>37</v>
      </c>
      <c r="I4984" s="2" t="s">
        <v>22</v>
      </c>
      <c r="J4984" s="2" t="s">
        <v>1510</v>
      </c>
      <c r="K4984" s="2" t="s">
        <v>495</v>
      </c>
      <c r="L4984" s="13" t="s">
        <v>496</v>
      </c>
      <c r="M4984" s="2" t="s">
        <v>26</v>
      </c>
      <c r="N4984" s="29"/>
      <c r="O4984" s="29"/>
      <c r="P4984" s="5" t="str">
        <f>IFERROR(__xludf.DUMMYFUNCTION("TEXTJOIN("" | "",TRUE,IF(OR(D4984="""",E4984="""",I4984="""",J4984="""",H4984=""""),""ফাঁকা ঘর"",""""),IF(AND(C4984&lt;&gt;"""",D4984&lt;&gt;"""",C4984=D4984),""gloss=figurative"",""""),IF(LEN(D4984)&lt;15,""figurative ছোট"",""""),IF(AND(I4984=""Positive"",REGEXMATCH(H4"&amp;"984,""মূর্খ|ভণ্ড|প্রতার|অলস|লোভ|স্বার্থ|অক্ষম|অযোগ্য|বোকা|কৃপণ|হিংস"")),""valence-target অমিল"",""""),IF(COUNTIF($B:$B,B4984)&gt;1,""ডুপ্লিকেট"",""""))"),"")</f>
        <v/>
      </c>
      <c r="Q4984" s="5" t="str">
        <f t="shared" si="1"/>
        <v>২ পরে</v>
      </c>
    </row>
    <row r="4985">
      <c r="A4985" s="4">
        <v>2823.0</v>
      </c>
      <c r="B4985" s="2" t="s">
        <v>20422</v>
      </c>
      <c r="C4985" s="2" t="s">
        <v>20422</v>
      </c>
      <c r="D4985" s="2" t="s">
        <v>20423</v>
      </c>
      <c r="E4985" s="2" t="s">
        <v>20424</v>
      </c>
      <c r="F4985" s="2" t="b">
        <v>1</v>
      </c>
      <c r="G4985" s="2" t="b">
        <v>0</v>
      </c>
      <c r="H4985" s="2" t="s">
        <v>37</v>
      </c>
      <c r="I4985" s="2" t="s">
        <v>22</v>
      </c>
      <c r="J4985" s="2" t="s">
        <v>2611</v>
      </c>
      <c r="K4985" s="2" t="s">
        <v>495</v>
      </c>
      <c r="L4985" s="13" t="s">
        <v>496</v>
      </c>
      <c r="M4985" s="2" t="s">
        <v>26</v>
      </c>
      <c r="N4985" s="29"/>
      <c r="O4985" s="29"/>
      <c r="P4985" s="5" t="str">
        <f>IFERROR(__xludf.DUMMYFUNCTION("TEXTJOIN("" | "",TRUE,IF(OR(D4985="""",E4985="""",I4985="""",J4985="""",H4985=""""),""ফাঁকা ঘর"",""""),IF(AND(C4985&lt;&gt;"""",D4985&lt;&gt;"""",C4985=D4985),""gloss=figurative"",""""),IF(LEN(D4985)&lt;15,""figurative ছোট"",""""),IF(AND(I4985=""Positive"",REGEXMATCH(H4"&amp;"985,""মূর্খ|ভণ্ড|প্রতার|অলস|লোভ|স্বার্থ|অক্ষম|অযোগ্য|বোকা|কৃপণ|হিংস"")),""valence-target অমিল"",""""),IF(COUNTIF($B:$B,B4985)&gt;1,""ডুপ্লিকেট"",""""))"),"")</f>
        <v/>
      </c>
      <c r="Q4985" s="5" t="str">
        <f t="shared" si="1"/>
        <v>২ পরে</v>
      </c>
    </row>
    <row r="4986">
      <c r="A4986" s="4">
        <v>2824.0</v>
      </c>
      <c r="B4986" s="2" t="s">
        <v>20425</v>
      </c>
      <c r="C4986" s="2" t="s">
        <v>20426</v>
      </c>
      <c r="D4986" s="2" t="s">
        <v>20427</v>
      </c>
      <c r="E4986" s="2" t="s">
        <v>20428</v>
      </c>
      <c r="F4986" s="2" t="b">
        <v>1</v>
      </c>
      <c r="G4986" s="2" t="b">
        <v>0</v>
      </c>
      <c r="H4986" s="2" t="s">
        <v>37</v>
      </c>
      <c r="I4986" s="2" t="s">
        <v>32</v>
      </c>
      <c r="J4986" s="2" t="s">
        <v>43</v>
      </c>
      <c r="K4986" s="2" t="s">
        <v>495</v>
      </c>
      <c r="L4986" s="13" t="s">
        <v>496</v>
      </c>
      <c r="M4986" s="2" t="s">
        <v>26</v>
      </c>
      <c r="N4986" s="29"/>
      <c r="O4986" s="29"/>
      <c r="P4986" s="5" t="str">
        <f>IFERROR(__xludf.DUMMYFUNCTION("TEXTJOIN("" | "",TRUE,IF(OR(D4986="""",E4986="""",I4986="""",J4986="""",H4986=""""),""ফাঁকা ঘর"",""""),IF(AND(C4986&lt;&gt;"""",D4986&lt;&gt;"""",C4986=D4986),""gloss=figurative"",""""),IF(LEN(D4986)&lt;15,""figurative ছোট"",""""),IF(AND(I4986=""Positive"",REGEXMATCH(H4"&amp;"986,""মূর্খ|ভণ্ড|প্রতার|অলস|লোভ|স্বার্থ|অক্ষম|অযোগ্য|বোকা|কৃপণ|হিংস"")),""valence-target অমিল"",""""),IF(COUNTIF($B:$B,B4986)&gt;1,""ডুপ্লিকেট"",""""))"),"")</f>
        <v/>
      </c>
      <c r="Q4986" s="5" t="str">
        <f t="shared" si="1"/>
        <v>২ পরে</v>
      </c>
    </row>
    <row r="4987">
      <c r="A4987" s="4">
        <v>2825.0</v>
      </c>
      <c r="B4987" s="2" t="s">
        <v>20429</v>
      </c>
      <c r="C4987" s="2" t="s">
        <v>20429</v>
      </c>
      <c r="D4987" s="2" t="s">
        <v>20430</v>
      </c>
      <c r="E4987" s="2" t="s">
        <v>20431</v>
      </c>
      <c r="F4987" s="2" t="b">
        <v>1</v>
      </c>
      <c r="G4987" s="2" t="b">
        <v>0</v>
      </c>
      <c r="H4987" s="2" t="s">
        <v>37</v>
      </c>
      <c r="I4987" s="2" t="s">
        <v>22</v>
      </c>
      <c r="J4987" s="2" t="s">
        <v>820</v>
      </c>
      <c r="K4987" s="2" t="s">
        <v>495</v>
      </c>
      <c r="L4987" s="13" t="s">
        <v>496</v>
      </c>
      <c r="M4987" s="2" t="s">
        <v>26</v>
      </c>
      <c r="N4987" s="29"/>
      <c r="O4987" s="29"/>
      <c r="P4987" s="5" t="str">
        <f>IFERROR(__xludf.DUMMYFUNCTION("TEXTJOIN("" | "",TRUE,IF(OR(D4987="""",E4987="""",I4987="""",J4987="""",H4987=""""),""ফাঁকা ঘর"",""""),IF(AND(C4987&lt;&gt;"""",D4987&lt;&gt;"""",C4987=D4987),""gloss=figurative"",""""),IF(LEN(D4987)&lt;15,""figurative ছোট"",""""),IF(AND(I4987=""Positive"",REGEXMATCH(H4"&amp;"987,""মূর্খ|ভণ্ড|প্রতার|অলস|লোভ|স্বার্থ|অক্ষম|অযোগ্য|বোকা|কৃপণ|হিংস"")),""valence-target অমিল"",""""),IF(COUNTIF($B:$B,B4987)&gt;1,""ডুপ্লিকেট"",""""))"),"")</f>
        <v/>
      </c>
      <c r="Q4987" s="5" t="str">
        <f t="shared" si="1"/>
        <v>২ পরে</v>
      </c>
    </row>
    <row r="4988">
      <c r="A4988" s="4">
        <v>2826.0</v>
      </c>
      <c r="B4988" s="2" t="s">
        <v>20432</v>
      </c>
      <c r="C4988" s="2" t="s">
        <v>20433</v>
      </c>
      <c r="D4988" s="2" t="s">
        <v>20434</v>
      </c>
      <c r="E4988" s="2" t="s">
        <v>17683</v>
      </c>
      <c r="F4988" s="2" t="b">
        <v>1</v>
      </c>
      <c r="G4988" s="2" t="b">
        <v>0</v>
      </c>
      <c r="H4988" s="2" t="s">
        <v>37</v>
      </c>
      <c r="I4988" s="2" t="s">
        <v>22</v>
      </c>
      <c r="J4988" s="2" t="s">
        <v>424</v>
      </c>
      <c r="K4988" s="2" t="s">
        <v>495</v>
      </c>
      <c r="L4988" s="13" t="s">
        <v>496</v>
      </c>
      <c r="M4988" s="2" t="s">
        <v>26</v>
      </c>
      <c r="N4988" s="29"/>
      <c r="O4988" s="29"/>
      <c r="P4988" s="5" t="str">
        <f>IFERROR(__xludf.DUMMYFUNCTION("TEXTJOIN("" | "",TRUE,IF(OR(D4988="""",E4988="""",I4988="""",J4988="""",H4988=""""),""ফাঁকা ঘর"",""""),IF(AND(C4988&lt;&gt;"""",D4988&lt;&gt;"""",C4988=D4988),""gloss=figurative"",""""),IF(LEN(D4988)&lt;15,""figurative ছোট"",""""),IF(AND(I4988=""Positive"",REGEXMATCH(H4"&amp;"988,""মূর্খ|ভণ্ড|প্রতার|অলস|লোভ|স্বার্থ|অক্ষম|অযোগ্য|বোকা|কৃপণ|হিংস"")),""valence-target অমিল"",""""),IF(COUNTIF($B:$B,B4988)&gt;1,""ডুপ্লিকেট"",""""))"),"")</f>
        <v/>
      </c>
      <c r="Q4988" s="5" t="str">
        <f t="shared" si="1"/>
        <v>২ পরে</v>
      </c>
    </row>
    <row r="4989">
      <c r="A4989" s="4">
        <v>2827.0</v>
      </c>
      <c r="B4989" s="2" t="s">
        <v>20435</v>
      </c>
      <c r="C4989" s="2" t="s">
        <v>20436</v>
      </c>
      <c r="D4989" s="2" t="s">
        <v>20437</v>
      </c>
      <c r="E4989" s="2" t="s">
        <v>20438</v>
      </c>
      <c r="F4989" s="2" t="b">
        <v>1</v>
      </c>
      <c r="G4989" s="2" t="b">
        <v>0</v>
      </c>
      <c r="H4989" s="2" t="s">
        <v>37</v>
      </c>
      <c r="I4989" s="2" t="s">
        <v>22</v>
      </c>
      <c r="J4989" s="2" t="s">
        <v>6499</v>
      </c>
      <c r="K4989" s="2" t="s">
        <v>495</v>
      </c>
      <c r="L4989" s="13" t="s">
        <v>496</v>
      </c>
      <c r="M4989" s="2" t="s">
        <v>26</v>
      </c>
      <c r="N4989" s="29"/>
      <c r="O4989" s="29"/>
      <c r="P4989" s="5" t="str">
        <f>IFERROR(__xludf.DUMMYFUNCTION("TEXTJOIN("" | "",TRUE,IF(OR(D4989="""",E4989="""",I4989="""",J4989="""",H4989=""""),""ফাঁকা ঘর"",""""),IF(AND(C4989&lt;&gt;"""",D4989&lt;&gt;"""",C4989=D4989),""gloss=figurative"",""""),IF(LEN(D4989)&lt;15,""figurative ছোট"",""""),IF(AND(I4989=""Positive"",REGEXMATCH(H4"&amp;"989,""মূর্খ|ভণ্ড|প্রতার|অলস|লোভ|স্বার্থ|অক্ষম|অযোগ্য|বোকা|কৃপণ|হিংস"")),""valence-target অমিল"",""""),IF(COUNTIF($B:$B,B4989)&gt;1,""ডুপ্লিকেট"",""""))"),"")</f>
        <v/>
      </c>
      <c r="Q4989" s="5" t="str">
        <f t="shared" si="1"/>
        <v>২ পরে</v>
      </c>
    </row>
    <row r="4990">
      <c r="A4990" s="4">
        <v>2828.0</v>
      </c>
      <c r="B4990" s="2" t="s">
        <v>20439</v>
      </c>
      <c r="C4990" s="2" t="s">
        <v>20440</v>
      </c>
      <c r="D4990" s="2" t="s">
        <v>20441</v>
      </c>
      <c r="E4990" s="2" t="s">
        <v>20442</v>
      </c>
      <c r="F4990" s="2" t="b">
        <v>1</v>
      </c>
      <c r="G4990" s="2" t="b">
        <v>0</v>
      </c>
      <c r="H4990" s="2" t="s">
        <v>37</v>
      </c>
      <c r="I4990" s="2" t="s">
        <v>32</v>
      </c>
      <c r="J4990" s="2" t="s">
        <v>1603</v>
      </c>
      <c r="K4990" s="2" t="s">
        <v>495</v>
      </c>
      <c r="L4990" s="13" t="s">
        <v>496</v>
      </c>
      <c r="M4990" s="2" t="s">
        <v>26</v>
      </c>
      <c r="N4990" s="29"/>
      <c r="O4990" s="29"/>
      <c r="P4990" s="5" t="str">
        <f>IFERROR(__xludf.DUMMYFUNCTION("TEXTJOIN("" | "",TRUE,IF(OR(D4990="""",E4990="""",I4990="""",J4990="""",H4990=""""),""ফাঁকা ঘর"",""""),IF(AND(C4990&lt;&gt;"""",D4990&lt;&gt;"""",C4990=D4990),""gloss=figurative"",""""),IF(LEN(D4990)&lt;15,""figurative ছোট"",""""),IF(AND(I4990=""Positive"",REGEXMATCH(H4"&amp;"990,""মূর্খ|ভণ্ড|প্রতার|অলস|লোভ|স্বার্থ|অক্ষম|অযোগ্য|বোকা|কৃপণ|হিংস"")),""valence-target অমিল"",""""),IF(COUNTIF($B:$B,B4990)&gt;1,""ডুপ্লিকেট"",""""))"),"")</f>
        <v/>
      </c>
      <c r="Q4990" s="5" t="str">
        <f t="shared" si="1"/>
        <v>২ পরে</v>
      </c>
    </row>
    <row r="4991">
      <c r="A4991" s="4">
        <v>2829.0</v>
      </c>
      <c r="B4991" s="2" t="s">
        <v>20443</v>
      </c>
      <c r="C4991" s="2" t="s">
        <v>20444</v>
      </c>
      <c r="D4991" s="2" t="s">
        <v>20445</v>
      </c>
      <c r="E4991" s="2" t="s">
        <v>20446</v>
      </c>
      <c r="F4991" s="2" t="b">
        <v>1</v>
      </c>
      <c r="G4991" s="2" t="b">
        <v>0</v>
      </c>
      <c r="H4991" s="2" t="s">
        <v>37</v>
      </c>
      <c r="I4991" s="2" t="s">
        <v>32</v>
      </c>
      <c r="J4991" s="2" t="s">
        <v>669</v>
      </c>
      <c r="K4991" s="2" t="s">
        <v>495</v>
      </c>
      <c r="L4991" s="13" t="s">
        <v>496</v>
      </c>
      <c r="M4991" s="2" t="s">
        <v>26</v>
      </c>
      <c r="N4991" s="29"/>
      <c r="O4991" s="29"/>
      <c r="P4991" s="5" t="str">
        <f>IFERROR(__xludf.DUMMYFUNCTION("TEXTJOIN("" | "",TRUE,IF(OR(D4991="""",E4991="""",I4991="""",J4991="""",H4991=""""),""ফাঁকা ঘর"",""""),IF(AND(C4991&lt;&gt;"""",D4991&lt;&gt;"""",C4991=D4991),""gloss=figurative"",""""),IF(LEN(D4991)&lt;15,""figurative ছোট"",""""),IF(AND(I4991=""Positive"",REGEXMATCH(H4"&amp;"991,""মূর্খ|ভণ্ড|প্রতার|অলস|লোভ|স্বার্থ|অক্ষম|অযোগ্য|বোকা|কৃপণ|হিংস"")),""valence-target অমিল"",""""),IF(COUNTIF($B:$B,B4991)&gt;1,""ডুপ্লিকেট"",""""))"),"")</f>
        <v/>
      </c>
      <c r="Q4991" s="5" t="str">
        <f t="shared" si="1"/>
        <v>২ পরে</v>
      </c>
    </row>
    <row r="4992">
      <c r="A4992" s="4">
        <v>2830.0</v>
      </c>
      <c r="B4992" s="2" t="s">
        <v>20447</v>
      </c>
      <c r="C4992" s="2" t="s">
        <v>20447</v>
      </c>
      <c r="D4992" s="2" t="s">
        <v>20448</v>
      </c>
      <c r="E4992" s="2" t="s">
        <v>20449</v>
      </c>
      <c r="F4992" s="2" t="b">
        <v>1</v>
      </c>
      <c r="G4992" s="2" t="b">
        <v>0</v>
      </c>
      <c r="H4992" s="2" t="s">
        <v>37</v>
      </c>
      <c r="I4992" s="2" t="s">
        <v>49</v>
      </c>
      <c r="J4992" s="2" t="s">
        <v>20450</v>
      </c>
      <c r="K4992" s="2" t="s">
        <v>495</v>
      </c>
      <c r="L4992" s="13" t="s">
        <v>496</v>
      </c>
      <c r="M4992" s="2" t="s">
        <v>26</v>
      </c>
      <c r="N4992" s="29"/>
      <c r="O4992" s="29"/>
      <c r="P4992" s="5" t="str">
        <f>IFERROR(__xludf.DUMMYFUNCTION("TEXTJOIN("" | "",TRUE,IF(OR(D4992="""",E4992="""",I4992="""",J4992="""",H4992=""""),""ফাঁকা ঘর"",""""),IF(AND(C4992&lt;&gt;"""",D4992&lt;&gt;"""",C4992=D4992),""gloss=figurative"",""""),IF(LEN(D4992)&lt;15,""figurative ছোট"",""""),IF(AND(I4992=""Positive"",REGEXMATCH(H4"&amp;"992,""মূর্খ|ভণ্ড|প্রতার|অলস|লোভ|স্বার্থ|অক্ষম|অযোগ্য|বোকা|কৃপণ|হিংস"")),""valence-target অমিল"",""""),IF(COUNTIF($B:$B,B4992)&gt;1,""ডুপ্লিকেট"",""""))"),"")</f>
        <v/>
      </c>
      <c r="Q4992" s="5" t="str">
        <f t="shared" si="1"/>
        <v>২ পরে</v>
      </c>
    </row>
    <row r="4993">
      <c r="A4993" s="4">
        <v>2831.0</v>
      </c>
      <c r="B4993" s="2" t="s">
        <v>20451</v>
      </c>
      <c r="C4993" s="2" t="s">
        <v>20452</v>
      </c>
      <c r="D4993" s="2" t="s">
        <v>20453</v>
      </c>
      <c r="E4993" s="2" t="s">
        <v>20454</v>
      </c>
      <c r="F4993" s="2" t="b">
        <v>1</v>
      </c>
      <c r="G4993" s="2" t="b">
        <v>0</v>
      </c>
      <c r="H4993" s="2" t="s">
        <v>37</v>
      </c>
      <c r="I4993" s="2" t="s">
        <v>49</v>
      </c>
      <c r="J4993" s="2" t="s">
        <v>964</v>
      </c>
      <c r="K4993" s="2" t="s">
        <v>495</v>
      </c>
      <c r="L4993" s="13" t="s">
        <v>496</v>
      </c>
      <c r="M4993" s="2" t="s">
        <v>26</v>
      </c>
      <c r="N4993" s="29"/>
      <c r="O4993" s="29"/>
      <c r="P4993" s="5" t="str">
        <f>IFERROR(__xludf.DUMMYFUNCTION("TEXTJOIN("" | "",TRUE,IF(OR(D4993="""",E4993="""",I4993="""",J4993="""",H4993=""""),""ফাঁকা ঘর"",""""),IF(AND(C4993&lt;&gt;"""",D4993&lt;&gt;"""",C4993=D4993),""gloss=figurative"",""""),IF(LEN(D4993)&lt;15,""figurative ছোট"",""""),IF(AND(I4993=""Positive"",REGEXMATCH(H4"&amp;"993,""মূর্খ|ভণ্ড|প্রতার|অলস|লোভ|স্বার্থ|অক্ষম|অযোগ্য|বোকা|কৃপণ|হিংস"")),""valence-target অমিল"",""""),IF(COUNTIF($B:$B,B4993)&gt;1,""ডুপ্লিকেট"",""""))"),"")</f>
        <v/>
      </c>
      <c r="Q4993" s="5" t="str">
        <f t="shared" si="1"/>
        <v>২ পরে</v>
      </c>
    </row>
    <row r="4994">
      <c r="A4994" s="4">
        <v>2833.0</v>
      </c>
      <c r="B4994" s="2" t="s">
        <v>20455</v>
      </c>
      <c r="C4994" s="2" t="s">
        <v>20456</v>
      </c>
      <c r="D4994" s="2" t="s">
        <v>20457</v>
      </c>
      <c r="E4994" s="2" t="s">
        <v>20458</v>
      </c>
      <c r="F4994" s="2" t="b">
        <v>1</v>
      </c>
      <c r="G4994" s="2" t="b">
        <v>0</v>
      </c>
      <c r="H4994" s="2" t="s">
        <v>37</v>
      </c>
      <c r="I4994" s="2" t="s">
        <v>22</v>
      </c>
      <c r="J4994" s="2" t="s">
        <v>1630</v>
      </c>
      <c r="K4994" s="2" t="s">
        <v>495</v>
      </c>
      <c r="L4994" s="13" t="s">
        <v>496</v>
      </c>
      <c r="M4994" s="2" t="s">
        <v>26</v>
      </c>
      <c r="N4994" s="29"/>
      <c r="O4994" s="29"/>
      <c r="P4994" s="5" t="str">
        <f>IFERROR(__xludf.DUMMYFUNCTION("TEXTJOIN("" | "",TRUE,IF(OR(D4994="""",E4994="""",I4994="""",J4994="""",H4994=""""),""ফাঁকা ঘর"",""""),IF(AND(C4994&lt;&gt;"""",D4994&lt;&gt;"""",C4994=D4994),""gloss=figurative"",""""),IF(LEN(D4994)&lt;15,""figurative ছোট"",""""),IF(AND(I4994=""Positive"",REGEXMATCH(H4"&amp;"994,""মূর্খ|ভণ্ড|প্রতার|অলস|লোভ|স্বার্থ|অক্ষম|অযোগ্য|বোকা|কৃপণ|হিংস"")),""valence-target অমিল"",""""),IF(COUNTIF($B:$B,B4994)&gt;1,""ডুপ্লিকেট"",""""))"),"")</f>
        <v/>
      </c>
      <c r="Q4994" s="5" t="str">
        <f t="shared" si="1"/>
        <v>২ পরে</v>
      </c>
    </row>
    <row r="4995">
      <c r="A4995" s="4">
        <v>2834.0</v>
      </c>
      <c r="B4995" s="2" t="s">
        <v>20459</v>
      </c>
      <c r="C4995" s="2" t="s">
        <v>20459</v>
      </c>
      <c r="D4995" s="2" t="s">
        <v>20460</v>
      </c>
      <c r="E4995" s="2" t="s">
        <v>20461</v>
      </c>
      <c r="F4995" s="2" t="b">
        <v>1</v>
      </c>
      <c r="G4995" s="2" t="b">
        <v>0</v>
      </c>
      <c r="H4995" s="2" t="s">
        <v>37</v>
      </c>
      <c r="I4995" s="2" t="s">
        <v>32</v>
      </c>
      <c r="J4995" s="2" t="s">
        <v>708</v>
      </c>
      <c r="K4995" s="2" t="s">
        <v>495</v>
      </c>
      <c r="L4995" s="13" t="s">
        <v>496</v>
      </c>
      <c r="M4995" s="2" t="s">
        <v>26</v>
      </c>
      <c r="N4995" s="29"/>
      <c r="O4995" s="29"/>
      <c r="P4995" s="5" t="str">
        <f>IFERROR(__xludf.DUMMYFUNCTION("TEXTJOIN("" | "",TRUE,IF(OR(D4995="""",E4995="""",I4995="""",J4995="""",H4995=""""),""ফাঁকা ঘর"",""""),IF(AND(C4995&lt;&gt;"""",D4995&lt;&gt;"""",C4995=D4995),""gloss=figurative"",""""),IF(LEN(D4995)&lt;15,""figurative ছোট"",""""),IF(AND(I4995=""Positive"",REGEXMATCH(H4"&amp;"995,""মূর্খ|ভণ্ড|প্রতার|অলস|লোভ|স্বার্থ|অক্ষম|অযোগ্য|বোকা|কৃপণ|হিংস"")),""valence-target অমিল"",""""),IF(COUNTIF($B:$B,B4995)&gt;1,""ডুপ্লিকেট"",""""))"),"")</f>
        <v/>
      </c>
      <c r="Q4995" s="5" t="str">
        <f t="shared" si="1"/>
        <v>২ পরে</v>
      </c>
    </row>
    <row r="4996">
      <c r="A4996" s="4">
        <v>2835.0</v>
      </c>
      <c r="B4996" s="2" t="s">
        <v>20462</v>
      </c>
      <c r="C4996" s="2" t="s">
        <v>20463</v>
      </c>
      <c r="D4996" s="2" t="s">
        <v>20464</v>
      </c>
      <c r="E4996" s="2" t="s">
        <v>20465</v>
      </c>
      <c r="F4996" s="2" t="b">
        <v>1</v>
      </c>
      <c r="G4996" s="2" t="b">
        <v>0</v>
      </c>
      <c r="H4996" s="2" t="s">
        <v>37</v>
      </c>
      <c r="I4996" s="2" t="s">
        <v>49</v>
      </c>
      <c r="J4996" s="2" t="s">
        <v>2732</v>
      </c>
      <c r="K4996" s="2" t="s">
        <v>495</v>
      </c>
      <c r="L4996" s="13" t="s">
        <v>496</v>
      </c>
      <c r="M4996" s="2" t="s">
        <v>26</v>
      </c>
      <c r="N4996" s="29"/>
      <c r="O4996" s="29"/>
      <c r="P4996" s="5" t="str">
        <f>IFERROR(__xludf.DUMMYFUNCTION("TEXTJOIN("" | "",TRUE,IF(OR(D4996="""",E4996="""",I4996="""",J4996="""",H4996=""""),""ফাঁকা ঘর"",""""),IF(AND(C4996&lt;&gt;"""",D4996&lt;&gt;"""",C4996=D4996),""gloss=figurative"",""""),IF(LEN(D4996)&lt;15,""figurative ছোট"",""""),IF(AND(I4996=""Positive"",REGEXMATCH(H4"&amp;"996,""মূর্খ|ভণ্ড|প্রতার|অলস|লোভ|স্বার্থ|অক্ষম|অযোগ্য|বোকা|কৃপণ|হিংস"")),""valence-target অমিল"",""""),IF(COUNTIF($B:$B,B4996)&gt;1,""ডুপ্লিকেট"",""""))"),"")</f>
        <v/>
      </c>
      <c r="Q4996" s="5" t="str">
        <f t="shared" si="1"/>
        <v>২ পরে</v>
      </c>
    </row>
    <row r="4997">
      <c r="A4997" s="4">
        <v>2836.0</v>
      </c>
      <c r="B4997" s="2" t="s">
        <v>20466</v>
      </c>
      <c r="C4997" s="2" t="s">
        <v>20467</v>
      </c>
      <c r="D4997" s="2" t="s">
        <v>20468</v>
      </c>
      <c r="E4997" s="2" t="s">
        <v>20469</v>
      </c>
      <c r="F4997" s="2" t="b">
        <v>1</v>
      </c>
      <c r="G4997" s="2" t="b">
        <v>0</v>
      </c>
      <c r="H4997" s="2" t="s">
        <v>37</v>
      </c>
      <c r="I4997" s="2" t="s">
        <v>32</v>
      </c>
      <c r="J4997" s="2" t="s">
        <v>1221</v>
      </c>
      <c r="K4997" s="2" t="s">
        <v>495</v>
      </c>
      <c r="L4997" s="13" t="s">
        <v>496</v>
      </c>
      <c r="M4997" s="2" t="s">
        <v>26</v>
      </c>
      <c r="N4997" s="29"/>
      <c r="O4997" s="29"/>
      <c r="P4997" s="5" t="str">
        <f>IFERROR(__xludf.DUMMYFUNCTION("TEXTJOIN("" | "",TRUE,IF(OR(D4997="""",E4997="""",I4997="""",J4997="""",H4997=""""),""ফাঁকা ঘর"",""""),IF(AND(C4997&lt;&gt;"""",D4997&lt;&gt;"""",C4997=D4997),""gloss=figurative"",""""),IF(LEN(D4997)&lt;15,""figurative ছোট"",""""),IF(AND(I4997=""Positive"",REGEXMATCH(H4"&amp;"997,""মূর্খ|ভণ্ড|প্রতার|অলস|লোভ|স্বার্থ|অক্ষম|অযোগ্য|বোকা|কৃপণ|হিংস"")),""valence-target অমিল"",""""),IF(COUNTIF($B:$B,B4997)&gt;1,""ডুপ্লিকেট"",""""))"),"")</f>
        <v/>
      </c>
      <c r="Q4997" s="5" t="str">
        <f t="shared" si="1"/>
        <v>২ পরে</v>
      </c>
    </row>
    <row r="4998">
      <c r="A4998" s="4">
        <v>2837.0</v>
      </c>
      <c r="B4998" s="2" t="s">
        <v>20470</v>
      </c>
      <c r="C4998" s="2" t="s">
        <v>20470</v>
      </c>
      <c r="D4998" s="2" t="s">
        <v>20471</v>
      </c>
      <c r="E4998" s="2" t="s">
        <v>20472</v>
      </c>
      <c r="F4998" s="2" t="b">
        <v>1</v>
      </c>
      <c r="G4998" s="2" t="b">
        <v>0</v>
      </c>
      <c r="H4998" s="2" t="s">
        <v>37</v>
      </c>
      <c r="I4998" s="2" t="s">
        <v>22</v>
      </c>
      <c r="J4998" s="2" t="s">
        <v>581</v>
      </c>
      <c r="K4998" s="2" t="s">
        <v>495</v>
      </c>
      <c r="L4998" s="13" t="s">
        <v>496</v>
      </c>
      <c r="M4998" s="2" t="s">
        <v>26</v>
      </c>
      <c r="N4998" s="29"/>
      <c r="O4998" s="29"/>
      <c r="P4998" s="5" t="str">
        <f>IFERROR(__xludf.DUMMYFUNCTION("TEXTJOIN("" | "",TRUE,IF(OR(D4998="""",E4998="""",I4998="""",J4998="""",H4998=""""),""ফাঁকা ঘর"",""""),IF(AND(C4998&lt;&gt;"""",D4998&lt;&gt;"""",C4998=D4998),""gloss=figurative"",""""),IF(LEN(D4998)&lt;15,""figurative ছোট"",""""),IF(AND(I4998=""Positive"",REGEXMATCH(H4"&amp;"998,""মূর্খ|ভণ্ড|প্রতার|অলস|লোভ|স্বার্থ|অক্ষম|অযোগ্য|বোকা|কৃপণ|হিংস"")),""valence-target অমিল"",""""),IF(COUNTIF($B:$B,B4998)&gt;1,""ডুপ্লিকেট"",""""))"),"")</f>
        <v/>
      </c>
      <c r="Q4998" s="5" t="str">
        <f t="shared" si="1"/>
        <v>২ পরে</v>
      </c>
    </row>
    <row r="4999">
      <c r="A4999" s="4">
        <v>2838.0</v>
      </c>
      <c r="B4999" s="2" t="s">
        <v>20473</v>
      </c>
      <c r="C4999" s="2" t="s">
        <v>20474</v>
      </c>
      <c r="D4999" s="2" t="s">
        <v>20475</v>
      </c>
      <c r="E4999" s="2" t="s">
        <v>20476</v>
      </c>
      <c r="F4999" s="2" t="b">
        <v>1</v>
      </c>
      <c r="G4999" s="2" t="b">
        <v>0</v>
      </c>
      <c r="H4999" s="2" t="s">
        <v>37</v>
      </c>
      <c r="I4999" s="2" t="s">
        <v>22</v>
      </c>
      <c r="J4999" s="2" t="s">
        <v>729</v>
      </c>
      <c r="K4999" s="2" t="s">
        <v>495</v>
      </c>
      <c r="L4999" s="13" t="s">
        <v>496</v>
      </c>
      <c r="M4999" s="2" t="s">
        <v>26</v>
      </c>
      <c r="N4999" s="29"/>
      <c r="O4999" s="29"/>
      <c r="P4999" s="5" t="str">
        <f>IFERROR(__xludf.DUMMYFUNCTION("TEXTJOIN("" | "",TRUE,IF(OR(D4999="""",E4999="""",I4999="""",J4999="""",H4999=""""),""ফাঁকা ঘর"",""""),IF(AND(C4999&lt;&gt;"""",D4999&lt;&gt;"""",C4999=D4999),""gloss=figurative"",""""),IF(LEN(D4999)&lt;15,""figurative ছোট"",""""),IF(AND(I4999=""Positive"",REGEXMATCH(H4"&amp;"999,""মূর্খ|ভণ্ড|প্রতার|অলস|লোভ|স্বার্থ|অক্ষম|অযোগ্য|বোকা|কৃপণ|হিংস"")),""valence-target অমিল"",""""),IF(COUNTIF($B:$B,B4999)&gt;1,""ডুপ্লিকেট"",""""))"),"")</f>
        <v/>
      </c>
      <c r="Q4999" s="5" t="str">
        <f t="shared" si="1"/>
        <v>২ পরে</v>
      </c>
    </row>
    <row r="5000">
      <c r="A5000" s="4">
        <v>2839.0</v>
      </c>
      <c r="B5000" s="2" t="s">
        <v>20477</v>
      </c>
      <c r="C5000" s="2" t="s">
        <v>20478</v>
      </c>
      <c r="D5000" s="2" t="s">
        <v>20479</v>
      </c>
      <c r="E5000" s="2" t="s">
        <v>20480</v>
      </c>
      <c r="F5000" s="2" t="b">
        <v>1</v>
      </c>
      <c r="G5000" s="2" t="b">
        <v>0</v>
      </c>
      <c r="H5000" s="2" t="s">
        <v>37</v>
      </c>
      <c r="I5000" s="2" t="s">
        <v>32</v>
      </c>
      <c r="J5000" s="2" t="s">
        <v>729</v>
      </c>
      <c r="K5000" s="2" t="s">
        <v>495</v>
      </c>
      <c r="L5000" s="13" t="s">
        <v>496</v>
      </c>
      <c r="M5000" s="2" t="s">
        <v>26</v>
      </c>
      <c r="N5000" s="29"/>
      <c r="O5000" s="29"/>
      <c r="P5000" s="5" t="str">
        <f>IFERROR(__xludf.DUMMYFUNCTION("TEXTJOIN("" | "",TRUE,IF(OR(D5000="""",E5000="""",I5000="""",J5000="""",H5000=""""),""ফাঁকা ঘর"",""""),IF(AND(C5000&lt;&gt;"""",D5000&lt;&gt;"""",C5000=D5000),""gloss=figurative"",""""),IF(LEN(D5000)&lt;15,""figurative ছোট"",""""),IF(AND(I5000=""Positive"",REGEXMATCH(H5"&amp;"000,""মূর্খ|ভণ্ড|প্রতার|অলস|লোভ|স্বার্থ|অক্ষম|অযোগ্য|বোকা|কৃপণ|হিংস"")),""valence-target অমিল"",""""),IF(COUNTIF($B:$B,B5000)&gt;1,""ডুপ্লিকেট"",""""))"),"")</f>
        <v/>
      </c>
      <c r="Q5000" s="5" t="str">
        <f t="shared" si="1"/>
        <v>২ পরে</v>
      </c>
    </row>
    <row r="5001">
      <c r="A5001" s="4">
        <v>2840.0</v>
      </c>
      <c r="B5001" s="2" t="s">
        <v>20481</v>
      </c>
      <c r="C5001" s="2" t="s">
        <v>20482</v>
      </c>
      <c r="D5001" s="2" t="s">
        <v>20483</v>
      </c>
      <c r="E5001" s="2" t="s">
        <v>20484</v>
      </c>
      <c r="F5001" s="2" t="b">
        <v>1</v>
      </c>
      <c r="G5001" s="2" t="b">
        <v>0</v>
      </c>
      <c r="H5001" s="2" t="s">
        <v>37</v>
      </c>
      <c r="I5001" s="2" t="s">
        <v>22</v>
      </c>
      <c r="J5001" s="2" t="s">
        <v>820</v>
      </c>
      <c r="K5001" s="2" t="s">
        <v>495</v>
      </c>
      <c r="L5001" s="13" t="s">
        <v>496</v>
      </c>
      <c r="M5001" s="2" t="s">
        <v>26</v>
      </c>
      <c r="N5001" s="29"/>
      <c r="O5001" s="29"/>
      <c r="P5001" s="5" t="str">
        <f>IFERROR(__xludf.DUMMYFUNCTION("TEXTJOIN("" | "",TRUE,IF(OR(D5001="""",E5001="""",I5001="""",J5001="""",H5001=""""),""ফাঁকা ঘর"",""""),IF(AND(C5001&lt;&gt;"""",D5001&lt;&gt;"""",C5001=D5001),""gloss=figurative"",""""),IF(LEN(D5001)&lt;15,""figurative ছোট"",""""),IF(AND(I5001=""Positive"",REGEXMATCH(H5"&amp;"001,""মূর্খ|ভণ্ড|প্রতার|অলস|লোভ|স্বার্থ|অক্ষম|অযোগ্য|বোকা|কৃপণ|হিংস"")),""valence-target অমিল"",""""),IF(COUNTIF($B:$B,B5001)&gt;1,""ডুপ্লিকেট"",""""))"),"")</f>
        <v/>
      </c>
      <c r="Q5001" s="5" t="str">
        <f t="shared" si="1"/>
        <v>২ পরে</v>
      </c>
    </row>
    <row r="5002">
      <c r="A5002" s="4">
        <v>2841.0</v>
      </c>
      <c r="B5002" s="2" t="s">
        <v>20485</v>
      </c>
      <c r="C5002" s="2" t="s">
        <v>20486</v>
      </c>
      <c r="D5002" s="2" t="s">
        <v>20487</v>
      </c>
      <c r="E5002" s="2" t="s">
        <v>20488</v>
      </c>
      <c r="F5002" s="2" t="b">
        <v>1</v>
      </c>
      <c r="G5002" s="2" t="b">
        <v>0</v>
      </c>
      <c r="H5002" s="2" t="s">
        <v>37</v>
      </c>
      <c r="I5002" s="2" t="s">
        <v>32</v>
      </c>
      <c r="J5002" s="2" t="s">
        <v>713</v>
      </c>
      <c r="K5002" s="2" t="s">
        <v>495</v>
      </c>
      <c r="L5002" s="13" t="s">
        <v>496</v>
      </c>
      <c r="M5002" s="2" t="s">
        <v>26</v>
      </c>
      <c r="N5002" s="29"/>
      <c r="O5002" s="29"/>
      <c r="P5002" s="5" t="str">
        <f>IFERROR(__xludf.DUMMYFUNCTION("TEXTJOIN("" | "",TRUE,IF(OR(D5002="""",E5002="""",I5002="""",J5002="""",H5002=""""),""ফাঁকা ঘর"",""""),IF(AND(C5002&lt;&gt;"""",D5002&lt;&gt;"""",C5002=D5002),""gloss=figurative"",""""),IF(LEN(D5002)&lt;15,""figurative ছোট"",""""),IF(AND(I5002=""Positive"",REGEXMATCH(H5"&amp;"002,""মূর্খ|ভণ্ড|প্রতার|অলস|লোভ|স্বার্থ|অক্ষম|অযোগ্য|বোকা|কৃপণ|হিংস"")),""valence-target অমিল"",""""),IF(COUNTIF($B:$B,B5002)&gt;1,""ডুপ্লিকেট"",""""))"),"")</f>
        <v/>
      </c>
      <c r="Q5002" s="5" t="str">
        <f t="shared" si="1"/>
        <v>২ পরে</v>
      </c>
    </row>
    <row r="5003">
      <c r="A5003" s="4">
        <v>2842.0</v>
      </c>
      <c r="B5003" s="2" t="s">
        <v>20489</v>
      </c>
      <c r="C5003" s="2" t="s">
        <v>20490</v>
      </c>
      <c r="D5003" s="2" t="s">
        <v>20491</v>
      </c>
      <c r="E5003" s="2" t="s">
        <v>20492</v>
      </c>
      <c r="F5003" s="2" t="b">
        <v>1</v>
      </c>
      <c r="G5003" s="2" t="b">
        <v>0</v>
      </c>
      <c r="H5003" s="2" t="s">
        <v>37</v>
      </c>
      <c r="I5003" s="2" t="s">
        <v>32</v>
      </c>
      <c r="J5003" s="2" t="s">
        <v>20493</v>
      </c>
      <c r="K5003" s="2" t="s">
        <v>495</v>
      </c>
      <c r="L5003" s="13" t="s">
        <v>496</v>
      </c>
      <c r="M5003" s="2" t="s">
        <v>26</v>
      </c>
      <c r="N5003" s="29"/>
      <c r="O5003" s="29"/>
      <c r="P5003" s="5" t="str">
        <f>IFERROR(__xludf.DUMMYFUNCTION("TEXTJOIN("" | "",TRUE,IF(OR(D5003="""",E5003="""",I5003="""",J5003="""",H5003=""""),""ফাঁকা ঘর"",""""),IF(AND(C5003&lt;&gt;"""",D5003&lt;&gt;"""",C5003=D5003),""gloss=figurative"",""""),IF(LEN(D5003)&lt;15,""figurative ছোট"",""""),IF(AND(I5003=""Positive"",REGEXMATCH(H5"&amp;"003,""মূর্খ|ভণ্ড|প্রতার|অলস|লোভ|স্বার্থ|অক্ষম|অযোগ্য|বোকা|কৃপণ|হিংস"")),""valence-target অমিল"",""""),IF(COUNTIF($B:$B,B5003)&gt;1,""ডুপ্লিকেট"",""""))"),"")</f>
        <v/>
      </c>
      <c r="Q5003" s="5" t="str">
        <f t="shared" si="1"/>
        <v>২ পরে</v>
      </c>
    </row>
    <row r="5004">
      <c r="A5004" s="4">
        <v>2843.0</v>
      </c>
      <c r="B5004" s="2" t="s">
        <v>20494</v>
      </c>
      <c r="C5004" s="2" t="s">
        <v>20495</v>
      </c>
      <c r="D5004" s="2" t="s">
        <v>20496</v>
      </c>
      <c r="E5004" s="2" t="s">
        <v>20497</v>
      </c>
      <c r="F5004" s="2" t="b">
        <v>1</v>
      </c>
      <c r="G5004" s="2" t="b">
        <v>0</v>
      </c>
      <c r="H5004" s="2" t="s">
        <v>37</v>
      </c>
      <c r="I5004" s="2" t="s">
        <v>32</v>
      </c>
      <c r="J5004" s="2" t="s">
        <v>1249</v>
      </c>
      <c r="K5004" s="2" t="s">
        <v>495</v>
      </c>
      <c r="L5004" s="13" t="s">
        <v>496</v>
      </c>
      <c r="M5004" s="2" t="s">
        <v>26</v>
      </c>
      <c r="N5004" s="29"/>
      <c r="O5004" s="29"/>
      <c r="P5004" s="5" t="str">
        <f>IFERROR(__xludf.DUMMYFUNCTION("TEXTJOIN("" | "",TRUE,IF(OR(D5004="""",E5004="""",I5004="""",J5004="""",H5004=""""),""ফাঁকা ঘর"",""""),IF(AND(C5004&lt;&gt;"""",D5004&lt;&gt;"""",C5004=D5004),""gloss=figurative"",""""),IF(LEN(D5004)&lt;15,""figurative ছোট"",""""),IF(AND(I5004=""Positive"",REGEXMATCH(H5"&amp;"004,""মূর্খ|ভণ্ড|প্রতার|অলস|লোভ|স্বার্থ|অক্ষম|অযোগ্য|বোকা|কৃপণ|হিংস"")),""valence-target অমিল"",""""),IF(COUNTIF($B:$B,B5004)&gt;1,""ডুপ্লিকেট"",""""))"),"")</f>
        <v/>
      </c>
      <c r="Q5004" s="5" t="str">
        <f t="shared" si="1"/>
        <v>২ পরে</v>
      </c>
    </row>
    <row r="5005">
      <c r="A5005" s="4">
        <v>2844.0</v>
      </c>
      <c r="B5005" s="2" t="s">
        <v>20498</v>
      </c>
      <c r="C5005" s="2" t="s">
        <v>20499</v>
      </c>
      <c r="D5005" s="2" t="s">
        <v>20500</v>
      </c>
      <c r="E5005" s="2" t="s">
        <v>20501</v>
      </c>
      <c r="F5005" s="2" t="b">
        <v>1</v>
      </c>
      <c r="G5005" s="2" t="b">
        <v>0</v>
      </c>
      <c r="H5005" s="2" t="s">
        <v>37</v>
      </c>
      <c r="I5005" s="2" t="s">
        <v>32</v>
      </c>
      <c r="J5005" s="2" t="s">
        <v>1060</v>
      </c>
      <c r="K5005" s="2" t="s">
        <v>495</v>
      </c>
      <c r="L5005" s="13" t="s">
        <v>496</v>
      </c>
      <c r="M5005" s="2" t="s">
        <v>26</v>
      </c>
      <c r="N5005" s="29"/>
      <c r="O5005" s="29"/>
      <c r="P5005" s="5" t="str">
        <f>IFERROR(__xludf.DUMMYFUNCTION("TEXTJOIN("" | "",TRUE,IF(OR(D5005="""",E5005="""",I5005="""",J5005="""",H5005=""""),""ফাঁকা ঘর"",""""),IF(AND(C5005&lt;&gt;"""",D5005&lt;&gt;"""",C5005=D5005),""gloss=figurative"",""""),IF(LEN(D5005)&lt;15,""figurative ছোট"",""""),IF(AND(I5005=""Positive"",REGEXMATCH(H5"&amp;"005,""মূর্খ|ভণ্ড|প্রতার|অলস|লোভ|স্বার্থ|অক্ষম|অযোগ্য|বোকা|কৃপণ|হিংস"")),""valence-target অমিল"",""""),IF(COUNTIF($B:$B,B5005)&gt;1,""ডুপ্লিকেট"",""""))"),"")</f>
        <v/>
      </c>
      <c r="Q5005" s="5" t="str">
        <f t="shared" si="1"/>
        <v>২ পরে</v>
      </c>
    </row>
    <row r="5006">
      <c r="A5006" s="4">
        <v>2845.0</v>
      </c>
      <c r="B5006" s="2" t="s">
        <v>20502</v>
      </c>
      <c r="C5006" s="2" t="s">
        <v>20503</v>
      </c>
      <c r="D5006" s="2" t="s">
        <v>20504</v>
      </c>
      <c r="E5006" s="2" t="s">
        <v>20505</v>
      </c>
      <c r="F5006" s="2" t="b">
        <v>1</v>
      </c>
      <c r="G5006" s="2" t="b">
        <v>0</v>
      </c>
      <c r="H5006" s="2" t="s">
        <v>37</v>
      </c>
      <c r="I5006" s="2" t="s">
        <v>22</v>
      </c>
      <c r="J5006" s="2" t="s">
        <v>708</v>
      </c>
      <c r="K5006" s="2" t="s">
        <v>495</v>
      </c>
      <c r="L5006" s="13" t="s">
        <v>496</v>
      </c>
      <c r="M5006" s="2" t="s">
        <v>26</v>
      </c>
      <c r="N5006" s="29"/>
      <c r="O5006" s="29"/>
      <c r="P5006" s="5" t="str">
        <f>IFERROR(__xludf.DUMMYFUNCTION("TEXTJOIN("" | "",TRUE,IF(OR(D5006="""",E5006="""",I5006="""",J5006="""",H5006=""""),""ফাঁকা ঘর"",""""),IF(AND(C5006&lt;&gt;"""",D5006&lt;&gt;"""",C5006=D5006),""gloss=figurative"",""""),IF(LEN(D5006)&lt;15,""figurative ছোট"",""""),IF(AND(I5006=""Positive"",REGEXMATCH(H5"&amp;"006,""মূর্খ|ভণ্ড|প্রতার|অলস|লোভ|স্বার্থ|অক্ষম|অযোগ্য|বোকা|কৃপণ|হিংস"")),""valence-target অমিল"",""""),IF(COUNTIF($B:$B,B5006)&gt;1,""ডুপ্লিকেট"",""""))"),"")</f>
        <v/>
      </c>
      <c r="Q5006" s="5" t="str">
        <f t="shared" si="1"/>
        <v>২ পরে</v>
      </c>
    </row>
    <row r="5007">
      <c r="A5007" s="4">
        <v>2846.0</v>
      </c>
      <c r="B5007" s="2" t="s">
        <v>20506</v>
      </c>
      <c r="C5007" s="2" t="s">
        <v>20507</v>
      </c>
      <c r="D5007" s="2" t="s">
        <v>20508</v>
      </c>
      <c r="E5007" s="2" t="s">
        <v>20509</v>
      </c>
      <c r="F5007" s="2" t="b">
        <v>1</v>
      </c>
      <c r="G5007" s="2" t="b">
        <v>0</v>
      </c>
      <c r="H5007" s="2" t="s">
        <v>37</v>
      </c>
      <c r="I5007" s="2" t="s">
        <v>22</v>
      </c>
      <c r="J5007" s="2" t="s">
        <v>20510</v>
      </c>
      <c r="K5007" s="2" t="s">
        <v>495</v>
      </c>
      <c r="L5007" s="13" t="s">
        <v>496</v>
      </c>
      <c r="M5007" s="2" t="s">
        <v>26</v>
      </c>
      <c r="N5007" s="29"/>
      <c r="O5007" s="29"/>
      <c r="P5007" s="5" t="str">
        <f>IFERROR(__xludf.DUMMYFUNCTION("TEXTJOIN("" | "",TRUE,IF(OR(D5007="""",E5007="""",I5007="""",J5007="""",H5007=""""),""ফাঁকা ঘর"",""""),IF(AND(C5007&lt;&gt;"""",D5007&lt;&gt;"""",C5007=D5007),""gloss=figurative"",""""),IF(LEN(D5007)&lt;15,""figurative ছোট"",""""),IF(AND(I5007=""Positive"",REGEXMATCH(H5"&amp;"007,""মূর্খ|ভণ্ড|প্রতার|অলস|লোভ|স্বার্থ|অক্ষম|অযোগ্য|বোকা|কৃপণ|হিংস"")),""valence-target অমিল"",""""),IF(COUNTIF($B:$B,B5007)&gt;1,""ডুপ্লিকেট"",""""))"),"")</f>
        <v/>
      </c>
      <c r="Q5007" s="5" t="str">
        <f t="shared" si="1"/>
        <v>২ পরে</v>
      </c>
    </row>
    <row r="5008">
      <c r="A5008" s="4">
        <v>2847.0</v>
      </c>
      <c r="B5008" s="2" t="s">
        <v>20511</v>
      </c>
      <c r="C5008" s="2" t="s">
        <v>20512</v>
      </c>
      <c r="D5008" s="2" t="s">
        <v>20513</v>
      </c>
      <c r="E5008" s="2" t="s">
        <v>20514</v>
      </c>
      <c r="F5008" s="2" t="b">
        <v>1</v>
      </c>
      <c r="G5008" s="2" t="b">
        <v>0</v>
      </c>
      <c r="H5008" s="2" t="s">
        <v>37</v>
      </c>
      <c r="I5008" s="2" t="s">
        <v>32</v>
      </c>
      <c r="J5008" s="2" t="s">
        <v>1843</v>
      </c>
      <c r="K5008" s="2" t="s">
        <v>495</v>
      </c>
      <c r="L5008" s="13" t="s">
        <v>496</v>
      </c>
      <c r="M5008" s="2" t="s">
        <v>26</v>
      </c>
      <c r="N5008" s="29"/>
      <c r="O5008" s="29"/>
      <c r="P5008" s="5" t="str">
        <f>IFERROR(__xludf.DUMMYFUNCTION("TEXTJOIN("" | "",TRUE,IF(OR(D5008="""",E5008="""",I5008="""",J5008="""",H5008=""""),""ফাঁকা ঘর"",""""),IF(AND(C5008&lt;&gt;"""",D5008&lt;&gt;"""",C5008=D5008),""gloss=figurative"",""""),IF(LEN(D5008)&lt;15,""figurative ছোট"",""""),IF(AND(I5008=""Positive"",REGEXMATCH(H5"&amp;"008,""মূর্খ|ভণ্ড|প্রতার|অলস|লোভ|স্বার্থ|অক্ষম|অযোগ্য|বোকা|কৃপণ|হিংস"")),""valence-target অমিল"",""""),IF(COUNTIF($B:$B,B5008)&gt;1,""ডুপ্লিকেট"",""""))"),"")</f>
        <v/>
      </c>
      <c r="Q5008" s="5" t="str">
        <f t="shared" si="1"/>
        <v>২ পরে</v>
      </c>
    </row>
    <row r="5009">
      <c r="A5009" s="4">
        <v>2848.0</v>
      </c>
      <c r="B5009" s="2" t="s">
        <v>20515</v>
      </c>
      <c r="C5009" s="2" t="s">
        <v>20516</v>
      </c>
      <c r="D5009" s="2" t="s">
        <v>20517</v>
      </c>
      <c r="E5009" s="2" t="s">
        <v>20518</v>
      </c>
      <c r="F5009" s="2" t="b">
        <v>1</v>
      </c>
      <c r="G5009" s="2" t="b">
        <v>0</v>
      </c>
      <c r="H5009" s="2" t="s">
        <v>37</v>
      </c>
      <c r="I5009" s="2" t="s">
        <v>32</v>
      </c>
      <c r="J5009" s="2" t="s">
        <v>646</v>
      </c>
      <c r="K5009" s="2" t="s">
        <v>495</v>
      </c>
      <c r="L5009" s="13" t="s">
        <v>496</v>
      </c>
      <c r="M5009" s="2" t="s">
        <v>26</v>
      </c>
      <c r="N5009" s="29"/>
      <c r="O5009" s="29"/>
      <c r="P5009" s="5" t="str">
        <f>IFERROR(__xludf.DUMMYFUNCTION("TEXTJOIN("" | "",TRUE,IF(OR(D5009="""",E5009="""",I5009="""",J5009="""",H5009=""""),""ফাঁকা ঘর"",""""),IF(AND(C5009&lt;&gt;"""",D5009&lt;&gt;"""",C5009=D5009),""gloss=figurative"",""""),IF(LEN(D5009)&lt;15,""figurative ছোট"",""""),IF(AND(I5009=""Positive"",REGEXMATCH(H5"&amp;"009,""মূর্খ|ভণ্ড|প্রতার|অলস|লোভ|স্বার্থ|অক্ষম|অযোগ্য|বোকা|কৃপণ|হিংস"")),""valence-target অমিল"",""""),IF(COUNTIF($B:$B,B5009)&gt;1,""ডুপ্লিকেট"",""""))"),"")</f>
        <v/>
      </c>
      <c r="Q5009" s="5" t="str">
        <f t="shared" si="1"/>
        <v>২ পরে</v>
      </c>
    </row>
    <row r="5010">
      <c r="A5010" s="4">
        <v>2849.0</v>
      </c>
      <c r="B5010" s="2" t="s">
        <v>20519</v>
      </c>
      <c r="C5010" s="2" t="s">
        <v>20519</v>
      </c>
      <c r="D5010" s="2" t="s">
        <v>20520</v>
      </c>
      <c r="E5010" s="2" t="s">
        <v>20521</v>
      </c>
      <c r="F5010" s="2" t="b">
        <v>1</v>
      </c>
      <c r="G5010" s="2" t="b">
        <v>0</v>
      </c>
      <c r="H5010" s="2" t="s">
        <v>37</v>
      </c>
      <c r="I5010" s="2" t="s">
        <v>22</v>
      </c>
      <c r="J5010" s="2" t="s">
        <v>1644</v>
      </c>
      <c r="K5010" s="2" t="s">
        <v>495</v>
      </c>
      <c r="L5010" s="13" t="s">
        <v>496</v>
      </c>
      <c r="M5010" s="2" t="s">
        <v>26</v>
      </c>
      <c r="N5010" s="29"/>
      <c r="O5010" s="29"/>
      <c r="P5010" s="5" t="str">
        <f>IFERROR(__xludf.DUMMYFUNCTION("TEXTJOIN("" | "",TRUE,IF(OR(D5010="""",E5010="""",I5010="""",J5010="""",H5010=""""),""ফাঁকা ঘর"",""""),IF(AND(C5010&lt;&gt;"""",D5010&lt;&gt;"""",C5010=D5010),""gloss=figurative"",""""),IF(LEN(D5010)&lt;15,""figurative ছোট"",""""),IF(AND(I5010=""Positive"",REGEXMATCH(H5"&amp;"010,""মূর্খ|ভণ্ড|প্রতার|অলস|লোভ|স্বার্থ|অক্ষম|অযোগ্য|বোকা|কৃপণ|হিংস"")),""valence-target অমিল"",""""),IF(COUNTIF($B:$B,B5010)&gt;1,""ডুপ্লিকেট"",""""))"),"")</f>
        <v/>
      </c>
      <c r="Q5010" s="5" t="str">
        <f t="shared" si="1"/>
        <v>২ পরে</v>
      </c>
    </row>
    <row r="5011">
      <c r="A5011" s="4">
        <v>2850.0</v>
      </c>
      <c r="B5011" s="2" t="s">
        <v>20522</v>
      </c>
      <c r="C5011" s="2" t="s">
        <v>20523</v>
      </c>
      <c r="D5011" s="2" t="s">
        <v>20524</v>
      </c>
      <c r="E5011" s="2" t="s">
        <v>20525</v>
      </c>
      <c r="F5011" s="2" t="b">
        <v>1</v>
      </c>
      <c r="G5011" s="2" t="b">
        <v>0</v>
      </c>
      <c r="H5011" s="2" t="s">
        <v>37</v>
      </c>
      <c r="I5011" s="2" t="s">
        <v>22</v>
      </c>
      <c r="J5011" s="2" t="s">
        <v>590</v>
      </c>
      <c r="K5011" s="2" t="s">
        <v>495</v>
      </c>
      <c r="L5011" s="13" t="s">
        <v>496</v>
      </c>
      <c r="M5011" s="2" t="s">
        <v>26</v>
      </c>
      <c r="N5011" s="29"/>
      <c r="O5011" s="29"/>
      <c r="P5011" s="5" t="str">
        <f>IFERROR(__xludf.DUMMYFUNCTION("TEXTJOIN("" | "",TRUE,IF(OR(D5011="""",E5011="""",I5011="""",J5011="""",H5011=""""),""ফাঁকা ঘর"",""""),IF(AND(C5011&lt;&gt;"""",D5011&lt;&gt;"""",C5011=D5011),""gloss=figurative"",""""),IF(LEN(D5011)&lt;15,""figurative ছোট"",""""),IF(AND(I5011=""Positive"",REGEXMATCH(H5"&amp;"011,""মূর্খ|ভণ্ড|প্রতার|অলস|লোভ|স্বার্থ|অক্ষম|অযোগ্য|বোকা|কৃপণ|হিংস"")),""valence-target অমিল"",""""),IF(COUNTIF($B:$B,B5011)&gt;1,""ডুপ্লিকেট"",""""))"),"")</f>
        <v/>
      </c>
      <c r="Q5011" s="5" t="str">
        <f t="shared" si="1"/>
        <v>২ পরে</v>
      </c>
    </row>
    <row r="5012">
      <c r="A5012" s="4">
        <v>2851.0</v>
      </c>
      <c r="B5012" s="2" t="s">
        <v>20526</v>
      </c>
      <c r="C5012" s="2" t="s">
        <v>20527</v>
      </c>
      <c r="D5012" s="2" t="s">
        <v>20528</v>
      </c>
      <c r="E5012" s="2" t="s">
        <v>20529</v>
      </c>
      <c r="F5012" s="2" t="b">
        <v>1</v>
      </c>
      <c r="G5012" s="2" t="b">
        <v>0</v>
      </c>
      <c r="H5012" s="2" t="s">
        <v>37</v>
      </c>
      <c r="I5012" s="2" t="s">
        <v>22</v>
      </c>
      <c r="J5012" s="2" t="s">
        <v>590</v>
      </c>
      <c r="K5012" s="2" t="s">
        <v>495</v>
      </c>
      <c r="L5012" s="13" t="s">
        <v>496</v>
      </c>
      <c r="M5012" s="2" t="s">
        <v>26</v>
      </c>
      <c r="N5012" s="29"/>
      <c r="O5012" s="29"/>
      <c r="P5012" s="5" t="str">
        <f>IFERROR(__xludf.DUMMYFUNCTION("TEXTJOIN("" | "",TRUE,IF(OR(D5012="""",E5012="""",I5012="""",J5012="""",H5012=""""),""ফাঁকা ঘর"",""""),IF(AND(C5012&lt;&gt;"""",D5012&lt;&gt;"""",C5012=D5012),""gloss=figurative"",""""),IF(LEN(D5012)&lt;15,""figurative ছোট"",""""),IF(AND(I5012=""Positive"",REGEXMATCH(H5"&amp;"012,""মূর্খ|ভণ্ড|প্রতার|অলস|লোভ|স্বার্থ|অক্ষম|অযোগ্য|বোকা|কৃপণ|হিংস"")),""valence-target অমিল"",""""),IF(COUNTIF($B:$B,B5012)&gt;1,""ডুপ্লিকেট"",""""))"),"")</f>
        <v/>
      </c>
      <c r="Q5012" s="5" t="str">
        <f t="shared" si="1"/>
        <v>২ পরে</v>
      </c>
    </row>
    <row r="5013">
      <c r="A5013" s="4">
        <v>2852.0</v>
      </c>
      <c r="B5013" s="2" t="s">
        <v>20530</v>
      </c>
      <c r="C5013" s="2" t="s">
        <v>20531</v>
      </c>
      <c r="D5013" s="2" t="s">
        <v>20532</v>
      </c>
      <c r="E5013" s="2" t="s">
        <v>20533</v>
      </c>
      <c r="F5013" s="2" t="b">
        <v>1</v>
      </c>
      <c r="G5013" s="2" t="b">
        <v>0</v>
      </c>
      <c r="H5013" s="2" t="s">
        <v>37</v>
      </c>
      <c r="I5013" s="2" t="s">
        <v>22</v>
      </c>
      <c r="J5013" s="2" t="s">
        <v>7349</v>
      </c>
      <c r="K5013" s="2" t="s">
        <v>495</v>
      </c>
      <c r="L5013" s="13" t="s">
        <v>496</v>
      </c>
      <c r="M5013" s="2" t="s">
        <v>26</v>
      </c>
      <c r="N5013" s="29"/>
      <c r="O5013" s="29"/>
      <c r="P5013" s="5" t="str">
        <f>IFERROR(__xludf.DUMMYFUNCTION("TEXTJOIN("" | "",TRUE,IF(OR(D5013="""",E5013="""",I5013="""",J5013="""",H5013=""""),""ফাঁকা ঘর"",""""),IF(AND(C5013&lt;&gt;"""",D5013&lt;&gt;"""",C5013=D5013),""gloss=figurative"",""""),IF(LEN(D5013)&lt;15,""figurative ছোট"",""""),IF(AND(I5013=""Positive"",REGEXMATCH(H5"&amp;"013,""মূর্খ|ভণ্ড|প্রতার|অলস|লোভ|স্বার্থ|অক্ষম|অযোগ্য|বোকা|কৃপণ|হিংস"")),""valence-target অমিল"",""""),IF(COUNTIF($B:$B,B5013)&gt;1,""ডুপ্লিকেট"",""""))"),"")</f>
        <v/>
      </c>
      <c r="Q5013" s="5" t="str">
        <f t="shared" si="1"/>
        <v>২ পরে</v>
      </c>
    </row>
    <row r="5014">
      <c r="A5014" s="4">
        <v>2853.0</v>
      </c>
      <c r="B5014" s="2" t="s">
        <v>20534</v>
      </c>
      <c r="C5014" s="2" t="s">
        <v>20534</v>
      </c>
      <c r="D5014" s="2" t="s">
        <v>20535</v>
      </c>
      <c r="E5014" s="2" t="s">
        <v>20536</v>
      </c>
      <c r="F5014" s="2" t="b">
        <v>1</v>
      </c>
      <c r="G5014" s="2" t="b">
        <v>0</v>
      </c>
      <c r="H5014" s="2" t="s">
        <v>20537</v>
      </c>
      <c r="I5014" s="2" t="s">
        <v>22</v>
      </c>
      <c r="J5014" s="2" t="s">
        <v>7349</v>
      </c>
      <c r="K5014" s="2" t="s">
        <v>495</v>
      </c>
      <c r="L5014" s="13" t="s">
        <v>496</v>
      </c>
      <c r="M5014" s="2" t="s">
        <v>26</v>
      </c>
      <c r="N5014" s="29"/>
      <c r="O5014" s="29"/>
      <c r="P5014" s="5" t="str">
        <f>IFERROR(__xludf.DUMMYFUNCTION("TEXTJOIN("" | "",TRUE,IF(OR(D5014="""",E5014="""",I5014="""",J5014="""",H5014=""""),""ফাঁকা ঘর"",""""),IF(AND(C5014&lt;&gt;"""",D5014&lt;&gt;"""",C5014=D5014),""gloss=figurative"",""""),IF(LEN(D5014)&lt;15,""figurative ছোট"",""""),IF(AND(I5014=""Positive"",REGEXMATCH(H5"&amp;"014,""মূর্খ|ভণ্ড|প্রতার|অলস|লোভ|স্বার্থ|অক্ষম|অযোগ্য|বোকা|কৃপণ|হিংস"")),""valence-target অমিল"",""""),IF(COUNTIF($B:$B,B5014)&gt;1,""ডুপ্লিকেট"",""""))"),"")</f>
        <v/>
      </c>
      <c r="Q5014" s="5" t="str">
        <f t="shared" si="1"/>
        <v>২ পরে</v>
      </c>
    </row>
    <row r="5015">
      <c r="A5015" s="4">
        <v>2854.0</v>
      </c>
      <c r="B5015" s="2" t="s">
        <v>20538</v>
      </c>
      <c r="C5015" s="2" t="s">
        <v>20538</v>
      </c>
      <c r="D5015" s="2" t="s">
        <v>20539</v>
      </c>
      <c r="E5015" s="2" t="s">
        <v>20540</v>
      </c>
      <c r="F5015" s="2" t="b">
        <v>1</v>
      </c>
      <c r="G5015" s="2" t="b">
        <v>0</v>
      </c>
      <c r="H5015" s="2" t="s">
        <v>37</v>
      </c>
      <c r="I5015" s="2" t="s">
        <v>22</v>
      </c>
      <c r="J5015" s="2" t="s">
        <v>2671</v>
      </c>
      <c r="K5015" s="2" t="s">
        <v>495</v>
      </c>
      <c r="L5015" s="13" t="s">
        <v>496</v>
      </c>
      <c r="M5015" s="2" t="s">
        <v>26</v>
      </c>
      <c r="N5015" s="29"/>
      <c r="O5015" s="29"/>
      <c r="P5015" s="5" t="str">
        <f>IFERROR(__xludf.DUMMYFUNCTION("TEXTJOIN("" | "",TRUE,IF(OR(D5015="""",E5015="""",I5015="""",J5015="""",H5015=""""),""ফাঁকা ঘর"",""""),IF(AND(C5015&lt;&gt;"""",D5015&lt;&gt;"""",C5015=D5015),""gloss=figurative"",""""),IF(LEN(D5015)&lt;15,""figurative ছোট"",""""),IF(AND(I5015=""Positive"",REGEXMATCH(H5"&amp;"015,""মূর্খ|ভণ্ড|প্রতার|অলস|লোভ|স্বার্থ|অক্ষম|অযোগ্য|বোকা|কৃপণ|হিংস"")),""valence-target অমিল"",""""),IF(COUNTIF($B:$B,B5015)&gt;1,""ডুপ্লিকেট"",""""))"),"")</f>
        <v/>
      </c>
      <c r="Q5015" s="5" t="str">
        <f t="shared" si="1"/>
        <v>২ পরে</v>
      </c>
    </row>
    <row r="5016">
      <c r="A5016" s="4">
        <v>2855.0</v>
      </c>
      <c r="B5016" s="2" t="s">
        <v>20541</v>
      </c>
      <c r="C5016" s="2" t="s">
        <v>20542</v>
      </c>
      <c r="D5016" s="2" t="s">
        <v>20543</v>
      </c>
      <c r="E5016" s="2" t="s">
        <v>20544</v>
      </c>
      <c r="F5016" s="2" t="b">
        <v>1</v>
      </c>
      <c r="G5016" s="2" t="b">
        <v>0</v>
      </c>
      <c r="H5016" s="2" t="s">
        <v>37</v>
      </c>
      <c r="I5016" s="2" t="s">
        <v>22</v>
      </c>
      <c r="J5016" s="2" t="s">
        <v>2671</v>
      </c>
      <c r="K5016" s="2" t="s">
        <v>495</v>
      </c>
      <c r="L5016" s="13" t="s">
        <v>496</v>
      </c>
      <c r="M5016" s="2" t="s">
        <v>26</v>
      </c>
      <c r="N5016" s="29"/>
      <c r="O5016" s="29"/>
      <c r="P5016" s="5" t="str">
        <f>IFERROR(__xludf.DUMMYFUNCTION("TEXTJOIN("" | "",TRUE,IF(OR(D5016="""",E5016="""",I5016="""",J5016="""",H5016=""""),""ফাঁকা ঘর"",""""),IF(AND(C5016&lt;&gt;"""",D5016&lt;&gt;"""",C5016=D5016),""gloss=figurative"",""""),IF(LEN(D5016)&lt;15,""figurative ছোট"",""""),IF(AND(I5016=""Positive"",REGEXMATCH(H5"&amp;"016,""মূর্খ|ভণ্ড|প্রতার|অলস|লোভ|স্বার্থ|অক্ষম|অযোগ্য|বোকা|কৃপণ|হিংস"")),""valence-target অমিল"",""""),IF(COUNTIF($B:$B,B5016)&gt;1,""ডুপ্লিকেট"",""""))"),"")</f>
        <v/>
      </c>
      <c r="Q5016" s="5" t="str">
        <f t="shared" si="1"/>
        <v>২ পরে</v>
      </c>
    </row>
    <row r="5017">
      <c r="A5017" s="4">
        <v>2856.0</v>
      </c>
      <c r="B5017" s="2" t="s">
        <v>20545</v>
      </c>
      <c r="C5017" s="2" t="s">
        <v>20546</v>
      </c>
      <c r="D5017" s="2" t="s">
        <v>20547</v>
      </c>
      <c r="E5017" s="2" t="s">
        <v>20548</v>
      </c>
      <c r="F5017" s="2" t="b">
        <v>1</v>
      </c>
      <c r="G5017" s="2" t="b">
        <v>0</v>
      </c>
      <c r="H5017" s="2" t="s">
        <v>37</v>
      </c>
      <c r="I5017" s="2" t="s">
        <v>22</v>
      </c>
      <c r="J5017" s="2" t="s">
        <v>2671</v>
      </c>
      <c r="K5017" s="2" t="s">
        <v>495</v>
      </c>
      <c r="L5017" s="13" t="s">
        <v>496</v>
      </c>
      <c r="M5017" s="2" t="s">
        <v>26</v>
      </c>
      <c r="N5017" s="29"/>
      <c r="O5017" s="29"/>
      <c r="P5017" s="5" t="str">
        <f>IFERROR(__xludf.DUMMYFUNCTION("TEXTJOIN("" | "",TRUE,IF(OR(D5017="""",E5017="""",I5017="""",J5017="""",H5017=""""),""ফাঁকা ঘর"",""""),IF(AND(C5017&lt;&gt;"""",D5017&lt;&gt;"""",C5017=D5017),""gloss=figurative"",""""),IF(LEN(D5017)&lt;15,""figurative ছোট"",""""),IF(AND(I5017=""Positive"",REGEXMATCH(H5"&amp;"017,""মূর্খ|ভণ্ড|প্রতার|অলস|লোভ|স্বার্থ|অক্ষম|অযোগ্য|বোকা|কৃপণ|হিংস"")),""valence-target অমিল"",""""),IF(COUNTIF($B:$B,B5017)&gt;1,""ডুপ্লিকেট"",""""))"),"")</f>
        <v/>
      </c>
      <c r="Q5017" s="5" t="str">
        <f t="shared" si="1"/>
        <v>২ পরে</v>
      </c>
    </row>
    <row r="5018">
      <c r="A5018" s="4">
        <v>2857.0</v>
      </c>
      <c r="B5018" s="2" t="s">
        <v>20549</v>
      </c>
      <c r="C5018" s="2" t="s">
        <v>20549</v>
      </c>
      <c r="D5018" s="2" t="s">
        <v>20550</v>
      </c>
      <c r="E5018" s="2" t="s">
        <v>20551</v>
      </c>
      <c r="F5018" s="2" t="b">
        <v>1</v>
      </c>
      <c r="G5018" s="2" t="b">
        <v>0</v>
      </c>
      <c r="H5018" s="2" t="s">
        <v>37</v>
      </c>
      <c r="I5018" s="2" t="s">
        <v>22</v>
      </c>
      <c r="J5018" s="2" t="s">
        <v>2671</v>
      </c>
      <c r="K5018" s="2" t="s">
        <v>495</v>
      </c>
      <c r="L5018" s="13" t="s">
        <v>496</v>
      </c>
      <c r="M5018" s="2" t="s">
        <v>26</v>
      </c>
      <c r="N5018" s="29"/>
      <c r="O5018" s="29"/>
      <c r="P5018" s="5" t="str">
        <f>IFERROR(__xludf.DUMMYFUNCTION("TEXTJOIN("" | "",TRUE,IF(OR(D5018="""",E5018="""",I5018="""",J5018="""",H5018=""""),""ফাঁকা ঘর"",""""),IF(AND(C5018&lt;&gt;"""",D5018&lt;&gt;"""",C5018=D5018),""gloss=figurative"",""""),IF(LEN(D5018)&lt;15,""figurative ছোট"",""""),IF(AND(I5018=""Positive"",REGEXMATCH(H5"&amp;"018,""মূর্খ|ভণ্ড|প্রতার|অলস|লোভ|স্বার্থ|অক্ষম|অযোগ্য|বোকা|কৃপণ|হিংস"")),""valence-target অমিল"",""""),IF(COUNTIF($B:$B,B5018)&gt;1,""ডুপ্লিকেট"",""""))"),"")</f>
        <v/>
      </c>
      <c r="Q5018" s="5" t="str">
        <f t="shared" si="1"/>
        <v>২ পরে</v>
      </c>
    </row>
    <row r="5019">
      <c r="A5019" s="4">
        <v>2858.0</v>
      </c>
      <c r="B5019" s="2" t="s">
        <v>20552</v>
      </c>
      <c r="C5019" s="2" t="s">
        <v>20552</v>
      </c>
      <c r="D5019" s="2" t="s">
        <v>20553</v>
      </c>
      <c r="E5019" s="2" t="s">
        <v>20554</v>
      </c>
      <c r="F5019" s="2" t="b">
        <v>1</v>
      </c>
      <c r="G5019" s="2" t="b">
        <v>0</v>
      </c>
      <c r="H5019" s="2" t="s">
        <v>37</v>
      </c>
      <c r="I5019" s="2" t="s">
        <v>22</v>
      </c>
      <c r="J5019" s="2" t="s">
        <v>2671</v>
      </c>
      <c r="K5019" s="2" t="s">
        <v>495</v>
      </c>
      <c r="L5019" s="13" t="s">
        <v>496</v>
      </c>
      <c r="M5019" s="2" t="s">
        <v>26</v>
      </c>
      <c r="N5019" s="29"/>
      <c r="O5019" s="29"/>
      <c r="P5019" s="5" t="str">
        <f>IFERROR(__xludf.DUMMYFUNCTION("TEXTJOIN("" | "",TRUE,IF(OR(D5019="""",E5019="""",I5019="""",J5019="""",H5019=""""),""ফাঁকা ঘর"",""""),IF(AND(C5019&lt;&gt;"""",D5019&lt;&gt;"""",C5019=D5019),""gloss=figurative"",""""),IF(LEN(D5019)&lt;15,""figurative ছোট"",""""),IF(AND(I5019=""Positive"",REGEXMATCH(H5"&amp;"019,""মূর্খ|ভণ্ড|প্রতার|অলস|লোভ|স্বার্থ|অক্ষম|অযোগ্য|বোকা|কৃপণ|হিংস"")),""valence-target অমিল"",""""),IF(COUNTIF($B:$B,B5019)&gt;1,""ডুপ্লিকেট"",""""))"),"")</f>
        <v/>
      </c>
      <c r="Q5019" s="5" t="str">
        <f t="shared" si="1"/>
        <v>২ পরে</v>
      </c>
    </row>
    <row r="5020">
      <c r="A5020" s="4">
        <v>2859.0</v>
      </c>
      <c r="B5020" s="2" t="s">
        <v>20555</v>
      </c>
      <c r="C5020" s="2" t="s">
        <v>20555</v>
      </c>
      <c r="D5020" s="2" t="s">
        <v>20556</v>
      </c>
      <c r="E5020" s="2" t="s">
        <v>20557</v>
      </c>
      <c r="F5020" s="2" t="b">
        <v>1</v>
      </c>
      <c r="G5020" s="2" t="b">
        <v>0</v>
      </c>
      <c r="H5020" s="2" t="s">
        <v>37</v>
      </c>
      <c r="I5020" s="2" t="s">
        <v>22</v>
      </c>
      <c r="J5020" s="2" t="s">
        <v>2671</v>
      </c>
      <c r="K5020" s="2" t="s">
        <v>495</v>
      </c>
      <c r="L5020" s="13" t="s">
        <v>496</v>
      </c>
      <c r="M5020" s="2" t="s">
        <v>26</v>
      </c>
      <c r="N5020" s="29"/>
      <c r="O5020" s="29"/>
      <c r="P5020" s="5" t="str">
        <f>IFERROR(__xludf.DUMMYFUNCTION("TEXTJOIN("" | "",TRUE,IF(OR(D5020="""",E5020="""",I5020="""",J5020="""",H5020=""""),""ফাঁকা ঘর"",""""),IF(AND(C5020&lt;&gt;"""",D5020&lt;&gt;"""",C5020=D5020),""gloss=figurative"",""""),IF(LEN(D5020)&lt;15,""figurative ছোট"",""""),IF(AND(I5020=""Positive"",REGEXMATCH(H5"&amp;"020,""মূর্খ|ভণ্ড|প্রতার|অলস|লোভ|স্বার্থ|অক্ষম|অযোগ্য|বোকা|কৃপণ|হিংস"")),""valence-target অমিল"",""""),IF(COUNTIF($B:$B,B5020)&gt;1,""ডুপ্লিকেট"",""""))"),"")</f>
        <v/>
      </c>
      <c r="Q5020" s="5" t="str">
        <f t="shared" si="1"/>
        <v>২ পরে</v>
      </c>
    </row>
    <row r="5021">
      <c r="A5021" s="4">
        <v>2860.0</v>
      </c>
      <c r="B5021" s="2" t="s">
        <v>20558</v>
      </c>
      <c r="C5021" s="2" t="s">
        <v>20558</v>
      </c>
      <c r="D5021" s="2" t="s">
        <v>20559</v>
      </c>
      <c r="E5021" s="2" t="s">
        <v>20560</v>
      </c>
      <c r="F5021" s="2" t="b">
        <v>1</v>
      </c>
      <c r="G5021" s="2" t="b">
        <v>1</v>
      </c>
      <c r="H5021" s="2" t="s">
        <v>20561</v>
      </c>
      <c r="I5021" s="2" t="s">
        <v>22</v>
      </c>
      <c r="J5021" s="2" t="s">
        <v>20562</v>
      </c>
      <c r="K5021" s="2" t="s">
        <v>495</v>
      </c>
      <c r="L5021" s="13" t="s">
        <v>496</v>
      </c>
      <c r="M5021" s="2" t="s">
        <v>26</v>
      </c>
      <c r="N5021" s="29"/>
      <c r="O5021" s="29"/>
      <c r="P5021" s="5" t="str">
        <f>IFERROR(__xludf.DUMMYFUNCTION("TEXTJOIN("" | "",TRUE,IF(OR(D5021="""",E5021="""",I5021="""",J5021="""",H5021=""""),""ফাঁকা ঘর"",""""),IF(AND(C5021&lt;&gt;"""",D5021&lt;&gt;"""",C5021=D5021),""gloss=figurative"",""""),IF(LEN(D5021)&lt;15,""figurative ছোট"",""""),IF(AND(I5021=""Positive"",REGEXMATCH(H5"&amp;"021,""মূর্খ|ভণ্ড|প্রতার|অলস|লোভ|স্বার্থ|অক্ষম|অযোগ্য|বোকা|কৃপণ|হিংস"")),""valence-target অমিল"",""""),IF(COUNTIF($B:$B,B5021)&gt;1,""ডুপ্লিকেট"",""""))"),"")</f>
        <v/>
      </c>
      <c r="Q5021" s="5" t="str">
        <f t="shared" si="1"/>
        <v>২ পরে</v>
      </c>
    </row>
    <row r="5022">
      <c r="A5022" s="4">
        <v>2861.0</v>
      </c>
      <c r="B5022" s="2" t="s">
        <v>20563</v>
      </c>
      <c r="C5022" s="2" t="s">
        <v>20563</v>
      </c>
      <c r="D5022" s="2" t="s">
        <v>20564</v>
      </c>
      <c r="E5022" s="2" t="s">
        <v>20565</v>
      </c>
      <c r="F5022" s="2" t="b">
        <v>1</v>
      </c>
      <c r="G5022" s="2" t="b">
        <v>0</v>
      </c>
      <c r="H5022" s="2" t="s">
        <v>37</v>
      </c>
      <c r="I5022" s="2" t="s">
        <v>22</v>
      </c>
      <c r="J5022" s="2" t="s">
        <v>7349</v>
      </c>
      <c r="K5022" s="2" t="s">
        <v>495</v>
      </c>
      <c r="L5022" s="13" t="s">
        <v>496</v>
      </c>
      <c r="M5022" s="2" t="s">
        <v>26</v>
      </c>
      <c r="N5022" s="29"/>
      <c r="O5022" s="29"/>
      <c r="P5022" s="5" t="str">
        <f>IFERROR(__xludf.DUMMYFUNCTION("TEXTJOIN("" | "",TRUE,IF(OR(D5022="""",E5022="""",I5022="""",J5022="""",H5022=""""),""ফাঁকা ঘর"",""""),IF(AND(C5022&lt;&gt;"""",D5022&lt;&gt;"""",C5022=D5022),""gloss=figurative"",""""),IF(LEN(D5022)&lt;15,""figurative ছোট"",""""),IF(AND(I5022=""Positive"",REGEXMATCH(H5"&amp;"022,""মূর্খ|ভণ্ড|প্রতার|অলস|লোভ|স্বার্থ|অক্ষম|অযোগ্য|বোকা|কৃপণ|হিংস"")),""valence-target অমিল"",""""),IF(COUNTIF($B:$B,B5022)&gt;1,""ডুপ্লিকেট"",""""))"),"")</f>
        <v/>
      </c>
      <c r="Q5022" s="5" t="str">
        <f t="shared" si="1"/>
        <v>২ পরে</v>
      </c>
    </row>
    <row r="5023">
      <c r="A5023" s="4">
        <v>2862.0</v>
      </c>
      <c r="B5023" s="2" t="s">
        <v>20566</v>
      </c>
      <c r="C5023" s="2" t="s">
        <v>20566</v>
      </c>
      <c r="D5023" s="2" t="s">
        <v>20567</v>
      </c>
      <c r="E5023" s="2" t="s">
        <v>20568</v>
      </c>
      <c r="F5023" s="2" t="b">
        <v>1</v>
      </c>
      <c r="G5023" s="2" t="b">
        <v>0</v>
      </c>
      <c r="H5023" s="2" t="s">
        <v>37</v>
      </c>
      <c r="I5023" s="2" t="s">
        <v>22</v>
      </c>
      <c r="J5023" s="2" t="s">
        <v>20569</v>
      </c>
      <c r="K5023" s="2" t="s">
        <v>495</v>
      </c>
      <c r="L5023" s="13" t="s">
        <v>496</v>
      </c>
      <c r="M5023" s="2" t="s">
        <v>26</v>
      </c>
      <c r="N5023" s="29"/>
      <c r="O5023" s="29"/>
      <c r="P5023" s="5" t="str">
        <f>IFERROR(__xludf.DUMMYFUNCTION("TEXTJOIN("" | "",TRUE,IF(OR(D5023="""",E5023="""",I5023="""",J5023="""",H5023=""""),""ফাঁকা ঘর"",""""),IF(AND(C5023&lt;&gt;"""",D5023&lt;&gt;"""",C5023=D5023),""gloss=figurative"",""""),IF(LEN(D5023)&lt;15,""figurative ছোট"",""""),IF(AND(I5023=""Positive"",REGEXMATCH(H5"&amp;"023,""মূর্খ|ভণ্ড|প্রতার|অলস|লোভ|স্বার্থ|অক্ষম|অযোগ্য|বোকা|কৃপণ|হিংস"")),""valence-target অমিল"",""""),IF(COUNTIF($B:$B,B5023)&gt;1,""ডুপ্লিকেট"",""""))"),"")</f>
        <v/>
      </c>
      <c r="Q5023" s="5" t="str">
        <f t="shared" si="1"/>
        <v>২ পরে</v>
      </c>
    </row>
    <row r="5024">
      <c r="A5024" s="4">
        <v>2863.0</v>
      </c>
      <c r="B5024" s="2" t="s">
        <v>20570</v>
      </c>
      <c r="C5024" s="2" t="s">
        <v>20570</v>
      </c>
      <c r="D5024" s="2" t="s">
        <v>20571</v>
      </c>
      <c r="E5024" s="2" t="s">
        <v>20572</v>
      </c>
      <c r="F5024" s="2" t="b">
        <v>1</v>
      </c>
      <c r="G5024" s="2" t="b">
        <v>0</v>
      </c>
      <c r="H5024" s="2" t="s">
        <v>37</v>
      </c>
      <c r="I5024" s="2" t="s">
        <v>32</v>
      </c>
      <c r="J5024" s="2" t="s">
        <v>5278</v>
      </c>
      <c r="K5024" s="2" t="s">
        <v>495</v>
      </c>
      <c r="L5024" s="13" t="s">
        <v>496</v>
      </c>
      <c r="M5024" s="2" t="s">
        <v>26</v>
      </c>
      <c r="N5024" s="29"/>
      <c r="O5024" s="29"/>
      <c r="P5024" s="5" t="str">
        <f>IFERROR(__xludf.DUMMYFUNCTION("TEXTJOIN("" | "",TRUE,IF(OR(D5024="""",E5024="""",I5024="""",J5024="""",H5024=""""),""ফাঁকা ঘর"",""""),IF(AND(C5024&lt;&gt;"""",D5024&lt;&gt;"""",C5024=D5024),""gloss=figurative"",""""),IF(LEN(D5024)&lt;15,""figurative ছোট"",""""),IF(AND(I5024=""Positive"",REGEXMATCH(H5"&amp;"024,""মূর্খ|ভণ্ড|প্রতার|অলস|লোভ|স্বার্থ|অক্ষম|অযোগ্য|বোকা|কৃপণ|হিংস"")),""valence-target অমিল"",""""),IF(COUNTIF($B:$B,B5024)&gt;1,""ডুপ্লিকেট"",""""))"),"")</f>
        <v/>
      </c>
      <c r="Q5024" s="5" t="str">
        <f t="shared" si="1"/>
        <v>২ পরে</v>
      </c>
    </row>
    <row r="5025">
      <c r="A5025" s="4">
        <v>2864.0</v>
      </c>
      <c r="B5025" s="2" t="s">
        <v>20573</v>
      </c>
      <c r="C5025" s="2" t="s">
        <v>20574</v>
      </c>
      <c r="D5025" s="2" t="s">
        <v>20575</v>
      </c>
      <c r="E5025" s="2" t="s">
        <v>20576</v>
      </c>
      <c r="F5025" s="2" t="b">
        <v>1</v>
      </c>
      <c r="G5025" s="2" t="b">
        <v>0</v>
      </c>
      <c r="H5025" s="2" t="s">
        <v>37</v>
      </c>
      <c r="I5025" s="2" t="s">
        <v>49</v>
      </c>
      <c r="J5025" s="2" t="s">
        <v>762</v>
      </c>
      <c r="K5025" s="2" t="s">
        <v>495</v>
      </c>
      <c r="L5025" s="13" t="s">
        <v>496</v>
      </c>
      <c r="M5025" s="2" t="s">
        <v>26</v>
      </c>
      <c r="N5025" s="29"/>
      <c r="O5025" s="29"/>
      <c r="P5025" s="5" t="str">
        <f>IFERROR(__xludf.DUMMYFUNCTION("TEXTJOIN("" | "",TRUE,IF(OR(D5025="""",E5025="""",I5025="""",J5025="""",H5025=""""),""ফাঁকা ঘর"",""""),IF(AND(C5025&lt;&gt;"""",D5025&lt;&gt;"""",C5025=D5025),""gloss=figurative"",""""),IF(LEN(D5025)&lt;15,""figurative ছোট"",""""),IF(AND(I5025=""Positive"",REGEXMATCH(H5"&amp;"025,""মূর্খ|ভণ্ড|প্রতার|অলস|লোভ|স্বার্থ|অক্ষম|অযোগ্য|বোকা|কৃপণ|হিংস"")),""valence-target অমিল"",""""),IF(COUNTIF($B:$B,B5025)&gt;1,""ডুপ্লিকেট"",""""))"),"")</f>
        <v/>
      </c>
      <c r="Q5025" s="5" t="str">
        <f t="shared" si="1"/>
        <v>২ পরে</v>
      </c>
    </row>
    <row r="5026">
      <c r="A5026" s="4">
        <v>2865.0</v>
      </c>
      <c r="B5026" s="2" t="s">
        <v>20577</v>
      </c>
      <c r="C5026" s="2" t="s">
        <v>20578</v>
      </c>
      <c r="D5026" s="2" t="s">
        <v>20579</v>
      </c>
      <c r="E5026" s="2" t="s">
        <v>20580</v>
      </c>
      <c r="F5026" s="2" t="b">
        <v>1</v>
      </c>
      <c r="G5026" s="2" t="b">
        <v>0</v>
      </c>
      <c r="H5026" s="2" t="s">
        <v>37</v>
      </c>
      <c r="I5026" s="2" t="s">
        <v>22</v>
      </c>
      <c r="J5026" s="2" t="s">
        <v>1603</v>
      </c>
      <c r="K5026" s="2" t="s">
        <v>495</v>
      </c>
      <c r="L5026" s="13" t="s">
        <v>496</v>
      </c>
      <c r="M5026" s="2" t="s">
        <v>26</v>
      </c>
      <c r="N5026" s="29"/>
      <c r="O5026" s="29"/>
      <c r="P5026" s="5" t="str">
        <f>IFERROR(__xludf.DUMMYFUNCTION("TEXTJOIN("" | "",TRUE,IF(OR(D5026="""",E5026="""",I5026="""",J5026="""",H5026=""""),""ফাঁকা ঘর"",""""),IF(AND(C5026&lt;&gt;"""",D5026&lt;&gt;"""",C5026=D5026),""gloss=figurative"",""""),IF(LEN(D5026)&lt;15,""figurative ছোট"",""""),IF(AND(I5026=""Positive"",REGEXMATCH(H5"&amp;"026,""মূর্খ|ভণ্ড|প্রতার|অলস|লোভ|স্বার্থ|অক্ষম|অযোগ্য|বোকা|কৃপণ|হিংস"")),""valence-target অমিল"",""""),IF(COUNTIF($B:$B,B5026)&gt;1,""ডুপ্লিকেট"",""""))"),"")</f>
        <v/>
      </c>
      <c r="Q5026" s="5" t="str">
        <f t="shared" si="1"/>
        <v>২ পরে</v>
      </c>
    </row>
    <row r="5027">
      <c r="A5027" s="4">
        <v>2866.0</v>
      </c>
      <c r="B5027" s="2" t="s">
        <v>20581</v>
      </c>
      <c r="C5027" s="2" t="s">
        <v>20582</v>
      </c>
      <c r="D5027" s="2" t="s">
        <v>20583</v>
      </c>
      <c r="E5027" s="2" t="s">
        <v>20584</v>
      </c>
      <c r="F5027" s="2" t="b">
        <v>1</v>
      </c>
      <c r="G5027" s="2" t="b">
        <v>0</v>
      </c>
      <c r="H5027" s="2" t="s">
        <v>37</v>
      </c>
      <c r="I5027" s="2" t="s">
        <v>49</v>
      </c>
      <c r="J5027" s="2" t="s">
        <v>190</v>
      </c>
      <c r="K5027" s="2" t="s">
        <v>495</v>
      </c>
      <c r="L5027" s="13" t="s">
        <v>496</v>
      </c>
      <c r="M5027" s="2" t="s">
        <v>26</v>
      </c>
      <c r="N5027" s="29"/>
      <c r="O5027" s="29"/>
      <c r="P5027" s="5" t="str">
        <f>IFERROR(__xludf.DUMMYFUNCTION("TEXTJOIN("" | "",TRUE,IF(OR(D5027="""",E5027="""",I5027="""",J5027="""",H5027=""""),""ফাঁকা ঘর"",""""),IF(AND(C5027&lt;&gt;"""",D5027&lt;&gt;"""",C5027=D5027),""gloss=figurative"",""""),IF(LEN(D5027)&lt;15,""figurative ছোট"",""""),IF(AND(I5027=""Positive"",REGEXMATCH(H5"&amp;"027,""মূর্খ|ভণ্ড|প্রতার|অলস|লোভ|স্বার্থ|অক্ষম|অযোগ্য|বোকা|কৃপণ|হিংস"")),""valence-target অমিল"",""""),IF(COUNTIF($B:$B,B5027)&gt;1,""ডুপ্লিকেট"",""""))"),"")</f>
        <v/>
      </c>
      <c r="Q5027" s="5" t="str">
        <f t="shared" si="1"/>
        <v>২ পরে</v>
      </c>
    </row>
    <row r="5028">
      <c r="A5028" s="4">
        <v>2867.0</v>
      </c>
      <c r="B5028" s="2" t="s">
        <v>20585</v>
      </c>
      <c r="C5028" s="2" t="s">
        <v>20585</v>
      </c>
      <c r="D5028" s="2" t="s">
        <v>20586</v>
      </c>
      <c r="E5028" s="2" t="s">
        <v>20587</v>
      </c>
      <c r="F5028" s="2" t="b">
        <v>1</v>
      </c>
      <c r="G5028" s="2" t="b">
        <v>0</v>
      </c>
      <c r="H5028" s="2" t="s">
        <v>37</v>
      </c>
      <c r="I5028" s="2" t="s">
        <v>22</v>
      </c>
      <c r="J5028" s="2" t="s">
        <v>20588</v>
      </c>
      <c r="K5028" s="2" t="s">
        <v>495</v>
      </c>
      <c r="L5028" s="13" t="s">
        <v>496</v>
      </c>
      <c r="M5028" s="2" t="s">
        <v>26</v>
      </c>
      <c r="N5028" s="29"/>
      <c r="O5028" s="29"/>
      <c r="P5028" s="5" t="str">
        <f>IFERROR(__xludf.DUMMYFUNCTION("TEXTJOIN("" | "",TRUE,IF(OR(D5028="""",E5028="""",I5028="""",J5028="""",H5028=""""),""ফাঁকা ঘর"",""""),IF(AND(C5028&lt;&gt;"""",D5028&lt;&gt;"""",C5028=D5028),""gloss=figurative"",""""),IF(LEN(D5028)&lt;15,""figurative ছোট"",""""),IF(AND(I5028=""Positive"",REGEXMATCH(H5"&amp;"028,""মূর্খ|ভণ্ড|প্রতার|অলস|লোভ|স্বার্থ|অক্ষম|অযোগ্য|বোকা|কৃপণ|হিংস"")),""valence-target অমিল"",""""),IF(COUNTIF($B:$B,B5028)&gt;1,""ডুপ্লিকেট"",""""))"),"")</f>
        <v/>
      </c>
      <c r="Q5028" s="5" t="str">
        <f t="shared" si="1"/>
        <v>২ পরে</v>
      </c>
    </row>
    <row r="5029">
      <c r="A5029" s="4">
        <v>2868.0</v>
      </c>
      <c r="B5029" s="2" t="s">
        <v>20589</v>
      </c>
      <c r="C5029" s="2" t="s">
        <v>20590</v>
      </c>
      <c r="D5029" s="2" t="s">
        <v>20591</v>
      </c>
      <c r="E5029" s="2" t="s">
        <v>20592</v>
      </c>
      <c r="F5029" s="2" t="b">
        <v>1</v>
      </c>
      <c r="G5029" s="2" t="b">
        <v>0</v>
      </c>
      <c r="H5029" s="2" t="s">
        <v>37</v>
      </c>
      <c r="I5029" s="2" t="s">
        <v>22</v>
      </c>
      <c r="J5029" s="2" t="s">
        <v>20593</v>
      </c>
      <c r="K5029" s="2" t="s">
        <v>495</v>
      </c>
      <c r="L5029" s="13" t="s">
        <v>496</v>
      </c>
      <c r="M5029" s="2" t="s">
        <v>26</v>
      </c>
      <c r="N5029" s="29"/>
      <c r="O5029" s="29"/>
      <c r="P5029" s="5" t="str">
        <f>IFERROR(__xludf.DUMMYFUNCTION("TEXTJOIN("" | "",TRUE,IF(OR(D5029="""",E5029="""",I5029="""",J5029="""",H5029=""""),""ফাঁকা ঘর"",""""),IF(AND(C5029&lt;&gt;"""",D5029&lt;&gt;"""",C5029=D5029),""gloss=figurative"",""""),IF(LEN(D5029)&lt;15,""figurative ছোট"",""""),IF(AND(I5029=""Positive"",REGEXMATCH(H5"&amp;"029,""মূর্খ|ভণ্ড|প্রতার|অলস|লোভ|স্বার্থ|অক্ষম|অযোগ্য|বোকা|কৃপণ|হিংস"")),""valence-target অমিল"",""""),IF(COUNTIF($B:$B,B5029)&gt;1,""ডুপ্লিকেট"",""""))"),"")</f>
        <v/>
      </c>
      <c r="Q5029" s="5" t="str">
        <f t="shared" si="1"/>
        <v>২ পরে</v>
      </c>
    </row>
    <row r="5030">
      <c r="A5030" s="4">
        <v>2869.0</v>
      </c>
      <c r="B5030" s="2" t="s">
        <v>20594</v>
      </c>
      <c r="C5030" s="2" t="s">
        <v>20595</v>
      </c>
      <c r="D5030" s="2" t="s">
        <v>20596</v>
      </c>
      <c r="E5030" s="2" t="s">
        <v>20597</v>
      </c>
      <c r="F5030" s="2" t="b">
        <v>1</v>
      </c>
      <c r="G5030" s="2" t="b">
        <v>0</v>
      </c>
      <c r="H5030" s="2" t="s">
        <v>37</v>
      </c>
      <c r="I5030" s="2" t="s">
        <v>49</v>
      </c>
      <c r="J5030" s="2" t="s">
        <v>190</v>
      </c>
      <c r="K5030" s="2" t="s">
        <v>495</v>
      </c>
      <c r="L5030" s="13" t="s">
        <v>496</v>
      </c>
      <c r="M5030" s="2" t="s">
        <v>26</v>
      </c>
      <c r="N5030" s="29"/>
      <c r="O5030" s="29"/>
      <c r="P5030" s="5" t="str">
        <f>IFERROR(__xludf.DUMMYFUNCTION("TEXTJOIN("" | "",TRUE,IF(OR(D5030="""",E5030="""",I5030="""",J5030="""",H5030=""""),""ফাঁকা ঘর"",""""),IF(AND(C5030&lt;&gt;"""",D5030&lt;&gt;"""",C5030=D5030),""gloss=figurative"",""""),IF(LEN(D5030)&lt;15,""figurative ছোট"",""""),IF(AND(I5030=""Positive"",REGEXMATCH(H5"&amp;"030,""মূর্খ|ভণ্ড|প্রতার|অলস|লোভ|স্বার্থ|অক্ষম|অযোগ্য|বোকা|কৃপণ|হিংস"")),""valence-target অমিল"",""""),IF(COUNTIF($B:$B,B5030)&gt;1,""ডুপ্লিকেট"",""""))"),"")</f>
        <v/>
      </c>
      <c r="Q5030" s="5" t="str">
        <f t="shared" si="1"/>
        <v>২ পরে</v>
      </c>
    </row>
    <row r="5031">
      <c r="A5031" s="4">
        <v>2870.0</v>
      </c>
      <c r="B5031" s="2" t="s">
        <v>20598</v>
      </c>
      <c r="C5031" s="2" t="s">
        <v>20599</v>
      </c>
      <c r="D5031" s="2" t="s">
        <v>20600</v>
      </c>
      <c r="E5031" s="2" t="s">
        <v>20601</v>
      </c>
      <c r="F5031" s="2" t="b">
        <v>1</v>
      </c>
      <c r="G5031" s="2" t="b">
        <v>0</v>
      </c>
      <c r="H5031" s="2" t="s">
        <v>37</v>
      </c>
      <c r="I5031" s="2" t="s">
        <v>49</v>
      </c>
      <c r="J5031" s="2" t="s">
        <v>1621</v>
      </c>
      <c r="K5031" s="2" t="s">
        <v>495</v>
      </c>
      <c r="L5031" s="13" t="s">
        <v>496</v>
      </c>
      <c r="M5031" s="2" t="s">
        <v>26</v>
      </c>
      <c r="N5031" s="29"/>
      <c r="O5031" s="29"/>
      <c r="P5031" s="5" t="str">
        <f>IFERROR(__xludf.DUMMYFUNCTION("TEXTJOIN("" | "",TRUE,IF(OR(D5031="""",E5031="""",I5031="""",J5031="""",H5031=""""),""ফাঁকা ঘর"",""""),IF(AND(C5031&lt;&gt;"""",D5031&lt;&gt;"""",C5031=D5031),""gloss=figurative"",""""),IF(LEN(D5031)&lt;15,""figurative ছোট"",""""),IF(AND(I5031=""Positive"",REGEXMATCH(H5"&amp;"031,""মূর্খ|ভণ্ড|প্রতার|অলস|লোভ|স্বার্থ|অক্ষম|অযোগ্য|বোকা|কৃপণ|হিংস"")),""valence-target অমিল"",""""),IF(COUNTIF($B:$B,B5031)&gt;1,""ডুপ্লিকেট"",""""))"),"")</f>
        <v/>
      </c>
      <c r="Q5031" s="5" t="str">
        <f t="shared" si="1"/>
        <v>২ পরে</v>
      </c>
    </row>
    <row r="5032">
      <c r="A5032" s="4">
        <v>2871.0</v>
      </c>
      <c r="B5032" s="2" t="s">
        <v>20602</v>
      </c>
      <c r="C5032" s="2" t="s">
        <v>20603</v>
      </c>
      <c r="D5032" s="2" t="s">
        <v>20604</v>
      </c>
      <c r="E5032" s="2" t="s">
        <v>20605</v>
      </c>
      <c r="F5032" s="2" t="b">
        <v>1</v>
      </c>
      <c r="G5032" s="2" t="b">
        <v>0</v>
      </c>
      <c r="H5032" s="2" t="s">
        <v>37</v>
      </c>
      <c r="I5032" s="2" t="s">
        <v>32</v>
      </c>
      <c r="J5032" s="2" t="s">
        <v>708</v>
      </c>
      <c r="K5032" s="2" t="s">
        <v>495</v>
      </c>
      <c r="L5032" s="13" t="s">
        <v>496</v>
      </c>
      <c r="M5032" s="2" t="s">
        <v>26</v>
      </c>
      <c r="N5032" s="29"/>
      <c r="O5032" s="29"/>
      <c r="P5032" s="5" t="str">
        <f>IFERROR(__xludf.DUMMYFUNCTION("TEXTJOIN("" | "",TRUE,IF(OR(D5032="""",E5032="""",I5032="""",J5032="""",H5032=""""),""ফাঁকা ঘর"",""""),IF(AND(C5032&lt;&gt;"""",D5032&lt;&gt;"""",C5032=D5032),""gloss=figurative"",""""),IF(LEN(D5032)&lt;15,""figurative ছোট"",""""),IF(AND(I5032=""Positive"",REGEXMATCH(H5"&amp;"032,""মূর্খ|ভণ্ড|প্রতার|অলস|লোভ|স্বার্থ|অক্ষম|অযোগ্য|বোকা|কৃপণ|হিংস"")),""valence-target অমিল"",""""),IF(COUNTIF($B:$B,B5032)&gt;1,""ডুপ্লিকেট"",""""))"),"")</f>
        <v/>
      </c>
      <c r="Q5032" s="5" t="str">
        <f t="shared" si="1"/>
        <v>২ পরে</v>
      </c>
    </row>
    <row r="5033">
      <c r="A5033" s="4">
        <v>2872.0</v>
      </c>
      <c r="B5033" s="2" t="s">
        <v>20606</v>
      </c>
      <c r="C5033" s="2" t="s">
        <v>20607</v>
      </c>
      <c r="D5033" s="2" t="s">
        <v>20608</v>
      </c>
      <c r="E5033" s="2" t="s">
        <v>20609</v>
      </c>
      <c r="F5033" s="2" t="b">
        <v>1</v>
      </c>
      <c r="G5033" s="2" t="b">
        <v>0</v>
      </c>
      <c r="H5033" s="2" t="s">
        <v>37</v>
      </c>
      <c r="I5033" s="2" t="s">
        <v>49</v>
      </c>
      <c r="J5033" s="2" t="s">
        <v>2140</v>
      </c>
      <c r="K5033" s="2" t="s">
        <v>495</v>
      </c>
      <c r="L5033" s="13" t="s">
        <v>496</v>
      </c>
      <c r="M5033" s="2" t="s">
        <v>26</v>
      </c>
      <c r="N5033" s="29"/>
      <c r="O5033" s="29"/>
      <c r="P5033" s="5" t="str">
        <f>IFERROR(__xludf.DUMMYFUNCTION("TEXTJOIN("" | "",TRUE,IF(OR(D5033="""",E5033="""",I5033="""",J5033="""",H5033=""""),""ফাঁকা ঘর"",""""),IF(AND(C5033&lt;&gt;"""",D5033&lt;&gt;"""",C5033=D5033),""gloss=figurative"",""""),IF(LEN(D5033)&lt;15,""figurative ছোট"",""""),IF(AND(I5033=""Positive"",REGEXMATCH(H5"&amp;"033,""মূর্খ|ভণ্ড|প্রতার|অলস|লোভ|স্বার্থ|অক্ষম|অযোগ্য|বোকা|কৃপণ|হিংস"")),""valence-target অমিল"",""""),IF(COUNTIF($B:$B,B5033)&gt;1,""ডুপ্লিকেট"",""""))"),"")</f>
        <v/>
      </c>
      <c r="Q5033" s="5" t="str">
        <f t="shared" si="1"/>
        <v>২ পরে</v>
      </c>
    </row>
    <row r="5034">
      <c r="A5034" s="4">
        <v>2873.0</v>
      </c>
      <c r="B5034" s="2" t="s">
        <v>20610</v>
      </c>
      <c r="C5034" s="2" t="s">
        <v>20611</v>
      </c>
      <c r="D5034" s="2" t="s">
        <v>20612</v>
      </c>
      <c r="E5034" s="2" t="s">
        <v>20613</v>
      </c>
      <c r="F5034" s="2" t="b">
        <v>1</v>
      </c>
      <c r="G5034" s="2" t="b">
        <v>0</v>
      </c>
      <c r="H5034" s="2" t="s">
        <v>37</v>
      </c>
      <c r="I5034" s="2" t="s">
        <v>32</v>
      </c>
      <c r="J5034" s="2" t="s">
        <v>20614</v>
      </c>
      <c r="K5034" s="2" t="s">
        <v>495</v>
      </c>
      <c r="L5034" s="13" t="s">
        <v>496</v>
      </c>
      <c r="M5034" s="2" t="s">
        <v>26</v>
      </c>
      <c r="N5034" s="29"/>
      <c r="O5034" s="29"/>
      <c r="P5034" s="5" t="str">
        <f>IFERROR(__xludf.DUMMYFUNCTION("TEXTJOIN("" | "",TRUE,IF(OR(D5034="""",E5034="""",I5034="""",J5034="""",H5034=""""),""ফাঁকা ঘর"",""""),IF(AND(C5034&lt;&gt;"""",D5034&lt;&gt;"""",C5034=D5034),""gloss=figurative"",""""),IF(LEN(D5034)&lt;15,""figurative ছোট"",""""),IF(AND(I5034=""Positive"",REGEXMATCH(H5"&amp;"034,""মূর্খ|ভণ্ড|প্রতার|অলস|লোভ|স্বার্থ|অক্ষম|অযোগ্য|বোকা|কৃপণ|হিংস"")),""valence-target অমিল"",""""),IF(COUNTIF($B:$B,B5034)&gt;1,""ডুপ্লিকেট"",""""))"),"")</f>
        <v/>
      </c>
      <c r="Q5034" s="5" t="str">
        <f t="shared" si="1"/>
        <v>২ পরে</v>
      </c>
    </row>
    <row r="5035">
      <c r="A5035" s="4">
        <v>2874.0</v>
      </c>
      <c r="B5035" s="2" t="s">
        <v>20615</v>
      </c>
      <c r="C5035" s="2" t="s">
        <v>20616</v>
      </c>
      <c r="D5035" s="2" t="s">
        <v>20617</v>
      </c>
      <c r="E5035" s="2" t="s">
        <v>20618</v>
      </c>
      <c r="F5035" s="2" t="b">
        <v>1</v>
      </c>
      <c r="G5035" s="2" t="b">
        <v>0</v>
      </c>
      <c r="H5035" s="2" t="s">
        <v>37</v>
      </c>
      <c r="I5035" s="2" t="s">
        <v>32</v>
      </c>
      <c r="J5035" s="2" t="s">
        <v>502</v>
      </c>
      <c r="K5035" s="2" t="s">
        <v>495</v>
      </c>
      <c r="L5035" s="13" t="s">
        <v>496</v>
      </c>
      <c r="M5035" s="2" t="s">
        <v>26</v>
      </c>
      <c r="N5035" s="29"/>
      <c r="O5035" s="29"/>
      <c r="P5035" s="5" t="str">
        <f>IFERROR(__xludf.DUMMYFUNCTION("TEXTJOIN("" | "",TRUE,IF(OR(D5035="""",E5035="""",I5035="""",J5035="""",H5035=""""),""ফাঁকা ঘর"",""""),IF(AND(C5035&lt;&gt;"""",D5035&lt;&gt;"""",C5035=D5035),""gloss=figurative"",""""),IF(LEN(D5035)&lt;15,""figurative ছোট"",""""),IF(AND(I5035=""Positive"",REGEXMATCH(H5"&amp;"035,""মূর্খ|ভণ্ড|প্রতার|অলস|লোভ|স্বার্থ|অক্ষম|অযোগ্য|বোকা|কৃপণ|হিংস"")),""valence-target অমিল"",""""),IF(COUNTIF($B:$B,B5035)&gt;1,""ডুপ্লিকেট"",""""))"),"")</f>
        <v/>
      </c>
      <c r="Q5035" s="5" t="str">
        <f t="shared" si="1"/>
        <v>২ পরে</v>
      </c>
    </row>
    <row r="5036">
      <c r="A5036" s="4">
        <v>2875.0</v>
      </c>
      <c r="B5036" s="2" t="s">
        <v>20619</v>
      </c>
      <c r="C5036" s="2" t="s">
        <v>20620</v>
      </c>
      <c r="D5036" s="2" t="s">
        <v>20621</v>
      </c>
      <c r="E5036" s="2" t="s">
        <v>20622</v>
      </c>
      <c r="F5036" s="2" t="b">
        <v>1</v>
      </c>
      <c r="G5036" s="2" t="b">
        <v>0</v>
      </c>
      <c r="H5036" s="2" t="s">
        <v>37</v>
      </c>
      <c r="I5036" s="2" t="s">
        <v>49</v>
      </c>
      <c r="J5036" s="2" t="s">
        <v>1111</v>
      </c>
      <c r="K5036" s="2" t="s">
        <v>495</v>
      </c>
      <c r="L5036" s="13" t="s">
        <v>496</v>
      </c>
      <c r="M5036" s="2" t="s">
        <v>26</v>
      </c>
      <c r="N5036" s="29"/>
      <c r="O5036" s="29"/>
      <c r="P5036" s="5" t="str">
        <f>IFERROR(__xludf.DUMMYFUNCTION("TEXTJOIN("" | "",TRUE,IF(OR(D5036="""",E5036="""",I5036="""",J5036="""",H5036=""""),""ফাঁকা ঘর"",""""),IF(AND(C5036&lt;&gt;"""",D5036&lt;&gt;"""",C5036=D5036),""gloss=figurative"",""""),IF(LEN(D5036)&lt;15,""figurative ছোট"",""""),IF(AND(I5036=""Positive"",REGEXMATCH(H5"&amp;"036,""মূর্খ|ভণ্ড|প্রতার|অলস|লোভ|স্বার্থ|অক্ষম|অযোগ্য|বোকা|কৃপণ|হিংস"")),""valence-target অমিল"",""""),IF(COUNTIF($B:$B,B5036)&gt;1,""ডুপ্লিকেট"",""""))"),"")</f>
        <v/>
      </c>
      <c r="Q5036" s="5" t="str">
        <f t="shared" si="1"/>
        <v>২ পরে</v>
      </c>
    </row>
    <row r="5037">
      <c r="A5037" s="4">
        <v>2876.0</v>
      </c>
      <c r="B5037" s="2" t="s">
        <v>20623</v>
      </c>
      <c r="C5037" s="2" t="s">
        <v>20623</v>
      </c>
      <c r="D5037" s="2" t="s">
        <v>20624</v>
      </c>
      <c r="E5037" s="2" t="s">
        <v>20625</v>
      </c>
      <c r="F5037" s="2" t="b">
        <v>1</v>
      </c>
      <c r="G5037" s="2" t="b">
        <v>0</v>
      </c>
      <c r="H5037" s="2" t="s">
        <v>37</v>
      </c>
      <c r="I5037" s="2" t="s">
        <v>49</v>
      </c>
      <c r="J5037" s="2" t="s">
        <v>708</v>
      </c>
      <c r="K5037" s="2" t="s">
        <v>495</v>
      </c>
      <c r="L5037" s="13" t="s">
        <v>496</v>
      </c>
      <c r="M5037" s="2" t="s">
        <v>26</v>
      </c>
      <c r="N5037" s="29"/>
      <c r="O5037" s="29"/>
      <c r="P5037" s="5" t="str">
        <f>IFERROR(__xludf.DUMMYFUNCTION("TEXTJOIN("" | "",TRUE,IF(OR(D5037="""",E5037="""",I5037="""",J5037="""",H5037=""""),""ফাঁকা ঘর"",""""),IF(AND(C5037&lt;&gt;"""",D5037&lt;&gt;"""",C5037=D5037),""gloss=figurative"",""""),IF(LEN(D5037)&lt;15,""figurative ছোট"",""""),IF(AND(I5037=""Positive"",REGEXMATCH(H5"&amp;"037,""মূর্খ|ভণ্ড|প্রতার|অলস|লোভ|স্বার্থ|অক্ষম|অযোগ্য|বোকা|কৃপণ|হিংস"")),""valence-target অমিল"",""""),IF(COUNTIF($B:$B,B5037)&gt;1,""ডুপ্লিকেট"",""""))"),"")</f>
        <v/>
      </c>
      <c r="Q5037" s="5" t="str">
        <f t="shared" si="1"/>
        <v>২ পরে</v>
      </c>
    </row>
    <row r="5038">
      <c r="A5038" s="4">
        <v>2877.0</v>
      </c>
      <c r="B5038" s="2" t="s">
        <v>20626</v>
      </c>
      <c r="C5038" s="2" t="s">
        <v>20627</v>
      </c>
      <c r="D5038" s="2" t="s">
        <v>20628</v>
      </c>
      <c r="E5038" s="2" t="s">
        <v>20629</v>
      </c>
      <c r="F5038" s="2" t="b">
        <v>1</v>
      </c>
      <c r="G5038" s="2" t="b">
        <v>0</v>
      </c>
      <c r="H5038" s="2" t="s">
        <v>37</v>
      </c>
      <c r="I5038" s="2" t="s">
        <v>32</v>
      </c>
      <c r="J5038" s="2" t="s">
        <v>6697</v>
      </c>
      <c r="K5038" s="2" t="s">
        <v>495</v>
      </c>
      <c r="L5038" s="13" t="s">
        <v>496</v>
      </c>
      <c r="M5038" s="2" t="s">
        <v>26</v>
      </c>
      <c r="N5038" s="29"/>
      <c r="O5038" s="29"/>
      <c r="P5038" s="5" t="str">
        <f>IFERROR(__xludf.DUMMYFUNCTION("TEXTJOIN("" | "",TRUE,IF(OR(D5038="""",E5038="""",I5038="""",J5038="""",H5038=""""),""ফাঁকা ঘর"",""""),IF(AND(C5038&lt;&gt;"""",D5038&lt;&gt;"""",C5038=D5038),""gloss=figurative"",""""),IF(LEN(D5038)&lt;15,""figurative ছোট"",""""),IF(AND(I5038=""Positive"",REGEXMATCH(H5"&amp;"038,""মূর্খ|ভণ্ড|প্রতার|অলস|লোভ|স্বার্থ|অক্ষম|অযোগ্য|বোকা|কৃপণ|হিংস"")),""valence-target অমিল"",""""),IF(COUNTIF($B:$B,B5038)&gt;1,""ডুপ্লিকেট"",""""))"),"")</f>
        <v/>
      </c>
      <c r="Q5038" s="5" t="str">
        <f t="shared" si="1"/>
        <v>২ পরে</v>
      </c>
    </row>
    <row r="5039">
      <c r="A5039" s="4">
        <v>2878.0</v>
      </c>
      <c r="B5039" s="2" t="s">
        <v>20630</v>
      </c>
      <c r="C5039" s="2" t="s">
        <v>20631</v>
      </c>
      <c r="D5039" s="2" t="s">
        <v>20632</v>
      </c>
      <c r="E5039" s="2" t="s">
        <v>20633</v>
      </c>
      <c r="F5039" s="2" t="b">
        <v>1</v>
      </c>
      <c r="G5039" s="2" t="b">
        <v>0</v>
      </c>
      <c r="H5039" s="2" t="s">
        <v>37</v>
      </c>
      <c r="I5039" s="2" t="s">
        <v>22</v>
      </c>
      <c r="J5039" s="2" t="s">
        <v>708</v>
      </c>
      <c r="K5039" s="2" t="s">
        <v>495</v>
      </c>
      <c r="L5039" s="13" t="s">
        <v>496</v>
      </c>
      <c r="M5039" s="2" t="s">
        <v>26</v>
      </c>
      <c r="N5039" s="29"/>
      <c r="O5039" s="29"/>
      <c r="P5039" s="5" t="str">
        <f>IFERROR(__xludf.DUMMYFUNCTION("TEXTJOIN("" | "",TRUE,IF(OR(D5039="""",E5039="""",I5039="""",J5039="""",H5039=""""),""ফাঁকা ঘর"",""""),IF(AND(C5039&lt;&gt;"""",D5039&lt;&gt;"""",C5039=D5039),""gloss=figurative"",""""),IF(LEN(D5039)&lt;15,""figurative ছোট"",""""),IF(AND(I5039=""Positive"",REGEXMATCH(H5"&amp;"039,""মূর্খ|ভণ্ড|প্রতার|অলস|লোভ|স্বার্থ|অক্ষম|অযোগ্য|বোকা|কৃপণ|হিংস"")),""valence-target অমিল"",""""),IF(COUNTIF($B:$B,B5039)&gt;1,""ডুপ্লিকেট"",""""))"),"")</f>
        <v/>
      </c>
      <c r="Q5039" s="5" t="str">
        <f t="shared" si="1"/>
        <v>২ পরে</v>
      </c>
    </row>
    <row r="5040">
      <c r="A5040" s="4">
        <v>2879.0</v>
      </c>
      <c r="B5040" s="2" t="s">
        <v>20634</v>
      </c>
      <c r="C5040" s="2" t="s">
        <v>20634</v>
      </c>
      <c r="D5040" s="2" t="s">
        <v>20635</v>
      </c>
      <c r="E5040" s="2" t="s">
        <v>20636</v>
      </c>
      <c r="F5040" s="2" t="b">
        <v>1</v>
      </c>
      <c r="G5040" s="2" t="b">
        <v>0</v>
      </c>
      <c r="H5040" s="2" t="s">
        <v>37</v>
      </c>
      <c r="I5040" s="2" t="s">
        <v>22</v>
      </c>
      <c r="J5040" s="2" t="s">
        <v>43</v>
      </c>
      <c r="K5040" s="2" t="s">
        <v>495</v>
      </c>
      <c r="L5040" s="13" t="s">
        <v>496</v>
      </c>
      <c r="M5040" s="2" t="s">
        <v>26</v>
      </c>
      <c r="N5040" s="29"/>
      <c r="O5040" s="29"/>
      <c r="P5040" s="5" t="str">
        <f>IFERROR(__xludf.DUMMYFUNCTION("TEXTJOIN("" | "",TRUE,IF(OR(D5040="""",E5040="""",I5040="""",J5040="""",H5040=""""),""ফাঁকা ঘর"",""""),IF(AND(C5040&lt;&gt;"""",D5040&lt;&gt;"""",C5040=D5040),""gloss=figurative"",""""),IF(LEN(D5040)&lt;15,""figurative ছোট"",""""),IF(AND(I5040=""Positive"",REGEXMATCH(H5"&amp;"040,""মূর্খ|ভণ্ড|প্রতার|অলস|লোভ|স্বার্থ|অক্ষম|অযোগ্য|বোকা|কৃপণ|হিংস"")),""valence-target অমিল"",""""),IF(COUNTIF($B:$B,B5040)&gt;1,""ডুপ্লিকেট"",""""))"),"")</f>
        <v/>
      </c>
      <c r="Q5040" s="5" t="str">
        <f t="shared" si="1"/>
        <v>২ পরে</v>
      </c>
    </row>
    <row r="5041">
      <c r="A5041" s="4">
        <v>2880.0</v>
      </c>
      <c r="B5041" s="2" t="s">
        <v>20637</v>
      </c>
      <c r="C5041" s="2" t="s">
        <v>10707</v>
      </c>
      <c r="D5041" s="2" t="s">
        <v>20638</v>
      </c>
      <c r="E5041" s="2" t="s">
        <v>20639</v>
      </c>
      <c r="F5041" s="2" t="b">
        <v>1</v>
      </c>
      <c r="G5041" s="2" t="b">
        <v>0</v>
      </c>
      <c r="H5041" s="2" t="s">
        <v>37</v>
      </c>
      <c r="I5041" s="2" t="s">
        <v>22</v>
      </c>
      <c r="J5041" s="2" t="s">
        <v>669</v>
      </c>
      <c r="K5041" s="2" t="s">
        <v>495</v>
      </c>
      <c r="L5041" s="13" t="s">
        <v>496</v>
      </c>
      <c r="M5041" s="2" t="s">
        <v>26</v>
      </c>
      <c r="N5041" s="29"/>
      <c r="O5041" s="29"/>
      <c r="P5041" s="5" t="str">
        <f>IFERROR(__xludf.DUMMYFUNCTION("TEXTJOIN("" | "",TRUE,IF(OR(D5041="""",E5041="""",I5041="""",J5041="""",H5041=""""),""ফাঁকা ঘর"",""""),IF(AND(C5041&lt;&gt;"""",D5041&lt;&gt;"""",C5041=D5041),""gloss=figurative"",""""),IF(LEN(D5041)&lt;15,""figurative ছোট"",""""),IF(AND(I5041=""Positive"",REGEXMATCH(H5"&amp;"041,""মূর্খ|ভণ্ড|প্রতার|অলস|লোভ|স্বার্থ|অক্ষম|অযোগ্য|বোকা|কৃপণ|হিংস"")),""valence-target অমিল"",""""),IF(COUNTIF($B:$B,B5041)&gt;1,""ডুপ্লিকেট"",""""))"),"")</f>
        <v/>
      </c>
      <c r="Q5041" s="5" t="str">
        <f t="shared" si="1"/>
        <v>২ পরে</v>
      </c>
    </row>
    <row r="5042">
      <c r="A5042" s="4">
        <v>2881.0</v>
      </c>
      <c r="B5042" s="2" t="s">
        <v>20640</v>
      </c>
      <c r="C5042" s="2" t="s">
        <v>20641</v>
      </c>
      <c r="D5042" s="2" t="s">
        <v>20642</v>
      </c>
      <c r="E5042" s="2" t="s">
        <v>20643</v>
      </c>
      <c r="F5042" s="2" t="b">
        <v>1</v>
      </c>
      <c r="G5042" s="2" t="b">
        <v>0</v>
      </c>
      <c r="H5042" s="2" t="s">
        <v>37</v>
      </c>
      <c r="I5042" s="2" t="s">
        <v>22</v>
      </c>
      <c r="J5042" s="2" t="s">
        <v>669</v>
      </c>
      <c r="K5042" s="2" t="s">
        <v>495</v>
      </c>
      <c r="L5042" s="13" t="s">
        <v>496</v>
      </c>
      <c r="M5042" s="2" t="s">
        <v>26</v>
      </c>
      <c r="N5042" s="29"/>
      <c r="O5042" s="29"/>
      <c r="P5042" s="5" t="str">
        <f>IFERROR(__xludf.DUMMYFUNCTION("TEXTJOIN("" | "",TRUE,IF(OR(D5042="""",E5042="""",I5042="""",J5042="""",H5042=""""),""ফাঁকা ঘর"",""""),IF(AND(C5042&lt;&gt;"""",D5042&lt;&gt;"""",C5042=D5042),""gloss=figurative"",""""),IF(LEN(D5042)&lt;15,""figurative ছোট"",""""),IF(AND(I5042=""Positive"",REGEXMATCH(H5"&amp;"042,""মূর্খ|ভণ্ড|প্রতার|অলস|লোভ|স্বার্থ|অক্ষম|অযোগ্য|বোকা|কৃপণ|হিংস"")),""valence-target অমিল"",""""),IF(COUNTIF($B:$B,B5042)&gt;1,""ডুপ্লিকেট"",""""))"),"")</f>
        <v/>
      </c>
      <c r="Q5042" s="5" t="str">
        <f t="shared" si="1"/>
        <v>২ পরে</v>
      </c>
    </row>
    <row r="5043">
      <c r="A5043" s="4">
        <v>2882.0</v>
      </c>
      <c r="B5043" s="2" t="s">
        <v>20644</v>
      </c>
      <c r="C5043" s="2" t="s">
        <v>20644</v>
      </c>
      <c r="D5043" s="2" t="s">
        <v>20645</v>
      </c>
      <c r="E5043" s="2" t="s">
        <v>20646</v>
      </c>
      <c r="F5043" s="2" t="b">
        <v>1</v>
      </c>
      <c r="G5043" s="2" t="b">
        <v>0</v>
      </c>
      <c r="H5043" s="2" t="s">
        <v>37</v>
      </c>
      <c r="I5043" s="2" t="s">
        <v>49</v>
      </c>
      <c r="J5043" s="2" t="s">
        <v>868</v>
      </c>
      <c r="K5043" s="2" t="s">
        <v>495</v>
      </c>
      <c r="L5043" s="13" t="s">
        <v>496</v>
      </c>
      <c r="M5043" s="2" t="s">
        <v>26</v>
      </c>
      <c r="N5043" s="29"/>
      <c r="O5043" s="29"/>
      <c r="P5043" s="5" t="str">
        <f>IFERROR(__xludf.DUMMYFUNCTION("TEXTJOIN("" | "",TRUE,IF(OR(D5043="""",E5043="""",I5043="""",J5043="""",H5043=""""),""ফাঁকা ঘর"",""""),IF(AND(C5043&lt;&gt;"""",D5043&lt;&gt;"""",C5043=D5043),""gloss=figurative"",""""),IF(LEN(D5043)&lt;15,""figurative ছোট"",""""),IF(AND(I5043=""Positive"",REGEXMATCH(H5"&amp;"043,""মূর্খ|ভণ্ড|প্রতার|অলস|লোভ|স্বার্থ|অক্ষম|অযোগ্য|বোকা|কৃপণ|হিংস"")),""valence-target অমিল"",""""),IF(COUNTIF($B:$B,B5043)&gt;1,""ডুপ্লিকেট"",""""))"),"")</f>
        <v/>
      </c>
      <c r="Q5043" s="5" t="str">
        <f t="shared" si="1"/>
        <v>২ পরে</v>
      </c>
    </row>
    <row r="5044">
      <c r="A5044" s="4">
        <v>2883.0</v>
      </c>
      <c r="B5044" s="2" t="s">
        <v>20647</v>
      </c>
      <c r="C5044" s="2" t="s">
        <v>20648</v>
      </c>
      <c r="D5044" s="2" t="s">
        <v>20649</v>
      </c>
      <c r="E5044" s="2" t="s">
        <v>20650</v>
      </c>
      <c r="F5044" s="2" t="b">
        <v>1</v>
      </c>
      <c r="G5044" s="2" t="b">
        <v>0</v>
      </c>
      <c r="H5044" s="2" t="s">
        <v>37</v>
      </c>
      <c r="I5044" s="2" t="s">
        <v>32</v>
      </c>
      <c r="J5044" s="2" t="s">
        <v>1915</v>
      </c>
      <c r="K5044" s="2" t="s">
        <v>495</v>
      </c>
      <c r="L5044" s="13" t="s">
        <v>496</v>
      </c>
      <c r="M5044" s="2" t="s">
        <v>26</v>
      </c>
      <c r="N5044" s="29"/>
      <c r="O5044" s="29"/>
      <c r="P5044" s="5" t="str">
        <f>IFERROR(__xludf.DUMMYFUNCTION("TEXTJOIN("" | "",TRUE,IF(OR(D5044="""",E5044="""",I5044="""",J5044="""",H5044=""""),""ফাঁকা ঘর"",""""),IF(AND(C5044&lt;&gt;"""",D5044&lt;&gt;"""",C5044=D5044),""gloss=figurative"",""""),IF(LEN(D5044)&lt;15,""figurative ছোট"",""""),IF(AND(I5044=""Positive"",REGEXMATCH(H5"&amp;"044,""মূর্খ|ভণ্ড|প্রতার|অলস|লোভ|স্বার্থ|অক্ষম|অযোগ্য|বোকা|কৃপণ|হিংস"")),""valence-target অমিল"",""""),IF(COUNTIF($B:$B,B5044)&gt;1,""ডুপ্লিকেট"",""""))"),"")</f>
        <v/>
      </c>
      <c r="Q5044" s="5" t="str">
        <f t="shared" si="1"/>
        <v>২ পরে</v>
      </c>
    </row>
    <row r="5045">
      <c r="A5045" s="4">
        <v>2884.0</v>
      </c>
      <c r="B5045" s="2" t="s">
        <v>20651</v>
      </c>
      <c r="C5045" s="2" t="s">
        <v>20652</v>
      </c>
      <c r="D5045" s="2" t="s">
        <v>20653</v>
      </c>
      <c r="E5045" s="2" t="s">
        <v>20654</v>
      </c>
      <c r="F5045" s="2" t="b">
        <v>1</v>
      </c>
      <c r="G5045" s="2" t="b">
        <v>0</v>
      </c>
      <c r="H5045" s="2" t="s">
        <v>37</v>
      </c>
      <c r="I5045" s="2" t="s">
        <v>32</v>
      </c>
      <c r="J5045" s="2" t="s">
        <v>1111</v>
      </c>
      <c r="K5045" s="2" t="s">
        <v>495</v>
      </c>
      <c r="L5045" s="13" t="s">
        <v>496</v>
      </c>
      <c r="M5045" s="2" t="s">
        <v>26</v>
      </c>
      <c r="N5045" s="29"/>
      <c r="O5045" s="29"/>
      <c r="P5045" s="5" t="str">
        <f>IFERROR(__xludf.DUMMYFUNCTION("TEXTJOIN("" | "",TRUE,IF(OR(D5045="""",E5045="""",I5045="""",J5045="""",H5045=""""),""ফাঁকা ঘর"",""""),IF(AND(C5045&lt;&gt;"""",D5045&lt;&gt;"""",C5045=D5045),""gloss=figurative"",""""),IF(LEN(D5045)&lt;15,""figurative ছোট"",""""),IF(AND(I5045=""Positive"",REGEXMATCH(H5"&amp;"045,""মূর্খ|ভণ্ড|প্রতার|অলস|লোভ|স্বার্থ|অক্ষম|অযোগ্য|বোকা|কৃপণ|হিংস"")),""valence-target অমিল"",""""),IF(COUNTIF($B:$B,B5045)&gt;1,""ডুপ্লিকেট"",""""))"),"")</f>
        <v/>
      </c>
      <c r="Q5045" s="5" t="str">
        <f t="shared" si="1"/>
        <v>২ পরে</v>
      </c>
    </row>
    <row r="5046">
      <c r="A5046" s="4">
        <v>2885.0</v>
      </c>
      <c r="B5046" s="2" t="s">
        <v>20655</v>
      </c>
      <c r="C5046" s="2" t="s">
        <v>20656</v>
      </c>
      <c r="D5046" s="2" t="s">
        <v>20657</v>
      </c>
      <c r="E5046" s="2" t="s">
        <v>20658</v>
      </c>
      <c r="F5046" s="2" t="b">
        <v>1</v>
      </c>
      <c r="G5046" s="2" t="b">
        <v>0</v>
      </c>
      <c r="H5046" s="2" t="s">
        <v>37</v>
      </c>
      <c r="I5046" s="2" t="s">
        <v>32</v>
      </c>
      <c r="J5046" s="2" t="s">
        <v>1621</v>
      </c>
      <c r="K5046" s="2" t="s">
        <v>495</v>
      </c>
      <c r="L5046" s="13" t="s">
        <v>496</v>
      </c>
      <c r="M5046" s="2" t="s">
        <v>26</v>
      </c>
      <c r="N5046" s="29"/>
      <c r="O5046" s="29"/>
      <c r="P5046" s="5" t="str">
        <f>IFERROR(__xludf.DUMMYFUNCTION("TEXTJOIN("" | "",TRUE,IF(OR(D5046="""",E5046="""",I5046="""",J5046="""",H5046=""""),""ফাঁকা ঘর"",""""),IF(AND(C5046&lt;&gt;"""",D5046&lt;&gt;"""",C5046=D5046),""gloss=figurative"",""""),IF(LEN(D5046)&lt;15,""figurative ছোট"",""""),IF(AND(I5046=""Positive"",REGEXMATCH(H5"&amp;"046,""মূর্খ|ভণ্ড|প্রতার|অলস|লোভ|স্বার্থ|অক্ষম|অযোগ্য|বোকা|কৃপণ|হিংস"")),""valence-target অমিল"",""""),IF(COUNTIF($B:$B,B5046)&gt;1,""ডুপ্লিকেট"",""""))"),"")</f>
        <v/>
      </c>
      <c r="Q5046" s="5" t="str">
        <f t="shared" si="1"/>
        <v>২ পরে</v>
      </c>
    </row>
    <row r="5047">
      <c r="A5047" s="4">
        <v>2886.0</v>
      </c>
      <c r="B5047" s="2" t="s">
        <v>20659</v>
      </c>
      <c r="C5047" s="2" t="s">
        <v>20660</v>
      </c>
      <c r="D5047" s="2" t="s">
        <v>20661</v>
      </c>
      <c r="E5047" s="2" t="s">
        <v>20662</v>
      </c>
      <c r="F5047" s="2" t="b">
        <v>1</v>
      </c>
      <c r="G5047" s="2" t="b">
        <v>0</v>
      </c>
      <c r="H5047" s="2" t="s">
        <v>37</v>
      </c>
      <c r="I5047" s="2" t="s">
        <v>22</v>
      </c>
      <c r="J5047" s="2" t="s">
        <v>621</v>
      </c>
      <c r="K5047" s="2" t="s">
        <v>495</v>
      </c>
      <c r="L5047" s="13" t="s">
        <v>496</v>
      </c>
      <c r="M5047" s="2" t="s">
        <v>26</v>
      </c>
      <c r="N5047" s="29"/>
      <c r="O5047" s="29"/>
      <c r="P5047" s="5" t="str">
        <f>IFERROR(__xludf.DUMMYFUNCTION("TEXTJOIN("" | "",TRUE,IF(OR(D5047="""",E5047="""",I5047="""",J5047="""",H5047=""""),""ফাঁকা ঘর"",""""),IF(AND(C5047&lt;&gt;"""",D5047&lt;&gt;"""",C5047=D5047),""gloss=figurative"",""""),IF(LEN(D5047)&lt;15,""figurative ছোট"",""""),IF(AND(I5047=""Positive"",REGEXMATCH(H5"&amp;"047,""মূর্খ|ভণ্ড|প্রতার|অলস|লোভ|স্বার্থ|অক্ষম|অযোগ্য|বোকা|কৃপণ|হিংস"")),""valence-target অমিল"",""""),IF(COUNTIF($B:$B,B5047)&gt;1,""ডুপ্লিকেট"",""""))"),"")</f>
        <v/>
      </c>
      <c r="Q5047" s="5" t="str">
        <f t="shared" si="1"/>
        <v>২ পরে</v>
      </c>
    </row>
    <row r="5048">
      <c r="A5048" s="4">
        <v>2887.0</v>
      </c>
      <c r="B5048" s="2" t="s">
        <v>20663</v>
      </c>
      <c r="C5048" s="2" t="s">
        <v>20664</v>
      </c>
      <c r="D5048" s="2" t="s">
        <v>20665</v>
      </c>
      <c r="E5048" s="2" t="s">
        <v>20666</v>
      </c>
      <c r="F5048" s="2" t="b">
        <v>1</v>
      </c>
      <c r="G5048" s="2" t="b">
        <v>0</v>
      </c>
      <c r="H5048" s="2" t="s">
        <v>37</v>
      </c>
      <c r="I5048" s="2" t="s">
        <v>49</v>
      </c>
      <c r="J5048" s="2" t="s">
        <v>300</v>
      </c>
      <c r="K5048" s="2" t="s">
        <v>495</v>
      </c>
      <c r="L5048" s="13" t="s">
        <v>496</v>
      </c>
      <c r="M5048" s="2" t="s">
        <v>26</v>
      </c>
      <c r="N5048" s="29"/>
      <c r="O5048" s="29"/>
      <c r="P5048" s="5" t="str">
        <f>IFERROR(__xludf.DUMMYFUNCTION("TEXTJOIN("" | "",TRUE,IF(OR(D5048="""",E5048="""",I5048="""",J5048="""",H5048=""""),""ফাঁকা ঘর"",""""),IF(AND(C5048&lt;&gt;"""",D5048&lt;&gt;"""",C5048=D5048),""gloss=figurative"",""""),IF(LEN(D5048)&lt;15,""figurative ছোট"",""""),IF(AND(I5048=""Positive"",REGEXMATCH(H5"&amp;"048,""মূর্খ|ভণ্ড|প্রতার|অলস|লোভ|স্বার্থ|অক্ষম|অযোগ্য|বোকা|কৃপণ|হিংস"")),""valence-target অমিল"",""""),IF(COUNTIF($B:$B,B5048)&gt;1,""ডুপ্লিকেট"",""""))"),"")</f>
        <v/>
      </c>
      <c r="Q5048" s="5" t="str">
        <f t="shared" si="1"/>
        <v>২ পরে</v>
      </c>
    </row>
    <row r="5049">
      <c r="A5049" s="4">
        <v>2888.0</v>
      </c>
      <c r="B5049" s="2" t="s">
        <v>20667</v>
      </c>
      <c r="C5049" s="2" t="s">
        <v>20668</v>
      </c>
      <c r="D5049" s="2" t="s">
        <v>20669</v>
      </c>
      <c r="E5049" s="2" t="s">
        <v>20670</v>
      </c>
      <c r="F5049" s="2" t="b">
        <v>1</v>
      </c>
      <c r="G5049" s="2" t="b">
        <v>0</v>
      </c>
      <c r="H5049" s="2" t="s">
        <v>37</v>
      </c>
      <c r="I5049" s="2" t="s">
        <v>22</v>
      </c>
      <c r="J5049" s="2" t="s">
        <v>978</v>
      </c>
      <c r="K5049" s="2" t="s">
        <v>495</v>
      </c>
      <c r="L5049" s="13" t="s">
        <v>496</v>
      </c>
      <c r="M5049" s="2" t="s">
        <v>26</v>
      </c>
      <c r="N5049" s="29"/>
      <c r="O5049" s="29"/>
      <c r="P5049" s="5" t="str">
        <f>IFERROR(__xludf.DUMMYFUNCTION("TEXTJOIN("" | "",TRUE,IF(OR(D5049="""",E5049="""",I5049="""",J5049="""",H5049=""""),""ফাঁকা ঘর"",""""),IF(AND(C5049&lt;&gt;"""",D5049&lt;&gt;"""",C5049=D5049),""gloss=figurative"",""""),IF(LEN(D5049)&lt;15,""figurative ছোট"",""""),IF(AND(I5049=""Positive"",REGEXMATCH(H5"&amp;"049,""মূর্খ|ভণ্ড|প্রতার|অলস|লোভ|স্বার্থ|অক্ষম|অযোগ্য|বোকা|কৃপণ|হিংস"")),""valence-target অমিল"",""""),IF(COUNTIF($B:$B,B5049)&gt;1,""ডুপ্লিকেট"",""""))"),"")</f>
        <v/>
      </c>
      <c r="Q5049" s="5" t="str">
        <f t="shared" si="1"/>
        <v>২ পরে</v>
      </c>
    </row>
    <row r="5050">
      <c r="A5050" s="4">
        <v>2889.0</v>
      </c>
      <c r="B5050" s="2" t="s">
        <v>20671</v>
      </c>
      <c r="C5050" s="2" t="s">
        <v>20671</v>
      </c>
      <c r="D5050" s="2" t="s">
        <v>20672</v>
      </c>
      <c r="E5050" s="2" t="s">
        <v>20673</v>
      </c>
      <c r="F5050" s="2" t="b">
        <v>1</v>
      </c>
      <c r="G5050" s="2" t="b">
        <v>0</v>
      </c>
      <c r="H5050" s="2" t="s">
        <v>37</v>
      </c>
      <c r="I5050" s="2" t="s">
        <v>22</v>
      </c>
      <c r="J5050" s="2" t="s">
        <v>842</v>
      </c>
      <c r="K5050" s="2" t="s">
        <v>495</v>
      </c>
      <c r="L5050" s="13" t="s">
        <v>496</v>
      </c>
      <c r="M5050" s="2" t="s">
        <v>26</v>
      </c>
      <c r="N5050" s="29"/>
      <c r="O5050" s="29"/>
      <c r="P5050" s="5" t="str">
        <f>IFERROR(__xludf.DUMMYFUNCTION("TEXTJOIN("" | "",TRUE,IF(OR(D5050="""",E5050="""",I5050="""",J5050="""",H5050=""""),""ফাঁকা ঘর"",""""),IF(AND(C5050&lt;&gt;"""",D5050&lt;&gt;"""",C5050=D5050),""gloss=figurative"",""""),IF(LEN(D5050)&lt;15,""figurative ছোট"",""""),IF(AND(I5050=""Positive"",REGEXMATCH(H5"&amp;"050,""মূর্খ|ভণ্ড|প্রতার|অলস|লোভ|স্বার্থ|অক্ষম|অযোগ্য|বোকা|কৃপণ|হিংস"")),""valence-target অমিল"",""""),IF(COUNTIF($B:$B,B5050)&gt;1,""ডুপ্লিকেট"",""""))"),"")</f>
        <v/>
      </c>
      <c r="Q5050" s="5" t="str">
        <f t="shared" si="1"/>
        <v>২ পরে</v>
      </c>
    </row>
    <row r="5051">
      <c r="A5051" s="4">
        <v>2890.0</v>
      </c>
      <c r="B5051" s="2" t="s">
        <v>20674</v>
      </c>
      <c r="C5051" s="2" t="s">
        <v>20675</v>
      </c>
      <c r="D5051" s="2" t="s">
        <v>20676</v>
      </c>
      <c r="E5051" s="2" t="s">
        <v>20677</v>
      </c>
      <c r="F5051" s="2" t="b">
        <v>1</v>
      </c>
      <c r="G5051" s="2" t="b">
        <v>0</v>
      </c>
      <c r="H5051" s="2" t="s">
        <v>37</v>
      </c>
      <c r="I5051" s="2" t="s">
        <v>32</v>
      </c>
      <c r="J5051" s="2" t="s">
        <v>20678</v>
      </c>
      <c r="K5051" s="2" t="s">
        <v>495</v>
      </c>
      <c r="L5051" s="13" t="s">
        <v>496</v>
      </c>
      <c r="M5051" s="2" t="s">
        <v>26</v>
      </c>
      <c r="N5051" s="29"/>
      <c r="O5051" s="29"/>
      <c r="P5051" s="5" t="str">
        <f>IFERROR(__xludf.DUMMYFUNCTION("TEXTJOIN("" | "",TRUE,IF(OR(D5051="""",E5051="""",I5051="""",J5051="""",H5051=""""),""ফাঁকা ঘর"",""""),IF(AND(C5051&lt;&gt;"""",D5051&lt;&gt;"""",C5051=D5051),""gloss=figurative"",""""),IF(LEN(D5051)&lt;15,""figurative ছোট"",""""),IF(AND(I5051=""Positive"",REGEXMATCH(H5"&amp;"051,""মূর্খ|ভণ্ড|প্রতার|অলস|লোভ|স্বার্থ|অক্ষম|অযোগ্য|বোকা|কৃপণ|হিংস"")),""valence-target অমিল"",""""),IF(COUNTIF($B:$B,B5051)&gt;1,""ডুপ্লিকেট"",""""))"),"")</f>
        <v/>
      </c>
      <c r="Q5051" s="5" t="str">
        <f t="shared" si="1"/>
        <v>২ পরে</v>
      </c>
    </row>
    <row r="5052">
      <c r="A5052" s="4">
        <v>2891.0</v>
      </c>
      <c r="B5052" s="2" t="s">
        <v>20679</v>
      </c>
      <c r="C5052" s="2" t="s">
        <v>10036</v>
      </c>
      <c r="D5052" s="2" t="s">
        <v>20680</v>
      </c>
      <c r="E5052" s="2" t="s">
        <v>20681</v>
      </c>
      <c r="F5052" s="2" t="b">
        <v>1</v>
      </c>
      <c r="G5052" s="2" t="b">
        <v>0</v>
      </c>
      <c r="H5052" s="2" t="s">
        <v>37</v>
      </c>
      <c r="I5052" s="2" t="s">
        <v>32</v>
      </c>
      <c r="J5052" s="2" t="s">
        <v>1111</v>
      </c>
      <c r="K5052" s="2" t="s">
        <v>495</v>
      </c>
      <c r="L5052" s="13" t="s">
        <v>496</v>
      </c>
      <c r="M5052" s="2" t="s">
        <v>26</v>
      </c>
      <c r="N5052" s="29"/>
      <c r="O5052" s="29"/>
      <c r="P5052" s="5" t="str">
        <f>IFERROR(__xludf.DUMMYFUNCTION("TEXTJOIN("" | "",TRUE,IF(OR(D5052="""",E5052="""",I5052="""",J5052="""",H5052=""""),""ফাঁকা ঘর"",""""),IF(AND(C5052&lt;&gt;"""",D5052&lt;&gt;"""",C5052=D5052),""gloss=figurative"",""""),IF(LEN(D5052)&lt;15,""figurative ছোট"",""""),IF(AND(I5052=""Positive"",REGEXMATCH(H5"&amp;"052,""মূর্খ|ভণ্ড|প্রতার|অলস|লোভ|স্বার্থ|অক্ষম|অযোগ্য|বোকা|কৃপণ|হিংস"")),""valence-target অমিল"",""""),IF(COUNTIF($B:$B,B5052)&gt;1,""ডুপ্লিকেট"",""""))"),"")</f>
        <v/>
      </c>
      <c r="Q5052" s="5" t="str">
        <f t="shared" si="1"/>
        <v>২ পরে</v>
      </c>
    </row>
    <row r="5053">
      <c r="A5053" s="4">
        <v>2892.0</v>
      </c>
      <c r="B5053" s="2" t="s">
        <v>20682</v>
      </c>
      <c r="C5053" s="2" t="s">
        <v>20683</v>
      </c>
      <c r="D5053" s="2" t="s">
        <v>20684</v>
      </c>
      <c r="E5053" s="2" t="s">
        <v>20685</v>
      </c>
      <c r="F5053" s="2" t="b">
        <v>1</v>
      </c>
      <c r="G5053" s="2" t="b">
        <v>0</v>
      </c>
      <c r="H5053" s="2" t="s">
        <v>37</v>
      </c>
      <c r="I5053" s="2" t="s">
        <v>32</v>
      </c>
      <c r="J5053" s="2" t="s">
        <v>1111</v>
      </c>
      <c r="K5053" s="2" t="s">
        <v>495</v>
      </c>
      <c r="L5053" s="13" t="s">
        <v>496</v>
      </c>
      <c r="M5053" s="2" t="s">
        <v>26</v>
      </c>
      <c r="N5053" s="29"/>
      <c r="O5053" s="29"/>
      <c r="P5053" s="5" t="str">
        <f>IFERROR(__xludf.DUMMYFUNCTION("TEXTJOIN("" | "",TRUE,IF(OR(D5053="""",E5053="""",I5053="""",J5053="""",H5053=""""),""ফাঁকা ঘর"",""""),IF(AND(C5053&lt;&gt;"""",D5053&lt;&gt;"""",C5053=D5053),""gloss=figurative"",""""),IF(LEN(D5053)&lt;15,""figurative ছোট"",""""),IF(AND(I5053=""Positive"",REGEXMATCH(H5"&amp;"053,""মূর্খ|ভণ্ড|প্রতার|অলস|লোভ|স্বার্থ|অক্ষম|অযোগ্য|বোকা|কৃপণ|হিংস"")),""valence-target অমিল"",""""),IF(COUNTIF($B:$B,B5053)&gt;1,""ডুপ্লিকেট"",""""))"),"")</f>
        <v/>
      </c>
      <c r="Q5053" s="5" t="str">
        <f t="shared" si="1"/>
        <v>২ পরে</v>
      </c>
    </row>
    <row r="5054">
      <c r="A5054" s="4">
        <v>2893.0</v>
      </c>
      <c r="B5054" s="2" t="s">
        <v>20686</v>
      </c>
      <c r="C5054" s="2" t="s">
        <v>20687</v>
      </c>
      <c r="D5054" s="2" t="s">
        <v>20688</v>
      </c>
      <c r="E5054" s="2" t="s">
        <v>20689</v>
      </c>
      <c r="F5054" s="2" t="b">
        <v>1</v>
      </c>
      <c r="G5054" s="2" t="b">
        <v>0</v>
      </c>
      <c r="H5054" s="2" t="s">
        <v>37</v>
      </c>
      <c r="I5054" s="2" t="s">
        <v>32</v>
      </c>
      <c r="J5054" s="2" t="s">
        <v>1244</v>
      </c>
      <c r="K5054" s="2" t="s">
        <v>495</v>
      </c>
      <c r="L5054" s="13" t="s">
        <v>496</v>
      </c>
      <c r="M5054" s="2" t="s">
        <v>26</v>
      </c>
      <c r="N5054" s="29"/>
      <c r="O5054" s="29"/>
      <c r="P5054" s="5" t="str">
        <f>IFERROR(__xludf.DUMMYFUNCTION("TEXTJOIN("" | "",TRUE,IF(OR(D5054="""",E5054="""",I5054="""",J5054="""",H5054=""""),""ফাঁকা ঘর"",""""),IF(AND(C5054&lt;&gt;"""",D5054&lt;&gt;"""",C5054=D5054),""gloss=figurative"",""""),IF(LEN(D5054)&lt;15,""figurative ছোট"",""""),IF(AND(I5054=""Positive"",REGEXMATCH(H5"&amp;"054,""মূর্খ|ভণ্ড|প্রতার|অলস|লোভ|স্বার্থ|অক্ষম|অযোগ্য|বোকা|কৃপণ|হিংস"")),""valence-target অমিল"",""""),IF(COUNTIF($B:$B,B5054)&gt;1,""ডুপ্লিকেট"",""""))"),"")</f>
        <v/>
      </c>
      <c r="Q5054" s="5" t="str">
        <f t="shared" si="1"/>
        <v>২ পরে</v>
      </c>
    </row>
    <row r="5055">
      <c r="A5055" s="4">
        <v>2895.0</v>
      </c>
      <c r="B5055" s="2" t="s">
        <v>20690</v>
      </c>
      <c r="C5055" s="2" t="s">
        <v>20691</v>
      </c>
      <c r="D5055" s="2" t="s">
        <v>20692</v>
      </c>
      <c r="E5055" s="2" t="s">
        <v>20693</v>
      </c>
      <c r="F5055" s="2" t="b">
        <v>1</v>
      </c>
      <c r="G5055" s="2" t="b">
        <v>0</v>
      </c>
      <c r="H5055" s="2" t="s">
        <v>37</v>
      </c>
      <c r="I5055" s="2" t="s">
        <v>32</v>
      </c>
      <c r="J5055" s="2" t="s">
        <v>708</v>
      </c>
      <c r="K5055" s="2" t="s">
        <v>495</v>
      </c>
      <c r="L5055" s="13" t="s">
        <v>496</v>
      </c>
      <c r="M5055" s="2" t="s">
        <v>26</v>
      </c>
      <c r="N5055" s="29"/>
      <c r="O5055" s="29"/>
      <c r="P5055" s="5" t="str">
        <f>IFERROR(__xludf.DUMMYFUNCTION("TEXTJOIN("" | "",TRUE,IF(OR(D5055="""",E5055="""",I5055="""",J5055="""",H5055=""""),""ফাঁকা ঘর"",""""),IF(AND(C5055&lt;&gt;"""",D5055&lt;&gt;"""",C5055=D5055),""gloss=figurative"",""""),IF(LEN(D5055)&lt;15,""figurative ছোট"",""""),IF(AND(I5055=""Positive"",REGEXMATCH(H5"&amp;"055,""মূর্খ|ভণ্ড|প্রতার|অলস|লোভ|স্বার্থ|অক্ষম|অযোগ্য|বোকা|কৃপণ|হিংস"")),""valence-target অমিল"",""""),IF(COUNTIF($B:$B,B5055)&gt;1,""ডুপ্লিকেট"",""""))"),"")</f>
        <v/>
      </c>
      <c r="Q5055" s="5" t="str">
        <f t="shared" si="1"/>
        <v>২ পরে</v>
      </c>
    </row>
    <row r="5056">
      <c r="A5056" s="4">
        <v>2896.0</v>
      </c>
      <c r="B5056" s="2" t="s">
        <v>20694</v>
      </c>
      <c r="C5056" s="2" t="s">
        <v>20694</v>
      </c>
      <c r="D5056" s="2" t="s">
        <v>20695</v>
      </c>
      <c r="E5056" s="2" t="s">
        <v>20696</v>
      </c>
      <c r="F5056" s="2" t="b">
        <v>1</v>
      </c>
      <c r="G5056" s="2" t="b">
        <v>0</v>
      </c>
      <c r="H5056" s="2" t="s">
        <v>37</v>
      </c>
      <c r="I5056" s="2" t="s">
        <v>22</v>
      </c>
      <c r="J5056" s="2" t="s">
        <v>1630</v>
      </c>
      <c r="K5056" s="2" t="s">
        <v>495</v>
      </c>
      <c r="L5056" s="13" t="s">
        <v>496</v>
      </c>
      <c r="M5056" s="2" t="s">
        <v>26</v>
      </c>
      <c r="N5056" s="29"/>
      <c r="O5056" s="29"/>
      <c r="P5056" s="5" t="str">
        <f>IFERROR(__xludf.DUMMYFUNCTION("TEXTJOIN("" | "",TRUE,IF(OR(D5056="""",E5056="""",I5056="""",J5056="""",H5056=""""),""ফাঁকা ঘর"",""""),IF(AND(C5056&lt;&gt;"""",D5056&lt;&gt;"""",C5056=D5056),""gloss=figurative"",""""),IF(LEN(D5056)&lt;15,""figurative ছোট"",""""),IF(AND(I5056=""Positive"",REGEXMATCH(H5"&amp;"056,""মূর্খ|ভণ্ড|প্রতার|অলস|লোভ|স্বার্থ|অক্ষম|অযোগ্য|বোকা|কৃপণ|হিংস"")),""valence-target অমিল"",""""),IF(COUNTIF($B:$B,B5056)&gt;1,""ডুপ্লিকেট"",""""))"),"")</f>
        <v/>
      </c>
      <c r="Q5056" s="5" t="str">
        <f t="shared" si="1"/>
        <v>২ পরে</v>
      </c>
    </row>
    <row r="5057">
      <c r="A5057" s="4">
        <v>2897.0</v>
      </c>
      <c r="B5057" s="2" t="s">
        <v>20697</v>
      </c>
      <c r="C5057" s="2" t="s">
        <v>20698</v>
      </c>
      <c r="D5057" s="2" t="s">
        <v>20699</v>
      </c>
      <c r="E5057" s="2" t="s">
        <v>20700</v>
      </c>
      <c r="F5057" s="2" t="b">
        <v>1</v>
      </c>
      <c r="G5057" s="2" t="b">
        <v>0</v>
      </c>
      <c r="H5057" s="2" t="s">
        <v>37</v>
      </c>
      <c r="I5057" s="2" t="s">
        <v>22</v>
      </c>
      <c r="J5057" s="2" t="s">
        <v>640</v>
      </c>
      <c r="K5057" s="2" t="s">
        <v>495</v>
      </c>
      <c r="L5057" s="13" t="s">
        <v>496</v>
      </c>
      <c r="M5057" s="2" t="s">
        <v>26</v>
      </c>
      <c r="N5057" s="29"/>
      <c r="O5057" s="29"/>
      <c r="P5057" s="5" t="str">
        <f>IFERROR(__xludf.DUMMYFUNCTION("TEXTJOIN("" | "",TRUE,IF(OR(D5057="""",E5057="""",I5057="""",J5057="""",H5057=""""),""ফাঁকা ঘর"",""""),IF(AND(C5057&lt;&gt;"""",D5057&lt;&gt;"""",C5057=D5057),""gloss=figurative"",""""),IF(LEN(D5057)&lt;15,""figurative ছোট"",""""),IF(AND(I5057=""Positive"",REGEXMATCH(H5"&amp;"057,""মূর্খ|ভণ্ড|প্রতার|অলস|লোভ|স্বার্থ|অক্ষম|অযোগ্য|বোকা|কৃপণ|হিংস"")),""valence-target অমিল"",""""),IF(COUNTIF($B:$B,B5057)&gt;1,""ডুপ্লিকেট"",""""))"),"")</f>
        <v/>
      </c>
      <c r="Q5057" s="5" t="str">
        <f t="shared" si="1"/>
        <v>২ পরে</v>
      </c>
    </row>
    <row r="5058">
      <c r="A5058" s="4">
        <v>2898.0</v>
      </c>
      <c r="B5058" s="2" t="s">
        <v>20701</v>
      </c>
      <c r="C5058" s="2" t="s">
        <v>20701</v>
      </c>
      <c r="D5058" s="2" t="s">
        <v>20702</v>
      </c>
      <c r="E5058" s="2" t="s">
        <v>20703</v>
      </c>
      <c r="F5058" s="2" t="b">
        <v>1</v>
      </c>
      <c r="G5058" s="2" t="b">
        <v>0</v>
      </c>
      <c r="H5058" s="2" t="s">
        <v>37</v>
      </c>
      <c r="I5058" s="2" t="s">
        <v>32</v>
      </c>
      <c r="J5058" s="2" t="s">
        <v>669</v>
      </c>
      <c r="K5058" s="2" t="s">
        <v>495</v>
      </c>
      <c r="L5058" s="13" t="s">
        <v>496</v>
      </c>
      <c r="M5058" s="2" t="s">
        <v>26</v>
      </c>
      <c r="N5058" s="29"/>
      <c r="O5058" s="29"/>
      <c r="P5058" s="5" t="str">
        <f>IFERROR(__xludf.DUMMYFUNCTION("TEXTJOIN("" | "",TRUE,IF(OR(D5058="""",E5058="""",I5058="""",J5058="""",H5058=""""),""ফাঁকা ঘর"",""""),IF(AND(C5058&lt;&gt;"""",D5058&lt;&gt;"""",C5058=D5058),""gloss=figurative"",""""),IF(LEN(D5058)&lt;15,""figurative ছোট"",""""),IF(AND(I5058=""Positive"",REGEXMATCH(H5"&amp;"058,""মূর্খ|ভণ্ড|প্রতার|অলস|লোভ|স্বার্থ|অক্ষম|অযোগ্য|বোকা|কৃপণ|হিংস"")),""valence-target অমিল"",""""),IF(COUNTIF($B:$B,B5058)&gt;1,""ডুপ্লিকেট"",""""))"),"")</f>
        <v/>
      </c>
      <c r="Q5058" s="5" t="str">
        <f t="shared" si="1"/>
        <v>২ পরে</v>
      </c>
    </row>
    <row r="5059">
      <c r="A5059" s="4">
        <v>2899.0</v>
      </c>
      <c r="B5059" s="2" t="s">
        <v>20704</v>
      </c>
      <c r="C5059" s="2" t="s">
        <v>20705</v>
      </c>
      <c r="D5059" s="2" t="s">
        <v>20706</v>
      </c>
      <c r="E5059" s="2" t="s">
        <v>20707</v>
      </c>
      <c r="F5059" s="2" t="b">
        <v>1</v>
      </c>
      <c r="G5059" s="2" t="b">
        <v>0</v>
      </c>
      <c r="H5059" s="2" t="s">
        <v>37</v>
      </c>
      <c r="I5059" s="2" t="s">
        <v>22</v>
      </c>
      <c r="J5059" s="2" t="s">
        <v>855</v>
      </c>
      <c r="K5059" s="2" t="s">
        <v>495</v>
      </c>
      <c r="L5059" s="13" t="s">
        <v>496</v>
      </c>
      <c r="M5059" s="2" t="s">
        <v>26</v>
      </c>
      <c r="N5059" s="29"/>
      <c r="O5059" s="29"/>
      <c r="P5059" s="5" t="str">
        <f>IFERROR(__xludf.DUMMYFUNCTION("TEXTJOIN("" | "",TRUE,IF(OR(D5059="""",E5059="""",I5059="""",J5059="""",H5059=""""),""ফাঁকা ঘর"",""""),IF(AND(C5059&lt;&gt;"""",D5059&lt;&gt;"""",C5059=D5059),""gloss=figurative"",""""),IF(LEN(D5059)&lt;15,""figurative ছোট"",""""),IF(AND(I5059=""Positive"",REGEXMATCH(H5"&amp;"059,""মূর্খ|ভণ্ড|প্রতার|অলস|লোভ|স্বার্থ|অক্ষম|অযোগ্য|বোকা|কৃপণ|হিংস"")),""valence-target অমিল"",""""),IF(COUNTIF($B:$B,B5059)&gt;1,""ডুপ্লিকেট"",""""))"),"")</f>
        <v/>
      </c>
      <c r="Q5059" s="5" t="str">
        <f t="shared" si="1"/>
        <v>২ পরে</v>
      </c>
    </row>
    <row r="5060">
      <c r="A5060" s="4">
        <v>2900.0</v>
      </c>
      <c r="B5060" s="2" t="s">
        <v>20708</v>
      </c>
      <c r="C5060" s="2" t="s">
        <v>20709</v>
      </c>
      <c r="D5060" s="2" t="s">
        <v>20710</v>
      </c>
      <c r="E5060" s="2" t="s">
        <v>20711</v>
      </c>
      <c r="F5060" s="2" t="b">
        <v>1</v>
      </c>
      <c r="G5060" s="2" t="b">
        <v>0</v>
      </c>
      <c r="H5060" s="2" t="s">
        <v>37</v>
      </c>
      <c r="I5060" s="2" t="s">
        <v>22</v>
      </c>
      <c r="J5060" s="2" t="s">
        <v>855</v>
      </c>
      <c r="K5060" s="2" t="s">
        <v>495</v>
      </c>
      <c r="L5060" s="13" t="s">
        <v>496</v>
      </c>
      <c r="M5060" s="2" t="s">
        <v>26</v>
      </c>
      <c r="N5060" s="29"/>
      <c r="O5060" s="29"/>
      <c r="P5060" s="5" t="str">
        <f>IFERROR(__xludf.DUMMYFUNCTION("TEXTJOIN("" | "",TRUE,IF(OR(D5060="""",E5060="""",I5060="""",J5060="""",H5060=""""),""ফাঁকা ঘর"",""""),IF(AND(C5060&lt;&gt;"""",D5060&lt;&gt;"""",C5060=D5060),""gloss=figurative"",""""),IF(LEN(D5060)&lt;15,""figurative ছোট"",""""),IF(AND(I5060=""Positive"",REGEXMATCH(H5"&amp;"060,""মূর্খ|ভণ্ড|প্রতার|অলস|লোভ|স্বার্থ|অক্ষম|অযোগ্য|বোকা|কৃপণ|হিংস"")),""valence-target অমিল"",""""),IF(COUNTIF($B:$B,B5060)&gt;1,""ডুপ্লিকেট"",""""))"),"")</f>
        <v/>
      </c>
      <c r="Q5060" s="5" t="str">
        <f t="shared" si="1"/>
        <v>২ পরে</v>
      </c>
    </row>
    <row r="5061">
      <c r="A5061" s="4">
        <v>2901.0</v>
      </c>
      <c r="B5061" s="2" t="s">
        <v>20712</v>
      </c>
      <c r="C5061" s="2" t="s">
        <v>20713</v>
      </c>
      <c r="D5061" s="2" t="s">
        <v>20714</v>
      </c>
      <c r="E5061" s="2" t="s">
        <v>20715</v>
      </c>
      <c r="F5061" s="2" t="b">
        <v>1</v>
      </c>
      <c r="G5061" s="2" t="b">
        <v>0</v>
      </c>
      <c r="H5061" s="2" t="s">
        <v>37</v>
      </c>
      <c r="I5061" s="2" t="s">
        <v>32</v>
      </c>
      <c r="J5061" s="2" t="s">
        <v>502</v>
      </c>
      <c r="K5061" s="2" t="s">
        <v>495</v>
      </c>
      <c r="L5061" s="13" t="s">
        <v>496</v>
      </c>
      <c r="M5061" s="2" t="s">
        <v>26</v>
      </c>
      <c r="N5061" s="29"/>
      <c r="O5061" s="29"/>
      <c r="P5061" s="5" t="str">
        <f>IFERROR(__xludf.DUMMYFUNCTION("TEXTJOIN("" | "",TRUE,IF(OR(D5061="""",E5061="""",I5061="""",J5061="""",H5061=""""),""ফাঁকা ঘর"",""""),IF(AND(C5061&lt;&gt;"""",D5061&lt;&gt;"""",C5061=D5061),""gloss=figurative"",""""),IF(LEN(D5061)&lt;15,""figurative ছোট"",""""),IF(AND(I5061=""Positive"",REGEXMATCH(H5"&amp;"061,""মূর্খ|ভণ্ড|প্রতার|অলস|লোভ|স্বার্থ|অক্ষম|অযোগ্য|বোকা|কৃপণ|হিংস"")),""valence-target অমিল"",""""),IF(COUNTIF($B:$B,B5061)&gt;1,""ডুপ্লিকেট"",""""))"),"")</f>
        <v/>
      </c>
      <c r="Q5061" s="5" t="str">
        <f t="shared" si="1"/>
        <v>২ পরে</v>
      </c>
    </row>
    <row r="5062">
      <c r="A5062" s="4">
        <v>2902.0</v>
      </c>
      <c r="B5062" s="2" t="s">
        <v>20716</v>
      </c>
      <c r="C5062" s="2" t="s">
        <v>20717</v>
      </c>
      <c r="D5062" s="2" t="s">
        <v>20718</v>
      </c>
      <c r="E5062" s="2" t="s">
        <v>20719</v>
      </c>
      <c r="F5062" s="2" t="b">
        <v>1</v>
      </c>
      <c r="G5062" s="2" t="b">
        <v>0</v>
      </c>
      <c r="H5062" s="2" t="s">
        <v>37</v>
      </c>
      <c r="I5062" s="2" t="s">
        <v>22</v>
      </c>
      <c r="J5062" s="2" t="s">
        <v>4374</v>
      </c>
      <c r="K5062" s="2" t="s">
        <v>495</v>
      </c>
      <c r="L5062" s="13" t="s">
        <v>496</v>
      </c>
      <c r="M5062" s="2" t="s">
        <v>26</v>
      </c>
      <c r="N5062" s="29"/>
      <c r="O5062" s="29"/>
      <c r="P5062" s="5" t="str">
        <f>IFERROR(__xludf.DUMMYFUNCTION("TEXTJOIN("" | "",TRUE,IF(OR(D5062="""",E5062="""",I5062="""",J5062="""",H5062=""""),""ফাঁকা ঘর"",""""),IF(AND(C5062&lt;&gt;"""",D5062&lt;&gt;"""",C5062=D5062),""gloss=figurative"",""""),IF(LEN(D5062)&lt;15,""figurative ছোট"",""""),IF(AND(I5062=""Positive"",REGEXMATCH(H5"&amp;"062,""মূর্খ|ভণ্ড|প্রতার|অলস|লোভ|স্বার্থ|অক্ষম|অযোগ্য|বোকা|কৃপণ|হিংস"")),""valence-target অমিল"",""""),IF(COUNTIF($B:$B,B5062)&gt;1,""ডুপ্লিকেট"",""""))"),"")</f>
        <v/>
      </c>
      <c r="Q5062" s="5" t="str">
        <f t="shared" si="1"/>
        <v>২ পরে</v>
      </c>
    </row>
    <row r="5063">
      <c r="A5063" s="4">
        <v>2903.0</v>
      </c>
      <c r="B5063" s="2" t="s">
        <v>20720</v>
      </c>
      <c r="C5063" s="2" t="s">
        <v>20720</v>
      </c>
      <c r="D5063" s="2" t="s">
        <v>20721</v>
      </c>
      <c r="E5063" s="2" t="s">
        <v>20722</v>
      </c>
      <c r="F5063" s="2" t="b">
        <v>1</v>
      </c>
      <c r="G5063" s="2" t="b">
        <v>0</v>
      </c>
      <c r="H5063" s="2" t="s">
        <v>37</v>
      </c>
      <c r="I5063" s="2" t="s">
        <v>32</v>
      </c>
      <c r="J5063" s="2" t="s">
        <v>9509</v>
      </c>
      <c r="K5063" s="2" t="s">
        <v>495</v>
      </c>
      <c r="L5063" s="13" t="s">
        <v>496</v>
      </c>
      <c r="M5063" s="2" t="s">
        <v>26</v>
      </c>
      <c r="N5063" s="29"/>
      <c r="O5063" s="29"/>
      <c r="P5063" s="5" t="str">
        <f>IFERROR(__xludf.DUMMYFUNCTION("TEXTJOIN("" | "",TRUE,IF(OR(D5063="""",E5063="""",I5063="""",J5063="""",H5063=""""),""ফাঁকা ঘর"",""""),IF(AND(C5063&lt;&gt;"""",D5063&lt;&gt;"""",C5063=D5063),""gloss=figurative"",""""),IF(LEN(D5063)&lt;15,""figurative ছোট"",""""),IF(AND(I5063=""Positive"",REGEXMATCH(H5"&amp;"063,""মূর্খ|ভণ্ড|প্রতার|অলস|লোভ|স্বার্থ|অক্ষম|অযোগ্য|বোকা|কৃপণ|হিংস"")),""valence-target অমিল"",""""),IF(COUNTIF($B:$B,B5063)&gt;1,""ডুপ্লিকেট"",""""))"),"")</f>
        <v/>
      </c>
      <c r="Q5063" s="5" t="str">
        <f t="shared" si="1"/>
        <v>২ পরে</v>
      </c>
    </row>
    <row r="5064">
      <c r="A5064" s="4">
        <v>2904.0</v>
      </c>
      <c r="B5064" s="2" t="s">
        <v>20723</v>
      </c>
      <c r="C5064" s="2" t="s">
        <v>20724</v>
      </c>
      <c r="D5064" s="2" t="s">
        <v>20725</v>
      </c>
      <c r="E5064" s="2" t="s">
        <v>20726</v>
      </c>
      <c r="F5064" s="2" t="b">
        <v>1</v>
      </c>
      <c r="G5064" s="2" t="b">
        <v>0</v>
      </c>
      <c r="H5064" s="2" t="s">
        <v>37</v>
      </c>
      <c r="I5064" s="2" t="s">
        <v>22</v>
      </c>
      <c r="J5064" s="2" t="s">
        <v>20727</v>
      </c>
      <c r="K5064" s="2" t="s">
        <v>495</v>
      </c>
      <c r="L5064" s="13" t="s">
        <v>496</v>
      </c>
      <c r="M5064" s="2" t="s">
        <v>26</v>
      </c>
      <c r="N5064" s="29"/>
      <c r="O5064" s="29"/>
      <c r="P5064" s="5" t="str">
        <f>IFERROR(__xludf.DUMMYFUNCTION("TEXTJOIN("" | "",TRUE,IF(OR(D5064="""",E5064="""",I5064="""",J5064="""",H5064=""""),""ফাঁকা ঘর"",""""),IF(AND(C5064&lt;&gt;"""",D5064&lt;&gt;"""",C5064=D5064),""gloss=figurative"",""""),IF(LEN(D5064)&lt;15,""figurative ছোট"",""""),IF(AND(I5064=""Positive"",REGEXMATCH(H5"&amp;"064,""মূর্খ|ভণ্ড|প্রতার|অলস|লোভ|স্বার্থ|অক্ষম|অযোগ্য|বোকা|কৃপণ|হিংস"")),""valence-target অমিল"",""""),IF(COUNTIF($B:$B,B5064)&gt;1,""ডুপ্লিকেট"",""""))"),"")</f>
        <v/>
      </c>
      <c r="Q5064" s="5" t="str">
        <f t="shared" si="1"/>
        <v>২ পরে</v>
      </c>
    </row>
    <row r="5065">
      <c r="A5065" s="4">
        <v>2905.0</v>
      </c>
      <c r="B5065" s="2" t="s">
        <v>20728</v>
      </c>
      <c r="C5065" s="2" t="s">
        <v>20729</v>
      </c>
      <c r="D5065" s="2" t="s">
        <v>20730</v>
      </c>
      <c r="E5065" s="2" t="s">
        <v>20731</v>
      </c>
      <c r="F5065" s="2" t="b">
        <v>1</v>
      </c>
      <c r="G5065" s="2" t="b">
        <v>0</v>
      </c>
      <c r="H5065" s="2" t="s">
        <v>37</v>
      </c>
      <c r="I5065" s="2" t="s">
        <v>22</v>
      </c>
      <c r="J5065" s="2" t="s">
        <v>20727</v>
      </c>
      <c r="K5065" s="2" t="s">
        <v>495</v>
      </c>
      <c r="L5065" s="13" t="s">
        <v>496</v>
      </c>
      <c r="M5065" s="2" t="s">
        <v>26</v>
      </c>
      <c r="N5065" s="29"/>
      <c r="O5065" s="29"/>
      <c r="P5065" s="5" t="str">
        <f>IFERROR(__xludf.DUMMYFUNCTION("TEXTJOIN("" | "",TRUE,IF(OR(D5065="""",E5065="""",I5065="""",J5065="""",H5065=""""),""ফাঁকা ঘর"",""""),IF(AND(C5065&lt;&gt;"""",D5065&lt;&gt;"""",C5065=D5065),""gloss=figurative"",""""),IF(LEN(D5065)&lt;15,""figurative ছোট"",""""),IF(AND(I5065=""Positive"",REGEXMATCH(H5"&amp;"065,""মূর্খ|ভণ্ড|প্রতার|অলস|লোভ|স্বার্থ|অক্ষম|অযোগ্য|বোকা|কৃপণ|হিংস"")),""valence-target অমিল"",""""),IF(COUNTIF($B:$B,B5065)&gt;1,""ডুপ্লিকেট"",""""))"),"")</f>
        <v/>
      </c>
      <c r="Q5065" s="5" t="str">
        <f t="shared" si="1"/>
        <v>২ পরে</v>
      </c>
    </row>
    <row r="5066">
      <c r="A5066" s="4">
        <v>2906.0</v>
      </c>
      <c r="B5066" s="2" t="s">
        <v>20732</v>
      </c>
      <c r="C5066" s="2" t="s">
        <v>20733</v>
      </c>
      <c r="D5066" s="2" t="s">
        <v>20734</v>
      </c>
      <c r="E5066" s="2" t="s">
        <v>20735</v>
      </c>
      <c r="F5066" s="2" t="b">
        <v>1</v>
      </c>
      <c r="G5066" s="2" t="b">
        <v>0</v>
      </c>
      <c r="H5066" s="2" t="s">
        <v>37</v>
      </c>
      <c r="I5066" s="2" t="s">
        <v>22</v>
      </c>
      <c r="J5066" s="2" t="s">
        <v>20727</v>
      </c>
      <c r="K5066" s="2" t="s">
        <v>495</v>
      </c>
      <c r="L5066" s="13" t="s">
        <v>496</v>
      </c>
      <c r="M5066" s="2" t="s">
        <v>26</v>
      </c>
      <c r="N5066" s="29"/>
      <c r="O5066" s="29"/>
      <c r="P5066" s="5" t="str">
        <f>IFERROR(__xludf.DUMMYFUNCTION("TEXTJOIN("" | "",TRUE,IF(OR(D5066="""",E5066="""",I5066="""",J5066="""",H5066=""""),""ফাঁকা ঘর"",""""),IF(AND(C5066&lt;&gt;"""",D5066&lt;&gt;"""",C5066=D5066),""gloss=figurative"",""""),IF(LEN(D5066)&lt;15,""figurative ছোট"",""""),IF(AND(I5066=""Positive"",REGEXMATCH(H5"&amp;"066,""মূর্খ|ভণ্ড|প্রতার|অলস|লোভ|স্বার্থ|অক্ষম|অযোগ্য|বোকা|কৃপণ|হিংস"")),""valence-target অমিল"",""""),IF(COUNTIF($B:$B,B5066)&gt;1,""ডুপ্লিকেট"",""""))"),"")</f>
        <v/>
      </c>
      <c r="Q5066" s="5" t="str">
        <f t="shared" si="1"/>
        <v>২ পরে</v>
      </c>
    </row>
    <row r="5067">
      <c r="A5067" s="4">
        <v>2907.0</v>
      </c>
      <c r="B5067" s="2" t="s">
        <v>20736</v>
      </c>
      <c r="C5067" s="2" t="s">
        <v>20737</v>
      </c>
      <c r="D5067" s="2" t="s">
        <v>20738</v>
      </c>
      <c r="E5067" s="2" t="s">
        <v>20739</v>
      </c>
      <c r="F5067" s="2" t="b">
        <v>1</v>
      </c>
      <c r="G5067" s="2" t="b">
        <v>0</v>
      </c>
      <c r="H5067" s="2" t="s">
        <v>37</v>
      </c>
      <c r="I5067" s="2" t="s">
        <v>22</v>
      </c>
      <c r="J5067" s="2" t="s">
        <v>20727</v>
      </c>
      <c r="K5067" s="2" t="s">
        <v>495</v>
      </c>
      <c r="L5067" s="13" t="s">
        <v>496</v>
      </c>
      <c r="M5067" s="2" t="s">
        <v>26</v>
      </c>
      <c r="N5067" s="29"/>
      <c r="O5067" s="29"/>
      <c r="P5067" s="5" t="str">
        <f>IFERROR(__xludf.DUMMYFUNCTION("TEXTJOIN("" | "",TRUE,IF(OR(D5067="""",E5067="""",I5067="""",J5067="""",H5067=""""),""ফাঁকা ঘর"",""""),IF(AND(C5067&lt;&gt;"""",D5067&lt;&gt;"""",C5067=D5067),""gloss=figurative"",""""),IF(LEN(D5067)&lt;15,""figurative ছোট"",""""),IF(AND(I5067=""Positive"",REGEXMATCH(H5"&amp;"067,""মূর্খ|ভণ্ড|প্রতার|অলস|লোভ|স্বার্থ|অক্ষম|অযোগ্য|বোকা|কৃপণ|হিংস"")),""valence-target অমিল"",""""),IF(COUNTIF($B:$B,B5067)&gt;1,""ডুপ্লিকেট"",""""))"),"")</f>
        <v/>
      </c>
      <c r="Q5067" s="5" t="str">
        <f t="shared" si="1"/>
        <v>২ পরে</v>
      </c>
    </row>
    <row r="5068">
      <c r="A5068" s="4">
        <v>2908.0</v>
      </c>
      <c r="B5068" s="2" t="s">
        <v>20740</v>
      </c>
      <c r="C5068" s="2" t="s">
        <v>20740</v>
      </c>
      <c r="D5068" s="2" t="s">
        <v>20741</v>
      </c>
      <c r="E5068" s="2" t="s">
        <v>20742</v>
      </c>
      <c r="F5068" s="2" t="b">
        <v>1</v>
      </c>
      <c r="G5068" s="2" t="b">
        <v>0</v>
      </c>
      <c r="H5068" s="2" t="s">
        <v>37</v>
      </c>
      <c r="I5068" s="2" t="s">
        <v>32</v>
      </c>
      <c r="J5068" s="2" t="s">
        <v>16675</v>
      </c>
      <c r="K5068" s="2" t="s">
        <v>495</v>
      </c>
      <c r="L5068" s="13" t="s">
        <v>496</v>
      </c>
      <c r="M5068" s="2" t="s">
        <v>26</v>
      </c>
      <c r="N5068" s="29"/>
      <c r="O5068" s="29"/>
      <c r="P5068" s="5" t="str">
        <f>IFERROR(__xludf.DUMMYFUNCTION("TEXTJOIN("" | "",TRUE,IF(OR(D5068="""",E5068="""",I5068="""",J5068="""",H5068=""""),""ফাঁকা ঘর"",""""),IF(AND(C5068&lt;&gt;"""",D5068&lt;&gt;"""",C5068=D5068),""gloss=figurative"",""""),IF(LEN(D5068)&lt;15,""figurative ছোট"",""""),IF(AND(I5068=""Positive"",REGEXMATCH(H5"&amp;"068,""মূর্খ|ভণ্ড|প্রতার|অলস|লোভ|স্বার্থ|অক্ষম|অযোগ্য|বোকা|কৃপণ|হিংস"")),""valence-target অমিল"",""""),IF(COUNTIF($B:$B,B5068)&gt;1,""ডুপ্লিকেট"",""""))"),"")</f>
        <v/>
      </c>
      <c r="Q5068" s="5" t="str">
        <f t="shared" si="1"/>
        <v>২ পরে</v>
      </c>
    </row>
    <row r="5069">
      <c r="A5069" s="4">
        <v>2909.0</v>
      </c>
      <c r="B5069" s="2" t="s">
        <v>20743</v>
      </c>
      <c r="C5069" s="2" t="s">
        <v>20744</v>
      </c>
      <c r="D5069" s="2" t="s">
        <v>20745</v>
      </c>
      <c r="E5069" s="2" t="s">
        <v>20746</v>
      </c>
      <c r="F5069" s="2" t="b">
        <v>1</v>
      </c>
      <c r="G5069" s="2" t="b">
        <v>0</v>
      </c>
      <c r="H5069" s="2" t="s">
        <v>37</v>
      </c>
      <c r="I5069" s="2" t="s">
        <v>22</v>
      </c>
      <c r="J5069" s="2" t="s">
        <v>1630</v>
      </c>
      <c r="K5069" s="2" t="s">
        <v>495</v>
      </c>
      <c r="L5069" s="13" t="s">
        <v>496</v>
      </c>
      <c r="M5069" s="2" t="s">
        <v>26</v>
      </c>
      <c r="N5069" s="29"/>
      <c r="O5069" s="29"/>
      <c r="P5069" s="5" t="str">
        <f>IFERROR(__xludf.DUMMYFUNCTION("TEXTJOIN("" | "",TRUE,IF(OR(D5069="""",E5069="""",I5069="""",J5069="""",H5069=""""),""ফাঁকা ঘর"",""""),IF(AND(C5069&lt;&gt;"""",D5069&lt;&gt;"""",C5069=D5069),""gloss=figurative"",""""),IF(LEN(D5069)&lt;15,""figurative ছোট"",""""),IF(AND(I5069=""Positive"",REGEXMATCH(H5"&amp;"069,""মূর্খ|ভণ্ড|প্রতার|অলস|লোভ|স্বার্থ|অক্ষম|অযোগ্য|বোকা|কৃপণ|হিংস"")),""valence-target অমিল"",""""),IF(COUNTIF($B:$B,B5069)&gt;1,""ডুপ্লিকেট"",""""))"),"")</f>
        <v/>
      </c>
      <c r="Q5069" s="5" t="str">
        <f t="shared" si="1"/>
        <v>২ পরে</v>
      </c>
    </row>
    <row r="5070">
      <c r="A5070" s="4">
        <v>2910.0</v>
      </c>
      <c r="B5070" s="2" t="s">
        <v>20747</v>
      </c>
      <c r="C5070" s="2" t="s">
        <v>20748</v>
      </c>
      <c r="D5070" s="2" t="s">
        <v>20749</v>
      </c>
      <c r="E5070" s="2" t="s">
        <v>20750</v>
      </c>
      <c r="F5070" s="2" t="b">
        <v>1</v>
      </c>
      <c r="G5070" s="2" t="b">
        <v>0</v>
      </c>
      <c r="H5070" s="2" t="s">
        <v>37</v>
      </c>
      <c r="I5070" s="2" t="s">
        <v>49</v>
      </c>
      <c r="J5070" s="2" t="s">
        <v>739</v>
      </c>
      <c r="K5070" s="2" t="s">
        <v>495</v>
      </c>
      <c r="L5070" s="13" t="s">
        <v>496</v>
      </c>
      <c r="M5070" s="2" t="s">
        <v>26</v>
      </c>
      <c r="N5070" s="29"/>
      <c r="O5070" s="29"/>
      <c r="P5070" s="5" t="str">
        <f>IFERROR(__xludf.DUMMYFUNCTION("TEXTJOIN("" | "",TRUE,IF(OR(D5070="""",E5070="""",I5070="""",J5070="""",H5070=""""),""ফাঁকা ঘর"",""""),IF(AND(C5070&lt;&gt;"""",D5070&lt;&gt;"""",C5070=D5070),""gloss=figurative"",""""),IF(LEN(D5070)&lt;15,""figurative ছোট"",""""),IF(AND(I5070=""Positive"",REGEXMATCH(H5"&amp;"070,""মূর্খ|ভণ্ড|প্রতার|অলস|লোভ|স্বার্থ|অক্ষম|অযোগ্য|বোকা|কৃপণ|হিংস"")),""valence-target অমিল"",""""),IF(COUNTIF($B:$B,B5070)&gt;1,""ডুপ্লিকেট"",""""))"),"")</f>
        <v/>
      </c>
      <c r="Q5070" s="5" t="str">
        <f t="shared" si="1"/>
        <v>২ পরে</v>
      </c>
    </row>
    <row r="5071">
      <c r="A5071" s="4">
        <v>2911.0</v>
      </c>
      <c r="B5071" s="2" t="s">
        <v>20751</v>
      </c>
      <c r="C5071" s="2" t="s">
        <v>20751</v>
      </c>
      <c r="D5071" s="2" t="s">
        <v>20752</v>
      </c>
      <c r="E5071" s="2" t="s">
        <v>20753</v>
      </c>
      <c r="F5071" s="2" t="b">
        <v>1</v>
      </c>
      <c r="G5071" s="2" t="b">
        <v>0</v>
      </c>
      <c r="H5071" s="2" t="s">
        <v>37</v>
      </c>
      <c r="I5071" s="2" t="s">
        <v>32</v>
      </c>
      <c r="J5071" s="2" t="s">
        <v>669</v>
      </c>
      <c r="K5071" s="2" t="s">
        <v>495</v>
      </c>
      <c r="L5071" s="13" t="s">
        <v>496</v>
      </c>
      <c r="M5071" s="2" t="s">
        <v>26</v>
      </c>
      <c r="N5071" s="29"/>
      <c r="O5071" s="29"/>
      <c r="P5071" s="5" t="str">
        <f>IFERROR(__xludf.DUMMYFUNCTION("TEXTJOIN("" | "",TRUE,IF(OR(D5071="""",E5071="""",I5071="""",J5071="""",H5071=""""),""ফাঁকা ঘর"",""""),IF(AND(C5071&lt;&gt;"""",D5071&lt;&gt;"""",C5071=D5071),""gloss=figurative"",""""),IF(LEN(D5071)&lt;15,""figurative ছোট"",""""),IF(AND(I5071=""Positive"",REGEXMATCH(H5"&amp;"071,""মূর্খ|ভণ্ড|প্রতার|অলস|লোভ|স্বার্থ|অক্ষম|অযোগ্য|বোকা|কৃপণ|হিংস"")),""valence-target অমিল"",""""),IF(COUNTIF($B:$B,B5071)&gt;1,""ডুপ্লিকেট"",""""))"),"")</f>
        <v/>
      </c>
      <c r="Q5071" s="5" t="str">
        <f t="shared" si="1"/>
        <v>২ পরে</v>
      </c>
    </row>
    <row r="5072">
      <c r="A5072" s="4">
        <v>2912.0</v>
      </c>
      <c r="B5072" s="2" t="s">
        <v>20754</v>
      </c>
      <c r="C5072" s="2" t="s">
        <v>20754</v>
      </c>
      <c r="D5072" s="2" t="s">
        <v>20755</v>
      </c>
      <c r="E5072" s="2" t="s">
        <v>20756</v>
      </c>
      <c r="F5072" s="2" t="b">
        <v>1</v>
      </c>
      <c r="G5072" s="2" t="b">
        <v>0</v>
      </c>
      <c r="H5072" s="2" t="s">
        <v>37</v>
      </c>
      <c r="I5072" s="2" t="s">
        <v>32</v>
      </c>
      <c r="J5072" s="2" t="s">
        <v>10509</v>
      </c>
      <c r="K5072" s="2" t="s">
        <v>495</v>
      </c>
      <c r="L5072" s="13" t="s">
        <v>496</v>
      </c>
      <c r="M5072" s="2" t="s">
        <v>26</v>
      </c>
      <c r="N5072" s="29"/>
      <c r="O5072" s="29"/>
      <c r="P5072" s="5" t="str">
        <f>IFERROR(__xludf.DUMMYFUNCTION("TEXTJOIN("" | "",TRUE,IF(OR(D5072="""",E5072="""",I5072="""",J5072="""",H5072=""""),""ফাঁকা ঘর"",""""),IF(AND(C5072&lt;&gt;"""",D5072&lt;&gt;"""",C5072=D5072),""gloss=figurative"",""""),IF(LEN(D5072)&lt;15,""figurative ছোট"",""""),IF(AND(I5072=""Positive"",REGEXMATCH(H5"&amp;"072,""মূর্খ|ভণ্ড|প্রতার|অলস|লোভ|স্বার্থ|অক্ষম|অযোগ্য|বোকা|কৃপণ|হিংস"")),""valence-target অমিল"",""""),IF(COUNTIF($B:$B,B5072)&gt;1,""ডুপ্লিকেট"",""""))"),"")</f>
        <v/>
      </c>
      <c r="Q5072" s="5" t="str">
        <f t="shared" si="1"/>
        <v>২ পরে</v>
      </c>
    </row>
    <row r="5073">
      <c r="A5073" s="4">
        <v>2913.0</v>
      </c>
      <c r="B5073" s="2" t="s">
        <v>20757</v>
      </c>
      <c r="C5073" s="2" t="s">
        <v>20758</v>
      </c>
      <c r="D5073" s="2" t="s">
        <v>20759</v>
      </c>
      <c r="E5073" s="2" t="s">
        <v>20760</v>
      </c>
      <c r="F5073" s="2" t="b">
        <v>1</v>
      </c>
      <c r="G5073" s="2" t="b">
        <v>0</v>
      </c>
      <c r="H5073" s="2" t="s">
        <v>37</v>
      </c>
      <c r="I5073" s="2" t="s">
        <v>22</v>
      </c>
      <c r="J5073" s="2" t="s">
        <v>626</v>
      </c>
      <c r="K5073" s="2" t="s">
        <v>495</v>
      </c>
      <c r="L5073" s="13" t="s">
        <v>496</v>
      </c>
      <c r="M5073" s="2" t="s">
        <v>26</v>
      </c>
      <c r="N5073" s="29"/>
      <c r="O5073" s="29"/>
      <c r="P5073" s="5" t="str">
        <f>IFERROR(__xludf.DUMMYFUNCTION("TEXTJOIN("" | "",TRUE,IF(OR(D5073="""",E5073="""",I5073="""",J5073="""",H5073=""""),""ফাঁকা ঘর"",""""),IF(AND(C5073&lt;&gt;"""",D5073&lt;&gt;"""",C5073=D5073),""gloss=figurative"",""""),IF(LEN(D5073)&lt;15,""figurative ছোট"",""""),IF(AND(I5073=""Positive"",REGEXMATCH(H5"&amp;"073,""মূর্খ|ভণ্ড|প্রতার|অলস|লোভ|স্বার্থ|অক্ষম|অযোগ্য|বোকা|কৃপণ|হিংস"")),""valence-target অমিল"",""""),IF(COUNTIF($B:$B,B5073)&gt;1,""ডুপ্লিকেট"",""""))"),"")</f>
        <v/>
      </c>
      <c r="Q5073" s="5" t="str">
        <f t="shared" si="1"/>
        <v>২ পরে</v>
      </c>
    </row>
    <row r="5074">
      <c r="A5074" s="4">
        <v>2914.0</v>
      </c>
      <c r="B5074" s="2" t="s">
        <v>20761</v>
      </c>
      <c r="C5074" s="2" t="s">
        <v>20761</v>
      </c>
      <c r="D5074" s="2" t="s">
        <v>20762</v>
      </c>
      <c r="E5074" s="2" t="s">
        <v>20763</v>
      </c>
      <c r="F5074" s="2" t="b">
        <v>1</v>
      </c>
      <c r="G5074" s="2" t="b">
        <v>0</v>
      </c>
      <c r="H5074" s="2" t="s">
        <v>37</v>
      </c>
      <c r="I5074" s="2" t="s">
        <v>22</v>
      </c>
      <c r="J5074" s="2" t="s">
        <v>836</v>
      </c>
      <c r="K5074" s="2" t="s">
        <v>495</v>
      </c>
      <c r="L5074" s="13" t="s">
        <v>496</v>
      </c>
      <c r="M5074" s="2" t="s">
        <v>26</v>
      </c>
      <c r="N5074" s="29"/>
      <c r="O5074" s="29"/>
      <c r="P5074" s="5" t="str">
        <f>IFERROR(__xludf.DUMMYFUNCTION("TEXTJOIN("" | "",TRUE,IF(OR(D5074="""",E5074="""",I5074="""",J5074="""",H5074=""""),""ফাঁকা ঘর"",""""),IF(AND(C5074&lt;&gt;"""",D5074&lt;&gt;"""",C5074=D5074),""gloss=figurative"",""""),IF(LEN(D5074)&lt;15,""figurative ছোট"",""""),IF(AND(I5074=""Positive"",REGEXMATCH(H5"&amp;"074,""মূর্খ|ভণ্ড|প্রতার|অলস|লোভ|স্বার্থ|অক্ষম|অযোগ্য|বোকা|কৃপণ|হিংস"")),""valence-target অমিল"",""""),IF(COUNTIF($B:$B,B5074)&gt;1,""ডুপ্লিকেট"",""""))"),"")</f>
        <v/>
      </c>
      <c r="Q5074" s="5" t="str">
        <f t="shared" si="1"/>
        <v>২ পরে</v>
      </c>
    </row>
    <row r="5075">
      <c r="A5075" s="4">
        <v>2915.0</v>
      </c>
      <c r="B5075" s="2" t="s">
        <v>20764</v>
      </c>
      <c r="C5075" s="2" t="s">
        <v>20765</v>
      </c>
      <c r="D5075" s="2" t="s">
        <v>20766</v>
      </c>
      <c r="E5075" s="2" t="s">
        <v>20767</v>
      </c>
      <c r="F5075" s="2" t="b">
        <v>1</v>
      </c>
      <c r="G5075" s="2" t="b">
        <v>0</v>
      </c>
      <c r="H5075" s="2" t="s">
        <v>37</v>
      </c>
      <c r="I5075" s="2" t="s">
        <v>22</v>
      </c>
      <c r="J5075" s="2" t="s">
        <v>836</v>
      </c>
      <c r="K5075" s="2" t="s">
        <v>495</v>
      </c>
      <c r="L5075" s="13" t="s">
        <v>496</v>
      </c>
      <c r="M5075" s="2" t="s">
        <v>26</v>
      </c>
      <c r="N5075" s="29"/>
      <c r="O5075" s="29"/>
      <c r="P5075" s="5" t="str">
        <f>IFERROR(__xludf.DUMMYFUNCTION("TEXTJOIN("" | "",TRUE,IF(OR(D5075="""",E5075="""",I5075="""",J5075="""",H5075=""""),""ফাঁকা ঘর"",""""),IF(AND(C5075&lt;&gt;"""",D5075&lt;&gt;"""",C5075=D5075),""gloss=figurative"",""""),IF(LEN(D5075)&lt;15,""figurative ছোট"",""""),IF(AND(I5075=""Positive"",REGEXMATCH(H5"&amp;"075,""মূর্খ|ভণ্ড|প্রতার|অলস|লোভ|স্বার্থ|অক্ষম|অযোগ্য|বোকা|কৃপণ|হিংস"")),""valence-target অমিল"",""""),IF(COUNTIF($B:$B,B5075)&gt;1,""ডুপ্লিকেট"",""""))"),"")</f>
        <v/>
      </c>
      <c r="Q5075" s="5" t="str">
        <f t="shared" si="1"/>
        <v>২ পরে</v>
      </c>
    </row>
    <row r="5076">
      <c r="A5076" s="4">
        <v>2916.0</v>
      </c>
      <c r="B5076" s="2" t="s">
        <v>20768</v>
      </c>
      <c r="C5076" s="2" t="s">
        <v>20769</v>
      </c>
      <c r="D5076" s="2" t="s">
        <v>20770</v>
      </c>
      <c r="E5076" s="2" t="s">
        <v>20771</v>
      </c>
      <c r="F5076" s="2" t="b">
        <v>1</v>
      </c>
      <c r="G5076" s="2" t="b">
        <v>0</v>
      </c>
      <c r="H5076" s="2" t="s">
        <v>37</v>
      </c>
      <c r="I5076" s="2" t="s">
        <v>32</v>
      </c>
      <c r="J5076" s="2" t="s">
        <v>669</v>
      </c>
      <c r="K5076" s="2" t="s">
        <v>495</v>
      </c>
      <c r="L5076" s="13" t="s">
        <v>496</v>
      </c>
      <c r="M5076" s="2" t="s">
        <v>26</v>
      </c>
      <c r="N5076" s="29"/>
      <c r="O5076" s="29"/>
      <c r="P5076" s="5" t="str">
        <f>IFERROR(__xludf.DUMMYFUNCTION("TEXTJOIN("" | "",TRUE,IF(OR(D5076="""",E5076="""",I5076="""",J5076="""",H5076=""""),""ফাঁকা ঘর"",""""),IF(AND(C5076&lt;&gt;"""",D5076&lt;&gt;"""",C5076=D5076),""gloss=figurative"",""""),IF(LEN(D5076)&lt;15,""figurative ছোট"",""""),IF(AND(I5076=""Positive"",REGEXMATCH(H5"&amp;"076,""মূর্খ|ভণ্ড|প্রতার|অলস|লোভ|স্বার্থ|অক্ষম|অযোগ্য|বোকা|কৃপণ|হিংস"")),""valence-target অমিল"",""""),IF(COUNTIF($B:$B,B5076)&gt;1,""ডুপ্লিকেট"",""""))"),"")</f>
        <v/>
      </c>
      <c r="Q5076" s="5" t="str">
        <f t="shared" si="1"/>
        <v>২ পরে</v>
      </c>
    </row>
    <row r="5077">
      <c r="A5077" s="4">
        <v>2917.0</v>
      </c>
      <c r="B5077" s="2" t="s">
        <v>20772</v>
      </c>
      <c r="C5077" s="2" t="s">
        <v>20773</v>
      </c>
      <c r="D5077" s="2" t="s">
        <v>20612</v>
      </c>
      <c r="E5077" s="2" t="s">
        <v>20774</v>
      </c>
      <c r="F5077" s="2" t="b">
        <v>1</v>
      </c>
      <c r="G5077" s="2" t="b">
        <v>0</v>
      </c>
      <c r="H5077" s="2" t="s">
        <v>37</v>
      </c>
      <c r="I5077" s="2" t="s">
        <v>32</v>
      </c>
      <c r="J5077" s="2" t="s">
        <v>2075</v>
      </c>
      <c r="K5077" s="2" t="s">
        <v>495</v>
      </c>
      <c r="L5077" s="13" t="s">
        <v>496</v>
      </c>
      <c r="M5077" s="2" t="s">
        <v>26</v>
      </c>
      <c r="N5077" s="29"/>
      <c r="O5077" s="29"/>
      <c r="P5077" s="5" t="str">
        <f>IFERROR(__xludf.DUMMYFUNCTION("TEXTJOIN("" | "",TRUE,IF(OR(D5077="""",E5077="""",I5077="""",J5077="""",H5077=""""),""ফাঁকা ঘর"",""""),IF(AND(C5077&lt;&gt;"""",D5077&lt;&gt;"""",C5077=D5077),""gloss=figurative"",""""),IF(LEN(D5077)&lt;15,""figurative ছোট"",""""),IF(AND(I5077=""Positive"",REGEXMATCH(H5"&amp;"077,""মূর্খ|ভণ্ড|প্রতার|অলস|লোভ|স্বার্থ|অক্ষম|অযোগ্য|বোকা|কৃপণ|হিংস"")),""valence-target অমিল"",""""),IF(COUNTIF($B:$B,B5077)&gt;1,""ডুপ্লিকেট"",""""))"),"")</f>
        <v/>
      </c>
      <c r="Q5077" s="5" t="str">
        <f t="shared" si="1"/>
        <v>২ পরে</v>
      </c>
    </row>
    <row r="5078">
      <c r="A5078" s="4">
        <v>2918.0</v>
      </c>
      <c r="B5078" s="2" t="s">
        <v>20775</v>
      </c>
      <c r="C5078" s="2" t="s">
        <v>20776</v>
      </c>
      <c r="D5078" s="2" t="s">
        <v>20777</v>
      </c>
      <c r="E5078" s="2" t="s">
        <v>20778</v>
      </c>
      <c r="F5078" s="2" t="b">
        <v>1</v>
      </c>
      <c r="G5078" s="2" t="b">
        <v>1</v>
      </c>
      <c r="H5078" s="2" t="s">
        <v>20779</v>
      </c>
      <c r="I5078" s="2" t="s">
        <v>22</v>
      </c>
      <c r="J5078" s="2" t="s">
        <v>20780</v>
      </c>
      <c r="K5078" s="2" t="s">
        <v>495</v>
      </c>
      <c r="L5078" s="13" t="s">
        <v>496</v>
      </c>
      <c r="M5078" s="2" t="s">
        <v>26</v>
      </c>
      <c r="N5078" s="29"/>
      <c r="O5078" s="29"/>
      <c r="P5078" s="5" t="str">
        <f>IFERROR(__xludf.DUMMYFUNCTION("TEXTJOIN("" | "",TRUE,IF(OR(D5078="""",E5078="""",I5078="""",J5078="""",H5078=""""),""ফাঁকা ঘর"",""""),IF(AND(C5078&lt;&gt;"""",D5078&lt;&gt;"""",C5078=D5078),""gloss=figurative"",""""),IF(LEN(D5078)&lt;15,""figurative ছোট"",""""),IF(AND(I5078=""Positive"",REGEXMATCH(H5"&amp;"078,""মূর্খ|ভণ্ড|প্রতার|অলস|লোভ|স্বার্থ|অক্ষম|অযোগ্য|বোকা|কৃপণ|হিংস"")),""valence-target অমিল"",""""),IF(COUNTIF($B:$B,B5078)&gt;1,""ডুপ্লিকেট"",""""))"),"")</f>
        <v/>
      </c>
      <c r="Q5078" s="5" t="str">
        <f t="shared" si="1"/>
        <v>২ পরে</v>
      </c>
    </row>
    <row r="5079">
      <c r="A5079" s="4">
        <v>2919.0</v>
      </c>
      <c r="B5079" s="2" t="s">
        <v>20781</v>
      </c>
      <c r="C5079" s="2" t="s">
        <v>20782</v>
      </c>
      <c r="D5079" s="2" t="s">
        <v>20783</v>
      </c>
      <c r="E5079" s="2" t="s">
        <v>20784</v>
      </c>
      <c r="F5079" s="2" t="b">
        <v>1</v>
      </c>
      <c r="G5079" s="2" t="b">
        <v>0</v>
      </c>
      <c r="H5079" s="2" t="s">
        <v>37</v>
      </c>
      <c r="I5079" s="2" t="s">
        <v>22</v>
      </c>
      <c r="J5079" s="2" t="s">
        <v>20785</v>
      </c>
      <c r="K5079" s="2" t="s">
        <v>495</v>
      </c>
      <c r="L5079" s="13" t="s">
        <v>496</v>
      </c>
      <c r="M5079" s="2" t="s">
        <v>26</v>
      </c>
      <c r="N5079" s="29"/>
      <c r="O5079" s="29"/>
      <c r="P5079" s="5" t="str">
        <f>IFERROR(__xludf.DUMMYFUNCTION("TEXTJOIN("" | "",TRUE,IF(OR(D5079="""",E5079="""",I5079="""",J5079="""",H5079=""""),""ফাঁকা ঘর"",""""),IF(AND(C5079&lt;&gt;"""",D5079&lt;&gt;"""",C5079=D5079),""gloss=figurative"",""""),IF(LEN(D5079)&lt;15,""figurative ছোট"",""""),IF(AND(I5079=""Positive"",REGEXMATCH(H5"&amp;"079,""মূর্খ|ভণ্ড|প্রতার|অলস|লোভ|স্বার্থ|অক্ষম|অযোগ্য|বোকা|কৃপণ|হিংস"")),""valence-target অমিল"",""""),IF(COUNTIF($B:$B,B5079)&gt;1,""ডুপ্লিকেট"",""""))"),"")</f>
        <v/>
      </c>
      <c r="Q5079" s="5" t="str">
        <f t="shared" si="1"/>
        <v>২ পরে</v>
      </c>
    </row>
    <row r="5080">
      <c r="A5080" s="4">
        <v>2920.0</v>
      </c>
      <c r="B5080" s="2" t="s">
        <v>20786</v>
      </c>
      <c r="C5080" s="2" t="s">
        <v>20786</v>
      </c>
      <c r="D5080" s="2" t="s">
        <v>20787</v>
      </c>
      <c r="E5080" s="2" t="s">
        <v>20788</v>
      </c>
      <c r="F5080" s="2" t="b">
        <v>1</v>
      </c>
      <c r="G5080" s="2" t="b">
        <v>0</v>
      </c>
      <c r="H5080" s="2" t="s">
        <v>37</v>
      </c>
      <c r="I5080" s="2" t="s">
        <v>22</v>
      </c>
      <c r="J5080" s="2" t="s">
        <v>1607</v>
      </c>
      <c r="K5080" s="2" t="s">
        <v>495</v>
      </c>
      <c r="L5080" s="13" t="s">
        <v>496</v>
      </c>
      <c r="M5080" s="2" t="s">
        <v>26</v>
      </c>
      <c r="N5080" s="29"/>
      <c r="O5080" s="29"/>
      <c r="P5080" s="5" t="str">
        <f>IFERROR(__xludf.DUMMYFUNCTION("TEXTJOIN("" | "",TRUE,IF(OR(D5080="""",E5080="""",I5080="""",J5080="""",H5080=""""),""ফাঁকা ঘর"",""""),IF(AND(C5080&lt;&gt;"""",D5080&lt;&gt;"""",C5080=D5080),""gloss=figurative"",""""),IF(LEN(D5080)&lt;15,""figurative ছোট"",""""),IF(AND(I5080=""Positive"",REGEXMATCH(H5"&amp;"080,""মূর্খ|ভণ্ড|প্রতার|অলস|লোভ|স্বার্থ|অক্ষম|অযোগ্য|বোকা|কৃপণ|হিংস"")),""valence-target অমিল"",""""),IF(COUNTIF($B:$B,B5080)&gt;1,""ডুপ্লিকেট"",""""))"),"")</f>
        <v/>
      </c>
      <c r="Q5080" s="5" t="str">
        <f t="shared" si="1"/>
        <v>২ পরে</v>
      </c>
    </row>
    <row r="5081">
      <c r="A5081" s="4">
        <v>2921.0</v>
      </c>
      <c r="B5081" s="2" t="s">
        <v>20789</v>
      </c>
      <c r="C5081" s="2" t="s">
        <v>20790</v>
      </c>
      <c r="D5081" s="2" t="s">
        <v>20791</v>
      </c>
      <c r="E5081" s="2" t="s">
        <v>20792</v>
      </c>
      <c r="F5081" s="2" t="b">
        <v>1</v>
      </c>
      <c r="G5081" s="2" t="b">
        <v>0</v>
      </c>
      <c r="H5081" s="2" t="s">
        <v>37</v>
      </c>
      <c r="I5081" s="2" t="s">
        <v>32</v>
      </c>
      <c r="J5081" s="2" t="s">
        <v>669</v>
      </c>
      <c r="K5081" s="2" t="s">
        <v>495</v>
      </c>
      <c r="L5081" s="13" t="s">
        <v>496</v>
      </c>
      <c r="M5081" s="2" t="s">
        <v>26</v>
      </c>
      <c r="N5081" s="29"/>
      <c r="O5081" s="29"/>
      <c r="P5081" s="5" t="str">
        <f>IFERROR(__xludf.DUMMYFUNCTION("TEXTJOIN("" | "",TRUE,IF(OR(D5081="""",E5081="""",I5081="""",J5081="""",H5081=""""),""ফাঁকা ঘর"",""""),IF(AND(C5081&lt;&gt;"""",D5081&lt;&gt;"""",C5081=D5081),""gloss=figurative"",""""),IF(LEN(D5081)&lt;15,""figurative ছোট"",""""),IF(AND(I5081=""Positive"",REGEXMATCH(H5"&amp;"081,""মূর্খ|ভণ্ড|প্রতার|অলস|লোভ|স্বার্থ|অক্ষম|অযোগ্য|বোকা|কৃপণ|হিংস"")),""valence-target অমিল"",""""),IF(COUNTIF($B:$B,B5081)&gt;1,""ডুপ্লিকেট"",""""))"),"")</f>
        <v/>
      </c>
      <c r="Q5081" s="5" t="str">
        <f t="shared" si="1"/>
        <v>২ পরে</v>
      </c>
    </row>
    <row r="5082">
      <c r="A5082" s="4">
        <v>2922.0</v>
      </c>
      <c r="B5082" s="2" t="s">
        <v>20793</v>
      </c>
      <c r="C5082" s="2" t="s">
        <v>20794</v>
      </c>
      <c r="D5082" s="2" t="s">
        <v>20795</v>
      </c>
      <c r="E5082" s="2" t="s">
        <v>20796</v>
      </c>
      <c r="F5082" s="2" t="b">
        <v>1</v>
      </c>
      <c r="G5082" s="2" t="b">
        <v>0</v>
      </c>
      <c r="H5082" s="2" t="s">
        <v>37</v>
      </c>
      <c r="I5082" s="2" t="s">
        <v>22</v>
      </c>
      <c r="J5082" s="2" t="s">
        <v>669</v>
      </c>
      <c r="K5082" s="2" t="s">
        <v>495</v>
      </c>
      <c r="L5082" s="13" t="s">
        <v>496</v>
      </c>
      <c r="M5082" s="2" t="s">
        <v>26</v>
      </c>
      <c r="N5082" s="29"/>
      <c r="O5082" s="29"/>
      <c r="P5082" s="5" t="str">
        <f>IFERROR(__xludf.DUMMYFUNCTION("TEXTJOIN("" | "",TRUE,IF(OR(D5082="""",E5082="""",I5082="""",J5082="""",H5082=""""),""ফাঁকা ঘর"",""""),IF(AND(C5082&lt;&gt;"""",D5082&lt;&gt;"""",C5082=D5082),""gloss=figurative"",""""),IF(LEN(D5082)&lt;15,""figurative ছোট"",""""),IF(AND(I5082=""Positive"",REGEXMATCH(H5"&amp;"082,""মূর্খ|ভণ্ড|প্রতার|অলস|লোভ|স্বার্থ|অক্ষম|অযোগ্য|বোকা|কৃপণ|হিংস"")),""valence-target অমিল"",""""),IF(COUNTIF($B:$B,B5082)&gt;1,""ডুপ্লিকেট"",""""))"),"")</f>
        <v/>
      </c>
      <c r="Q5082" s="5" t="str">
        <f t="shared" si="1"/>
        <v>২ পরে</v>
      </c>
    </row>
    <row r="5083">
      <c r="A5083" s="4">
        <v>2923.0</v>
      </c>
      <c r="B5083" s="2" t="s">
        <v>20797</v>
      </c>
      <c r="C5083" s="2" t="s">
        <v>20797</v>
      </c>
      <c r="D5083" s="2" t="s">
        <v>20798</v>
      </c>
      <c r="E5083" s="2" t="s">
        <v>20799</v>
      </c>
      <c r="F5083" s="2" t="b">
        <v>1</v>
      </c>
      <c r="G5083" s="2" t="b">
        <v>0</v>
      </c>
      <c r="H5083" s="2" t="s">
        <v>37</v>
      </c>
      <c r="I5083" s="2" t="s">
        <v>22</v>
      </c>
      <c r="J5083" s="2" t="s">
        <v>772</v>
      </c>
      <c r="K5083" s="2" t="s">
        <v>495</v>
      </c>
      <c r="L5083" s="13" t="s">
        <v>496</v>
      </c>
      <c r="M5083" s="2" t="s">
        <v>26</v>
      </c>
      <c r="N5083" s="29"/>
      <c r="O5083" s="29"/>
      <c r="P5083" s="5" t="str">
        <f>IFERROR(__xludf.DUMMYFUNCTION("TEXTJOIN("" | "",TRUE,IF(OR(D5083="""",E5083="""",I5083="""",J5083="""",H5083=""""),""ফাঁকা ঘর"",""""),IF(AND(C5083&lt;&gt;"""",D5083&lt;&gt;"""",C5083=D5083),""gloss=figurative"",""""),IF(LEN(D5083)&lt;15,""figurative ছোট"",""""),IF(AND(I5083=""Positive"",REGEXMATCH(H5"&amp;"083,""মূর্খ|ভণ্ড|প্রতার|অলস|লোভ|স্বার্থ|অক্ষম|অযোগ্য|বোকা|কৃপণ|হিংস"")),""valence-target অমিল"",""""),IF(COUNTIF($B:$B,B5083)&gt;1,""ডুপ্লিকেট"",""""))"),"")</f>
        <v/>
      </c>
      <c r="Q5083" s="5" t="str">
        <f t="shared" si="1"/>
        <v>২ পরে</v>
      </c>
    </row>
    <row r="5084">
      <c r="A5084" s="4">
        <v>2924.0</v>
      </c>
      <c r="B5084" s="2" t="s">
        <v>20800</v>
      </c>
      <c r="C5084" s="2" t="s">
        <v>20801</v>
      </c>
      <c r="D5084" s="2" t="s">
        <v>20802</v>
      </c>
      <c r="E5084" s="2" t="s">
        <v>20803</v>
      </c>
      <c r="F5084" s="2" t="b">
        <v>1</v>
      </c>
      <c r="G5084" s="2" t="b">
        <v>0</v>
      </c>
      <c r="H5084" s="2" t="s">
        <v>37</v>
      </c>
      <c r="I5084" s="2" t="s">
        <v>32</v>
      </c>
      <c r="J5084" s="2" t="s">
        <v>669</v>
      </c>
      <c r="K5084" s="2" t="s">
        <v>495</v>
      </c>
      <c r="L5084" s="13" t="s">
        <v>496</v>
      </c>
      <c r="M5084" s="2" t="s">
        <v>26</v>
      </c>
      <c r="N5084" s="29"/>
      <c r="O5084" s="29"/>
      <c r="P5084" s="5" t="str">
        <f>IFERROR(__xludf.DUMMYFUNCTION("TEXTJOIN("" | "",TRUE,IF(OR(D5084="""",E5084="""",I5084="""",J5084="""",H5084=""""),""ফাঁকা ঘর"",""""),IF(AND(C5084&lt;&gt;"""",D5084&lt;&gt;"""",C5084=D5084),""gloss=figurative"",""""),IF(LEN(D5084)&lt;15,""figurative ছোট"",""""),IF(AND(I5084=""Positive"",REGEXMATCH(H5"&amp;"084,""মূর্খ|ভণ্ড|প্রতার|অলস|লোভ|স্বার্থ|অক্ষম|অযোগ্য|বোকা|কৃপণ|হিংস"")),""valence-target অমিল"",""""),IF(COUNTIF($B:$B,B5084)&gt;1,""ডুপ্লিকেট"",""""))"),"")</f>
        <v/>
      </c>
      <c r="Q5084" s="5" t="str">
        <f t="shared" si="1"/>
        <v>২ পরে</v>
      </c>
    </row>
    <row r="5085">
      <c r="A5085" s="4">
        <v>2925.0</v>
      </c>
      <c r="B5085" s="2" t="s">
        <v>20804</v>
      </c>
      <c r="C5085" s="2" t="s">
        <v>20804</v>
      </c>
      <c r="D5085" s="2" t="s">
        <v>20805</v>
      </c>
      <c r="E5085" s="2" t="s">
        <v>20806</v>
      </c>
      <c r="F5085" s="2" t="b">
        <v>1</v>
      </c>
      <c r="G5085" s="2" t="b">
        <v>0</v>
      </c>
      <c r="H5085" s="2" t="s">
        <v>37</v>
      </c>
      <c r="I5085" s="2" t="s">
        <v>32</v>
      </c>
      <c r="J5085" s="2" t="s">
        <v>669</v>
      </c>
      <c r="K5085" s="2" t="s">
        <v>495</v>
      </c>
      <c r="L5085" s="13" t="s">
        <v>496</v>
      </c>
      <c r="M5085" s="2" t="s">
        <v>26</v>
      </c>
      <c r="N5085" s="29"/>
      <c r="O5085" s="29"/>
      <c r="P5085" s="5" t="str">
        <f>IFERROR(__xludf.DUMMYFUNCTION("TEXTJOIN("" | "",TRUE,IF(OR(D5085="""",E5085="""",I5085="""",J5085="""",H5085=""""),""ফাঁকা ঘর"",""""),IF(AND(C5085&lt;&gt;"""",D5085&lt;&gt;"""",C5085=D5085),""gloss=figurative"",""""),IF(LEN(D5085)&lt;15,""figurative ছোট"",""""),IF(AND(I5085=""Positive"",REGEXMATCH(H5"&amp;"085,""মূর্খ|ভণ্ড|প্রতার|অলস|লোভ|স্বার্থ|অক্ষম|অযোগ্য|বোকা|কৃপণ|হিংস"")),""valence-target অমিল"",""""),IF(COUNTIF($B:$B,B5085)&gt;1,""ডুপ্লিকেট"",""""))"),"")</f>
        <v/>
      </c>
      <c r="Q5085" s="5" t="str">
        <f t="shared" si="1"/>
        <v>২ পরে</v>
      </c>
    </row>
    <row r="5086">
      <c r="A5086" s="4">
        <v>2926.0</v>
      </c>
      <c r="B5086" s="2" t="s">
        <v>20807</v>
      </c>
      <c r="C5086" s="2" t="s">
        <v>20808</v>
      </c>
      <c r="D5086" s="2" t="s">
        <v>20809</v>
      </c>
      <c r="E5086" s="2" t="s">
        <v>20810</v>
      </c>
      <c r="F5086" s="2" t="b">
        <v>1</v>
      </c>
      <c r="G5086" s="2" t="b">
        <v>0</v>
      </c>
      <c r="H5086" s="2" t="s">
        <v>37</v>
      </c>
      <c r="I5086" s="2" t="s">
        <v>32</v>
      </c>
      <c r="J5086" s="2" t="s">
        <v>2485</v>
      </c>
      <c r="K5086" s="2" t="s">
        <v>495</v>
      </c>
      <c r="L5086" s="13" t="s">
        <v>496</v>
      </c>
      <c r="M5086" s="2" t="s">
        <v>26</v>
      </c>
      <c r="N5086" s="29"/>
      <c r="O5086" s="29"/>
      <c r="P5086" s="5" t="str">
        <f>IFERROR(__xludf.DUMMYFUNCTION("TEXTJOIN("" | "",TRUE,IF(OR(D5086="""",E5086="""",I5086="""",J5086="""",H5086=""""),""ফাঁকা ঘর"",""""),IF(AND(C5086&lt;&gt;"""",D5086&lt;&gt;"""",C5086=D5086),""gloss=figurative"",""""),IF(LEN(D5086)&lt;15,""figurative ছোট"",""""),IF(AND(I5086=""Positive"",REGEXMATCH(H5"&amp;"086,""মূর্খ|ভণ্ড|প্রতার|অলস|লোভ|স্বার্থ|অক্ষম|অযোগ্য|বোকা|কৃপণ|হিংস"")),""valence-target অমিল"",""""),IF(COUNTIF($B:$B,B5086)&gt;1,""ডুপ্লিকেট"",""""))"),"")</f>
        <v/>
      </c>
      <c r="Q5086" s="5" t="str">
        <f t="shared" si="1"/>
        <v>২ পরে</v>
      </c>
    </row>
    <row r="5087">
      <c r="A5087" s="4">
        <v>2927.0</v>
      </c>
      <c r="B5087" s="2" t="s">
        <v>20811</v>
      </c>
      <c r="C5087" s="2" t="s">
        <v>20812</v>
      </c>
      <c r="D5087" s="2" t="s">
        <v>20813</v>
      </c>
      <c r="E5087" s="2" t="s">
        <v>20814</v>
      </c>
      <c r="F5087" s="2" t="b">
        <v>1</v>
      </c>
      <c r="G5087" s="2" t="b">
        <v>0</v>
      </c>
      <c r="H5087" s="2" t="s">
        <v>37</v>
      </c>
      <c r="I5087" s="2" t="s">
        <v>32</v>
      </c>
      <c r="J5087" s="2" t="s">
        <v>669</v>
      </c>
      <c r="K5087" s="2" t="s">
        <v>495</v>
      </c>
      <c r="L5087" s="13" t="s">
        <v>496</v>
      </c>
      <c r="M5087" s="2" t="s">
        <v>26</v>
      </c>
      <c r="N5087" s="29"/>
      <c r="O5087" s="29"/>
      <c r="P5087" s="5" t="str">
        <f>IFERROR(__xludf.DUMMYFUNCTION("TEXTJOIN("" | "",TRUE,IF(OR(D5087="""",E5087="""",I5087="""",J5087="""",H5087=""""),""ফাঁকা ঘর"",""""),IF(AND(C5087&lt;&gt;"""",D5087&lt;&gt;"""",C5087=D5087),""gloss=figurative"",""""),IF(LEN(D5087)&lt;15,""figurative ছোট"",""""),IF(AND(I5087=""Positive"",REGEXMATCH(H5"&amp;"087,""মূর্খ|ভণ্ড|প্রতার|অলস|লোভ|স্বার্থ|অক্ষম|অযোগ্য|বোকা|কৃপণ|হিংস"")),""valence-target অমিল"",""""),IF(COUNTIF($B:$B,B5087)&gt;1,""ডুপ্লিকেট"",""""))"),"")</f>
        <v/>
      </c>
      <c r="Q5087" s="5" t="str">
        <f t="shared" si="1"/>
        <v>২ পরে</v>
      </c>
    </row>
    <row r="5088">
      <c r="A5088" s="4">
        <v>2928.0</v>
      </c>
      <c r="B5088" s="2" t="s">
        <v>20815</v>
      </c>
      <c r="C5088" s="2" t="s">
        <v>20816</v>
      </c>
      <c r="D5088" s="2" t="s">
        <v>20817</v>
      </c>
      <c r="E5088" s="2" t="s">
        <v>20818</v>
      </c>
      <c r="F5088" s="2" t="b">
        <v>1</v>
      </c>
      <c r="G5088" s="2" t="b">
        <v>0</v>
      </c>
      <c r="H5088" s="2" t="s">
        <v>37</v>
      </c>
      <c r="I5088" s="2" t="s">
        <v>32</v>
      </c>
      <c r="J5088" s="2" t="s">
        <v>1845</v>
      </c>
      <c r="K5088" s="2" t="s">
        <v>495</v>
      </c>
      <c r="L5088" s="13" t="s">
        <v>496</v>
      </c>
      <c r="M5088" s="2" t="s">
        <v>26</v>
      </c>
      <c r="N5088" s="29"/>
      <c r="O5088" s="29"/>
      <c r="P5088" s="5" t="str">
        <f>IFERROR(__xludf.DUMMYFUNCTION("TEXTJOIN("" | "",TRUE,IF(OR(D5088="""",E5088="""",I5088="""",J5088="""",H5088=""""),""ফাঁকা ঘর"",""""),IF(AND(C5088&lt;&gt;"""",D5088&lt;&gt;"""",C5088=D5088),""gloss=figurative"",""""),IF(LEN(D5088)&lt;15,""figurative ছোট"",""""),IF(AND(I5088=""Positive"",REGEXMATCH(H5"&amp;"088,""মূর্খ|ভণ্ড|প্রতার|অলস|লোভ|স্বার্থ|অক্ষম|অযোগ্য|বোকা|কৃপণ|হিংস"")),""valence-target অমিল"",""""),IF(COUNTIF($B:$B,B5088)&gt;1,""ডুপ্লিকেট"",""""))"),"")</f>
        <v/>
      </c>
      <c r="Q5088" s="5" t="str">
        <f t="shared" si="1"/>
        <v>২ পরে</v>
      </c>
    </row>
    <row r="5089">
      <c r="A5089" s="4">
        <v>2929.0</v>
      </c>
      <c r="B5089" s="2" t="s">
        <v>20819</v>
      </c>
      <c r="C5089" s="2" t="s">
        <v>20819</v>
      </c>
      <c r="D5089" s="2" t="s">
        <v>20820</v>
      </c>
      <c r="E5089" s="2" t="s">
        <v>20821</v>
      </c>
      <c r="F5089" s="2" t="b">
        <v>1</v>
      </c>
      <c r="G5089" s="2" t="b">
        <v>0</v>
      </c>
      <c r="H5089" s="2" t="s">
        <v>37</v>
      </c>
      <c r="I5089" s="2" t="s">
        <v>22</v>
      </c>
      <c r="J5089" s="2" t="s">
        <v>750</v>
      </c>
      <c r="K5089" s="2" t="s">
        <v>495</v>
      </c>
      <c r="L5089" s="13" t="s">
        <v>496</v>
      </c>
      <c r="M5089" s="2" t="s">
        <v>26</v>
      </c>
      <c r="N5089" s="29"/>
      <c r="O5089" s="29"/>
      <c r="P5089" s="5" t="str">
        <f>IFERROR(__xludf.DUMMYFUNCTION("TEXTJOIN("" | "",TRUE,IF(OR(D5089="""",E5089="""",I5089="""",J5089="""",H5089=""""),""ফাঁকা ঘর"",""""),IF(AND(C5089&lt;&gt;"""",D5089&lt;&gt;"""",C5089=D5089),""gloss=figurative"",""""),IF(LEN(D5089)&lt;15,""figurative ছোট"",""""),IF(AND(I5089=""Positive"",REGEXMATCH(H5"&amp;"089,""মূর্খ|ভণ্ড|প্রতার|অলস|লোভ|স্বার্থ|অক্ষম|অযোগ্য|বোকা|কৃপণ|হিংস"")),""valence-target অমিল"",""""),IF(COUNTIF($B:$B,B5089)&gt;1,""ডুপ্লিকেট"",""""))"),"")</f>
        <v/>
      </c>
      <c r="Q5089" s="5" t="str">
        <f t="shared" si="1"/>
        <v>২ পরে</v>
      </c>
    </row>
    <row r="5090">
      <c r="A5090" s="4">
        <v>2930.0</v>
      </c>
      <c r="B5090" s="2" t="s">
        <v>20822</v>
      </c>
      <c r="C5090" s="2" t="s">
        <v>20823</v>
      </c>
      <c r="D5090" s="2" t="s">
        <v>20824</v>
      </c>
      <c r="E5090" s="2" t="s">
        <v>20825</v>
      </c>
      <c r="F5090" s="2" t="b">
        <v>1</v>
      </c>
      <c r="G5090" s="2" t="b">
        <v>0</v>
      </c>
      <c r="H5090" s="2" t="s">
        <v>37</v>
      </c>
      <c r="I5090" s="2" t="s">
        <v>22</v>
      </c>
      <c r="J5090" s="2" t="s">
        <v>772</v>
      </c>
      <c r="K5090" s="2" t="s">
        <v>495</v>
      </c>
      <c r="L5090" s="13" t="s">
        <v>496</v>
      </c>
      <c r="M5090" s="2" t="s">
        <v>26</v>
      </c>
      <c r="N5090" s="29"/>
      <c r="O5090" s="29"/>
      <c r="P5090" s="5" t="str">
        <f>IFERROR(__xludf.DUMMYFUNCTION("TEXTJOIN("" | "",TRUE,IF(OR(D5090="""",E5090="""",I5090="""",J5090="""",H5090=""""),""ফাঁকা ঘর"",""""),IF(AND(C5090&lt;&gt;"""",D5090&lt;&gt;"""",C5090=D5090),""gloss=figurative"",""""),IF(LEN(D5090)&lt;15,""figurative ছোট"",""""),IF(AND(I5090=""Positive"",REGEXMATCH(H5"&amp;"090,""মূর্খ|ভণ্ড|প্রতার|অলস|লোভ|স্বার্থ|অক্ষম|অযোগ্য|বোকা|কৃপণ|হিংস"")),""valence-target অমিল"",""""),IF(COUNTIF($B:$B,B5090)&gt;1,""ডুপ্লিকেট"",""""))"),"")</f>
        <v/>
      </c>
      <c r="Q5090" s="5" t="str">
        <f t="shared" si="1"/>
        <v>২ পরে</v>
      </c>
    </row>
    <row r="5091">
      <c r="A5091" s="4">
        <v>2931.0</v>
      </c>
      <c r="B5091" s="2" t="s">
        <v>20826</v>
      </c>
      <c r="C5091" s="2" t="s">
        <v>20827</v>
      </c>
      <c r="D5091" s="2" t="s">
        <v>20828</v>
      </c>
      <c r="E5091" s="2" t="s">
        <v>20829</v>
      </c>
      <c r="F5091" s="2" t="b">
        <v>1</v>
      </c>
      <c r="G5091" s="2" t="b">
        <v>0</v>
      </c>
      <c r="H5091" s="2" t="s">
        <v>37</v>
      </c>
      <c r="I5091" s="2" t="s">
        <v>22</v>
      </c>
      <c r="J5091" s="2" t="s">
        <v>1471</v>
      </c>
      <c r="K5091" s="2" t="s">
        <v>495</v>
      </c>
      <c r="L5091" s="13" t="s">
        <v>496</v>
      </c>
      <c r="M5091" s="2" t="s">
        <v>26</v>
      </c>
      <c r="N5091" s="29"/>
      <c r="O5091" s="29"/>
      <c r="P5091" s="5" t="str">
        <f>IFERROR(__xludf.DUMMYFUNCTION("TEXTJOIN("" | "",TRUE,IF(OR(D5091="""",E5091="""",I5091="""",J5091="""",H5091=""""),""ফাঁকা ঘর"",""""),IF(AND(C5091&lt;&gt;"""",D5091&lt;&gt;"""",C5091=D5091),""gloss=figurative"",""""),IF(LEN(D5091)&lt;15,""figurative ছোট"",""""),IF(AND(I5091=""Positive"",REGEXMATCH(H5"&amp;"091,""মূর্খ|ভণ্ড|প্রতার|অলস|লোভ|স্বার্থ|অক্ষম|অযোগ্য|বোকা|কৃপণ|হিংস"")),""valence-target অমিল"",""""),IF(COUNTIF($B:$B,B5091)&gt;1,""ডুপ্লিকেট"",""""))"),"")</f>
        <v/>
      </c>
      <c r="Q5091" s="5" t="str">
        <f t="shared" si="1"/>
        <v>২ পরে</v>
      </c>
    </row>
    <row r="5092">
      <c r="A5092" s="4">
        <v>2932.0</v>
      </c>
      <c r="B5092" s="2" t="s">
        <v>20830</v>
      </c>
      <c r="C5092" s="2" t="s">
        <v>20831</v>
      </c>
      <c r="D5092" s="2" t="s">
        <v>20832</v>
      </c>
      <c r="E5092" s="2" t="s">
        <v>20833</v>
      </c>
      <c r="F5092" s="2" t="b">
        <v>1</v>
      </c>
      <c r="G5092" s="2" t="b">
        <v>0</v>
      </c>
      <c r="H5092" s="2" t="s">
        <v>37</v>
      </c>
      <c r="I5092" s="2" t="s">
        <v>32</v>
      </c>
      <c r="J5092" s="2" t="s">
        <v>16695</v>
      </c>
      <c r="K5092" s="2" t="s">
        <v>495</v>
      </c>
      <c r="L5092" s="13" t="s">
        <v>496</v>
      </c>
      <c r="M5092" s="2" t="s">
        <v>26</v>
      </c>
      <c r="N5092" s="29"/>
      <c r="O5092" s="29"/>
      <c r="P5092" s="5" t="str">
        <f>IFERROR(__xludf.DUMMYFUNCTION("TEXTJOIN("" | "",TRUE,IF(OR(D5092="""",E5092="""",I5092="""",J5092="""",H5092=""""),""ফাঁকা ঘর"",""""),IF(AND(C5092&lt;&gt;"""",D5092&lt;&gt;"""",C5092=D5092),""gloss=figurative"",""""),IF(LEN(D5092)&lt;15,""figurative ছোট"",""""),IF(AND(I5092=""Positive"",REGEXMATCH(H5"&amp;"092,""মূর্খ|ভণ্ড|প্রতার|অলস|লোভ|স্বার্থ|অক্ষম|অযোগ্য|বোকা|কৃপণ|হিংস"")),""valence-target অমিল"",""""),IF(COUNTIF($B:$B,B5092)&gt;1,""ডুপ্লিকেট"",""""))"),"")</f>
        <v/>
      </c>
      <c r="Q5092" s="5" t="str">
        <f t="shared" si="1"/>
        <v>২ পরে</v>
      </c>
    </row>
    <row r="5093">
      <c r="A5093" s="4">
        <v>2933.0</v>
      </c>
      <c r="B5093" s="2" t="s">
        <v>20834</v>
      </c>
      <c r="C5093" s="2" t="s">
        <v>20835</v>
      </c>
      <c r="D5093" s="2" t="s">
        <v>20836</v>
      </c>
      <c r="E5093" s="2" t="s">
        <v>20837</v>
      </c>
      <c r="F5093" s="2" t="b">
        <v>1</v>
      </c>
      <c r="G5093" s="2" t="b">
        <v>0</v>
      </c>
      <c r="H5093" s="2" t="s">
        <v>37</v>
      </c>
      <c r="I5093" s="2" t="s">
        <v>32</v>
      </c>
      <c r="J5093" s="2" t="s">
        <v>3105</v>
      </c>
      <c r="K5093" s="2" t="s">
        <v>495</v>
      </c>
      <c r="L5093" s="13" t="s">
        <v>496</v>
      </c>
      <c r="M5093" s="2" t="s">
        <v>26</v>
      </c>
      <c r="N5093" s="29"/>
      <c r="O5093" s="29"/>
      <c r="P5093" s="5" t="str">
        <f>IFERROR(__xludf.DUMMYFUNCTION("TEXTJOIN("" | "",TRUE,IF(OR(D5093="""",E5093="""",I5093="""",J5093="""",H5093=""""),""ফাঁকা ঘর"",""""),IF(AND(C5093&lt;&gt;"""",D5093&lt;&gt;"""",C5093=D5093),""gloss=figurative"",""""),IF(LEN(D5093)&lt;15,""figurative ছোট"",""""),IF(AND(I5093=""Positive"",REGEXMATCH(H5"&amp;"093,""মূর্খ|ভণ্ড|প্রতার|অলস|লোভ|স্বার্থ|অক্ষম|অযোগ্য|বোকা|কৃপণ|হিংস"")),""valence-target অমিল"",""""),IF(COUNTIF($B:$B,B5093)&gt;1,""ডুপ্লিকেট"",""""))"),"")</f>
        <v/>
      </c>
      <c r="Q5093" s="5" t="str">
        <f t="shared" si="1"/>
        <v>২ পরে</v>
      </c>
    </row>
    <row r="5094">
      <c r="A5094" s="4">
        <v>2934.0</v>
      </c>
      <c r="B5094" s="2" t="s">
        <v>20838</v>
      </c>
      <c r="C5094" s="2" t="s">
        <v>20838</v>
      </c>
      <c r="D5094" s="2" t="s">
        <v>20839</v>
      </c>
      <c r="E5094" s="2" t="s">
        <v>20840</v>
      </c>
      <c r="F5094" s="2" t="b">
        <v>1</v>
      </c>
      <c r="G5094" s="2" t="b">
        <v>0</v>
      </c>
      <c r="H5094" s="2" t="s">
        <v>37</v>
      </c>
      <c r="I5094" s="2" t="s">
        <v>32</v>
      </c>
      <c r="J5094" s="2" t="s">
        <v>3105</v>
      </c>
      <c r="K5094" s="2" t="s">
        <v>495</v>
      </c>
      <c r="L5094" s="13" t="s">
        <v>496</v>
      </c>
      <c r="M5094" s="2" t="s">
        <v>26</v>
      </c>
      <c r="N5094" s="29"/>
      <c r="O5094" s="29"/>
      <c r="P5094" s="5" t="str">
        <f>IFERROR(__xludf.DUMMYFUNCTION("TEXTJOIN("" | "",TRUE,IF(OR(D5094="""",E5094="""",I5094="""",J5094="""",H5094=""""),""ফাঁকা ঘর"",""""),IF(AND(C5094&lt;&gt;"""",D5094&lt;&gt;"""",C5094=D5094),""gloss=figurative"",""""),IF(LEN(D5094)&lt;15,""figurative ছোট"",""""),IF(AND(I5094=""Positive"",REGEXMATCH(H5"&amp;"094,""মূর্খ|ভণ্ড|প্রতার|অলস|লোভ|স্বার্থ|অক্ষম|অযোগ্য|বোকা|কৃপণ|হিংস"")),""valence-target অমিল"",""""),IF(COUNTIF($B:$B,B5094)&gt;1,""ডুপ্লিকেট"",""""))"),"")</f>
        <v/>
      </c>
      <c r="Q5094" s="5" t="str">
        <f t="shared" si="1"/>
        <v>২ পরে</v>
      </c>
    </row>
    <row r="5095">
      <c r="A5095" s="4">
        <v>2935.0</v>
      </c>
      <c r="B5095" s="2" t="s">
        <v>20841</v>
      </c>
      <c r="C5095" s="2" t="s">
        <v>20842</v>
      </c>
      <c r="D5095" s="2" t="s">
        <v>20843</v>
      </c>
      <c r="E5095" s="2" t="s">
        <v>20844</v>
      </c>
      <c r="F5095" s="2" t="b">
        <v>1</v>
      </c>
      <c r="G5095" s="2" t="b">
        <v>0</v>
      </c>
      <c r="H5095" s="2" t="s">
        <v>37</v>
      </c>
      <c r="I5095" s="2" t="s">
        <v>22</v>
      </c>
      <c r="J5095" s="2" t="s">
        <v>590</v>
      </c>
      <c r="K5095" s="2" t="s">
        <v>495</v>
      </c>
      <c r="L5095" s="13" t="s">
        <v>496</v>
      </c>
      <c r="M5095" s="2" t="s">
        <v>26</v>
      </c>
      <c r="N5095" s="29"/>
      <c r="O5095" s="29"/>
      <c r="P5095" s="5" t="str">
        <f>IFERROR(__xludf.DUMMYFUNCTION("TEXTJOIN("" | "",TRUE,IF(OR(D5095="""",E5095="""",I5095="""",J5095="""",H5095=""""),""ফাঁকা ঘর"",""""),IF(AND(C5095&lt;&gt;"""",D5095&lt;&gt;"""",C5095=D5095),""gloss=figurative"",""""),IF(LEN(D5095)&lt;15,""figurative ছোট"",""""),IF(AND(I5095=""Positive"",REGEXMATCH(H5"&amp;"095,""মূর্খ|ভণ্ড|প্রতার|অলস|লোভ|স্বার্থ|অক্ষম|অযোগ্য|বোকা|কৃপণ|হিংস"")),""valence-target অমিল"",""""),IF(COUNTIF($B:$B,B5095)&gt;1,""ডুপ্লিকেট"",""""))"),"")</f>
        <v/>
      </c>
      <c r="Q5095" s="5" t="str">
        <f t="shared" si="1"/>
        <v>২ পরে</v>
      </c>
    </row>
    <row r="5096">
      <c r="A5096" s="4">
        <v>2936.0</v>
      </c>
      <c r="B5096" s="2" t="s">
        <v>20845</v>
      </c>
      <c r="C5096" s="2" t="s">
        <v>20845</v>
      </c>
      <c r="D5096" s="2" t="s">
        <v>20846</v>
      </c>
      <c r="E5096" s="2" t="s">
        <v>20847</v>
      </c>
      <c r="F5096" s="2" t="b">
        <v>1</v>
      </c>
      <c r="G5096" s="2" t="b">
        <v>0</v>
      </c>
      <c r="H5096" s="2" t="s">
        <v>37</v>
      </c>
      <c r="I5096" s="2" t="s">
        <v>22</v>
      </c>
      <c r="J5096" s="2" t="s">
        <v>1962</v>
      </c>
      <c r="K5096" s="2" t="s">
        <v>495</v>
      </c>
      <c r="L5096" s="13" t="s">
        <v>496</v>
      </c>
      <c r="M5096" s="2" t="s">
        <v>26</v>
      </c>
      <c r="N5096" s="29"/>
      <c r="O5096" s="29"/>
      <c r="P5096" s="5" t="str">
        <f>IFERROR(__xludf.DUMMYFUNCTION("TEXTJOIN("" | "",TRUE,IF(OR(D5096="""",E5096="""",I5096="""",J5096="""",H5096=""""),""ফাঁকা ঘর"",""""),IF(AND(C5096&lt;&gt;"""",D5096&lt;&gt;"""",C5096=D5096),""gloss=figurative"",""""),IF(LEN(D5096)&lt;15,""figurative ছোট"",""""),IF(AND(I5096=""Positive"",REGEXMATCH(H5"&amp;"096,""মূর্খ|ভণ্ড|প্রতার|অলস|লোভ|স্বার্থ|অক্ষম|অযোগ্য|বোকা|কৃপণ|হিংস"")),""valence-target অমিল"",""""),IF(COUNTIF($B:$B,B5096)&gt;1,""ডুপ্লিকেট"",""""))"),"")</f>
        <v/>
      </c>
      <c r="Q5096" s="5" t="str">
        <f t="shared" si="1"/>
        <v>২ পরে</v>
      </c>
    </row>
    <row r="5097">
      <c r="A5097" s="4">
        <v>2937.0</v>
      </c>
      <c r="B5097" s="2" t="s">
        <v>20848</v>
      </c>
      <c r="C5097" s="2" t="s">
        <v>20849</v>
      </c>
      <c r="D5097" s="2" t="s">
        <v>20850</v>
      </c>
      <c r="E5097" s="2" t="s">
        <v>20851</v>
      </c>
      <c r="F5097" s="2" t="b">
        <v>1</v>
      </c>
      <c r="G5097" s="2" t="b">
        <v>0</v>
      </c>
      <c r="H5097" s="2" t="s">
        <v>37</v>
      </c>
      <c r="I5097" s="2" t="s">
        <v>22</v>
      </c>
      <c r="J5097" s="2" t="s">
        <v>1471</v>
      </c>
      <c r="K5097" s="2" t="s">
        <v>495</v>
      </c>
      <c r="L5097" s="13" t="s">
        <v>496</v>
      </c>
      <c r="M5097" s="2" t="s">
        <v>26</v>
      </c>
      <c r="N5097" s="29"/>
      <c r="O5097" s="29"/>
      <c r="P5097" s="5" t="str">
        <f>IFERROR(__xludf.DUMMYFUNCTION("TEXTJOIN("" | "",TRUE,IF(OR(D5097="""",E5097="""",I5097="""",J5097="""",H5097=""""),""ফাঁকা ঘর"",""""),IF(AND(C5097&lt;&gt;"""",D5097&lt;&gt;"""",C5097=D5097),""gloss=figurative"",""""),IF(LEN(D5097)&lt;15,""figurative ছোট"",""""),IF(AND(I5097=""Positive"",REGEXMATCH(H5"&amp;"097,""মূর্খ|ভণ্ড|প্রতার|অলস|লোভ|স্বার্থ|অক্ষম|অযোগ্য|বোকা|কৃপণ|হিংস"")),""valence-target অমিল"",""""),IF(COUNTIF($B:$B,B5097)&gt;1,""ডুপ্লিকেট"",""""))"),"")</f>
        <v/>
      </c>
      <c r="Q5097" s="5" t="str">
        <f t="shared" si="1"/>
        <v>২ পরে</v>
      </c>
    </row>
    <row r="5098">
      <c r="A5098" s="4">
        <v>2938.0</v>
      </c>
      <c r="B5098" s="2" t="s">
        <v>20852</v>
      </c>
      <c r="C5098" s="2" t="s">
        <v>20853</v>
      </c>
      <c r="D5098" s="2" t="s">
        <v>20854</v>
      </c>
      <c r="E5098" s="2" t="s">
        <v>20855</v>
      </c>
      <c r="F5098" s="2" t="b">
        <v>1</v>
      </c>
      <c r="G5098" s="2" t="b">
        <v>0</v>
      </c>
      <c r="H5098" s="2" t="s">
        <v>37</v>
      </c>
      <c r="I5098" s="2" t="s">
        <v>32</v>
      </c>
      <c r="J5098" s="2" t="s">
        <v>502</v>
      </c>
      <c r="K5098" s="2" t="s">
        <v>495</v>
      </c>
      <c r="L5098" s="13" t="s">
        <v>496</v>
      </c>
      <c r="M5098" s="2" t="s">
        <v>26</v>
      </c>
      <c r="N5098" s="29"/>
      <c r="O5098" s="29"/>
      <c r="P5098" s="5" t="str">
        <f>IFERROR(__xludf.DUMMYFUNCTION("TEXTJOIN("" | "",TRUE,IF(OR(D5098="""",E5098="""",I5098="""",J5098="""",H5098=""""),""ফাঁকা ঘর"",""""),IF(AND(C5098&lt;&gt;"""",D5098&lt;&gt;"""",C5098=D5098),""gloss=figurative"",""""),IF(LEN(D5098)&lt;15,""figurative ছোট"",""""),IF(AND(I5098=""Positive"",REGEXMATCH(H5"&amp;"098,""মূর্খ|ভণ্ড|প্রতার|অলস|লোভ|স্বার্থ|অক্ষম|অযোগ্য|বোকা|কৃপণ|হিংস"")),""valence-target অমিল"",""""),IF(COUNTIF($B:$B,B5098)&gt;1,""ডুপ্লিকেট"",""""))"),"")</f>
        <v/>
      </c>
      <c r="Q5098" s="5" t="str">
        <f t="shared" si="1"/>
        <v>২ পরে</v>
      </c>
    </row>
    <row r="5099">
      <c r="A5099" s="4">
        <v>2939.0</v>
      </c>
      <c r="B5099" s="2" t="s">
        <v>20856</v>
      </c>
      <c r="C5099" s="2" t="s">
        <v>20857</v>
      </c>
      <c r="D5099" s="2" t="s">
        <v>20858</v>
      </c>
      <c r="E5099" s="2" t="s">
        <v>20859</v>
      </c>
      <c r="F5099" s="2" t="b">
        <v>1</v>
      </c>
      <c r="G5099" s="2" t="b">
        <v>0</v>
      </c>
      <c r="H5099" s="2" t="s">
        <v>37</v>
      </c>
      <c r="I5099" s="2" t="s">
        <v>32</v>
      </c>
      <c r="J5099" s="2" t="s">
        <v>3710</v>
      </c>
      <c r="K5099" s="2" t="s">
        <v>495</v>
      </c>
      <c r="L5099" s="13" t="s">
        <v>496</v>
      </c>
      <c r="M5099" s="2" t="s">
        <v>26</v>
      </c>
      <c r="N5099" s="29"/>
      <c r="O5099" s="29"/>
      <c r="P5099" s="5" t="str">
        <f>IFERROR(__xludf.DUMMYFUNCTION("TEXTJOIN("" | "",TRUE,IF(OR(D5099="""",E5099="""",I5099="""",J5099="""",H5099=""""),""ফাঁকা ঘর"",""""),IF(AND(C5099&lt;&gt;"""",D5099&lt;&gt;"""",C5099=D5099),""gloss=figurative"",""""),IF(LEN(D5099)&lt;15,""figurative ছোট"",""""),IF(AND(I5099=""Positive"",REGEXMATCH(H5"&amp;"099,""মূর্খ|ভণ্ড|প্রতার|অলস|লোভ|স্বার্থ|অক্ষম|অযোগ্য|বোকা|কৃপণ|হিংস"")),""valence-target অমিল"",""""),IF(COUNTIF($B:$B,B5099)&gt;1,""ডুপ্লিকেট"",""""))"),"")</f>
        <v/>
      </c>
      <c r="Q5099" s="5" t="str">
        <f t="shared" si="1"/>
        <v>২ পরে</v>
      </c>
    </row>
    <row r="5100">
      <c r="A5100" s="4">
        <v>2940.0</v>
      </c>
      <c r="B5100" s="2" t="s">
        <v>20860</v>
      </c>
      <c r="C5100" s="2" t="s">
        <v>20861</v>
      </c>
      <c r="D5100" s="2" t="s">
        <v>20862</v>
      </c>
      <c r="E5100" s="2" t="s">
        <v>20863</v>
      </c>
      <c r="F5100" s="2" t="b">
        <v>1</v>
      </c>
      <c r="G5100" s="2" t="b">
        <v>0</v>
      </c>
      <c r="H5100" s="2" t="s">
        <v>37</v>
      </c>
      <c r="I5100" s="2" t="s">
        <v>22</v>
      </c>
      <c r="J5100" s="2" t="s">
        <v>20864</v>
      </c>
      <c r="K5100" s="2" t="s">
        <v>495</v>
      </c>
      <c r="L5100" s="13" t="s">
        <v>496</v>
      </c>
      <c r="M5100" s="2" t="s">
        <v>26</v>
      </c>
      <c r="N5100" s="29"/>
      <c r="O5100" s="29"/>
      <c r="P5100" s="5" t="str">
        <f>IFERROR(__xludf.DUMMYFUNCTION("TEXTJOIN("" | "",TRUE,IF(OR(D5100="""",E5100="""",I5100="""",J5100="""",H5100=""""),""ফাঁকা ঘর"",""""),IF(AND(C5100&lt;&gt;"""",D5100&lt;&gt;"""",C5100=D5100),""gloss=figurative"",""""),IF(LEN(D5100)&lt;15,""figurative ছোট"",""""),IF(AND(I5100=""Positive"",REGEXMATCH(H5"&amp;"100,""মূর্খ|ভণ্ড|প্রতার|অলস|লোভ|স্বার্থ|অক্ষম|অযোগ্য|বোকা|কৃপণ|হিংস"")),""valence-target অমিল"",""""),IF(COUNTIF($B:$B,B5100)&gt;1,""ডুপ্লিকেট"",""""))"),"")</f>
        <v/>
      </c>
      <c r="Q5100" s="5" t="str">
        <f t="shared" si="1"/>
        <v>২ পরে</v>
      </c>
    </row>
    <row r="5101">
      <c r="A5101" s="4">
        <v>2941.0</v>
      </c>
      <c r="B5101" s="2" t="s">
        <v>20865</v>
      </c>
      <c r="C5101" s="2" t="s">
        <v>20866</v>
      </c>
      <c r="D5101" s="2" t="s">
        <v>20867</v>
      </c>
      <c r="E5101" s="2" t="s">
        <v>20868</v>
      </c>
      <c r="F5101" s="2" t="b">
        <v>1</v>
      </c>
      <c r="G5101" s="2" t="b">
        <v>0</v>
      </c>
      <c r="H5101" s="2" t="s">
        <v>37</v>
      </c>
      <c r="I5101" s="2" t="s">
        <v>22</v>
      </c>
      <c r="J5101" s="2" t="s">
        <v>2611</v>
      </c>
      <c r="K5101" s="2" t="s">
        <v>495</v>
      </c>
      <c r="L5101" s="13" t="s">
        <v>496</v>
      </c>
      <c r="M5101" s="2" t="s">
        <v>26</v>
      </c>
      <c r="N5101" s="29"/>
      <c r="O5101" s="29"/>
      <c r="P5101" s="5" t="str">
        <f>IFERROR(__xludf.DUMMYFUNCTION("TEXTJOIN("" | "",TRUE,IF(OR(D5101="""",E5101="""",I5101="""",J5101="""",H5101=""""),""ফাঁকা ঘর"",""""),IF(AND(C5101&lt;&gt;"""",D5101&lt;&gt;"""",C5101=D5101),""gloss=figurative"",""""),IF(LEN(D5101)&lt;15,""figurative ছোট"",""""),IF(AND(I5101=""Positive"",REGEXMATCH(H5"&amp;"101,""মূর্খ|ভণ্ড|প্রতার|অলস|লোভ|স্বার্থ|অক্ষম|অযোগ্য|বোকা|কৃপণ|হিংস"")),""valence-target অমিল"",""""),IF(COUNTIF($B:$B,B5101)&gt;1,""ডুপ্লিকেট"",""""))"),"")</f>
        <v/>
      </c>
      <c r="Q5101" s="5" t="str">
        <f t="shared" si="1"/>
        <v>২ পরে</v>
      </c>
    </row>
    <row r="5102">
      <c r="A5102" s="4">
        <v>2943.0</v>
      </c>
      <c r="B5102" s="2" t="s">
        <v>20869</v>
      </c>
      <c r="C5102" s="2" t="s">
        <v>20870</v>
      </c>
      <c r="D5102" s="2" t="s">
        <v>20871</v>
      </c>
      <c r="E5102" s="2" t="s">
        <v>20872</v>
      </c>
      <c r="F5102" s="2" t="b">
        <v>1</v>
      </c>
      <c r="G5102" s="2" t="b">
        <v>0</v>
      </c>
      <c r="H5102" s="2" t="s">
        <v>37</v>
      </c>
      <c r="I5102" s="2" t="s">
        <v>22</v>
      </c>
      <c r="J5102" s="2" t="s">
        <v>4008</v>
      </c>
      <c r="K5102" s="2" t="s">
        <v>495</v>
      </c>
      <c r="L5102" s="13" t="s">
        <v>496</v>
      </c>
      <c r="M5102" s="2" t="s">
        <v>26</v>
      </c>
      <c r="N5102" s="29"/>
      <c r="O5102" s="29"/>
      <c r="P5102" s="5" t="str">
        <f>IFERROR(__xludf.DUMMYFUNCTION("TEXTJOIN("" | "",TRUE,IF(OR(D5102="""",E5102="""",I5102="""",J5102="""",H5102=""""),""ফাঁকা ঘর"",""""),IF(AND(C5102&lt;&gt;"""",D5102&lt;&gt;"""",C5102=D5102),""gloss=figurative"",""""),IF(LEN(D5102)&lt;15,""figurative ছোট"",""""),IF(AND(I5102=""Positive"",REGEXMATCH(H5"&amp;"102,""মূর্খ|ভণ্ড|প্রতার|অলস|লোভ|স্বার্থ|অক্ষম|অযোগ্য|বোকা|কৃপণ|হিংস"")),""valence-target অমিল"",""""),IF(COUNTIF($B:$B,B5102)&gt;1,""ডুপ্লিকেট"",""""))"),"")</f>
        <v/>
      </c>
      <c r="Q5102" s="5" t="str">
        <f t="shared" si="1"/>
        <v>২ পরে</v>
      </c>
    </row>
    <row r="5103">
      <c r="A5103" s="4">
        <v>2944.0</v>
      </c>
      <c r="B5103" s="2" t="s">
        <v>20873</v>
      </c>
      <c r="C5103" s="2" t="s">
        <v>20874</v>
      </c>
      <c r="D5103" s="2" t="s">
        <v>20875</v>
      </c>
      <c r="E5103" s="2" t="s">
        <v>20876</v>
      </c>
      <c r="F5103" s="2" t="b">
        <v>1</v>
      </c>
      <c r="G5103" s="2" t="b">
        <v>0</v>
      </c>
      <c r="H5103" s="2" t="s">
        <v>37</v>
      </c>
      <c r="I5103" s="2" t="s">
        <v>22</v>
      </c>
      <c r="J5103" s="2" t="s">
        <v>848</v>
      </c>
      <c r="K5103" s="2" t="s">
        <v>495</v>
      </c>
      <c r="L5103" s="13" t="s">
        <v>496</v>
      </c>
      <c r="M5103" s="2" t="s">
        <v>26</v>
      </c>
      <c r="N5103" s="29"/>
      <c r="O5103" s="29"/>
      <c r="P5103" s="5" t="str">
        <f>IFERROR(__xludf.DUMMYFUNCTION("TEXTJOIN("" | "",TRUE,IF(OR(D5103="""",E5103="""",I5103="""",J5103="""",H5103=""""),""ফাঁকা ঘর"",""""),IF(AND(C5103&lt;&gt;"""",D5103&lt;&gt;"""",C5103=D5103),""gloss=figurative"",""""),IF(LEN(D5103)&lt;15,""figurative ছোট"",""""),IF(AND(I5103=""Positive"",REGEXMATCH(H5"&amp;"103,""মূর্খ|ভণ্ড|প্রতার|অলস|লোভ|স্বার্থ|অক্ষম|অযোগ্য|বোকা|কৃপণ|হিংস"")),""valence-target অমিল"",""""),IF(COUNTIF($B:$B,B5103)&gt;1,""ডুপ্লিকেট"",""""))"),"")</f>
        <v/>
      </c>
      <c r="Q5103" s="5" t="str">
        <f t="shared" si="1"/>
        <v>২ পরে</v>
      </c>
    </row>
    <row r="5104">
      <c r="A5104" s="4">
        <v>2945.0</v>
      </c>
      <c r="B5104" s="2" t="s">
        <v>20877</v>
      </c>
      <c r="C5104" s="2" t="s">
        <v>20878</v>
      </c>
      <c r="D5104" s="2" t="s">
        <v>20879</v>
      </c>
      <c r="E5104" s="2" t="s">
        <v>20880</v>
      </c>
      <c r="F5104" s="2" t="b">
        <v>1</v>
      </c>
      <c r="G5104" s="2" t="b">
        <v>0</v>
      </c>
      <c r="H5104" s="2" t="s">
        <v>37</v>
      </c>
      <c r="I5104" s="2" t="s">
        <v>22</v>
      </c>
      <c r="J5104" s="2" t="s">
        <v>2611</v>
      </c>
      <c r="K5104" s="2" t="s">
        <v>495</v>
      </c>
      <c r="L5104" s="13" t="s">
        <v>496</v>
      </c>
      <c r="M5104" s="2" t="s">
        <v>26</v>
      </c>
      <c r="N5104" s="29"/>
      <c r="O5104" s="29"/>
      <c r="P5104" s="5" t="str">
        <f>IFERROR(__xludf.DUMMYFUNCTION("TEXTJOIN("" | "",TRUE,IF(OR(D5104="""",E5104="""",I5104="""",J5104="""",H5104=""""),""ফাঁকা ঘর"",""""),IF(AND(C5104&lt;&gt;"""",D5104&lt;&gt;"""",C5104=D5104),""gloss=figurative"",""""),IF(LEN(D5104)&lt;15,""figurative ছোট"",""""),IF(AND(I5104=""Positive"",REGEXMATCH(H5"&amp;"104,""মূর্খ|ভণ্ড|প্রতার|অলস|লোভ|স্বার্থ|অক্ষম|অযোগ্য|বোকা|কৃপণ|হিংস"")),""valence-target অমিল"",""""),IF(COUNTIF($B:$B,B5104)&gt;1,""ডুপ্লিকেট"",""""))"),"")</f>
        <v/>
      </c>
      <c r="Q5104" s="5" t="str">
        <f t="shared" si="1"/>
        <v>২ পরে</v>
      </c>
    </row>
    <row r="5105">
      <c r="A5105" s="4">
        <v>2946.0</v>
      </c>
      <c r="B5105" s="2" t="s">
        <v>20881</v>
      </c>
      <c r="C5105" s="2" t="s">
        <v>20882</v>
      </c>
      <c r="D5105" s="2" t="s">
        <v>20883</v>
      </c>
      <c r="E5105" s="2" t="s">
        <v>20884</v>
      </c>
      <c r="F5105" s="2" t="b">
        <v>1</v>
      </c>
      <c r="G5105" s="2" t="b">
        <v>0</v>
      </c>
      <c r="H5105" s="2" t="s">
        <v>37</v>
      </c>
      <c r="I5105" s="2" t="s">
        <v>22</v>
      </c>
      <c r="J5105" s="2" t="s">
        <v>2629</v>
      </c>
      <c r="K5105" s="2" t="s">
        <v>495</v>
      </c>
      <c r="L5105" s="13" t="s">
        <v>496</v>
      </c>
      <c r="M5105" s="2" t="s">
        <v>26</v>
      </c>
      <c r="N5105" s="29"/>
      <c r="O5105" s="29"/>
      <c r="P5105" s="5" t="str">
        <f>IFERROR(__xludf.DUMMYFUNCTION("TEXTJOIN("" | "",TRUE,IF(OR(D5105="""",E5105="""",I5105="""",J5105="""",H5105=""""),""ফাঁকা ঘর"",""""),IF(AND(C5105&lt;&gt;"""",D5105&lt;&gt;"""",C5105=D5105),""gloss=figurative"",""""),IF(LEN(D5105)&lt;15,""figurative ছোট"",""""),IF(AND(I5105=""Positive"",REGEXMATCH(H5"&amp;"105,""মূর্খ|ভণ্ড|প্রতার|অলস|লোভ|স্বার্থ|অক্ষম|অযোগ্য|বোকা|কৃপণ|হিংস"")),""valence-target অমিল"",""""),IF(COUNTIF($B:$B,B5105)&gt;1,""ডুপ্লিকেট"",""""))"),"")</f>
        <v/>
      </c>
      <c r="Q5105" s="5" t="str">
        <f t="shared" si="1"/>
        <v>২ পরে</v>
      </c>
    </row>
    <row r="5106">
      <c r="A5106" s="4">
        <v>2947.0</v>
      </c>
      <c r="B5106" s="2" t="s">
        <v>20885</v>
      </c>
      <c r="C5106" s="2" t="s">
        <v>20886</v>
      </c>
      <c r="D5106" s="2" t="s">
        <v>20887</v>
      </c>
      <c r="E5106" s="2" t="s">
        <v>20888</v>
      </c>
      <c r="F5106" s="2" t="b">
        <v>1</v>
      </c>
      <c r="G5106" s="2" t="b">
        <v>0</v>
      </c>
      <c r="H5106" s="2" t="s">
        <v>37</v>
      </c>
      <c r="I5106" s="2" t="s">
        <v>22</v>
      </c>
      <c r="J5106" s="2" t="s">
        <v>11796</v>
      </c>
      <c r="K5106" s="2" t="s">
        <v>495</v>
      </c>
      <c r="L5106" s="13" t="s">
        <v>496</v>
      </c>
      <c r="M5106" s="2" t="s">
        <v>26</v>
      </c>
      <c r="N5106" s="29"/>
      <c r="O5106" s="29"/>
      <c r="P5106" s="5" t="str">
        <f>IFERROR(__xludf.DUMMYFUNCTION("TEXTJOIN("" | "",TRUE,IF(OR(D5106="""",E5106="""",I5106="""",J5106="""",H5106=""""),""ফাঁকা ঘর"",""""),IF(AND(C5106&lt;&gt;"""",D5106&lt;&gt;"""",C5106=D5106),""gloss=figurative"",""""),IF(LEN(D5106)&lt;15,""figurative ছোট"",""""),IF(AND(I5106=""Positive"",REGEXMATCH(H5"&amp;"106,""মূর্খ|ভণ্ড|প্রতার|অলস|লোভ|স্বার্থ|অক্ষম|অযোগ্য|বোকা|কৃপণ|হিংস"")),""valence-target অমিল"",""""),IF(COUNTIF($B:$B,B5106)&gt;1,""ডুপ্লিকেট"",""""))"),"")</f>
        <v/>
      </c>
      <c r="Q5106" s="5" t="str">
        <f t="shared" si="1"/>
        <v>২ পরে</v>
      </c>
    </row>
    <row r="5107">
      <c r="A5107" s="4">
        <v>2948.0</v>
      </c>
      <c r="B5107" s="2" t="s">
        <v>20889</v>
      </c>
      <c r="C5107" s="2" t="s">
        <v>20890</v>
      </c>
      <c r="D5107" s="2" t="s">
        <v>20891</v>
      </c>
      <c r="E5107" s="2" t="s">
        <v>20892</v>
      </c>
      <c r="F5107" s="2" t="b">
        <v>1</v>
      </c>
      <c r="G5107" s="2" t="b">
        <v>0</v>
      </c>
      <c r="H5107" s="2" t="s">
        <v>37</v>
      </c>
      <c r="I5107" s="2" t="s">
        <v>49</v>
      </c>
      <c r="J5107" s="2" t="s">
        <v>2732</v>
      </c>
      <c r="K5107" s="2" t="s">
        <v>495</v>
      </c>
      <c r="L5107" s="13" t="s">
        <v>496</v>
      </c>
      <c r="M5107" s="2" t="s">
        <v>26</v>
      </c>
      <c r="N5107" s="29"/>
      <c r="O5107" s="29"/>
      <c r="P5107" s="5" t="str">
        <f>IFERROR(__xludf.DUMMYFUNCTION("TEXTJOIN("" | "",TRUE,IF(OR(D5107="""",E5107="""",I5107="""",J5107="""",H5107=""""),""ফাঁকা ঘর"",""""),IF(AND(C5107&lt;&gt;"""",D5107&lt;&gt;"""",C5107=D5107),""gloss=figurative"",""""),IF(LEN(D5107)&lt;15,""figurative ছোট"",""""),IF(AND(I5107=""Positive"",REGEXMATCH(H5"&amp;"107,""মূর্খ|ভণ্ড|প্রতার|অলস|লোভ|স্বার্থ|অক্ষম|অযোগ্য|বোকা|কৃপণ|হিংস"")),""valence-target অমিল"",""""),IF(COUNTIF($B:$B,B5107)&gt;1,""ডুপ্লিকেট"",""""))"),"")</f>
        <v/>
      </c>
      <c r="Q5107" s="5" t="str">
        <f t="shared" si="1"/>
        <v>২ পরে</v>
      </c>
    </row>
    <row r="5108">
      <c r="A5108" s="4">
        <v>2949.0</v>
      </c>
      <c r="B5108" s="2" t="s">
        <v>20893</v>
      </c>
      <c r="C5108" s="2" t="s">
        <v>20894</v>
      </c>
      <c r="D5108" s="2" t="s">
        <v>20895</v>
      </c>
      <c r="E5108" s="2" t="s">
        <v>20896</v>
      </c>
      <c r="F5108" s="2" t="b">
        <v>1</v>
      </c>
      <c r="G5108" s="2" t="b">
        <v>0</v>
      </c>
      <c r="H5108" s="2" t="s">
        <v>37</v>
      </c>
      <c r="I5108" s="2" t="s">
        <v>22</v>
      </c>
      <c r="J5108" s="2" t="s">
        <v>20897</v>
      </c>
      <c r="K5108" s="2" t="s">
        <v>495</v>
      </c>
      <c r="L5108" s="13" t="s">
        <v>496</v>
      </c>
      <c r="M5108" s="2" t="s">
        <v>26</v>
      </c>
      <c r="N5108" s="29"/>
      <c r="O5108" s="29"/>
      <c r="P5108" s="5" t="str">
        <f>IFERROR(__xludf.DUMMYFUNCTION("TEXTJOIN("" | "",TRUE,IF(OR(D5108="""",E5108="""",I5108="""",J5108="""",H5108=""""),""ফাঁকা ঘর"",""""),IF(AND(C5108&lt;&gt;"""",D5108&lt;&gt;"""",C5108=D5108),""gloss=figurative"",""""),IF(LEN(D5108)&lt;15,""figurative ছোট"",""""),IF(AND(I5108=""Positive"",REGEXMATCH(H5"&amp;"108,""মূর্খ|ভণ্ড|প্রতার|অলস|লোভ|স্বার্থ|অক্ষম|অযোগ্য|বোকা|কৃপণ|হিংস"")),""valence-target অমিল"",""""),IF(COUNTIF($B:$B,B5108)&gt;1,""ডুপ্লিকেট"",""""))"),"")</f>
        <v/>
      </c>
      <c r="Q5108" s="5" t="str">
        <f t="shared" si="1"/>
        <v>২ পরে</v>
      </c>
    </row>
    <row r="5109">
      <c r="A5109" s="4">
        <v>2950.0</v>
      </c>
      <c r="B5109" s="2" t="s">
        <v>20898</v>
      </c>
      <c r="C5109" s="2" t="s">
        <v>20899</v>
      </c>
      <c r="D5109" s="2" t="s">
        <v>20900</v>
      </c>
      <c r="E5109" s="2" t="s">
        <v>20901</v>
      </c>
      <c r="F5109" s="2" t="b">
        <v>1</v>
      </c>
      <c r="G5109" s="2" t="b">
        <v>0</v>
      </c>
      <c r="H5109" s="2" t="s">
        <v>37</v>
      </c>
      <c r="I5109" s="2" t="s">
        <v>22</v>
      </c>
      <c r="J5109" s="2" t="s">
        <v>1644</v>
      </c>
      <c r="K5109" s="2" t="s">
        <v>495</v>
      </c>
      <c r="L5109" s="13" t="s">
        <v>496</v>
      </c>
      <c r="M5109" s="2" t="s">
        <v>26</v>
      </c>
      <c r="N5109" s="29"/>
      <c r="O5109" s="29"/>
      <c r="P5109" s="5" t="str">
        <f>IFERROR(__xludf.DUMMYFUNCTION("TEXTJOIN("" | "",TRUE,IF(OR(D5109="""",E5109="""",I5109="""",J5109="""",H5109=""""),""ফাঁকা ঘর"",""""),IF(AND(C5109&lt;&gt;"""",D5109&lt;&gt;"""",C5109=D5109),""gloss=figurative"",""""),IF(LEN(D5109)&lt;15,""figurative ছোট"",""""),IF(AND(I5109=""Positive"",REGEXMATCH(H5"&amp;"109,""মূর্খ|ভণ্ড|প্রতার|অলস|লোভ|স্বার্থ|অক্ষম|অযোগ্য|বোকা|কৃপণ|হিংস"")),""valence-target অমিল"",""""),IF(COUNTIF($B:$B,B5109)&gt;1,""ডুপ্লিকেট"",""""))"),"")</f>
        <v/>
      </c>
      <c r="Q5109" s="5" t="str">
        <f t="shared" si="1"/>
        <v>২ পরে</v>
      </c>
    </row>
    <row r="5110">
      <c r="A5110" s="4">
        <v>2951.0</v>
      </c>
      <c r="B5110" s="2" t="s">
        <v>20902</v>
      </c>
      <c r="C5110" s="2" t="s">
        <v>20903</v>
      </c>
      <c r="D5110" s="2" t="s">
        <v>20904</v>
      </c>
      <c r="E5110" s="2" t="s">
        <v>20905</v>
      </c>
      <c r="F5110" s="2" t="b">
        <v>1</v>
      </c>
      <c r="G5110" s="2" t="b">
        <v>0</v>
      </c>
      <c r="H5110" s="2" t="s">
        <v>37</v>
      </c>
      <c r="I5110" s="2" t="s">
        <v>32</v>
      </c>
      <c r="J5110" s="2" t="s">
        <v>708</v>
      </c>
      <c r="K5110" s="2" t="s">
        <v>495</v>
      </c>
      <c r="L5110" s="13" t="s">
        <v>496</v>
      </c>
      <c r="M5110" s="2" t="s">
        <v>26</v>
      </c>
      <c r="N5110" s="29"/>
      <c r="O5110" s="29"/>
      <c r="P5110" s="5" t="str">
        <f>IFERROR(__xludf.DUMMYFUNCTION("TEXTJOIN("" | "",TRUE,IF(OR(D5110="""",E5110="""",I5110="""",J5110="""",H5110=""""),""ফাঁকা ঘর"",""""),IF(AND(C5110&lt;&gt;"""",D5110&lt;&gt;"""",C5110=D5110),""gloss=figurative"",""""),IF(LEN(D5110)&lt;15,""figurative ছোট"",""""),IF(AND(I5110=""Positive"",REGEXMATCH(H5"&amp;"110,""মূর্খ|ভণ্ড|প্রতার|অলস|লোভ|স্বার্থ|অক্ষম|অযোগ্য|বোকা|কৃপণ|হিংস"")),""valence-target অমিল"",""""),IF(COUNTIF($B:$B,B5110)&gt;1,""ডুপ্লিকেট"",""""))"),"")</f>
        <v/>
      </c>
      <c r="Q5110" s="5" t="str">
        <f t="shared" si="1"/>
        <v>২ পরে</v>
      </c>
    </row>
    <row r="5111">
      <c r="A5111" s="4">
        <v>2952.0</v>
      </c>
      <c r="B5111" s="2" t="s">
        <v>20906</v>
      </c>
      <c r="C5111" s="2" t="s">
        <v>20907</v>
      </c>
      <c r="D5111" s="2" t="s">
        <v>20908</v>
      </c>
      <c r="E5111" s="2" t="s">
        <v>20909</v>
      </c>
      <c r="F5111" s="2" t="b">
        <v>1</v>
      </c>
      <c r="G5111" s="2" t="b">
        <v>0</v>
      </c>
      <c r="H5111" s="2" t="s">
        <v>37</v>
      </c>
      <c r="I5111" s="2" t="s">
        <v>49</v>
      </c>
      <c r="J5111" s="2" t="s">
        <v>16048</v>
      </c>
      <c r="K5111" s="2" t="s">
        <v>495</v>
      </c>
      <c r="L5111" s="13" t="s">
        <v>496</v>
      </c>
      <c r="M5111" s="2" t="s">
        <v>26</v>
      </c>
      <c r="N5111" s="29"/>
      <c r="O5111" s="29"/>
      <c r="P5111" s="5" t="str">
        <f>IFERROR(__xludf.DUMMYFUNCTION("TEXTJOIN("" | "",TRUE,IF(OR(D5111="""",E5111="""",I5111="""",J5111="""",H5111=""""),""ফাঁকা ঘর"",""""),IF(AND(C5111&lt;&gt;"""",D5111&lt;&gt;"""",C5111=D5111),""gloss=figurative"",""""),IF(LEN(D5111)&lt;15,""figurative ছোট"",""""),IF(AND(I5111=""Positive"",REGEXMATCH(H5"&amp;"111,""মূর্খ|ভণ্ড|প্রতার|অলস|লোভ|স্বার্থ|অক্ষম|অযোগ্য|বোকা|কৃপণ|হিংস"")),""valence-target অমিল"",""""),IF(COUNTIF($B:$B,B5111)&gt;1,""ডুপ্লিকেট"",""""))"),"")</f>
        <v/>
      </c>
      <c r="Q5111" s="5" t="str">
        <f t="shared" si="1"/>
        <v>২ পরে</v>
      </c>
    </row>
    <row r="5112">
      <c r="A5112" s="4">
        <v>2953.0</v>
      </c>
      <c r="B5112" s="2" t="s">
        <v>20910</v>
      </c>
      <c r="C5112" s="2" t="s">
        <v>20911</v>
      </c>
      <c r="D5112" s="2" t="s">
        <v>20912</v>
      </c>
      <c r="E5112" s="2" t="s">
        <v>20913</v>
      </c>
      <c r="F5112" s="2" t="b">
        <v>1</v>
      </c>
      <c r="G5112" s="2" t="b">
        <v>0</v>
      </c>
      <c r="H5112" s="2" t="s">
        <v>37</v>
      </c>
      <c r="I5112" s="2" t="s">
        <v>49</v>
      </c>
      <c r="J5112" s="2" t="s">
        <v>708</v>
      </c>
      <c r="K5112" s="2" t="s">
        <v>495</v>
      </c>
      <c r="L5112" s="13" t="s">
        <v>496</v>
      </c>
      <c r="M5112" s="2" t="s">
        <v>26</v>
      </c>
      <c r="N5112" s="29"/>
      <c r="O5112" s="29"/>
      <c r="P5112" s="5" t="str">
        <f>IFERROR(__xludf.DUMMYFUNCTION("TEXTJOIN("" | "",TRUE,IF(OR(D5112="""",E5112="""",I5112="""",J5112="""",H5112=""""),""ফাঁকা ঘর"",""""),IF(AND(C5112&lt;&gt;"""",D5112&lt;&gt;"""",C5112=D5112),""gloss=figurative"",""""),IF(LEN(D5112)&lt;15,""figurative ছোট"",""""),IF(AND(I5112=""Positive"",REGEXMATCH(H5"&amp;"112,""মূর্খ|ভণ্ড|প্রতার|অলস|লোভ|স্বার্থ|অক্ষম|অযোগ্য|বোকা|কৃপণ|হিংস"")),""valence-target অমিল"",""""),IF(COUNTIF($B:$B,B5112)&gt;1,""ডুপ্লিকেট"",""""))"),"")</f>
        <v/>
      </c>
      <c r="Q5112" s="5" t="str">
        <f t="shared" si="1"/>
        <v>২ পরে</v>
      </c>
    </row>
    <row r="5113">
      <c r="A5113" s="4">
        <v>2954.0</v>
      </c>
      <c r="B5113" s="2" t="s">
        <v>20914</v>
      </c>
      <c r="C5113" s="2" t="s">
        <v>20915</v>
      </c>
      <c r="D5113" s="2" t="s">
        <v>20916</v>
      </c>
      <c r="E5113" s="2" t="s">
        <v>20917</v>
      </c>
      <c r="F5113" s="2" t="b">
        <v>1</v>
      </c>
      <c r="G5113" s="2" t="b">
        <v>0</v>
      </c>
      <c r="H5113" s="2" t="s">
        <v>37</v>
      </c>
      <c r="I5113" s="2" t="s">
        <v>22</v>
      </c>
      <c r="J5113" s="2" t="s">
        <v>708</v>
      </c>
      <c r="K5113" s="2" t="s">
        <v>495</v>
      </c>
      <c r="L5113" s="13" t="s">
        <v>496</v>
      </c>
      <c r="M5113" s="2" t="s">
        <v>26</v>
      </c>
      <c r="N5113" s="29"/>
      <c r="O5113" s="29"/>
      <c r="P5113" s="5" t="str">
        <f>IFERROR(__xludf.DUMMYFUNCTION("TEXTJOIN("" | "",TRUE,IF(OR(D5113="""",E5113="""",I5113="""",J5113="""",H5113=""""),""ফাঁকা ঘর"",""""),IF(AND(C5113&lt;&gt;"""",D5113&lt;&gt;"""",C5113=D5113),""gloss=figurative"",""""),IF(LEN(D5113)&lt;15,""figurative ছোট"",""""),IF(AND(I5113=""Positive"",REGEXMATCH(H5"&amp;"113,""মূর্খ|ভণ্ড|প্রতার|অলস|লোভ|স্বার্থ|অক্ষম|অযোগ্য|বোকা|কৃপণ|হিংস"")),""valence-target অমিল"",""""),IF(COUNTIF($B:$B,B5113)&gt;1,""ডুপ্লিকেট"",""""))"),"")</f>
        <v/>
      </c>
      <c r="Q5113" s="5" t="str">
        <f t="shared" si="1"/>
        <v>২ পরে</v>
      </c>
    </row>
    <row r="5114">
      <c r="A5114" s="4">
        <v>2955.0</v>
      </c>
      <c r="B5114" s="2" t="s">
        <v>20918</v>
      </c>
      <c r="C5114" s="2" t="s">
        <v>20919</v>
      </c>
      <c r="D5114" s="2" t="s">
        <v>20920</v>
      </c>
      <c r="E5114" s="2" t="s">
        <v>20921</v>
      </c>
      <c r="F5114" s="2" t="b">
        <v>1</v>
      </c>
      <c r="G5114" s="2" t="b">
        <v>0</v>
      </c>
      <c r="H5114" s="2" t="s">
        <v>37</v>
      </c>
      <c r="I5114" s="2" t="s">
        <v>22</v>
      </c>
      <c r="J5114" s="2" t="s">
        <v>1397</v>
      </c>
      <c r="K5114" s="2" t="s">
        <v>495</v>
      </c>
      <c r="L5114" s="13" t="s">
        <v>496</v>
      </c>
      <c r="M5114" s="2" t="s">
        <v>26</v>
      </c>
      <c r="N5114" s="29"/>
      <c r="O5114" s="29"/>
      <c r="P5114" s="5" t="str">
        <f>IFERROR(__xludf.DUMMYFUNCTION("TEXTJOIN("" | "",TRUE,IF(OR(D5114="""",E5114="""",I5114="""",J5114="""",H5114=""""),""ফাঁকা ঘর"",""""),IF(AND(C5114&lt;&gt;"""",D5114&lt;&gt;"""",C5114=D5114),""gloss=figurative"",""""),IF(LEN(D5114)&lt;15,""figurative ছোট"",""""),IF(AND(I5114=""Positive"",REGEXMATCH(H5"&amp;"114,""মূর্খ|ভণ্ড|প্রতার|অলস|লোভ|স্বার্থ|অক্ষম|অযোগ্য|বোকা|কৃপণ|হিংস"")),""valence-target অমিল"",""""),IF(COUNTIF($B:$B,B5114)&gt;1,""ডুপ্লিকেট"",""""))"),"")</f>
        <v/>
      </c>
      <c r="Q5114" s="5" t="str">
        <f t="shared" si="1"/>
        <v>২ পরে</v>
      </c>
    </row>
    <row r="5115">
      <c r="A5115" s="4">
        <v>2956.0</v>
      </c>
      <c r="B5115" s="2" t="s">
        <v>20922</v>
      </c>
      <c r="C5115" s="2" t="s">
        <v>20923</v>
      </c>
      <c r="D5115" s="2" t="s">
        <v>20924</v>
      </c>
      <c r="E5115" s="2" t="s">
        <v>20925</v>
      </c>
      <c r="F5115" s="2" t="b">
        <v>1</v>
      </c>
      <c r="G5115" s="2" t="b">
        <v>0</v>
      </c>
      <c r="H5115" s="2" t="s">
        <v>37</v>
      </c>
      <c r="I5115" s="2" t="s">
        <v>22</v>
      </c>
      <c r="J5115" s="2" t="s">
        <v>820</v>
      </c>
      <c r="K5115" s="2" t="s">
        <v>495</v>
      </c>
      <c r="L5115" s="13" t="s">
        <v>496</v>
      </c>
      <c r="M5115" s="2" t="s">
        <v>26</v>
      </c>
      <c r="N5115" s="29"/>
      <c r="O5115" s="29"/>
      <c r="P5115" s="5" t="str">
        <f>IFERROR(__xludf.DUMMYFUNCTION("TEXTJOIN("" | "",TRUE,IF(OR(D5115="""",E5115="""",I5115="""",J5115="""",H5115=""""),""ফাঁকা ঘর"",""""),IF(AND(C5115&lt;&gt;"""",D5115&lt;&gt;"""",C5115=D5115),""gloss=figurative"",""""),IF(LEN(D5115)&lt;15,""figurative ছোট"",""""),IF(AND(I5115=""Positive"",REGEXMATCH(H5"&amp;"115,""মূর্খ|ভণ্ড|প্রতার|অলস|লোভ|স্বার্থ|অক্ষম|অযোগ্য|বোকা|কৃপণ|হিংস"")),""valence-target অমিল"",""""),IF(COUNTIF($B:$B,B5115)&gt;1,""ডুপ্লিকেট"",""""))"),"")</f>
        <v/>
      </c>
      <c r="Q5115" s="5" t="str">
        <f t="shared" si="1"/>
        <v>২ পরে</v>
      </c>
    </row>
    <row r="5116">
      <c r="A5116" s="4">
        <v>2957.0</v>
      </c>
      <c r="B5116" s="2" t="s">
        <v>20926</v>
      </c>
      <c r="C5116" s="2" t="s">
        <v>20927</v>
      </c>
      <c r="D5116" s="2" t="s">
        <v>20928</v>
      </c>
      <c r="E5116" s="2" t="s">
        <v>20929</v>
      </c>
      <c r="F5116" s="2" t="b">
        <v>1</v>
      </c>
      <c r="G5116" s="2" t="b">
        <v>0</v>
      </c>
      <c r="H5116" s="2" t="s">
        <v>37</v>
      </c>
      <c r="I5116" s="2" t="s">
        <v>22</v>
      </c>
      <c r="J5116" s="2" t="s">
        <v>176</v>
      </c>
      <c r="K5116" s="2" t="s">
        <v>495</v>
      </c>
      <c r="L5116" s="13" t="s">
        <v>496</v>
      </c>
      <c r="M5116" s="2" t="s">
        <v>26</v>
      </c>
      <c r="N5116" s="29"/>
      <c r="O5116" s="29"/>
      <c r="P5116" s="5" t="str">
        <f>IFERROR(__xludf.DUMMYFUNCTION("TEXTJOIN("" | "",TRUE,IF(OR(D5116="""",E5116="""",I5116="""",J5116="""",H5116=""""),""ফাঁকা ঘর"",""""),IF(AND(C5116&lt;&gt;"""",D5116&lt;&gt;"""",C5116=D5116),""gloss=figurative"",""""),IF(LEN(D5116)&lt;15,""figurative ছোট"",""""),IF(AND(I5116=""Positive"",REGEXMATCH(H5"&amp;"116,""মূর্খ|ভণ্ড|প্রতার|অলস|লোভ|স্বার্থ|অক্ষম|অযোগ্য|বোকা|কৃপণ|হিংস"")),""valence-target অমিল"",""""),IF(COUNTIF($B:$B,B5116)&gt;1,""ডুপ্লিকেট"",""""))"),"")</f>
        <v/>
      </c>
      <c r="Q5116" s="5" t="str">
        <f t="shared" si="1"/>
        <v>২ পরে</v>
      </c>
    </row>
    <row r="5117">
      <c r="A5117" s="4">
        <v>2958.0</v>
      </c>
      <c r="B5117" s="2" t="s">
        <v>20930</v>
      </c>
      <c r="C5117" s="2" t="s">
        <v>20931</v>
      </c>
      <c r="D5117" s="2" t="s">
        <v>20932</v>
      </c>
      <c r="E5117" s="2" t="s">
        <v>20933</v>
      </c>
      <c r="F5117" s="2" t="b">
        <v>1</v>
      </c>
      <c r="G5117" s="2" t="b">
        <v>0</v>
      </c>
      <c r="H5117" s="2" t="s">
        <v>37</v>
      </c>
      <c r="I5117" s="2" t="s">
        <v>22</v>
      </c>
      <c r="J5117" s="2" t="s">
        <v>176</v>
      </c>
      <c r="K5117" s="2" t="s">
        <v>495</v>
      </c>
      <c r="L5117" s="13" t="s">
        <v>496</v>
      </c>
      <c r="M5117" s="2" t="s">
        <v>26</v>
      </c>
      <c r="N5117" s="29"/>
      <c r="O5117" s="29"/>
      <c r="P5117" s="5" t="str">
        <f>IFERROR(__xludf.DUMMYFUNCTION("TEXTJOIN("" | "",TRUE,IF(OR(D5117="""",E5117="""",I5117="""",J5117="""",H5117=""""),""ফাঁকা ঘর"",""""),IF(AND(C5117&lt;&gt;"""",D5117&lt;&gt;"""",C5117=D5117),""gloss=figurative"",""""),IF(LEN(D5117)&lt;15,""figurative ছোট"",""""),IF(AND(I5117=""Positive"",REGEXMATCH(H5"&amp;"117,""মূর্খ|ভণ্ড|প্রতার|অলস|লোভ|স্বার্থ|অক্ষম|অযোগ্য|বোকা|কৃপণ|হিংস"")),""valence-target অমিল"",""""),IF(COUNTIF($B:$B,B5117)&gt;1,""ডুপ্লিকেট"",""""))"),"")</f>
        <v/>
      </c>
      <c r="Q5117" s="5" t="str">
        <f t="shared" si="1"/>
        <v>২ পরে</v>
      </c>
    </row>
    <row r="5118">
      <c r="A5118" s="4">
        <v>2959.0</v>
      </c>
      <c r="B5118" s="2" t="s">
        <v>20934</v>
      </c>
      <c r="C5118" s="2" t="s">
        <v>20935</v>
      </c>
      <c r="D5118" s="2" t="s">
        <v>20936</v>
      </c>
      <c r="E5118" s="2" t="s">
        <v>20937</v>
      </c>
      <c r="F5118" s="2" t="b">
        <v>1</v>
      </c>
      <c r="G5118" s="2" t="b">
        <v>0</v>
      </c>
      <c r="H5118" s="2" t="s">
        <v>37</v>
      </c>
      <c r="I5118" s="2" t="s">
        <v>22</v>
      </c>
      <c r="J5118" s="2" t="s">
        <v>43</v>
      </c>
      <c r="K5118" s="2" t="s">
        <v>495</v>
      </c>
      <c r="L5118" s="13" t="s">
        <v>496</v>
      </c>
      <c r="M5118" s="2" t="s">
        <v>26</v>
      </c>
      <c r="N5118" s="29"/>
      <c r="O5118" s="29"/>
      <c r="P5118" s="5" t="str">
        <f>IFERROR(__xludf.DUMMYFUNCTION("TEXTJOIN("" | "",TRUE,IF(OR(D5118="""",E5118="""",I5118="""",J5118="""",H5118=""""),""ফাঁকা ঘর"",""""),IF(AND(C5118&lt;&gt;"""",D5118&lt;&gt;"""",C5118=D5118),""gloss=figurative"",""""),IF(LEN(D5118)&lt;15,""figurative ছোট"",""""),IF(AND(I5118=""Positive"",REGEXMATCH(H5"&amp;"118,""মূর্খ|ভণ্ড|প্রতার|অলস|লোভ|স্বার্থ|অক্ষম|অযোগ্য|বোকা|কৃপণ|হিংস"")),""valence-target অমিল"",""""),IF(COUNTIF($B:$B,B5118)&gt;1,""ডুপ্লিকেট"",""""))"),"")</f>
        <v/>
      </c>
      <c r="Q5118" s="5" t="str">
        <f t="shared" si="1"/>
        <v>২ পরে</v>
      </c>
    </row>
    <row r="5119">
      <c r="A5119" s="4">
        <v>2960.0</v>
      </c>
      <c r="B5119" s="2" t="s">
        <v>20938</v>
      </c>
      <c r="C5119" s="2" t="s">
        <v>20939</v>
      </c>
      <c r="D5119" s="2" t="s">
        <v>20940</v>
      </c>
      <c r="E5119" s="2" t="s">
        <v>20941</v>
      </c>
      <c r="F5119" s="2" t="b">
        <v>1</v>
      </c>
      <c r="G5119" s="2" t="b">
        <v>0</v>
      </c>
      <c r="H5119" s="2" t="s">
        <v>37</v>
      </c>
      <c r="I5119" s="2" t="s">
        <v>22</v>
      </c>
      <c r="J5119" s="2" t="s">
        <v>820</v>
      </c>
      <c r="K5119" s="2" t="s">
        <v>495</v>
      </c>
      <c r="L5119" s="13" t="s">
        <v>496</v>
      </c>
      <c r="M5119" s="2" t="s">
        <v>26</v>
      </c>
      <c r="N5119" s="29"/>
      <c r="O5119" s="29"/>
      <c r="P5119" s="5" t="str">
        <f>IFERROR(__xludf.DUMMYFUNCTION("TEXTJOIN("" | "",TRUE,IF(OR(D5119="""",E5119="""",I5119="""",J5119="""",H5119=""""),""ফাঁকা ঘর"",""""),IF(AND(C5119&lt;&gt;"""",D5119&lt;&gt;"""",C5119=D5119),""gloss=figurative"",""""),IF(LEN(D5119)&lt;15,""figurative ছোট"",""""),IF(AND(I5119=""Positive"",REGEXMATCH(H5"&amp;"119,""মূর্খ|ভণ্ড|প্রতার|অলস|লোভ|স্বার্থ|অক্ষম|অযোগ্য|বোকা|কৃপণ|হিংস"")),""valence-target অমিল"",""""),IF(COUNTIF($B:$B,B5119)&gt;1,""ডুপ্লিকেট"",""""))"),"")</f>
        <v/>
      </c>
      <c r="Q5119" s="5" t="str">
        <f t="shared" si="1"/>
        <v>২ পরে</v>
      </c>
    </row>
    <row r="5120">
      <c r="A5120" s="4">
        <v>2961.0</v>
      </c>
      <c r="B5120" s="2" t="s">
        <v>20942</v>
      </c>
      <c r="C5120" s="2" t="s">
        <v>20943</v>
      </c>
      <c r="D5120" s="2" t="s">
        <v>20944</v>
      </c>
      <c r="E5120" s="2" t="s">
        <v>20945</v>
      </c>
      <c r="F5120" s="2" t="b">
        <v>1</v>
      </c>
      <c r="G5120" s="2" t="b">
        <v>0</v>
      </c>
      <c r="H5120" s="2" t="s">
        <v>37</v>
      </c>
      <c r="I5120" s="2" t="s">
        <v>22</v>
      </c>
      <c r="J5120" s="2" t="s">
        <v>43</v>
      </c>
      <c r="K5120" s="2" t="s">
        <v>495</v>
      </c>
      <c r="L5120" s="13" t="s">
        <v>496</v>
      </c>
      <c r="M5120" s="2" t="s">
        <v>26</v>
      </c>
      <c r="N5120" s="29"/>
      <c r="O5120" s="29"/>
      <c r="P5120" s="5" t="str">
        <f>IFERROR(__xludf.DUMMYFUNCTION("TEXTJOIN("" | "",TRUE,IF(OR(D5120="""",E5120="""",I5120="""",J5120="""",H5120=""""),""ফাঁকা ঘর"",""""),IF(AND(C5120&lt;&gt;"""",D5120&lt;&gt;"""",C5120=D5120),""gloss=figurative"",""""),IF(LEN(D5120)&lt;15,""figurative ছোট"",""""),IF(AND(I5120=""Positive"",REGEXMATCH(H5"&amp;"120,""মূর্খ|ভণ্ড|প্রতার|অলস|লোভ|স্বার্থ|অক্ষম|অযোগ্য|বোকা|কৃপণ|হিংস"")),""valence-target অমিল"",""""),IF(COUNTIF($B:$B,B5120)&gt;1,""ডুপ্লিকেট"",""""))"),"")</f>
        <v/>
      </c>
      <c r="Q5120" s="5" t="str">
        <f t="shared" si="1"/>
        <v>২ পরে</v>
      </c>
    </row>
    <row r="5121">
      <c r="A5121" s="4">
        <v>2962.0</v>
      </c>
      <c r="B5121" s="2" t="s">
        <v>20946</v>
      </c>
      <c r="C5121" s="2" t="s">
        <v>20947</v>
      </c>
      <c r="D5121" s="2" t="s">
        <v>20948</v>
      </c>
      <c r="E5121" s="2" t="s">
        <v>20949</v>
      </c>
      <c r="F5121" s="2" t="b">
        <v>1</v>
      </c>
      <c r="G5121" s="2" t="b">
        <v>0</v>
      </c>
      <c r="H5121" s="2" t="s">
        <v>37</v>
      </c>
      <c r="I5121" s="2" t="s">
        <v>22</v>
      </c>
      <c r="J5121" s="2" t="s">
        <v>43</v>
      </c>
      <c r="K5121" s="2" t="s">
        <v>495</v>
      </c>
      <c r="L5121" s="13" t="s">
        <v>496</v>
      </c>
      <c r="M5121" s="2" t="s">
        <v>26</v>
      </c>
      <c r="N5121" s="29"/>
      <c r="O5121" s="29"/>
      <c r="P5121" s="5" t="str">
        <f>IFERROR(__xludf.DUMMYFUNCTION("TEXTJOIN("" | "",TRUE,IF(OR(D5121="""",E5121="""",I5121="""",J5121="""",H5121=""""),""ফাঁকা ঘর"",""""),IF(AND(C5121&lt;&gt;"""",D5121&lt;&gt;"""",C5121=D5121),""gloss=figurative"",""""),IF(LEN(D5121)&lt;15,""figurative ছোট"",""""),IF(AND(I5121=""Positive"",REGEXMATCH(H5"&amp;"121,""মূর্খ|ভণ্ড|প্রতার|অলস|লোভ|স্বার্থ|অক্ষম|অযোগ্য|বোকা|কৃপণ|হিংস"")),""valence-target অমিল"",""""),IF(COUNTIF($B:$B,B5121)&gt;1,""ডুপ্লিকেট"",""""))"),"")</f>
        <v/>
      </c>
      <c r="Q5121" s="5" t="str">
        <f t="shared" si="1"/>
        <v>২ পরে</v>
      </c>
    </row>
    <row r="5122">
      <c r="A5122" s="4">
        <v>2963.0</v>
      </c>
      <c r="B5122" s="2" t="s">
        <v>20950</v>
      </c>
      <c r="C5122" s="2" t="s">
        <v>20951</v>
      </c>
      <c r="D5122" s="2" t="s">
        <v>20952</v>
      </c>
      <c r="E5122" s="2" t="s">
        <v>20953</v>
      </c>
      <c r="F5122" s="2" t="b">
        <v>1</v>
      </c>
      <c r="G5122" s="2" t="b">
        <v>0</v>
      </c>
      <c r="H5122" s="2" t="s">
        <v>37</v>
      </c>
      <c r="I5122" s="2" t="s">
        <v>22</v>
      </c>
      <c r="J5122" s="2" t="s">
        <v>1603</v>
      </c>
      <c r="K5122" s="2" t="s">
        <v>495</v>
      </c>
      <c r="L5122" s="13" t="s">
        <v>496</v>
      </c>
      <c r="M5122" s="2" t="s">
        <v>26</v>
      </c>
      <c r="N5122" s="29"/>
      <c r="O5122" s="29"/>
      <c r="P5122" s="5" t="str">
        <f>IFERROR(__xludf.DUMMYFUNCTION("TEXTJOIN("" | "",TRUE,IF(OR(D5122="""",E5122="""",I5122="""",J5122="""",H5122=""""),""ফাঁকা ঘর"",""""),IF(AND(C5122&lt;&gt;"""",D5122&lt;&gt;"""",C5122=D5122),""gloss=figurative"",""""),IF(LEN(D5122)&lt;15,""figurative ছোট"",""""),IF(AND(I5122=""Positive"",REGEXMATCH(H5"&amp;"122,""মূর্খ|ভণ্ড|প্রতার|অলস|লোভ|স্বার্থ|অক্ষম|অযোগ্য|বোকা|কৃপণ|হিংস"")),""valence-target অমিল"",""""),IF(COUNTIF($B:$B,B5122)&gt;1,""ডুপ্লিকেট"",""""))"),"")</f>
        <v/>
      </c>
      <c r="Q5122" s="5" t="str">
        <f t="shared" si="1"/>
        <v>২ পরে</v>
      </c>
    </row>
    <row r="5123">
      <c r="A5123" s="4">
        <v>2964.0</v>
      </c>
      <c r="B5123" s="2" t="s">
        <v>20954</v>
      </c>
      <c r="C5123" s="2" t="s">
        <v>20955</v>
      </c>
      <c r="D5123" s="2" t="s">
        <v>20956</v>
      </c>
      <c r="E5123" s="2" t="s">
        <v>20957</v>
      </c>
      <c r="F5123" s="2" t="b">
        <v>1</v>
      </c>
      <c r="G5123" s="2" t="b">
        <v>0</v>
      </c>
      <c r="H5123" s="2" t="s">
        <v>37</v>
      </c>
      <c r="I5123" s="2" t="s">
        <v>49</v>
      </c>
      <c r="J5123" s="2" t="s">
        <v>10509</v>
      </c>
      <c r="K5123" s="2" t="s">
        <v>495</v>
      </c>
      <c r="L5123" s="13" t="s">
        <v>496</v>
      </c>
      <c r="M5123" s="2" t="s">
        <v>26</v>
      </c>
      <c r="N5123" s="29"/>
      <c r="O5123" s="29"/>
      <c r="P5123" s="5" t="str">
        <f>IFERROR(__xludf.DUMMYFUNCTION("TEXTJOIN("" | "",TRUE,IF(OR(D5123="""",E5123="""",I5123="""",J5123="""",H5123=""""),""ফাঁকা ঘর"",""""),IF(AND(C5123&lt;&gt;"""",D5123&lt;&gt;"""",C5123=D5123),""gloss=figurative"",""""),IF(LEN(D5123)&lt;15,""figurative ছোট"",""""),IF(AND(I5123=""Positive"",REGEXMATCH(H5"&amp;"123,""মূর্খ|ভণ্ড|প্রতার|অলস|লোভ|স্বার্থ|অক্ষম|অযোগ্য|বোকা|কৃপণ|হিংস"")),""valence-target অমিল"",""""),IF(COUNTIF($B:$B,B5123)&gt;1,""ডুপ্লিকেট"",""""))"),"")</f>
        <v/>
      </c>
      <c r="Q5123" s="5" t="str">
        <f t="shared" si="1"/>
        <v>২ পরে</v>
      </c>
    </row>
    <row r="5124">
      <c r="A5124" s="4">
        <v>2965.0</v>
      </c>
      <c r="B5124" s="2" t="s">
        <v>20958</v>
      </c>
      <c r="C5124" s="2" t="s">
        <v>20959</v>
      </c>
      <c r="D5124" s="2" t="s">
        <v>20960</v>
      </c>
      <c r="E5124" s="2" t="s">
        <v>20961</v>
      </c>
      <c r="F5124" s="2" t="b">
        <v>1</v>
      </c>
      <c r="G5124" s="2" t="b">
        <v>0</v>
      </c>
      <c r="H5124" s="2" t="s">
        <v>37</v>
      </c>
      <c r="I5124" s="2" t="s">
        <v>49</v>
      </c>
      <c r="J5124" s="2" t="s">
        <v>5524</v>
      </c>
      <c r="K5124" s="2" t="s">
        <v>495</v>
      </c>
      <c r="L5124" s="13" t="s">
        <v>496</v>
      </c>
      <c r="M5124" s="2" t="s">
        <v>26</v>
      </c>
      <c r="N5124" s="29"/>
      <c r="O5124" s="29"/>
      <c r="P5124" s="5" t="str">
        <f>IFERROR(__xludf.DUMMYFUNCTION("TEXTJOIN("" | "",TRUE,IF(OR(D5124="""",E5124="""",I5124="""",J5124="""",H5124=""""),""ফাঁকা ঘর"",""""),IF(AND(C5124&lt;&gt;"""",D5124&lt;&gt;"""",C5124=D5124),""gloss=figurative"",""""),IF(LEN(D5124)&lt;15,""figurative ছোট"",""""),IF(AND(I5124=""Positive"",REGEXMATCH(H5"&amp;"124,""মূর্খ|ভণ্ড|প্রতার|অলস|লোভ|স্বার্থ|অক্ষম|অযোগ্য|বোকা|কৃপণ|হিংস"")),""valence-target অমিল"",""""),IF(COUNTIF($B:$B,B5124)&gt;1,""ডুপ্লিকেট"",""""))"),"")</f>
        <v/>
      </c>
      <c r="Q5124" s="5" t="str">
        <f t="shared" si="1"/>
        <v>২ পরে</v>
      </c>
    </row>
    <row r="5125">
      <c r="A5125" s="4">
        <v>2966.0</v>
      </c>
      <c r="B5125" s="2" t="s">
        <v>20962</v>
      </c>
      <c r="C5125" s="2" t="s">
        <v>20963</v>
      </c>
      <c r="D5125" s="2" t="s">
        <v>20964</v>
      </c>
      <c r="E5125" s="2" t="s">
        <v>20965</v>
      </c>
      <c r="F5125" s="2" t="b">
        <v>1</v>
      </c>
      <c r="G5125" s="2" t="b">
        <v>0</v>
      </c>
      <c r="H5125" s="2" t="s">
        <v>37</v>
      </c>
      <c r="I5125" s="2" t="s">
        <v>22</v>
      </c>
      <c r="J5125" s="2" t="s">
        <v>601</v>
      </c>
      <c r="K5125" s="2" t="s">
        <v>495</v>
      </c>
      <c r="L5125" s="13" t="s">
        <v>496</v>
      </c>
      <c r="M5125" s="2" t="s">
        <v>26</v>
      </c>
      <c r="N5125" s="29"/>
      <c r="O5125" s="29"/>
      <c r="P5125" s="5" t="str">
        <f>IFERROR(__xludf.DUMMYFUNCTION("TEXTJOIN("" | "",TRUE,IF(OR(D5125="""",E5125="""",I5125="""",J5125="""",H5125=""""),""ফাঁকা ঘর"",""""),IF(AND(C5125&lt;&gt;"""",D5125&lt;&gt;"""",C5125=D5125),""gloss=figurative"",""""),IF(LEN(D5125)&lt;15,""figurative ছোট"",""""),IF(AND(I5125=""Positive"",REGEXMATCH(H5"&amp;"125,""মূর্খ|ভণ্ড|প্রতার|অলস|লোভ|স্বার্থ|অক্ষম|অযোগ্য|বোকা|কৃপণ|হিংস"")),""valence-target অমিল"",""""),IF(COUNTIF($B:$B,B5125)&gt;1,""ডুপ্লিকেট"",""""))"),"")</f>
        <v/>
      </c>
      <c r="Q5125" s="5" t="str">
        <f t="shared" si="1"/>
        <v>২ পরে</v>
      </c>
    </row>
    <row r="5126">
      <c r="A5126" s="4">
        <v>2967.0</v>
      </c>
      <c r="B5126" s="2" t="s">
        <v>20966</v>
      </c>
      <c r="C5126" s="2" t="s">
        <v>20967</v>
      </c>
      <c r="D5126" s="2" t="s">
        <v>20968</v>
      </c>
      <c r="E5126" s="2" t="s">
        <v>20969</v>
      </c>
      <c r="F5126" s="2" t="b">
        <v>1</v>
      </c>
      <c r="G5126" s="2" t="b">
        <v>0</v>
      </c>
      <c r="H5126" s="2" t="s">
        <v>37</v>
      </c>
      <c r="I5126" s="2" t="s">
        <v>22</v>
      </c>
      <c r="J5126" s="2" t="s">
        <v>447</v>
      </c>
      <c r="K5126" s="2" t="s">
        <v>495</v>
      </c>
      <c r="L5126" s="13" t="s">
        <v>496</v>
      </c>
      <c r="M5126" s="2" t="s">
        <v>26</v>
      </c>
      <c r="N5126" s="29"/>
      <c r="O5126" s="29"/>
      <c r="P5126" s="5" t="str">
        <f>IFERROR(__xludf.DUMMYFUNCTION("TEXTJOIN("" | "",TRUE,IF(OR(D5126="""",E5126="""",I5126="""",J5126="""",H5126=""""),""ফাঁকা ঘর"",""""),IF(AND(C5126&lt;&gt;"""",D5126&lt;&gt;"""",C5126=D5126),""gloss=figurative"",""""),IF(LEN(D5126)&lt;15,""figurative ছোট"",""""),IF(AND(I5126=""Positive"",REGEXMATCH(H5"&amp;"126,""মূর্খ|ভণ্ড|প্রতার|অলস|লোভ|স্বার্থ|অক্ষম|অযোগ্য|বোকা|কৃপণ|হিংস"")),""valence-target অমিল"",""""),IF(COUNTIF($B:$B,B5126)&gt;1,""ডুপ্লিকেট"",""""))"),"")</f>
        <v/>
      </c>
      <c r="Q5126" s="5" t="str">
        <f t="shared" si="1"/>
        <v>২ পরে</v>
      </c>
    </row>
    <row r="5127">
      <c r="A5127" s="4">
        <v>2968.0</v>
      </c>
      <c r="B5127" s="2" t="s">
        <v>20970</v>
      </c>
      <c r="C5127" s="2" t="s">
        <v>20971</v>
      </c>
      <c r="D5127" s="2" t="s">
        <v>20972</v>
      </c>
      <c r="E5127" s="2" t="s">
        <v>20973</v>
      </c>
      <c r="F5127" s="2" t="b">
        <v>1</v>
      </c>
      <c r="G5127" s="2" t="b">
        <v>0</v>
      </c>
      <c r="H5127" s="2" t="s">
        <v>37</v>
      </c>
      <c r="I5127" s="2" t="s">
        <v>22</v>
      </c>
      <c r="J5127" s="2" t="s">
        <v>43</v>
      </c>
      <c r="K5127" s="2" t="s">
        <v>495</v>
      </c>
      <c r="L5127" s="13" t="s">
        <v>496</v>
      </c>
      <c r="M5127" s="2" t="s">
        <v>26</v>
      </c>
      <c r="N5127" s="29"/>
      <c r="O5127" s="29"/>
      <c r="P5127" s="5" t="str">
        <f>IFERROR(__xludf.DUMMYFUNCTION("TEXTJOIN("" | "",TRUE,IF(OR(D5127="""",E5127="""",I5127="""",J5127="""",H5127=""""),""ফাঁকা ঘর"",""""),IF(AND(C5127&lt;&gt;"""",D5127&lt;&gt;"""",C5127=D5127),""gloss=figurative"",""""),IF(LEN(D5127)&lt;15,""figurative ছোট"",""""),IF(AND(I5127=""Positive"",REGEXMATCH(H5"&amp;"127,""মূর্খ|ভণ্ড|প্রতার|অলস|লোভ|স্বার্থ|অক্ষম|অযোগ্য|বোকা|কৃপণ|হিংস"")),""valence-target অমিল"",""""),IF(COUNTIF($B:$B,B5127)&gt;1,""ডুপ্লিকেট"",""""))"),"")</f>
        <v/>
      </c>
      <c r="Q5127" s="5" t="str">
        <f t="shared" si="1"/>
        <v>২ পরে</v>
      </c>
    </row>
    <row r="5128">
      <c r="A5128" s="4">
        <v>2969.0</v>
      </c>
      <c r="B5128" s="2" t="s">
        <v>20974</v>
      </c>
      <c r="C5128" s="2" t="s">
        <v>20975</v>
      </c>
      <c r="D5128" s="2" t="s">
        <v>20976</v>
      </c>
      <c r="E5128" s="2" t="s">
        <v>20977</v>
      </c>
      <c r="F5128" s="2" t="b">
        <v>1</v>
      </c>
      <c r="G5128" s="2" t="b">
        <v>0</v>
      </c>
      <c r="H5128" s="2" t="s">
        <v>37</v>
      </c>
      <c r="I5128" s="2" t="s">
        <v>32</v>
      </c>
      <c r="J5128" s="2" t="s">
        <v>20978</v>
      </c>
      <c r="K5128" s="2" t="s">
        <v>495</v>
      </c>
      <c r="L5128" s="13" t="s">
        <v>496</v>
      </c>
      <c r="M5128" s="2" t="s">
        <v>26</v>
      </c>
      <c r="N5128" s="29"/>
      <c r="O5128" s="29"/>
      <c r="P5128" s="5" t="str">
        <f>IFERROR(__xludf.DUMMYFUNCTION("TEXTJOIN("" | "",TRUE,IF(OR(D5128="""",E5128="""",I5128="""",J5128="""",H5128=""""),""ফাঁকা ঘর"",""""),IF(AND(C5128&lt;&gt;"""",D5128&lt;&gt;"""",C5128=D5128),""gloss=figurative"",""""),IF(LEN(D5128)&lt;15,""figurative ছোট"",""""),IF(AND(I5128=""Positive"",REGEXMATCH(H5"&amp;"128,""মূর্খ|ভণ্ড|প্রতার|অলস|লোভ|স্বার্থ|অক্ষম|অযোগ্য|বোকা|কৃপণ|হিংস"")),""valence-target অমিল"",""""),IF(COUNTIF($B:$B,B5128)&gt;1,""ডুপ্লিকেট"",""""))"),"")</f>
        <v/>
      </c>
      <c r="Q5128" s="5" t="str">
        <f t="shared" si="1"/>
        <v>২ পরে</v>
      </c>
    </row>
    <row r="5129">
      <c r="A5129" s="4">
        <v>2971.0</v>
      </c>
      <c r="B5129" s="2" t="s">
        <v>20979</v>
      </c>
      <c r="C5129" s="2" t="s">
        <v>20980</v>
      </c>
      <c r="D5129" s="2" t="s">
        <v>20981</v>
      </c>
      <c r="E5129" s="2" t="s">
        <v>20982</v>
      </c>
      <c r="F5129" s="2" t="b">
        <v>1</v>
      </c>
      <c r="G5129" s="2" t="b">
        <v>0</v>
      </c>
      <c r="H5129" s="2" t="s">
        <v>37</v>
      </c>
      <c r="I5129" s="2" t="s">
        <v>22</v>
      </c>
      <c r="J5129" s="2" t="s">
        <v>8241</v>
      </c>
      <c r="K5129" s="2" t="s">
        <v>495</v>
      </c>
      <c r="L5129" s="13" t="s">
        <v>496</v>
      </c>
      <c r="M5129" s="2" t="s">
        <v>26</v>
      </c>
      <c r="N5129" s="29"/>
      <c r="O5129" s="29"/>
      <c r="P5129" s="5" t="str">
        <f>IFERROR(__xludf.DUMMYFUNCTION("TEXTJOIN("" | "",TRUE,IF(OR(D5129="""",E5129="""",I5129="""",J5129="""",H5129=""""),""ফাঁকা ঘর"",""""),IF(AND(C5129&lt;&gt;"""",D5129&lt;&gt;"""",C5129=D5129),""gloss=figurative"",""""),IF(LEN(D5129)&lt;15,""figurative ছোট"",""""),IF(AND(I5129=""Positive"",REGEXMATCH(H5"&amp;"129,""মূর্খ|ভণ্ড|প্রতার|অলস|লোভ|স্বার্থ|অক্ষম|অযোগ্য|বোকা|কৃপণ|হিংস"")),""valence-target অমিল"",""""),IF(COUNTIF($B:$B,B5129)&gt;1,""ডুপ্লিকেট"",""""))"),"")</f>
        <v/>
      </c>
      <c r="Q5129" s="5" t="str">
        <f t="shared" si="1"/>
        <v>২ পরে</v>
      </c>
    </row>
    <row r="5130">
      <c r="A5130" s="4">
        <v>2972.0</v>
      </c>
      <c r="B5130" s="2" t="s">
        <v>20983</v>
      </c>
      <c r="C5130" s="2" t="s">
        <v>20983</v>
      </c>
      <c r="D5130" s="2" t="s">
        <v>20984</v>
      </c>
      <c r="E5130" s="2" t="s">
        <v>20985</v>
      </c>
      <c r="F5130" s="2" t="b">
        <v>1</v>
      </c>
      <c r="G5130" s="2" t="b">
        <v>0</v>
      </c>
      <c r="H5130" s="2" t="s">
        <v>37</v>
      </c>
      <c r="I5130" s="2" t="s">
        <v>22</v>
      </c>
      <c r="J5130" s="2" t="s">
        <v>3356</v>
      </c>
      <c r="K5130" s="2" t="s">
        <v>495</v>
      </c>
      <c r="L5130" s="13" t="s">
        <v>496</v>
      </c>
      <c r="M5130" s="2" t="s">
        <v>26</v>
      </c>
      <c r="N5130" s="29"/>
      <c r="O5130" s="29"/>
      <c r="P5130" s="5" t="str">
        <f>IFERROR(__xludf.DUMMYFUNCTION("TEXTJOIN("" | "",TRUE,IF(OR(D5130="""",E5130="""",I5130="""",J5130="""",H5130=""""),""ফাঁকা ঘর"",""""),IF(AND(C5130&lt;&gt;"""",D5130&lt;&gt;"""",C5130=D5130),""gloss=figurative"",""""),IF(LEN(D5130)&lt;15,""figurative ছোট"",""""),IF(AND(I5130=""Positive"",REGEXMATCH(H5"&amp;"130,""মূর্খ|ভণ্ড|প্রতার|অলস|লোভ|স্বার্থ|অক্ষম|অযোগ্য|বোকা|কৃপণ|হিংস"")),""valence-target অমিল"",""""),IF(COUNTIF($B:$B,B5130)&gt;1,""ডুপ্লিকেট"",""""))"),"")</f>
        <v/>
      </c>
      <c r="Q5130" s="5" t="str">
        <f t="shared" si="1"/>
        <v>২ পরে</v>
      </c>
    </row>
    <row r="5131">
      <c r="A5131" s="4">
        <v>2973.0</v>
      </c>
      <c r="B5131" s="2" t="s">
        <v>20986</v>
      </c>
      <c r="C5131" s="2" t="s">
        <v>20987</v>
      </c>
      <c r="D5131" s="2" t="s">
        <v>20988</v>
      </c>
      <c r="E5131" s="2" t="s">
        <v>20989</v>
      </c>
      <c r="F5131" s="2" t="b">
        <v>1</v>
      </c>
      <c r="G5131" s="2" t="b">
        <v>0</v>
      </c>
      <c r="H5131" s="2" t="s">
        <v>37</v>
      </c>
      <c r="I5131" s="2" t="s">
        <v>22</v>
      </c>
      <c r="J5131" s="2" t="s">
        <v>947</v>
      </c>
      <c r="K5131" s="2" t="s">
        <v>495</v>
      </c>
      <c r="L5131" s="13" t="s">
        <v>496</v>
      </c>
      <c r="M5131" s="2" t="s">
        <v>26</v>
      </c>
      <c r="N5131" s="29"/>
      <c r="O5131" s="29"/>
      <c r="P5131" s="5" t="str">
        <f>IFERROR(__xludf.DUMMYFUNCTION("TEXTJOIN("" | "",TRUE,IF(OR(D5131="""",E5131="""",I5131="""",J5131="""",H5131=""""),""ফাঁকা ঘর"",""""),IF(AND(C5131&lt;&gt;"""",D5131&lt;&gt;"""",C5131=D5131),""gloss=figurative"",""""),IF(LEN(D5131)&lt;15,""figurative ছোট"",""""),IF(AND(I5131=""Positive"",REGEXMATCH(H5"&amp;"131,""মূর্খ|ভণ্ড|প্রতার|অলস|লোভ|স্বার্থ|অক্ষম|অযোগ্য|বোকা|কৃপণ|হিংস"")),""valence-target অমিল"",""""),IF(COUNTIF($B:$B,B5131)&gt;1,""ডুপ্লিকেট"",""""))"),"")</f>
        <v/>
      </c>
      <c r="Q5131" s="5" t="str">
        <f t="shared" si="1"/>
        <v>২ পরে</v>
      </c>
    </row>
    <row r="5132">
      <c r="A5132" s="4">
        <v>2974.0</v>
      </c>
      <c r="B5132" s="2" t="s">
        <v>20990</v>
      </c>
      <c r="C5132" s="2" t="s">
        <v>20991</v>
      </c>
      <c r="D5132" s="2" t="s">
        <v>20992</v>
      </c>
      <c r="E5132" s="2" t="s">
        <v>20993</v>
      </c>
      <c r="F5132" s="2" t="b">
        <v>1</v>
      </c>
      <c r="G5132" s="2" t="b">
        <v>0</v>
      </c>
      <c r="H5132" s="2" t="s">
        <v>37</v>
      </c>
      <c r="I5132" s="2" t="s">
        <v>22</v>
      </c>
      <c r="J5132" s="2" t="s">
        <v>2675</v>
      </c>
      <c r="K5132" s="2" t="s">
        <v>495</v>
      </c>
      <c r="L5132" s="13" t="s">
        <v>496</v>
      </c>
      <c r="M5132" s="2" t="s">
        <v>26</v>
      </c>
      <c r="N5132" s="29"/>
      <c r="O5132" s="29"/>
      <c r="P5132" s="5" t="str">
        <f>IFERROR(__xludf.DUMMYFUNCTION("TEXTJOIN("" | "",TRUE,IF(OR(D5132="""",E5132="""",I5132="""",J5132="""",H5132=""""),""ফাঁকা ঘর"",""""),IF(AND(C5132&lt;&gt;"""",D5132&lt;&gt;"""",C5132=D5132),""gloss=figurative"",""""),IF(LEN(D5132)&lt;15,""figurative ছোট"",""""),IF(AND(I5132=""Positive"",REGEXMATCH(H5"&amp;"132,""মূর্খ|ভণ্ড|প্রতার|অলস|লোভ|স্বার্থ|অক্ষম|অযোগ্য|বোকা|কৃপণ|হিংস"")),""valence-target অমিল"",""""),IF(COUNTIF($B:$B,B5132)&gt;1,""ডুপ্লিকেট"",""""))"),"")</f>
        <v/>
      </c>
      <c r="Q5132" s="5" t="str">
        <f t="shared" si="1"/>
        <v>২ পরে</v>
      </c>
    </row>
    <row r="5133">
      <c r="A5133" s="4">
        <v>2975.0</v>
      </c>
      <c r="B5133" s="2" t="s">
        <v>20994</v>
      </c>
      <c r="C5133" s="2" t="s">
        <v>20994</v>
      </c>
      <c r="D5133" s="2" t="s">
        <v>20995</v>
      </c>
      <c r="E5133" s="2" t="s">
        <v>20996</v>
      </c>
      <c r="F5133" s="2" t="b">
        <v>1</v>
      </c>
      <c r="G5133" s="2" t="b">
        <v>0</v>
      </c>
      <c r="H5133" s="2" t="s">
        <v>37</v>
      </c>
      <c r="I5133" s="2" t="s">
        <v>22</v>
      </c>
      <c r="J5133" s="2" t="s">
        <v>581</v>
      </c>
      <c r="K5133" s="2" t="s">
        <v>495</v>
      </c>
      <c r="L5133" s="13" t="s">
        <v>496</v>
      </c>
      <c r="M5133" s="2" t="s">
        <v>26</v>
      </c>
      <c r="N5133" s="29"/>
      <c r="O5133" s="29"/>
      <c r="P5133" s="5" t="str">
        <f>IFERROR(__xludf.DUMMYFUNCTION("TEXTJOIN("" | "",TRUE,IF(OR(D5133="""",E5133="""",I5133="""",J5133="""",H5133=""""),""ফাঁকা ঘর"",""""),IF(AND(C5133&lt;&gt;"""",D5133&lt;&gt;"""",C5133=D5133),""gloss=figurative"",""""),IF(LEN(D5133)&lt;15,""figurative ছোট"",""""),IF(AND(I5133=""Positive"",REGEXMATCH(H5"&amp;"133,""মূর্খ|ভণ্ড|প্রতার|অলস|লোভ|স্বার্থ|অক্ষম|অযোগ্য|বোকা|কৃপণ|হিংস"")),""valence-target অমিল"",""""),IF(COUNTIF($B:$B,B5133)&gt;1,""ডুপ্লিকেট"",""""))"),"")</f>
        <v/>
      </c>
      <c r="Q5133" s="5" t="str">
        <f t="shared" si="1"/>
        <v>২ পরে</v>
      </c>
    </row>
    <row r="5134">
      <c r="A5134" s="4">
        <v>2976.0</v>
      </c>
      <c r="B5134" s="2" t="s">
        <v>20997</v>
      </c>
      <c r="C5134" s="2" t="s">
        <v>20998</v>
      </c>
      <c r="D5134" s="2" t="s">
        <v>20999</v>
      </c>
      <c r="E5134" s="2" t="s">
        <v>21000</v>
      </c>
      <c r="F5134" s="2" t="b">
        <v>1</v>
      </c>
      <c r="G5134" s="2" t="b">
        <v>0</v>
      </c>
      <c r="H5134" s="2" t="s">
        <v>37</v>
      </c>
      <c r="I5134" s="2" t="s">
        <v>22</v>
      </c>
      <c r="J5134" s="2" t="s">
        <v>830</v>
      </c>
      <c r="K5134" s="2" t="s">
        <v>495</v>
      </c>
      <c r="L5134" s="13" t="s">
        <v>496</v>
      </c>
      <c r="M5134" s="2" t="s">
        <v>26</v>
      </c>
      <c r="N5134" s="29"/>
      <c r="O5134" s="29"/>
      <c r="P5134" s="5" t="str">
        <f>IFERROR(__xludf.DUMMYFUNCTION("TEXTJOIN("" | "",TRUE,IF(OR(D5134="""",E5134="""",I5134="""",J5134="""",H5134=""""),""ফাঁকা ঘর"",""""),IF(AND(C5134&lt;&gt;"""",D5134&lt;&gt;"""",C5134=D5134),""gloss=figurative"",""""),IF(LEN(D5134)&lt;15,""figurative ছোট"",""""),IF(AND(I5134=""Positive"",REGEXMATCH(H5"&amp;"134,""মূর্খ|ভণ্ড|প্রতার|অলস|লোভ|স্বার্থ|অক্ষম|অযোগ্য|বোকা|কৃপণ|হিংস"")),""valence-target অমিল"",""""),IF(COUNTIF($B:$B,B5134)&gt;1,""ডুপ্লিকেট"",""""))"),"")</f>
        <v/>
      </c>
      <c r="Q5134" s="5" t="str">
        <f t="shared" si="1"/>
        <v>২ পরে</v>
      </c>
    </row>
    <row r="5135">
      <c r="A5135" s="4">
        <v>2977.0</v>
      </c>
      <c r="B5135" s="2" t="s">
        <v>21001</v>
      </c>
      <c r="C5135" s="2" t="s">
        <v>21002</v>
      </c>
      <c r="D5135" s="2" t="s">
        <v>21003</v>
      </c>
      <c r="E5135" s="2" t="s">
        <v>21004</v>
      </c>
      <c r="F5135" s="2" t="b">
        <v>1</v>
      </c>
      <c r="G5135" s="2" t="b">
        <v>0</v>
      </c>
      <c r="H5135" s="2" t="s">
        <v>37</v>
      </c>
      <c r="I5135" s="2" t="s">
        <v>22</v>
      </c>
      <c r="J5135" s="2" t="s">
        <v>2675</v>
      </c>
      <c r="K5135" s="2" t="s">
        <v>495</v>
      </c>
      <c r="L5135" s="13" t="s">
        <v>496</v>
      </c>
      <c r="M5135" s="2" t="s">
        <v>26</v>
      </c>
      <c r="N5135" s="29"/>
      <c r="O5135" s="29"/>
      <c r="P5135" s="5" t="str">
        <f>IFERROR(__xludf.DUMMYFUNCTION("TEXTJOIN("" | "",TRUE,IF(OR(D5135="""",E5135="""",I5135="""",J5135="""",H5135=""""),""ফাঁকা ঘর"",""""),IF(AND(C5135&lt;&gt;"""",D5135&lt;&gt;"""",C5135=D5135),""gloss=figurative"",""""),IF(LEN(D5135)&lt;15,""figurative ছোট"",""""),IF(AND(I5135=""Positive"",REGEXMATCH(H5"&amp;"135,""মূর্খ|ভণ্ড|প্রতার|অলস|লোভ|স্বার্থ|অক্ষম|অযোগ্য|বোকা|কৃপণ|হিংস"")),""valence-target অমিল"",""""),IF(COUNTIF($B:$B,B5135)&gt;1,""ডুপ্লিকেট"",""""))"),"")</f>
        <v/>
      </c>
      <c r="Q5135" s="5" t="str">
        <f t="shared" si="1"/>
        <v>২ পরে</v>
      </c>
    </row>
    <row r="5136">
      <c r="A5136" s="4">
        <v>2978.0</v>
      </c>
      <c r="B5136" s="2" t="s">
        <v>21005</v>
      </c>
      <c r="C5136" s="2" t="s">
        <v>21006</v>
      </c>
      <c r="D5136" s="2" t="s">
        <v>21007</v>
      </c>
      <c r="E5136" s="2" t="s">
        <v>21008</v>
      </c>
      <c r="F5136" s="2" t="b">
        <v>1</v>
      </c>
      <c r="G5136" s="2" t="b">
        <v>0</v>
      </c>
      <c r="H5136" s="2" t="s">
        <v>37</v>
      </c>
      <c r="I5136" s="2" t="s">
        <v>22</v>
      </c>
      <c r="J5136" s="2" t="s">
        <v>2675</v>
      </c>
      <c r="K5136" s="2" t="s">
        <v>495</v>
      </c>
      <c r="L5136" s="13" t="s">
        <v>496</v>
      </c>
      <c r="M5136" s="2" t="s">
        <v>26</v>
      </c>
      <c r="N5136" s="29"/>
      <c r="O5136" s="29"/>
      <c r="P5136" s="5" t="str">
        <f>IFERROR(__xludf.DUMMYFUNCTION("TEXTJOIN("" | "",TRUE,IF(OR(D5136="""",E5136="""",I5136="""",J5136="""",H5136=""""),""ফাঁকা ঘর"",""""),IF(AND(C5136&lt;&gt;"""",D5136&lt;&gt;"""",C5136=D5136),""gloss=figurative"",""""),IF(LEN(D5136)&lt;15,""figurative ছোট"",""""),IF(AND(I5136=""Positive"",REGEXMATCH(H5"&amp;"136,""মূর্খ|ভণ্ড|প্রতার|অলস|লোভ|স্বার্থ|অক্ষম|অযোগ্য|বোকা|কৃপণ|হিংস"")),""valence-target অমিল"",""""),IF(COUNTIF($B:$B,B5136)&gt;1,""ডুপ্লিকেট"",""""))"),"")</f>
        <v/>
      </c>
      <c r="Q5136" s="5" t="str">
        <f t="shared" si="1"/>
        <v>২ পরে</v>
      </c>
    </row>
    <row r="5137">
      <c r="A5137" s="4">
        <v>2979.0</v>
      </c>
      <c r="B5137" s="2" t="s">
        <v>21009</v>
      </c>
      <c r="C5137" s="2" t="s">
        <v>21010</v>
      </c>
      <c r="D5137" s="2" t="s">
        <v>21011</v>
      </c>
      <c r="E5137" s="2" t="s">
        <v>21012</v>
      </c>
      <c r="F5137" s="2" t="b">
        <v>1</v>
      </c>
      <c r="G5137" s="2" t="b">
        <v>0</v>
      </c>
      <c r="H5137" s="2" t="s">
        <v>37</v>
      </c>
      <c r="I5137" s="2" t="s">
        <v>22</v>
      </c>
      <c r="J5137" s="2" t="s">
        <v>21013</v>
      </c>
      <c r="K5137" s="2" t="s">
        <v>495</v>
      </c>
      <c r="L5137" s="13" t="s">
        <v>496</v>
      </c>
      <c r="M5137" s="2" t="s">
        <v>26</v>
      </c>
      <c r="N5137" s="29"/>
      <c r="O5137" s="29"/>
      <c r="P5137" s="5" t="str">
        <f>IFERROR(__xludf.DUMMYFUNCTION("TEXTJOIN("" | "",TRUE,IF(OR(D5137="""",E5137="""",I5137="""",J5137="""",H5137=""""),""ফাঁকা ঘর"",""""),IF(AND(C5137&lt;&gt;"""",D5137&lt;&gt;"""",C5137=D5137),""gloss=figurative"",""""),IF(LEN(D5137)&lt;15,""figurative ছোট"",""""),IF(AND(I5137=""Positive"",REGEXMATCH(H5"&amp;"137,""মূর্খ|ভণ্ড|প্রতার|অলস|লোভ|স্বার্থ|অক্ষম|অযোগ্য|বোকা|কৃপণ|হিংস"")),""valence-target অমিল"",""""),IF(COUNTIF($B:$B,B5137)&gt;1,""ডুপ্লিকেট"",""""))"),"")</f>
        <v/>
      </c>
      <c r="Q5137" s="5" t="str">
        <f t="shared" si="1"/>
        <v>২ পরে</v>
      </c>
    </row>
    <row r="5138">
      <c r="A5138" s="4">
        <v>2980.0</v>
      </c>
      <c r="B5138" s="2" t="s">
        <v>21014</v>
      </c>
      <c r="C5138" s="2" t="s">
        <v>21015</v>
      </c>
      <c r="D5138" s="2" t="s">
        <v>21016</v>
      </c>
      <c r="E5138" s="2" t="s">
        <v>21017</v>
      </c>
      <c r="F5138" s="2" t="b">
        <v>1</v>
      </c>
      <c r="G5138" s="2" t="b">
        <v>0</v>
      </c>
      <c r="H5138" s="2" t="s">
        <v>37</v>
      </c>
      <c r="I5138" s="2" t="s">
        <v>22</v>
      </c>
      <c r="J5138" s="2" t="s">
        <v>21018</v>
      </c>
      <c r="K5138" s="2" t="s">
        <v>495</v>
      </c>
      <c r="L5138" s="13" t="s">
        <v>496</v>
      </c>
      <c r="M5138" s="2" t="s">
        <v>26</v>
      </c>
      <c r="N5138" s="29"/>
      <c r="O5138" s="29"/>
      <c r="P5138" s="5" t="str">
        <f>IFERROR(__xludf.DUMMYFUNCTION("TEXTJOIN("" | "",TRUE,IF(OR(D5138="""",E5138="""",I5138="""",J5138="""",H5138=""""),""ফাঁকা ঘর"",""""),IF(AND(C5138&lt;&gt;"""",D5138&lt;&gt;"""",C5138=D5138),""gloss=figurative"",""""),IF(LEN(D5138)&lt;15,""figurative ছোট"",""""),IF(AND(I5138=""Positive"",REGEXMATCH(H5"&amp;"138,""মূর্খ|ভণ্ড|প্রতার|অলস|লোভ|স্বার্থ|অক্ষম|অযোগ্য|বোকা|কৃপণ|হিংস"")),""valence-target অমিল"",""""),IF(COUNTIF($B:$B,B5138)&gt;1,""ডুপ্লিকেট"",""""))"),"")</f>
        <v/>
      </c>
      <c r="Q5138" s="5" t="str">
        <f t="shared" si="1"/>
        <v>২ পরে</v>
      </c>
    </row>
    <row r="5139">
      <c r="A5139" s="4">
        <v>2981.0</v>
      </c>
      <c r="B5139" s="2" t="s">
        <v>21019</v>
      </c>
      <c r="C5139" s="2" t="s">
        <v>21020</v>
      </c>
      <c r="D5139" s="2" t="s">
        <v>21021</v>
      </c>
      <c r="E5139" s="2" t="s">
        <v>21022</v>
      </c>
      <c r="F5139" s="2" t="b">
        <v>1</v>
      </c>
      <c r="G5139" s="2" t="b">
        <v>0</v>
      </c>
      <c r="H5139" s="2" t="s">
        <v>37</v>
      </c>
      <c r="I5139" s="2" t="s">
        <v>22</v>
      </c>
      <c r="J5139" s="2" t="s">
        <v>2857</v>
      </c>
      <c r="K5139" s="2" t="s">
        <v>495</v>
      </c>
      <c r="L5139" s="13" t="s">
        <v>496</v>
      </c>
      <c r="M5139" s="2" t="s">
        <v>26</v>
      </c>
      <c r="N5139" s="29"/>
      <c r="O5139" s="29"/>
      <c r="P5139" s="5" t="str">
        <f>IFERROR(__xludf.DUMMYFUNCTION("TEXTJOIN("" | "",TRUE,IF(OR(D5139="""",E5139="""",I5139="""",J5139="""",H5139=""""),""ফাঁকা ঘর"",""""),IF(AND(C5139&lt;&gt;"""",D5139&lt;&gt;"""",C5139=D5139),""gloss=figurative"",""""),IF(LEN(D5139)&lt;15,""figurative ছোট"",""""),IF(AND(I5139=""Positive"",REGEXMATCH(H5"&amp;"139,""মূর্খ|ভণ্ড|প্রতার|অলস|লোভ|স্বার্থ|অক্ষম|অযোগ্য|বোকা|কৃপণ|হিংস"")),""valence-target অমিল"",""""),IF(COUNTIF($B:$B,B5139)&gt;1,""ডুপ্লিকেট"",""""))"),"")</f>
        <v/>
      </c>
      <c r="Q5139" s="5" t="str">
        <f t="shared" si="1"/>
        <v>২ পরে</v>
      </c>
    </row>
    <row r="5140">
      <c r="A5140" s="4">
        <v>2984.0</v>
      </c>
      <c r="B5140" s="2" t="s">
        <v>21023</v>
      </c>
      <c r="C5140" s="2" t="s">
        <v>21023</v>
      </c>
      <c r="D5140" s="2" t="s">
        <v>21024</v>
      </c>
      <c r="E5140" s="2" t="s">
        <v>21025</v>
      </c>
      <c r="F5140" s="2" t="b">
        <v>1</v>
      </c>
      <c r="G5140" s="2" t="b">
        <v>0</v>
      </c>
      <c r="H5140" s="2" t="s">
        <v>37</v>
      </c>
      <c r="I5140" s="2" t="s">
        <v>22</v>
      </c>
      <c r="J5140" s="2" t="s">
        <v>6442</v>
      </c>
      <c r="K5140" s="2" t="s">
        <v>495</v>
      </c>
      <c r="L5140" s="13" t="s">
        <v>496</v>
      </c>
      <c r="M5140" s="2" t="s">
        <v>26</v>
      </c>
      <c r="N5140" s="29"/>
      <c r="O5140" s="29"/>
      <c r="P5140" s="5" t="str">
        <f>IFERROR(__xludf.DUMMYFUNCTION("TEXTJOIN("" | "",TRUE,IF(OR(D5140="""",E5140="""",I5140="""",J5140="""",H5140=""""),""ফাঁকা ঘর"",""""),IF(AND(C5140&lt;&gt;"""",D5140&lt;&gt;"""",C5140=D5140),""gloss=figurative"",""""),IF(LEN(D5140)&lt;15,""figurative ছোট"",""""),IF(AND(I5140=""Positive"",REGEXMATCH(H5"&amp;"140,""মূর্খ|ভণ্ড|প্রতার|অলস|লোভ|স্বার্থ|অক্ষম|অযোগ্য|বোকা|কৃপণ|হিংস"")),""valence-target অমিল"",""""),IF(COUNTIF($B:$B,B5140)&gt;1,""ডুপ্লিকেট"",""""))"),"")</f>
        <v/>
      </c>
      <c r="Q5140" s="5" t="str">
        <f t="shared" si="1"/>
        <v>২ পরে</v>
      </c>
    </row>
    <row r="5141">
      <c r="A5141" s="4">
        <v>2985.0</v>
      </c>
      <c r="B5141" s="2" t="s">
        <v>21026</v>
      </c>
      <c r="C5141" s="2" t="s">
        <v>21027</v>
      </c>
      <c r="D5141" s="2" t="s">
        <v>21028</v>
      </c>
      <c r="E5141" s="2" t="s">
        <v>21029</v>
      </c>
      <c r="F5141" s="2" t="b">
        <v>1</v>
      </c>
      <c r="G5141" s="2" t="b">
        <v>0</v>
      </c>
      <c r="H5141" s="2" t="s">
        <v>37</v>
      </c>
      <c r="I5141" s="2" t="s">
        <v>32</v>
      </c>
      <c r="J5141" s="2" t="s">
        <v>10170</v>
      </c>
      <c r="K5141" s="2" t="s">
        <v>495</v>
      </c>
      <c r="L5141" s="13" t="s">
        <v>496</v>
      </c>
      <c r="M5141" s="2" t="s">
        <v>26</v>
      </c>
      <c r="N5141" s="29"/>
      <c r="O5141" s="29"/>
      <c r="P5141" s="5" t="str">
        <f>IFERROR(__xludf.DUMMYFUNCTION("TEXTJOIN("" | "",TRUE,IF(OR(D5141="""",E5141="""",I5141="""",J5141="""",H5141=""""),""ফাঁকা ঘর"",""""),IF(AND(C5141&lt;&gt;"""",D5141&lt;&gt;"""",C5141=D5141),""gloss=figurative"",""""),IF(LEN(D5141)&lt;15,""figurative ছোট"",""""),IF(AND(I5141=""Positive"",REGEXMATCH(H5"&amp;"141,""মূর্খ|ভণ্ড|প্রতার|অলস|লোভ|স্বার্থ|অক্ষম|অযোগ্য|বোকা|কৃপণ|হিংস"")),""valence-target অমিল"",""""),IF(COUNTIF($B:$B,B5141)&gt;1,""ডুপ্লিকেট"",""""))"),"")</f>
        <v/>
      </c>
      <c r="Q5141" s="5" t="str">
        <f t="shared" si="1"/>
        <v>২ পরে</v>
      </c>
    </row>
    <row r="5142">
      <c r="A5142" s="4">
        <v>2986.0</v>
      </c>
      <c r="B5142" s="2" t="s">
        <v>21030</v>
      </c>
      <c r="C5142" s="2" t="s">
        <v>21031</v>
      </c>
      <c r="D5142" s="2" t="s">
        <v>21032</v>
      </c>
      <c r="E5142" s="2" t="s">
        <v>21033</v>
      </c>
      <c r="F5142" s="2" t="b">
        <v>1</v>
      </c>
      <c r="G5142" s="2" t="b">
        <v>0</v>
      </c>
      <c r="H5142" s="2" t="s">
        <v>37</v>
      </c>
      <c r="I5142" s="2" t="s">
        <v>22</v>
      </c>
      <c r="J5142" s="2" t="s">
        <v>21034</v>
      </c>
      <c r="K5142" s="2" t="s">
        <v>495</v>
      </c>
      <c r="L5142" s="13" t="s">
        <v>496</v>
      </c>
      <c r="M5142" s="2" t="s">
        <v>26</v>
      </c>
      <c r="N5142" s="29"/>
      <c r="O5142" s="29"/>
      <c r="P5142" s="5" t="str">
        <f>IFERROR(__xludf.DUMMYFUNCTION("TEXTJOIN("" | "",TRUE,IF(OR(D5142="""",E5142="""",I5142="""",J5142="""",H5142=""""),""ফাঁকা ঘর"",""""),IF(AND(C5142&lt;&gt;"""",D5142&lt;&gt;"""",C5142=D5142),""gloss=figurative"",""""),IF(LEN(D5142)&lt;15,""figurative ছোট"",""""),IF(AND(I5142=""Positive"",REGEXMATCH(H5"&amp;"142,""মূর্খ|ভণ্ড|প্রতার|অলস|লোভ|স্বার্থ|অক্ষম|অযোগ্য|বোকা|কৃপণ|হিংস"")),""valence-target অমিল"",""""),IF(COUNTIF($B:$B,B5142)&gt;1,""ডুপ্লিকেট"",""""))"),"")</f>
        <v/>
      </c>
      <c r="Q5142" s="5" t="str">
        <f t="shared" si="1"/>
        <v>২ পরে</v>
      </c>
    </row>
    <row r="5143">
      <c r="A5143" s="4">
        <v>2987.0</v>
      </c>
      <c r="B5143" s="2" t="s">
        <v>21035</v>
      </c>
      <c r="C5143" s="2" t="s">
        <v>21036</v>
      </c>
      <c r="D5143" s="2" t="s">
        <v>21037</v>
      </c>
      <c r="E5143" s="2" t="s">
        <v>21038</v>
      </c>
      <c r="F5143" s="2" t="b">
        <v>1</v>
      </c>
      <c r="G5143" s="2" t="b">
        <v>0</v>
      </c>
      <c r="H5143" s="2" t="s">
        <v>37</v>
      </c>
      <c r="I5143" s="2" t="s">
        <v>49</v>
      </c>
      <c r="J5143" s="2" t="s">
        <v>565</v>
      </c>
      <c r="K5143" s="2" t="s">
        <v>495</v>
      </c>
      <c r="L5143" s="13" t="s">
        <v>496</v>
      </c>
      <c r="M5143" s="2" t="s">
        <v>26</v>
      </c>
      <c r="N5143" s="29"/>
      <c r="O5143" s="29"/>
      <c r="P5143" s="5" t="str">
        <f>IFERROR(__xludf.DUMMYFUNCTION("TEXTJOIN("" | "",TRUE,IF(OR(D5143="""",E5143="""",I5143="""",J5143="""",H5143=""""),""ফাঁকা ঘর"",""""),IF(AND(C5143&lt;&gt;"""",D5143&lt;&gt;"""",C5143=D5143),""gloss=figurative"",""""),IF(LEN(D5143)&lt;15,""figurative ছোট"",""""),IF(AND(I5143=""Positive"",REGEXMATCH(H5"&amp;"143,""মূর্খ|ভণ্ড|প্রতার|অলস|লোভ|স্বার্থ|অক্ষম|অযোগ্য|বোকা|কৃপণ|হিংস"")),""valence-target অমিল"",""""),IF(COUNTIF($B:$B,B5143)&gt;1,""ডুপ্লিকেট"",""""))"),"")</f>
        <v/>
      </c>
      <c r="Q5143" s="5" t="str">
        <f t="shared" si="1"/>
        <v>২ পরে</v>
      </c>
    </row>
    <row r="5144">
      <c r="A5144" s="4">
        <v>2988.0</v>
      </c>
      <c r="B5144" s="2" t="s">
        <v>21039</v>
      </c>
      <c r="C5144" s="2" t="s">
        <v>21040</v>
      </c>
      <c r="D5144" s="2" t="s">
        <v>21041</v>
      </c>
      <c r="E5144" s="2" t="s">
        <v>21042</v>
      </c>
      <c r="F5144" s="2" t="b">
        <v>1</v>
      </c>
      <c r="G5144" s="2" t="b">
        <v>0</v>
      </c>
      <c r="H5144" s="2" t="s">
        <v>37</v>
      </c>
      <c r="I5144" s="2" t="s">
        <v>32</v>
      </c>
      <c r="J5144" s="2" t="s">
        <v>21043</v>
      </c>
      <c r="K5144" s="2" t="s">
        <v>495</v>
      </c>
      <c r="L5144" s="13" t="s">
        <v>496</v>
      </c>
      <c r="M5144" s="2" t="s">
        <v>26</v>
      </c>
      <c r="N5144" s="29"/>
      <c r="O5144" s="29"/>
      <c r="P5144" s="5" t="str">
        <f>IFERROR(__xludf.DUMMYFUNCTION("TEXTJOIN("" | "",TRUE,IF(OR(D5144="""",E5144="""",I5144="""",J5144="""",H5144=""""),""ফাঁকা ঘর"",""""),IF(AND(C5144&lt;&gt;"""",D5144&lt;&gt;"""",C5144=D5144),""gloss=figurative"",""""),IF(LEN(D5144)&lt;15,""figurative ছোট"",""""),IF(AND(I5144=""Positive"",REGEXMATCH(H5"&amp;"144,""মূর্খ|ভণ্ড|প্রতার|অলস|লোভ|স্বার্থ|অক্ষম|অযোগ্য|বোকা|কৃপণ|হিংস"")),""valence-target অমিল"",""""),IF(COUNTIF($B:$B,B5144)&gt;1,""ডুপ্লিকেট"",""""))"),"")</f>
        <v/>
      </c>
      <c r="Q5144" s="5" t="str">
        <f t="shared" si="1"/>
        <v>২ পরে</v>
      </c>
    </row>
    <row r="5145">
      <c r="A5145" s="4">
        <v>2989.0</v>
      </c>
      <c r="B5145" s="2" t="s">
        <v>21044</v>
      </c>
      <c r="C5145" s="2" t="s">
        <v>21045</v>
      </c>
      <c r="D5145" s="2" t="s">
        <v>21046</v>
      </c>
      <c r="E5145" s="2" t="s">
        <v>21047</v>
      </c>
      <c r="F5145" s="2" t="b">
        <v>1</v>
      </c>
      <c r="G5145" s="2" t="b">
        <v>0</v>
      </c>
      <c r="H5145" s="2" t="s">
        <v>37</v>
      </c>
      <c r="I5145" s="2" t="s">
        <v>22</v>
      </c>
      <c r="J5145" s="2" t="s">
        <v>842</v>
      </c>
      <c r="K5145" s="2" t="s">
        <v>495</v>
      </c>
      <c r="L5145" s="13" t="s">
        <v>496</v>
      </c>
      <c r="M5145" s="2" t="s">
        <v>26</v>
      </c>
      <c r="N5145" s="29"/>
      <c r="O5145" s="29"/>
      <c r="P5145" s="5" t="str">
        <f>IFERROR(__xludf.DUMMYFUNCTION("TEXTJOIN("" | "",TRUE,IF(OR(D5145="""",E5145="""",I5145="""",J5145="""",H5145=""""),""ফাঁকা ঘর"",""""),IF(AND(C5145&lt;&gt;"""",D5145&lt;&gt;"""",C5145=D5145),""gloss=figurative"",""""),IF(LEN(D5145)&lt;15,""figurative ছোট"",""""),IF(AND(I5145=""Positive"",REGEXMATCH(H5"&amp;"145,""মূর্খ|ভণ্ড|প্রতার|অলস|লোভ|স্বার্থ|অক্ষম|অযোগ্য|বোকা|কৃপণ|হিংস"")),""valence-target অমিল"",""""),IF(COUNTIF($B:$B,B5145)&gt;1,""ডুপ্লিকেট"",""""))"),"")</f>
        <v/>
      </c>
      <c r="Q5145" s="5" t="str">
        <f t="shared" si="1"/>
        <v>২ পরে</v>
      </c>
    </row>
    <row r="5146">
      <c r="A5146" s="4">
        <v>2991.0</v>
      </c>
      <c r="B5146" s="2" t="s">
        <v>21048</v>
      </c>
      <c r="C5146" s="2" t="s">
        <v>21049</v>
      </c>
      <c r="D5146" s="2" t="s">
        <v>21050</v>
      </c>
      <c r="E5146" s="2" t="s">
        <v>21051</v>
      </c>
      <c r="F5146" s="2" t="b">
        <v>1</v>
      </c>
      <c r="G5146" s="2" t="b">
        <v>0</v>
      </c>
      <c r="H5146" s="2" t="s">
        <v>37</v>
      </c>
      <c r="I5146" s="2" t="s">
        <v>32</v>
      </c>
      <c r="J5146" s="2" t="s">
        <v>4110</v>
      </c>
      <c r="K5146" s="2" t="s">
        <v>495</v>
      </c>
      <c r="L5146" s="13" t="s">
        <v>496</v>
      </c>
      <c r="M5146" s="2" t="s">
        <v>26</v>
      </c>
      <c r="N5146" s="29"/>
      <c r="O5146" s="29"/>
      <c r="P5146" s="5" t="str">
        <f>IFERROR(__xludf.DUMMYFUNCTION("TEXTJOIN("" | "",TRUE,IF(OR(D5146="""",E5146="""",I5146="""",J5146="""",H5146=""""),""ফাঁকা ঘর"",""""),IF(AND(C5146&lt;&gt;"""",D5146&lt;&gt;"""",C5146=D5146),""gloss=figurative"",""""),IF(LEN(D5146)&lt;15,""figurative ছোট"",""""),IF(AND(I5146=""Positive"",REGEXMATCH(H5"&amp;"146,""মূর্খ|ভণ্ড|প্রতার|অলস|লোভ|স্বার্থ|অক্ষম|অযোগ্য|বোকা|কৃপণ|হিংস"")),""valence-target অমিল"",""""),IF(COUNTIF($B:$B,B5146)&gt;1,""ডুপ্লিকেট"",""""))"),"")</f>
        <v/>
      </c>
      <c r="Q5146" s="5" t="str">
        <f t="shared" si="1"/>
        <v>২ পরে</v>
      </c>
    </row>
    <row r="5147">
      <c r="A5147" s="4">
        <v>2992.0</v>
      </c>
      <c r="B5147" s="2" t="s">
        <v>9694</v>
      </c>
      <c r="C5147" s="2" t="s">
        <v>9694</v>
      </c>
      <c r="D5147" s="2" t="s">
        <v>21052</v>
      </c>
      <c r="E5147" s="2" t="s">
        <v>21053</v>
      </c>
      <c r="F5147" s="2" t="b">
        <v>1</v>
      </c>
      <c r="G5147" s="2" t="b">
        <v>0</v>
      </c>
      <c r="H5147" s="2" t="s">
        <v>37</v>
      </c>
      <c r="I5147" s="2" t="s">
        <v>32</v>
      </c>
      <c r="J5147" s="2" t="s">
        <v>21054</v>
      </c>
      <c r="K5147" s="2" t="s">
        <v>495</v>
      </c>
      <c r="L5147" s="13" t="s">
        <v>496</v>
      </c>
      <c r="M5147" s="2" t="s">
        <v>26</v>
      </c>
      <c r="N5147" s="29"/>
      <c r="O5147" s="29"/>
      <c r="P5147" s="5" t="str">
        <f>IFERROR(__xludf.DUMMYFUNCTION("TEXTJOIN("" | "",TRUE,IF(OR(D5147="""",E5147="""",I5147="""",J5147="""",H5147=""""),""ফাঁকা ঘর"",""""),IF(AND(C5147&lt;&gt;"""",D5147&lt;&gt;"""",C5147=D5147),""gloss=figurative"",""""),IF(LEN(D5147)&lt;15,""figurative ছোট"",""""),IF(AND(I5147=""Positive"",REGEXMATCH(H5"&amp;"147,""মূর্খ|ভণ্ড|প্রতার|অলস|লোভ|স্বার্থ|অক্ষম|অযোগ্য|বোকা|কৃপণ|হিংস"")),""valence-target অমিল"",""""),IF(COUNTIF($B:$B,B5147)&gt;1,""ডুপ্লিকেট"",""""))"),"")</f>
        <v/>
      </c>
      <c r="Q5147" s="5" t="str">
        <f t="shared" si="1"/>
        <v>২ পরে</v>
      </c>
    </row>
    <row r="5148">
      <c r="A5148" s="4">
        <v>2993.0</v>
      </c>
      <c r="B5148" s="2" t="s">
        <v>21055</v>
      </c>
      <c r="C5148" s="2" t="s">
        <v>21056</v>
      </c>
      <c r="D5148" s="2" t="s">
        <v>21057</v>
      </c>
      <c r="E5148" s="2" t="s">
        <v>21058</v>
      </c>
      <c r="F5148" s="2" t="b">
        <v>1</v>
      </c>
      <c r="G5148" s="2" t="b">
        <v>0</v>
      </c>
      <c r="H5148" s="2" t="s">
        <v>37</v>
      </c>
      <c r="I5148" s="2" t="s">
        <v>22</v>
      </c>
      <c r="J5148" s="2" t="s">
        <v>20785</v>
      </c>
      <c r="K5148" s="2" t="s">
        <v>495</v>
      </c>
      <c r="L5148" s="13" t="s">
        <v>496</v>
      </c>
      <c r="M5148" s="2" t="s">
        <v>26</v>
      </c>
      <c r="N5148" s="29"/>
      <c r="O5148" s="29"/>
      <c r="P5148" s="5" t="str">
        <f>IFERROR(__xludf.DUMMYFUNCTION("TEXTJOIN("" | "",TRUE,IF(OR(D5148="""",E5148="""",I5148="""",J5148="""",H5148=""""),""ফাঁকা ঘর"",""""),IF(AND(C5148&lt;&gt;"""",D5148&lt;&gt;"""",C5148=D5148),""gloss=figurative"",""""),IF(LEN(D5148)&lt;15,""figurative ছোট"",""""),IF(AND(I5148=""Positive"",REGEXMATCH(H5"&amp;"148,""মূর্খ|ভণ্ড|প্রতার|অলস|লোভ|স্বার্থ|অক্ষম|অযোগ্য|বোকা|কৃপণ|হিংস"")),""valence-target অমিল"",""""),IF(COUNTIF($B:$B,B5148)&gt;1,""ডুপ্লিকেট"",""""))"),"")</f>
        <v/>
      </c>
      <c r="Q5148" s="5" t="str">
        <f t="shared" si="1"/>
        <v>২ পরে</v>
      </c>
    </row>
    <row r="5149">
      <c r="A5149" s="4">
        <v>2994.0</v>
      </c>
      <c r="B5149" s="2" t="s">
        <v>21059</v>
      </c>
      <c r="C5149" s="2" t="s">
        <v>21059</v>
      </c>
      <c r="D5149" s="2" t="s">
        <v>21060</v>
      </c>
      <c r="E5149" s="2" t="s">
        <v>21061</v>
      </c>
      <c r="F5149" s="2" t="b">
        <v>1</v>
      </c>
      <c r="G5149" s="2" t="b">
        <v>0</v>
      </c>
      <c r="H5149" s="2" t="s">
        <v>37</v>
      </c>
      <c r="I5149" s="2" t="s">
        <v>22</v>
      </c>
      <c r="J5149" s="2" t="s">
        <v>2624</v>
      </c>
      <c r="K5149" s="2" t="s">
        <v>495</v>
      </c>
      <c r="L5149" s="13" t="s">
        <v>496</v>
      </c>
      <c r="M5149" s="2" t="s">
        <v>26</v>
      </c>
      <c r="N5149" s="29"/>
      <c r="O5149" s="29"/>
      <c r="P5149" s="5" t="str">
        <f>IFERROR(__xludf.DUMMYFUNCTION("TEXTJOIN("" | "",TRUE,IF(OR(D5149="""",E5149="""",I5149="""",J5149="""",H5149=""""),""ফাঁকা ঘর"",""""),IF(AND(C5149&lt;&gt;"""",D5149&lt;&gt;"""",C5149=D5149),""gloss=figurative"",""""),IF(LEN(D5149)&lt;15,""figurative ছোট"",""""),IF(AND(I5149=""Positive"",REGEXMATCH(H5"&amp;"149,""মূর্খ|ভণ্ড|প্রতার|অলস|লোভ|স্বার্থ|অক্ষম|অযোগ্য|বোকা|কৃপণ|হিংস"")),""valence-target অমিল"",""""),IF(COUNTIF($B:$B,B5149)&gt;1,""ডুপ্লিকেট"",""""))"),"")</f>
        <v/>
      </c>
      <c r="Q5149" s="5" t="str">
        <f t="shared" si="1"/>
        <v>২ পরে</v>
      </c>
    </row>
    <row r="5150">
      <c r="A5150" s="4">
        <v>2995.0</v>
      </c>
      <c r="B5150" s="2" t="s">
        <v>21062</v>
      </c>
      <c r="C5150" s="2" t="s">
        <v>21062</v>
      </c>
      <c r="D5150" s="2" t="s">
        <v>21063</v>
      </c>
      <c r="E5150" s="2" t="s">
        <v>21064</v>
      </c>
      <c r="F5150" s="2" t="b">
        <v>1</v>
      </c>
      <c r="G5150" s="2" t="b">
        <v>0</v>
      </c>
      <c r="H5150" s="2" t="s">
        <v>37</v>
      </c>
      <c r="I5150" s="2" t="s">
        <v>22</v>
      </c>
      <c r="J5150" s="2" t="s">
        <v>3686</v>
      </c>
      <c r="K5150" s="2" t="s">
        <v>495</v>
      </c>
      <c r="L5150" s="13" t="s">
        <v>496</v>
      </c>
      <c r="M5150" s="2" t="s">
        <v>26</v>
      </c>
      <c r="N5150" s="29"/>
      <c r="O5150" s="29"/>
      <c r="P5150" s="5" t="str">
        <f>IFERROR(__xludf.DUMMYFUNCTION("TEXTJOIN("" | "",TRUE,IF(OR(D5150="""",E5150="""",I5150="""",J5150="""",H5150=""""),""ফাঁকা ঘর"",""""),IF(AND(C5150&lt;&gt;"""",D5150&lt;&gt;"""",C5150=D5150),""gloss=figurative"",""""),IF(LEN(D5150)&lt;15,""figurative ছোট"",""""),IF(AND(I5150=""Positive"",REGEXMATCH(H5"&amp;"150,""মূর্খ|ভণ্ড|প্রতার|অলস|লোভ|স্বার্থ|অক্ষম|অযোগ্য|বোকা|কৃপণ|হিংস"")),""valence-target অমিল"",""""),IF(COUNTIF($B:$B,B5150)&gt;1,""ডুপ্লিকেট"",""""))"),"")</f>
        <v/>
      </c>
      <c r="Q5150" s="5" t="str">
        <f t="shared" si="1"/>
        <v>২ পরে</v>
      </c>
    </row>
    <row r="5151">
      <c r="A5151" s="4">
        <v>2996.0</v>
      </c>
      <c r="B5151" s="2" t="s">
        <v>21065</v>
      </c>
      <c r="C5151" s="2" t="s">
        <v>21066</v>
      </c>
      <c r="D5151" s="2" t="s">
        <v>21067</v>
      </c>
      <c r="E5151" s="2" t="s">
        <v>21068</v>
      </c>
      <c r="F5151" s="2" t="b">
        <v>1</v>
      </c>
      <c r="G5151" s="2" t="b">
        <v>1</v>
      </c>
      <c r="H5151" s="2" t="s">
        <v>21069</v>
      </c>
      <c r="I5151" s="2" t="s">
        <v>49</v>
      </c>
      <c r="J5151" s="2" t="s">
        <v>208</v>
      </c>
      <c r="K5151" s="2" t="s">
        <v>495</v>
      </c>
      <c r="L5151" s="13" t="s">
        <v>496</v>
      </c>
      <c r="M5151" s="2" t="s">
        <v>26</v>
      </c>
      <c r="N5151" s="29"/>
      <c r="O5151" s="29"/>
      <c r="P5151" s="5" t="str">
        <f>IFERROR(__xludf.DUMMYFUNCTION("TEXTJOIN("" | "",TRUE,IF(OR(D5151="""",E5151="""",I5151="""",J5151="""",H5151=""""),""ফাঁকা ঘর"",""""),IF(AND(C5151&lt;&gt;"""",D5151&lt;&gt;"""",C5151=D5151),""gloss=figurative"",""""),IF(LEN(D5151)&lt;15,""figurative ছোট"",""""),IF(AND(I5151=""Positive"",REGEXMATCH(H5"&amp;"151,""মূর্খ|ভণ্ড|প্রতার|অলস|লোভ|স্বার্থ|অক্ষম|অযোগ্য|বোকা|কৃপণ|হিংস"")),""valence-target অমিল"",""""),IF(COUNTIF($B:$B,B5151)&gt;1,""ডুপ্লিকেট"",""""))"),"")</f>
        <v/>
      </c>
      <c r="Q5151" s="5" t="str">
        <f t="shared" si="1"/>
        <v>২ পরে</v>
      </c>
    </row>
    <row r="5152">
      <c r="A5152" s="4">
        <v>2997.0</v>
      </c>
      <c r="B5152" s="2" t="s">
        <v>21070</v>
      </c>
      <c r="C5152" s="2" t="s">
        <v>21071</v>
      </c>
      <c r="D5152" s="2" t="s">
        <v>21072</v>
      </c>
      <c r="E5152" s="2" t="s">
        <v>21073</v>
      </c>
      <c r="F5152" s="2" t="b">
        <v>1</v>
      </c>
      <c r="G5152" s="2" t="b">
        <v>0</v>
      </c>
      <c r="H5152" s="2" t="s">
        <v>37</v>
      </c>
      <c r="I5152" s="2" t="s">
        <v>22</v>
      </c>
      <c r="J5152" s="2" t="s">
        <v>1987</v>
      </c>
      <c r="K5152" s="2" t="s">
        <v>495</v>
      </c>
      <c r="L5152" s="13" t="s">
        <v>496</v>
      </c>
      <c r="M5152" s="2" t="s">
        <v>26</v>
      </c>
      <c r="N5152" s="29"/>
      <c r="O5152" s="29"/>
      <c r="P5152" s="5" t="str">
        <f>IFERROR(__xludf.DUMMYFUNCTION("TEXTJOIN("" | "",TRUE,IF(OR(D5152="""",E5152="""",I5152="""",J5152="""",H5152=""""),""ফাঁকা ঘর"",""""),IF(AND(C5152&lt;&gt;"""",D5152&lt;&gt;"""",C5152=D5152),""gloss=figurative"",""""),IF(LEN(D5152)&lt;15,""figurative ছোট"",""""),IF(AND(I5152=""Positive"",REGEXMATCH(H5"&amp;"152,""মূর্খ|ভণ্ড|প্রতার|অলস|লোভ|স্বার্থ|অক্ষম|অযোগ্য|বোকা|কৃপণ|হিংস"")),""valence-target অমিল"",""""),IF(COUNTIF($B:$B,B5152)&gt;1,""ডুপ্লিকেট"",""""))"),"")</f>
        <v/>
      </c>
      <c r="Q5152" s="5" t="str">
        <f t="shared" si="1"/>
        <v>২ পরে</v>
      </c>
    </row>
    <row r="5153">
      <c r="A5153" s="4">
        <v>2998.0</v>
      </c>
      <c r="B5153" s="2" t="s">
        <v>21074</v>
      </c>
      <c r="C5153" s="2" t="s">
        <v>21075</v>
      </c>
      <c r="D5153" s="2" t="s">
        <v>21076</v>
      </c>
      <c r="E5153" s="2" t="s">
        <v>21077</v>
      </c>
      <c r="F5153" s="2" t="b">
        <v>1</v>
      </c>
      <c r="G5153" s="2" t="b">
        <v>0</v>
      </c>
      <c r="H5153" s="2" t="s">
        <v>37</v>
      </c>
      <c r="I5153" s="2" t="s">
        <v>22</v>
      </c>
      <c r="J5153" s="2" t="s">
        <v>990</v>
      </c>
      <c r="K5153" s="2" t="s">
        <v>495</v>
      </c>
      <c r="L5153" s="13" t="s">
        <v>496</v>
      </c>
      <c r="M5153" s="2" t="s">
        <v>26</v>
      </c>
      <c r="N5153" s="29"/>
      <c r="O5153" s="29"/>
      <c r="P5153" s="5" t="str">
        <f>IFERROR(__xludf.DUMMYFUNCTION("TEXTJOIN("" | "",TRUE,IF(OR(D5153="""",E5153="""",I5153="""",J5153="""",H5153=""""),""ফাঁকা ঘর"",""""),IF(AND(C5153&lt;&gt;"""",D5153&lt;&gt;"""",C5153=D5153),""gloss=figurative"",""""),IF(LEN(D5153)&lt;15,""figurative ছোট"",""""),IF(AND(I5153=""Positive"",REGEXMATCH(H5"&amp;"153,""মূর্খ|ভণ্ড|প্রতার|অলস|লোভ|স্বার্থ|অক্ষম|অযোগ্য|বোকা|কৃপণ|হিংস"")),""valence-target অমিল"",""""),IF(COUNTIF($B:$B,B5153)&gt;1,""ডুপ্লিকেট"",""""))"),"")</f>
        <v/>
      </c>
      <c r="Q5153" s="5" t="str">
        <f t="shared" si="1"/>
        <v>২ পরে</v>
      </c>
    </row>
    <row r="5154">
      <c r="A5154" s="4">
        <v>2999.0</v>
      </c>
      <c r="B5154" s="2" t="s">
        <v>21078</v>
      </c>
      <c r="C5154" s="2" t="s">
        <v>21079</v>
      </c>
      <c r="D5154" s="2" t="s">
        <v>21080</v>
      </c>
      <c r="E5154" s="2" t="s">
        <v>21081</v>
      </c>
      <c r="F5154" s="2" t="b">
        <v>1</v>
      </c>
      <c r="G5154" s="2" t="b">
        <v>0</v>
      </c>
      <c r="H5154" s="2" t="s">
        <v>37</v>
      </c>
      <c r="I5154" s="2" t="s">
        <v>22</v>
      </c>
      <c r="J5154" s="2" t="s">
        <v>990</v>
      </c>
      <c r="K5154" s="2" t="s">
        <v>495</v>
      </c>
      <c r="L5154" s="13" t="s">
        <v>496</v>
      </c>
      <c r="M5154" s="2" t="s">
        <v>26</v>
      </c>
      <c r="N5154" s="29"/>
      <c r="O5154" s="29"/>
      <c r="P5154" s="5" t="str">
        <f>IFERROR(__xludf.DUMMYFUNCTION("TEXTJOIN("" | "",TRUE,IF(OR(D5154="""",E5154="""",I5154="""",J5154="""",H5154=""""),""ফাঁকা ঘর"",""""),IF(AND(C5154&lt;&gt;"""",D5154&lt;&gt;"""",C5154=D5154),""gloss=figurative"",""""),IF(LEN(D5154)&lt;15,""figurative ছোট"",""""),IF(AND(I5154=""Positive"",REGEXMATCH(H5"&amp;"154,""মূর্খ|ভণ্ড|প্রতার|অলস|লোভ|স্বার্থ|অক্ষম|অযোগ্য|বোকা|কৃপণ|হিংস"")),""valence-target অমিল"",""""),IF(COUNTIF($B:$B,B5154)&gt;1,""ডুপ্লিকেট"",""""))"),"")</f>
        <v/>
      </c>
      <c r="Q5154" s="5" t="str">
        <f t="shared" si="1"/>
        <v>২ পরে</v>
      </c>
    </row>
    <row r="5155">
      <c r="A5155" s="4">
        <v>3000.0</v>
      </c>
      <c r="B5155" s="2" t="s">
        <v>21082</v>
      </c>
      <c r="C5155" s="2" t="s">
        <v>21083</v>
      </c>
      <c r="D5155" s="2" t="s">
        <v>21084</v>
      </c>
      <c r="E5155" s="2" t="s">
        <v>21085</v>
      </c>
      <c r="F5155" s="2" t="b">
        <v>1</v>
      </c>
      <c r="G5155" s="2" t="b">
        <v>0</v>
      </c>
      <c r="H5155" s="2" t="s">
        <v>37</v>
      </c>
      <c r="I5155" s="2" t="s">
        <v>32</v>
      </c>
      <c r="J5155" s="2" t="s">
        <v>565</v>
      </c>
      <c r="K5155" s="2" t="s">
        <v>495</v>
      </c>
      <c r="L5155" s="13" t="s">
        <v>496</v>
      </c>
      <c r="M5155" s="2" t="s">
        <v>26</v>
      </c>
      <c r="N5155" s="29"/>
      <c r="O5155" s="29"/>
      <c r="P5155" s="5" t="str">
        <f>IFERROR(__xludf.DUMMYFUNCTION("TEXTJOIN("" | "",TRUE,IF(OR(D5155="""",E5155="""",I5155="""",J5155="""",H5155=""""),""ফাঁকা ঘর"",""""),IF(AND(C5155&lt;&gt;"""",D5155&lt;&gt;"""",C5155=D5155),""gloss=figurative"",""""),IF(LEN(D5155)&lt;15,""figurative ছোট"",""""),IF(AND(I5155=""Positive"",REGEXMATCH(H5"&amp;"155,""মূর্খ|ভণ্ড|প্রতার|অলস|লোভ|স্বার্থ|অক্ষম|অযোগ্য|বোকা|কৃপণ|হিংস"")),""valence-target অমিল"",""""),IF(COUNTIF($B:$B,B5155)&gt;1,""ডুপ্লিকেট"",""""))"),"")</f>
        <v/>
      </c>
      <c r="Q5155" s="5" t="str">
        <f t="shared" si="1"/>
        <v>২ পরে</v>
      </c>
    </row>
    <row r="5156">
      <c r="A5156" s="4">
        <v>3001.0</v>
      </c>
      <c r="B5156" s="2" t="s">
        <v>21086</v>
      </c>
      <c r="C5156" s="2" t="s">
        <v>21087</v>
      </c>
      <c r="D5156" s="2" t="s">
        <v>21088</v>
      </c>
      <c r="E5156" s="2" t="s">
        <v>21089</v>
      </c>
      <c r="F5156" s="2" t="b">
        <v>1</v>
      </c>
      <c r="G5156" s="2" t="b">
        <v>0</v>
      </c>
      <c r="H5156" s="2" t="s">
        <v>37</v>
      </c>
      <c r="I5156" s="2" t="s">
        <v>32</v>
      </c>
      <c r="J5156" s="2" t="s">
        <v>4110</v>
      </c>
      <c r="K5156" s="2" t="s">
        <v>495</v>
      </c>
      <c r="L5156" s="13" t="s">
        <v>496</v>
      </c>
      <c r="M5156" s="2" t="s">
        <v>26</v>
      </c>
      <c r="N5156" s="29"/>
      <c r="O5156" s="29"/>
      <c r="P5156" s="5" t="str">
        <f>IFERROR(__xludf.DUMMYFUNCTION("TEXTJOIN("" | "",TRUE,IF(OR(D5156="""",E5156="""",I5156="""",J5156="""",H5156=""""),""ফাঁকা ঘর"",""""),IF(AND(C5156&lt;&gt;"""",D5156&lt;&gt;"""",C5156=D5156),""gloss=figurative"",""""),IF(LEN(D5156)&lt;15,""figurative ছোট"",""""),IF(AND(I5156=""Positive"",REGEXMATCH(H5"&amp;"156,""মূর্খ|ভণ্ড|প্রতার|অলস|লোভ|স্বার্থ|অক্ষম|অযোগ্য|বোকা|কৃপণ|হিংস"")),""valence-target অমিল"",""""),IF(COUNTIF($B:$B,B5156)&gt;1,""ডুপ্লিকেট"",""""))"),"")</f>
        <v/>
      </c>
      <c r="Q5156" s="5" t="str">
        <f t="shared" si="1"/>
        <v>২ পরে</v>
      </c>
    </row>
    <row r="5157">
      <c r="A5157" s="4">
        <v>3002.0</v>
      </c>
      <c r="B5157" s="2" t="s">
        <v>21090</v>
      </c>
      <c r="C5157" s="2" t="s">
        <v>21091</v>
      </c>
      <c r="D5157" s="2" t="s">
        <v>21092</v>
      </c>
      <c r="E5157" s="2" t="s">
        <v>21093</v>
      </c>
      <c r="F5157" s="2" t="b">
        <v>1</v>
      </c>
      <c r="G5157" s="2" t="b">
        <v>0</v>
      </c>
      <c r="H5157" s="2" t="s">
        <v>37</v>
      </c>
      <c r="I5157" s="2" t="s">
        <v>32</v>
      </c>
      <c r="J5157" s="2" t="s">
        <v>723</v>
      </c>
      <c r="K5157" s="2" t="s">
        <v>495</v>
      </c>
      <c r="L5157" s="13" t="s">
        <v>496</v>
      </c>
      <c r="M5157" s="2" t="s">
        <v>26</v>
      </c>
      <c r="N5157" s="29"/>
      <c r="O5157" s="29"/>
      <c r="P5157" s="5" t="str">
        <f>IFERROR(__xludf.DUMMYFUNCTION("TEXTJOIN("" | "",TRUE,IF(OR(D5157="""",E5157="""",I5157="""",J5157="""",H5157=""""),""ফাঁকা ঘর"",""""),IF(AND(C5157&lt;&gt;"""",D5157&lt;&gt;"""",C5157=D5157),""gloss=figurative"",""""),IF(LEN(D5157)&lt;15,""figurative ছোট"",""""),IF(AND(I5157=""Positive"",REGEXMATCH(H5"&amp;"157,""মূর্খ|ভণ্ড|প্রতার|অলস|লোভ|স্বার্থ|অক্ষম|অযোগ্য|বোকা|কৃপণ|হিংস"")),""valence-target অমিল"",""""),IF(COUNTIF($B:$B,B5157)&gt;1,""ডুপ্লিকেট"",""""))"),"")</f>
        <v/>
      </c>
      <c r="Q5157" s="5" t="str">
        <f t="shared" si="1"/>
        <v>২ পরে</v>
      </c>
    </row>
    <row r="5158">
      <c r="A5158" s="4">
        <v>3003.0</v>
      </c>
      <c r="B5158" s="2" t="s">
        <v>21094</v>
      </c>
      <c r="C5158" s="2" t="s">
        <v>21095</v>
      </c>
      <c r="D5158" s="2" t="s">
        <v>21096</v>
      </c>
      <c r="E5158" s="2" t="s">
        <v>21097</v>
      </c>
      <c r="F5158" s="2" t="b">
        <v>1</v>
      </c>
      <c r="G5158" s="2" t="b">
        <v>0</v>
      </c>
      <c r="H5158" s="2" t="s">
        <v>21098</v>
      </c>
      <c r="I5158" s="2" t="s">
        <v>22</v>
      </c>
      <c r="J5158" s="2" t="s">
        <v>21099</v>
      </c>
      <c r="K5158" s="2" t="s">
        <v>495</v>
      </c>
      <c r="L5158" s="13" t="s">
        <v>496</v>
      </c>
      <c r="M5158" s="2" t="s">
        <v>26</v>
      </c>
      <c r="N5158" s="29"/>
      <c r="O5158" s="29"/>
      <c r="P5158" s="5" t="str">
        <f>IFERROR(__xludf.DUMMYFUNCTION("TEXTJOIN("" | "",TRUE,IF(OR(D5158="""",E5158="""",I5158="""",J5158="""",H5158=""""),""ফাঁকা ঘর"",""""),IF(AND(C5158&lt;&gt;"""",D5158&lt;&gt;"""",C5158=D5158),""gloss=figurative"",""""),IF(LEN(D5158)&lt;15,""figurative ছোট"",""""),IF(AND(I5158=""Positive"",REGEXMATCH(H5"&amp;"158,""মূর্খ|ভণ্ড|প্রতার|অলস|লোভ|স্বার্থ|অক্ষম|অযোগ্য|বোকা|কৃপণ|হিংস"")),""valence-target অমিল"",""""),IF(COUNTIF($B:$B,B5158)&gt;1,""ডুপ্লিকেট"",""""))"),"")</f>
        <v/>
      </c>
      <c r="Q5158" s="5" t="str">
        <f t="shared" si="1"/>
        <v>২ পরে</v>
      </c>
    </row>
    <row r="5159">
      <c r="A5159" s="4">
        <v>3004.0</v>
      </c>
      <c r="B5159" s="2" t="s">
        <v>21100</v>
      </c>
      <c r="C5159" s="2" t="s">
        <v>21101</v>
      </c>
      <c r="D5159" s="2" t="s">
        <v>21102</v>
      </c>
      <c r="E5159" s="2" t="s">
        <v>21103</v>
      </c>
      <c r="F5159" s="2" t="b">
        <v>1</v>
      </c>
      <c r="G5159" s="2" t="b">
        <v>0</v>
      </c>
      <c r="H5159" s="2" t="s">
        <v>21104</v>
      </c>
      <c r="I5159" s="2" t="s">
        <v>22</v>
      </c>
      <c r="J5159" s="2" t="s">
        <v>2671</v>
      </c>
      <c r="K5159" s="2" t="s">
        <v>495</v>
      </c>
      <c r="L5159" s="13" t="s">
        <v>496</v>
      </c>
      <c r="M5159" s="2" t="s">
        <v>26</v>
      </c>
      <c r="N5159" s="29"/>
      <c r="O5159" s="29"/>
      <c r="P5159" s="5" t="str">
        <f>IFERROR(__xludf.DUMMYFUNCTION("TEXTJOIN("" | "",TRUE,IF(OR(D5159="""",E5159="""",I5159="""",J5159="""",H5159=""""),""ফাঁকা ঘর"",""""),IF(AND(C5159&lt;&gt;"""",D5159&lt;&gt;"""",C5159=D5159),""gloss=figurative"",""""),IF(LEN(D5159)&lt;15,""figurative ছোট"",""""),IF(AND(I5159=""Positive"",REGEXMATCH(H5"&amp;"159,""মূর্খ|ভণ্ড|প্রতার|অলস|লোভ|স্বার্থ|অক্ষম|অযোগ্য|বোকা|কৃপণ|হিংস"")),""valence-target অমিল"",""""),IF(COUNTIF($B:$B,B5159)&gt;1,""ডুপ্লিকেট"",""""))"),"")</f>
        <v/>
      </c>
      <c r="Q5159" s="5" t="str">
        <f t="shared" si="1"/>
        <v>২ পরে</v>
      </c>
    </row>
    <row r="5160">
      <c r="A5160" s="4">
        <v>3005.0</v>
      </c>
      <c r="B5160" s="2" t="s">
        <v>21105</v>
      </c>
      <c r="C5160" s="2" t="s">
        <v>21106</v>
      </c>
      <c r="D5160" s="2" t="s">
        <v>21107</v>
      </c>
      <c r="E5160" s="2" t="s">
        <v>21108</v>
      </c>
      <c r="F5160" s="2" t="b">
        <v>1</v>
      </c>
      <c r="G5160" s="2" t="b">
        <v>0</v>
      </c>
      <c r="H5160" s="2" t="s">
        <v>21104</v>
      </c>
      <c r="I5160" s="2" t="s">
        <v>22</v>
      </c>
      <c r="J5160" s="2" t="s">
        <v>2671</v>
      </c>
      <c r="K5160" s="2" t="s">
        <v>495</v>
      </c>
      <c r="L5160" s="13" t="s">
        <v>496</v>
      </c>
      <c r="M5160" s="2" t="s">
        <v>26</v>
      </c>
      <c r="N5160" s="29"/>
      <c r="O5160" s="29"/>
      <c r="P5160" s="5" t="str">
        <f>IFERROR(__xludf.DUMMYFUNCTION("TEXTJOIN("" | "",TRUE,IF(OR(D5160="""",E5160="""",I5160="""",J5160="""",H5160=""""),""ফাঁকা ঘর"",""""),IF(AND(C5160&lt;&gt;"""",D5160&lt;&gt;"""",C5160=D5160),""gloss=figurative"",""""),IF(LEN(D5160)&lt;15,""figurative ছোট"",""""),IF(AND(I5160=""Positive"",REGEXMATCH(H5"&amp;"160,""মূর্খ|ভণ্ড|প্রতার|অলস|লোভ|স্বার্থ|অক্ষম|অযোগ্য|বোকা|কৃপণ|হিংস"")),""valence-target অমিল"",""""),IF(COUNTIF($B:$B,B5160)&gt;1,""ডুপ্লিকেট"",""""))"),"")</f>
        <v/>
      </c>
      <c r="Q5160" s="5" t="str">
        <f t="shared" si="1"/>
        <v>২ পরে</v>
      </c>
    </row>
    <row r="5161">
      <c r="A5161" s="4">
        <v>3006.0</v>
      </c>
      <c r="B5161" s="2" t="s">
        <v>21109</v>
      </c>
      <c r="C5161" s="2" t="s">
        <v>21110</v>
      </c>
      <c r="D5161" s="2" t="s">
        <v>21111</v>
      </c>
      <c r="E5161" s="2" t="s">
        <v>21112</v>
      </c>
      <c r="F5161" s="2" t="b">
        <v>1</v>
      </c>
      <c r="G5161" s="2" t="b">
        <v>0</v>
      </c>
      <c r="H5161" s="2" t="s">
        <v>37</v>
      </c>
      <c r="I5161" s="2" t="s">
        <v>22</v>
      </c>
      <c r="J5161" s="2" t="s">
        <v>1895</v>
      </c>
      <c r="K5161" s="2" t="s">
        <v>495</v>
      </c>
      <c r="L5161" s="13" t="s">
        <v>496</v>
      </c>
      <c r="M5161" s="2" t="s">
        <v>26</v>
      </c>
      <c r="N5161" s="29"/>
      <c r="O5161" s="29"/>
      <c r="P5161" s="5" t="str">
        <f>IFERROR(__xludf.DUMMYFUNCTION("TEXTJOIN("" | "",TRUE,IF(OR(D5161="""",E5161="""",I5161="""",J5161="""",H5161=""""),""ফাঁকা ঘর"",""""),IF(AND(C5161&lt;&gt;"""",D5161&lt;&gt;"""",C5161=D5161),""gloss=figurative"",""""),IF(LEN(D5161)&lt;15,""figurative ছোট"",""""),IF(AND(I5161=""Positive"",REGEXMATCH(H5"&amp;"161,""মূর্খ|ভণ্ড|প্রতার|অলস|লোভ|স্বার্থ|অক্ষম|অযোগ্য|বোকা|কৃপণ|হিংস"")),""valence-target অমিল"",""""),IF(COUNTIF($B:$B,B5161)&gt;1,""ডুপ্লিকেট"",""""))"),"")</f>
        <v/>
      </c>
      <c r="Q5161" s="5" t="str">
        <f t="shared" si="1"/>
        <v>২ পরে</v>
      </c>
    </row>
    <row r="5162">
      <c r="A5162" s="4">
        <v>3007.0</v>
      </c>
      <c r="B5162" s="2" t="s">
        <v>21113</v>
      </c>
      <c r="C5162" s="2" t="s">
        <v>21114</v>
      </c>
      <c r="D5162" s="2" t="s">
        <v>21115</v>
      </c>
      <c r="E5162" s="2" t="s">
        <v>21116</v>
      </c>
      <c r="F5162" s="2" t="b">
        <v>1</v>
      </c>
      <c r="G5162" s="2" t="b">
        <v>0</v>
      </c>
      <c r="H5162" s="2" t="s">
        <v>37</v>
      </c>
      <c r="I5162" s="2" t="s">
        <v>22</v>
      </c>
      <c r="J5162" s="2" t="s">
        <v>820</v>
      </c>
      <c r="K5162" s="2" t="s">
        <v>495</v>
      </c>
      <c r="L5162" s="13" t="s">
        <v>496</v>
      </c>
      <c r="M5162" s="2" t="s">
        <v>26</v>
      </c>
      <c r="N5162" s="29"/>
      <c r="O5162" s="29"/>
      <c r="P5162" s="5" t="str">
        <f>IFERROR(__xludf.DUMMYFUNCTION("TEXTJOIN("" | "",TRUE,IF(OR(D5162="""",E5162="""",I5162="""",J5162="""",H5162=""""),""ফাঁকা ঘর"",""""),IF(AND(C5162&lt;&gt;"""",D5162&lt;&gt;"""",C5162=D5162),""gloss=figurative"",""""),IF(LEN(D5162)&lt;15,""figurative ছোট"",""""),IF(AND(I5162=""Positive"",REGEXMATCH(H5"&amp;"162,""মূর্খ|ভণ্ড|প্রতার|অলস|লোভ|স্বার্থ|অক্ষম|অযোগ্য|বোকা|কৃপণ|হিংস"")),""valence-target অমিল"",""""),IF(COUNTIF($B:$B,B5162)&gt;1,""ডুপ্লিকেট"",""""))"),"")</f>
        <v/>
      </c>
      <c r="Q5162" s="5" t="str">
        <f t="shared" si="1"/>
        <v>২ পরে</v>
      </c>
    </row>
    <row r="5163">
      <c r="A5163" s="4">
        <v>3008.0</v>
      </c>
      <c r="B5163" s="2" t="s">
        <v>21117</v>
      </c>
      <c r="C5163" s="2" t="s">
        <v>21118</v>
      </c>
      <c r="D5163" s="2" t="s">
        <v>21119</v>
      </c>
      <c r="E5163" s="2" t="s">
        <v>21120</v>
      </c>
      <c r="F5163" s="2" t="b">
        <v>1</v>
      </c>
      <c r="G5163" s="2" t="b">
        <v>0</v>
      </c>
      <c r="H5163" s="2" t="s">
        <v>37</v>
      </c>
      <c r="I5163" s="2" t="s">
        <v>22</v>
      </c>
      <c r="J5163" s="2" t="s">
        <v>21121</v>
      </c>
      <c r="K5163" s="2" t="s">
        <v>495</v>
      </c>
      <c r="L5163" s="13" t="s">
        <v>496</v>
      </c>
      <c r="M5163" s="2" t="s">
        <v>26</v>
      </c>
      <c r="N5163" s="29"/>
      <c r="O5163" s="29"/>
      <c r="P5163" s="5" t="str">
        <f>IFERROR(__xludf.DUMMYFUNCTION("TEXTJOIN("" | "",TRUE,IF(OR(D5163="""",E5163="""",I5163="""",J5163="""",H5163=""""),""ফাঁকা ঘর"",""""),IF(AND(C5163&lt;&gt;"""",D5163&lt;&gt;"""",C5163=D5163),""gloss=figurative"",""""),IF(LEN(D5163)&lt;15,""figurative ছোট"",""""),IF(AND(I5163=""Positive"",REGEXMATCH(H5"&amp;"163,""মূর্খ|ভণ্ড|প্রতার|অলস|লোভ|স্বার্থ|অক্ষম|অযোগ্য|বোকা|কৃপণ|হিংস"")),""valence-target অমিল"",""""),IF(COUNTIF($B:$B,B5163)&gt;1,""ডুপ্লিকেট"",""""))"),"")</f>
        <v/>
      </c>
      <c r="Q5163" s="5" t="str">
        <f t="shared" si="1"/>
        <v>২ পরে</v>
      </c>
    </row>
    <row r="5164">
      <c r="A5164" s="4">
        <v>3009.0</v>
      </c>
      <c r="B5164" s="2" t="s">
        <v>21122</v>
      </c>
      <c r="C5164" s="2" t="s">
        <v>21123</v>
      </c>
      <c r="D5164" s="2" t="s">
        <v>21124</v>
      </c>
      <c r="E5164" s="2" t="s">
        <v>21125</v>
      </c>
      <c r="F5164" s="2" t="b">
        <v>1</v>
      </c>
      <c r="G5164" s="2" t="b">
        <v>0</v>
      </c>
      <c r="H5164" s="2" t="s">
        <v>37</v>
      </c>
      <c r="I5164" s="2" t="s">
        <v>22</v>
      </c>
      <c r="J5164" s="2" t="s">
        <v>16089</v>
      </c>
      <c r="K5164" s="2" t="s">
        <v>495</v>
      </c>
      <c r="L5164" s="13" t="s">
        <v>496</v>
      </c>
      <c r="M5164" s="2" t="s">
        <v>26</v>
      </c>
      <c r="N5164" s="29"/>
      <c r="O5164" s="29"/>
      <c r="P5164" s="5" t="str">
        <f>IFERROR(__xludf.DUMMYFUNCTION("TEXTJOIN("" | "",TRUE,IF(OR(D5164="""",E5164="""",I5164="""",J5164="""",H5164=""""),""ফাঁকা ঘর"",""""),IF(AND(C5164&lt;&gt;"""",D5164&lt;&gt;"""",C5164=D5164),""gloss=figurative"",""""),IF(LEN(D5164)&lt;15,""figurative ছোট"",""""),IF(AND(I5164=""Positive"",REGEXMATCH(H5"&amp;"164,""মূর্খ|ভণ্ড|প্রতার|অলস|লোভ|স্বার্থ|অক্ষম|অযোগ্য|বোকা|কৃপণ|হিংস"")),""valence-target অমিল"",""""),IF(COUNTIF($B:$B,B5164)&gt;1,""ডুপ্লিকেট"",""""))"),"")</f>
        <v/>
      </c>
      <c r="Q5164" s="5" t="str">
        <f t="shared" si="1"/>
        <v>২ পরে</v>
      </c>
    </row>
    <row r="5165">
      <c r="A5165" s="4">
        <v>3010.0</v>
      </c>
      <c r="B5165" s="2" t="s">
        <v>21126</v>
      </c>
      <c r="C5165" s="2" t="s">
        <v>21127</v>
      </c>
      <c r="D5165" s="2" t="s">
        <v>21128</v>
      </c>
      <c r="E5165" s="2" t="s">
        <v>21129</v>
      </c>
      <c r="F5165" s="2" t="b">
        <v>1</v>
      </c>
      <c r="G5165" s="2" t="b">
        <v>0</v>
      </c>
      <c r="H5165" s="2" t="s">
        <v>37</v>
      </c>
      <c r="I5165" s="2" t="s">
        <v>22</v>
      </c>
      <c r="J5165" s="2" t="s">
        <v>21130</v>
      </c>
      <c r="K5165" s="2" t="s">
        <v>495</v>
      </c>
      <c r="L5165" s="13" t="s">
        <v>496</v>
      </c>
      <c r="M5165" s="2" t="s">
        <v>26</v>
      </c>
      <c r="N5165" s="29"/>
      <c r="O5165" s="29"/>
      <c r="P5165" s="5" t="str">
        <f>IFERROR(__xludf.DUMMYFUNCTION("TEXTJOIN("" | "",TRUE,IF(OR(D5165="""",E5165="""",I5165="""",J5165="""",H5165=""""),""ফাঁকা ঘর"",""""),IF(AND(C5165&lt;&gt;"""",D5165&lt;&gt;"""",C5165=D5165),""gloss=figurative"",""""),IF(LEN(D5165)&lt;15,""figurative ছোট"",""""),IF(AND(I5165=""Positive"",REGEXMATCH(H5"&amp;"165,""মূর্খ|ভণ্ড|প্রতার|অলস|লোভ|স্বার্থ|অক্ষম|অযোগ্য|বোকা|কৃপণ|হিংস"")),""valence-target অমিল"",""""),IF(COUNTIF($B:$B,B5165)&gt;1,""ডুপ্লিকেট"",""""))"),"")</f>
        <v/>
      </c>
      <c r="Q5165" s="5" t="str">
        <f t="shared" si="1"/>
        <v>২ পরে</v>
      </c>
    </row>
    <row r="5166">
      <c r="A5166" s="4">
        <v>3011.0</v>
      </c>
      <c r="B5166" s="2" t="s">
        <v>21131</v>
      </c>
      <c r="C5166" s="2" t="s">
        <v>21132</v>
      </c>
      <c r="D5166" s="2" t="s">
        <v>21133</v>
      </c>
      <c r="E5166" s="2" t="s">
        <v>21134</v>
      </c>
      <c r="F5166" s="2" t="b">
        <v>1</v>
      </c>
      <c r="G5166" s="2" t="b">
        <v>0</v>
      </c>
      <c r="H5166" s="2" t="s">
        <v>37</v>
      </c>
      <c r="I5166" s="2" t="s">
        <v>22</v>
      </c>
      <c r="J5166" s="2" t="s">
        <v>21135</v>
      </c>
      <c r="K5166" s="2" t="s">
        <v>495</v>
      </c>
      <c r="L5166" s="13" t="s">
        <v>496</v>
      </c>
      <c r="M5166" s="2" t="s">
        <v>26</v>
      </c>
      <c r="N5166" s="29"/>
      <c r="O5166" s="29"/>
      <c r="P5166" s="5" t="str">
        <f>IFERROR(__xludf.DUMMYFUNCTION("TEXTJOIN("" | "",TRUE,IF(OR(D5166="""",E5166="""",I5166="""",J5166="""",H5166=""""),""ফাঁকা ঘর"",""""),IF(AND(C5166&lt;&gt;"""",D5166&lt;&gt;"""",C5166=D5166),""gloss=figurative"",""""),IF(LEN(D5166)&lt;15,""figurative ছোট"",""""),IF(AND(I5166=""Positive"",REGEXMATCH(H5"&amp;"166,""মূর্খ|ভণ্ড|প্রতার|অলস|লোভ|স্বার্থ|অক্ষম|অযোগ্য|বোকা|কৃপণ|হিংস"")),""valence-target অমিল"",""""),IF(COUNTIF($B:$B,B5166)&gt;1,""ডুপ্লিকেট"",""""))"),"")</f>
        <v/>
      </c>
      <c r="Q5166" s="5" t="str">
        <f t="shared" si="1"/>
        <v>২ পরে</v>
      </c>
    </row>
    <row r="5167">
      <c r="A5167" s="4">
        <v>3012.0</v>
      </c>
      <c r="B5167" s="2" t="s">
        <v>21136</v>
      </c>
      <c r="C5167" s="2" t="s">
        <v>21137</v>
      </c>
      <c r="D5167" s="2" t="s">
        <v>21138</v>
      </c>
      <c r="E5167" s="2" t="s">
        <v>21139</v>
      </c>
      <c r="F5167" s="2" t="b">
        <v>1</v>
      </c>
      <c r="G5167" s="2" t="b">
        <v>0</v>
      </c>
      <c r="H5167" s="2" t="s">
        <v>37</v>
      </c>
      <c r="I5167" s="2" t="s">
        <v>22</v>
      </c>
      <c r="J5167" s="2" t="s">
        <v>947</v>
      </c>
      <c r="K5167" s="2" t="s">
        <v>495</v>
      </c>
      <c r="L5167" s="13" t="s">
        <v>496</v>
      </c>
      <c r="M5167" s="2" t="s">
        <v>26</v>
      </c>
      <c r="N5167" s="29"/>
      <c r="O5167" s="29"/>
      <c r="P5167" s="5" t="str">
        <f>IFERROR(__xludf.DUMMYFUNCTION("TEXTJOIN("" | "",TRUE,IF(OR(D5167="""",E5167="""",I5167="""",J5167="""",H5167=""""),""ফাঁকা ঘর"",""""),IF(AND(C5167&lt;&gt;"""",D5167&lt;&gt;"""",C5167=D5167),""gloss=figurative"",""""),IF(LEN(D5167)&lt;15,""figurative ছোট"",""""),IF(AND(I5167=""Positive"",REGEXMATCH(H5"&amp;"167,""মূর্খ|ভণ্ড|প্রতার|অলস|লোভ|স্বার্থ|অক্ষম|অযোগ্য|বোকা|কৃপণ|হিংস"")),""valence-target অমিল"",""""),IF(COUNTIF($B:$B,B5167)&gt;1,""ডুপ্লিকেট"",""""))"),"")</f>
        <v/>
      </c>
      <c r="Q5167" s="5" t="str">
        <f t="shared" si="1"/>
        <v>২ পরে</v>
      </c>
    </row>
    <row r="5168">
      <c r="A5168" s="4">
        <v>3013.0</v>
      </c>
      <c r="B5168" s="2" t="s">
        <v>21140</v>
      </c>
      <c r="C5168" s="2" t="s">
        <v>21141</v>
      </c>
      <c r="D5168" s="2" t="s">
        <v>21142</v>
      </c>
      <c r="E5168" s="2" t="s">
        <v>21143</v>
      </c>
      <c r="F5168" s="2" t="b">
        <v>1</v>
      </c>
      <c r="G5168" s="2" t="b">
        <v>0</v>
      </c>
      <c r="H5168" s="2" t="s">
        <v>37</v>
      </c>
      <c r="I5168" s="2" t="s">
        <v>22</v>
      </c>
      <c r="J5168" s="2" t="s">
        <v>947</v>
      </c>
      <c r="K5168" s="2" t="s">
        <v>495</v>
      </c>
      <c r="L5168" s="13" t="s">
        <v>496</v>
      </c>
      <c r="M5168" s="2" t="s">
        <v>26</v>
      </c>
      <c r="N5168" s="29"/>
      <c r="O5168" s="29"/>
      <c r="P5168" s="5" t="str">
        <f>IFERROR(__xludf.DUMMYFUNCTION("TEXTJOIN("" | "",TRUE,IF(OR(D5168="""",E5168="""",I5168="""",J5168="""",H5168=""""),""ফাঁকা ঘর"",""""),IF(AND(C5168&lt;&gt;"""",D5168&lt;&gt;"""",C5168=D5168),""gloss=figurative"",""""),IF(LEN(D5168)&lt;15,""figurative ছোট"",""""),IF(AND(I5168=""Positive"",REGEXMATCH(H5"&amp;"168,""মূর্খ|ভণ্ড|প্রতার|অলস|লোভ|স্বার্থ|অক্ষম|অযোগ্য|বোকা|কৃপণ|হিংস"")),""valence-target অমিল"",""""),IF(COUNTIF($B:$B,B5168)&gt;1,""ডুপ্লিকেট"",""""))"),"")</f>
        <v/>
      </c>
      <c r="Q5168" s="5" t="str">
        <f t="shared" si="1"/>
        <v>২ পরে</v>
      </c>
    </row>
    <row r="5169">
      <c r="A5169" s="4">
        <v>3014.0</v>
      </c>
      <c r="B5169" s="2" t="s">
        <v>21144</v>
      </c>
      <c r="C5169" s="2" t="s">
        <v>21145</v>
      </c>
      <c r="D5169" s="2" t="s">
        <v>21146</v>
      </c>
      <c r="E5169" s="2" t="s">
        <v>21147</v>
      </c>
      <c r="F5169" s="2" t="b">
        <v>1</v>
      </c>
      <c r="G5169" s="2" t="b">
        <v>0</v>
      </c>
      <c r="H5169" s="2" t="s">
        <v>37</v>
      </c>
      <c r="I5169" s="2" t="s">
        <v>22</v>
      </c>
      <c r="J5169" s="2" t="s">
        <v>15507</v>
      </c>
      <c r="K5169" s="2" t="s">
        <v>495</v>
      </c>
      <c r="L5169" s="13" t="s">
        <v>496</v>
      </c>
      <c r="M5169" s="2" t="s">
        <v>26</v>
      </c>
      <c r="N5169" s="29"/>
      <c r="O5169" s="29"/>
      <c r="P5169" s="5" t="str">
        <f>IFERROR(__xludf.DUMMYFUNCTION("TEXTJOIN("" | "",TRUE,IF(OR(D5169="""",E5169="""",I5169="""",J5169="""",H5169=""""),""ফাঁকা ঘর"",""""),IF(AND(C5169&lt;&gt;"""",D5169&lt;&gt;"""",C5169=D5169),""gloss=figurative"",""""),IF(LEN(D5169)&lt;15,""figurative ছোট"",""""),IF(AND(I5169=""Positive"",REGEXMATCH(H5"&amp;"169,""মূর্খ|ভণ্ড|প্রতার|অলস|লোভ|স্বার্থ|অক্ষম|অযোগ্য|বোকা|কৃপণ|হিংস"")),""valence-target অমিল"",""""),IF(COUNTIF($B:$B,B5169)&gt;1,""ডুপ্লিকেট"",""""))"),"")</f>
        <v/>
      </c>
      <c r="Q5169" s="5" t="str">
        <f t="shared" si="1"/>
        <v>২ পরে</v>
      </c>
    </row>
    <row r="5170">
      <c r="A5170" s="4">
        <v>3015.0</v>
      </c>
      <c r="B5170" s="2" t="s">
        <v>21148</v>
      </c>
      <c r="C5170" s="2" t="s">
        <v>21149</v>
      </c>
      <c r="D5170" s="2" t="s">
        <v>21150</v>
      </c>
      <c r="E5170" s="2" t="s">
        <v>21151</v>
      </c>
      <c r="F5170" s="2" t="b">
        <v>1</v>
      </c>
      <c r="G5170" s="2" t="b">
        <v>0</v>
      </c>
      <c r="H5170" s="2" t="s">
        <v>37</v>
      </c>
      <c r="I5170" s="2" t="s">
        <v>32</v>
      </c>
      <c r="J5170" s="2" t="s">
        <v>1686</v>
      </c>
      <c r="K5170" s="2" t="s">
        <v>495</v>
      </c>
      <c r="L5170" s="13" t="s">
        <v>496</v>
      </c>
      <c r="M5170" s="2" t="s">
        <v>26</v>
      </c>
      <c r="N5170" s="29"/>
      <c r="O5170" s="29"/>
      <c r="P5170" s="5" t="str">
        <f>IFERROR(__xludf.DUMMYFUNCTION("TEXTJOIN("" | "",TRUE,IF(OR(D5170="""",E5170="""",I5170="""",J5170="""",H5170=""""),""ফাঁকা ঘর"",""""),IF(AND(C5170&lt;&gt;"""",D5170&lt;&gt;"""",C5170=D5170),""gloss=figurative"",""""),IF(LEN(D5170)&lt;15,""figurative ছোট"",""""),IF(AND(I5170=""Positive"",REGEXMATCH(H5"&amp;"170,""মূর্খ|ভণ্ড|প্রতার|অলস|লোভ|স্বার্থ|অক্ষম|অযোগ্য|বোকা|কৃপণ|হিংস"")),""valence-target অমিল"",""""),IF(COUNTIF($B:$B,B5170)&gt;1,""ডুপ্লিকেট"",""""))"),"")</f>
        <v/>
      </c>
      <c r="Q5170" s="5" t="str">
        <f t="shared" si="1"/>
        <v>২ পরে</v>
      </c>
    </row>
    <row r="5171">
      <c r="A5171" s="4">
        <v>3016.0</v>
      </c>
      <c r="B5171" s="2" t="s">
        <v>21152</v>
      </c>
      <c r="C5171" s="2" t="s">
        <v>21153</v>
      </c>
      <c r="D5171" s="2" t="s">
        <v>21154</v>
      </c>
      <c r="E5171" s="2" t="s">
        <v>21155</v>
      </c>
      <c r="F5171" s="2" t="b">
        <v>1</v>
      </c>
      <c r="G5171" s="2" t="b">
        <v>0</v>
      </c>
      <c r="H5171" s="2" t="s">
        <v>37</v>
      </c>
      <c r="I5171" s="2" t="s">
        <v>32</v>
      </c>
      <c r="J5171" s="2" t="s">
        <v>1686</v>
      </c>
      <c r="K5171" s="2" t="s">
        <v>495</v>
      </c>
      <c r="L5171" s="13" t="s">
        <v>496</v>
      </c>
      <c r="M5171" s="2" t="s">
        <v>26</v>
      </c>
      <c r="N5171" s="29"/>
      <c r="O5171" s="29"/>
      <c r="P5171" s="5" t="str">
        <f>IFERROR(__xludf.DUMMYFUNCTION("TEXTJOIN("" | "",TRUE,IF(OR(D5171="""",E5171="""",I5171="""",J5171="""",H5171=""""),""ফাঁকা ঘর"",""""),IF(AND(C5171&lt;&gt;"""",D5171&lt;&gt;"""",C5171=D5171),""gloss=figurative"",""""),IF(LEN(D5171)&lt;15,""figurative ছোট"",""""),IF(AND(I5171=""Positive"",REGEXMATCH(H5"&amp;"171,""মূর্খ|ভণ্ড|প্রতার|অলস|লোভ|স্বার্থ|অক্ষম|অযোগ্য|বোকা|কৃপণ|হিংস"")),""valence-target অমিল"",""""),IF(COUNTIF($B:$B,B5171)&gt;1,""ডুপ্লিকেট"",""""))"),"")</f>
        <v/>
      </c>
      <c r="Q5171" s="5" t="str">
        <f t="shared" si="1"/>
        <v>২ পরে</v>
      </c>
    </row>
    <row r="5172">
      <c r="A5172" s="4">
        <v>3018.0</v>
      </c>
      <c r="B5172" s="2" t="s">
        <v>21156</v>
      </c>
      <c r="C5172" s="2" t="s">
        <v>21157</v>
      </c>
      <c r="D5172" s="2" t="s">
        <v>21158</v>
      </c>
      <c r="E5172" s="2" t="s">
        <v>21159</v>
      </c>
      <c r="F5172" s="2" t="b">
        <v>1</v>
      </c>
      <c r="G5172" s="2" t="b">
        <v>0</v>
      </c>
      <c r="H5172" s="2" t="s">
        <v>37</v>
      </c>
      <c r="I5172" s="2" t="s">
        <v>49</v>
      </c>
      <c r="J5172" s="2" t="s">
        <v>1775</v>
      </c>
      <c r="K5172" s="2" t="s">
        <v>495</v>
      </c>
      <c r="L5172" s="13" t="s">
        <v>496</v>
      </c>
      <c r="M5172" s="2" t="s">
        <v>26</v>
      </c>
      <c r="N5172" s="29"/>
      <c r="O5172" s="29"/>
      <c r="P5172" s="5" t="str">
        <f>IFERROR(__xludf.DUMMYFUNCTION("TEXTJOIN("" | "",TRUE,IF(OR(D5172="""",E5172="""",I5172="""",J5172="""",H5172=""""),""ফাঁকা ঘর"",""""),IF(AND(C5172&lt;&gt;"""",D5172&lt;&gt;"""",C5172=D5172),""gloss=figurative"",""""),IF(LEN(D5172)&lt;15,""figurative ছোট"",""""),IF(AND(I5172=""Positive"",REGEXMATCH(H5"&amp;"172,""মূর্খ|ভণ্ড|প্রতার|অলস|লোভ|স্বার্থ|অক্ষম|অযোগ্য|বোকা|কৃপণ|হিংস"")),""valence-target অমিল"",""""),IF(COUNTIF($B:$B,B5172)&gt;1,""ডুপ্লিকেট"",""""))"),"")</f>
        <v/>
      </c>
      <c r="Q5172" s="5" t="str">
        <f t="shared" si="1"/>
        <v>২ পরে</v>
      </c>
    </row>
    <row r="5173">
      <c r="A5173" s="4">
        <v>3019.0</v>
      </c>
      <c r="B5173" s="2" t="s">
        <v>21160</v>
      </c>
      <c r="C5173" s="2" t="s">
        <v>21161</v>
      </c>
      <c r="D5173" s="2" t="s">
        <v>21162</v>
      </c>
      <c r="E5173" s="2" t="s">
        <v>21163</v>
      </c>
      <c r="F5173" s="2" t="b">
        <v>1</v>
      </c>
      <c r="G5173" s="2" t="b">
        <v>1</v>
      </c>
      <c r="H5173" s="2" t="s">
        <v>21164</v>
      </c>
      <c r="I5173" s="2" t="s">
        <v>49</v>
      </c>
      <c r="J5173" s="2" t="s">
        <v>1803</v>
      </c>
      <c r="K5173" s="2" t="s">
        <v>495</v>
      </c>
      <c r="L5173" s="13" t="s">
        <v>496</v>
      </c>
      <c r="M5173" s="2" t="s">
        <v>26</v>
      </c>
      <c r="N5173" s="29"/>
      <c r="O5173" s="29"/>
      <c r="P5173" s="5" t="str">
        <f>IFERROR(__xludf.DUMMYFUNCTION("TEXTJOIN("" | "",TRUE,IF(OR(D5173="""",E5173="""",I5173="""",J5173="""",H5173=""""),""ফাঁকা ঘর"",""""),IF(AND(C5173&lt;&gt;"""",D5173&lt;&gt;"""",C5173=D5173),""gloss=figurative"",""""),IF(LEN(D5173)&lt;15,""figurative ছোট"",""""),IF(AND(I5173=""Positive"",REGEXMATCH(H5"&amp;"173,""মূর্খ|ভণ্ড|প্রতার|অলস|লোভ|স্বার্থ|অক্ষম|অযোগ্য|বোকা|কৃপণ|হিংস"")),""valence-target অমিল"",""""),IF(COUNTIF($B:$B,B5173)&gt;1,""ডুপ্লিকেট"",""""))"),"")</f>
        <v/>
      </c>
      <c r="Q5173" s="5" t="str">
        <f t="shared" si="1"/>
        <v>২ পরে</v>
      </c>
    </row>
    <row r="5174">
      <c r="A5174" s="4">
        <v>3020.0</v>
      </c>
      <c r="B5174" s="2" t="s">
        <v>21165</v>
      </c>
      <c r="C5174" s="2" t="s">
        <v>21166</v>
      </c>
      <c r="D5174" s="2" t="s">
        <v>21167</v>
      </c>
      <c r="E5174" s="2" t="s">
        <v>21168</v>
      </c>
      <c r="F5174" s="2" t="b">
        <v>1</v>
      </c>
      <c r="G5174" s="2" t="b">
        <v>1</v>
      </c>
      <c r="H5174" s="2" t="s">
        <v>21169</v>
      </c>
      <c r="I5174" s="2" t="s">
        <v>49</v>
      </c>
      <c r="J5174" s="2" t="s">
        <v>1803</v>
      </c>
      <c r="K5174" s="2" t="s">
        <v>495</v>
      </c>
      <c r="L5174" s="13" t="s">
        <v>496</v>
      </c>
      <c r="M5174" s="2" t="s">
        <v>26</v>
      </c>
      <c r="N5174" s="29"/>
      <c r="O5174" s="29"/>
      <c r="P5174" s="5" t="str">
        <f>IFERROR(__xludf.DUMMYFUNCTION("TEXTJOIN("" | "",TRUE,IF(OR(D5174="""",E5174="""",I5174="""",J5174="""",H5174=""""),""ফাঁকা ঘর"",""""),IF(AND(C5174&lt;&gt;"""",D5174&lt;&gt;"""",C5174=D5174),""gloss=figurative"",""""),IF(LEN(D5174)&lt;15,""figurative ছোট"",""""),IF(AND(I5174=""Positive"",REGEXMATCH(H5"&amp;"174,""মূর্খ|ভণ্ড|প্রতার|অলস|লোভ|স্বার্থ|অক্ষম|অযোগ্য|বোকা|কৃপণ|হিংস"")),""valence-target অমিল"",""""),IF(COUNTIF($B:$B,B5174)&gt;1,""ডুপ্লিকেট"",""""))"),"")</f>
        <v/>
      </c>
      <c r="Q5174" s="5" t="str">
        <f t="shared" si="1"/>
        <v>২ পরে</v>
      </c>
    </row>
    <row r="5175">
      <c r="A5175" s="4">
        <v>3021.0</v>
      </c>
      <c r="B5175" s="2" t="s">
        <v>21170</v>
      </c>
      <c r="C5175" s="2" t="s">
        <v>21171</v>
      </c>
      <c r="D5175" s="2" t="s">
        <v>21172</v>
      </c>
      <c r="E5175" s="2" t="s">
        <v>21173</v>
      </c>
      <c r="F5175" s="2" t="b">
        <v>1</v>
      </c>
      <c r="G5175" s="2" t="b">
        <v>1</v>
      </c>
      <c r="H5175" s="2" t="s">
        <v>21169</v>
      </c>
      <c r="I5175" s="2" t="s">
        <v>49</v>
      </c>
      <c r="J5175" s="2" t="s">
        <v>1803</v>
      </c>
      <c r="K5175" s="2" t="s">
        <v>495</v>
      </c>
      <c r="L5175" s="13" t="s">
        <v>496</v>
      </c>
      <c r="M5175" s="2" t="s">
        <v>26</v>
      </c>
      <c r="N5175" s="29"/>
      <c r="O5175" s="29"/>
      <c r="P5175" s="5" t="str">
        <f>IFERROR(__xludf.DUMMYFUNCTION("TEXTJOIN("" | "",TRUE,IF(OR(D5175="""",E5175="""",I5175="""",J5175="""",H5175=""""),""ফাঁকা ঘর"",""""),IF(AND(C5175&lt;&gt;"""",D5175&lt;&gt;"""",C5175=D5175),""gloss=figurative"",""""),IF(LEN(D5175)&lt;15,""figurative ছোট"",""""),IF(AND(I5175=""Positive"",REGEXMATCH(H5"&amp;"175,""মূর্খ|ভণ্ড|প্রতার|অলস|লোভ|স্বার্থ|অক্ষম|অযোগ্য|বোকা|কৃপণ|হিংস"")),""valence-target অমিল"",""""),IF(COUNTIF($B:$B,B5175)&gt;1,""ডুপ্লিকেট"",""""))"),"")</f>
        <v/>
      </c>
      <c r="Q5175" s="5" t="str">
        <f t="shared" si="1"/>
        <v>২ পরে</v>
      </c>
    </row>
    <row r="5176">
      <c r="A5176" s="4">
        <v>3022.0</v>
      </c>
      <c r="B5176" s="2" t="s">
        <v>21174</v>
      </c>
      <c r="C5176" s="2" t="s">
        <v>21175</v>
      </c>
      <c r="D5176" s="2" t="s">
        <v>21176</v>
      </c>
      <c r="E5176" s="2" t="s">
        <v>21177</v>
      </c>
      <c r="F5176" s="2" t="b">
        <v>1</v>
      </c>
      <c r="G5176" s="2" t="b">
        <v>0</v>
      </c>
      <c r="H5176" s="2" t="s">
        <v>37</v>
      </c>
      <c r="I5176" s="2" t="s">
        <v>22</v>
      </c>
      <c r="J5176" s="2" t="s">
        <v>1630</v>
      </c>
      <c r="K5176" s="2" t="s">
        <v>495</v>
      </c>
      <c r="L5176" s="13" t="s">
        <v>496</v>
      </c>
      <c r="M5176" s="2" t="s">
        <v>26</v>
      </c>
      <c r="N5176" s="29"/>
      <c r="O5176" s="29"/>
      <c r="P5176" s="5" t="str">
        <f>IFERROR(__xludf.DUMMYFUNCTION("TEXTJOIN("" | "",TRUE,IF(OR(D5176="""",E5176="""",I5176="""",J5176="""",H5176=""""),""ফাঁকা ঘর"",""""),IF(AND(C5176&lt;&gt;"""",D5176&lt;&gt;"""",C5176=D5176),""gloss=figurative"",""""),IF(LEN(D5176)&lt;15,""figurative ছোট"",""""),IF(AND(I5176=""Positive"",REGEXMATCH(H5"&amp;"176,""মূর্খ|ভণ্ড|প্রতার|অলস|লোভ|স্বার্থ|অক্ষম|অযোগ্য|বোকা|কৃপণ|হিংস"")),""valence-target অমিল"",""""),IF(COUNTIF($B:$B,B5176)&gt;1,""ডুপ্লিকেট"",""""))"),"")</f>
        <v/>
      </c>
      <c r="Q5176" s="5" t="str">
        <f t="shared" si="1"/>
        <v>২ পরে</v>
      </c>
    </row>
    <row r="5177">
      <c r="A5177" s="4">
        <v>3023.0</v>
      </c>
      <c r="B5177" s="2" t="s">
        <v>21178</v>
      </c>
      <c r="C5177" s="2" t="s">
        <v>21179</v>
      </c>
      <c r="D5177" s="2" t="s">
        <v>21180</v>
      </c>
      <c r="E5177" s="2" t="s">
        <v>21181</v>
      </c>
      <c r="F5177" s="2" t="b">
        <v>1</v>
      </c>
      <c r="G5177" s="2" t="b">
        <v>0</v>
      </c>
      <c r="H5177" s="2" t="s">
        <v>37</v>
      </c>
      <c r="I5177" s="2" t="s">
        <v>22</v>
      </c>
      <c r="J5177" s="2" t="s">
        <v>10509</v>
      </c>
      <c r="K5177" s="2" t="s">
        <v>495</v>
      </c>
      <c r="L5177" s="13" t="s">
        <v>496</v>
      </c>
      <c r="M5177" s="2" t="s">
        <v>26</v>
      </c>
      <c r="N5177" s="29"/>
      <c r="O5177" s="29"/>
      <c r="P5177" s="5" t="str">
        <f>IFERROR(__xludf.DUMMYFUNCTION("TEXTJOIN("" | "",TRUE,IF(OR(D5177="""",E5177="""",I5177="""",J5177="""",H5177=""""),""ফাঁকা ঘর"",""""),IF(AND(C5177&lt;&gt;"""",D5177&lt;&gt;"""",C5177=D5177),""gloss=figurative"",""""),IF(LEN(D5177)&lt;15,""figurative ছোট"",""""),IF(AND(I5177=""Positive"",REGEXMATCH(H5"&amp;"177,""মূর্খ|ভণ্ড|প্রতার|অলস|লোভ|স্বার্থ|অক্ষম|অযোগ্য|বোকা|কৃপণ|হিংস"")),""valence-target অমিল"",""""),IF(COUNTIF($B:$B,B5177)&gt;1,""ডুপ্লিকেট"",""""))"),"")</f>
        <v/>
      </c>
      <c r="Q5177" s="5" t="str">
        <f t="shared" si="1"/>
        <v>২ পরে</v>
      </c>
    </row>
    <row r="5178">
      <c r="A5178" s="4">
        <v>3024.0</v>
      </c>
      <c r="B5178" s="2" t="s">
        <v>21182</v>
      </c>
      <c r="C5178" s="2" t="s">
        <v>21183</v>
      </c>
      <c r="D5178" s="2" t="s">
        <v>21184</v>
      </c>
      <c r="E5178" s="2" t="s">
        <v>21185</v>
      </c>
      <c r="F5178" s="2" t="b">
        <v>1</v>
      </c>
      <c r="G5178" s="2" t="b">
        <v>0</v>
      </c>
      <c r="H5178" s="2" t="s">
        <v>37</v>
      </c>
      <c r="I5178" s="2" t="s">
        <v>32</v>
      </c>
      <c r="J5178" s="2" t="s">
        <v>1784</v>
      </c>
      <c r="K5178" s="2" t="s">
        <v>495</v>
      </c>
      <c r="L5178" s="13" t="s">
        <v>496</v>
      </c>
      <c r="M5178" s="2" t="s">
        <v>26</v>
      </c>
      <c r="N5178" s="29"/>
      <c r="O5178" s="29"/>
      <c r="P5178" s="5" t="str">
        <f>IFERROR(__xludf.DUMMYFUNCTION("TEXTJOIN("" | "",TRUE,IF(OR(D5178="""",E5178="""",I5178="""",J5178="""",H5178=""""),""ফাঁকা ঘর"",""""),IF(AND(C5178&lt;&gt;"""",D5178&lt;&gt;"""",C5178=D5178),""gloss=figurative"",""""),IF(LEN(D5178)&lt;15,""figurative ছোট"",""""),IF(AND(I5178=""Positive"",REGEXMATCH(H5"&amp;"178,""মূর্খ|ভণ্ড|প্রতার|অলস|লোভ|স্বার্থ|অক্ষম|অযোগ্য|বোকা|কৃপণ|হিংস"")),""valence-target অমিল"",""""),IF(COUNTIF($B:$B,B5178)&gt;1,""ডুপ্লিকেট"",""""))"),"")</f>
        <v/>
      </c>
      <c r="Q5178" s="5" t="str">
        <f t="shared" si="1"/>
        <v>২ পরে</v>
      </c>
    </row>
    <row r="5179">
      <c r="A5179" s="4">
        <v>3025.0</v>
      </c>
      <c r="B5179" s="2" t="s">
        <v>21186</v>
      </c>
      <c r="C5179" s="2" t="s">
        <v>21187</v>
      </c>
      <c r="D5179" s="2" t="s">
        <v>21188</v>
      </c>
      <c r="E5179" s="2" t="s">
        <v>21189</v>
      </c>
      <c r="F5179" s="2" t="b">
        <v>1</v>
      </c>
      <c r="G5179" s="2" t="b">
        <v>0</v>
      </c>
      <c r="H5179" s="2" t="s">
        <v>37</v>
      </c>
      <c r="I5179" s="2" t="s">
        <v>22</v>
      </c>
      <c r="J5179" s="2" t="s">
        <v>21190</v>
      </c>
      <c r="K5179" s="2" t="s">
        <v>495</v>
      </c>
      <c r="L5179" s="13" t="s">
        <v>496</v>
      </c>
      <c r="M5179" s="2" t="s">
        <v>26</v>
      </c>
      <c r="N5179" s="29"/>
      <c r="O5179" s="29"/>
      <c r="P5179" s="5" t="str">
        <f>IFERROR(__xludf.DUMMYFUNCTION("TEXTJOIN("" | "",TRUE,IF(OR(D5179="""",E5179="""",I5179="""",J5179="""",H5179=""""),""ফাঁকা ঘর"",""""),IF(AND(C5179&lt;&gt;"""",D5179&lt;&gt;"""",C5179=D5179),""gloss=figurative"",""""),IF(LEN(D5179)&lt;15,""figurative ছোট"",""""),IF(AND(I5179=""Positive"",REGEXMATCH(H5"&amp;"179,""মূর্খ|ভণ্ড|প্রতার|অলস|লোভ|স্বার্থ|অক্ষম|অযোগ্য|বোকা|কৃপণ|হিংস"")),""valence-target অমিল"",""""),IF(COUNTIF($B:$B,B5179)&gt;1,""ডুপ্লিকেট"",""""))"),"")</f>
        <v/>
      </c>
      <c r="Q5179" s="5" t="str">
        <f t="shared" si="1"/>
        <v>২ পরে</v>
      </c>
    </row>
    <row r="5180">
      <c r="A5180" s="4">
        <v>3026.0</v>
      </c>
      <c r="B5180" s="2" t="s">
        <v>21191</v>
      </c>
      <c r="C5180" s="2" t="s">
        <v>21191</v>
      </c>
      <c r="D5180" s="2" t="s">
        <v>21192</v>
      </c>
      <c r="E5180" s="2" t="s">
        <v>21193</v>
      </c>
      <c r="F5180" s="2" t="b">
        <v>1</v>
      </c>
      <c r="G5180" s="2" t="b">
        <v>0</v>
      </c>
      <c r="H5180" s="2" t="s">
        <v>37</v>
      </c>
      <c r="I5180" s="2" t="s">
        <v>32</v>
      </c>
      <c r="J5180" s="2" t="s">
        <v>1033</v>
      </c>
      <c r="K5180" s="2" t="s">
        <v>495</v>
      </c>
      <c r="L5180" s="13" t="s">
        <v>496</v>
      </c>
      <c r="M5180" s="2" t="s">
        <v>26</v>
      </c>
      <c r="N5180" s="29"/>
      <c r="O5180" s="29"/>
      <c r="P5180" s="5" t="str">
        <f>IFERROR(__xludf.DUMMYFUNCTION("TEXTJOIN("" | "",TRUE,IF(OR(D5180="""",E5180="""",I5180="""",J5180="""",H5180=""""),""ফাঁকা ঘর"",""""),IF(AND(C5180&lt;&gt;"""",D5180&lt;&gt;"""",C5180=D5180),""gloss=figurative"",""""),IF(LEN(D5180)&lt;15,""figurative ছোট"",""""),IF(AND(I5180=""Positive"",REGEXMATCH(H5"&amp;"180,""মূর্খ|ভণ্ড|প্রতার|অলস|লোভ|স্বার্থ|অক্ষম|অযোগ্য|বোকা|কৃপণ|হিংস"")),""valence-target অমিল"",""""),IF(COUNTIF($B:$B,B5180)&gt;1,""ডুপ্লিকেট"",""""))"),"")</f>
        <v/>
      </c>
      <c r="Q5180" s="5" t="str">
        <f t="shared" si="1"/>
        <v>২ পরে</v>
      </c>
    </row>
    <row r="5181">
      <c r="A5181" s="4">
        <v>3027.0</v>
      </c>
      <c r="B5181" s="2" t="s">
        <v>21194</v>
      </c>
      <c r="C5181" s="2" t="s">
        <v>21194</v>
      </c>
      <c r="D5181" s="2" t="s">
        <v>21195</v>
      </c>
      <c r="E5181" s="2" t="s">
        <v>21196</v>
      </c>
      <c r="F5181" s="2" t="b">
        <v>1</v>
      </c>
      <c r="G5181" s="2" t="b">
        <v>0</v>
      </c>
      <c r="H5181" s="2" t="s">
        <v>37</v>
      </c>
      <c r="I5181" s="2" t="s">
        <v>22</v>
      </c>
      <c r="J5181" s="2" t="s">
        <v>21197</v>
      </c>
      <c r="K5181" s="2" t="s">
        <v>495</v>
      </c>
      <c r="L5181" s="13" t="s">
        <v>496</v>
      </c>
      <c r="M5181" s="2" t="s">
        <v>26</v>
      </c>
      <c r="N5181" s="29"/>
      <c r="O5181" s="29"/>
      <c r="P5181" s="5" t="str">
        <f>IFERROR(__xludf.DUMMYFUNCTION("TEXTJOIN("" | "",TRUE,IF(OR(D5181="""",E5181="""",I5181="""",J5181="""",H5181=""""),""ফাঁকা ঘর"",""""),IF(AND(C5181&lt;&gt;"""",D5181&lt;&gt;"""",C5181=D5181),""gloss=figurative"",""""),IF(LEN(D5181)&lt;15,""figurative ছোট"",""""),IF(AND(I5181=""Positive"",REGEXMATCH(H5"&amp;"181,""মূর্খ|ভণ্ড|প্রতার|অলস|লোভ|স্বার্থ|অক্ষম|অযোগ্য|বোকা|কৃপণ|হিংস"")),""valence-target অমিল"",""""),IF(COUNTIF($B:$B,B5181)&gt;1,""ডুপ্লিকেট"",""""))"),"")</f>
        <v/>
      </c>
      <c r="Q5181" s="5" t="str">
        <f t="shared" si="1"/>
        <v>২ পরে</v>
      </c>
    </row>
    <row r="5182">
      <c r="A5182" s="4">
        <v>3028.0</v>
      </c>
      <c r="B5182" s="2" t="s">
        <v>21198</v>
      </c>
      <c r="C5182" s="2" t="s">
        <v>21199</v>
      </c>
      <c r="D5182" s="2" t="s">
        <v>21200</v>
      </c>
      <c r="E5182" s="2" t="s">
        <v>21201</v>
      </c>
      <c r="F5182" s="2" t="b">
        <v>1</v>
      </c>
      <c r="G5182" s="2" t="b">
        <v>1</v>
      </c>
      <c r="H5182" s="2" t="s">
        <v>21202</v>
      </c>
      <c r="I5182" s="2" t="s">
        <v>22</v>
      </c>
      <c r="J5182" s="2" t="s">
        <v>16590</v>
      </c>
      <c r="K5182" s="2" t="s">
        <v>495</v>
      </c>
      <c r="L5182" s="13" t="s">
        <v>496</v>
      </c>
      <c r="M5182" s="2" t="s">
        <v>26</v>
      </c>
      <c r="N5182" s="29"/>
      <c r="O5182" s="29"/>
      <c r="P5182" s="5" t="str">
        <f>IFERROR(__xludf.DUMMYFUNCTION("TEXTJOIN("" | "",TRUE,IF(OR(D5182="""",E5182="""",I5182="""",J5182="""",H5182=""""),""ফাঁকা ঘর"",""""),IF(AND(C5182&lt;&gt;"""",D5182&lt;&gt;"""",C5182=D5182),""gloss=figurative"",""""),IF(LEN(D5182)&lt;15,""figurative ছোট"",""""),IF(AND(I5182=""Positive"",REGEXMATCH(H5"&amp;"182,""মূর্খ|ভণ্ড|প্রতার|অলস|লোভ|স্বার্থ|অক্ষম|অযোগ্য|বোকা|কৃপণ|হিংস"")),""valence-target অমিল"",""""),IF(COUNTIF($B:$B,B5182)&gt;1,""ডুপ্লিকেট"",""""))"),"")</f>
        <v/>
      </c>
      <c r="Q5182" s="5" t="str">
        <f t="shared" si="1"/>
        <v>২ পরে</v>
      </c>
    </row>
    <row r="5183">
      <c r="A5183" s="4">
        <v>3029.0</v>
      </c>
      <c r="B5183" s="2" t="s">
        <v>21203</v>
      </c>
      <c r="C5183" s="2" t="s">
        <v>21204</v>
      </c>
      <c r="D5183" s="2" t="s">
        <v>21205</v>
      </c>
      <c r="E5183" s="2" t="s">
        <v>21206</v>
      </c>
      <c r="F5183" s="2" t="b">
        <v>1</v>
      </c>
      <c r="G5183" s="2" t="b">
        <v>0</v>
      </c>
      <c r="H5183" s="2" t="s">
        <v>37</v>
      </c>
      <c r="I5183" s="2" t="s">
        <v>32</v>
      </c>
      <c r="J5183" s="2" t="s">
        <v>4946</v>
      </c>
      <c r="K5183" s="2" t="s">
        <v>495</v>
      </c>
      <c r="L5183" s="13" t="s">
        <v>496</v>
      </c>
      <c r="M5183" s="2" t="s">
        <v>26</v>
      </c>
      <c r="N5183" s="29"/>
      <c r="O5183" s="29"/>
      <c r="P5183" s="5" t="str">
        <f>IFERROR(__xludf.DUMMYFUNCTION("TEXTJOIN("" | "",TRUE,IF(OR(D5183="""",E5183="""",I5183="""",J5183="""",H5183=""""),""ফাঁকা ঘর"",""""),IF(AND(C5183&lt;&gt;"""",D5183&lt;&gt;"""",C5183=D5183),""gloss=figurative"",""""),IF(LEN(D5183)&lt;15,""figurative ছোট"",""""),IF(AND(I5183=""Positive"",REGEXMATCH(H5"&amp;"183,""মূর্খ|ভণ্ড|প্রতার|অলস|লোভ|স্বার্থ|অক্ষম|অযোগ্য|বোকা|কৃপণ|হিংস"")),""valence-target অমিল"",""""),IF(COUNTIF($B:$B,B5183)&gt;1,""ডুপ্লিকেট"",""""))"),"")</f>
        <v/>
      </c>
      <c r="Q5183" s="5" t="str">
        <f t="shared" si="1"/>
        <v>২ পরে</v>
      </c>
    </row>
    <row r="5184">
      <c r="A5184" s="4">
        <v>3030.0</v>
      </c>
      <c r="B5184" s="2" t="s">
        <v>21207</v>
      </c>
      <c r="C5184" s="2" t="s">
        <v>21208</v>
      </c>
      <c r="D5184" s="2" t="s">
        <v>21209</v>
      </c>
      <c r="E5184" s="2" t="s">
        <v>21210</v>
      </c>
      <c r="F5184" s="2" t="b">
        <v>1</v>
      </c>
      <c r="G5184" s="2" t="b">
        <v>0</v>
      </c>
      <c r="H5184" s="2" t="s">
        <v>37</v>
      </c>
      <c r="I5184" s="2" t="s">
        <v>32</v>
      </c>
      <c r="J5184" s="2" t="s">
        <v>565</v>
      </c>
      <c r="K5184" s="2" t="s">
        <v>495</v>
      </c>
      <c r="L5184" s="13" t="s">
        <v>496</v>
      </c>
      <c r="M5184" s="2" t="s">
        <v>26</v>
      </c>
      <c r="N5184" s="29"/>
      <c r="O5184" s="29"/>
      <c r="P5184" s="5" t="str">
        <f>IFERROR(__xludf.DUMMYFUNCTION("TEXTJOIN("" | "",TRUE,IF(OR(D5184="""",E5184="""",I5184="""",J5184="""",H5184=""""),""ফাঁকা ঘর"",""""),IF(AND(C5184&lt;&gt;"""",D5184&lt;&gt;"""",C5184=D5184),""gloss=figurative"",""""),IF(LEN(D5184)&lt;15,""figurative ছোট"",""""),IF(AND(I5184=""Positive"",REGEXMATCH(H5"&amp;"184,""মূর্খ|ভণ্ড|প্রতার|অলস|লোভ|স্বার্থ|অক্ষম|অযোগ্য|বোকা|কৃপণ|হিংস"")),""valence-target অমিল"",""""),IF(COUNTIF($B:$B,B5184)&gt;1,""ডুপ্লিকেট"",""""))"),"")</f>
        <v/>
      </c>
      <c r="Q5184" s="5" t="str">
        <f t="shared" si="1"/>
        <v>২ পরে</v>
      </c>
    </row>
    <row r="5185">
      <c r="A5185" s="4">
        <v>3031.0</v>
      </c>
      <c r="B5185" s="2" t="s">
        <v>21211</v>
      </c>
      <c r="C5185" s="2" t="s">
        <v>21211</v>
      </c>
      <c r="D5185" s="2" t="s">
        <v>21212</v>
      </c>
      <c r="E5185" s="2" t="s">
        <v>17744</v>
      </c>
      <c r="F5185" s="2" t="b">
        <v>1</v>
      </c>
      <c r="G5185" s="2" t="b">
        <v>0</v>
      </c>
      <c r="H5185" s="2" t="s">
        <v>37</v>
      </c>
      <c r="I5185" s="2" t="s">
        <v>49</v>
      </c>
      <c r="J5185" s="2" t="s">
        <v>3288</v>
      </c>
      <c r="K5185" s="2" t="s">
        <v>495</v>
      </c>
      <c r="L5185" s="13" t="s">
        <v>496</v>
      </c>
      <c r="M5185" s="2" t="s">
        <v>26</v>
      </c>
      <c r="N5185" s="29"/>
      <c r="O5185" s="29"/>
      <c r="P5185" s="5" t="str">
        <f>IFERROR(__xludf.DUMMYFUNCTION("TEXTJOIN("" | "",TRUE,IF(OR(D5185="""",E5185="""",I5185="""",J5185="""",H5185=""""),""ফাঁকা ঘর"",""""),IF(AND(C5185&lt;&gt;"""",D5185&lt;&gt;"""",C5185=D5185),""gloss=figurative"",""""),IF(LEN(D5185)&lt;15,""figurative ছোট"",""""),IF(AND(I5185=""Positive"",REGEXMATCH(H5"&amp;"185,""মূর্খ|ভণ্ড|প্রতার|অলস|লোভ|স্বার্থ|অক্ষম|অযোগ্য|বোকা|কৃপণ|হিংস"")),""valence-target অমিল"",""""),IF(COUNTIF($B:$B,B5185)&gt;1,""ডুপ্লিকেট"",""""))"),"")</f>
        <v/>
      </c>
      <c r="Q5185" s="5" t="str">
        <f t="shared" si="1"/>
        <v>২ পরে</v>
      </c>
    </row>
    <row r="5186">
      <c r="A5186" s="4">
        <v>3032.0</v>
      </c>
      <c r="B5186" s="2" t="s">
        <v>21213</v>
      </c>
      <c r="C5186" s="2" t="s">
        <v>21214</v>
      </c>
      <c r="D5186" s="2" t="s">
        <v>21215</v>
      </c>
      <c r="E5186" s="2" t="s">
        <v>21216</v>
      </c>
      <c r="F5186" s="2" t="b">
        <v>1</v>
      </c>
      <c r="G5186" s="2" t="b">
        <v>0</v>
      </c>
      <c r="H5186" s="2" t="s">
        <v>37</v>
      </c>
      <c r="I5186" s="2" t="s">
        <v>22</v>
      </c>
      <c r="J5186" s="2" t="s">
        <v>21217</v>
      </c>
      <c r="K5186" s="2" t="s">
        <v>495</v>
      </c>
      <c r="L5186" s="13" t="s">
        <v>496</v>
      </c>
      <c r="M5186" s="2" t="s">
        <v>26</v>
      </c>
      <c r="N5186" s="29"/>
      <c r="O5186" s="29"/>
      <c r="P5186" s="5" t="str">
        <f>IFERROR(__xludf.DUMMYFUNCTION("TEXTJOIN("" | "",TRUE,IF(OR(D5186="""",E5186="""",I5186="""",J5186="""",H5186=""""),""ফাঁকা ঘর"",""""),IF(AND(C5186&lt;&gt;"""",D5186&lt;&gt;"""",C5186=D5186),""gloss=figurative"",""""),IF(LEN(D5186)&lt;15,""figurative ছোট"",""""),IF(AND(I5186=""Positive"",REGEXMATCH(H5"&amp;"186,""মূর্খ|ভণ্ড|প্রতার|অলস|লোভ|স্বার্থ|অক্ষম|অযোগ্য|বোকা|কৃপণ|হিংস"")),""valence-target অমিল"",""""),IF(COUNTIF($B:$B,B5186)&gt;1,""ডুপ্লিকেট"",""""))"),"")</f>
        <v/>
      </c>
      <c r="Q5186" s="5" t="str">
        <f t="shared" si="1"/>
        <v>২ পরে</v>
      </c>
    </row>
    <row r="5187">
      <c r="A5187" s="4">
        <v>3033.0</v>
      </c>
      <c r="B5187" s="2" t="s">
        <v>21218</v>
      </c>
      <c r="C5187" s="2" t="s">
        <v>21219</v>
      </c>
      <c r="D5187" s="2" t="s">
        <v>21220</v>
      </c>
      <c r="E5187" s="2" t="s">
        <v>21221</v>
      </c>
      <c r="F5187" s="2" t="b">
        <v>1</v>
      </c>
      <c r="G5187" s="2" t="b">
        <v>0</v>
      </c>
      <c r="H5187" s="2" t="s">
        <v>37</v>
      </c>
      <c r="I5187" s="2" t="s">
        <v>22</v>
      </c>
      <c r="J5187" s="2" t="s">
        <v>990</v>
      </c>
      <c r="K5187" s="2" t="s">
        <v>495</v>
      </c>
      <c r="L5187" s="13" t="s">
        <v>496</v>
      </c>
      <c r="M5187" s="2" t="s">
        <v>26</v>
      </c>
      <c r="N5187" s="29"/>
      <c r="O5187" s="29"/>
      <c r="P5187" s="5" t="str">
        <f>IFERROR(__xludf.DUMMYFUNCTION("TEXTJOIN("" | "",TRUE,IF(OR(D5187="""",E5187="""",I5187="""",J5187="""",H5187=""""),""ফাঁকা ঘর"",""""),IF(AND(C5187&lt;&gt;"""",D5187&lt;&gt;"""",C5187=D5187),""gloss=figurative"",""""),IF(LEN(D5187)&lt;15,""figurative ছোট"",""""),IF(AND(I5187=""Positive"",REGEXMATCH(H5"&amp;"187,""মূর্খ|ভণ্ড|প্রতার|অলস|লোভ|স্বার্থ|অক্ষম|অযোগ্য|বোকা|কৃপণ|হিংস"")),""valence-target অমিল"",""""),IF(COUNTIF($B:$B,B5187)&gt;1,""ডুপ্লিকেট"",""""))"),"")</f>
        <v/>
      </c>
      <c r="Q5187" s="5" t="str">
        <f t="shared" si="1"/>
        <v>২ পরে</v>
      </c>
    </row>
    <row r="5188">
      <c r="A5188" s="4">
        <v>3034.0</v>
      </c>
      <c r="B5188" s="2" t="s">
        <v>21222</v>
      </c>
      <c r="C5188" s="2" t="s">
        <v>21223</v>
      </c>
      <c r="D5188" s="2" t="s">
        <v>21224</v>
      </c>
      <c r="E5188" s="2" t="s">
        <v>21225</v>
      </c>
      <c r="F5188" s="2" t="b">
        <v>1</v>
      </c>
      <c r="G5188" s="2" t="b">
        <v>0</v>
      </c>
      <c r="H5188" s="2" t="s">
        <v>37</v>
      </c>
      <c r="I5188" s="2" t="s">
        <v>32</v>
      </c>
      <c r="J5188" s="2" t="s">
        <v>340</v>
      </c>
      <c r="K5188" s="2" t="s">
        <v>495</v>
      </c>
      <c r="L5188" s="13" t="s">
        <v>496</v>
      </c>
      <c r="M5188" s="2" t="s">
        <v>26</v>
      </c>
      <c r="N5188" s="29"/>
      <c r="O5188" s="29"/>
      <c r="P5188" s="5" t="str">
        <f>IFERROR(__xludf.DUMMYFUNCTION("TEXTJOIN("" | "",TRUE,IF(OR(D5188="""",E5188="""",I5188="""",J5188="""",H5188=""""),""ফাঁকা ঘর"",""""),IF(AND(C5188&lt;&gt;"""",D5188&lt;&gt;"""",C5188=D5188),""gloss=figurative"",""""),IF(LEN(D5188)&lt;15,""figurative ছোট"",""""),IF(AND(I5188=""Positive"",REGEXMATCH(H5"&amp;"188,""মূর্খ|ভণ্ড|প্রতার|অলস|লোভ|স্বার্থ|অক্ষম|অযোগ্য|বোকা|কৃপণ|হিংস"")),""valence-target অমিল"",""""),IF(COUNTIF($B:$B,B5188)&gt;1,""ডুপ্লিকেট"",""""))"),"")</f>
        <v/>
      </c>
      <c r="Q5188" s="5" t="str">
        <f t="shared" si="1"/>
        <v>২ পরে</v>
      </c>
    </row>
    <row r="5189">
      <c r="A5189" s="4">
        <v>3035.0</v>
      </c>
      <c r="B5189" s="2" t="s">
        <v>21226</v>
      </c>
      <c r="C5189" s="2" t="s">
        <v>21227</v>
      </c>
      <c r="D5189" s="2" t="s">
        <v>21228</v>
      </c>
      <c r="E5189" s="2" t="s">
        <v>21229</v>
      </c>
      <c r="F5189" s="2" t="b">
        <v>1</v>
      </c>
      <c r="G5189" s="2" t="b">
        <v>0</v>
      </c>
      <c r="H5189" s="2" t="s">
        <v>37</v>
      </c>
      <c r="I5189" s="2" t="s">
        <v>32</v>
      </c>
      <c r="J5189" s="2" t="s">
        <v>340</v>
      </c>
      <c r="K5189" s="2" t="s">
        <v>495</v>
      </c>
      <c r="L5189" s="13" t="s">
        <v>496</v>
      </c>
      <c r="M5189" s="2" t="s">
        <v>26</v>
      </c>
      <c r="N5189" s="29"/>
      <c r="O5189" s="29"/>
      <c r="P5189" s="5" t="str">
        <f>IFERROR(__xludf.DUMMYFUNCTION("TEXTJOIN("" | "",TRUE,IF(OR(D5189="""",E5189="""",I5189="""",J5189="""",H5189=""""),""ফাঁকা ঘর"",""""),IF(AND(C5189&lt;&gt;"""",D5189&lt;&gt;"""",C5189=D5189),""gloss=figurative"",""""),IF(LEN(D5189)&lt;15,""figurative ছোট"",""""),IF(AND(I5189=""Positive"",REGEXMATCH(H5"&amp;"189,""মূর্খ|ভণ্ড|প্রতার|অলস|লোভ|স্বার্থ|অক্ষম|অযোগ্য|বোকা|কৃপণ|হিংস"")),""valence-target অমিল"",""""),IF(COUNTIF($B:$B,B5189)&gt;1,""ডুপ্লিকেট"",""""))"),"")</f>
        <v/>
      </c>
      <c r="Q5189" s="5" t="str">
        <f t="shared" si="1"/>
        <v>২ পরে</v>
      </c>
    </row>
    <row r="5190">
      <c r="A5190" s="4">
        <v>3036.0</v>
      </c>
      <c r="B5190" s="2" t="s">
        <v>21230</v>
      </c>
      <c r="C5190" s="2" t="s">
        <v>21231</v>
      </c>
      <c r="D5190" s="2" t="s">
        <v>21232</v>
      </c>
      <c r="E5190" s="2" t="s">
        <v>21233</v>
      </c>
      <c r="F5190" s="2" t="b">
        <v>1</v>
      </c>
      <c r="G5190" s="2" t="b">
        <v>0</v>
      </c>
      <c r="H5190" s="2" t="s">
        <v>37</v>
      </c>
      <c r="I5190" s="2" t="s">
        <v>22</v>
      </c>
      <c r="J5190" s="2" t="s">
        <v>3615</v>
      </c>
      <c r="K5190" s="2" t="s">
        <v>495</v>
      </c>
      <c r="L5190" s="13" t="s">
        <v>496</v>
      </c>
      <c r="M5190" s="2" t="s">
        <v>26</v>
      </c>
      <c r="N5190" s="29"/>
      <c r="O5190" s="29"/>
      <c r="P5190" s="5" t="str">
        <f>IFERROR(__xludf.DUMMYFUNCTION("TEXTJOIN("" | "",TRUE,IF(OR(D5190="""",E5190="""",I5190="""",J5190="""",H5190=""""),""ফাঁকা ঘর"",""""),IF(AND(C5190&lt;&gt;"""",D5190&lt;&gt;"""",C5190=D5190),""gloss=figurative"",""""),IF(LEN(D5190)&lt;15,""figurative ছোট"",""""),IF(AND(I5190=""Positive"",REGEXMATCH(H5"&amp;"190,""মূর্খ|ভণ্ড|প্রতার|অলস|লোভ|স্বার্থ|অক্ষম|অযোগ্য|বোকা|কৃপণ|হিংস"")),""valence-target অমিল"",""""),IF(COUNTIF($B:$B,B5190)&gt;1,""ডুপ্লিকেট"",""""))"),"")</f>
        <v/>
      </c>
      <c r="Q5190" s="5" t="str">
        <f t="shared" si="1"/>
        <v>২ পরে</v>
      </c>
    </row>
    <row r="5191">
      <c r="A5191" s="4">
        <v>3037.0</v>
      </c>
      <c r="B5191" s="2" t="s">
        <v>21234</v>
      </c>
      <c r="C5191" s="2" t="s">
        <v>21235</v>
      </c>
      <c r="D5191" s="2" t="s">
        <v>21236</v>
      </c>
      <c r="E5191" s="2" t="s">
        <v>21237</v>
      </c>
      <c r="F5191" s="2" t="b">
        <v>1</v>
      </c>
      <c r="G5191" s="2" t="b">
        <v>0</v>
      </c>
      <c r="H5191" s="2" t="s">
        <v>3807</v>
      </c>
      <c r="I5191" s="2" t="s">
        <v>22</v>
      </c>
      <c r="J5191" s="2" t="s">
        <v>3346</v>
      </c>
      <c r="K5191" s="2" t="s">
        <v>495</v>
      </c>
      <c r="L5191" s="13" t="s">
        <v>496</v>
      </c>
      <c r="M5191" s="2" t="s">
        <v>26</v>
      </c>
      <c r="N5191" s="29"/>
      <c r="O5191" s="29"/>
      <c r="P5191" s="5" t="str">
        <f>IFERROR(__xludf.DUMMYFUNCTION("TEXTJOIN("" | "",TRUE,IF(OR(D5191="""",E5191="""",I5191="""",J5191="""",H5191=""""),""ফাঁকা ঘর"",""""),IF(AND(C5191&lt;&gt;"""",D5191&lt;&gt;"""",C5191=D5191),""gloss=figurative"",""""),IF(LEN(D5191)&lt;15,""figurative ছোট"",""""),IF(AND(I5191=""Positive"",REGEXMATCH(H5"&amp;"191,""মূর্খ|ভণ্ড|প্রতার|অলস|লোভ|স্বার্থ|অক্ষম|অযোগ্য|বোকা|কৃপণ|হিংস"")),""valence-target অমিল"",""""),IF(COUNTIF($B:$B,B5191)&gt;1,""ডুপ্লিকেট"",""""))"),"")</f>
        <v/>
      </c>
      <c r="Q5191" s="5" t="str">
        <f t="shared" si="1"/>
        <v>২ পরে</v>
      </c>
    </row>
    <row r="5192">
      <c r="A5192" s="4">
        <v>3039.0</v>
      </c>
      <c r="B5192" s="2" t="s">
        <v>21238</v>
      </c>
      <c r="C5192" s="2" t="s">
        <v>21239</v>
      </c>
      <c r="D5192" s="2" t="s">
        <v>21240</v>
      </c>
      <c r="E5192" s="2" t="s">
        <v>21241</v>
      </c>
      <c r="F5192" s="2" t="b">
        <v>1</v>
      </c>
      <c r="G5192" s="2" t="b">
        <v>0</v>
      </c>
      <c r="H5192" s="2" t="s">
        <v>37</v>
      </c>
      <c r="I5192" s="2" t="s">
        <v>49</v>
      </c>
      <c r="J5192" s="2" t="s">
        <v>565</v>
      </c>
      <c r="K5192" s="2" t="s">
        <v>495</v>
      </c>
      <c r="L5192" s="13" t="s">
        <v>496</v>
      </c>
      <c r="M5192" s="2" t="s">
        <v>26</v>
      </c>
      <c r="N5192" s="29"/>
      <c r="O5192" s="29"/>
      <c r="P5192" s="5" t="str">
        <f>IFERROR(__xludf.DUMMYFUNCTION("TEXTJOIN("" | "",TRUE,IF(OR(D5192="""",E5192="""",I5192="""",J5192="""",H5192=""""),""ফাঁকা ঘর"",""""),IF(AND(C5192&lt;&gt;"""",D5192&lt;&gt;"""",C5192=D5192),""gloss=figurative"",""""),IF(LEN(D5192)&lt;15,""figurative ছোট"",""""),IF(AND(I5192=""Positive"",REGEXMATCH(H5"&amp;"192,""মূর্খ|ভণ্ড|প্রতার|অলস|লোভ|স্বার্থ|অক্ষম|অযোগ্য|বোকা|কৃপণ|হিংস"")),""valence-target অমিল"",""""),IF(COUNTIF($B:$B,B5192)&gt;1,""ডুপ্লিকেট"",""""))"),"")</f>
        <v/>
      </c>
      <c r="Q5192" s="5" t="str">
        <f t="shared" si="1"/>
        <v>২ পরে</v>
      </c>
    </row>
    <row r="5193">
      <c r="A5193" s="4">
        <v>3040.0</v>
      </c>
      <c r="B5193" s="2" t="s">
        <v>21242</v>
      </c>
      <c r="C5193" s="2" t="s">
        <v>21243</v>
      </c>
      <c r="D5193" s="2" t="s">
        <v>21244</v>
      </c>
      <c r="E5193" s="2" t="s">
        <v>21245</v>
      </c>
      <c r="F5193" s="2" t="b">
        <v>1</v>
      </c>
      <c r="G5193" s="2" t="b">
        <v>0</v>
      </c>
      <c r="H5193" s="2" t="s">
        <v>37</v>
      </c>
      <c r="I5193" s="2" t="s">
        <v>32</v>
      </c>
      <c r="J5193" s="2" t="s">
        <v>21246</v>
      </c>
      <c r="K5193" s="2" t="s">
        <v>495</v>
      </c>
      <c r="L5193" s="13" t="s">
        <v>496</v>
      </c>
      <c r="M5193" s="2" t="s">
        <v>26</v>
      </c>
      <c r="N5193" s="29"/>
      <c r="O5193" s="29"/>
      <c r="P5193" s="5" t="str">
        <f>IFERROR(__xludf.DUMMYFUNCTION("TEXTJOIN("" | "",TRUE,IF(OR(D5193="""",E5193="""",I5193="""",J5193="""",H5193=""""),""ফাঁকা ঘর"",""""),IF(AND(C5193&lt;&gt;"""",D5193&lt;&gt;"""",C5193=D5193),""gloss=figurative"",""""),IF(LEN(D5193)&lt;15,""figurative ছোট"",""""),IF(AND(I5193=""Positive"",REGEXMATCH(H5"&amp;"193,""মূর্খ|ভণ্ড|প্রতার|অলস|লোভ|স্বার্থ|অক্ষম|অযোগ্য|বোকা|কৃপণ|হিংস"")),""valence-target অমিল"",""""),IF(COUNTIF($B:$B,B5193)&gt;1,""ডুপ্লিকেট"",""""))"),"")</f>
        <v/>
      </c>
      <c r="Q5193" s="5" t="str">
        <f t="shared" si="1"/>
        <v>২ পরে</v>
      </c>
    </row>
    <row r="5194">
      <c r="A5194" s="4">
        <v>3041.0</v>
      </c>
      <c r="B5194" s="2" t="s">
        <v>21247</v>
      </c>
      <c r="C5194" s="2" t="s">
        <v>21248</v>
      </c>
      <c r="D5194" s="2" t="s">
        <v>21249</v>
      </c>
      <c r="E5194" s="2" t="s">
        <v>21250</v>
      </c>
      <c r="F5194" s="2" t="b">
        <v>1</v>
      </c>
      <c r="G5194" s="2" t="b">
        <v>0</v>
      </c>
      <c r="H5194" s="2" t="s">
        <v>37</v>
      </c>
      <c r="I5194" s="2" t="s">
        <v>22</v>
      </c>
      <c r="J5194" s="2" t="s">
        <v>21251</v>
      </c>
      <c r="K5194" s="2" t="s">
        <v>495</v>
      </c>
      <c r="L5194" s="13" t="s">
        <v>496</v>
      </c>
      <c r="M5194" s="2" t="s">
        <v>26</v>
      </c>
      <c r="N5194" s="29"/>
      <c r="O5194" s="29"/>
      <c r="P5194" s="5" t="str">
        <f>IFERROR(__xludf.DUMMYFUNCTION("TEXTJOIN("" | "",TRUE,IF(OR(D5194="""",E5194="""",I5194="""",J5194="""",H5194=""""),""ফাঁকা ঘর"",""""),IF(AND(C5194&lt;&gt;"""",D5194&lt;&gt;"""",C5194=D5194),""gloss=figurative"",""""),IF(LEN(D5194)&lt;15,""figurative ছোট"",""""),IF(AND(I5194=""Positive"",REGEXMATCH(H5"&amp;"194,""মূর্খ|ভণ্ড|প্রতার|অলস|লোভ|স্বার্থ|অক্ষম|অযোগ্য|বোকা|কৃপণ|হিংস"")),""valence-target অমিল"",""""),IF(COUNTIF($B:$B,B5194)&gt;1,""ডুপ্লিকেট"",""""))"),"")</f>
        <v/>
      </c>
      <c r="Q5194" s="5" t="str">
        <f t="shared" si="1"/>
        <v>২ পরে</v>
      </c>
    </row>
    <row r="5195">
      <c r="A5195" s="4">
        <v>3043.0</v>
      </c>
      <c r="B5195" s="2" t="s">
        <v>21252</v>
      </c>
      <c r="C5195" s="2" t="s">
        <v>21253</v>
      </c>
      <c r="D5195" s="2" t="s">
        <v>21254</v>
      </c>
      <c r="E5195" s="2" t="s">
        <v>21255</v>
      </c>
      <c r="F5195" s="2" t="b">
        <v>1</v>
      </c>
      <c r="G5195" s="2" t="b">
        <v>0</v>
      </c>
      <c r="H5195" s="2" t="s">
        <v>37</v>
      </c>
      <c r="I5195" s="2" t="s">
        <v>22</v>
      </c>
      <c r="J5195" s="2" t="s">
        <v>21256</v>
      </c>
      <c r="K5195" s="2" t="s">
        <v>495</v>
      </c>
      <c r="L5195" s="13" t="s">
        <v>496</v>
      </c>
      <c r="M5195" s="2" t="s">
        <v>26</v>
      </c>
      <c r="N5195" s="29"/>
      <c r="O5195" s="29"/>
      <c r="P5195" s="5" t="str">
        <f>IFERROR(__xludf.DUMMYFUNCTION("TEXTJOIN("" | "",TRUE,IF(OR(D5195="""",E5195="""",I5195="""",J5195="""",H5195=""""),""ফাঁকা ঘর"",""""),IF(AND(C5195&lt;&gt;"""",D5195&lt;&gt;"""",C5195=D5195),""gloss=figurative"",""""),IF(LEN(D5195)&lt;15,""figurative ছোট"",""""),IF(AND(I5195=""Positive"",REGEXMATCH(H5"&amp;"195,""মূর্খ|ভণ্ড|প্রতার|অলস|লোভ|স্বার্থ|অক্ষম|অযোগ্য|বোকা|কৃপণ|হিংস"")),""valence-target অমিল"",""""),IF(COUNTIF($B:$B,B5195)&gt;1,""ডুপ্লিকেট"",""""))"),"")</f>
        <v/>
      </c>
      <c r="Q5195" s="5" t="str">
        <f t="shared" si="1"/>
        <v>২ পরে</v>
      </c>
    </row>
    <row r="5196">
      <c r="A5196" s="4">
        <v>3044.0</v>
      </c>
      <c r="B5196" s="2" t="s">
        <v>21257</v>
      </c>
      <c r="C5196" s="2" t="s">
        <v>21258</v>
      </c>
      <c r="D5196" s="2" t="s">
        <v>21259</v>
      </c>
      <c r="E5196" s="2" t="s">
        <v>21260</v>
      </c>
      <c r="F5196" s="2" t="b">
        <v>1</v>
      </c>
      <c r="G5196" s="2" t="b">
        <v>0</v>
      </c>
      <c r="H5196" s="2" t="s">
        <v>37</v>
      </c>
      <c r="I5196" s="2" t="s">
        <v>32</v>
      </c>
      <c r="J5196" s="2" t="s">
        <v>3710</v>
      </c>
      <c r="K5196" s="2" t="s">
        <v>495</v>
      </c>
      <c r="L5196" s="13" t="s">
        <v>496</v>
      </c>
      <c r="M5196" s="2" t="s">
        <v>26</v>
      </c>
      <c r="N5196" s="29"/>
      <c r="O5196" s="29"/>
      <c r="P5196" s="5" t="str">
        <f>IFERROR(__xludf.DUMMYFUNCTION("TEXTJOIN("" | "",TRUE,IF(OR(D5196="""",E5196="""",I5196="""",J5196="""",H5196=""""),""ফাঁকা ঘর"",""""),IF(AND(C5196&lt;&gt;"""",D5196&lt;&gt;"""",C5196=D5196),""gloss=figurative"",""""),IF(LEN(D5196)&lt;15,""figurative ছোট"",""""),IF(AND(I5196=""Positive"",REGEXMATCH(H5"&amp;"196,""মূর্খ|ভণ্ড|প্রতার|অলস|লোভ|স্বার্থ|অক্ষম|অযোগ্য|বোকা|কৃপণ|হিংস"")),""valence-target অমিল"",""""),IF(COUNTIF($B:$B,B5196)&gt;1,""ডুপ্লিকেট"",""""))"),"")</f>
        <v/>
      </c>
      <c r="Q5196" s="5" t="str">
        <f t="shared" si="1"/>
        <v>২ পরে</v>
      </c>
    </row>
    <row r="5197">
      <c r="A5197" s="4">
        <v>3045.0</v>
      </c>
      <c r="B5197" s="2" t="s">
        <v>21261</v>
      </c>
      <c r="C5197" s="2" t="s">
        <v>21262</v>
      </c>
      <c r="D5197" s="2" t="s">
        <v>21263</v>
      </c>
      <c r="E5197" s="2" t="s">
        <v>21264</v>
      </c>
      <c r="F5197" s="2" t="b">
        <v>1</v>
      </c>
      <c r="G5197" s="2" t="b">
        <v>0</v>
      </c>
      <c r="H5197" s="2" t="s">
        <v>37</v>
      </c>
      <c r="I5197" s="2" t="s">
        <v>22</v>
      </c>
      <c r="J5197" s="2" t="s">
        <v>21265</v>
      </c>
      <c r="K5197" s="2" t="s">
        <v>495</v>
      </c>
      <c r="L5197" s="13" t="s">
        <v>496</v>
      </c>
      <c r="M5197" s="2" t="s">
        <v>26</v>
      </c>
      <c r="N5197" s="29"/>
      <c r="O5197" s="29"/>
      <c r="P5197" s="5" t="str">
        <f>IFERROR(__xludf.DUMMYFUNCTION("TEXTJOIN("" | "",TRUE,IF(OR(D5197="""",E5197="""",I5197="""",J5197="""",H5197=""""),""ফাঁকা ঘর"",""""),IF(AND(C5197&lt;&gt;"""",D5197&lt;&gt;"""",C5197=D5197),""gloss=figurative"",""""),IF(LEN(D5197)&lt;15,""figurative ছোট"",""""),IF(AND(I5197=""Positive"",REGEXMATCH(H5"&amp;"197,""মূর্খ|ভণ্ড|প্রতার|অলস|লোভ|স্বার্থ|অক্ষম|অযোগ্য|বোকা|কৃপণ|হিংস"")),""valence-target অমিল"",""""),IF(COUNTIF($B:$B,B5197)&gt;1,""ডুপ্লিকেট"",""""))"),"")</f>
        <v/>
      </c>
      <c r="Q5197" s="5" t="str">
        <f t="shared" si="1"/>
        <v>২ পরে</v>
      </c>
    </row>
    <row r="5198">
      <c r="A5198" s="4">
        <v>3046.0</v>
      </c>
      <c r="B5198" s="2" t="s">
        <v>21266</v>
      </c>
      <c r="C5198" s="2" t="s">
        <v>21267</v>
      </c>
      <c r="D5198" s="2" t="s">
        <v>21268</v>
      </c>
      <c r="E5198" s="2" t="s">
        <v>21269</v>
      </c>
      <c r="F5198" s="2" t="b">
        <v>1</v>
      </c>
      <c r="G5198" s="2" t="b">
        <v>0</v>
      </c>
      <c r="H5198" s="2" t="s">
        <v>37</v>
      </c>
      <c r="I5198" s="2" t="s">
        <v>22</v>
      </c>
      <c r="J5198" s="2" t="s">
        <v>990</v>
      </c>
      <c r="K5198" s="2" t="s">
        <v>495</v>
      </c>
      <c r="L5198" s="13" t="s">
        <v>496</v>
      </c>
      <c r="M5198" s="2" t="s">
        <v>26</v>
      </c>
      <c r="N5198" s="29"/>
      <c r="O5198" s="29"/>
      <c r="P5198" s="5" t="str">
        <f>IFERROR(__xludf.DUMMYFUNCTION("TEXTJOIN("" | "",TRUE,IF(OR(D5198="""",E5198="""",I5198="""",J5198="""",H5198=""""),""ফাঁকা ঘর"",""""),IF(AND(C5198&lt;&gt;"""",D5198&lt;&gt;"""",C5198=D5198),""gloss=figurative"",""""),IF(LEN(D5198)&lt;15,""figurative ছোট"",""""),IF(AND(I5198=""Positive"",REGEXMATCH(H5"&amp;"198,""মূর্খ|ভণ্ড|প্রতার|অলস|লোভ|স্বার্থ|অক্ষম|অযোগ্য|বোকা|কৃপণ|হিংস"")),""valence-target অমিল"",""""),IF(COUNTIF($B:$B,B5198)&gt;1,""ডুপ্লিকেট"",""""))"),"")</f>
        <v/>
      </c>
      <c r="Q5198" s="5" t="str">
        <f t="shared" si="1"/>
        <v>২ পরে</v>
      </c>
    </row>
    <row r="5199">
      <c r="A5199" s="4">
        <v>3047.0</v>
      </c>
      <c r="B5199" s="2" t="s">
        <v>21270</v>
      </c>
      <c r="C5199" s="2" t="s">
        <v>21271</v>
      </c>
      <c r="D5199" s="2" t="s">
        <v>21272</v>
      </c>
      <c r="E5199" s="2" t="s">
        <v>21273</v>
      </c>
      <c r="F5199" s="2" t="b">
        <v>1</v>
      </c>
      <c r="G5199" s="2" t="b">
        <v>0</v>
      </c>
      <c r="H5199" s="2" t="s">
        <v>37</v>
      </c>
      <c r="I5199" s="2" t="s">
        <v>22</v>
      </c>
      <c r="J5199" s="2" t="s">
        <v>21274</v>
      </c>
      <c r="K5199" s="2" t="s">
        <v>495</v>
      </c>
      <c r="L5199" s="13" t="s">
        <v>496</v>
      </c>
      <c r="M5199" s="2" t="s">
        <v>26</v>
      </c>
      <c r="N5199" s="29"/>
      <c r="O5199" s="29"/>
      <c r="P5199" s="5" t="str">
        <f>IFERROR(__xludf.DUMMYFUNCTION("TEXTJOIN("" | "",TRUE,IF(OR(D5199="""",E5199="""",I5199="""",J5199="""",H5199=""""),""ফাঁকা ঘর"",""""),IF(AND(C5199&lt;&gt;"""",D5199&lt;&gt;"""",C5199=D5199),""gloss=figurative"",""""),IF(LEN(D5199)&lt;15,""figurative ছোট"",""""),IF(AND(I5199=""Positive"",REGEXMATCH(H5"&amp;"199,""মূর্খ|ভণ্ড|প্রতার|অলস|লোভ|স্বার্থ|অক্ষম|অযোগ্য|বোকা|কৃপণ|হিংস"")),""valence-target অমিল"",""""),IF(COUNTIF($B:$B,B5199)&gt;1,""ডুপ্লিকেট"",""""))"),"")</f>
        <v/>
      </c>
      <c r="Q5199" s="5" t="str">
        <f t="shared" si="1"/>
        <v>২ পরে</v>
      </c>
    </row>
    <row r="5200">
      <c r="A5200" s="4">
        <v>3048.0</v>
      </c>
      <c r="B5200" s="2" t="s">
        <v>21275</v>
      </c>
      <c r="C5200" s="2" t="s">
        <v>21276</v>
      </c>
      <c r="D5200" s="2" t="s">
        <v>21277</v>
      </c>
      <c r="E5200" s="2" t="s">
        <v>21278</v>
      </c>
      <c r="F5200" s="2" t="b">
        <v>1</v>
      </c>
      <c r="G5200" s="2" t="b">
        <v>0</v>
      </c>
      <c r="H5200" s="2" t="s">
        <v>37</v>
      </c>
      <c r="I5200" s="2" t="s">
        <v>49</v>
      </c>
      <c r="J5200" s="2" t="s">
        <v>1679</v>
      </c>
      <c r="K5200" s="2" t="s">
        <v>495</v>
      </c>
      <c r="L5200" s="13" t="s">
        <v>496</v>
      </c>
      <c r="M5200" s="2" t="s">
        <v>26</v>
      </c>
      <c r="N5200" s="29"/>
      <c r="O5200" s="29"/>
      <c r="P5200" s="5" t="str">
        <f>IFERROR(__xludf.DUMMYFUNCTION("TEXTJOIN("" | "",TRUE,IF(OR(D5200="""",E5200="""",I5200="""",J5200="""",H5200=""""),""ফাঁকা ঘর"",""""),IF(AND(C5200&lt;&gt;"""",D5200&lt;&gt;"""",C5200=D5200),""gloss=figurative"",""""),IF(LEN(D5200)&lt;15,""figurative ছোট"",""""),IF(AND(I5200=""Positive"",REGEXMATCH(H5"&amp;"200,""মূর্খ|ভণ্ড|প্রতার|অলস|লোভ|স্বার্থ|অক্ষম|অযোগ্য|বোকা|কৃপণ|হিংস"")),""valence-target অমিল"",""""),IF(COUNTIF($B:$B,B5200)&gt;1,""ডুপ্লিকেট"",""""))"),"")</f>
        <v/>
      </c>
      <c r="Q5200" s="5" t="str">
        <f t="shared" si="1"/>
        <v>২ পরে</v>
      </c>
    </row>
    <row r="5201">
      <c r="A5201" s="4">
        <v>3049.0</v>
      </c>
      <c r="B5201" s="2" t="s">
        <v>21279</v>
      </c>
      <c r="C5201" s="2" t="s">
        <v>21280</v>
      </c>
      <c r="D5201" s="2" t="s">
        <v>21281</v>
      </c>
      <c r="E5201" s="2" t="s">
        <v>21282</v>
      </c>
      <c r="F5201" s="2" t="b">
        <v>1</v>
      </c>
      <c r="G5201" s="2" t="b">
        <v>0</v>
      </c>
      <c r="H5201" s="2" t="s">
        <v>37</v>
      </c>
      <c r="I5201" s="2" t="s">
        <v>22</v>
      </c>
      <c r="J5201" s="2" t="s">
        <v>1630</v>
      </c>
      <c r="K5201" s="2" t="s">
        <v>495</v>
      </c>
      <c r="L5201" s="13" t="s">
        <v>496</v>
      </c>
      <c r="M5201" s="2" t="s">
        <v>26</v>
      </c>
      <c r="N5201" s="29"/>
      <c r="O5201" s="29"/>
      <c r="P5201" s="5" t="str">
        <f>IFERROR(__xludf.DUMMYFUNCTION("TEXTJOIN("" | "",TRUE,IF(OR(D5201="""",E5201="""",I5201="""",J5201="""",H5201=""""),""ফাঁকা ঘর"",""""),IF(AND(C5201&lt;&gt;"""",D5201&lt;&gt;"""",C5201=D5201),""gloss=figurative"",""""),IF(LEN(D5201)&lt;15,""figurative ছোট"",""""),IF(AND(I5201=""Positive"",REGEXMATCH(H5"&amp;"201,""মূর্খ|ভণ্ড|প্রতার|অলস|লোভ|স্বার্থ|অক্ষম|অযোগ্য|বোকা|কৃপণ|হিংস"")),""valence-target অমিল"",""""),IF(COUNTIF($B:$B,B5201)&gt;1,""ডুপ্লিকেট"",""""))"),"")</f>
        <v/>
      </c>
      <c r="Q5201" s="5" t="str">
        <f t="shared" si="1"/>
        <v>২ পরে</v>
      </c>
    </row>
    <row r="5202">
      <c r="A5202" s="4">
        <v>3050.0</v>
      </c>
      <c r="B5202" s="2" t="s">
        <v>21283</v>
      </c>
      <c r="C5202" s="2" t="s">
        <v>21283</v>
      </c>
      <c r="D5202" s="2" t="s">
        <v>21284</v>
      </c>
      <c r="E5202" s="2" t="s">
        <v>21285</v>
      </c>
      <c r="F5202" s="2" t="b">
        <v>1</v>
      </c>
      <c r="G5202" s="2" t="b">
        <v>0</v>
      </c>
      <c r="H5202" s="2" t="s">
        <v>37</v>
      </c>
      <c r="I5202" s="2" t="s">
        <v>32</v>
      </c>
      <c r="J5202" s="2" t="s">
        <v>413</v>
      </c>
      <c r="K5202" s="2" t="s">
        <v>495</v>
      </c>
      <c r="L5202" s="13" t="s">
        <v>496</v>
      </c>
      <c r="M5202" s="2" t="s">
        <v>26</v>
      </c>
      <c r="N5202" s="29"/>
      <c r="O5202" s="29"/>
      <c r="P5202" s="5" t="str">
        <f>IFERROR(__xludf.DUMMYFUNCTION("TEXTJOIN("" | "",TRUE,IF(OR(D5202="""",E5202="""",I5202="""",J5202="""",H5202=""""),""ফাঁকা ঘর"",""""),IF(AND(C5202&lt;&gt;"""",D5202&lt;&gt;"""",C5202=D5202),""gloss=figurative"",""""),IF(LEN(D5202)&lt;15,""figurative ছোট"",""""),IF(AND(I5202=""Positive"",REGEXMATCH(H5"&amp;"202,""মূর্খ|ভণ্ড|প্রতার|অলস|লোভ|স্বার্থ|অক্ষম|অযোগ্য|বোকা|কৃপণ|হিংস"")),""valence-target অমিল"",""""),IF(COUNTIF($B:$B,B5202)&gt;1,""ডুপ্লিকেট"",""""))"),"")</f>
        <v/>
      </c>
      <c r="Q5202" s="5" t="str">
        <f t="shared" si="1"/>
        <v>২ পরে</v>
      </c>
    </row>
    <row r="5203">
      <c r="A5203" s="4">
        <v>3051.0</v>
      </c>
      <c r="B5203" s="2" t="s">
        <v>21286</v>
      </c>
      <c r="C5203" s="2" t="s">
        <v>21286</v>
      </c>
      <c r="D5203" s="2" t="s">
        <v>21287</v>
      </c>
      <c r="E5203" s="2" t="s">
        <v>21288</v>
      </c>
      <c r="F5203" s="2" t="b">
        <v>1</v>
      </c>
      <c r="G5203" s="2" t="b">
        <v>0</v>
      </c>
      <c r="H5203" s="2" t="s">
        <v>37</v>
      </c>
      <c r="I5203" s="2" t="s">
        <v>32</v>
      </c>
      <c r="J5203" s="2" t="s">
        <v>10356</v>
      </c>
      <c r="K5203" s="2" t="s">
        <v>495</v>
      </c>
      <c r="L5203" s="13" t="s">
        <v>496</v>
      </c>
      <c r="M5203" s="2" t="s">
        <v>26</v>
      </c>
      <c r="N5203" s="29"/>
      <c r="O5203" s="29"/>
      <c r="P5203" s="5" t="str">
        <f>IFERROR(__xludf.DUMMYFUNCTION("TEXTJOIN("" | "",TRUE,IF(OR(D5203="""",E5203="""",I5203="""",J5203="""",H5203=""""),""ফাঁকা ঘর"",""""),IF(AND(C5203&lt;&gt;"""",D5203&lt;&gt;"""",C5203=D5203),""gloss=figurative"",""""),IF(LEN(D5203)&lt;15,""figurative ছোট"",""""),IF(AND(I5203=""Positive"",REGEXMATCH(H5"&amp;"203,""মূর্খ|ভণ্ড|প্রতার|অলস|লোভ|স্বার্থ|অক্ষম|অযোগ্য|বোকা|কৃপণ|হিংস"")),""valence-target অমিল"",""""),IF(COUNTIF($B:$B,B5203)&gt;1,""ডুপ্লিকেট"",""""))"),"")</f>
        <v/>
      </c>
      <c r="Q5203" s="5" t="str">
        <f t="shared" si="1"/>
        <v>২ পরে</v>
      </c>
    </row>
    <row r="5204">
      <c r="A5204" s="4">
        <v>3052.0</v>
      </c>
      <c r="B5204" s="2" t="s">
        <v>21289</v>
      </c>
      <c r="C5204" s="2" t="s">
        <v>21289</v>
      </c>
      <c r="D5204" s="2" t="s">
        <v>21290</v>
      </c>
      <c r="E5204" s="2" t="s">
        <v>21291</v>
      </c>
      <c r="F5204" s="2" t="b">
        <v>1</v>
      </c>
      <c r="G5204" s="2" t="b">
        <v>0</v>
      </c>
      <c r="H5204" s="2" t="s">
        <v>37</v>
      </c>
      <c r="I5204" s="2" t="s">
        <v>49</v>
      </c>
      <c r="J5204" s="2" t="s">
        <v>2742</v>
      </c>
      <c r="K5204" s="2" t="s">
        <v>495</v>
      </c>
      <c r="L5204" s="13" t="s">
        <v>496</v>
      </c>
      <c r="M5204" s="2" t="s">
        <v>26</v>
      </c>
      <c r="N5204" s="29"/>
      <c r="O5204" s="29"/>
      <c r="P5204" s="5" t="str">
        <f>IFERROR(__xludf.DUMMYFUNCTION("TEXTJOIN("" | "",TRUE,IF(OR(D5204="""",E5204="""",I5204="""",J5204="""",H5204=""""),""ফাঁকা ঘর"",""""),IF(AND(C5204&lt;&gt;"""",D5204&lt;&gt;"""",C5204=D5204),""gloss=figurative"",""""),IF(LEN(D5204)&lt;15,""figurative ছোট"",""""),IF(AND(I5204=""Positive"",REGEXMATCH(H5"&amp;"204,""মূর্খ|ভণ্ড|প্রতার|অলস|লোভ|স্বার্থ|অক্ষম|অযোগ্য|বোকা|কৃপণ|হিংস"")),""valence-target অমিল"",""""),IF(COUNTIF($B:$B,B5204)&gt;1,""ডুপ্লিকেট"",""""))"),"")</f>
        <v/>
      </c>
      <c r="Q5204" s="5" t="str">
        <f t="shared" si="1"/>
        <v>২ পরে</v>
      </c>
    </row>
    <row r="5205">
      <c r="A5205" s="4">
        <v>3053.0</v>
      </c>
      <c r="B5205" s="2" t="s">
        <v>21292</v>
      </c>
      <c r="C5205" s="2" t="s">
        <v>21293</v>
      </c>
      <c r="D5205" s="2" t="s">
        <v>21294</v>
      </c>
      <c r="E5205" s="2" t="s">
        <v>21295</v>
      </c>
      <c r="F5205" s="2" t="b">
        <v>1</v>
      </c>
      <c r="G5205" s="2" t="b">
        <v>0</v>
      </c>
      <c r="H5205" s="2" t="s">
        <v>37</v>
      </c>
      <c r="I5205" s="2" t="s">
        <v>22</v>
      </c>
      <c r="J5205" s="2" t="s">
        <v>616</v>
      </c>
      <c r="K5205" s="2" t="s">
        <v>495</v>
      </c>
      <c r="L5205" s="13" t="s">
        <v>496</v>
      </c>
      <c r="M5205" s="2" t="s">
        <v>26</v>
      </c>
      <c r="N5205" s="29"/>
      <c r="O5205" s="29"/>
      <c r="P5205" s="5" t="str">
        <f>IFERROR(__xludf.DUMMYFUNCTION("TEXTJOIN("" | "",TRUE,IF(OR(D5205="""",E5205="""",I5205="""",J5205="""",H5205=""""),""ফাঁকা ঘর"",""""),IF(AND(C5205&lt;&gt;"""",D5205&lt;&gt;"""",C5205=D5205),""gloss=figurative"",""""),IF(LEN(D5205)&lt;15,""figurative ছোট"",""""),IF(AND(I5205=""Positive"",REGEXMATCH(H5"&amp;"205,""মূর্খ|ভণ্ড|প্রতার|অলস|লোভ|স্বার্থ|অক্ষম|অযোগ্য|বোকা|কৃপণ|হিংস"")),""valence-target অমিল"",""""),IF(COUNTIF($B:$B,B5205)&gt;1,""ডুপ্লিকেট"",""""))"),"")</f>
        <v/>
      </c>
      <c r="Q5205" s="5" t="str">
        <f t="shared" si="1"/>
        <v>২ পরে</v>
      </c>
    </row>
    <row r="5206">
      <c r="A5206" s="4">
        <v>3054.0</v>
      </c>
      <c r="B5206" s="2" t="s">
        <v>21296</v>
      </c>
      <c r="C5206" s="2" t="s">
        <v>21297</v>
      </c>
      <c r="D5206" s="2" t="s">
        <v>21298</v>
      </c>
      <c r="E5206" s="2" t="s">
        <v>21299</v>
      </c>
      <c r="F5206" s="2" t="b">
        <v>1</v>
      </c>
      <c r="G5206" s="2" t="b">
        <v>0</v>
      </c>
      <c r="H5206" s="2" t="s">
        <v>37</v>
      </c>
      <c r="I5206" s="2" t="s">
        <v>32</v>
      </c>
      <c r="J5206" s="2" t="s">
        <v>739</v>
      </c>
      <c r="K5206" s="2" t="s">
        <v>495</v>
      </c>
      <c r="L5206" s="13" t="s">
        <v>496</v>
      </c>
      <c r="M5206" s="2" t="s">
        <v>26</v>
      </c>
      <c r="N5206" s="29"/>
      <c r="O5206" s="29"/>
      <c r="P5206" s="5" t="str">
        <f>IFERROR(__xludf.DUMMYFUNCTION("TEXTJOIN("" | "",TRUE,IF(OR(D5206="""",E5206="""",I5206="""",J5206="""",H5206=""""),""ফাঁকা ঘর"",""""),IF(AND(C5206&lt;&gt;"""",D5206&lt;&gt;"""",C5206=D5206),""gloss=figurative"",""""),IF(LEN(D5206)&lt;15,""figurative ছোট"",""""),IF(AND(I5206=""Positive"",REGEXMATCH(H5"&amp;"206,""মূর্খ|ভণ্ড|প্রতার|অলস|লোভ|স্বার্থ|অক্ষম|অযোগ্য|বোকা|কৃপণ|হিংস"")),""valence-target অমিল"",""""),IF(COUNTIF($B:$B,B5206)&gt;1,""ডুপ্লিকেট"",""""))"),"")</f>
        <v/>
      </c>
      <c r="Q5206" s="5" t="str">
        <f t="shared" si="1"/>
        <v>২ পরে</v>
      </c>
    </row>
    <row r="5207">
      <c r="A5207" s="4">
        <v>3055.0</v>
      </c>
      <c r="B5207" s="2" t="s">
        <v>21300</v>
      </c>
      <c r="C5207" s="2" t="s">
        <v>21301</v>
      </c>
      <c r="D5207" s="2" t="s">
        <v>21302</v>
      </c>
      <c r="E5207" s="2" t="s">
        <v>21303</v>
      </c>
      <c r="F5207" s="2" t="b">
        <v>1</v>
      </c>
      <c r="G5207" s="2" t="b">
        <v>0</v>
      </c>
      <c r="H5207" s="2" t="s">
        <v>37</v>
      </c>
      <c r="I5207" s="2" t="s">
        <v>22</v>
      </c>
      <c r="J5207" s="2" t="s">
        <v>848</v>
      </c>
      <c r="K5207" s="2" t="s">
        <v>495</v>
      </c>
      <c r="L5207" s="13" t="s">
        <v>496</v>
      </c>
      <c r="M5207" s="2" t="s">
        <v>26</v>
      </c>
      <c r="N5207" s="29"/>
      <c r="O5207" s="29"/>
      <c r="P5207" s="5" t="str">
        <f>IFERROR(__xludf.DUMMYFUNCTION("TEXTJOIN("" | "",TRUE,IF(OR(D5207="""",E5207="""",I5207="""",J5207="""",H5207=""""),""ফাঁকা ঘর"",""""),IF(AND(C5207&lt;&gt;"""",D5207&lt;&gt;"""",C5207=D5207),""gloss=figurative"",""""),IF(LEN(D5207)&lt;15,""figurative ছোট"",""""),IF(AND(I5207=""Positive"",REGEXMATCH(H5"&amp;"207,""মূর্খ|ভণ্ড|প্রতার|অলস|লোভ|স্বার্থ|অক্ষম|অযোগ্য|বোকা|কৃপণ|হিংস"")),""valence-target অমিল"",""""),IF(COUNTIF($B:$B,B5207)&gt;1,""ডুপ্লিকেট"",""""))"),"")</f>
        <v/>
      </c>
      <c r="Q5207" s="5" t="str">
        <f t="shared" si="1"/>
        <v>২ পরে</v>
      </c>
    </row>
    <row r="5208">
      <c r="A5208" s="4">
        <v>3056.0</v>
      </c>
      <c r="B5208" s="2" t="s">
        <v>21304</v>
      </c>
      <c r="C5208" s="2" t="s">
        <v>21305</v>
      </c>
      <c r="D5208" s="2" t="s">
        <v>21306</v>
      </c>
      <c r="E5208" s="2" t="s">
        <v>21307</v>
      </c>
      <c r="F5208" s="2" t="b">
        <v>1</v>
      </c>
      <c r="G5208" s="2" t="b">
        <v>0</v>
      </c>
      <c r="H5208" s="2" t="s">
        <v>37</v>
      </c>
      <c r="I5208" s="2" t="s">
        <v>49</v>
      </c>
      <c r="J5208" s="2" t="s">
        <v>21308</v>
      </c>
      <c r="K5208" s="2" t="s">
        <v>495</v>
      </c>
      <c r="L5208" s="13" t="s">
        <v>496</v>
      </c>
      <c r="M5208" s="2" t="s">
        <v>26</v>
      </c>
      <c r="N5208" s="29"/>
      <c r="O5208" s="29"/>
      <c r="P5208" s="5" t="str">
        <f>IFERROR(__xludf.DUMMYFUNCTION("TEXTJOIN("" | "",TRUE,IF(OR(D5208="""",E5208="""",I5208="""",J5208="""",H5208=""""),""ফাঁকা ঘর"",""""),IF(AND(C5208&lt;&gt;"""",D5208&lt;&gt;"""",C5208=D5208),""gloss=figurative"",""""),IF(LEN(D5208)&lt;15,""figurative ছোট"",""""),IF(AND(I5208=""Positive"",REGEXMATCH(H5"&amp;"208,""মূর্খ|ভণ্ড|প্রতার|অলস|লোভ|স্বার্থ|অক্ষম|অযোগ্য|বোকা|কৃপণ|হিংস"")),""valence-target অমিল"",""""),IF(COUNTIF($B:$B,B5208)&gt;1,""ডুপ্লিকেট"",""""))"),"")</f>
        <v/>
      </c>
      <c r="Q5208" s="5" t="str">
        <f t="shared" si="1"/>
        <v>২ পরে</v>
      </c>
    </row>
    <row r="5209">
      <c r="A5209" s="4">
        <v>3057.0</v>
      </c>
      <c r="B5209" s="2" t="s">
        <v>21309</v>
      </c>
      <c r="C5209" s="2" t="s">
        <v>21310</v>
      </c>
      <c r="D5209" s="2" t="s">
        <v>21311</v>
      </c>
      <c r="E5209" s="2" t="s">
        <v>21312</v>
      </c>
      <c r="F5209" s="2" t="b">
        <v>1</v>
      </c>
      <c r="G5209" s="2" t="b">
        <v>0</v>
      </c>
      <c r="H5209" s="2" t="s">
        <v>37</v>
      </c>
      <c r="I5209" s="2" t="s">
        <v>32</v>
      </c>
      <c r="J5209" s="2" t="s">
        <v>4804</v>
      </c>
      <c r="K5209" s="2" t="s">
        <v>495</v>
      </c>
      <c r="L5209" s="13" t="s">
        <v>496</v>
      </c>
      <c r="M5209" s="2" t="s">
        <v>26</v>
      </c>
      <c r="N5209" s="29"/>
      <c r="O5209" s="29"/>
      <c r="P5209" s="5" t="str">
        <f>IFERROR(__xludf.DUMMYFUNCTION("TEXTJOIN("" | "",TRUE,IF(OR(D5209="""",E5209="""",I5209="""",J5209="""",H5209=""""),""ফাঁকা ঘর"",""""),IF(AND(C5209&lt;&gt;"""",D5209&lt;&gt;"""",C5209=D5209),""gloss=figurative"",""""),IF(LEN(D5209)&lt;15,""figurative ছোট"",""""),IF(AND(I5209=""Positive"",REGEXMATCH(H5"&amp;"209,""মূর্খ|ভণ্ড|প্রতার|অলস|লোভ|স্বার্থ|অক্ষম|অযোগ্য|বোকা|কৃপণ|হিংস"")),""valence-target অমিল"",""""),IF(COUNTIF($B:$B,B5209)&gt;1,""ডুপ্লিকেট"",""""))"),"")</f>
        <v/>
      </c>
      <c r="Q5209" s="5" t="str">
        <f t="shared" si="1"/>
        <v>২ পরে</v>
      </c>
    </row>
    <row r="5210">
      <c r="A5210" s="4">
        <v>3058.0</v>
      </c>
      <c r="B5210" s="2" t="s">
        <v>21313</v>
      </c>
      <c r="C5210" s="2" t="s">
        <v>21314</v>
      </c>
      <c r="D5210" s="2" t="s">
        <v>21315</v>
      </c>
      <c r="E5210" s="2" t="s">
        <v>21316</v>
      </c>
      <c r="F5210" s="2" t="b">
        <v>1</v>
      </c>
      <c r="G5210" s="2" t="b">
        <v>0</v>
      </c>
      <c r="H5210" s="2" t="s">
        <v>37</v>
      </c>
      <c r="I5210" s="2" t="s">
        <v>32</v>
      </c>
      <c r="J5210" s="2" t="s">
        <v>1060</v>
      </c>
      <c r="K5210" s="2" t="s">
        <v>495</v>
      </c>
      <c r="L5210" s="13" t="s">
        <v>496</v>
      </c>
      <c r="M5210" s="2" t="s">
        <v>26</v>
      </c>
      <c r="N5210" s="29"/>
      <c r="O5210" s="29"/>
      <c r="P5210" s="5" t="str">
        <f>IFERROR(__xludf.DUMMYFUNCTION("TEXTJOIN("" | "",TRUE,IF(OR(D5210="""",E5210="""",I5210="""",J5210="""",H5210=""""),""ফাঁকা ঘর"",""""),IF(AND(C5210&lt;&gt;"""",D5210&lt;&gt;"""",C5210=D5210),""gloss=figurative"",""""),IF(LEN(D5210)&lt;15,""figurative ছোট"",""""),IF(AND(I5210=""Positive"",REGEXMATCH(H5"&amp;"210,""মূর্খ|ভণ্ড|প্রতার|অলস|লোভ|স্বার্থ|অক্ষম|অযোগ্য|বোকা|কৃপণ|হিংস"")),""valence-target অমিল"",""""),IF(COUNTIF($B:$B,B5210)&gt;1,""ডুপ্লিকেট"",""""))"),"")</f>
        <v/>
      </c>
      <c r="Q5210" s="5" t="str">
        <f t="shared" si="1"/>
        <v>২ পরে</v>
      </c>
    </row>
    <row r="5211">
      <c r="A5211" s="4">
        <v>3059.0</v>
      </c>
      <c r="B5211" s="2" t="s">
        <v>21317</v>
      </c>
      <c r="C5211" s="2" t="s">
        <v>21318</v>
      </c>
      <c r="D5211" s="2" t="s">
        <v>21319</v>
      </c>
      <c r="E5211" s="2" t="s">
        <v>21320</v>
      </c>
      <c r="F5211" s="2" t="b">
        <v>1</v>
      </c>
      <c r="G5211" s="2" t="b">
        <v>0</v>
      </c>
      <c r="H5211" s="2" t="s">
        <v>37</v>
      </c>
      <c r="I5211" s="2" t="s">
        <v>32</v>
      </c>
      <c r="J5211" s="2" t="s">
        <v>1060</v>
      </c>
      <c r="K5211" s="2" t="s">
        <v>495</v>
      </c>
      <c r="L5211" s="13" t="s">
        <v>496</v>
      </c>
      <c r="M5211" s="2" t="s">
        <v>26</v>
      </c>
      <c r="N5211" s="29"/>
      <c r="O5211" s="29"/>
      <c r="P5211" s="5" t="str">
        <f>IFERROR(__xludf.DUMMYFUNCTION("TEXTJOIN("" | "",TRUE,IF(OR(D5211="""",E5211="""",I5211="""",J5211="""",H5211=""""),""ফাঁকা ঘর"",""""),IF(AND(C5211&lt;&gt;"""",D5211&lt;&gt;"""",C5211=D5211),""gloss=figurative"",""""),IF(LEN(D5211)&lt;15,""figurative ছোট"",""""),IF(AND(I5211=""Positive"",REGEXMATCH(H5"&amp;"211,""মূর্খ|ভণ্ড|প্রতার|অলস|লোভ|স্বার্থ|অক্ষম|অযোগ্য|বোকা|কৃপণ|হিংস"")),""valence-target অমিল"",""""),IF(COUNTIF($B:$B,B5211)&gt;1,""ডুপ্লিকেট"",""""))"),"")</f>
        <v/>
      </c>
      <c r="Q5211" s="5" t="str">
        <f t="shared" si="1"/>
        <v>২ পরে</v>
      </c>
    </row>
    <row r="5212">
      <c r="A5212" s="4">
        <v>3060.0</v>
      </c>
      <c r="B5212" s="2" t="s">
        <v>21321</v>
      </c>
      <c r="C5212" s="2" t="s">
        <v>21322</v>
      </c>
      <c r="D5212" s="2" t="s">
        <v>21323</v>
      </c>
      <c r="E5212" s="2" t="s">
        <v>21324</v>
      </c>
      <c r="F5212" s="2" t="b">
        <v>1</v>
      </c>
      <c r="G5212" s="2" t="b">
        <v>0</v>
      </c>
      <c r="H5212" s="2" t="s">
        <v>37</v>
      </c>
      <c r="I5212" s="2" t="s">
        <v>22</v>
      </c>
      <c r="J5212" s="2" t="s">
        <v>1363</v>
      </c>
      <c r="K5212" s="2" t="s">
        <v>495</v>
      </c>
      <c r="L5212" s="13" t="s">
        <v>496</v>
      </c>
      <c r="M5212" s="2" t="s">
        <v>26</v>
      </c>
      <c r="N5212" s="29"/>
      <c r="O5212" s="29"/>
      <c r="P5212" s="5" t="str">
        <f>IFERROR(__xludf.DUMMYFUNCTION("TEXTJOIN("" | "",TRUE,IF(OR(D5212="""",E5212="""",I5212="""",J5212="""",H5212=""""),""ফাঁকা ঘর"",""""),IF(AND(C5212&lt;&gt;"""",D5212&lt;&gt;"""",C5212=D5212),""gloss=figurative"",""""),IF(LEN(D5212)&lt;15,""figurative ছোট"",""""),IF(AND(I5212=""Positive"",REGEXMATCH(H5"&amp;"212,""মূর্খ|ভণ্ড|প্রতার|অলস|লোভ|স্বার্থ|অক্ষম|অযোগ্য|বোকা|কৃপণ|হিংস"")),""valence-target অমিল"",""""),IF(COUNTIF($B:$B,B5212)&gt;1,""ডুপ্লিকেট"",""""))"),"")</f>
        <v/>
      </c>
      <c r="Q5212" s="5" t="str">
        <f t="shared" si="1"/>
        <v>২ পরে</v>
      </c>
    </row>
    <row r="5213">
      <c r="A5213" s="4">
        <v>3061.0</v>
      </c>
      <c r="B5213" s="2" t="s">
        <v>21325</v>
      </c>
      <c r="C5213" s="2" t="s">
        <v>21326</v>
      </c>
      <c r="D5213" s="2" t="s">
        <v>21327</v>
      </c>
      <c r="E5213" s="2" t="s">
        <v>21328</v>
      </c>
      <c r="F5213" s="2" t="b">
        <v>1</v>
      </c>
      <c r="G5213" s="2" t="b">
        <v>0</v>
      </c>
      <c r="H5213" s="2" t="s">
        <v>37</v>
      </c>
      <c r="I5213" s="2" t="s">
        <v>32</v>
      </c>
      <c r="J5213" s="2" t="s">
        <v>1180</v>
      </c>
      <c r="K5213" s="2" t="s">
        <v>495</v>
      </c>
      <c r="L5213" s="13" t="s">
        <v>496</v>
      </c>
      <c r="M5213" s="2" t="s">
        <v>26</v>
      </c>
      <c r="N5213" s="29"/>
      <c r="O5213" s="29"/>
      <c r="P5213" s="5" t="str">
        <f>IFERROR(__xludf.DUMMYFUNCTION("TEXTJOIN("" | "",TRUE,IF(OR(D5213="""",E5213="""",I5213="""",J5213="""",H5213=""""),""ফাঁকা ঘর"",""""),IF(AND(C5213&lt;&gt;"""",D5213&lt;&gt;"""",C5213=D5213),""gloss=figurative"",""""),IF(LEN(D5213)&lt;15,""figurative ছোট"",""""),IF(AND(I5213=""Positive"",REGEXMATCH(H5"&amp;"213,""মূর্খ|ভণ্ড|প্রতার|অলস|লোভ|স্বার্থ|অক্ষম|অযোগ্য|বোকা|কৃপণ|হিংস"")),""valence-target অমিল"",""""),IF(COUNTIF($B:$B,B5213)&gt;1,""ডুপ্লিকেট"",""""))"),"")</f>
        <v/>
      </c>
      <c r="Q5213" s="5" t="str">
        <f t="shared" si="1"/>
        <v>২ পরে</v>
      </c>
    </row>
    <row r="5214">
      <c r="A5214" s="4">
        <v>3062.0</v>
      </c>
      <c r="B5214" s="2" t="s">
        <v>21329</v>
      </c>
      <c r="C5214" s="2" t="s">
        <v>21330</v>
      </c>
      <c r="D5214" s="2" t="s">
        <v>21331</v>
      </c>
      <c r="E5214" s="2" t="s">
        <v>21332</v>
      </c>
      <c r="F5214" s="2" t="b">
        <v>1</v>
      </c>
      <c r="G5214" s="2" t="b">
        <v>0</v>
      </c>
      <c r="H5214" s="2" t="s">
        <v>37</v>
      </c>
      <c r="I5214" s="2" t="s">
        <v>49</v>
      </c>
      <c r="J5214" s="2" t="s">
        <v>5143</v>
      </c>
      <c r="K5214" s="2" t="s">
        <v>495</v>
      </c>
      <c r="L5214" s="13" t="s">
        <v>496</v>
      </c>
      <c r="M5214" s="2" t="s">
        <v>26</v>
      </c>
      <c r="N5214" s="29"/>
      <c r="O5214" s="29"/>
      <c r="P5214" s="5" t="str">
        <f>IFERROR(__xludf.DUMMYFUNCTION("TEXTJOIN("" | "",TRUE,IF(OR(D5214="""",E5214="""",I5214="""",J5214="""",H5214=""""),""ফাঁকা ঘর"",""""),IF(AND(C5214&lt;&gt;"""",D5214&lt;&gt;"""",C5214=D5214),""gloss=figurative"",""""),IF(LEN(D5214)&lt;15,""figurative ছোট"",""""),IF(AND(I5214=""Positive"",REGEXMATCH(H5"&amp;"214,""মূর্খ|ভণ্ড|প্রতার|অলস|লোভ|স্বার্থ|অক্ষম|অযোগ্য|বোকা|কৃপণ|হিংস"")),""valence-target অমিল"",""""),IF(COUNTIF($B:$B,B5214)&gt;1,""ডুপ্লিকেট"",""""))"),"")</f>
        <v/>
      </c>
      <c r="Q5214" s="5" t="str">
        <f t="shared" si="1"/>
        <v>২ পরে</v>
      </c>
    </row>
    <row r="5215">
      <c r="A5215" s="4">
        <v>3063.0</v>
      </c>
      <c r="B5215" s="2" t="s">
        <v>21333</v>
      </c>
      <c r="C5215" s="2" t="s">
        <v>21334</v>
      </c>
      <c r="D5215" s="2" t="s">
        <v>21335</v>
      </c>
      <c r="E5215" s="2" t="s">
        <v>21336</v>
      </c>
      <c r="F5215" s="2" t="b">
        <v>1</v>
      </c>
      <c r="G5215" s="2" t="b">
        <v>0</v>
      </c>
      <c r="H5215" s="2" t="s">
        <v>37</v>
      </c>
      <c r="I5215" s="2" t="s">
        <v>49</v>
      </c>
      <c r="J5215" s="2" t="s">
        <v>1264</v>
      </c>
      <c r="K5215" s="2" t="s">
        <v>495</v>
      </c>
      <c r="L5215" s="13" t="s">
        <v>496</v>
      </c>
      <c r="M5215" s="2" t="s">
        <v>26</v>
      </c>
      <c r="N5215" s="29"/>
      <c r="O5215" s="29"/>
      <c r="P5215" s="5" t="str">
        <f>IFERROR(__xludf.DUMMYFUNCTION("TEXTJOIN("" | "",TRUE,IF(OR(D5215="""",E5215="""",I5215="""",J5215="""",H5215=""""),""ফাঁকা ঘর"",""""),IF(AND(C5215&lt;&gt;"""",D5215&lt;&gt;"""",C5215=D5215),""gloss=figurative"",""""),IF(LEN(D5215)&lt;15,""figurative ছোট"",""""),IF(AND(I5215=""Positive"",REGEXMATCH(H5"&amp;"215,""মূর্খ|ভণ্ড|প্রতার|অলস|লোভ|স্বার্থ|অক্ষম|অযোগ্য|বোকা|কৃপণ|হিংস"")),""valence-target অমিল"",""""),IF(COUNTIF($B:$B,B5215)&gt;1,""ডুপ্লিকেট"",""""))"),"")</f>
        <v/>
      </c>
      <c r="Q5215" s="5" t="str">
        <f t="shared" si="1"/>
        <v>২ পরে</v>
      </c>
    </row>
    <row r="5216">
      <c r="A5216" s="4">
        <v>3065.0</v>
      </c>
      <c r="B5216" s="2" t="s">
        <v>21337</v>
      </c>
      <c r="C5216" s="2" t="s">
        <v>21338</v>
      </c>
      <c r="D5216" s="2" t="s">
        <v>21339</v>
      </c>
      <c r="E5216" s="2" t="s">
        <v>21340</v>
      </c>
      <c r="F5216" s="2" t="b">
        <v>1</v>
      </c>
      <c r="G5216" s="2" t="b">
        <v>0</v>
      </c>
      <c r="H5216" s="2" t="s">
        <v>37</v>
      </c>
      <c r="I5216" s="2" t="s">
        <v>22</v>
      </c>
      <c r="J5216" s="2" t="s">
        <v>1686</v>
      </c>
      <c r="K5216" s="2" t="s">
        <v>495</v>
      </c>
      <c r="L5216" s="13" t="s">
        <v>496</v>
      </c>
      <c r="M5216" s="2" t="s">
        <v>26</v>
      </c>
      <c r="N5216" s="29"/>
      <c r="O5216" s="29"/>
      <c r="P5216" s="5" t="str">
        <f>IFERROR(__xludf.DUMMYFUNCTION("TEXTJOIN("" | "",TRUE,IF(OR(D5216="""",E5216="""",I5216="""",J5216="""",H5216=""""),""ফাঁকা ঘর"",""""),IF(AND(C5216&lt;&gt;"""",D5216&lt;&gt;"""",C5216=D5216),""gloss=figurative"",""""),IF(LEN(D5216)&lt;15,""figurative ছোট"",""""),IF(AND(I5216=""Positive"",REGEXMATCH(H5"&amp;"216,""মূর্খ|ভণ্ড|প্রতার|অলস|লোভ|স্বার্থ|অক্ষম|অযোগ্য|বোকা|কৃপণ|হিংস"")),""valence-target অমিল"",""""),IF(COUNTIF($B:$B,B5216)&gt;1,""ডুপ্লিকেট"",""""))"),"")</f>
        <v/>
      </c>
      <c r="Q5216" s="5" t="str">
        <f t="shared" si="1"/>
        <v>২ পরে</v>
      </c>
    </row>
    <row r="5217">
      <c r="A5217" s="4">
        <v>3066.0</v>
      </c>
      <c r="B5217" s="2" t="s">
        <v>21341</v>
      </c>
      <c r="C5217" s="2" t="s">
        <v>21342</v>
      </c>
      <c r="D5217" s="2" t="s">
        <v>21343</v>
      </c>
      <c r="E5217" s="2" t="s">
        <v>21344</v>
      </c>
      <c r="F5217" s="2" t="b">
        <v>1</v>
      </c>
      <c r="G5217" s="2" t="b">
        <v>0</v>
      </c>
      <c r="H5217" s="2" t="s">
        <v>37</v>
      </c>
      <c r="I5217" s="2" t="s">
        <v>49</v>
      </c>
      <c r="J5217" s="2" t="s">
        <v>1264</v>
      </c>
      <c r="K5217" s="2" t="s">
        <v>495</v>
      </c>
      <c r="L5217" s="13" t="s">
        <v>496</v>
      </c>
      <c r="M5217" s="2" t="s">
        <v>26</v>
      </c>
      <c r="N5217" s="29"/>
      <c r="O5217" s="29"/>
      <c r="P5217" s="5" t="str">
        <f>IFERROR(__xludf.DUMMYFUNCTION("TEXTJOIN("" | "",TRUE,IF(OR(D5217="""",E5217="""",I5217="""",J5217="""",H5217=""""),""ফাঁকা ঘর"",""""),IF(AND(C5217&lt;&gt;"""",D5217&lt;&gt;"""",C5217=D5217),""gloss=figurative"",""""),IF(LEN(D5217)&lt;15,""figurative ছোট"",""""),IF(AND(I5217=""Positive"",REGEXMATCH(H5"&amp;"217,""মূর্খ|ভণ্ড|প্রতার|অলস|লোভ|স্বার্থ|অক্ষম|অযোগ্য|বোকা|কৃপণ|হিংস"")),""valence-target অমিল"",""""),IF(COUNTIF($B:$B,B5217)&gt;1,""ডুপ্লিকেট"",""""))"),"")</f>
        <v/>
      </c>
      <c r="Q5217" s="5" t="str">
        <f t="shared" si="1"/>
        <v>২ পরে</v>
      </c>
    </row>
    <row r="5218">
      <c r="A5218" s="4">
        <v>3067.0</v>
      </c>
      <c r="B5218" s="2" t="s">
        <v>21345</v>
      </c>
      <c r="C5218" s="2" t="s">
        <v>21346</v>
      </c>
      <c r="D5218" s="2" t="s">
        <v>21347</v>
      </c>
      <c r="E5218" s="2" t="s">
        <v>21348</v>
      </c>
      <c r="F5218" s="2" t="b">
        <v>1</v>
      </c>
      <c r="G5218" s="2" t="b">
        <v>0</v>
      </c>
      <c r="H5218" s="2" t="s">
        <v>37</v>
      </c>
      <c r="I5218" s="2" t="s">
        <v>22</v>
      </c>
      <c r="J5218" s="2" t="s">
        <v>1686</v>
      </c>
      <c r="K5218" s="2" t="s">
        <v>495</v>
      </c>
      <c r="L5218" s="13" t="s">
        <v>496</v>
      </c>
      <c r="M5218" s="2" t="s">
        <v>26</v>
      </c>
      <c r="N5218" s="29"/>
      <c r="O5218" s="29"/>
      <c r="P5218" s="5" t="str">
        <f>IFERROR(__xludf.DUMMYFUNCTION("TEXTJOIN("" | "",TRUE,IF(OR(D5218="""",E5218="""",I5218="""",J5218="""",H5218=""""),""ফাঁকা ঘর"",""""),IF(AND(C5218&lt;&gt;"""",D5218&lt;&gt;"""",C5218=D5218),""gloss=figurative"",""""),IF(LEN(D5218)&lt;15,""figurative ছোট"",""""),IF(AND(I5218=""Positive"",REGEXMATCH(H5"&amp;"218,""মূর্খ|ভণ্ড|প্রতার|অলস|লোভ|স্বার্থ|অক্ষম|অযোগ্য|বোকা|কৃপণ|হিংস"")),""valence-target অমিল"",""""),IF(COUNTIF($B:$B,B5218)&gt;1,""ডুপ্লিকেট"",""""))"),"")</f>
        <v/>
      </c>
      <c r="Q5218" s="5" t="str">
        <f t="shared" si="1"/>
        <v>২ পরে</v>
      </c>
    </row>
    <row r="5219">
      <c r="A5219" s="4">
        <v>3068.0</v>
      </c>
      <c r="B5219" s="2" t="s">
        <v>21349</v>
      </c>
      <c r="C5219" s="2" t="s">
        <v>21350</v>
      </c>
      <c r="D5219" s="2" t="s">
        <v>21351</v>
      </c>
      <c r="E5219" s="2" t="s">
        <v>21352</v>
      </c>
      <c r="F5219" s="2" t="b">
        <v>1</v>
      </c>
      <c r="G5219" s="2" t="b">
        <v>0</v>
      </c>
      <c r="H5219" s="2" t="s">
        <v>37</v>
      </c>
      <c r="I5219" s="2" t="s">
        <v>22</v>
      </c>
      <c r="J5219" s="2" t="s">
        <v>1686</v>
      </c>
      <c r="K5219" s="2" t="s">
        <v>495</v>
      </c>
      <c r="L5219" s="13" t="s">
        <v>496</v>
      </c>
      <c r="M5219" s="2" t="s">
        <v>26</v>
      </c>
      <c r="N5219" s="29"/>
      <c r="O5219" s="29"/>
      <c r="P5219" s="5" t="str">
        <f>IFERROR(__xludf.DUMMYFUNCTION("TEXTJOIN("" | "",TRUE,IF(OR(D5219="""",E5219="""",I5219="""",J5219="""",H5219=""""),""ফাঁকা ঘর"",""""),IF(AND(C5219&lt;&gt;"""",D5219&lt;&gt;"""",C5219=D5219),""gloss=figurative"",""""),IF(LEN(D5219)&lt;15,""figurative ছোট"",""""),IF(AND(I5219=""Positive"",REGEXMATCH(H5"&amp;"219,""মূর্খ|ভণ্ড|প্রতার|অলস|লোভ|স্বার্থ|অক্ষম|অযোগ্য|বোকা|কৃপণ|হিংস"")),""valence-target অমিল"",""""),IF(COUNTIF($B:$B,B5219)&gt;1,""ডুপ্লিকেট"",""""))"),"")</f>
        <v/>
      </c>
      <c r="Q5219" s="5" t="str">
        <f t="shared" si="1"/>
        <v>২ পরে</v>
      </c>
    </row>
    <row r="5220">
      <c r="A5220" s="4">
        <v>3069.0</v>
      </c>
      <c r="B5220" s="2" t="s">
        <v>21353</v>
      </c>
      <c r="C5220" s="2" t="s">
        <v>21354</v>
      </c>
      <c r="D5220" s="2" t="s">
        <v>21355</v>
      </c>
      <c r="E5220" s="2" t="s">
        <v>21356</v>
      </c>
      <c r="F5220" s="2" t="b">
        <v>1</v>
      </c>
      <c r="G5220" s="2" t="b">
        <v>0</v>
      </c>
      <c r="H5220" s="2" t="s">
        <v>37</v>
      </c>
      <c r="I5220" s="2" t="s">
        <v>32</v>
      </c>
      <c r="J5220" s="2" t="s">
        <v>21357</v>
      </c>
      <c r="K5220" s="2" t="s">
        <v>495</v>
      </c>
      <c r="L5220" s="13" t="s">
        <v>496</v>
      </c>
      <c r="M5220" s="2" t="s">
        <v>26</v>
      </c>
      <c r="N5220" s="29"/>
      <c r="O5220" s="29"/>
      <c r="P5220" s="5" t="str">
        <f>IFERROR(__xludf.DUMMYFUNCTION("TEXTJOIN("" | "",TRUE,IF(OR(D5220="""",E5220="""",I5220="""",J5220="""",H5220=""""),""ফাঁকা ঘর"",""""),IF(AND(C5220&lt;&gt;"""",D5220&lt;&gt;"""",C5220=D5220),""gloss=figurative"",""""),IF(LEN(D5220)&lt;15,""figurative ছোট"",""""),IF(AND(I5220=""Positive"",REGEXMATCH(H5"&amp;"220,""মূর্খ|ভণ্ড|প্রতার|অলস|লোভ|স্বার্থ|অক্ষম|অযোগ্য|বোকা|কৃপণ|হিংস"")),""valence-target অমিল"",""""),IF(COUNTIF($B:$B,B5220)&gt;1,""ডুপ্লিকেট"",""""))"),"")</f>
        <v/>
      </c>
      <c r="Q5220" s="5" t="str">
        <f t="shared" si="1"/>
        <v>২ পরে</v>
      </c>
    </row>
    <row r="5221">
      <c r="A5221" s="4">
        <v>3070.0</v>
      </c>
      <c r="B5221" s="2" t="s">
        <v>21358</v>
      </c>
      <c r="C5221" s="2" t="s">
        <v>21359</v>
      </c>
      <c r="D5221" s="2" t="s">
        <v>21360</v>
      </c>
      <c r="E5221" s="2" t="s">
        <v>21361</v>
      </c>
      <c r="F5221" s="2" t="b">
        <v>1</v>
      </c>
      <c r="G5221" s="2" t="b">
        <v>0</v>
      </c>
      <c r="H5221" s="2" t="s">
        <v>37</v>
      </c>
      <c r="I5221" s="2" t="s">
        <v>49</v>
      </c>
      <c r="J5221" s="2" t="s">
        <v>1770</v>
      </c>
      <c r="K5221" s="2" t="s">
        <v>495</v>
      </c>
      <c r="L5221" s="13" t="s">
        <v>496</v>
      </c>
      <c r="M5221" s="2" t="s">
        <v>26</v>
      </c>
      <c r="N5221" s="29"/>
      <c r="O5221" s="29"/>
      <c r="P5221" s="5" t="str">
        <f>IFERROR(__xludf.DUMMYFUNCTION("TEXTJOIN("" | "",TRUE,IF(OR(D5221="""",E5221="""",I5221="""",J5221="""",H5221=""""),""ফাঁকা ঘর"",""""),IF(AND(C5221&lt;&gt;"""",D5221&lt;&gt;"""",C5221=D5221),""gloss=figurative"",""""),IF(LEN(D5221)&lt;15,""figurative ছোট"",""""),IF(AND(I5221=""Positive"",REGEXMATCH(H5"&amp;"221,""মূর্খ|ভণ্ড|প্রতার|অলস|লোভ|স্বার্থ|অক্ষম|অযোগ্য|বোকা|কৃপণ|হিংস"")),""valence-target অমিল"",""""),IF(COUNTIF($B:$B,B5221)&gt;1,""ডুপ্লিকেট"",""""))"),"")</f>
        <v/>
      </c>
      <c r="Q5221" s="5" t="str">
        <f t="shared" si="1"/>
        <v>২ পরে</v>
      </c>
    </row>
    <row r="5222">
      <c r="A5222" s="4">
        <v>3072.0</v>
      </c>
      <c r="B5222" s="2" t="s">
        <v>21362</v>
      </c>
      <c r="C5222" s="2" t="s">
        <v>21363</v>
      </c>
      <c r="D5222" s="2" t="s">
        <v>21364</v>
      </c>
      <c r="E5222" s="2" t="s">
        <v>21365</v>
      </c>
      <c r="F5222" s="2" t="b">
        <v>1</v>
      </c>
      <c r="G5222" s="2" t="b">
        <v>0</v>
      </c>
      <c r="H5222" s="2" t="s">
        <v>37</v>
      </c>
      <c r="I5222" s="2" t="s">
        <v>49</v>
      </c>
      <c r="J5222" s="2" t="s">
        <v>913</v>
      </c>
      <c r="K5222" s="2" t="s">
        <v>495</v>
      </c>
      <c r="L5222" s="13" t="s">
        <v>496</v>
      </c>
      <c r="M5222" s="2" t="s">
        <v>26</v>
      </c>
      <c r="N5222" s="29"/>
      <c r="O5222" s="29"/>
      <c r="P5222" s="5" t="str">
        <f>IFERROR(__xludf.DUMMYFUNCTION("TEXTJOIN("" | "",TRUE,IF(OR(D5222="""",E5222="""",I5222="""",J5222="""",H5222=""""),""ফাঁকা ঘর"",""""),IF(AND(C5222&lt;&gt;"""",D5222&lt;&gt;"""",C5222=D5222),""gloss=figurative"",""""),IF(LEN(D5222)&lt;15,""figurative ছোট"",""""),IF(AND(I5222=""Positive"",REGEXMATCH(H5"&amp;"222,""মূর্খ|ভণ্ড|প্রতার|অলস|লোভ|স্বার্থ|অক্ষম|অযোগ্য|বোকা|কৃপণ|হিংস"")),""valence-target অমিল"",""""),IF(COUNTIF($B:$B,B5222)&gt;1,""ডুপ্লিকেট"",""""))"),"")</f>
        <v/>
      </c>
      <c r="Q5222" s="5" t="str">
        <f t="shared" si="1"/>
        <v>২ পরে</v>
      </c>
    </row>
    <row r="5223">
      <c r="A5223" s="4">
        <v>3073.0</v>
      </c>
      <c r="B5223" s="2" t="s">
        <v>21366</v>
      </c>
      <c r="C5223" s="2" t="s">
        <v>21367</v>
      </c>
      <c r="D5223" s="2" t="s">
        <v>21368</v>
      </c>
      <c r="E5223" s="2" t="s">
        <v>21369</v>
      </c>
      <c r="F5223" s="2" t="b">
        <v>1</v>
      </c>
      <c r="G5223" s="2" t="b">
        <v>0</v>
      </c>
      <c r="H5223" s="2" t="s">
        <v>37</v>
      </c>
      <c r="I5223" s="2" t="s">
        <v>32</v>
      </c>
      <c r="J5223" s="2" t="s">
        <v>21370</v>
      </c>
      <c r="K5223" s="2" t="s">
        <v>495</v>
      </c>
      <c r="L5223" s="13" t="s">
        <v>496</v>
      </c>
      <c r="M5223" s="2" t="s">
        <v>26</v>
      </c>
      <c r="N5223" s="29"/>
      <c r="O5223" s="29"/>
      <c r="P5223" s="5" t="str">
        <f>IFERROR(__xludf.DUMMYFUNCTION("TEXTJOIN("" | "",TRUE,IF(OR(D5223="""",E5223="""",I5223="""",J5223="""",H5223=""""),""ফাঁকা ঘর"",""""),IF(AND(C5223&lt;&gt;"""",D5223&lt;&gt;"""",C5223=D5223),""gloss=figurative"",""""),IF(LEN(D5223)&lt;15,""figurative ছোট"",""""),IF(AND(I5223=""Positive"",REGEXMATCH(H5"&amp;"223,""মূর্খ|ভণ্ড|প্রতার|অলস|লোভ|স্বার্থ|অক্ষম|অযোগ্য|বোকা|কৃপণ|হিংস"")),""valence-target অমিল"",""""),IF(COUNTIF($B:$B,B5223)&gt;1,""ডুপ্লিকেট"",""""))"),"")</f>
        <v/>
      </c>
      <c r="Q5223" s="5" t="str">
        <f t="shared" si="1"/>
        <v>২ পরে</v>
      </c>
    </row>
    <row r="5224">
      <c r="A5224" s="4">
        <v>3074.0</v>
      </c>
      <c r="B5224" s="2" t="s">
        <v>21371</v>
      </c>
      <c r="C5224" s="2" t="s">
        <v>21372</v>
      </c>
      <c r="D5224" s="2" t="s">
        <v>21373</v>
      </c>
      <c r="E5224" s="2" t="s">
        <v>21374</v>
      </c>
      <c r="F5224" s="2" t="b">
        <v>1</v>
      </c>
      <c r="G5224" s="2" t="b">
        <v>0</v>
      </c>
      <c r="H5224" s="2" t="s">
        <v>37</v>
      </c>
      <c r="I5224" s="2" t="s">
        <v>32</v>
      </c>
      <c r="J5224" s="2" t="s">
        <v>4804</v>
      </c>
      <c r="K5224" s="2" t="s">
        <v>495</v>
      </c>
      <c r="L5224" s="13" t="s">
        <v>496</v>
      </c>
      <c r="M5224" s="2" t="s">
        <v>26</v>
      </c>
      <c r="N5224" s="29"/>
      <c r="O5224" s="29"/>
      <c r="P5224" s="5" t="str">
        <f>IFERROR(__xludf.DUMMYFUNCTION("TEXTJOIN("" | "",TRUE,IF(OR(D5224="""",E5224="""",I5224="""",J5224="""",H5224=""""),""ফাঁকা ঘর"",""""),IF(AND(C5224&lt;&gt;"""",D5224&lt;&gt;"""",C5224=D5224),""gloss=figurative"",""""),IF(LEN(D5224)&lt;15,""figurative ছোট"",""""),IF(AND(I5224=""Positive"",REGEXMATCH(H5"&amp;"224,""মূর্খ|ভণ্ড|প্রতার|অলস|লোভ|স্বার্থ|অক্ষম|অযোগ্য|বোকা|কৃপণ|হিংস"")),""valence-target অমিল"",""""),IF(COUNTIF($B:$B,B5224)&gt;1,""ডুপ্লিকেট"",""""))"),"")</f>
        <v/>
      </c>
      <c r="Q5224" s="5" t="str">
        <f t="shared" si="1"/>
        <v>২ পরে</v>
      </c>
    </row>
    <row r="5225">
      <c r="A5225" s="4">
        <v>3075.0</v>
      </c>
      <c r="B5225" s="2" t="s">
        <v>21375</v>
      </c>
      <c r="C5225" s="2" t="s">
        <v>21376</v>
      </c>
      <c r="D5225" s="2" t="s">
        <v>21377</v>
      </c>
      <c r="E5225" s="2" t="s">
        <v>21378</v>
      </c>
      <c r="F5225" s="2" t="b">
        <v>1</v>
      </c>
      <c r="G5225" s="2" t="b">
        <v>0</v>
      </c>
      <c r="H5225" s="2" t="s">
        <v>37</v>
      </c>
      <c r="I5225" s="2" t="s">
        <v>22</v>
      </c>
      <c r="J5225" s="2" t="s">
        <v>739</v>
      </c>
      <c r="K5225" s="2" t="s">
        <v>495</v>
      </c>
      <c r="L5225" s="13" t="s">
        <v>496</v>
      </c>
      <c r="M5225" s="2" t="s">
        <v>26</v>
      </c>
      <c r="N5225" s="29"/>
      <c r="O5225" s="29"/>
      <c r="P5225" s="5" t="str">
        <f>IFERROR(__xludf.DUMMYFUNCTION("TEXTJOIN("" | "",TRUE,IF(OR(D5225="""",E5225="""",I5225="""",J5225="""",H5225=""""),""ফাঁকা ঘর"",""""),IF(AND(C5225&lt;&gt;"""",D5225&lt;&gt;"""",C5225=D5225),""gloss=figurative"",""""),IF(LEN(D5225)&lt;15,""figurative ছোট"",""""),IF(AND(I5225=""Positive"",REGEXMATCH(H5"&amp;"225,""মূর্খ|ভণ্ড|প্রতার|অলস|লোভ|স্বার্থ|অক্ষম|অযোগ্য|বোকা|কৃপণ|হিংস"")),""valence-target অমিল"",""""),IF(COUNTIF($B:$B,B5225)&gt;1,""ডুপ্লিকেট"",""""))"),"")</f>
        <v/>
      </c>
      <c r="Q5225" s="5" t="str">
        <f t="shared" si="1"/>
        <v>২ পরে</v>
      </c>
    </row>
    <row r="5226">
      <c r="A5226" s="4">
        <v>3076.0</v>
      </c>
      <c r="B5226" s="2" t="s">
        <v>21379</v>
      </c>
      <c r="C5226" s="2" t="s">
        <v>21380</v>
      </c>
      <c r="D5226" s="2" t="s">
        <v>21381</v>
      </c>
      <c r="E5226" s="2" t="s">
        <v>21382</v>
      </c>
      <c r="F5226" s="2" t="b">
        <v>1</v>
      </c>
      <c r="G5226" s="2" t="b">
        <v>0</v>
      </c>
      <c r="H5226" s="2" t="s">
        <v>37</v>
      </c>
      <c r="I5226" s="2" t="s">
        <v>22</v>
      </c>
      <c r="J5226" s="2" t="s">
        <v>660</v>
      </c>
      <c r="K5226" s="2" t="s">
        <v>495</v>
      </c>
      <c r="L5226" s="13" t="s">
        <v>496</v>
      </c>
      <c r="M5226" s="2" t="s">
        <v>26</v>
      </c>
      <c r="N5226" s="29"/>
      <c r="O5226" s="29"/>
      <c r="P5226" s="5" t="str">
        <f>IFERROR(__xludf.DUMMYFUNCTION("TEXTJOIN("" | "",TRUE,IF(OR(D5226="""",E5226="""",I5226="""",J5226="""",H5226=""""),""ফাঁকা ঘর"",""""),IF(AND(C5226&lt;&gt;"""",D5226&lt;&gt;"""",C5226=D5226),""gloss=figurative"",""""),IF(LEN(D5226)&lt;15,""figurative ছোট"",""""),IF(AND(I5226=""Positive"",REGEXMATCH(H5"&amp;"226,""মূর্খ|ভণ্ড|প্রতার|অলস|লোভ|স্বার্থ|অক্ষম|অযোগ্য|বোকা|কৃপণ|হিংস"")),""valence-target অমিল"",""""),IF(COUNTIF($B:$B,B5226)&gt;1,""ডুপ্লিকেট"",""""))"),"")</f>
        <v/>
      </c>
      <c r="Q5226" s="5" t="str">
        <f t="shared" si="1"/>
        <v>২ পরে</v>
      </c>
    </row>
    <row r="5227">
      <c r="A5227" s="4">
        <v>3077.0</v>
      </c>
      <c r="B5227" s="2" t="s">
        <v>21383</v>
      </c>
      <c r="C5227" s="2" t="s">
        <v>21384</v>
      </c>
      <c r="D5227" s="2" t="s">
        <v>21385</v>
      </c>
      <c r="E5227" s="2" t="s">
        <v>21386</v>
      </c>
      <c r="F5227" s="2" t="b">
        <v>1</v>
      </c>
      <c r="G5227" s="2" t="b">
        <v>0</v>
      </c>
      <c r="H5227" s="2" t="s">
        <v>37</v>
      </c>
      <c r="I5227" s="2" t="s">
        <v>32</v>
      </c>
      <c r="J5227" s="2" t="s">
        <v>646</v>
      </c>
      <c r="K5227" s="2" t="s">
        <v>495</v>
      </c>
      <c r="L5227" s="13" t="s">
        <v>496</v>
      </c>
      <c r="M5227" s="2" t="s">
        <v>26</v>
      </c>
      <c r="N5227" s="29"/>
      <c r="O5227" s="29"/>
      <c r="P5227" s="5" t="str">
        <f>IFERROR(__xludf.DUMMYFUNCTION("TEXTJOIN("" | "",TRUE,IF(OR(D5227="""",E5227="""",I5227="""",J5227="""",H5227=""""),""ফাঁকা ঘর"",""""),IF(AND(C5227&lt;&gt;"""",D5227&lt;&gt;"""",C5227=D5227),""gloss=figurative"",""""),IF(LEN(D5227)&lt;15,""figurative ছোট"",""""),IF(AND(I5227=""Positive"",REGEXMATCH(H5"&amp;"227,""মূর্খ|ভণ্ড|প্রতার|অলস|লোভ|স্বার্থ|অক্ষম|অযোগ্য|বোকা|কৃপণ|হিংস"")),""valence-target অমিল"",""""),IF(COUNTIF($B:$B,B5227)&gt;1,""ডুপ্লিকেট"",""""))"),"")</f>
        <v/>
      </c>
      <c r="Q5227" s="5" t="str">
        <f t="shared" si="1"/>
        <v>২ পরে</v>
      </c>
    </row>
    <row r="5228">
      <c r="A5228" s="4">
        <v>3078.0</v>
      </c>
      <c r="B5228" s="2" t="s">
        <v>21387</v>
      </c>
      <c r="C5228" s="2" t="s">
        <v>21388</v>
      </c>
      <c r="D5228" s="2" t="s">
        <v>21389</v>
      </c>
      <c r="E5228" s="2" t="s">
        <v>21390</v>
      </c>
      <c r="F5228" s="2" t="b">
        <v>1</v>
      </c>
      <c r="G5228" s="2" t="b">
        <v>0</v>
      </c>
      <c r="H5228" s="2" t="s">
        <v>37</v>
      </c>
      <c r="I5228" s="2" t="s">
        <v>49</v>
      </c>
      <c r="J5228" s="2" t="s">
        <v>3701</v>
      </c>
      <c r="K5228" s="2" t="s">
        <v>495</v>
      </c>
      <c r="L5228" s="13" t="s">
        <v>496</v>
      </c>
      <c r="M5228" s="2" t="s">
        <v>26</v>
      </c>
      <c r="N5228" s="29"/>
      <c r="O5228" s="29"/>
      <c r="P5228" s="5" t="str">
        <f>IFERROR(__xludf.DUMMYFUNCTION("TEXTJOIN("" | "",TRUE,IF(OR(D5228="""",E5228="""",I5228="""",J5228="""",H5228=""""),""ফাঁকা ঘর"",""""),IF(AND(C5228&lt;&gt;"""",D5228&lt;&gt;"""",C5228=D5228),""gloss=figurative"",""""),IF(LEN(D5228)&lt;15,""figurative ছোট"",""""),IF(AND(I5228=""Positive"",REGEXMATCH(H5"&amp;"228,""মূর্খ|ভণ্ড|প্রতার|অলস|লোভ|স্বার্থ|অক্ষম|অযোগ্য|বোকা|কৃপণ|হিংস"")),""valence-target অমিল"",""""),IF(COUNTIF($B:$B,B5228)&gt;1,""ডুপ্লিকেট"",""""))"),"")</f>
        <v/>
      </c>
      <c r="Q5228" s="5" t="str">
        <f t="shared" si="1"/>
        <v>২ পরে</v>
      </c>
    </row>
    <row r="5229">
      <c r="A5229" s="4">
        <v>3079.0</v>
      </c>
      <c r="B5229" s="2" t="s">
        <v>21391</v>
      </c>
      <c r="C5229" s="2" t="s">
        <v>21392</v>
      </c>
      <c r="D5229" s="2" t="s">
        <v>21393</v>
      </c>
      <c r="E5229" s="2" t="s">
        <v>21394</v>
      </c>
      <c r="F5229" s="2" t="b">
        <v>1</v>
      </c>
      <c r="G5229" s="2" t="b">
        <v>0</v>
      </c>
      <c r="H5229" s="2" t="s">
        <v>37</v>
      </c>
      <c r="I5229" s="2" t="s">
        <v>32</v>
      </c>
      <c r="J5229" s="2" t="s">
        <v>646</v>
      </c>
      <c r="K5229" s="2" t="s">
        <v>495</v>
      </c>
      <c r="L5229" s="13" t="s">
        <v>496</v>
      </c>
      <c r="M5229" s="2" t="s">
        <v>26</v>
      </c>
      <c r="N5229" s="29"/>
      <c r="O5229" s="29"/>
      <c r="P5229" s="5" t="str">
        <f>IFERROR(__xludf.DUMMYFUNCTION("TEXTJOIN("" | "",TRUE,IF(OR(D5229="""",E5229="""",I5229="""",J5229="""",H5229=""""),""ফাঁকা ঘর"",""""),IF(AND(C5229&lt;&gt;"""",D5229&lt;&gt;"""",C5229=D5229),""gloss=figurative"",""""),IF(LEN(D5229)&lt;15,""figurative ছোট"",""""),IF(AND(I5229=""Positive"",REGEXMATCH(H5"&amp;"229,""মূর্খ|ভণ্ড|প্রতার|অলস|লোভ|স্বার্থ|অক্ষম|অযোগ্য|বোকা|কৃপণ|হিংস"")),""valence-target অমিল"",""""),IF(COUNTIF($B:$B,B5229)&gt;1,""ডুপ্লিকেট"",""""))"),"")</f>
        <v/>
      </c>
      <c r="Q5229" s="5" t="str">
        <f t="shared" si="1"/>
        <v>২ পরে</v>
      </c>
    </row>
    <row r="5230">
      <c r="A5230" s="4">
        <v>3080.0</v>
      </c>
      <c r="B5230" s="2" t="s">
        <v>21395</v>
      </c>
      <c r="C5230" s="2" t="s">
        <v>21396</v>
      </c>
      <c r="D5230" s="2" t="s">
        <v>21397</v>
      </c>
      <c r="E5230" s="2" t="s">
        <v>21398</v>
      </c>
      <c r="F5230" s="2" t="b">
        <v>1</v>
      </c>
      <c r="G5230" s="2" t="b">
        <v>0</v>
      </c>
      <c r="H5230" s="2" t="s">
        <v>37</v>
      </c>
      <c r="I5230" s="2" t="s">
        <v>22</v>
      </c>
      <c r="J5230" s="2" t="s">
        <v>21399</v>
      </c>
      <c r="K5230" s="2" t="s">
        <v>495</v>
      </c>
      <c r="L5230" s="13" t="s">
        <v>496</v>
      </c>
      <c r="M5230" s="2" t="s">
        <v>26</v>
      </c>
      <c r="N5230" s="29"/>
      <c r="O5230" s="29"/>
      <c r="P5230" s="5" t="str">
        <f>IFERROR(__xludf.DUMMYFUNCTION("TEXTJOIN("" | "",TRUE,IF(OR(D5230="""",E5230="""",I5230="""",J5230="""",H5230=""""),""ফাঁকা ঘর"",""""),IF(AND(C5230&lt;&gt;"""",D5230&lt;&gt;"""",C5230=D5230),""gloss=figurative"",""""),IF(LEN(D5230)&lt;15,""figurative ছোট"",""""),IF(AND(I5230=""Positive"",REGEXMATCH(H5"&amp;"230,""মূর্খ|ভণ্ড|প্রতার|অলস|লোভ|স্বার্থ|অক্ষম|অযোগ্য|বোকা|কৃপণ|হিংস"")),""valence-target অমিল"",""""),IF(COUNTIF($B:$B,B5230)&gt;1,""ডুপ্লিকেট"",""""))"),"")</f>
        <v/>
      </c>
      <c r="Q5230" s="5" t="str">
        <f t="shared" si="1"/>
        <v>২ পরে</v>
      </c>
    </row>
    <row r="5231">
      <c r="A5231" s="4">
        <v>3081.0</v>
      </c>
      <c r="B5231" s="2" t="s">
        <v>21400</v>
      </c>
      <c r="C5231" s="2" t="s">
        <v>21401</v>
      </c>
      <c r="D5231" s="2" t="s">
        <v>21402</v>
      </c>
      <c r="E5231" s="2" t="s">
        <v>21403</v>
      </c>
      <c r="F5231" s="2" t="b">
        <v>1</v>
      </c>
      <c r="G5231" s="2" t="b">
        <v>0</v>
      </c>
      <c r="H5231" s="2" t="s">
        <v>37</v>
      </c>
      <c r="I5231" s="2" t="s">
        <v>22</v>
      </c>
      <c r="J5231" s="2" t="s">
        <v>6766</v>
      </c>
      <c r="K5231" s="2" t="s">
        <v>495</v>
      </c>
      <c r="L5231" s="13" t="s">
        <v>496</v>
      </c>
      <c r="M5231" s="2" t="s">
        <v>26</v>
      </c>
      <c r="N5231" s="29"/>
      <c r="O5231" s="29"/>
      <c r="P5231" s="5" t="str">
        <f>IFERROR(__xludf.DUMMYFUNCTION("TEXTJOIN("" | "",TRUE,IF(OR(D5231="""",E5231="""",I5231="""",J5231="""",H5231=""""),""ফাঁকা ঘর"",""""),IF(AND(C5231&lt;&gt;"""",D5231&lt;&gt;"""",C5231=D5231),""gloss=figurative"",""""),IF(LEN(D5231)&lt;15,""figurative ছোট"",""""),IF(AND(I5231=""Positive"",REGEXMATCH(H5"&amp;"231,""মূর্খ|ভণ্ড|প্রতার|অলস|লোভ|স্বার্থ|অক্ষম|অযোগ্য|বোকা|কৃপণ|হিংস"")),""valence-target অমিল"",""""),IF(COUNTIF($B:$B,B5231)&gt;1,""ডুপ্লিকেট"",""""))"),"")</f>
        <v/>
      </c>
      <c r="Q5231" s="5" t="str">
        <f t="shared" si="1"/>
        <v>২ পরে</v>
      </c>
    </row>
    <row r="5232">
      <c r="A5232" s="4">
        <v>3082.0</v>
      </c>
      <c r="B5232" s="2" t="s">
        <v>21404</v>
      </c>
      <c r="C5232" s="2" t="s">
        <v>21405</v>
      </c>
      <c r="D5232" s="2" t="s">
        <v>21406</v>
      </c>
      <c r="E5232" s="2" t="s">
        <v>21407</v>
      </c>
      <c r="F5232" s="2" t="b">
        <v>1</v>
      </c>
      <c r="G5232" s="2" t="b">
        <v>0</v>
      </c>
      <c r="H5232" s="2" t="s">
        <v>37</v>
      </c>
      <c r="I5232" s="2" t="s">
        <v>49</v>
      </c>
      <c r="J5232" s="2" t="s">
        <v>3506</v>
      </c>
      <c r="K5232" s="2" t="s">
        <v>495</v>
      </c>
      <c r="L5232" s="13" t="s">
        <v>496</v>
      </c>
      <c r="M5232" s="2" t="s">
        <v>26</v>
      </c>
      <c r="N5232" s="29"/>
      <c r="O5232" s="29"/>
      <c r="P5232" s="5" t="str">
        <f>IFERROR(__xludf.DUMMYFUNCTION("TEXTJOIN("" | "",TRUE,IF(OR(D5232="""",E5232="""",I5232="""",J5232="""",H5232=""""),""ফাঁকা ঘর"",""""),IF(AND(C5232&lt;&gt;"""",D5232&lt;&gt;"""",C5232=D5232),""gloss=figurative"",""""),IF(LEN(D5232)&lt;15,""figurative ছোট"",""""),IF(AND(I5232=""Positive"",REGEXMATCH(H5"&amp;"232,""মূর্খ|ভণ্ড|প্রতার|অলস|লোভ|স্বার্থ|অক্ষম|অযোগ্য|বোকা|কৃপণ|হিংস"")),""valence-target অমিল"",""""),IF(COUNTIF($B:$B,B5232)&gt;1,""ডুপ্লিকেট"",""""))"),"")</f>
        <v/>
      </c>
      <c r="Q5232" s="5" t="str">
        <f t="shared" si="1"/>
        <v>২ পরে</v>
      </c>
    </row>
    <row r="5233">
      <c r="A5233" s="4">
        <v>3083.0</v>
      </c>
      <c r="B5233" s="2" t="s">
        <v>21408</v>
      </c>
      <c r="C5233" s="2" t="s">
        <v>21409</v>
      </c>
      <c r="D5233" s="2" t="s">
        <v>21410</v>
      </c>
      <c r="E5233" s="2" t="s">
        <v>21411</v>
      </c>
      <c r="F5233" s="2" t="b">
        <v>1</v>
      </c>
      <c r="G5233" s="2" t="b">
        <v>0</v>
      </c>
      <c r="H5233" s="2" t="s">
        <v>37</v>
      </c>
      <c r="I5233" s="2" t="s">
        <v>32</v>
      </c>
      <c r="J5233" s="2" t="s">
        <v>669</v>
      </c>
      <c r="K5233" s="2" t="s">
        <v>495</v>
      </c>
      <c r="L5233" s="13" t="s">
        <v>496</v>
      </c>
      <c r="M5233" s="2" t="s">
        <v>26</v>
      </c>
      <c r="N5233" s="29"/>
      <c r="O5233" s="29"/>
      <c r="P5233" s="5" t="str">
        <f>IFERROR(__xludf.DUMMYFUNCTION("TEXTJOIN("" | "",TRUE,IF(OR(D5233="""",E5233="""",I5233="""",J5233="""",H5233=""""),""ফাঁকা ঘর"",""""),IF(AND(C5233&lt;&gt;"""",D5233&lt;&gt;"""",C5233=D5233),""gloss=figurative"",""""),IF(LEN(D5233)&lt;15,""figurative ছোট"",""""),IF(AND(I5233=""Positive"",REGEXMATCH(H5"&amp;"233,""মূর্খ|ভণ্ড|প্রতার|অলস|লোভ|স্বার্থ|অক্ষম|অযোগ্য|বোকা|কৃপণ|হিংস"")),""valence-target অমিল"",""""),IF(COUNTIF($B:$B,B5233)&gt;1,""ডুপ্লিকেট"",""""))"),"")</f>
        <v/>
      </c>
      <c r="Q5233" s="5" t="str">
        <f t="shared" si="1"/>
        <v>২ পরে</v>
      </c>
    </row>
    <row r="5234">
      <c r="A5234" s="4">
        <v>3084.0</v>
      </c>
      <c r="B5234" s="2" t="s">
        <v>21412</v>
      </c>
      <c r="C5234" s="2" t="s">
        <v>21413</v>
      </c>
      <c r="D5234" s="2" t="s">
        <v>21414</v>
      </c>
      <c r="E5234" s="2" t="s">
        <v>21415</v>
      </c>
      <c r="F5234" s="2" t="b">
        <v>1</v>
      </c>
      <c r="G5234" s="2" t="b">
        <v>0</v>
      </c>
      <c r="H5234" s="2" t="s">
        <v>37</v>
      </c>
      <c r="I5234" s="2" t="s">
        <v>22</v>
      </c>
      <c r="J5234" s="2" t="s">
        <v>990</v>
      </c>
      <c r="K5234" s="2" t="s">
        <v>495</v>
      </c>
      <c r="L5234" s="13" t="s">
        <v>496</v>
      </c>
      <c r="M5234" s="2" t="s">
        <v>26</v>
      </c>
      <c r="N5234" s="29"/>
      <c r="O5234" s="29"/>
      <c r="P5234" s="5" t="str">
        <f>IFERROR(__xludf.DUMMYFUNCTION("TEXTJOIN("" | "",TRUE,IF(OR(D5234="""",E5234="""",I5234="""",J5234="""",H5234=""""),""ফাঁকা ঘর"",""""),IF(AND(C5234&lt;&gt;"""",D5234&lt;&gt;"""",C5234=D5234),""gloss=figurative"",""""),IF(LEN(D5234)&lt;15,""figurative ছোট"",""""),IF(AND(I5234=""Positive"",REGEXMATCH(H5"&amp;"234,""মূর্খ|ভণ্ড|প্রতার|অলস|লোভ|স্বার্থ|অক্ষম|অযোগ্য|বোকা|কৃপণ|হিংস"")),""valence-target অমিল"",""""),IF(COUNTIF($B:$B,B5234)&gt;1,""ডুপ্লিকেট"",""""))"),"")</f>
        <v/>
      </c>
      <c r="Q5234" s="5" t="str">
        <f t="shared" si="1"/>
        <v>২ পরে</v>
      </c>
    </row>
    <row r="5235">
      <c r="A5235" s="4">
        <v>3085.0</v>
      </c>
      <c r="B5235" s="2" t="s">
        <v>21416</v>
      </c>
      <c r="C5235" s="2" t="s">
        <v>21417</v>
      </c>
      <c r="D5235" s="2" t="s">
        <v>21418</v>
      </c>
      <c r="E5235" s="2" t="s">
        <v>21419</v>
      </c>
      <c r="F5235" s="2" t="b">
        <v>1</v>
      </c>
      <c r="G5235" s="2" t="b">
        <v>0</v>
      </c>
      <c r="H5235" s="2" t="s">
        <v>37</v>
      </c>
      <c r="I5235" s="2" t="s">
        <v>22</v>
      </c>
      <c r="J5235" s="2" t="s">
        <v>21420</v>
      </c>
      <c r="K5235" s="2" t="s">
        <v>495</v>
      </c>
      <c r="L5235" s="13" t="s">
        <v>496</v>
      </c>
      <c r="M5235" s="2" t="s">
        <v>26</v>
      </c>
      <c r="N5235" s="29"/>
      <c r="O5235" s="29"/>
      <c r="P5235" s="5" t="str">
        <f>IFERROR(__xludf.DUMMYFUNCTION("TEXTJOIN("" | "",TRUE,IF(OR(D5235="""",E5235="""",I5235="""",J5235="""",H5235=""""),""ফাঁকা ঘর"",""""),IF(AND(C5235&lt;&gt;"""",D5235&lt;&gt;"""",C5235=D5235),""gloss=figurative"",""""),IF(LEN(D5235)&lt;15,""figurative ছোট"",""""),IF(AND(I5235=""Positive"",REGEXMATCH(H5"&amp;"235,""মূর্খ|ভণ্ড|প্রতার|অলস|লোভ|স্বার্থ|অক্ষম|অযোগ্য|বোকা|কৃপণ|হিংস"")),""valence-target অমিল"",""""),IF(COUNTIF($B:$B,B5235)&gt;1,""ডুপ্লিকেট"",""""))"),"")</f>
        <v/>
      </c>
      <c r="Q5235" s="5" t="str">
        <f t="shared" si="1"/>
        <v>২ পরে</v>
      </c>
    </row>
    <row r="5236">
      <c r="A5236" s="4">
        <v>3086.0</v>
      </c>
      <c r="B5236" s="2" t="s">
        <v>21421</v>
      </c>
      <c r="C5236" s="2" t="s">
        <v>21422</v>
      </c>
      <c r="D5236" s="2" t="s">
        <v>21423</v>
      </c>
      <c r="E5236" s="2" t="s">
        <v>21424</v>
      </c>
      <c r="F5236" s="2" t="b">
        <v>1</v>
      </c>
      <c r="G5236" s="2" t="b">
        <v>0</v>
      </c>
      <c r="H5236" s="2" t="s">
        <v>37</v>
      </c>
      <c r="I5236" s="2" t="s">
        <v>22</v>
      </c>
      <c r="J5236" s="2" t="s">
        <v>1561</v>
      </c>
      <c r="K5236" s="2" t="s">
        <v>495</v>
      </c>
      <c r="L5236" s="13" t="s">
        <v>496</v>
      </c>
      <c r="M5236" s="2" t="s">
        <v>26</v>
      </c>
      <c r="N5236" s="29"/>
      <c r="O5236" s="29"/>
      <c r="P5236" s="5" t="str">
        <f>IFERROR(__xludf.DUMMYFUNCTION("TEXTJOIN("" | "",TRUE,IF(OR(D5236="""",E5236="""",I5236="""",J5236="""",H5236=""""),""ফাঁকা ঘর"",""""),IF(AND(C5236&lt;&gt;"""",D5236&lt;&gt;"""",C5236=D5236),""gloss=figurative"",""""),IF(LEN(D5236)&lt;15,""figurative ছোট"",""""),IF(AND(I5236=""Positive"",REGEXMATCH(H5"&amp;"236,""মূর্খ|ভণ্ড|প্রতার|অলস|লোভ|স্বার্থ|অক্ষম|অযোগ্য|বোকা|কৃপণ|হিংস"")),""valence-target অমিল"",""""),IF(COUNTIF($B:$B,B5236)&gt;1,""ডুপ্লিকেট"",""""))"),"")</f>
        <v/>
      </c>
      <c r="Q5236" s="5" t="str">
        <f t="shared" si="1"/>
        <v>২ পরে</v>
      </c>
    </row>
    <row r="5237">
      <c r="A5237" s="4">
        <v>3087.0</v>
      </c>
      <c r="B5237" s="2" t="s">
        <v>21425</v>
      </c>
      <c r="C5237" s="2" t="s">
        <v>21426</v>
      </c>
      <c r="D5237" s="2" t="s">
        <v>21427</v>
      </c>
      <c r="E5237" s="2" t="s">
        <v>21428</v>
      </c>
      <c r="F5237" s="2" t="b">
        <v>1</v>
      </c>
      <c r="G5237" s="2" t="b">
        <v>0</v>
      </c>
      <c r="H5237" s="2" t="s">
        <v>37</v>
      </c>
      <c r="I5237" s="2" t="s">
        <v>32</v>
      </c>
      <c r="J5237" s="2" t="s">
        <v>1784</v>
      </c>
      <c r="K5237" s="2" t="s">
        <v>495</v>
      </c>
      <c r="L5237" s="13" t="s">
        <v>496</v>
      </c>
      <c r="M5237" s="2" t="s">
        <v>26</v>
      </c>
      <c r="N5237" s="29"/>
      <c r="O5237" s="29"/>
      <c r="P5237" s="5" t="str">
        <f>IFERROR(__xludf.DUMMYFUNCTION("TEXTJOIN("" | "",TRUE,IF(OR(D5237="""",E5237="""",I5237="""",J5237="""",H5237=""""),""ফাঁকা ঘর"",""""),IF(AND(C5237&lt;&gt;"""",D5237&lt;&gt;"""",C5237=D5237),""gloss=figurative"",""""),IF(LEN(D5237)&lt;15,""figurative ছোট"",""""),IF(AND(I5237=""Positive"",REGEXMATCH(H5"&amp;"237,""মূর্খ|ভণ্ড|প্রতার|অলস|লোভ|স্বার্থ|অক্ষম|অযোগ্য|বোকা|কৃপণ|হিংস"")),""valence-target অমিল"",""""),IF(COUNTIF($B:$B,B5237)&gt;1,""ডুপ্লিকেট"",""""))"),"")</f>
        <v/>
      </c>
      <c r="Q5237" s="5" t="str">
        <f t="shared" si="1"/>
        <v>২ পরে</v>
      </c>
    </row>
    <row r="5238">
      <c r="A5238" s="4">
        <v>3088.0</v>
      </c>
      <c r="B5238" s="2" t="s">
        <v>21429</v>
      </c>
      <c r="C5238" s="2" t="s">
        <v>21430</v>
      </c>
      <c r="D5238" s="2" t="s">
        <v>21431</v>
      </c>
      <c r="E5238" s="2" t="s">
        <v>21432</v>
      </c>
      <c r="F5238" s="2" t="b">
        <v>1</v>
      </c>
      <c r="G5238" s="2" t="b">
        <v>0</v>
      </c>
      <c r="H5238" s="2" t="s">
        <v>37</v>
      </c>
      <c r="I5238" s="2" t="s">
        <v>32</v>
      </c>
      <c r="J5238" s="2" t="s">
        <v>5524</v>
      </c>
      <c r="K5238" s="2" t="s">
        <v>495</v>
      </c>
      <c r="L5238" s="13" t="s">
        <v>496</v>
      </c>
      <c r="M5238" s="2" t="s">
        <v>26</v>
      </c>
      <c r="N5238" s="29"/>
      <c r="O5238" s="29"/>
      <c r="P5238" s="5" t="str">
        <f>IFERROR(__xludf.DUMMYFUNCTION("TEXTJOIN("" | "",TRUE,IF(OR(D5238="""",E5238="""",I5238="""",J5238="""",H5238=""""),""ফাঁকা ঘর"",""""),IF(AND(C5238&lt;&gt;"""",D5238&lt;&gt;"""",C5238=D5238),""gloss=figurative"",""""),IF(LEN(D5238)&lt;15,""figurative ছোট"",""""),IF(AND(I5238=""Positive"",REGEXMATCH(H5"&amp;"238,""মূর্খ|ভণ্ড|প্রতার|অলস|লোভ|স্বার্থ|অক্ষম|অযোগ্য|বোকা|কৃপণ|হিংস"")),""valence-target অমিল"",""""),IF(COUNTIF($B:$B,B5238)&gt;1,""ডুপ্লিকেট"",""""))"),"")</f>
        <v/>
      </c>
      <c r="Q5238" s="5" t="str">
        <f t="shared" si="1"/>
        <v>২ পরে</v>
      </c>
    </row>
    <row r="5239">
      <c r="A5239" s="4">
        <v>3089.0</v>
      </c>
      <c r="B5239" s="2" t="s">
        <v>21433</v>
      </c>
      <c r="C5239" s="2" t="s">
        <v>21434</v>
      </c>
      <c r="D5239" s="2" t="s">
        <v>21435</v>
      </c>
      <c r="E5239" s="2" t="s">
        <v>21436</v>
      </c>
      <c r="F5239" s="2" t="b">
        <v>1</v>
      </c>
      <c r="G5239" s="2" t="b">
        <v>0</v>
      </c>
      <c r="H5239" s="2" t="s">
        <v>37</v>
      </c>
      <c r="I5239" s="2" t="s">
        <v>32</v>
      </c>
      <c r="J5239" s="2" t="s">
        <v>21437</v>
      </c>
      <c r="K5239" s="2" t="s">
        <v>495</v>
      </c>
      <c r="L5239" s="13" t="s">
        <v>496</v>
      </c>
      <c r="M5239" s="2" t="s">
        <v>26</v>
      </c>
      <c r="N5239" s="29"/>
      <c r="O5239" s="29"/>
      <c r="P5239" s="5" t="str">
        <f>IFERROR(__xludf.DUMMYFUNCTION("TEXTJOIN("" | "",TRUE,IF(OR(D5239="""",E5239="""",I5239="""",J5239="""",H5239=""""),""ফাঁকা ঘর"",""""),IF(AND(C5239&lt;&gt;"""",D5239&lt;&gt;"""",C5239=D5239),""gloss=figurative"",""""),IF(LEN(D5239)&lt;15,""figurative ছোট"",""""),IF(AND(I5239=""Positive"",REGEXMATCH(H5"&amp;"239,""মূর্খ|ভণ্ড|প্রতার|অলস|লোভ|স্বার্থ|অক্ষম|অযোগ্য|বোকা|কৃপণ|হিংস"")),""valence-target অমিল"",""""),IF(COUNTIF($B:$B,B5239)&gt;1,""ডুপ্লিকেট"",""""))"),"")</f>
        <v/>
      </c>
      <c r="Q5239" s="5" t="str">
        <f t="shared" si="1"/>
        <v>২ পরে</v>
      </c>
    </row>
    <row r="5240">
      <c r="A5240" s="4">
        <v>3090.0</v>
      </c>
      <c r="B5240" s="2" t="s">
        <v>21438</v>
      </c>
      <c r="C5240" s="2" t="s">
        <v>21439</v>
      </c>
      <c r="D5240" s="2" t="s">
        <v>21440</v>
      </c>
      <c r="E5240" s="2" t="s">
        <v>21441</v>
      </c>
      <c r="F5240" s="2" t="b">
        <v>1</v>
      </c>
      <c r="G5240" s="2" t="b">
        <v>0</v>
      </c>
      <c r="H5240" s="2" t="s">
        <v>37</v>
      </c>
      <c r="I5240" s="2" t="s">
        <v>22</v>
      </c>
      <c r="J5240" s="2" t="s">
        <v>1630</v>
      </c>
      <c r="K5240" s="2" t="s">
        <v>495</v>
      </c>
      <c r="L5240" s="13" t="s">
        <v>496</v>
      </c>
      <c r="M5240" s="2" t="s">
        <v>26</v>
      </c>
      <c r="N5240" s="29"/>
      <c r="O5240" s="29"/>
      <c r="P5240" s="5" t="str">
        <f>IFERROR(__xludf.DUMMYFUNCTION("TEXTJOIN("" | "",TRUE,IF(OR(D5240="""",E5240="""",I5240="""",J5240="""",H5240=""""),""ফাঁকা ঘর"",""""),IF(AND(C5240&lt;&gt;"""",D5240&lt;&gt;"""",C5240=D5240),""gloss=figurative"",""""),IF(LEN(D5240)&lt;15,""figurative ছোট"",""""),IF(AND(I5240=""Positive"",REGEXMATCH(H5"&amp;"240,""মূর্খ|ভণ্ড|প্রতার|অলস|লোভ|স্বার্থ|অক্ষম|অযোগ্য|বোকা|কৃপণ|হিংস"")),""valence-target অমিল"",""""),IF(COUNTIF($B:$B,B5240)&gt;1,""ডুপ্লিকেট"",""""))"),"")</f>
        <v/>
      </c>
      <c r="Q5240" s="5" t="str">
        <f t="shared" si="1"/>
        <v>২ পরে</v>
      </c>
    </row>
    <row r="5241">
      <c r="A5241" s="4">
        <v>3091.0</v>
      </c>
      <c r="B5241" s="2" t="s">
        <v>21442</v>
      </c>
      <c r="C5241" s="2" t="s">
        <v>21443</v>
      </c>
      <c r="D5241" s="2" t="s">
        <v>21444</v>
      </c>
      <c r="E5241" s="2" t="s">
        <v>21445</v>
      </c>
      <c r="F5241" s="2" t="b">
        <v>1</v>
      </c>
      <c r="G5241" s="2" t="b">
        <v>0</v>
      </c>
      <c r="H5241" s="2" t="s">
        <v>37</v>
      </c>
      <c r="I5241" s="2" t="s">
        <v>22</v>
      </c>
      <c r="J5241" s="2" t="s">
        <v>820</v>
      </c>
      <c r="K5241" s="2" t="s">
        <v>495</v>
      </c>
      <c r="L5241" s="13" t="s">
        <v>496</v>
      </c>
      <c r="M5241" s="2" t="s">
        <v>26</v>
      </c>
      <c r="N5241" s="29"/>
      <c r="O5241" s="29"/>
      <c r="P5241" s="5" t="str">
        <f>IFERROR(__xludf.DUMMYFUNCTION("TEXTJOIN("" | "",TRUE,IF(OR(D5241="""",E5241="""",I5241="""",J5241="""",H5241=""""),""ফাঁকা ঘর"",""""),IF(AND(C5241&lt;&gt;"""",D5241&lt;&gt;"""",C5241=D5241),""gloss=figurative"",""""),IF(LEN(D5241)&lt;15,""figurative ছোট"",""""),IF(AND(I5241=""Positive"",REGEXMATCH(H5"&amp;"241,""মূর্খ|ভণ্ড|প্রতার|অলস|লোভ|স্বার্থ|অক্ষম|অযোগ্য|বোকা|কৃপণ|হিংস"")),""valence-target অমিল"",""""),IF(COUNTIF($B:$B,B5241)&gt;1,""ডুপ্লিকেট"",""""))"),"")</f>
        <v/>
      </c>
      <c r="Q5241" s="5" t="str">
        <f t="shared" si="1"/>
        <v>২ পরে</v>
      </c>
    </row>
    <row r="5242">
      <c r="A5242" s="4">
        <v>3092.0</v>
      </c>
      <c r="B5242" s="2" t="s">
        <v>21446</v>
      </c>
      <c r="C5242" s="2" t="s">
        <v>21447</v>
      </c>
      <c r="D5242" s="2" t="s">
        <v>21448</v>
      </c>
      <c r="E5242" s="2" t="s">
        <v>21449</v>
      </c>
      <c r="F5242" s="2" t="b">
        <v>1</v>
      </c>
      <c r="G5242" s="2" t="b">
        <v>0</v>
      </c>
      <c r="H5242" s="2" t="s">
        <v>37</v>
      </c>
      <c r="I5242" s="2" t="s">
        <v>22</v>
      </c>
      <c r="J5242" s="2" t="s">
        <v>2255</v>
      </c>
      <c r="K5242" s="2" t="s">
        <v>495</v>
      </c>
      <c r="L5242" s="13" t="s">
        <v>496</v>
      </c>
      <c r="M5242" s="2" t="s">
        <v>26</v>
      </c>
      <c r="N5242" s="29"/>
      <c r="O5242" s="29"/>
      <c r="P5242" s="5" t="str">
        <f>IFERROR(__xludf.DUMMYFUNCTION("TEXTJOIN("" | "",TRUE,IF(OR(D5242="""",E5242="""",I5242="""",J5242="""",H5242=""""),""ফাঁকা ঘর"",""""),IF(AND(C5242&lt;&gt;"""",D5242&lt;&gt;"""",C5242=D5242),""gloss=figurative"",""""),IF(LEN(D5242)&lt;15,""figurative ছোট"",""""),IF(AND(I5242=""Positive"",REGEXMATCH(H5"&amp;"242,""মূর্খ|ভণ্ড|প্রতার|অলস|লোভ|স্বার্থ|অক্ষম|অযোগ্য|বোকা|কৃপণ|হিংস"")),""valence-target অমিল"",""""),IF(COUNTIF($B:$B,B5242)&gt;1,""ডুপ্লিকেট"",""""))"),"")</f>
        <v/>
      </c>
      <c r="Q5242" s="5" t="str">
        <f t="shared" si="1"/>
        <v>২ পরে</v>
      </c>
    </row>
    <row r="5243">
      <c r="A5243" s="4">
        <v>3093.0</v>
      </c>
      <c r="B5243" s="2" t="s">
        <v>21450</v>
      </c>
      <c r="C5243" s="2" t="s">
        <v>21451</v>
      </c>
      <c r="D5243" s="2" t="s">
        <v>21452</v>
      </c>
      <c r="E5243" s="2" t="s">
        <v>21453</v>
      </c>
      <c r="F5243" s="2" t="b">
        <v>1</v>
      </c>
      <c r="G5243" s="2" t="b">
        <v>0</v>
      </c>
      <c r="H5243" s="2" t="s">
        <v>37</v>
      </c>
      <c r="I5243" s="2" t="s">
        <v>32</v>
      </c>
      <c r="J5243" s="2" t="s">
        <v>646</v>
      </c>
      <c r="K5243" s="2" t="s">
        <v>495</v>
      </c>
      <c r="L5243" s="13" t="s">
        <v>496</v>
      </c>
      <c r="M5243" s="2" t="s">
        <v>26</v>
      </c>
      <c r="N5243" s="29"/>
      <c r="O5243" s="29"/>
      <c r="P5243" s="5" t="str">
        <f>IFERROR(__xludf.DUMMYFUNCTION("TEXTJOIN("" | "",TRUE,IF(OR(D5243="""",E5243="""",I5243="""",J5243="""",H5243=""""),""ফাঁকা ঘর"",""""),IF(AND(C5243&lt;&gt;"""",D5243&lt;&gt;"""",C5243=D5243),""gloss=figurative"",""""),IF(LEN(D5243)&lt;15,""figurative ছোট"",""""),IF(AND(I5243=""Positive"",REGEXMATCH(H5"&amp;"243,""মূর্খ|ভণ্ড|প্রতার|অলস|লোভ|স্বার্থ|অক্ষম|অযোগ্য|বোকা|কৃপণ|হিংস"")),""valence-target অমিল"",""""),IF(COUNTIF($B:$B,B5243)&gt;1,""ডুপ্লিকেট"",""""))"),"")</f>
        <v/>
      </c>
      <c r="Q5243" s="5" t="str">
        <f t="shared" si="1"/>
        <v>২ পরে</v>
      </c>
    </row>
    <row r="5244">
      <c r="A5244" s="4">
        <v>3095.0</v>
      </c>
      <c r="B5244" s="2" t="s">
        <v>21454</v>
      </c>
      <c r="C5244" s="2" t="s">
        <v>21455</v>
      </c>
      <c r="D5244" s="2" t="s">
        <v>21456</v>
      </c>
      <c r="E5244" s="2" t="s">
        <v>21457</v>
      </c>
      <c r="F5244" s="2" t="b">
        <v>1</v>
      </c>
      <c r="G5244" s="2" t="b">
        <v>0</v>
      </c>
      <c r="H5244" s="2" t="s">
        <v>37</v>
      </c>
      <c r="I5244" s="2" t="s">
        <v>49</v>
      </c>
      <c r="J5244" s="2" t="s">
        <v>21458</v>
      </c>
      <c r="K5244" s="2" t="s">
        <v>495</v>
      </c>
      <c r="L5244" s="13" t="s">
        <v>496</v>
      </c>
      <c r="M5244" s="2" t="s">
        <v>26</v>
      </c>
      <c r="N5244" s="29"/>
      <c r="O5244" s="29"/>
      <c r="P5244" s="5" t="str">
        <f>IFERROR(__xludf.DUMMYFUNCTION("TEXTJOIN("" | "",TRUE,IF(OR(D5244="""",E5244="""",I5244="""",J5244="""",H5244=""""),""ফাঁকা ঘর"",""""),IF(AND(C5244&lt;&gt;"""",D5244&lt;&gt;"""",C5244=D5244),""gloss=figurative"",""""),IF(LEN(D5244)&lt;15,""figurative ছোট"",""""),IF(AND(I5244=""Positive"",REGEXMATCH(H5"&amp;"244,""মূর্খ|ভণ্ড|প্রতার|অলস|লোভ|স্বার্থ|অক্ষম|অযোগ্য|বোকা|কৃপণ|হিংস"")),""valence-target অমিল"",""""),IF(COUNTIF($B:$B,B5244)&gt;1,""ডুপ্লিকেট"",""""))"),"")</f>
        <v/>
      </c>
      <c r="Q5244" s="5" t="str">
        <f t="shared" si="1"/>
        <v>২ পরে</v>
      </c>
    </row>
    <row r="5245">
      <c r="A5245" s="4">
        <v>3096.0</v>
      </c>
      <c r="B5245" s="2" t="s">
        <v>21459</v>
      </c>
      <c r="C5245" s="2" t="s">
        <v>21460</v>
      </c>
      <c r="D5245" s="2" t="s">
        <v>21461</v>
      </c>
      <c r="E5245" s="2" t="s">
        <v>21462</v>
      </c>
      <c r="F5245" s="2" t="b">
        <v>1</v>
      </c>
      <c r="G5245" s="2" t="b">
        <v>0</v>
      </c>
      <c r="H5245" s="2" t="s">
        <v>37</v>
      </c>
      <c r="I5245" s="2" t="s">
        <v>32</v>
      </c>
      <c r="J5245" s="2" t="s">
        <v>646</v>
      </c>
      <c r="K5245" s="2" t="s">
        <v>495</v>
      </c>
      <c r="L5245" s="13" t="s">
        <v>496</v>
      </c>
      <c r="M5245" s="2" t="s">
        <v>26</v>
      </c>
      <c r="N5245" s="29"/>
      <c r="O5245" s="29"/>
      <c r="P5245" s="5" t="str">
        <f>IFERROR(__xludf.DUMMYFUNCTION("TEXTJOIN("" | "",TRUE,IF(OR(D5245="""",E5245="""",I5245="""",J5245="""",H5245=""""),""ফাঁকা ঘর"",""""),IF(AND(C5245&lt;&gt;"""",D5245&lt;&gt;"""",C5245=D5245),""gloss=figurative"",""""),IF(LEN(D5245)&lt;15,""figurative ছোট"",""""),IF(AND(I5245=""Positive"",REGEXMATCH(H5"&amp;"245,""মূর্খ|ভণ্ড|প্রতার|অলস|লোভ|স্বার্থ|অক্ষম|অযোগ্য|বোকা|কৃপণ|হিংস"")),""valence-target অমিল"",""""),IF(COUNTIF($B:$B,B5245)&gt;1,""ডুপ্লিকেট"",""""))"),"")</f>
        <v/>
      </c>
      <c r="Q5245" s="5" t="str">
        <f t="shared" si="1"/>
        <v>২ পরে</v>
      </c>
    </row>
    <row r="5246">
      <c r="A5246" s="4">
        <v>3097.0</v>
      </c>
      <c r="B5246" s="2" t="s">
        <v>21463</v>
      </c>
      <c r="C5246" s="2" t="s">
        <v>7599</v>
      </c>
      <c r="D5246" s="2" t="s">
        <v>21464</v>
      </c>
      <c r="E5246" s="2" t="s">
        <v>21465</v>
      </c>
      <c r="F5246" s="2" t="b">
        <v>1</v>
      </c>
      <c r="G5246" s="2" t="b">
        <v>0</v>
      </c>
      <c r="H5246" s="2" t="s">
        <v>37</v>
      </c>
      <c r="I5246" s="2" t="s">
        <v>49</v>
      </c>
      <c r="J5246" s="2" t="s">
        <v>762</v>
      </c>
      <c r="K5246" s="2" t="s">
        <v>495</v>
      </c>
      <c r="L5246" s="13" t="s">
        <v>496</v>
      </c>
      <c r="M5246" s="2" t="s">
        <v>26</v>
      </c>
      <c r="N5246" s="29"/>
      <c r="O5246" s="29"/>
      <c r="P5246" s="5" t="str">
        <f>IFERROR(__xludf.DUMMYFUNCTION("TEXTJOIN("" | "",TRUE,IF(OR(D5246="""",E5246="""",I5246="""",J5246="""",H5246=""""),""ফাঁকা ঘর"",""""),IF(AND(C5246&lt;&gt;"""",D5246&lt;&gt;"""",C5246=D5246),""gloss=figurative"",""""),IF(LEN(D5246)&lt;15,""figurative ছোট"",""""),IF(AND(I5246=""Positive"",REGEXMATCH(H5"&amp;"246,""মূর্খ|ভণ্ড|প্রতার|অলস|লোভ|স্বার্থ|অক্ষম|অযোগ্য|বোকা|কৃপণ|হিংস"")),""valence-target অমিল"",""""),IF(COUNTIF($B:$B,B5246)&gt;1,""ডুপ্লিকেট"",""""))"),"")</f>
        <v/>
      </c>
      <c r="Q5246" s="5" t="str">
        <f t="shared" si="1"/>
        <v>২ পরে</v>
      </c>
    </row>
    <row r="5247">
      <c r="A5247" s="4">
        <v>3098.0</v>
      </c>
      <c r="B5247" s="2" t="s">
        <v>21466</v>
      </c>
      <c r="C5247" s="2" t="s">
        <v>21467</v>
      </c>
      <c r="D5247" s="2" t="s">
        <v>21468</v>
      </c>
      <c r="E5247" s="2" t="s">
        <v>21469</v>
      </c>
      <c r="F5247" s="2" t="b">
        <v>1</v>
      </c>
      <c r="G5247" s="2" t="b">
        <v>0</v>
      </c>
      <c r="H5247" s="2" t="s">
        <v>37</v>
      </c>
      <c r="I5247" s="2" t="s">
        <v>22</v>
      </c>
      <c r="J5247" s="2" t="s">
        <v>669</v>
      </c>
      <c r="K5247" s="2" t="s">
        <v>495</v>
      </c>
      <c r="L5247" s="13" t="s">
        <v>496</v>
      </c>
      <c r="M5247" s="2" t="s">
        <v>26</v>
      </c>
      <c r="N5247" s="29"/>
      <c r="O5247" s="29"/>
      <c r="P5247" s="5" t="str">
        <f>IFERROR(__xludf.DUMMYFUNCTION("TEXTJOIN("" | "",TRUE,IF(OR(D5247="""",E5247="""",I5247="""",J5247="""",H5247=""""),""ফাঁকা ঘর"",""""),IF(AND(C5247&lt;&gt;"""",D5247&lt;&gt;"""",C5247=D5247),""gloss=figurative"",""""),IF(LEN(D5247)&lt;15,""figurative ছোট"",""""),IF(AND(I5247=""Positive"",REGEXMATCH(H5"&amp;"247,""মূর্খ|ভণ্ড|প্রতার|অলস|লোভ|স্বার্থ|অক্ষম|অযোগ্য|বোকা|কৃপণ|হিংস"")),""valence-target অমিল"",""""),IF(COUNTIF($B:$B,B5247)&gt;1,""ডুপ্লিকেট"",""""))"),"")</f>
        <v/>
      </c>
      <c r="Q5247" s="5" t="str">
        <f t="shared" si="1"/>
        <v>২ পরে</v>
      </c>
    </row>
    <row r="5248">
      <c r="A5248" s="4">
        <v>3099.0</v>
      </c>
      <c r="B5248" s="2" t="s">
        <v>21470</v>
      </c>
      <c r="C5248" s="2" t="s">
        <v>21471</v>
      </c>
      <c r="D5248" s="2" t="s">
        <v>21472</v>
      </c>
      <c r="E5248" s="2" t="s">
        <v>21473</v>
      </c>
      <c r="F5248" s="2" t="b">
        <v>1</v>
      </c>
      <c r="G5248" s="2" t="b">
        <v>0</v>
      </c>
      <c r="H5248" s="2" t="s">
        <v>37</v>
      </c>
      <c r="I5248" s="2" t="s">
        <v>22</v>
      </c>
      <c r="J5248" s="2" t="s">
        <v>2140</v>
      </c>
      <c r="K5248" s="2" t="s">
        <v>495</v>
      </c>
      <c r="L5248" s="13" t="s">
        <v>496</v>
      </c>
      <c r="M5248" s="2" t="s">
        <v>26</v>
      </c>
      <c r="N5248" s="29"/>
      <c r="O5248" s="29"/>
      <c r="P5248" s="5" t="str">
        <f>IFERROR(__xludf.DUMMYFUNCTION("TEXTJOIN("" | "",TRUE,IF(OR(D5248="""",E5248="""",I5248="""",J5248="""",H5248=""""),""ফাঁকা ঘর"",""""),IF(AND(C5248&lt;&gt;"""",D5248&lt;&gt;"""",C5248=D5248),""gloss=figurative"",""""),IF(LEN(D5248)&lt;15,""figurative ছোট"",""""),IF(AND(I5248=""Positive"",REGEXMATCH(H5"&amp;"248,""মূর্খ|ভণ্ড|প্রতার|অলস|লোভ|স্বার্থ|অক্ষম|অযোগ্য|বোকা|কৃপণ|হিংস"")),""valence-target অমিল"",""""),IF(COUNTIF($B:$B,B5248)&gt;1,""ডুপ্লিকেট"",""""))"),"")</f>
        <v/>
      </c>
      <c r="Q5248" s="5" t="str">
        <f t="shared" si="1"/>
        <v>২ পরে</v>
      </c>
    </row>
    <row r="5249">
      <c r="A5249" s="4">
        <v>3100.0</v>
      </c>
      <c r="B5249" s="2" t="s">
        <v>21474</v>
      </c>
      <c r="C5249" s="2" t="s">
        <v>21475</v>
      </c>
      <c r="D5249" s="2" t="s">
        <v>21476</v>
      </c>
      <c r="E5249" s="2" t="s">
        <v>21477</v>
      </c>
      <c r="F5249" s="2" t="b">
        <v>1</v>
      </c>
      <c r="G5249" s="2" t="b">
        <v>0</v>
      </c>
      <c r="H5249" s="2" t="s">
        <v>37</v>
      </c>
      <c r="I5249" s="2" t="s">
        <v>49</v>
      </c>
      <c r="J5249" s="2" t="s">
        <v>1454</v>
      </c>
      <c r="K5249" s="2" t="s">
        <v>495</v>
      </c>
      <c r="L5249" s="13" t="s">
        <v>496</v>
      </c>
      <c r="M5249" s="2" t="s">
        <v>26</v>
      </c>
      <c r="N5249" s="29"/>
      <c r="O5249" s="29"/>
      <c r="P5249" s="5" t="str">
        <f>IFERROR(__xludf.DUMMYFUNCTION("TEXTJOIN("" | "",TRUE,IF(OR(D5249="""",E5249="""",I5249="""",J5249="""",H5249=""""),""ফাঁকা ঘর"",""""),IF(AND(C5249&lt;&gt;"""",D5249&lt;&gt;"""",C5249=D5249),""gloss=figurative"",""""),IF(LEN(D5249)&lt;15,""figurative ছোট"",""""),IF(AND(I5249=""Positive"",REGEXMATCH(H5"&amp;"249,""মূর্খ|ভণ্ড|প্রতার|অলস|লোভ|স্বার্থ|অক্ষম|অযোগ্য|বোকা|কৃপণ|হিংস"")),""valence-target অমিল"",""""),IF(COUNTIF($B:$B,B5249)&gt;1,""ডুপ্লিকেট"",""""))"),"")</f>
        <v/>
      </c>
      <c r="Q5249" s="5" t="str">
        <f t="shared" si="1"/>
        <v>২ পরে</v>
      </c>
    </row>
    <row r="5250">
      <c r="A5250" s="4">
        <v>3101.0</v>
      </c>
      <c r="B5250" s="2" t="s">
        <v>21478</v>
      </c>
      <c r="C5250" s="2" t="s">
        <v>21479</v>
      </c>
      <c r="D5250" s="2" t="s">
        <v>21480</v>
      </c>
      <c r="E5250" s="2" t="s">
        <v>21481</v>
      </c>
      <c r="F5250" s="2" t="b">
        <v>1</v>
      </c>
      <c r="G5250" s="2" t="b">
        <v>0</v>
      </c>
      <c r="H5250" s="2" t="s">
        <v>37</v>
      </c>
      <c r="I5250" s="2" t="s">
        <v>22</v>
      </c>
      <c r="J5250" s="2" t="s">
        <v>21482</v>
      </c>
      <c r="K5250" s="2" t="s">
        <v>495</v>
      </c>
      <c r="L5250" s="13" t="s">
        <v>496</v>
      </c>
      <c r="M5250" s="2" t="s">
        <v>26</v>
      </c>
      <c r="N5250" s="29"/>
      <c r="O5250" s="29"/>
      <c r="P5250" s="5" t="str">
        <f>IFERROR(__xludf.DUMMYFUNCTION("TEXTJOIN("" | "",TRUE,IF(OR(D5250="""",E5250="""",I5250="""",J5250="""",H5250=""""),""ফাঁকা ঘর"",""""),IF(AND(C5250&lt;&gt;"""",D5250&lt;&gt;"""",C5250=D5250),""gloss=figurative"",""""),IF(LEN(D5250)&lt;15,""figurative ছোট"",""""),IF(AND(I5250=""Positive"",REGEXMATCH(H5"&amp;"250,""মূর্খ|ভণ্ড|প্রতার|অলস|লোভ|স্বার্থ|অক্ষম|অযোগ্য|বোকা|কৃপণ|হিংস"")),""valence-target অমিল"",""""),IF(COUNTIF($B:$B,B5250)&gt;1,""ডুপ্লিকেট"",""""))"),"")</f>
        <v/>
      </c>
      <c r="Q5250" s="5" t="str">
        <f t="shared" si="1"/>
        <v>২ পরে</v>
      </c>
    </row>
    <row r="5251">
      <c r="A5251" s="4">
        <v>3102.0</v>
      </c>
      <c r="B5251" s="2" t="s">
        <v>21483</v>
      </c>
      <c r="C5251" s="2" t="s">
        <v>21484</v>
      </c>
      <c r="D5251" s="2" t="s">
        <v>21485</v>
      </c>
      <c r="E5251" s="2" t="s">
        <v>21486</v>
      </c>
      <c r="F5251" s="2" t="b">
        <v>1</v>
      </c>
      <c r="G5251" s="2" t="b">
        <v>1</v>
      </c>
      <c r="H5251" s="2" t="s">
        <v>1174</v>
      </c>
      <c r="I5251" s="2" t="s">
        <v>22</v>
      </c>
      <c r="J5251" s="2" t="s">
        <v>15507</v>
      </c>
      <c r="K5251" s="2" t="s">
        <v>495</v>
      </c>
      <c r="L5251" s="13" t="s">
        <v>496</v>
      </c>
      <c r="M5251" s="2" t="s">
        <v>26</v>
      </c>
      <c r="N5251" s="29"/>
      <c r="O5251" s="29"/>
      <c r="P5251" s="5" t="str">
        <f>IFERROR(__xludf.DUMMYFUNCTION("TEXTJOIN("" | "",TRUE,IF(OR(D5251="""",E5251="""",I5251="""",J5251="""",H5251=""""),""ফাঁকা ঘর"",""""),IF(AND(C5251&lt;&gt;"""",D5251&lt;&gt;"""",C5251=D5251),""gloss=figurative"",""""),IF(LEN(D5251)&lt;15,""figurative ছোট"",""""),IF(AND(I5251=""Positive"",REGEXMATCH(H5"&amp;"251,""মূর্খ|ভণ্ড|প্রতার|অলস|লোভ|স্বার্থ|অক্ষম|অযোগ্য|বোকা|কৃপণ|হিংস"")),""valence-target অমিল"",""""),IF(COUNTIF($B:$B,B5251)&gt;1,""ডুপ্লিকেট"",""""))"),"")</f>
        <v/>
      </c>
      <c r="Q5251" s="5" t="str">
        <f t="shared" si="1"/>
        <v>২ পরে</v>
      </c>
    </row>
    <row r="5252">
      <c r="A5252" s="4">
        <v>3103.0</v>
      </c>
      <c r="B5252" s="2" t="s">
        <v>21487</v>
      </c>
      <c r="C5252" s="2" t="s">
        <v>21488</v>
      </c>
      <c r="D5252" s="2" t="s">
        <v>21489</v>
      </c>
      <c r="E5252" s="2" t="s">
        <v>21490</v>
      </c>
      <c r="F5252" s="2" t="b">
        <v>1</v>
      </c>
      <c r="G5252" s="2" t="b">
        <v>1</v>
      </c>
      <c r="H5252" s="2" t="s">
        <v>21491</v>
      </c>
      <c r="I5252" s="2" t="s">
        <v>22</v>
      </c>
      <c r="J5252" s="2" t="s">
        <v>4112</v>
      </c>
      <c r="K5252" s="2" t="s">
        <v>495</v>
      </c>
      <c r="L5252" s="13" t="s">
        <v>496</v>
      </c>
      <c r="M5252" s="2" t="s">
        <v>26</v>
      </c>
      <c r="N5252" s="29"/>
      <c r="O5252" s="29"/>
      <c r="P5252" s="5" t="str">
        <f>IFERROR(__xludf.DUMMYFUNCTION("TEXTJOIN("" | "",TRUE,IF(OR(D5252="""",E5252="""",I5252="""",J5252="""",H5252=""""),""ফাঁকা ঘর"",""""),IF(AND(C5252&lt;&gt;"""",D5252&lt;&gt;"""",C5252=D5252),""gloss=figurative"",""""),IF(LEN(D5252)&lt;15,""figurative ছোট"",""""),IF(AND(I5252=""Positive"",REGEXMATCH(H5"&amp;"252,""মূর্খ|ভণ্ড|প্রতার|অলস|লোভ|স্বার্থ|অক্ষম|অযোগ্য|বোকা|কৃপণ|হিংস"")),""valence-target অমিল"",""""),IF(COUNTIF($B:$B,B5252)&gt;1,""ডুপ্লিকেট"",""""))"),"")</f>
        <v/>
      </c>
      <c r="Q5252" s="5" t="str">
        <f t="shared" si="1"/>
        <v>২ পরে</v>
      </c>
    </row>
    <row r="5253">
      <c r="A5253" s="4">
        <v>3104.0</v>
      </c>
      <c r="B5253" s="2" t="s">
        <v>21492</v>
      </c>
      <c r="C5253" s="2" t="s">
        <v>21493</v>
      </c>
      <c r="D5253" s="2" t="s">
        <v>21494</v>
      </c>
      <c r="E5253" s="2" t="s">
        <v>19182</v>
      </c>
      <c r="F5253" s="2" t="b">
        <v>1</v>
      </c>
      <c r="G5253" s="2" t="b">
        <v>0</v>
      </c>
      <c r="H5253" s="2" t="s">
        <v>37</v>
      </c>
      <c r="I5253" s="2" t="s">
        <v>49</v>
      </c>
      <c r="J5253" s="2" t="s">
        <v>762</v>
      </c>
      <c r="K5253" s="2" t="s">
        <v>495</v>
      </c>
      <c r="L5253" s="13" t="s">
        <v>496</v>
      </c>
      <c r="M5253" s="2" t="s">
        <v>26</v>
      </c>
      <c r="N5253" s="29"/>
      <c r="O5253" s="29"/>
      <c r="P5253" s="5" t="str">
        <f>IFERROR(__xludf.DUMMYFUNCTION("TEXTJOIN("" | "",TRUE,IF(OR(D5253="""",E5253="""",I5253="""",J5253="""",H5253=""""),""ফাঁকা ঘর"",""""),IF(AND(C5253&lt;&gt;"""",D5253&lt;&gt;"""",C5253=D5253),""gloss=figurative"",""""),IF(LEN(D5253)&lt;15,""figurative ছোট"",""""),IF(AND(I5253=""Positive"",REGEXMATCH(H5"&amp;"253,""মূর্খ|ভণ্ড|প্রতার|অলস|লোভ|স্বার্থ|অক্ষম|অযোগ্য|বোকা|কৃপণ|হিংস"")),""valence-target অমিল"",""""),IF(COUNTIF($B:$B,B5253)&gt;1,""ডুপ্লিকেট"",""""))"),"")</f>
        <v/>
      </c>
      <c r="Q5253" s="5" t="str">
        <f t="shared" si="1"/>
        <v>২ পরে</v>
      </c>
    </row>
    <row r="5254">
      <c r="A5254" s="4">
        <v>3105.0</v>
      </c>
      <c r="B5254" s="2" t="s">
        <v>21495</v>
      </c>
      <c r="C5254" s="2" t="s">
        <v>21496</v>
      </c>
      <c r="D5254" s="2" t="s">
        <v>21497</v>
      </c>
      <c r="E5254" s="2" t="s">
        <v>21498</v>
      </c>
      <c r="F5254" s="2" t="b">
        <v>1</v>
      </c>
      <c r="G5254" s="2" t="b">
        <v>0</v>
      </c>
      <c r="H5254" s="2" t="s">
        <v>37</v>
      </c>
      <c r="I5254" s="2" t="s">
        <v>49</v>
      </c>
      <c r="J5254" s="2" t="s">
        <v>1443</v>
      </c>
      <c r="K5254" s="2" t="s">
        <v>495</v>
      </c>
      <c r="L5254" s="13" t="s">
        <v>496</v>
      </c>
      <c r="M5254" s="2" t="s">
        <v>26</v>
      </c>
      <c r="N5254" s="29"/>
      <c r="O5254" s="29"/>
      <c r="P5254" s="5" t="str">
        <f>IFERROR(__xludf.DUMMYFUNCTION("TEXTJOIN("" | "",TRUE,IF(OR(D5254="""",E5254="""",I5254="""",J5254="""",H5254=""""),""ফাঁকা ঘর"",""""),IF(AND(C5254&lt;&gt;"""",D5254&lt;&gt;"""",C5254=D5254),""gloss=figurative"",""""),IF(LEN(D5254)&lt;15,""figurative ছোট"",""""),IF(AND(I5254=""Positive"",REGEXMATCH(H5"&amp;"254,""মূর্খ|ভণ্ড|প্রতার|অলস|লোভ|স্বার্থ|অক্ষম|অযোগ্য|বোকা|কৃপণ|হিংস"")),""valence-target অমিল"",""""),IF(COUNTIF($B:$B,B5254)&gt;1,""ডুপ্লিকেট"",""""))"),"")</f>
        <v/>
      </c>
      <c r="Q5254" s="5" t="str">
        <f t="shared" si="1"/>
        <v>২ পরে</v>
      </c>
    </row>
    <row r="5255">
      <c r="A5255" s="4">
        <v>3106.0</v>
      </c>
      <c r="B5255" s="2" t="s">
        <v>21499</v>
      </c>
      <c r="C5255" s="2" t="s">
        <v>21500</v>
      </c>
      <c r="D5255" s="2" t="s">
        <v>21501</v>
      </c>
      <c r="E5255" s="2" t="s">
        <v>21502</v>
      </c>
      <c r="F5255" s="2" t="b">
        <v>1</v>
      </c>
      <c r="G5255" s="2" t="b">
        <v>0</v>
      </c>
      <c r="H5255" s="2" t="s">
        <v>37</v>
      </c>
      <c r="I5255" s="2" t="s">
        <v>22</v>
      </c>
      <c r="J5255" s="2" t="s">
        <v>2624</v>
      </c>
      <c r="K5255" s="2" t="s">
        <v>495</v>
      </c>
      <c r="L5255" s="13" t="s">
        <v>496</v>
      </c>
      <c r="M5255" s="2" t="s">
        <v>26</v>
      </c>
      <c r="N5255" s="29"/>
      <c r="O5255" s="29"/>
      <c r="P5255" s="5" t="str">
        <f>IFERROR(__xludf.DUMMYFUNCTION("TEXTJOIN("" | "",TRUE,IF(OR(D5255="""",E5255="""",I5255="""",J5255="""",H5255=""""),""ফাঁকা ঘর"",""""),IF(AND(C5255&lt;&gt;"""",D5255&lt;&gt;"""",C5255=D5255),""gloss=figurative"",""""),IF(LEN(D5255)&lt;15,""figurative ছোট"",""""),IF(AND(I5255=""Positive"",REGEXMATCH(H5"&amp;"255,""মূর্খ|ভণ্ড|প্রতার|অলস|লোভ|স্বার্থ|অক্ষম|অযোগ্য|বোকা|কৃপণ|হিংস"")),""valence-target অমিল"",""""),IF(COUNTIF($B:$B,B5255)&gt;1,""ডুপ্লিকেট"",""""))"),"")</f>
        <v/>
      </c>
      <c r="Q5255" s="5" t="str">
        <f t="shared" si="1"/>
        <v>২ পরে</v>
      </c>
    </row>
    <row r="5256">
      <c r="A5256" s="4">
        <v>3107.0</v>
      </c>
      <c r="B5256" s="2" t="s">
        <v>21503</v>
      </c>
      <c r="C5256" s="2" t="s">
        <v>21504</v>
      </c>
      <c r="D5256" s="2" t="s">
        <v>21505</v>
      </c>
      <c r="E5256" s="2" t="s">
        <v>21506</v>
      </c>
      <c r="F5256" s="2" t="b">
        <v>1</v>
      </c>
      <c r="G5256" s="2" t="b">
        <v>0</v>
      </c>
      <c r="H5256" s="2" t="s">
        <v>37</v>
      </c>
      <c r="I5256" s="2" t="s">
        <v>22</v>
      </c>
      <c r="J5256" s="2" t="s">
        <v>1607</v>
      </c>
      <c r="K5256" s="2" t="s">
        <v>495</v>
      </c>
      <c r="L5256" s="13" t="s">
        <v>496</v>
      </c>
      <c r="M5256" s="2" t="s">
        <v>26</v>
      </c>
      <c r="N5256" s="29"/>
      <c r="O5256" s="29"/>
      <c r="P5256" s="5" t="str">
        <f>IFERROR(__xludf.DUMMYFUNCTION("TEXTJOIN("" | "",TRUE,IF(OR(D5256="""",E5256="""",I5256="""",J5256="""",H5256=""""),""ফাঁকা ঘর"",""""),IF(AND(C5256&lt;&gt;"""",D5256&lt;&gt;"""",C5256=D5256),""gloss=figurative"",""""),IF(LEN(D5256)&lt;15,""figurative ছোট"",""""),IF(AND(I5256=""Positive"",REGEXMATCH(H5"&amp;"256,""মূর্খ|ভণ্ড|প্রতার|অলস|লোভ|স্বার্থ|অক্ষম|অযোগ্য|বোকা|কৃপণ|হিংস"")),""valence-target অমিল"",""""),IF(COUNTIF($B:$B,B5256)&gt;1,""ডুপ্লিকেট"",""""))"),"")</f>
        <v/>
      </c>
      <c r="Q5256" s="5" t="str">
        <f t="shared" si="1"/>
        <v>২ পরে</v>
      </c>
    </row>
    <row r="5257">
      <c r="A5257" s="4">
        <v>3108.0</v>
      </c>
      <c r="B5257" s="2" t="s">
        <v>21507</v>
      </c>
      <c r="C5257" s="2" t="s">
        <v>21508</v>
      </c>
      <c r="D5257" s="2" t="s">
        <v>21509</v>
      </c>
      <c r="E5257" s="2" t="s">
        <v>21510</v>
      </c>
      <c r="F5257" s="2" t="b">
        <v>1</v>
      </c>
      <c r="G5257" s="2" t="b">
        <v>0</v>
      </c>
      <c r="H5257" s="2" t="s">
        <v>37</v>
      </c>
      <c r="I5257" s="2" t="s">
        <v>32</v>
      </c>
      <c r="J5257" s="2" t="s">
        <v>590</v>
      </c>
      <c r="K5257" s="2" t="s">
        <v>495</v>
      </c>
      <c r="L5257" s="13" t="s">
        <v>496</v>
      </c>
      <c r="M5257" s="2" t="s">
        <v>26</v>
      </c>
      <c r="N5257" s="29"/>
      <c r="O5257" s="29"/>
      <c r="P5257" s="5" t="str">
        <f>IFERROR(__xludf.DUMMYFUNCTION("TEXTJOIN("" | "",TRUE,IF(OR(D5257="""",E5257="""",I5257="""",J5257="""",H5257=""""),""ফাঁকা ঘর"",""""),IF(AND(C5257&lt;&gt;"""",D5257&lt;&gt;"""",C5257=D5257),""gloss=figurative"",""""),IF(LEN(D5257)&lt;15,""figurative ছোট"",""""),IF(AND(I5257=""Positive"",REGEXMATCH(H5"&amp;"257,""মূর্খ|ভণ্ড|প্রতার|অলস|লোভ|স্বার্থ|অক্ষম|অযোগ্য|বোকা|কৃপণ|হিংস"")),""valence-target অমিল"",""""),IF(COUNTIF($B:$B,B5257)&gt;1,""ডুপ্লিকেট"",""""))"),"")</f>
        <v/>
      </c>
      <c r="Q5257" s="5" t="str">
        <f t="shared" si="1"/>
        <v>২ পরে</v>
      </c>
    </row>
    <row r="5258">
      <c r="A5258" s="4">
        <v>3109.0</v>
      </c>
      <c r="B5258" s="2" t="s">
        <v>21511</v>
      </c>
      <c r="C5258" s="2" t="s">
        <v>21512</v>
      </c>
      <c r="D5258" s="2" t="s">
        <v>21513</v>
      </c>
      <c r="E5258" s="2" t="s">
        <v>21514</v>
      </c>
      <c r="F5258" s="2" t="b">
        <v>1</v>
      </c>
      <c r="G5258" s="2" t="b">
        <v>0</v>
      </c>
      <c r="H5258" s="2" t="s">
        <v>37</v>
      </c>
      <c r="I5258" s="2" t="s">
        <v>49</v>
      </c>
      <c r="J5258" s="2" t="s">
        <v>762</v>
      </c>
      <c r="K5258" s="2" t="s">
        <v>495</v>
      </c>
      <c r="L5258" s="13" t="s">
        <v>496</v>
      </c>
      <c r="M5258" s="2" t="s">
        <v>26</v>
      </c>
      <c r="N5258" s="29"/>
      <c r="O5258" s="29"/>
      <c r="P5258" s="5" t="str">
        <f>IFERROR(__xludf.DUMMYFUNCTION("TEXTJOIN("" | "",TRUE,IF(OR(D5258="""",E5258="""",I5258="""",J5258="""",H5258=""""),""ফাঁকা ঘর"",""""),IF(AND(C5258&lt;&gt;"""",D5258&lt;&gt;"""",C5258=D5258),""gloss=figurative"",""""),IF(LEN(D5258)&lt;15,""figurative ছোট"",""""),IF(AND(I5258=""Positive"",REGEXMATCH(H5"&amp;"258,""মূর্খ|ভণ্ড|প্রতার|অলস|লোভ|স্বার্থ|অক্ষম|অযোগ্য|বোকা|কৃপণ|হিংস"")),""valence-target অমিল"",""""),IF(COUNTIF($B:$B,B5258)&gt;1,""ডুপ্লিকেট"",""""))"),"")</f>
        <v/>
      </c>
      <c r="Q5258" s="5" t="str">
        <f t="shared" si="1"/>
        <v>২ পরে</v>
      </c>
    </row>
    <row r="5259">
      <c r="A5259" s="4">
        <v>3110.0</v>
      </c>
      <c r="B5259" s="2" t="s">
        <v>21515</v>
      </c>
      <c r="C5259" s="2" t="s">
        <v>21516</v>
      </c>
      <c r="D5259" s="2" t="s">
        <v>21517</v>
      </c>
      <c r="E5259" s="2" t="s">
        <v>21518</v>
      </c>
      <c r="F5259" s="2" t="b">
        <v>1</v>
      </c>
      <c r="G5259" s="2" t="b">
        <v>0</v>
      </c>
      <c r="H5259" s="2" t="s">
        <v>37</v>
      </c>
      <c r="I5259" s="2" t="s">
        <v>49</v>
      </c>
      <c r="J5259" s="2" t="s">
        <v>924</v>
      </c>
      <c r="K5259" s="2" t="s">
        <v>495</v>
      </c>
      <c r="L5259" s="13" t="s">
        <v>496</v>
      </c>
      <c r="M5259" s="2" t="s">
        <v>26</v>
      </c>
      <c r="N5259" s="29"/>
      <c r="O5259" s="29"/>
      <c r="P5259" s="5" t="str">
        <f>IFERROR(__xludf.DUMMYFUNCTION("TEXTJOIN("" | "",TRUE,IF(OR(D5259="""",E5259="""",I5259="""",J5259="""",H5259=""""),""ফাঁকা ঘর"",""""),IF(AND(C5259&lt;&gt;"""",D5259&lt;&gt;"""",C5259=D5259),""gloss=figurative"",""""),IF(LEN(D5259)&lt;15,""figurative ছোট"",""""),IF(AND(I5259=""Positive"",REGEXMATCH(H5"&amp;"259,""মূর্খ|ভণ্ড|প্রতার|অলস|লোভ|স্বার্থ|অক্ষম|অযোগ্য|বোকা|কৃপণ|হিংস"")),""valence-target অমিল"",""""),IF(COUNTIF($B:$B,B5259)&gt;1,""ডুপ্লিকেট"",""""))"),"")</f>
        <v/>
      </c>
      <c r="Q5259" s="5" t="str">
        <f t="shared" si="1"/>
        <v>২ পরে</v>
      </c>
    </row>
    <row r="5260">
      <c r="A5260" s="4">
        <v>3111.0</v>
      </c>
      <c r="B5260" s="2" t="s">
        <v>21519</v>
      </c>
      <c r="C5260" s="2" t="s">
        <v>21520</v>
      </c>
      <c r="D5260" s="2" t="s">
        <v>21521</v>
      </c>
      <c r="E5260" s="2" t="s">
        <v>21522</v>
      </c>
      <c r="F5260" s="2" t="b">
        <v>1</v>
      </c>
      <c r="G5260" s="2" t="b">
        <v>1</v>
      </c>
      <c r="H5260" s="2" t="s">
        <v>21523</v>
      </c>
      <c r="I5260" s="2" t="s">
        <v>32</v>
      </c>
      <c r="J5260" s="2" t="s">
        <v>21524</v>
      </c>
      <c r="K5260" s="2" t="s">
        <v>495</v>
      </c>
      <c r="L5260" s="13" t="s">
        <v>496</v>
      </c>
      <c r="M5260" s="2" t="s">
        <v>26</v>
      </c>
      <c r="N5260" s="29"/>
      <c r="O5260" s="29"/>
      <c r="P5260" s="5" t="str">
        <f>IFERROR(__xludf.DUMMYFUNCTION("TEXTJOIN("" | "",TRUE,IF(OR(D5260="""",E5260="""",I5260="""",J5260="""",H5260=""""),""ফাঁকা ঘর"",""""),IF(AND(C5260&lt;&gt;"""",D5260&lt;&gt;"""",C5260=D5260),""gloss=figurative"",""""),IF(LEN(D5260)&lt;15,""figurative ছোট"",""""),IF(AND(I5260=""Positive"",REGEXMATCH(H5"&amp;"260,""মূর্খ|ভণ্ড|প্রতার|অলস|লোভ|স্বার্থ|অক্ষম|অযোগ্য|বোকা|কৃপণ|হিংস"")),""valence-target অমিল"",""""),IF(COUNTIF($B:$B,B5260)&gt;1,""ডুপ্লিকেট"",""""))"),"")</f>
        <v/>
      </c>
      <c r="Q5260" s="5" t="str">
        <f t="shared" si="1"/>
        <v>২ পরে</v>
      </c>
    </row>
    <row r="5261">
      <c r="A5261" s="4">
        <v>3112.0</v>
      </c>
      <c r="B5261" s="2" t="s">
        <v>21525</v>
      </c>
      <c r="C5261" s="2" t="s">
        <v>21526</v>
      </c>
      <c r="D5261" s="2" t="s">
        <v>21527</v>
      </c>
      <c r="E5261" s="2" t="s">
        <v>21528</v>
      </c>
      <c r="F5261" s="2" t="b">
        <v>1</v>
      </c>
      <c r="G5261" s="2" t="b">
        <v>0</v>
      </c>
      <c r="H5261" s="2" t="s">
        <v>37</v>
      </c>
      <c r="I5261" s="2" t="s">
        <v>22</v>
      </c>
      <c r="J5261" s="2" t="s">
        <v>1305</v>
      </c>
      <c r="K5261" s="2" t="s">
        <v>495</v>
      </c>
      <c r="L5261" s="13" t="s">
        <v>496</v>
      </c>
      <c r="M5261" s="2" t="s">
        <v>26</v>
      </c>
      <c r="N5261" s="29"/>
      <c r="O5261" s="29"/>
      <c r="P5261" s="5" t="str">
        <f>IFERROR(__xludf.DUMMYFUNCTION("TEXTJOIN("" | "",TRUE,IF(OR(D5261="""",E5261="""",I5261="""",J5261="""",H5261=""""),""ফাঁকা ঘর"",""""),IF(AND(C5261&lt;&gt;"""",D5261&lt;&gt;"""",C5261=D5261),""gloss=figurative"",""""),IF(LEN(D5261)&lt;15,""figurative ছোট"",""""),IF(AND(I5261=""Positive"",REGEXMATCH(H5"&amp;"261,""মূর্খ|ভণ্ড|প্রতার|অলস|লোভ|স্বার্থ|অক্ষম|অযোগ্য|বোকা|কৃপণ|হিংস"")),""valence-target অমিল"",""""),IF(COUNTIF($B:$B,B5261)&gt;1,""ডুপ্লিকেট"",""""))"),"")</f>
        <v/>
      </c>
      <c r="Q5261" s="5" t="str">
        <f t="shared" si="1"/>
        <v>২ পরে</v>
      </c>
    </row>
    <row r="5262">
      <c r="A5262" s="4">
        <v>3113.0</v>
      </c>
      <c r="B5262" s="2" t="s">
        <v>21529</v>
      </c>
      <c r="C5262" s="2" t="s">
        <v>21530</v>
      </c>
      <c r="D5262" s="2" t="s">
        <v>21531</v>
      </c>
      <c r="E5262" s="2" t="s">
        <v>21532</v>
      </c>
      <c r="F5262" s="2" t="b">
        <v>1</v>
      </c>
      <c r="G5262" s="2" t="b">
        <v>0</v>
      </c>
      <c r="H5262" s="2" t="s">
        <v>37</v>
      </c>
      <c r="I5262" s="2" t="s">
        <v>32</v>
      </c>
      <c r="J5262" s="2" t="s">
        <v>21533</v>
      </c>
      <c r="K5262" s="2" t="s">
        <v>495</v>
      </c>
      <c r="L5262" s="13" t="s">
        <v>496</v>
      </c>
      <c r="M5262" s="2" t="s">
        <v>26</v>
      </c>
      <c r="N5262" s="29"/>
      <c r="O5262" s="29"/>
      <c r="P5262" s="5" t="str">
        <f>IFERROR(__xludf.DUMMYFUNCTION("TEXTJOIN("" | "",TRUE,IF(OR(D5262="""",E5262="""",I5262="""",J5262="""",H5262=""""),""ফাঁকা ঘর"",""""),IF(AND(C5262&lt;&gt;"""",D5262&lt;&gt;"""",C5262=D5262),""gloss=figurative"",""""),IF(LEN(D5262)&lt;15,""figurative ছোট"",""""),IF(AND(I5262=""Positive"",REGEXMATCH(H5"&amp;"262,""মূর্খ|ভণ্ড|প্রতার|অলস|লোভ|স্বার্থ|অক্ষম|অযোগ্য|বোকা|কৃপণ|হিংস"")),""valence-target অমিল"",""""),IF(COUNTIF($B:$B,B5262)&gt;1,""ডুপ্লিকেট"",""""))"),"")</f>
        <v/>
      </c>
      <c r="Q5262" s="5" t="str">
        <f t="shared" si="1"/>
        <v>২ পরে</v>
      </c>
    </row>
    <row r="5263">
      <c r="A5263" s="4">
        <v>3114.0</v>
      </c>
      <c r="B5263" s="2" t="s">
        <v>21534</v>
      </c>
      <c r="C5263" s="2" t="s">
        <v>21535</v>
      </c>
      <c r="D5263" s="2" t="s">
        <v>21536</v>
      </c>
      <c r="E5263" s="2" t="s">
        <v>21537</v>
      </c>
      <c r="F5263" s="2" t="b">
        <v>1</v>
      </c>
      <c r="G5263" s="2" t="b">
        <v>0</v>
      </c>
      <c r="H5263" s="2" t="s">
        <v>37</v>
      </c>
      <c r="I5263" s="2" t="s">
        <v>22</v>
      </c>
      <c r="J5263" s="2" t="s">
        <v>20785</v>
      </c>
      <c r="K5263" s="2" t="s">
        <v>495</v>
      </c>
      <c r="L5263" s="13" t="s">
        <v>496</v>
      </c>
      <c r="M5263" s="2" t="s">
        <v>26</v>
      </c>
      <c r="N5263" s="29"/>
      <c r="O5263" s="29"/>
      <c r="P5263" s="5" t="str">
        <f>IFERROR(__xludf.DUMMYFUNCTION("TEXTJOIN("" | "",TRUE,IF(OR(D5263="""",E5263="""",I5263="""",J5263="""",H5263=""""),""ফাঁকা ঘর"",""""),IF(AND(C5263&lt;&gt;"""",D5263&lt;&gt;"""",C5263=D5263),""gloss=figurative"",""""),IF(LEN(D5263)&lt;15,""figurative ছোট"",""""),IF(AND(I5263=""Positive"",REGEXMATCH(H5"&amp;"263,""মূর্খ|ভণ্ড|প্রতার|অলস|লোভ|স্বার্থ|অক্ষম|অযোগ্য|বোকা|কৃপণ|হিংস"")),""valence-target অমিল"",""""),IF(COUNTIF($B:$B,B5263)&gt;1,""ডুপ্লিকেট"",""""))"),"")</f>
        <v/>
      </c>
      <c r="Q5263" s="5" t="str">
        <f t="shared" si="1"/>
        <v>২ পরে</v>
      </c>
    </row>
    <row r="5264">
      <c r="A5264" s="4">
        <v>3115.0</v>
      </c>
      <c r="B5264" s="2" t="s">
        <v>21538</v>
      </c>
      <c r="C5264" s="2" t="s">
        <v>21539</v>
      </c>
      <c r="D5264" s="2" t="s">
        <v>21540</v>
      </c>
      <c r="E5264" s="2" t="s">
        <v>21541</v>
      </c>
      <c r="F5264" s="2" t="b">
        <v>1</v>
      </c>
      <c r="G5264" s="2" t="b">
        <v>0</v>
      </c>
      <c r="H5264" s="2" t="s">
        <v>37</v>
      </c>
      <c r="I5264" s="2" t="s">
        <v>32</v>
      </c>
      <c r="J5264" s="2" t="s">
        <v>5980</v>
      </c>
      <c r="K5264" s="2" t="s">
        <v>495</v>
      </c>
      <c r="L5264" s="13" t="s">
        <v>496</v>
      </c>
      <c r="M5264" s="2" t="s">
        <v>26</v>
      </c>
      <c r="N5264" s="29"/>
      <c r="O5264" s="29"/>
      <c r="P5264" s="5" t="str">
        <f>IFERROR(__xludf.DUMMYFUNCTION("TEXTJOIN("" | "",TRUE,IF(OR(D5264="""",E5264="""",I5264="""",J5264="""",H5264=""""),""ফাঁকা ঘর"",""""),IF(AND(C5264&lt;&gt;"""",D5264&lt;&gt;"""",C5264=D5264),""gloss=figurative"",""""),IF(LEN(D5264)&lt;15,""figurative ছোট"",""""),IF(AND(I5264=""Positive"",REGEXMATCH(H5"&amp;"264,""মূর্খ|ভণ্ড|প্রতার|অলস|লোভ|স্বার্থ|অক্ষম|অযোগ্য|বোকা|কৃপণ|হিংস"")),""valence-target অমিল"",""""),IF(COUNTIF($B:$B,B5264)&gt;1,""ডুপ্লিকেট"",""""))"),"")</f>
        <v/>
      </c>
      <c r="Q5264" s="5" t="str">
        <f t="shared" si="1"/>
        <v>২ পরে</v>
      </c>
    </row>
    <row r="5265">
      <c r="A5265" s="4">
        <v>3116.0</v>
      </c>
      <c r="B5265" s="2" t="s">
        <v>21542</v>
      </c>
      <c r="C5265" s="2" t="s">
        <v>21543</v>
      </c>
      <c r="D5265" s="2" t="s">
        <v>21544</v>
      </c>
      <c r="E5265" s="2" t="s">
        <v>21545</v>
      </c>
      <c r="F5265" s="2" t="b">
        <v>1</v>
      </c>
      <c r="G5265" s="2" t="b">
        <v>0</v>
      </c>
      <c r="H5265" s="2" t="s">
        <v>37</v>
      </c>
      <c r="I5265" s="2" t="s">
        <v>49</v>
      </c>
      <c r="J5265" s="2" t="s">
        <v>762</v>
      </c>
      <c r="K5265" s="2" t="s">
        <v>495</v>
      </c>
      <c r="L5265" s="13" t="s">
        <v>496</v>
      </c>
      <c r="M5265" s="2" t="s">
        <v>26</v>
      </c>
      <c r="N5265" s="29"/>
      <c r="O5265" s="29"/>
      <c r="P5265" s="5" t="str">
        <f>IFERROR(__xludf.DUMMYFUNCTION("TEXTJOIN("" | "",TRUE,IF(OR(D5265="""",E5265="""",I5265="""",J5265="""",H5265=""""),""ফাঁকা ঘর"",""""),IF(AND(C5265&lt;&gt;"""",D5265&lt;&gt;"""",C5265=D5265),""gloss=figurative"",""""),IF(LEN(D5265)&lt;15,""figurative ছোট"",""""),IF(AND(I5265=""Positive"",REGEXMATCH(H5"&amp;"265,""মূর্খ|ভণ্ড|প্রতার|অলস|লোভ|স্বার্থ|অক্ষম|অযোগ্য|বোকা|কৃপণ|হিংস"")),""valence-target অমিল"",""""),IF(COUNTIF($B:$B,B5265)&gt;1,""ডুপ্লিকেট"",""""))"),"")</f>
        <v/>
      </c>
      <c r="Q5265" s="5" t="str">
        <f t="shared" si="1"/>
        <v>২ পরে</v>
      </c>
    </row>
    <row r="5266">
      <c r="A5266" s="4">
        <v>3117.0</v>
      </c>
      <c r="B5266" s="2" t="s">
        <v>21546</v>
      </c>
      <c r="C5266" s="2" t="s">
        <v>21547</v>
      </c>
      <c r="D5266" s="2" t="s">
        <v>21548</v>
      </c>
      <c r="E5266" s="2" t="s">
        <v>21549</v>
      </c>
      <c r="F5266" s="2" t="b">
        <v>1</v>
      </c>
      <c r="G5266" s="2" t="b">
        <v>1</v>
      </c>
      <c r="H5266" s="2" t="s">
        <v>1982</v>
      </c>
      <c r="I5266" s="2" t="s">
        <v>22</v>
      </c>
      <c r="J5266" s="2" t="s">
        <v>21550</v>
      </c>
      <c r="K5266" s="2" t="s">
        <v>495</v>
      </c>
      <c r="L5266" s="13" t="s">
        <v>496</v>
      </c>
      <c r="M5266" s="2" t="s">
        <v>26</v>
      </c>
      <c r="N5266" s="29"/>
      <c r="O5266" s="29"/>
      <c r="P5266" s="5" t="str">
        <f>IFERROR(__xludf.DUMMYFUNCTION("TEXTJOIN("" | "",TRUE,IF(OR(D5266="""",E5266="""",I5266="""",J5266="""",H5266=""""),""ফাঁকা ঘর"",""""),IF(AND(C5266&lt;&gt;"""",D5266&lt;&gt;"""",C5266=D5266),""gloss=figurative"",""""),IF(LEN(D5266)&lt;15,""figurative ছোট"",""""),IF(AND(I5266=""Positive"",REGEXMATCH(H5"&amp;"266,""মূর্খ|ভণ্ড|প্রতার|অলস|লোভ|স্বার্থ|অক্ষম|অযোগ্য|বোকা|কৃপণ|হিংস"")),""valence-target অমিল"",""""),IF(COUNTIF($B:$B,B5266)&gt;1,""ডুপ্লিকেট"",""""))"),"")</f>
        <v/>
      </c>
      <c r="Q5266" s="5" t="str">
        <f t="shared" si="1"/>
        <v>২ পরে</v>
      </c>
    </row>
    <row r="5267">
      <c r="A5267" s="4">
        <v>3118.0</v>
      </c>
      <c r="B5267" s="2" t="s">
        <v>21551</v>
      </c>
      <c r="C5267" s="2" t="s">
        <v>21552</v>
      </c>
      <c r="D5267" s="2" t="s">
        <v>21553</v>
      </c>
      <c r="E5267" s="2" t="s">
        <v>21554</v>
      </c>
      <c r="F5267" s="2" t="b">
        <v>1</v>
      </c>
      <c r="G5267" s="2" t="b">
        <v>0</v>
      </c>
      <c r="H5267" s="2" t="s">
        <v>37</v>
      </c>
      <c r="I5267" s="2" t="s">
        <v>49</v>
      </c>
      <c r="J5267" s="2" t="s">
        <v>190</v>
      </c>
      <c r="K5267" s="2" t="s">
        <v>495</v>
      </c>
      <c r="L5267" s="13" t="s">
        <v>496</v>
      </c>
      <c r="M5267" s="2" t="s">
        <v>26</v>
      </c>
      <c r="N5267" s="29"/>
      <c r="O5267" s="29"/>
      <c r="P5267" s="5" t="str">
        <f>IFERROR(__xludf.DUMMYFUNCTION("TEXTJOIN("" | "",TRUE,IF(OR(D5267="""",E5267="""",I5267="""",J5267="""",H5267=""""),""ফাঁকা ঘর"",""""),IF(AND(C5267&lt;&gt;"""",D5267&lt;&gt;"""",C5267=D5267),""gloss=figurative"",""""),IF(LEN(D5267)&lt;15,""figurative ছোট"",""""),IF(AND(I5267=""Positive"",REGEXMATCH(H5"&amp;"267,""মূর্খ|ভণ্ড|প্রতার|অলস|লোভ|স্বার্থ|অক্ষম|অযোগ্য|বোকা|কৃপণ|হিংস"")),""valence-target অমিল"",""""),IF(COUNTIF($B:$B,B5267)&gt;1,""ডুপ্লিকেট"",""""))"),"")</f>
        <v/>
      </c>
      <c r="Q5267" s="5" t="str">
        <f t="shared" si="1"/>
        <v>২ পরে</v>
      </c>
    </row>
    <row r="5268">
      <c r="A5268" s="4">
        <v>3119.0</v>
      </c>
      <c r="B5268" s="2" t="s">
        <v>21555</v>
      </c>
      <c r="C5268" s="2" t="s">
        <v>21556</v>
      </c>
      <c r="D5268" s="2" t="s">
        <v>21557</v>
      </c>
      <c r="E5268" s="2" t="s">
        <v>21558</v>
      </c>
      <c r="F5268" s="2" t="b">
        <v>1</v>
      </c>
      <c r="G5268" s="2" t="b">
        <v>0</v>
      </c>
      <c r="H5268" s="2" t="s">
        <v>37</v>
      </c>
      <c r="I5268" s="2" t="s">
        <v>22</v>
      </c>
      <c r="J5268" s="2" t="s">
        <v>739</v>
      </c>
      <c r="K5268" s="2" t="s">
        <v>495</v>
      </c>
      <c r="L5268" s="13" t="s">
        <v>496</v>
      </c>
      <c r="M5268" s="2" t="s">
        <v>26</v>
      </c>
      <c r="N5268" s="29"/>
      <c r="O5268" s="29"/>
      <c r="P5268" s="5" t="str">
        <f>IFERROR(__xludf.DUMMYFUNCTION("TEXTJOIN("" | "",TRUE,IF(OR(D5268="""",E5268="""",I5268="""",J5268="""",H5268=""""),""ফাঁকা ঘর"",""""),IF(AND(C5268&lt;&gt;"""",D5268&lt;&gt;"""",C5268=D5268),""gloss=figurative"",""""),IF(LEN(D5268)&lt;15,""figurative ছোট"",""""),IF(AND(I5268=""Positive"",REGEXMATCH(H5"&amp;"268,""মূর্খ|ভণ্ড|প্রতার|অলস|লোভ|স্বার্থ|অক্ষম|অযোগ্য|বোকা|কৃপণ|হিংস"")),""valence-target অমিল"",""""),IF(COUNTIF($B:$B,B5268)&gt;1,""ডুপ্লিকেট"",""""))"),"")</f>
        <v/>
      </c>
      <c r="Q5268" s="5" t="str">
        <f t="shared" si="1"/>
        <v>২ পরে</v>
      </c>
    </row>
    <row r="5269">
      <c r="A5269" s="4">
        <v>3120.0</v>
      </c>
      <c r="B5269" s="2" t="s">
        <v>21559</v>
      </c>
      <c r="C5269" s="2" t="s">
        <v>21560</v>
      </c>
      <c r="D5269" s="2" t="s">
        <v>20181</v>
      </c>
      <c r="E5269" s="2" t="s">
        <v>21561</v>
      </c>
      <c r="F5269" s="2" t="b">
        <v>1</v>
      </c>
      <c r="G5269" s="2" t="b">
        <v>0</v>
      </c>
      <c r="H5269" s="2" t="s">
        <v>37</v>
      </c>
      <c r="I5269" s="2" t="s">
        <v>49</v>
      </c>
      <c r="J5269" s="2" t="s">
        <v>708</v>
      </c>
      <c r="K5269" s="2" t="s">
        <v>495</v>
      </c>
      <c r="L5269" s="13" t="s">
        <v>496</v>
      </c>
      <c r="M5269" s="2" t="s">
        <v>26</v>
      </c>
      <c r="N5269" s="29"/>
      <c r="O5269" s="29"/>
      <c r="P5269" s="5" t="str">
        <f>IFERROR(__xludf.DUMMYFUNCTION("TEXTJOIN("" | "",TRUE,IF(OR(D5269="""",E5269="""",I5269="""",J5269="""",H5269=""""),""ফাঁকা ঘর"",""""),IF(AND(C5269&lt;&gt;"""",D5269&lt;&gt;"""",C5269=D5269),""gloss=figurative"",""""),IF(LEN(D5269)&lt;15,""figurative ছোট"",""""),IF(AND(I5269=""Positive"",REGEXMATCH(H5"&amp;"269,""মূর্খ|ভণ্ড|প্রতার|অলস|লোভ|স্বার্থ|অক্ষম|অযোগ্য|বোকা|কৃপণ|হিংস"")),""valence-target অমিল"",""""),IF(COUNTIF($B:$B,B5269)&gt;1,""ডুপ্লিকেট"",""""))"),"")</f>
        <v/>
      </c>
      <c r="Q5269" s="5" t="str">
        <f t="shared" si="1"/>
        <v>২ পরে</v>
      </c>
    </row>
    <row r="5270">
      <c r="A5270" s="4">
        <v>3121.0</v>
      </c>
      <c r="B5270" s="2" t="s">
        <v>21562</v>
      </c>
      <c r="C5270" s="2" t="s">
        <v>21563</v>
      </c>
      <c r="D5270" s="2" t="s">
        <v>21564</v>
      </c>
      <c r="E5270" s="2" t="s">
        <v>21565</v>
      </c>
      <c r="F5270" s="2" t="b">
        <v>1</v>
      </c>
      <c r="G5270" s="2" t="b">
        <v>0</v>
      </c>
      <c r="H5270" s="2" t="s">
        <v>37</v>
      </c>
      <c r="I5270" s="2" t="s">
        <v>49</v>
      </c>
      <c r="J5270" s="2" t="s">
        <v>2732</v>
      </c>
      <c r="K5270" s="2" t="s">
        <v>495</v>
      </c>
      <c r="L5270" s="13" t="s">
        <v>496</v>
      </c>
      <c r="M5270" s="2" t="s">
        <v>26</v>
      </c>
      <c r="N5270" s="29"/>
      <c r="O5270" s="29"/>
      <c r="P5270" s="5" t="str">
        <f>IFERROR(__xludf.DUMMYFUNCTION("TEXTJOIN("" | "",TRUE,IF(OR(D5270="""",E5270="""",I5270="""",J5270="""",H5270=""""),""ফাঁকা ঘর"",""""),IF(AND(C5270&lt;&gt;"""",D5270&lt;&gt;"""",C5270=D5270),""gloss=figurative"",""""),IF(LEN(D5270)&lt;15,""figurative ছোট"",""""),IF(AND(I5270=""Positive"",REGEXMATCH(H5"&amp;"270,""মূর্খ|ভণ্ড|প্রতার|অলস|লোভ|স্বার্থ|অক্ষম|অযোগ্য|বোকা|কৃপণ|হিংস"")),""valence-target অমিল"",""""),IF(COUNTIF($B:$B,B5270)&gt;1,""ডুপ্লিকেট"",""""))"),"")</f>
        <v/>
      </c>
      <c r="Q5270" s="5" t="str">
        <f t="shared" si="1"/>
        <v>২ পরে</v>
      </c>
    </row>
    <row r="5271">
      <c r="A5271" s="4">
        <v>3122.0</v>
      </c>
      <c r="B5271" s="2" t="s">
        <v>21566</v>
      </c>
      <c r="C5271" s="2" t="s">
        <v>21567</v>
      </c>
      <c r="D5271" s="2" t="s">
        <v>21568</v>
      </c>
      <c r="E5271" s="2" t="s">
        <v>21569</v>
      </c>
      <c r="F5271" s="2" t="b">
        <v>1</v>
      </c>
      <c r="G5271" s="2" t="b">
        <v>0</v>
      </c>
      <c r="H5271" s="2" t="s">
        <v>37</v>
      </c>
      <c r="I5271" s="2" t="s">
        <v>22</v>
      </c>
      <c r="J5271" s="2" t="s">
        <v>19911</v>
      </c>
      <c r="K5271" s="2" t="s">
        <v>495</v>
      </c>
      <c r="L5271" s="13" t="s">
        <v>496</v>
      </c>
      <c r="M5271" s="2" t="s">
        <v>26</v>
      </c>
      <c r="N5271" s="29"/>
      <c r="O5271" s="29"/>
      <c r="P5271" s="5" t="str">
        <f>IFERROR(__xludf.DUMMYFUNCTION("TEXTJOIN("" | "",TRUE,IF(OR(D5271="""",E5271="""",I5271="""",J5271="""",H5271=""""),""ফাঁকা ঘর"",""""),IF(AND(C5271&lt;&gt;"""",D5271&lt;&gt;"""",C5271=D5271),""gloss=figurative"",""""),IF(LEN(D5271)&lt;15,""figurative ছোট"",""""),IF(AND(I5271=""Positive"",REGEXMATCH(H5"&amp;"271,""মূর্খ|ভণ্ড|প্রতার|অলস|লোভ|স্বার্থ|অক্ষম|অযোগ্য|বোকা|কৃপণ|হিংস"")),""valence-target অমিল"",""""),IF(COUNTIF($B:$B,B5271)&gt;1,""ডুপ্লিকেট"",""""))"),"")</f>
        <v/>
      </c>
      <c r="Q5271" s="5" t="str">
        <f t="shared" si="1"/>
        <v>২ পরে</v>
      </c>
    </row>
    <row r="5272">
      <c r="A5272" s="4">
        <v>3123.0</v>
      </c>
      <c r="B5272" s="15" t="s">
        <v>21570</v>
      </c>
      <c r="C5272" s="2" t="s">
        <v>21571</v>
      </c>
      <c r="D5272" s="2" t="s">
        <v>21572</v>
      </c>
      <c r="E5272" s="2" t="s">
        <v>21573</v>
      </c>
      <c r="F5272" s="2" t="b">
        <v>1</v>
      </c>
      <c r="G5272" s="2" t="b">
        <v>0</v>
      </c>
      <c r="H5272" s="2" t="s">
        <v>37</v>
      </c>
      <c r="I5272" s="2" t="s">
        <v>49</v>
      </c>
      <c r="J5272" s="2" t="s">
        <v>708</v>
      </c>
      <c r="K5272" s="2" t="s">
        <v>495</v>
      </c>
      <c r="L5272" s="13" t="s">
        <v>496</v>
      </c>
      <c r="M5272" s="2" t="s">
        <v>26</v>
      </c>
      <c r="N5272" s="29"/>
      <c r="O5272" s="29"/>
      <c r="P5272" s="5" t="str">
        <f>IFERROR(__xludf.DUMMYFUNCTION("TEXTJOIN("" | "",TRUE,IF(OR(D5272="""",E5272="""",I5272="""",J5272="""",H5272=""""),""ফাঁকা ঘর"",""""),IF(AND(C5272&lt;&gt;"""",D5272&lt;&gt;"""",C5272=D5272),""gloss=figurative"",""""),IF(LEN(D5272)&lt;15,""figurative ছোট"",""""),IF(AND(I5272=""Positive"",REGEXMATCH(H5"&amp;"272,""মূর্খ|ভণ্ড|প্রতার|অলস|লোভ|স্বার্থ|অক্ষম|অযোগ্য|বোকা|কৃপণ|হিংস"")),""valence-target অমিল"",""""),IF(COUNTIF($B:$B,B5272)&gt;1,""ডুপ্লিকেট"",""""))"),"")</f>
        <v/>
      </c>
      <c r="Q5272" s="5" t="str">
        <f t="shared" si="1"/>
        <v>২ পরে</v>
      </c>
    </row>
    <row r="5273">
      <c r="A5273" s="4">
        <v>3124.0</v>
      </c>
      <c r="B5273" s="15" t="s">
        <v>21574</v>
      </c>
      <c r="C5273" s="2" t="s">
        <v>21575</v>
      </c>
      <c r="D5273" s="2" t="s">
        <v>21576</v>
      </c>
      <c r="E5273" s="2" t="s">
        <v>21577</v>
      </c>
      <c r="F5273" s="2" t="b">
        <v>1</v>
      </c>
      <c r="G5273" s="2" t="b">
        <v>0</v>
      </c>
      <c r="H5273" s="2" t="s">
        <v>37</v>
      </c>
      <c r="I5273" s="2" t="s">
        <v>22</v>
      </c>
      <c r="J5273" s="2" t="s">
        <v>225</v>
      </c>
      <c r="K5273" s="2" t="s">
        <v>495</v>
      </c>
      <c r="L5273" s="13" t="s">
        <v>496</v>
      </c>
      <c r="M5273" s="2" t="s">
        <v>26</v>
      </c>
      <c r="N5273" s="29"/>
      <c r="O5273" s="29"/>
      <c r="P5273" s="5" t="str">
        <f>IFERROR(__xludf.DUMMYFUNCTION("TEXTJOIN("" | "",TRUE,IF(OR(D5273="""",E5273="""",I5273="""",J5273="""",H5273=""""),""ফাঁকা ঘর"",""""),IF(AND(C5273&lt;&gt;"""",D5273&lt;&gt;"""",C5273=D5273),""gloss=figurative"",""""),IF(LEN(D5273)&lt;15,""figurative ছোট"",""""),IF(AND(I5273=""Positive"",REGEXMATCH(H5"&amp;"273,""মূর্খ|ভণ্ড|প্রতার|অলস|লোভ|স্বার্থ|অক্ষম|অযোগ্য|বোকা|কৃপণ|হিংস"")),""valence-target অমিল"",""""),IF(COUNTIF($B:$B,B5273)&gt;1,""ডুপ্লিকেট"",""""))"),"")</f>
        <v/>
      </c>
      <c r="Q5273" s="5" t="str">
        <f t="shared" si="1"/>
        <v>২ পরে</v>
      </c>
    </row>
    <row r="5274">
      <c r="A5274" s="4">
        <v>3125.0</v>
      </c>
      <c r="B5274" s="15" t="s">
        <v>21578</v>
      </c>
      <c r="C5274" s="2" t="s">
        <v>21579</v>
      </c>
      <c r="D5274" s="2" t="s">
        <v>21580</v>
      </c>
      <c r="E5274" s="2" t="s">
        <v>21581</v>
      </c>
      <c r="F5274" s="2" t="b">
        <v>1</v>
      </c>
      <c r="G5274" s="2" t="b">
        <v>0</v>
      </c>
      <c r="H5274" s="2" t="s">
        <v>37</v>
      </c>
      <c r="I5274" s="2" t="s">
        <v>49</v>
      </c>
      <c r="J5274" s="2" t="s">
        <v>2575</v>
      </c>
      <c r="K5274" s="2" t="s">
        <v>495</v>
      </c>
      <c r="L5274" s="13" t="s">
        <v>496</v>
      </c>
      <c r="M5274" s="2" t="s">
        <v>26</v>
      </c>
      <c r="N5274" s="29"/>
      <c r="O5274" s="29"/>
      <c r="P5274" s="5" t="str">
        <f>IFERROR(__xludf.DUMMYFUNCTION("TEXTJOIN("" | "",TRUE,IF(OR(D5274="""",E5274="""",I5274="""",J5274="""",H5274=""""),""ফাঁকা ঘর"",""""),IF(AND(C5274&lt;&gt;"""",D5274&lt;&gt;"""",C5274=D5274),""gloss=figurative"",""""),IF(LEN(D5274)&lt;15,""figurative ছোট"",""""),IF(AND(I5274=""Positive"",REGEXMATCH(H5"&amp;"274,""মূর্খ|ভণ্ড|প্রতার|অলস|লোভ|স্বার্থ|অক্ষম|অযোগ্য|বোকা|কৃপণ|হিংস"")),""valence-target অমিল"",""""),IF(COUNTIF($B:$B,B5274)&gt;1,""ডুপ্লিকেট"",""""))"),"")</f>
        <v/>
      </c>
      <c r="Q5274" s="5" t="str">
        <f t="shared" si="1"/>
        <v>২ পরে</v>
      </c>
    </row>
    <row r="5275">
      <c r="A5275" s="4">
        <v>3126.0</v>
      </c>
      <c r="B5275" s="2" t="s">
        <v>21582</v>
      </c>
      <c r="C5275" s="2" t="s">
        <v>21583</v>
      </c>
      <c r="D5275" s="2" t="s">
        <v>21584</v>
      </c>
      <c r="E5275" s="2" t="s">
        <v>19190</v>
      </c>
      <c r="F5275" s="2" t="b">
        <v>1</v>
      </c>
      <c r="G5275" s="2" t="b">
        <v>0</v>
      </c>
      <c r="H5275" s="2" t="s">
        <v>37</v>
      </c>
      <c r="I5275" s="2" t="s">
        <v>32</v>
      </c>
      <c r="J5275" s="2" t="s">
        <v>43</v>
      </c>
      <c r="K5275" s="2" t="s">
        <v>495</v>
      </c>
      <c r="L5275" s="13" t="s">
        <v>496</v>
      </c>
      <c r="M5275" s="2" t="s">
        <v>26</v>
      </c>
      <c r="N5275" s="29"/>
      <c r="O5275" s="29"/>
      <c r="P5275" s="5" t="str">
        <f>IFERROR(__xludf.DUMMYFUNCTION("TEXTJOIN("" | "",TRUE,IF(OR(D5275="""",E5275="""",I5275="""",J5275="""",H5275=""""),""ফাঁকা ঘর"",""""),IF(AND(C5275&lt;&gt;"""",D5275&lt;&gt;"""",C5275=D5275),""gloss=figurative"",""""),IF(LEN(D5275)&lt;15,""figurative ছোট"",""""),IF(AND(I5275=""Positive"",REGEXMATCH(H5"&amp;"275,""মূর্খ|ভণ্ড|প্রতার|অলস|লোভ|স্বার্থ|অক্ষম|অযোগ্য|বোকা|কৃপণ|হিংস"")),""valence-target অমিল"",""""),IF(COUNTIF($B:$B,B5275)&gt;1,""ডুপ্লিকেট"",""""))"),"")</f>
        <v/>
      </c>
      <c r="Q5275" s="5" t="str">
        <f t="shared" si="1"/>
        <v>২ পরে</v>
      </c>
    </row>
    <row r="5276">
      <c r="A5276" s="4">
        <v>3127.0</v>
      </c>
      <c r="B5276" s="15" t="s">
        <v>21585</v>
      </c>
      <c r="C5276" s="2" t="s">
        <v>21586</v>
      </c>
      <c r="D5276" s="2" t="s">
        <v>21587</v>
      </c>
      <c r="E5276" s="2" t="s">
        <v>21588</v>
      </c>
      <c r="F5276" s="2" t="b">
        <v>1</v>
      </c>
      <c r="G5276" s="2" t="b">
        <v>0</v>
      </c>
      <c r="H5276" s="2" t="s">
        <v>37</v>
      </c>
      <c r="I5276" s="2" t="s">
        <v>22</v>
      </c>
      <c r="J5276" s="2" t="s">
        <v>1621</v>
      </c>
      <c r="K5276" s="2" t="s">
        <v>495</v>
      </c>
      <c r="L5276" s="13" t="s">
        <v>496</v>
      </c>
      <c r="M5276" s="2" t="s">
        <v>26</v>
      </c>
      <c r="N5276" s="29"/>
      <c r="O5276" s="29"/>
      <c r="P5276" s="5" t="str">
        <f>IFERROR(__xludf.DUMMYFUNCTION("TEXTJOIN("" | "",TRUE,IF(OR(D5276="""",E5276="""",I5276="""",J5276="""",H5276=""""),""ফাঁকা ঘর"",""""),IF(AND(C5276&lt;&gt;"""",D5276&lt;&gt;"""",C5276=D5276),""gloss=figurative"",""""),IF(LEN(D5276)&lt;15,""figurative ছোট"",""""),IF(AND(I5276=""Positive"",REGEXMATCH(H5"&amp;"276,""মূর্খ|ভণ্ড|প্রতার|অলস|লোভ|স্বার্থ|অক্ষম|অযোগ্য|বোকা|কৃপণ|হিংস"")),""valence-target অমিল"",""""),IF(COUNTIF($B:$B,B5276)&gt;1,""ডুপ্লিকেট"",""""))"),"")</f>
        <v/>
      </c>
      <c r="Q5276" s="5" t="str">
        <f t="shared" si="1"/>
        <v>২ পরে</v>
      </c>
    </row>
    <row r="5277">
      <c r="A5277" s="4">
        <v>3128.0</v>
      </c>
      <c r="B5277" s="2" t="s">
        <v>21589</v>
      </c>
      <c r="C5277" s="2" t="s">
        <v>21589</v>
      </c>
      <c r="D5277" s="2" t="s">
        <v>21590</v>
      </c>
      <c r="E5277" s="2" t="s">
        <v>21591</v>
      </c>
      <c r="F5277" s="2" t="b">
        <v>1</v>
      </c>
      <c r="G5277" s="2" t="b">
        <v>0</v>
      </c>
      <c r="H5277" s="2" t="s">
        <v>37</v>
      </c>
      <c r="I5277" s="2" t="s">
        <v>32</v>
      </c>
      <c r="J5277" s="2" t="s">
        <v>6932</v>
      </c>
      <c r="K5277" s="2" t="s">
        <v>495</v>
      </c>
      <c r="L5277" s="13" t="s">
        <v>496</v>
      </c>
      <c r="M5277" s="2" t="s">
        <v>26</v>
      </c>
      <c r="N5277" s="29"/>
      <c r="O5277" s="29"/>
      <c r="P5277" s="5" t="str">
        <f>IFERROR(__xludf.DUMMYFUNCTION("TEXTJOIN("" | "",TRUE,IF(OR(D5277="""",E5277="""",I5277="""",J5277="""",H5277=""""),""ফাঁকা ঘর"",""""),IF(AND(C5277&lt;&gt;"""",D5277&lt;&gt;"""",C5277=D5277),""gloss=figurative"",""""),IF(LEN(D5277)&lt;15,""figurative ছোট"",""""),IF(AND(I5277=""Positive"",REGEXMATCH(H5"&amp;"277,""মূর্খ|ভণ্ড|প্রতার|অলস|লোভ|স্বার্থ|অক্ষম|অযোগ্য|বোকা|কৃপণ|হিংস"")),""valence-target অমিল"",""""),IF(COUNTIF($B:$B,B5277)&gt;1,""ডুপ্লিকেট"",""""))"),"")</f>
        <v/>
      </c>
      <c r="Q5277" s="5" t="str">
        <f t="shared" si="1"/>
        <v>২ পরে</v>
      </c>
    </row>
    <row r="5278">
      <c r="A5278" s="4">
        <v>3129.0</v>
      </c>
      <c r="B5278" s="15" t="s">
        <v>21592</v>
      </c>
      <c r="C5278" s="2" t="s">
        <v>21593</v>
      </c>
      <c r="D5278" s="2" t="s">
        <v>21594</v>
      </c>
      <c r="E5278" s="2" t="s">
        <v>21595</v>
      </c>
      <c r="F5278" s="2" t="b">
        <v>1</v>
      </c>
      <c r="G5278" s="2" t="b">
        <v>0</v>
      </c>
      <c r="H5278" s="2" t="s">
        <v>37</v>
      </c>
      <c r="I5278" s="2" t="s">
        <v>49</v>
      </c>
      <c r="J5278" s="2" t="s">
        <v>300</v>
      </c>
      <c r="K5278" s="2" t="s">
        <v>495</v>
      </c>
      <c r="L5278" s="13" t="s">
        <v>496</v>
      </c>
      <c r="M5278" s="2" t="s">
        <v>26</v>
      </c>
      <c r="N5278" s="29"/>
      <c r="O5278" s="29"/>
      <c r="P5278" s="5" t="str">
        <f>IFERROR(__xludf.DUMMYFUNCTION("TEXTJOIN("" | "",TRUE,IF(OR(D5278="""",E5278="""",I5278="""",J5278="""",H5278=""""),""ফাঁকা ঘর"",""""),IF(AND(C5278&lt;&gt;"""",D5278&lt;&gt;"""",C5278=D5278),""gloss=figurative"",""""),IF(LEN(D5278)&lt;15,""figurative ছোট"",""""),IF(AND(I5278=""Positive"",REGEXMATCH(H5"&amp;"278,""মূর্খ|ভণ্ড|প্রতার|অলস|লোভ|স্বার্থ|অক্ষম|অযোগ্য|বোকা|কৃপণ|হিংস"")),""valence-target অমিল"",""""),IF(COUNTIF($B:$B,B5278)&gt;1,""ডুপ্লিকেট"",""""))"),"")</f>
        <v/>
      </c>
      <c r="Q5278" s="5" t="str">
        <f t="shared" si="1"/>
        <v>২ পরে</v>
      </c>
    </row>
    <row r="5279">
      <c r="A5279" s="4">
        <v>3130.0</v>
      </c>
      <c r="B5279" s="2" t="s">
        <v>10178</v>
      </c>
      <c r="C5279" s="2" t="s">
        <v>10178</v>
      </c>
      <c r="D5279" s="2" t="s">
        <v>21596</v>
      </c>
      <c r="E5279" s="2" t="s">
        <v>21597</v>
      </c>
      <c r="F5279" s="2" t="b">
        <v>1</v>
      </c>
      <c r="G5279" s="2" t="b">
        <v>0</v>
      </c>
      <c r="H5279" s="2" t="s">
        <v>37</v>
      </c>
      <c r="I5279" s="2" t="s">
        <v>22</v>
      </c>
      <c r="J5279" s="2" t="s">
        <v>1630</v>
      </c>
      <c r="K5279" s="2" t="s">
        <v>495</v>
      </c>
      <c r="L5279" s="13" t="s">
        <v>496</v>
      </c>
      <c r="M5279" s="2" t="s">
        <v>26</v>
      </c>
      <c r="N5279" s="29"/>
      <c r="O5279" s="29"/>
      <c r="P5279" s="5" t="str">
        <f>IFERROR(__xludf.DUMMYFUNCTION("TEXTJOIN("" | "",TRUE,IF(OR(D5279="""",E5279="""",I5279="""",J5279="""",H5279=""""),""ফাঁকা ঘর"",""""),IF(AND(C5279&lt;&gt;"""",D5279&lt;&gt;"""",C5279=D5279),""gloss=figurative"",""""),IF(LEN(D5279)&lt;15,""figurative ছোট"",""""),IF(AND(I5279=""Positive"",REGEXMATCH(H5"&amp;"279,""মূর্খ|ভণ্ড|প্রতার|অলস|লোভ|স্বার্থ|অক্ষম|অযোগ্য|বোকা|কৃপণ|হিংস"")),""valence-target অমিল"",""""),IF(COUNTIF($B:$B,B5279)&gt;1,""ডুপ্লিকেট"",""""))"),"")</f>
        <v/>
      </c>
      <c r="Q5279" s="5" t="str">
        <f t="shared" si="1"/>
        <v>২ পরে</v>
      </c>
    </row>
    <row r="5280">
      <c r="A5280" s="4">
        <v>3131.0</v>
      </c>
      <c r="B5280" s="2" t="s">
        <v>21598</v>
      </c>
      <c r="C5280" s="2" t="s">
        <v>21599</v>
      </c>
      <c r="D5280" s="2" t="s">
        <v>21600</v>
      </c>
      <c r="E5280" s="2" t="s">
        <v>21601</v>
      </c>
      <c r="F5280" s="2" t="b">
        <v>1</v>
      </c>
      <c r="G5280" s="2" t="b">
        <v>0</v>
      </c>
      <c r="H5280" s="2" t="s">
        <v>37</v>
      </c>
      <c r="I5280" s="2" t="s">
        <v>49</v>
      </c>
      <c r="J5280" s="2" t="s">
        <v>300</v>
      </c>
      <c r="K5280" s="2" t="s">
        <v>495</v>
      </c>
      <c r="L5280" s="13" t="s">
        <v>496</v>
      </c>
      <c r="M5280" s="2" t="s">
        <v>26</v>
      </c>
      <c r="N5280" s="29"/>
      <c r="O5280" s="29"/>
      <c r="P5280" s="5" t="str">
        <f>IFERROR(__xludf.DUMMYFUNCTION("TEXTJOIN("" | "",TRUE,IF(OR(D5280="""",E5280="""",I5280="""",J5280="""",H5280=""""),""ফাঁকা ঘর"",""""),IF(AND(C5280&lt;&gt;"""",D5280&lt;&gt;"""",C5280=D5280),""gloss=figurative"",""""),IF(LEN(D5280)&lt;15,""figurative ছোট"",""""),IF(AND(I5280=""Positive"",REGEXMATCH(H5"&amp;"280,""মূর্খ|ভণ্ড|প্রতার|অলস|লোভ|স্বার্থ|অক্ষম|অযোগ্য|বোকা|কৃপণ|হিংস"")),""valence-target অমিল"",""""),IF(COUNTIF($B:$B,B5280)&gt;1,""ডুপ্লিকেট"",""""))"),"")</f>
        <v/>
      </c>
      <c r="Q5280" s="5" t="str">
        <f t="shared" si="1"/>
        <v>২ পরে</v>
      </c>
    </row>
    <row r="5281">
      <c r="A5281" s="4">
        <v>3132.0</v>
      </c>
      <c r="B5281" s="2" t="s">
        <v>21602</v>
      </c>
      <c r="C5281" s="15" t="s">
        <v>21603</v>
      </c>
      <c r="D5281" s="2" t="s">
        <v>21604</v>
      </c>
      <c r="E5281" s="15" t="s">
        <v>21605</v>
      </c>
      <c r="F5281" s="2" t="b">
        <v>1</v>
      </c>
      <c r="G5281" s="2" t="b">
        <v>0</v>
      </c>
      <c r="H5281" s="2" t="s">
        <v>37</v>
      </c>
      <c r="I5281" s="2" t="s">
        <v>32</v>
      </c>
      <c r="J5281" s="2" t="s">
        <v>1859</v>
      </c>
      <c r="K5281" s="2" t="s">
        <v>495</v>
      </c>
      <c r="L5281" s="13" t="s">
        <v>496</v>
      </c>
      <c r="M5281" s="2" t="s">
        <v>26</v>
      </c>
      <c r="N5281" s="29"/>
      <c r="O5281" s="29"/>
      <c r="P5281" s="5" t="str">
        <f>IFERROR(__xludf.DUMMYFUNCTION("TEXTJOIN("" | "",TRUE,IF(OR(D5281="""",E5281="""",I5281="""",J5281="""",H5281=""""),""ফাঁকা ঘর"",""""),IF(AND(C5281&lt;&gt;"""",D5281&lt;&gt;"""",C5281=D5281),""gloss=figurative"",""""),IF(LEN(D5281)&lt;15,""figurative ছোট"",""""),IF(AND(I5281=""Positive"",REGEXMATCH(H5"&amp;"281,""মূর্খ|ভণ্ড|প্রতার|অলস|লোভ|স্বার্থ|অক্ষম|অযোগ্য|বোকা|কৃপণ|হিংস"")),""valence-target অমিল"",""""),IF(COUNTIF($B:$B,B5281)&gt;1,""ডুপ্লিকেট"",""""))"),"")</f>
        <v/>
      </c>
      <c r="Q5281" s="5" t="str">
        <f t="shared" si="1"/>
        <v>২ পরে</v>
      </c>
    </row>
    <row r="5282">
      <c r="A5282" s="4">
        <v>3134.0</v>
      </c>
      <c r="B5282" s="2" t="s">
        <v>21606</v>
      </c>
      <c r="C5282" s="2" t="s">
        <v>21607</v>
      </c>
      <c r="D5282" s="2" t="s">
        <v>21608</v>
      </c>
      <c r="E5282" s="2" t="s">
        <v>21609</v>
      </c>
      <c r="F5282" s="2" t="b">
        <v>1</v>
      </c>
      <c r="G5282" s="2" t="b">
        <v>0</v>
      </c>
      <c r="H5282" s="2" t="s">
        <v>37</v>
      </c>
      <c r="I5282" s="2" t="s">
        <v>32</v>
      </c>
      <c r="J5282" s="2" t="s">
        <v>21610</v>
      </c>
      <c r="K5282" s="2" t="s">
        <v>495</v>
      </c>
      <c r="L5282" s="13" t="s">
        <v>496</v>
      </c>
      <c r="M5282" s="2" t="s">
        <v>26</v>
      </c>
      <c r="N5282" s="29"/>
      <c r="O5282" s="29"/>
      <c r="P5282" s="5" t="str">
        <f>IFERROR(__xludf.DUMMYFUNCTION("TEXTJOIN("" | "",TRUE,IF(OR(D5282="""",E5282="""",I5282="""",J5282="""",H5282=""""),""ফাঁকা ঘর"",""""),IF(AND(C5282&lt;&gt;"""",D5282&lt;&gt;"""",C5282=D5282),""gloss=figurative"",""""),IF(LEN(D5282)&lt;15,""figurative ছোট"",""""),IF(AND(I5282=""Positive"",REGEXMATCH(H5"&amp;"282,""মূর্খ|ভণ্ড|প্রতার|অলস|লোভ|স্বার্থ|অক্ষম|অযোগ্য|বোকা|কৃপণ|হিংস"")),""valence-target অমিল"",""""),IF(COUNTIF($B:$B,B5282)&gt;1,""ডুপ্লিকেট"",""""))"),"")</f>
        <v/>
      </c>
      <c r="Q5282" s="5" t="str">
        <f t="shared" si="1"/>
        <v>২ পরে</v>
      </c>
    </row>
    <row r="5283">
      <c r="A5283" s="4">
        <v>3135.0</v>
      </c>
      <c r="B5283" s="2" t="s">
        <v>21611</v>
      </c>
      <c r="C5283" s="2" t="s">
        <v>21612</v>
      </c>
      <c r="D5283" s="2" t="s">
        <v>21613</v>
      </c>
      <c r="E5283" s="2" t="s">
        <v>21614</v>
      </c>
      <c r="F5283" s="2" t="b">
        <v>1</v>
      </c>
      <c r="G5283" s="2" t="b">
        <v>0</v>
      </c>
      <c r="H5283" s="2" t="s">
        <v>37</v>
      </c>
      <c r="I5283" s="2" t="s">
        <v>32</v>
      </c>
      <c r="J5283" s="2" t="s">
        <v>3111</v>
      </c>
      <c r="K5283" s="2" t="s">
        <v>495</v>
      </c>
      <c r="L5283" s="13" t="s">
        <v>496</v>
      </c>
      <c r="M5283" s="2" t="s">
        <v>26</v>
      </c>
      <c r="N5283" s="29"/>
      <c r="O5283" s="29"/>
      <c r="P5283" s="5" t="str">
        <f>IFERROR(__xludf.DUMMYFUNCTION("TEXTJOIN("" | "",TRUE,IF(OR(D5283="""",E5283="""",I5283="""",J5283="""",H5283=""""),""ফাঁকা ঘর"",""""),IF(AND(C5283&lt;&gt;"""",D5283&lt;&gt;"""",C5283=D5283),""gloss=figurative"",""""),IF(LEN(D5283)&lt;15,""figurative ছোট"",""""),IF(AND(I5283=""Positive"",REGEXMATCH(H5"&amp;"283,""মূর্খ|ভণ্ড|প্রতার|অলস|লোভ|স্বার্থ|অক্ষম|অযোগ্য|বোকা|কৃপণ|হিংস"")),""valence-target অমিল"",""""),IF(COUNTIF($B:$B,B5283)&gt;1,""ডুপ্লিকেট"",""""))"),"")</f>
        <v/>
      </c>
      <c r="Q5283" s="5" t="str">
        <f t="shared" si="1"/>
        <v>২ পরে</v>
      </c>
    </row>
    <row r="5284">
      <c r="A5284" s="4">
        <v>3136.0</v>
      </c>
      <c r="B5284" s="2" t="s">
        <v>21615</v>
      </c>
      <c r="C5284" s="2" t="s">
        <v>21616</v>
      </c>
      <c r="D5284" s="2" t="s">
        <v>21617</v>
      </c>
      <c r="E5284" s="2" t="s">
        <v>21618</v>
      </c>
      <c r="F5284" s="2" t="b">
        <v>1</v>
      </c>
      <c r="G5284" s="2" t="b">
        <v>0</v>
      </c>
      <c r="H5284" s="2" t="s">
        <v>37</v>
      </c>
      <c r="I5284" s="2" t="s">
        <v>32</v>
      </c>
      <c r="J5284" s="2" t="s">
        <v>1679</v>
      </c>
      <c r="K5284" s="2" t="s">
        <v>495</v>
      </c>
      <c r="L5284" s="13" t="s">
        <v>496</v>
      </c>
      <c r="M5284" s="2" t="s">
        <v>26</v>
      </c>
      <c r="N5284" s="29"/>
      <c r="O5284" s="29"/>
      <c r="P5284" s="5" t="str">
        <f>IFERROR(__xludf.DUMMYFUNCTION("TEXTJOIN("" | "",TRUE,IF(OR(D5284="""",E5284="""",I5284="""",J5284="""",H5284=""""),""ফাঁকা ঘর"",""""),IF(AND(C5284&lt;&gt;"""",D5284&lt;&gt;"""",C5284=D5284),""gloss=figurative"",""""),IF(LEN(D5284)&lt;15,""figurative ছোট"",""""),IF(AND(I5284=""Positive"",REGEXMATCH(H5"&amp;"284,""মূর্খ|ভণ্ড|প্রতার|অলস|লোভ|স্বার্থ|অক্ষম|অযোগ্য|বোকা|কৃপণ|হিংস"")),""valence-target অমিল"",""""),IF(COUNTIF($B:$B,B5284)&gt;1,""ডুপ্লিকেট"",""""))"),"")</f>
        <v/>
      </c>
      <c r="Q5284" s="5" t="str">
        <f t="shared" si="1"/>
        <v>২ পরে</v>
      </c>
    </row>
    <row r="5285">
      <c r="A5285" s="4">
        <v>3137.0</v>
      </c>
      <c r="B5285" s="15" t="s">
        <v>21619</v>
      </c>
      <c r="C5285" s="15" t="s">
        <v>21620</v>
      </c>
      <c r="D5285" s="2" t="s">
        <v>21621</v>
      </c>
      <c r="E5285" s="2" t="s">
        <v>21622</v>
      </c>
      <c r="F5285" s="2" t="b">
        <v>1</v>
      </c>
      <c r="G5285" s="2" t="b">
        <v>0</v>
      </c>
      <c r="H5285" s="2" t="s">
        <v>37</v>
      </c>
      <c r="I5285" s="2" t="s">
        <v>49</v>
      </c>
      <c r="J5285" s="2" t="s">
        <v>708</v>
      </c>
      <c r="K5285" s="2" t="s">
        <v>495</v>
      </c>
      <c r="L5285" s="13" t="s">
        <v>496</v>
      </c>
      <c r="M5285" s="2" t="s">
        <v>26</v>
      </c>
      <c r="N5285" s="29"/>
      <c r="O5285" s="29"/>
      <c r="P5285" s="5" t="str">
        <f>IFERROR(__xludf.DUMMYFUNCTION("TEXTJOIN("" | "",TRUE,IF(OR(D5285="""",E5285="""",I5285="""",J5285="""",H5285=""""),""ফাঁকা ঘর"",""""),IF(AND(C5285&lt;&gt;"""",D5285&lt;&gt;"""",C5285=D5285),""gloss=figurative"",""""),IF(LEN(D5285)&lt;15,""figurative ছোট"",""""),IF(AND(I5285=""Positive"",REGEXMATCH(H5"&amp;"285,""মূর্খ|ভণ্ড|প্রতার|অলস|লোভ|স্বার্থ|অক্ষম|অযোগ্য|বোকা|কৃপণ|হিংস"")),""valence-target অমিল"",""""),IF(COUNTIF($B:$B,B5285)&gt;1,""ডুপ্লিকেট"",""""))"),"")</f>
        <v/>
      </c>
      <c r="Q5285" s="5" t="str">
        <f t="shared" si="1"/>
        <v>২ পরে</v>
      </c>
    </row>
    <row r="5286">
      <c r="A5286" s="4">
        <v>3138.0</v>
      </c>
      <c r="B5286" s="2" t="s">
        <v>21623</v>
      </c>
      <c r="C5286" s="2" t="s">
        <v>21624</v>
      </c>
      <c r="D5286" s="2" t="s">
        <v>21625</v>
      </c>
      <c r="E5286" s="2" t="s">
        <v>21626</v>
      </c>
      <c r="F5286" s="2" t="b">
        <v>1</v>
      </c>
      <c r="G5286" s="2" t="b">
        <v>0</v>
      </c>
      <c r="H5286" s="2" t="s">
        <v>37</v>
      </c>
      <c r="I5286" s="2" t="s">
        <v>22</v>
      </c>
      <c r="J5286" s="2" t="s">
        <v>1712</v>
      </c>
      <c r="K5286" s="2" t="s">
        <v>495</v>
      </c>
      <c r="L5286" s="13" t="s">
        <v>496</v>
      </c>
      <c r="M5286" s="2" t="s">
        <v>26</v>
      </c>
      <c r="N5286" s="29"/>
      <c r="O5286" s="29"/>
      <c r="P5286" s="5" t="str">
        <f>IFERROR(__xludf.DUMMYFUNCTION("TEXTJOIN("" | "",TRUE,IF(OR(D5286="""",E5286="""",I5286="""",J5286="""",H5286=""""),""ফাঁকা ঘর"",""""),IF(AND(C5286&lt;&gt;"""",D5286&lt;&gt;"""",C5286=D5286),""gloss=figurative"",""""),IF(LEN(D5286)&lt;15,""figurative ছোট"",""""),IF(AND(I5286=""Positive"",REGEXMATCH(H5"&amp;"286,""মূর্খ|ভণ্ড|প্রতার|অলস|লোভ|স্বার্থ|অক্ষম|অযোগ্য|বোকা|কৃপণ|হিংস"")),""valence-target অমিল"",""""),IF(COUNTIF($B:$B,B5286)&gt;1,""ডুপ্লিকেট"",""""))"),"")</f>
        <v/>
      </c>
      <c r="Q5286" s="5" t="str">
        <f t="shared" si="1"/>
        <v>২ পরে</v>
      </c>
    </row>
    <row r="5287">
      <c r="A5287" s="4">
        <v>3139.0</v>
      </c>
      <c r="B5287" s="2" t="s">
        <v>21627</v>
      </c>
      <c r="C5287" s="2" t="s">
        <v>21628</v>
      </c>
      <c r="D5287" s="2" t="s">
        <v>21629</v>
      </c>
      <c r="E5287" s="2" t="s">
        <v>21630</v>
      </c>
      <c r="F5287" s="2" t="b">
        <v>1</v>
      </c>
      <c r="G5287" s="2" t="b">
        <v>0</v>
      </c>
      <c r="H5287" s="2" t="s">
        <v>37</v>
      </c>
      <c r="I5287" s="2" t="s">
        <v>22</v>
      </c>
      <c r="J5287" s="2" t="s">
        <v>3156</v>
      </c>
      <c r="K5287" s="2" t="s">
        <v>495</v>
      </c>
      <c r="L5287" s="13" t="s">
        <v>496</v>
      </c>
      <c r="M5287" s="2" t="s">
        <v>26</v>
      </c>
      <c r="N5287" s="29"/>
      <c r="O5287" s="29"/>
      <c r="P5287" s="5" t="str">
        <f>IFERROR(__xludf.DUMMYFUNCTION("TEXTJOIN("" | "",TRUE,IF(OR(D5287="""",E5287="""",I5287="""",J5287="""",H5287=""""),""ফাঁকা ঘর"",""""),IF(AND(C5287&lt;&gt;"""",D5287&lt;&gt;"""",C5287=D5287),""gloss=figurative"",""""),IF(LEN(D5287)&lt;15,""figurative ছোট"",""""),IF(AND(I5287=""Positive"",REGEXMATCH(H5"&amp;"287,""মূর্খ|ভণ্ড|প্রতার|অলস|লোভ|স্বার্থ|অক্ষম|অযোগ্য|বোকা|কৃপণ|হিংস"")),""valence-target অমিল"",""""),IF(COUNTIF($B:$B,B5287)&gt;1,""ডুপ্লিকেট"",""""))"),"")</f>
        <v/>
      </c>
      <c r="Q5287" s="5" t="str">
        <f t="shared" si="1"/>
        <v>২ পরে</v>
      </c>
    </row>
    <row r="5288">
      <c r="A5288" s="4">
        <v>3140.0</v>
      </c>
      <c r="B5288" s="2" t="s">
        <v>21631</v>
      </c>
      <c r="C5288" s="2" t="s">
        <v>21632</v>
      </c>
      <c r="D5288" s="2" t="s">
        <v>21633</v>
      </c>
      <c r="E5288" s="2" t="s">
        <v>21634</v>
      </c>
      <c r="F5288" s="2" t="b">
        <v>1</v>
      </c>
      <c r="G5288" s="2" t="b">
        <v>0</v>
      </c>
      <c r="H5288" s="2" t="s">
        <v>37</v>
      </c>
      <c r="I5288" s="2" t="s">
        <v>22</v>
      </c>
      <c r="J5288" s="2" t="s">
        <v>21635</v>
      </c>
      <c r="K5288" s="2" t="s">
        <v>495</v>
      </c>
      <c r="L5288" s="13" t="s">
        <v>496</v>
      </c>
      <c r="M5288" s="2" t="s">
        <v>26</v>
      </c>
      <c r="N5288" s="29"/>
      <c r="O5288" s="29"/>
      <c r="P5288" s="5" t="str">
        <f>IFERROR(__xludf.DUMMYFUNCTION("TEXTJOIN("" | "",TRUE,IF(OR(D5288="""",E5288="""",I5288="""",J5288="""",H5288=""""),""ফাঁকা ঘর"",""""),IF(AND(C5288&lt;&gt;"""",D5288&lt;&gt;"""",C5288=D5288),""gloss=figurative"",""""),IF(LEN(D5288)&lt;15,""figurative ছোট"",""""),IF(AND(I5288=""Positive"",REGEXMATCH(H5"&amp;"288,""মূর্খ|ভণ্ড|প্রতার|অলস|লোভ|স্বার্থ|অক্ষম|অযোগ্য|বোকা|কৃপণ|হিংস"")),""valence-target অমিল"",""""),IF(COUNTIF($B:$B,B5288)&gt;1,""ডুপ্লিকেট"",""""))"),"")</f>
        <v/>
      </c>
      <c r="Q5288" s="5" t="str">
        <f t="shared" si="1"/>
        <v>২ পরে</v>
      </c>
    </row>
    <row r="5289">
      <c r="A5289" s="4">
        <v>3141.0</v>
      </c>
      <c r="B5289" s="2" t="s">
        <v>21636</v>
      </c>
      <c r="C5289" s="2" t="s">
        <v>21637</v>
      </c>
      <c r="D5289" s="2" t="s">
        <v>21638</v>
      </c>
      <c r="E5289" s="2" t="s">
        <v>21639</v>
      </c>
      <c r="F5289" s="2" t="b">
        <v>1</v>
      </c>
      <c r="G5289" s="2" t="b">
        <v>0</v>
      </c>
      <c r="H5289" s="2" t="s">
        <v>37</v>
      </c>
      <c r="I5289" s="2" t="s">
        <v>22</v>
      </c>
      <c r="J5289" s="2" t="s">
        <v>21640</v>
      </c>
      <c r="K5289" s="2" t="s">
        <v>495</v>
      </c>
      <c r="L5289" s="13" t="s">
        <v>496</v>
      </c>
      <c r="M5289" s="2" t="s">
        <v>26</v>
      </c>
      <c r="N5289" s="29"/>
      <c r="O5289" s="29"/>
      <c r="P5289" s="5" t="str">
        <f>IFERROR(__xludf.DUMMYFUNCTION("TEXTJOIN("" | "",TRUE,IF(OR(D5289="""",E5289="""",I5289="""",J5289="""",H5289=""""),""ফাঁকা ঘর"",""""),IF(AND(C5289&lt;&gt;"""",D5289&lt;&gt;"""",C5289=D5289),""gloss=figurative"",""""),IF(LEN(D5289)&lt;15,""figurative ছোট"",""""),IF(AND(I5289=""Positive"",REGEXMATCH(H5"&amp;"289,""মূর্খ|ভণ্ড|প্রতার|অলস|লোভ|স্বার্থ|অক্ষম|অযোগ্য|বোকা|কৃপণ|হিংস"")),""valence-target অমিল"",""""),IF(COUNTIF($B:$B,B5289)&gt;1,""ডুপ্লিকেট"",""""))"),"")</f>
        <v/>
      </c>
      <c r="Q5289" s="5" t="str">
        <f t="shared" si="1"/>
        <v>২ পরে</v>
      </c>
    </row>
    <row r="5290">
      <c r="A5290" s="4">
        <v>3142.0</v>
      </c>
      <c r="B5290" s="2" t="s">
        <v>21641</v>
      </c>
      <c r="C5290" s="2" t="s">
        <v>21642</v>
      </c>
      <c r="D5290" s="2" t="s">
        <v>21643</v>
      </c>
      <c r="E5290" s="2" t="s">
        <v>21644</v>
      </c>
      <c r="F5290" s="2" t="b">
        <v>1</v>
      </c>
      <c r="G5290" s="2" t="b">
        <v>0</v>
      </c>
      <c r="H5290" s="2" t="s">
        <v>37</v>
      </c>
      <c r="I5290" s="2" t="s">
        <v>49</v>
      </c>
      <c r="J5290" s="2" t="s">
        <v>690</v>
      </c>
      <c r="K5290" s="2" t="s">
        <v>495</v>
      </c>
      <c r="L5290" s="13" t="s">
        <v>496</v>
      </c>
      <c r="M5290" s="2" t="s">
        <v>26</v>
      </c>
      <c r="N5290" s="29"/>
      <c r="O5290" s="29"/>
      <c r="P5290" s="5" t="str">
        <f>IFERROR(__xludf.DUMMYFUNCTION("TEXTJOIN("" | "",TRUE,IF(OR(D5290="""",E5290="""",I5290="""",J5290="""",H5290=""""),""ফাঁকা ঘর"",""""),IF(AND(C5290&lt;&gt;"""",D5290&lt;&gt;"""",C5290=D5290),""gloss=figurative"",""""),IF(LEN(D5290)&lt;15,""figurative ছোট"",""""),IF(AND(I5290=""Positive"",REGEXMATCH(H5"&amp;"290,""মূর্খ|ভণ্ড|প্রতার|অলস|লোভ|স্বার্থ|অক্ষম|অযোগ্য|বোকা|কৃপণ|হিংস"")),""valence-target অমিল"",""""),IF(COUNTIF($B:$B,B5290)&gt;1,""ডুপ্লিকেট"",""""))"),"")</f>
        <v/>
      </c>
      <c r="Q5290" s="5" t="str">
        <f t="shared" si="1"/>
        <v>২ পরে</v>
      </c>
    </row>
    <row r="5291">
      <c r="A5291" s="4">
        <v>3143.0</v>
      </c>
      <c r="B5291" s="2" t="s">
        <v>21645</v>
      </c>
      <c r="C5291" s="2" t="s">
        <v>21646</v>
      </c>
      <c r="D5291" s="2" t="s">
        <v>21647</v>
      </c>
      <c r="E5291" s="2" t="s">
        <v>21648</v>
      </c>
      <c r="F5291" s="2" t="b">
        <v>1</v>
      </c>
      <c r="G5291" s="2" t="b">
        <v>0</v>
      </c>
      <c r="H5291" s="2" t="s">
        <v>37</v>
      </c>
      <c r="I5291" s="2" t="s">
        <v>32</v>
      </c>
      <c r="J5291" s="2" t="s">
        <v>502</v>
      </c>
      <c r="K5291" s="2" t="s">
        <v>495</v>
      </c>
      <c r="L5291" s="13" t="s">
        <v>496</v>
      </c>
      <c r="M5291" s="2" t="s">
        <v>26</v>
      </c>
      <c r="N5291" s="29"/>
      <c r="O5291" s="29"/>
      <c r="P5291" s="5" t="str">
        <f>IFERROR(__xludf.DUMMYFUNCTION("TEXTJOIN("" | "",TRUE,IF(OR(D5291="""",E5291="""",I5291="""",J5291="""",H5291=""""),""ফাঁকা ঘর"",""""),IF(AND(C5291&lt;&gt;"""",D5291&lt;&gt;"""",C5291=D5291),""gloss=figurative"",""""),IF(LEN(D5291)&lt;15,""figurative ছোট"",""""),IF(AND(I5291=""Positive"",REGEXMATCH(H5"&amp;"291,""মূর্খ|ভণ্ড|প্রতার|অলস|লোভ|স্বার্থ|অক্ষম|অযোগ্য|বোকা|কৃপণ|হিংস"")),""valence-target অমিল"",""""),IF(COUNTIF($B:$B,B5291)&gt;1,""ডুপ্লিকেট"",""""))"),"")</f>
        <v/>
      </c>
      <c r="Q5291" s="5" t="str">
        <f t="shared" si="1"/>
        <v>২ পরে</v>
      </c>
    </row>
    <row r="5292">
      <c r="A5292" s="4">
        <v>3144.0</v>
      </c>
      <c r="B5292" s="2" t="s">
        <v>21649</v>
      </c>
      <c r="C5292" s="2" t="s">
        <v>21650</v>
      </c>
      <c r="D5292" s="2" t="s">
        <v>21651</v>
      </c>
      <c r="E5292" s="2" t="s">
        <v>21652</v>
      </c>
      <c r="F5292" s="2" t="b">
        <v>1</v>
      </c>
      <c r="G5292" s="2" t="b">
        <v>0</v>
      </c>
      <c r="H5292" s="2" t="s">
        <v>37</v>
      </c>
      <c r="I5292" s="2" t="s">
        <v>32</v>
      </c>
      <c r="J5292" s="2" t="s">
        <v>655</v>
      </c>
      <c r="K5292" s="2" t="s">
        <v>495</v>
      </c>
      <c r="L5292" s="13" t="s">
        <v>496</v>
      </c>
      <c r="M5292" s="2" t="s">
        <v>26</v>
      </c>
      <c r="N5292" s="29"/>
      <c r="O5292" s="29"/>
      <c r="P5292" s="5" t="str">
        <f>IFERROR(__xludf.DUMMYFUNCTION("TEXTJOIN("" | "",TRUE,IF(OR(D5292="""",E5292="""",I5292="""",J5292="""",H5292=""""),""ফাঁকা ঘর"",""""),IF(AND(C5292&lt;&gt;"""",D5292&lt;&gt;"""",C5292=D5292),""gloss=figurative"",""""),IF(LEN(D5292)&lt;15,""figurative ছোট"",""""),IF(AND(I5292=""Positive"",REGEXMATCH(H5"&amp;"292,""মূর্খ|ভণ্ড|প্রতার|অলস|লোভ|স্বার্থ|অক্ষম|অযোগ্য|বোকা|কৃপণ|হিংস"")),""valence-target অমিল"",""""),IF(COUNTIF($B:$B,B5292)&gt;1,""ডুপ্লিকেট"",""""))"),"")</f>
        <v/>
      </c>
      <c r="Q5292" s="5" t="str">
        <f t="shared" si="1"/>
        <v>২ পরে</v>
      </c>
    </row>
    <row r="5293">
      <c r="A5293" s="4">
        <v>3146.0</v>
      </c>
      <c r="B5293" s="2" t="s">
        <v>21653</v>
      </c>
      <c r="C5293" s="2" t="s">
        <v>21654</v>
      </c>
      <c r="D5293" s="2" t="s">
        <v>21655</v>
      </c>
      <c r="E5293" s="2" t="s">
        <v>21656</v>
      </c>
      <c r="F5293" s="2" t="b">
        <v>1</v>
      </c>
      <c r="G5293" s="2" t="b">
        <v>1</v>
      </c>
      <c r="H5293" s="2" t="s">
        <v>21523</v>
      </c>
      <c r="I5293" s="2" t="s">
        <v>49</v>
      </c>
      <c r="J5293" s="2" t="s">
        <v>3327</v>
      </c>
      <c r="K5293" s="2" t="s">
        <v>495</v>
      </c>
      <c r="L5293" s="13" t="s">
        <v>496</v>
      </c>
      <c r="M5293" s="2" t="s">
        <v>26</v>
      </c>
      <c r="N5293" s="29"/>
      <c r="O5293" s="29"/>
      <c r="P5293" s="5" t="str">
        <f>IFERROR(__xludf.DUMMYFUNCTION("TEXTJOIN("" | "",TRUE,IF(OR(D5293="""",E5293="""",I5293="""",J5293="""",H5293=""""),""ফাঁকা ঘর"",""""),IF(AND(C5293&lt;&gt;"""",D5293&lt;&gt;"""",C5293=D5293),""gloss=figurative"",""""),IF(LEN(D5293)&lt;15,""figurative ছোট"",""""),IF(AND(I5293=""Positive"",REGEXMATCH(H5"&amp;"293,""মূর্খ|ভণ্ড|প্রতার|অলস|লোভ|স্বার্থ|অক্ষম|অযোগ্য|বোকা|কৃপণ|হিংস"")),""valence-target অমিল"",""""),IF(COUNTIF($B:$B,B5293)&gt;1,""ডুপ্লিকেট"",""""))"),"")</f>
        <v/>
      </c>
      <c r="Q5293" s="5" t="str">
        <f t="shared" si="1"/>
        <v>২ পরে</v>
      </c>
    </row>
    <row r="5294">
      <c r="A5294" s="4">
        <v>3148.0</v>
      </c>
      <c r="B5294" s="2" t="s">
        <v>21657</v>
      </c>
      <c r="C5294" s="2" t="s">
        <v>21658</v>
      </c>
      <c r="D5294" s="2" t="s">
        <v>21659</v>
      </c>
      <c r="E5294" s="2" t="s">
        <v>21660</v>
      </c>
      <c r="F5294" s="2" t="b">
        <v>1</v>
      </c>
      <c r="G5294" s="2" t="b">
        <v>0</v>
      </c>
      <c r="H5294" s="2" t="s">
        <v>37</v>
      </c>
      <c r="I5294" s="2" t="s">
        <v>49</v>
      </c>
      <c r="J5294" s="2" t="s">
        <v>7857</v>
      </c>
      <c r="K5294" s="2" t="s">
        <v>495</v>
      </c>
      <c r="L5294" s="13" t="s">
        <v>496</v>
      </c>
      <c r="M5294" s="2" t="s">
        <v>26</v>
      </c>
      <c r="N5294" s="29"/>
      <c r="O5294" s="29"/>
      <c r="P5294" s="5" t="str">
        <f>IFERROR(__xludf.DUMMYFUNCTION("TEXTJOIN("" | "",TRUE,IF(OR(D5294="""",E5294="""",I5294="""",J5294="""",H5294=""""),""ফাঁকা ঘর"",""""),IF(AND(C5294&lt;&gt;"""",D5294&lt;&gt;"""",C5294=D5294),""gloss=figurative"",""""),IF(LEN(D5294)&lt;15,""figurative ছোট"",""""),IF(AND(I5294=""Positive"",REGEXMATCH(H5"&amp;"294,""মূর্খ|ভণ্ড|প্রতার|অলস|লোভ|স্বার্থ|অক্ষম|অযোগ্য|বোকা|কৃপণ|হিংস"")),""valence-target অমিল"",""""),IF(COUNTIF($B:$B,B5294)&gt;1,""ডুপ্লিকেট"",""""))"),"")</f>
        <v/>
      </c>
      <c r="Q5294" s="5" t="str">
        <f t="shared" si="1"/>
        <v>২ পরে</v>
      </c>
    </row>
    <row r="5295">
      <c r="A5295" s="4">
        <v>3149.0</v>
      </c>
      <c r="B5295" s="2" t="s">
        <v>21661</v>
      </c>
      <c r="C5295" s="2" t="s">
        <v>21662</v>
      </c>
      <c r="D5295" s="2" t="s">
        <v>21663</v>
      </c>
      <c r="E5295" s="2" t="s">
        <v>21664</v>
      </c>
      <c r="F5295" s="2" t="b">
        <v>1</v>
      </c>
      <c r="G5295" s="2" t="b">
        <v>0</v>
      </c>
      <c r="H5295" s="2" t="s">
        <v>37</v>
      </c>
      <c r="I5295" s="2" t="s">
        <v>22</v>
      </c>
      <c r="J5295" s="2" t="s">
        <v>762</v>
      </c>
      <c r="K5295" s="2" t="s">
        <v>495</v>
      </c>
      <c r="L5295" s="13" t="s">
        <v>496</v>
      </c>
      <c r="M5295" s="2" t="s">
        <v>26</v>
      </c>
      <c r="N5295" s="29"/>
      <c r="O5295" s="29"/>
      <c r="P5295" s="5" t="str">
        <f>IFERROR(__xludf.DUMMYFUNCTION("TEXTJOIN("" | "",TRUE,IF(OR(D5295="""",E5295="""",I5295="""",J5295="""",H5295=""""),""ফাঁকা ঘর"",""""),IF(AND(C5295&lt;&gt;"""",D5295&lt;&gt;"""",C5295=D5295),""gloss=figurative"",""""),IF(LEN(D5295)&lt;15,""figurative ছোট"",""""),IF(AND(I5295=""Positive"",REGEXMATCH(H5"&amp;"295,""মূর্খ|ভণ্ড|প্রতার|অলস|লোভ|স্বার্থ|অক্ষম|অযোগ্য|বোকা|কৃপণ|হিংস"")),""valence-target অমিল"",""""),IF(COUNTIF($B:$B,B5295)&gt;1,""ডুপ্লিকেট"",""""))"),"")</f>
        <v/>
      </c>
      <c r="Q5295" s="5" t="str">
        <f t="shared" si="1"/>
        <v>২ পরে</v>
      </c>
    </row>
    <row r="5296">
      <c r="A5296" s="4">
        <v>3150.0</v>
      </c>
      <c r="B5296" s="2" t="s">
        <v>21665</v>
      </c>
      <c r="C5296" s="2" t="s">
        <v>21666</v>
      </c>
      <c r="D5296" s="2" t="s">
        <v>21667</v>
      </c>
      <c r="E5296" s="2" t="s">
        <v>21668</v>
      </c>
      <c r="F5296" s="2" t="b">
        <v>1</v>
      </c>
      <c r="G5296" s="2" t="b">
        <v>0</v>
      </c>
      <c r="H5296" s="2" t="s">
        <v>37</v>
      </c>
      <c r="I5296" s="2" t="s">
        <v>22</v>
      </c>
      <c r="J5296" s="2" t="s">
        <v>1630</v>
      </c>
      <c r="K5296" s="2" t="s">
        <v>495</v>
      </c>
      <c r="L5296" s="13" t="s">
        <v>496</v>
      </c>
      <c r="M5296" s="2" t="s">
        <v>26</v>
      </c>
      <c r="N5296" s="29"/>
      <c r="O5296" s="29"/>
      <c r="P5296" s="5" t="str">
        <f>IFERROR(__xludf.DUMMYFUNCTION("TEXTJOIN("" | "",TRUE,IF(OR(D5296="""",E5296="""",I5296="""",J5296="""",H5296=""""),""ফাঁকা ঘর"",""""),IF(AND(C5296&lt;&gt;"""",D5296&lt;&gt;"""",C5296=D5296),""gloss=figurative"",""""),IF(LEN(D5296)&lt;15,""figurative ছোট"",""""),IF(AND(I5296=""Positive"",REGEXMATCH(H5"&amp;"296,""মূর্খ|ভণ্ড|প্রতার|অলস|লোভ|স্বার্থ|অক্ষম|অযোগ্য|বোকা|কৃপণ|হিংস"")),""valence-target অমিল"",""""),IF(COUNTIF($B:$B,B5296)&gt;1,""ডুপ্লিকেট"",""""))"),"")</f>
        <v/>
      </c>
      <c r="Q5296" s="5" t="str">
        <f t="shared" si="1"/>
        <v>২ পরে</v>
      </c>
    </row>
    <row r="5297">
      <c r="A5297" s="4">
        <v>3151.0</v>
      </c>
      <c r="B5297" s="2" t="s">
        <v>21669</v>
      </c>
      <c r="C5297" s="2" t="s">
        <v>21670</v>
      </c>
      <c r="D5297" s="2" t="s">
        <v>21671</v>
      </c>
      <c r="E5297" s="2" t="s">
        <v>21672</v>
      </c>
      <c r="F5297" s="2" t="b">
        <v>1</v>
      </c>
      <c r="G5297" s="2" t="b">
        <v>0</v>
      </c>
      <c r="H5297" s="2" t="s">
        <v>37</v>
      </c>
      <c r="I5297" s="2" t="s">
        <v>32</v>
      </c>
      <c r="J5297" s="2" t="s">
        <v>729</v>
      </c>
      <c r="K5297" s="2" t="s">
        <v>495</v>
      </c>
      <c r="L5297" s="13" t="s">
        <v>496</v>
      </c>
      <c r="M5297" s="2" t="s">
        <v>26</v>
      </c>
      <c r="N5297" s="29"/>
      <c r="O5297" s="29"/>
      <c r="P5297" s="5" t="str">
        <f>IFERROR(__xludf.DUMMYFUNCTION("TEXTJOIN("" | "",TRUE,IF(OR(D5297="""",E5297="""",I5297="""",J5297="""",H5297=""""),""ফাঁকা ঘর"",""""),IF(AND(C5297&lt;&gt;"""",D5297&lt;&gt;"""",C5297=D5297),""gloss=figurative"",""""),IF(LEN(D5297)&lt;15,""figurative ছোট"",""""),IF(AND(I5297=""Positive"",REGEXMATCH(H5"&amp;"297,""মূর্খ|ভণ্ড|প্রতার|অলস|লোভ|স্বার্থ|অক্ষম|অযোগ্য|বোকা|কৃপণ|হিংস"")),""valence-target অমিল"",""""),IF(COUNTIF($B:$B,B5297)&gt;1,""ডুপ্লিকেট"",""""))"),"")</f>
        <v/>
      </c>
      <c r="Q5297" s="5" t="str">
        <f t="shared" si="1"/>
        <v>২ পরে</v>
      </c>
    </row>
    <row r="5298">
      <c r="A5298" s="4">
        <v>3152.0</v>
      </c>
      <c r="B5298" s="2" t="s">
        <v>21673</v>
      </c>
      <c r="C5298" s="2" t="s">
        <v>21673</v>
      </c>
      <c r="D5298" s="2" t="s">
        <v>21674</v>
      </c>
      <c r="E5298" s="2" t="s">
        <v>21675</v>
      </c>
      <c r="F5298" s="2" t="b">
        <v>1</v>
      </c>
      <c r="G5298" s="2" t="b">
        <v>1</v>
      </c>
      <c r="H5298" s="2" t="s">
        <v>21676</v>
      </c>
      <c r="I5298" s="2" t="s">
        <v>22</v>
      </c>
      <c r="J5298" s="2" t="s">
        <v>21677</v>
      </c>
      <c r="K5298" s="2" t="s">
        <v>495</v>
      </c>
      <c r="L5298" s="13" t="s">
        <v>496</v>
      </c>
      <c r="M5298" s="2" t="s">
        <v>26</v>
      </c>
      <c r="N5298" s="29"/>
      <c r="O5298" s="29"/>
      <c r="P5298" s="5" t="str">
        <f>IFERROR(__xludf.DUMMYFUNCTION("TEXTJOIN("" | "",TRUE,IF(OR(D5298="""",E5298="""",I5298="""",J5298="""",H5298=""""),""ফাঁকা ঘর"",""""),IF(AND(C5298&lt;&gt;"""",D5298&lt;&gt;"""",C5298=D5298),""gloss=figurative"",""""),IF(LEN(D5298)&lt;15,""figurative ছোট"",""""),IF(AND(I5298=""Positive"",REGEXMATCH(H5"&amp;"298,""মূর্খ|ভণ্ড|প্রতার|অলস|লোভ|স্বার্থ|অক্ষম|অযোগ্য|বোকা|কৃপণ|হিংস"")),""valence-target অমিল"",""""),IF(COUNTIF($B:$B,B5298)&gt;1,""ডুপ্লিকেট"",""""))"),"")</f>
        <v/>
      </c>
      <c r="Q5298" s="5" t="str">
        <f t="shared" si="1"/>
        <v>২ পরে</v>
      </c>
    </row>
    <row r="5299">
      <c r="A5299" s="4">
        <v>3153.0</v>
      </c>
      <c r="B5299" s="2" t="s">
        <v>21678</v>
      </c>
      <c r="C5299" s="2" t="s">
        <v>21679</v>
      </c>
      <c r="D5299" s="2" t="s">
        <v>21680</v>
      </c>
      <c r="E5299" s="2" t="s">
        <v>21681</v>
      </c>
      <c r="F5299" s="2" t="b">
        <v>1</v>
      </c>
      <c r="G5299" s="2" t="b">
        <v>0</v>
      </c>
      <c r="H5299" s="2" t="s">
        <v>37</v>
      </c>
      <c r="I5299" s="2" t="s">
        <v>22</v>
      </c>
      <c r="J5299" s="2" t="s">
        <v>590</v>
      </c>
      <c r="K5299" s="2" t="s">
        <v>495</v>
      </c>
      <c r="L5299" s="13" t="s">
        <v>496</v>
      </c>
      <c r="M5299" s="2" t="s">
        <v>26</v>
      </c>
      <c r="N5299" s="29"/>
      <c r="O5299" s="29"/>
      <c r="P5299" s="5" t="str">
        <f>IFERROR(__xludf.DUMMYFUNCTION("TEXTJOIN("" | "",TRUE,IF(OR(D5299="""",E5299="""",I5299="""",J5299="""",H5299=""""),""ফাঁকা ঘর"",""""),IF(AND(C5299&lt;&gt;"""",D5299&lt;&gt;"""",C5299=D5299),""gloss=figurative"",""""),IF(LEN(D5299)&lt;15,""figurative ছোট"",""""),IF(AND(I5299=""Positive"",REGEXMATCH(H5"&amp;"299,""মূর্খ|ভণ্ড|প্রতার|অলস|লোভ|স্বার্থ|অক্ষম|অযোগ্য|বোকা|কৃপণ|হিংস"")),""valence-target অমিল"",""""),IF(COUNTIF($B:$B,B5299)&gt;1,""ডুপ্লিকেট"",""""))"),"")</f>
        <v/>
      </c>
      <c r="Q5299" s="5" t="str">
        <f t="shared" si="1"/>
        <v>২ পরে</v>
      </c>
    </row>
    <row r="5300">
      <c r="A5300" s="4">
        <v>3154.0</v>
      </c>
      <c r="B5300" s="2" t="s">
        <v>21682</v>
      </c>
      <c r="C5300" s="2" t="s">
        <v>21683</v>
      </c>
      <c r="D5300" s="2" t="s">
        <v>21684</v>
      </c>
      <c r="E5300" s="2" t="s">
        <v>21685</v>
      </c>
      <c r="F5300" s="2" t="b">
        <v>1</v>
      </c>
      <c r="G5300" s="2" t="b">
        <v>0</v>
      </c>
      <c r="H5300" s="2" t="s">
        <v>37</v>
      </c>
      <c r="I5300" s="2" t="s">
        <v>22</v>
      </c>
      <c r="J5300" s="2" t="s">
        <v>601</v>
      </c>
      <c r="K5300" s="2" t="s">
        <v>495</v>
      </c>
      <c r="L5300" s="13" t="s">
        <v>496</v>
      </c>
      <c r="M5300" s="2" t="s">
        <v>26</v>
      </c>
      <c r="N5300" s="29"/>
      <c r="O5300" s="29"/>
      <c r="P5300" s="5" t="str">
        <f>IFERROR(__xludf.DUMMYFUNCTION("TEXTJOIN("" | "",TRUE,IF(OR(D5300="""",E5300="""",I5300="""",J5300="""",H5300=""""),""ফাঁকা ঘর"",""""),IF(AND(C5300&lt;&gt;"""",D5300&lt;&gt;"""",C5300=D5300),""gloss=figurative"",""""),IF(LEN(D5300)&lt;15,""figurative ছোট"",""""),IF(AND(I5300=""Positive"",REGEXMATCH(H5"&amp;"300,""মূর্খ|ভণ্ড|প্রতার|অলস|লোভ|স্বার্থ|অক্ষম|অযোগ্য|বোকা|কৃপণ|হিংস"")),""valence-target অমিল"",""""),IF(COUNTIF($B:$B,B5300)&gt;1,""ডুপ্লিকেট"",""""))"),"")</f>
        <v/>
      </c>
      <c r="Q5300" s="5" t="str">
        <f t="shared" si="1"/>
        <v>২ পরে</v>
      </c>
    </row>
    <row r="5301">
      <c r="A5301" s="4">
        <v>3155.0</v>
      </c>
      <c r="B5301" s="2" t="s">
        <v>21686</v>
      </c>
      <c r="C5301" s="2" t="s">
        <v>21687</v>
      </c>
      <c r="D5301" s="2" t="s">
        <v>21688</v>
      </c>
      <c r="E5301" s="2" t="s">
        <v>21689</v>
      </c>
      <c r="F5301" s="2" t="b">
        <v>1</v>
      </c>
      <c r="G5301" s="2" t="b">
        <v>0</v>
      </c>
      <c r="H5301" s="2" t="s">
        <v>37</v>
      </c>
      <c r="I5301" s="2" t="s">
        <v>22</v>
      </c>
      <c r="J5301" s="2" t="s">
        <v>2671</v>
      </c>
      <c r="K5301" s="2" t="s">
        <v>495</v>
      </c>
      <c r="L5301" s="13" t="s">
        <v>496</v>
      </c>
      <c r="M5301" s="2" t="s">
        <v>26</v>
      </c>
      <c r="N5301" s="29"/>
      <c r="O5301" s="29"/>
      <c r="P5301" s="5" t="str">
        <f>IFERROR(__xludf.DUMMYFUNCTION("TEXTJOIN("" | "",TRUE,IF(OR(D5301="""",E5301="""",I5301="""",J5301="""",H5301=""""),""ফাঁকা ঘর"",""""),IF(AND(C5301&lt;&gt;"""",D5301&lt;&gt;"""",C5301=D5301),""gloss=figurative"",""""),IF(LEN(D5301)&lt;15,""figurative ছোট"",""""),IF(AND(I5301=""Positive"",REGEXMATCH(H5"&amp;"301,""মূর্খ|ভণ্ড|প্রতার|অলস|লোভ|স্বার্থ|অক্ষম|অযোগ্য|বোকা|কৃপণ|হিংস"")),""valence-target অমিল"",""""),IF(COUNTIF($B:$B,B5301)&gt;1,""ডুপ্লিকেট"",""""))"),"")</f>
        <v/>
      </c>
      <c r="Q5301" s="5" t="str">
        <f t="shared" si="1"/>
        <v>২ পরে</v>
      </c>
    </row>
    <row r="5302">
      <c r="A5302" s="4">
        <v>3156.0</v>
      </c>
      <c r="B5302" s="2" t="s">
        <v>21690</v>
      </c>
      <c r="C5302" s="2" t="s">
        <v>21691</v>
      </c>
      <c r="D5302" s="2" t="s">
        <v>21692</v>
      </c>
      <c r="E5302" s="2" t="s">
        <v>21693</v>
      </c>
      <c r="F5302" s="2" t="b">
        <v>1</v>
      </c>
      <c r="G5302" s="2" t="b">
        <v>0</v>
      </c>
      <c r="H5302" s="2" t="s">
        <v>37</v>
      </c>
      <c r="I5302" s="2" t="s">
        <v>32</v>
      </c>
      <c r="J5302" s="2" t="s">
        <v>21694</v>
      </c>
      <c r="K5302" s="2" t="s">
        <v>495</v>
      </c>
      <c r="L5302" s="13" t="s">
        <v>496</v>
      </c>
      <c r="M5302" s="2" t="s">
        <v>26</v>
      </c>
      <c r="N5302" s="29"/>
      <c r="O5302" s="29"/>
      <c r="P5302" s="5" t="str">
        <f>IFERROR(__xludf.DUMMYFUNCTION("TEXTJOIN("" | "",TRUE,IF(OR(D5302="""",E5302="""",I5302="""",J5302="""",H5302=""""),""ফাঁকা ঘর"",""""),IF(AND(C5302&lt;&gt;"""",D5302&lt;&gt;"""",C5302=D5302),""gloss=figurative"",""""),IF(LEN(D5302)&lt;15,""figurative ছোট"",""""),IF(AND(I5302=""Positive"",REGEXMATCH(H5"&amp;"302,""মূর্খ|ভণ্ড|প্রতার|অলস|লোভ|স্বার্থ|অক্ষম|অযোগ্য|বোকা|কৃপণ|হিংস"")),""valence-target অমিল"",""""),IF(COUNTIF($B:$B,B5302)&gt;1,""ডুপ্লিকেট"",""""))"),"")</f>
        <v/>
      </c>
      <c r="Q5302" s="5" t="str">
        <f t="shared" si="1"/>
        <v>২ পরে</v>
      </c>
    </row>
    <row r="5303">
      <c r="A5303" s="4">
        <v>3157.0</v>
      </c>
      <c r="B5303" s="2" t="s">
        <v>21695</v>
      </c>
      <c r="C5303" s="2" t="s">
        <v>21696</v>
      </c>
      <c r="D5303" s="2" t="s">
        <v>21697</v>
      </c>
      <c r="E5303" s="2" t="s">
        <v>21698</v>
      </c>
      <c r="F5303" s="2" t="b">
        <v>1</v>
      </c>
      <c r="G5303" s="2" t="b">
        <v>0</v>
      </c>
      <c r="H5303" s="2" t="s">
        <v>37</v>
      </c>
      <c r="I5303" s="2" t="s">
        <v>22</v>
      </c>
      <c r="J5303" s="2" t="s">
        <v>8149</v>
      </c>
      <c r="K5303" s="2" t="s">
        <v>495</v>
      </c>
      <c r="L5303" s="13" t="s">
        <v>496</v>
      </c>
      <c r="M5303" s="2" t="s">
        <v>26</v>
      </c>
      <c r="N5303" s="29"/>
      <c r="O5303" s="29"/>
      <c r="P5303" s="5" t="str">
        <f>IFERROR(__xludf.DUMMYFUNCTION("TEXTJOIN("" | "",TRUE,IF(OR(D5303="""",E5303="""",I5303="""",J5303="""",H5303=""""),""ফাঁকা ঘর"",""""),IF(AND(C5303&lt;&gt;"""",D5303&lt;&gt;"""",C5303=D5303),""gloss=figurative"",""""),IF(LEN(D5303)&lt;15,""figurative ছোট"",""""),IF(AND(I5303=""Positive"",REGEXMATCH(H5"&amp;"303,""মূর্খ|ভণ্ড|প্রতার|অলস|লোভ|স্বার্থ|অক্ষম|অযোগ্য|বোকা|কৃপণ|হিংস"")),""valence-target অমিল"",""""),IF(COUNTIF($B:$B,B5303)&gt;1,""ডুপ্লিকেট"",""""))"),"")</f>
        <v/>
      </c>
      <c r="Q5303" s="5" t="str">
        <f t="shared" si="1"/>
        <v>২ পরে</v>
      </c>
    </row>
    <row r="5304">
      <c r="A5304" s="4">
        <v>3158.0</v>
      </c>
      <c r="B5304" s="2" t="s">
        <v>21699</v>
      </c>
      <c r="C5304" s="2" t="s">
        <v>21699</v>
      </c>
      <c r="D5304" s="2" t="s">
        <v>21700</v>
      </c>
      <c r="E5304" s="2" t="s">
        <v>21701</v>
      </c>
      <c r="F5304" s="2" t="b">
        <v>1</v>
      </c>
      <c r="G5304" s="2" t="b">
        <v>0</v>
      </c>
      <c r="H5304" s="2" t="s">
        <v>37</v>
      </c>
      <c r="I5304" s="2" t="s">
        <v>22</v>
      </c>
      <c r="J5304" s="2" t="s">
        <v>601</v>
      </c>
      <c r="K5304" s="2" t="s">
        <v>495</v>
      </c>
      <c r="L5304" s="13" t="s">
        <v>496</v>
      </c>
      <c r="M5304" s="2" t="s">
        <v>26</v>
      </c>
      <c r="N5304" s="29"/>
      <c r="O5304" s="29"/>
      <c r="P5304" s="5" t="str">
        <f>IFERROR(__xludf.DUMMYFUNCTION("TEXTJOIN("" | "",TRUE,IF(OR(D5304="""",E5304="""",I5304="""",J5304="""",H5304=""""),""ফাঁকা ঘর"",""""),IF(AND(C5304&lt;&gt;"""",D5304&lt;&gt;"""",C5304=D5304),""gloss=figurative"",""""),IF(LEN(D5304)&lt;15,""figurative ছোট"",""""),IF(AND(I5304=""Positive"",REGEXMATCH(H5"&amp;"304,""মূর্খ|ভণ্ড|প্রতার|অলস|লোভ|স্বার্থ|অক্ষম|অযোগ্য|বোকা|কৃপণ|হিংস"")),""valence-target অমিল"",""""),IF(COUNTIF($B:$B,B5304)&gt;1,""ডুপ্লিকেট"",""""))"),"")</f>
        <v/>
      </c>
      <c r="Q5304" s="5" t="str">
        <f t="shared" si="1"/>
        <v>২ পরে</v>
      </c>
    </row>
    <row r="5305">
      <c r="A5305" s="4">
        <v>3159.0</v>
      </c>
      <c r="B5305" s="2" t="s">
        <v>21702</v>
      </c>
      <c r="C5305" s="2" t="s">
        <v>21703</v>
      </c>
      <c r="D5305" s="2" t="s">
        <v>21704</v>
      </c>
      <c r="E5305" s="2" t="s">
        <v>21705</v>
      </c>
      <c r="F5305" s="2" t="b">
        <v>1</v>
      </c>
      <c r="G5305" s="2" t="b">
        <v>0</v>
      </c>
      <c r="H5305" s="2" t="s">
        <v>37</v>
      </c>
      <c r="I5305" s="2" t="s">
        <v>22</v>
      </c>
      <c r="J5305" s="2" t="s">
        <v>601</v>
      </c>
      <c r="K5305" s="2" t="s">
        <v>495</v>
      </c>
      <c r="L5305" s="13" t="s">
        <v>496</v>
      </c>
      <c r="M5305" s="2" t="s">
        <v>26</v>
      </c>
      <c r="N5305" s="29"/>
      <c r="O5305" s="29"/>
      <c r="P5305" s="5" t="str">
        <f>IFERROR(__xludf.DUMMYFUNCTION("TEXTJOIN("" | "",TRUE,IF(OR(D5305="""",E5305="""",I5305="""",J5305="""",H5305=""""),""ফাঁকা ঘর"",""""),IF(AND(C5305&lt;&gt;"""",D5305&lt;&gt;"""",C5305=D5305),""gloss=figurative"",""""),IF(LEN(D5305)&lt;15,""figurative ছোট"",""""),IF(AND(I5305=""Positive"",REGEXMATCH(H5"&amp;"305,""মূর্খ|ভণ্ড|প্রতার|অলস|লোভ|স্বার্থ|অক্ষম|অযোগ্য|বোকা|কৃপণ|হিংস"")),""valence-target অমিল"",""""),IF(COUNTIF($B:$B,B5305)&gt;1,""ডুপ্লিকেট"",""""))"),"")</f>
        <v/>
      </c>
      <c r="Q5305" s="5" t="str">
        <f t="shared" si="1"/>
        <v>২ পরে</v>
      </c>
    </row>
    <row r="5306">
      <c r="A5306" s="4">
        <v>3160.0</v>
      </c>
      <c r="B5306" s="2" t="s">
        <v>21706</v>
      </c>
      <c r="C5306" s="2" t="s">
        <v>21707</v>
      </c>
      <c r="D5306" s="2" t="s">
        <v>21708</v>
      </c>
      <c r="E5306" s="2" t="s">
        <v>21709</v>
      </c>
      <c r="F5306" s="2" t="b">
        <v>1</v>
      </c>
      <c r="G5306" s="2" t="b">
        <v>0</v>
      </c>
      <c r="H5306" s="2" t="s">
        <v>37</v>
      </c>
      <c r="I5306" s="2" t="s">
        <v>22</v>
      </c>
      <c r="J5306" s="2" t="s">
        <v>601</v>
      </c>
      <c r="K5306" s="2" t="s">
        <v>495</v>
      </c>
      <c r="L5306" s="13" t="s">
        <v>496</v>
      </c>
      <c r="M5306" s="2" t="s">
        <v>26</v>
      </c>
      <c r="N5306" s="29"/>
      <c r="O5306" s="29"/>
      <c r="P5306" s="5" t="str">
        <f>IFERROR(__xludf.DUMMYFUNCTION("TEXTJOIN("" | "",TRUE,IF(OR(D5306="""",E5306="""",I5306="""",J5306="""",H5306=""""),""ফাঁকা ঘর"",""""),IF(AND(C5306&lt;&gt;"""",D5306&lt;&gt;"""",C5306=D5306),""gloss=figurative"",""""),IF(LEN(D5306)&lt;15,""figurative ছোট"",""""),IF(AND(I5306=""Positive"",REGEXMATCH(H5"&amp;"306,""মূর্খ|ভণ্ড|প্রতার|অলস|লোভ|স্বার্থ|অক্ষম|অযোগ্য|বোকা|কৃপণ|হিংস"")),""valence-target অমিল"",""""),IF(COUNTIF($B:$B,B5306)&gt;1,""ডুপ্লিকেট"",""""))"),"")</f>
        <v/>
      </c>
      <c r="Q5306" s="5" t="str">
        <f t="shared" si="1"/>
        <v>২ পরে</v>
      </c>
    </row>
    <row r="5307">
      <c r="A5307" s="4">
        <v>3161.0</v>
      </c>
      <c r="B5307" s="2" t="s">
        <v>21710</v>
      </c>
      <c r="C5307" s="2" t="s">
        <v>21711</v>
      </c>
      <c r="D5307" s="2" t="s">
        <v>21712</v>
      </c>
      <c r="E5307" s="2" t="s">
        <v>21713</v>
      </c>
      <c r="F5307" s="2" t="b">
        <v>1</v>
      </c>
      <c r="G5307" s="2" t="b">
        <v>0</v>
      </c>
      <c r="H5307" s="2" t="s">
        <v>37</v>
      </c>
      <c r="I5307" s="2" t="s">
        <v>22</v>
      </c>
      <c r="J5307" s="2" t="s">
        <v>601</v>
      </c>
      <c r="K5307" s="2" t="s">
        <v>495</v>
      </c>
      <c r="L5307" s="13" t="s">
        <v>496</v>
      </c>
      <c r="M5307" s="2" t="s">
        <v>26</v>
      </c>
      <c r="N5307" s="29"/>
      <c r="O5307" s="29"/>
      <c r="P5307" s="5" t="str">
        <f>IFERROR(__xludf.DUMMYFUNCTION("TEXTJOIN("" | "",TRUE,IF(OR(D5307="""",E5307="""",I5307="""",J5307="""",H5307=""""),""ফাঁকা ঘর"",""""),IF(AND(C5307&lt;&gt;"""",D5307&lt;&gt;"""",C5307=D5307),""gloss=figurative"",""""),IF(LEN(D5307)&lt;15,""figurative ছোট"",""""),IF(AND(I5307=""Positive"",REGEXMATCH(H5"&amp;"307,""মূর্খ|ভণ্ড|প্রতার|অলস|লোভ|স্বার্থ|অক্ষম|অযোগ্য|বোকা|কৃপণ|হিংস"")),""valence-target অমিল"",""""),IF(COUNTIF($B:$B,B5307)&gt;1,""ডুপ্লিকেট"",""""))"),"")</f>
        <v/>
      </c>
      <c r="Q5307" s="5" t="str">
        <f t="shared" si="1"/>
        <v>২ পরে</v>
      </c>
    </row>
    <row r="5308">
      <c r="A5308" s="4">
        <v>3162.0</v>
      </c>
      <c r="B5308" s="2" t="s">
        <v>21714</v>
      </c>
      <c r="C5308" s="2" t="s">
        <v>21715</v>
      </c>
      <c r="D5308" s="2" t="s">
        <v>21716</v>
      </c>
      <c r="E5308" s="2" t="s">
        <v>21717</v>
      </c>
      <c r="F5308" s="2" t="b">
        <v>1</v>
      </c>
      <c r="G5308" s="2" t="b">
        <v>0</v>
      </c>
      <c r="H5308" s="2" t="s">
        <v>37</v>
      </c>
      <c r="I5308" s="2" t="s">
        <v>22</v>
      </c>
      <c r="J5308" s="2" t="s">
        <v>601</v>
      </c>
      <c r="K5308" s="2" t="s">
        <v>495</v>
      </c>
      <c r="L5308" s="13" t="s">
        <v>496</v>
      </c>
      <c r="M5308" s="2" t="s">
        <v>26</v>
      </c>
      <c r="N5308" s="29"/>
      <c r="O5308" s="29"/>
      <c r="P5308" s="5" t="str">
        <f>IFERROR(__xludf.DUMMYFUNCTION("TEXTJOIN("" | "",TRUE,IF(OR(D5308="""",E5308="""",I5308="""",J5308="""",H5308=""""),""ফাঁকা ঘর"",""""),IF(AND(C5308&lt;&gt;"""",D5308&lt;&gt;"""",C5308=D5308),""gloss=figurative"",""""),IF(LEN(D5308)&lt;15,""figurative ছোট"",""""),IF(AND(I5308=""Positive"",REGEXMATCH(H5"&amp;"308,""মূর্খ|ভণ্ড|প্রতার|অলস|লোভ|স্বার্থ|অক্ষম|অযোগ্য|বোকা|কৃপণ|হিংস"")),""valence-target অমিল"",""""),IF(COUNTIF($B:$B,B5308)&gt;1,""ডুপ্লিকেট"",""""))"),"")</f>
        <v/>
      </c>
      <c r="Q5308" s="5" t="str">
        <f t="shared" si="1"/>
        <v>২ পরে</v>
      </c>
    </row>
    <row r="5309">
      <c r="A5309" s="4">
        <v>3163.0</v>
      </c>
      <c r="B5309" s="2" t="s">
        <v>21718</v>
      </c>
      <c r="C5309" s="2" t="s">
        <v>21719</v>
      </c>
      <c r="D5309" s="2" t="s">
        <v>21720</v>
      </c>
      <c r="E5309" s="2" t="s">
        <v>21721</v>
      </c>
      <c r="F5309" s="2" t="b">
        <v>1</v>
      </c>
      <c r="G5309" s="2" t="b">
        <v>0</v>
      </c>
      <c r="H5309" s="2" t="s">
        <v>37</v>
      </c>
      <c r="I5309" s="2" t="s">
        <v>49</v>
      </c>
      <c r="J5309" s="2" t="s">
        <v>5524</v>
      </c>
      <c r="K5309" s="2" t="s">
        <v>495</v>
      </c>
      <c r="L5309" s="13" t="s">
        <v>496</v>
      </c>
      <c r="M5309" s="2" t="s">
        <v>26</v>
      </c>
      <c r="N5309" s="29"/>
      <c r="O5309" s="29"/>
      <c r="P5309" s="5" t="str">
        <f>IFERROR(__xludf.DUMMYFUNCTION("TEXTJOIN("" | "",TRUE,IF(OR(D5309="""",E5309="""",I5309="""",J5309="""",H5309=""""),""ফাঁকা ঘর"",""""),IF(AND(C5309&lt;&gt;"""",D5309&lt;&gt;"""",C5309=D5309),""gloss=figurative"",""""),IF(LEN(D5309)&lt;15,""figurative ছোট"",""""),IF(AND(I5309=""Positive"",REGEXMATCH(H5"&amp;"309,""মূর্খ|ভণ্ড|প্রতার|অলস|লোভ|স্বার্থ|অক্ষম|অযোগ্য|বোকা|কৃপণ|হিংস"")),""valence-target অমিল"",""""),IF(COUNTIF($B:$B,B5309)&gt;1,""ডুপ্লিকেট"",""""))"),"")</f>
        <v/>
      </c>
      <c r="Q5309" s="5" t="str">
        <f t="shared" si="1"/>
        <v>২ পরে</v>
      </c>
    </row>
    <row r="5310">
      <c r="A5310" s="4">
        <v>3164.0</v>
      </c>
      <c r="B5310" s="2" t="s">
        <v>21722</v>
      </c>
      <c r="C5310" s="2" t="s">
        <v>21723</v>
      </c>
      <c r="D5310" s="2" t="s">
        <v>21724</v>
      </c>
      <c r="E5310" s="2" t="s">
        <v>21725</v>
      </c>
      <c r="F5310" s="2" t="b">
        <v>1</v>
      </c>
      <c r="G5310" s="2" t="b">
        <v>0</v>
      </c>
      <c r="H5310" s="2" t="s">
        <v>37</v>
      </c>
      <c r="I5310" s="2" t="s">
        <v>49</v>
      </c>
      <c r="J5310" s="2" t="s">
        <v>5524</v>
      </c>
      <c r="K5310" s="2" t="s">
        <v>495</v>
      </c>
      <c r="L5310" s="13" t="s">
        <v>496</v>
      </c>
      <c r="M5310" s="2" t="s">
        <v>26</v>
      </c>
      <c r="N5310" s="29"/>
      <c r="O5310" s="29"/>
      <c r="P5310" s="5" t="str">
        <f>IFERROR(__xludf.DUMMYFUNCTION("TEXTJOIN("" | "",TRUE,IF(OR(D5310="""",E5310="""",I5310="""",J5310="""",H5310=""""),""ফাঁকা ঘর"",""""),IF(AND(C5310&lt;&gt;"""",D5310&lt;&gt;"""",C5310=D5310),""gloss=figurative"",""""),IF(LEN(D5310)&lt;15,""figurative ছোট"",""""),IF(AND(I5310=""Positive"",REGEXMATCH(H5"&amp;"310,""মূর্খ|ভণ্ড|প্রতার|অলস|লোভ|স্বার্থ|অক্ষম|অযোগ্য|বোকা|কৃপণ|হিংস"")),""valence-target অমিল"",""""),IF(COUNTIF($B:$B,B5310)&gt;1,""ডুপ্লিকেট"",""""))"),"")</f>
        <v/>
      </c>
      <c r="Q5310" s="5" t="str">
        <f t="shared" si="1"/>
        <v>২ পরে</v>
      </c>
    </row>
    <row r="5311">
      <c r="A5311" s="4">
        <v>3167.0</v>
      </c>
      <c r="B5311" s="2" t="s">
        <v>21726</v>
      </c>
      <c r="C5311" s="2" t="s">
        <v>21727</v>
      </c>
      <c r="D5311" s="2" t="s">
        <v>21728</v>
      </c>
      <c r="E5311" s="2" t="s">
        <v>21729</v>
      </c>
      <c r="F5311" s="2" t="b">
        <v>1</v>
      </c>
      <c r="G5311" s="2" t="b">
        <v>0</v>
      </c>
      <c r="H5311" s="2" t="s">
        <v>37</v>
      </c>
      <c r="I5311" s="2" t="s">
        <v>22</v>
      </c>
      <c r="J5311" s="2" t="s">
        <v>21730</v>
      </c>
      <c r="K5311" s="2" t="s">
        <v>495</v>
      </c>
      <c r="L5311" s="13" t="s">
        <v>496</v>
      </c>
      <c r="M5311" s="2" t="s">
        <v>26</v>
      </c>
      <c r="N5311" s="29"/>
      <c r="O5311" s="29"/>
      <c r="P5311" s="5" t="str">
        <f>IFERROR(__xludf.DUMMYFUNCTION("TEXTJOIN("" | "",TRUE,IF(OR(D5311="""",E5311="""",I5311="""",J5311="""",H5311=""""),""ফাঁকা ঘর"",""""),IF(AND(C5311&lt;&gt;"""",D5311&lt;&gt;"""",C5311=D5311),""gloss=figurative"",""""),IF(LEN(D5311)&lt;15,""figurative ছোট"",""""),IF(AND(I5311=""Positive"",REGEXMATCH(H5"&amp;"311,""মূর্খ|ভণ্ড|প্রতার|অলস|লোভ|স্বার্থ|অক্ষম|অযোগ্য|বোকা|কৃপণ|হিংস"")),""valence-target অমিল"",""""),IF(COUNTIF($B:$B,B5311)&gt;1,""ডুপ্লিকেট"",""""))"),"")</f>
        <v/>
      </c>
      <c r="Q5311" s="5" t="str">
        <f t="shared" si="1"/>
        <v>২ পরে</v>
      </c>
    </row>
    <row r="5312">
      <c r="A5312" s="4">
        <v>3168.0</v>
      </c>
      <c r="B5312" s="2" t="s">
        <v>21731</v>
      </c>
      <c r="C5312" s="2" t="s">
        <v>21732</v>
      </c>
      <c r="D5312" s="2" t="s">
        <v>21733</v>
      </c>
      <c r="E5312" s="2" t="s">
        <v>21734</v>
      </c>
      <c r="F5312" s="2" t="b">
        <v>1</v>
      </c>
      <c r="G5312" s="2" t="b">
        <v>0</v>
      </c>
      <c r="H5312" s="2" t="s">
        <v>37</v>
      </c>
      <c r="I5312" s="2" t="s">
        <v>22</v>
      </c>
      <c r="J5312" s="2" t="s">
        <v>424</v>
      </c>
      <c r="K5312" s="2" t="s">
        <v>495</v>
      </c>
      <c r="L5312" s="13" t="s">
        <v>496</v>
      </c>
      <c r="M5312" s="2" t="s">
        <v>26</v>
      </c>
      <c r="N5312" s="29"/>
      <c r="O5312" s="29"/>
      <c r="P5312" s="5" t="str">
        <f>IFERROR(__xludf.DUMMYFUNCTION("TEXTJOIN("" | "",TRUE,IF(OR(D5312="""",E5312="""",I5312="""",J5312="""",H5312=""""),""ফাঁকা ঘর"",""""),IF(AND(C5312&lt;&gt;"""",D5312&lt;&gt;"""",C5312=D5312),""gloss=figurative"",""""),IF(LEN(D5312)&lt;15,""figurative ছোট"",""""),IF(AND(I5312=""Positive"",REGEXMATCH(H5"&amp;"312,""মূর্খ|ভণ্ড|প্রতার|অলস|লোভ|স্বার্থ|অক্ষম|অযোগ্য|বোকা|কৃপণ|হিংস"")),""valence-target অমিল"",""""),IF(COUNTIF($B:$B,B5312)&gt;1,""ডুপ্লিকেট"",""""))"),"")</f>
        <v/>
      </c>
      <c r="Q5312" s="5" t="str">
        <f t="shared" si="1"/>
        <v>২ পরে</v>
      </c>
    </row>
    <row r="5313">
      <c r="A5313" s="4">
        <v>3169.0</v>
      </c>
      <c r="B5313" s="2" t="s">
        <v>21735</v>
      </c>
      <c r="C5313" s="2" t="s">
        <v>21736</v>
      </c>
      <c r="D5313" s="2" t="s">
        <v>21737</v>
      </c>
      <c r="E5313" s="2" t="s">
        <v>21738</v>
      </c>
      <c r="F5313" s="2" t="b">
        <v>1</v>
      </c>
      <c r="G5313" s="2" t="b">
        <v>0</v>
      </c>
      <c r="H5313" s="2" t="s">
        <v>37</v>
      </c>
      <c r="I5313" s="2" t="s">
        <v>22</v>
      </c>
      <c r="J5313" s="2" t="s">
        <v>1221</v>
      </c>
      <c r="K5313" s="2" t="s">
        <v>495</v>
      </c>
      <c r="L5313" s="13" t="s">
        <v>496</v>
      </c>
      <c r="M5313" s="2" t="s">
        <v>26</v>
      </c>
      <c r="N5313" s="29"/>
      <c r="O5313" s="29"/>
      <c r="P5313" s="5" t="str">
        <f>IFERROR(__xludf.DUMMYFUNCTION("TEXTJOIN("" | "",TRUE,IF(OR(D5313="""",E5313="""",I5313="""",J5313="""",H5313=""""),""ফাঁকা ঘর"",""""),IF(AND(C5313&lt;&gt;"""",D5313&lt;&gt;"""",C5313=D5313),""gloss=figurative"",""""),IF(LEN(D5313)&lt;15,""figurative ছোট"",""""),IF(AND(I5313=""Positive"",REGEXMATCH(H5"&amp;"313,""মূর্খ|ভণ্ড|প্রতার|অলস|লোভ|স্বার্থ|অক্ষম|অযোগ্য|বোকা|কৃপণ|হিংস"")),""valence-target অমিল"",""""),IF(COUNTIF($B:$B,B5313)&gt;1,""ডুপ্লিকেট"",""""))"),"")</f>
        <v/>
      </c>
      <c r="Q5313" s="5" t="str">
        <f t="shared" si="1"/>
        <v>২ পরে</v>
      </c>
    </row>
    <row r="5314">
      <c r="A5314" s="4">
        <v>3170.0</v>
      </c>
      <c r="B5314" s="2" t="s">
        <v>21739</v>
      </c>
      <c r="C5314" s="2" t="s">
        <v>21740</v>
      </c>
      <c r="D5314" s="2" t="s">
        <v>21741</v>
      </c>
      <c r="E5314" s="2" t="s">
        <v>21742</v>
      </c>
      <c r="F5314" s="2" t="b">
        <v>1</v>
      </c>
      <c r="G5314" s="2" t="b">
        <v>0</v>
      </c>
      <c r="H5314" s="2" t="s">
        <v>37</v>
      </c>
      <c r="I5314" s="2" t="s">
        <v>22</v>
      </c>
      <c r="J5314" s="2" t="s">
        <v>674</v>
      </c>
      <c r="K5314" s="2" t="s">
        <v>495</v>
      </c>
      <c r="L5314" s="13" t="s">
        <v>496</v>
      </c>
      <c r="M5314" s="2" t="s">
        <v>26</v>
      </c>
      <c r="N5314" s="29"/>
      <c r="O5314" s="29"/>
      <c r="P5314" s="5" t="str">
        <f>IFERROR(__xludf.DUMMYFUNCTION("TEXTJOIN("" | "",TRUE,IF(OR(D5314="""",E5314="""",I5314="""",J5314="""",H5314=""""),""ফাঁকা ঘর"",""""),IF(AND(C5314&lt;&gt;"""",D5314&lt;&gt;"""",C5314=D5314),""gloss=figurative"",""""),IF(LEN(D5314)&lt;15,""figurative ছোট"",""""),IF(AND(I5314=""Positive"",REGEXMATCH(H5"&amp;"314,""মূর্খ|ভণ্ড|প্রতার|অলস|লোভ|স্বার্থ|অক্ষম|অযোগ্য|বোকা|কৃপণ|হিংস"")),""valence-target অমিল"",""""),IF(COUNTIF($B:$B,B5314)&gt;1,""ডুপ্লিকেট"",""""))"),"")</f>
        <v/>
      </c>
      <c r="Q5314" s="5" t="str">
        <f t="shared" si="1"/>
        <v>২ পরে</v>
      </c>
    </row>
    <row r="5315">
      <c r="A5315" s="4">
        <v>3172.0</v>
      </c>
      <c r="B5315" s="2" t="s">
        <v>21743</v>
      </c>
      <c r="C5315" s="2" t="s">
        <v>21744</v>
      </c>
      <c r="D5315" s="2" t="s">
        <v>21745</v>
      </c>
      <c r="E5315" s="2" t="s">
        <v>21746</v>
      </c>
      <c r="F5315" s="2" t="b">
        <v>1</v>
      </c>
      <c r="G5315" s="2" t="b">
        <v>0</v>
      </c>
      <c r="H5315" s="2" t="s">
        <v>37</v>
      </c>
      <c r="I5315" s="2" t="s">
        <v>32</v>
      </c>
      <c r="J5315" s="2" t="s">
        <v>669</v>
      </c>
      <c r="K5315" s="2" t="s">
        <v>495</v>
      </c>
      <c r="L5315" s="13" t="s">
        <v>496</v>
      </c>
      <c r="M5315" s="2" t="s">
        <v>26</v>
      </c>
      <c r="N5315" s="29"/>
      <c r="O5315" s="29"/>
      <c r="P5315" s="5" t="str">
        <f>IFERROR(__xludf.DUMMYFUNCTION("TEXTJOIN("" | "",TRUE,IF(OR(D5315="""",E5315="""",I5315="""",J5315="""",H5315=""""),""ফাঁকা ঘর"",""""),IF(AND(C5315&lt;&gt;"""",D5315&lt;&gt;"""",C5315=D5315),""gloss=figurative"",""""),IF(LEN(D5315)&lt;15,""figurative ছোট"",""""),IF(AND(I5315=""Positive"",REGEXMATCH(H5"&amp;"315,""মূর্খ|ভণ্ড|প্রতার|অলস|লোভ|স্বার্থ|অক্ষম|অযোগ্য|বোকা|কৃপণ|হিংস"")),""valence-target অমিল"",""""),IF(COUNTIF($B:$B,B5315)&gt;1,""ডুপ্লিকেট"",""""))"),"")</f>
        <v/>
      </c>
      <c r="Q5315" s="5" t="str">
        <f t="shared" si="1"/>
        <v>২ পরে</v>
      </c>
    </row>
    <row r="5316">
      <c r="A5316" s="4">
        <v>3174.0</v>
      </c>
      <c r="B5316" s="2" t="s">
        <v>21747</v>
      </c>
      <c r="C5316" s="2" t="s">
        <v>21748</v>
      </c>
      <c r="D5316" s="2" t="s">
        <v>21749</v>
      </c>
      <c r="E5316" s="2" t="s">
        <v>21750</v>
      </c>
      <c r="F5316" s="2" t="b">
        <v>1</v>
      </c>
      <c r="G5316" s="2" t="b">
        <v>0</v>
      </c>
      <c r="H5316" s="2" t="s">
        <v>37</v>
      </c>
      <c r="I5316" s="2" t="s">
        <v>22</v>
      </c>
      <c r="J5316" s="2" t="s">
        <v>2316</v>
      </c>
      <c r="K5316" s="2" t="s">
        <v>495</v>
      </c>
      <c r="L5316" s="13" t="s">
        <v>496</v>
      </c>
      <c r="M5316" s="2" t="s">
        <v>26</v>
      </c>
      <c r="N5316" s="29"/>
      <c r="O5316" s="29"/>
      <c r="P5316" s="5" t="str">
        <f>IFERROR(__xludf.DUMMYFUNCTION("TEXTJOIN("" | "",TRUE,IF(OR(D5316="""",E5316="""",I5316="""",J5316="""",H5316=""""),""ফাঁকা ঘর"",""""),IF(AND(C5316&lt;&gt;"""",D5316&lt;&gt;"""",C5316=D5316),""gloss=figurative"",""""),IF(LEN(D5316)&lt;15,""figurative ছোট"",""""),IF(AND(I5316=""Positive"",REGEXMATCH(H5"&amp;"316,""মূর্খ|ভণ্ড|প্রতার|অলস|লোভ|স্বার্থ|অক্ষম|অযোগ্য|বোকা|কৃপণ|হিংস"")),""valence-target অমিল"",""""),IF(COUNTIF($B:$B,B5316)&gt;1,""ডুপ্লিকেট"",""""))"),"")</f>
        <v/>
      </c>
      <c r="Q5316" s="5" t="str">
        <f t="shared" si="1"/>
        <v>২ পরে</v>
      </c>
    </row>
    <row r="5317">
      <c r="A5317" s="4">
        <v>3175.0</v>
      </c>
      <c r="B5317" s="2" t="s">
        <v>21751</v>
      </c>
      <c r="C5317" s="2" t="s">
        <v>21752</v>
      </c>
      <c r="D5317" s="2" t="s">
        <v>21753</v>
      </c>
      <c r="E5317" s="2" t="s">
        <v>21754</v>
      </c>
      <c r="F5317" s="2" t="b">
        <v>1</v>
      </c>
      <c r="G5317" s="2" t="b">
        <v>0</v>
      </c>
      <c r="H5317" s="2" t="s">
        <v>37</v>
      </c>
      <c r="I5317" s="2" t="s">
        <v>22</v>
      </c>
      <c r="J5317" s="2" t="s">
        <v>2316</v>
      </c>
      <c r="K5317" s="2" t="s">
        <v>495</v>
      </c>
      <c r="L5317" s="13" t="s">
        <v>496</v>
      </c>
      <c r="M5317" s="2" t="s">
        <v>26</v>
      </c>
      <c r="N5317" s="29"/>
      <c r="O5317" s="29"/>
      <c r="P5317" s="5" t="str">
        <f>IFERROR(__xludf.DUMMYFUNCTION("TEXTJOIN("" | "",TRUE,IF(OR(D5317="""",E5317="""",I5317="""",J5317="""",H5317=""""),""ফাঁকা ঘর"",""""),IF(AND(C5317&lt;&gt;"""",D5317&lt;&gt;"""",C5317=D5317),""gloss=figurative"",""""),IF(LEN(D5317)&lt;15,""figurative ছোট"",""""),IF(AND(I5317=""Positive"",REGEXMATCH(H5"&amp;"317,""মূর্খ|ভণ্ড|প্রতার|অলস|লোভ|স্বার্থ|অক্ষম|অযোগ্য|বোকা|কৃপণ|হিংস"")),""valence-target অমিল"",""""),IF(COUNTIF($B:$B,B5317)&gt;1,""ডুপ্লিকেট"",""""))"),"")</f>
        <v/>
      </c>
      <c r="Q5317" s="5" t="str">
        <f t="shared" si="1"/>
        <v>২ পরে</v>
      </c>
    </row>
    <row r="5318">
      <c r="A5318" s="4">
        <v>3176.0</v>
      </c>
      <c r="B5318" s="2" t="s">
        <v>21755</v>
      </c>
      <c r="C5318" s="2" t="s">
        <v>21755</v>
      </c>
      <c r="D5318" s="2" t="s">
        <v>21756</v>
      </c>
      <c r="E5318" s="2" t="s">
        <v>21757</v>
      </c>
      <c r="F5318" s="2" t="b">
        <v>1</v>
      </c>
      <c r="G5318" s="2" t="b">
        <v>0</v>
      </c>
      <c r="H5318" s="2" t="s">
        <v>37</v>
      </c>
      <c r="I5318" s="2" t="s">
        <v>32</v>
      </c>
      <c r="J5318" s="2" t="s">
        <v>669</v>
      </c>
      <c r="K5318" s="2" t="s">
        <v>495</v>
      </c>
      <c r="L5318" s="13" t="s">
        <v>496</v>
      </c>
      <c r="M5318" s="2" t="s">
        <v>26</v>
      </c>
      <c r="N5318" s="29"/>
      <c r="O5318" s="29"/>
      <c r="P5318" s="5" t="str">
        <f>IFERROR(__xludf.DUMMYFUNCTION("TEXTJOIN("" | "",TRUE,IF(OR(D5318="""",E5318="""",I5318="""",J5318="""",H5318=""""),""ফাঁকা ঘর"",""""),IF(AND(C5318&lt;&gt;"""",D5318&lt;&gt;"""",C5318=D5318),""gloss=figurative"",""""),IF(LEN(D5318)&lt;15,""figurative ছোট"",""""),IF(AND(I5318=""Positive"",REGEXMATCH(H5"&amp;"318,""মূর্খ|ভণ্ড|প্রতার|অলস|লোভ|স্বার্থ|অক্ষম|অযোগ্য|বোকা|কৃপণ|হিংস"")),""valence-target অমিল"",""""),IF(COUNTIF($B:$B,B5318)&gt;1,""ডুপ্লিকেট"",""""))"),"")</f>
        <v/>
      </c>
      <c r="Q5318" s="5" t="str">
        <f t="shared" si="1"/>
        <v>২ পরে</v>
      </c>
    </row>
    <row r="5319">
      <c r="A5319" s="4">
        <v>3177.0</v>
      </c>
      <c r="B5319" s="2" t="s">
        <v>21758</v>
      </c>
      <c r="C5319" s="2" t="s">
        <v>21759</v>
      </c>
      <c r="D5319" s="2" t="s">
        <v>21760</v>
      </c>
      <c r="E5319" s="2" t="s">
        <v>21761</v>
      </c>
      <c r="F5319" s="2" t="b">
        <v>1</v>
      </c>
      <c r="G5319" s="2" t="b">
        <v>0</v>
      </c>
      <c r="H5319" s="2" t="s">
        <v>37</v>
      </c>
      <c r="I5319" s="2" t="s">
        <v>22</v>
      </c>
      <c r="J5319" s="2" t="s">
        <v>8102</v>
      </c>
      <c r="K5319" s="2" t="s">
        <v>495</v>
      </c>
      <c r="L5319" s="13" t="s">
        <v>496</v>
      </c>
      <c r="M5319" s="2" t="s">
        <v>26</v>
      </c>
      <c r="N5319" s="29"/>
      <c r="O5319" s="29"/>
      <c r="P5319" s="5" t="str">
        <f>IFERROR(__xludf.DUMMYFUNCTION("TEXTJOIN("" | "",TRUE,IF(OR(D5319="""",E5319="""",I5319="""",J5319="""",H5319=""""),""ফাঁকা ঘর"",""""),IF(AND(C5319&lt;&gt;"""",D5319&lt;&gt;"""",C5319=D5319),""gloss=figurative"",""""),IF(LEN(D5319)&lt;15,""figurative ছোট"",""""),IF(AND(I5319=""Positive"",REGEXMATCH(H5"&amp;"319,""মূর্খ|ভণ্ড|প্রতার|অলস|লোভ|স্বার্থ|অক্ষম|অযোগ্য|বোকা|কৃপণ|হিংস"")),""valence-target অমিল"",""""),IF(COUNTIF($B:$B,B5319)&gt;1,""ডুপ্লিকেট"",""""))"),"")</f>
        <v/>
      </c>
      <c r="Q5319" s="5" t="str">
        <f t="shared" si="1"/>
        <v>২ পরে</v>
      </c>
    </row>
    <row r="5320">
      <c r="A5320" s="4">
        <v>3178.0</v>
      </c>
      <c r="B5320" s="2" t="s">
        <v>21762</v>
      </c>
      <c r="C5320" s="2" t="s">
        <v>21763</v>
      </c>
      <c r="D5320" s="2" t="s">
        <v>21764</v>
      </c>
      <c r="E5320" s="2" t="s">
        <v>21765</v>
      </c>
      <c r="F5320" s="2" t="b">
        <v>1</v>
      </c>
      <c r="G5320" s="2" t="b">
        <v>0</v>
      </c>
      <c r="H5320" s="2" t="s">
        <v>37</v>
      </c>
      <c r="I5320" s="2" t="s">
        <v>49</v>
      </c>
      <c r="J5320" s="2" t="s">
        <v>2040</v>
      </c>
      <c r="K5320" s="2" t="s">
        <v>495</v>
      </c>
      <c r="L5320" s="13" t="s">
        <v>496</v>
      </c>
      <c r="M5320" s="2" t="s">
        <v>26</v>
      </c>
      <c r="N5320" s="29"/>
      <c r="O5320" s="29"/>
      <c r="P5320" s="5" t="str">
        <f>IFERROR(__xludf.DUMMYFUNCTION("TEXTJOIN("" | "",TRUE,IF(OR(D5320="""",E5320="""",I5320="""",J5320="""",H5320=""""),""ফাঁকা ঘর"",""""),IF(AND(C5320&lt;&gt;"""",D5320&lt;&gt;"""",C5320=D5320),""gloss=figurative"",""""),IF(LEN(D5320)&lt;15,""figurative ছোট"",""""),IF(AND(I5320=""Positive"",REGEXMATCH(H5"&amp;"320,""মূর্খ|ভণ্ড|প্রতার|অলস|লোভ|স্বার্থ|অক্ষম|অযোগ্য|বোকা|কৃপণ|হিংস"")),""valence-target অমিল"",""""),IF(COUNTIF($B:$B,B5320)&gt;1,""ডুপ্লিকেট"",""""))"),"")</f>
        <v/>
      </c>
      <c r="Q5320" s="5" t="str">
        <f t="shared" si="1"/>
        <v>২ পরে</v>
      </c>
    </row>
    <row r="5321">
      <c r="A5321" s="4">
        <v>3179.0</v>
      </c>
      <c r="B5321" s="2" t="s">
        <v>21766</v>
      </c>
      <c r="C5321" s="2" t="s">
        <v>21767</v>
      </c>
      <c r="D5321" s="2" t="s">
        <v>21768</v>
      </c>
      <c r="E5321" s="2" t="s">
        <v>21769</v>
      </c>
      <c r="F5321" s="2" t="b">
        <v>1</v>
      </c>
      <c r="G5321" s="2" t="b">
        <v>0</v>
      </c>
      <c r="H5321" s="2" t="s">
        <v>37</v>
      </c>
      <c r="I5321" s="2" t="s">
        <v>22</v>
      </c>
      <c r="J5321" s="2" t="s">
        <v>447</v>
      </c>
      <c r="K5321" s="2" t="s">
        <v>495</v>
      </c>
      <c r="L5321" s="13" t="s">
        <v>496</v>
      </c>
      <c r="M5321" s="2" t="s">
        <v>26</v>
      </c>
      <c r="N5321" s="29"/>
      <c r="O5321" s="29"/>
      <c r="P5321" s="5" t="str">
        <f>IFERROR(__xludf.DUMMYFUNCTION("TEXTJOIN("" | "",TRUE,IF(OR(D5321="""",E5321="""",I5321="""",J5321="""",H5321=""""),""ফাঁকা ঘর"",""""),IF(AND(C5321&lt;&gt;"""",D5321&lt;&gt;"""",C5321=D5321),""gloss=figurative"",""""),IF(LEN(D5321)&lt;15,""figurative ছোট"",""""),IF(AND(I5321=""Positive"",REGEXMATCH(H5"&amp;"321,""মূর্খ|ভণ্ড|প্রতার|অলস|লোভ|স্বার্থ|অক্ষম|অযোগ্য|বোকা|কৃপণ|হিংস"")),""valence-target অমিল"",""""),IF(COUNTIF($B:$B,B5321)&gt;1,""ডুপ্লিকেট"",""""))"),"")</f>
        <v/>
      </c>
      <c r="Q5321" s="5" t="str">
        <f t="shared" si="1"/>
        <v>২ পরে</v>
      </c>
    </row>
    <row r="5322">
      <c r="A5322" s="4">
        <v>3180.0</v>
      </c>
      <c r="B5322" s="2" t="s">
        <v>21770</v>
      </c>
      <c r="C5322" s="2" t="s">
        <v>21771</v>
      </c>
      <c r="D5322" s="2" t="s">
        <v>21772</v>
      </c>
      <c r="E5322" s="2" t="s">
        <v>21773</v>
      </c>
      <c r="F5322" s="2" t="b">
        <v>1</v>
      </c>
      <c r="G5322" s="2" t="b">
        <v>1</v>
      </c>
      <c r="H5322" s="2" t="s">
        <v>21774</v>
      </c>
      <c r="I5322" s="2" t="s">
        <v>22</v>
      </c>
      <c r="J5322" s="2" t="s">
        <v>3327</v>
      </c>
      <c r="K5322" s="2" t="s">
        <v>495</v>
      </c>
      <c r="L5322" s="13" t="s">
        <v>496</v>
      </c>
      <c r="M5322" s="2" t="s">
        <v>26</v>
      </c>
      <c r="N5322" s="29"/>
      <c r="O5322" s="29"/>
      <c r="P5322" s="5" t="str">
        <f>IFERROR(__xludf.DUMMYFUNCTION("TEXTJOIN("" | "",TRUE,IF(OR(D5322="""",E5322="""",I5322="""",J5322="""",H5322=""""),""ফাঁকা ঘর"",""""),IF(AND(C5322&lt;&gt;"""",D5322&lt;&gt;"""",C5322=D5322),""gloss=figurative"",""""),IF(LEN(D5322)&lt;15,""figurative ছোট"",""""),IF(AND(I5322=""Positive"",REGEXMATCH(H5"&amp;"322,""মূর্খ|ভণ্ড|প্রতার|অলস|লোভ|স্বার্থ|অক্ষম|অযোগ্য|বোকা|কৃপণ|হিংস"")),""valence-target অমিল"",""""),IF(COUNTIF($B:$B,B5322)&gt;1,""ডুপ্লিকেট"",""""))"),"")</f>
        <v/>
      </c>
      <c r="Q5322" s="5" t="str">
        <f t="shared" si="1"/>
        <v>২ পরে</v>
      </c>
    </row>
    <row r="5323">
      <c r="A5323" s="4">
        <v>3181.0</v>
      </c>
      <c r="B5323" s="2" t="s">
        <v>21775</v>
      </c>
      <c r="C5323" s="2" t="s">
        <v>21776</v>
      </c>
      <c r="D5323" s="2" t="s">
        <v>21777</v>
      </c>
      <c r="E5323" s="2" t="s">
        <v>21778</v>
      </c>
      <c r="F5323" s="2" t="b">
        <v>1</v>
      </c>
      <c r="G5323" s="2" t="b">
        <v>0</v>
      </c>
      <c r="H5323" s="2" t="s">
        <v>37</v>
      </c>
      <c r="I5323" s="2" t="s">
        <v>22</v>
      </c>
      <c r="J5323" s="2" t="s">
        <v>836</v>
      </c>
      <c r="K5323" s="2" t="s">
        <v>495</v>
      </c>
      <c r="L5323" s="13" t="s">
        <v>496</v>
      </c>
      <c r="M5323" s="2" t="s">
        <v>26</v>
      </c>
      <c r="N5323" s="29"/>
      <c r="O5323" s="29"/>
      <c r="P5323" s="5" t="str">
        <f>IFERROR(__xludf.DUMMYFUNCTION("TEXTJOIN("" | "",TRUE,IF(OR(D5323="""",E5323="""",I5323="""",J5323="""",H5323=""""),""ফাঁকা ঘর"",""""),IF(AND(C5323&lt;&gt;"""",D5323&lt;&gt;"""",C5323=D5323),""gloss=figurative"",""""),IF(LEN(D5323)&lt;15,""figurative ছোট"",""""),IF(AND(I5323=""Positive"",REGEXMATCH(H5"&amp;"323,""মূর্খ|ভণ্ড|প্রতার|অলস|লোভ|স্বার্থ|অক্ষম|অযোগ্য|বোকা|কৃপণ|হিংস"")),""valence-target অমিল"",""""),IF(COUNTIF($B:$B,B5323)&gt;1,""ডুপ্লিকেট"",""""))"),"")</f>
        <v/>
      </c>
      <c r="Q5323" s="5" t="str">
        <f t="shared" si="1"/>
        <v>২ পরে</v>
      </c>
    </row>
    <row r="5324">
      <c r="A5324" s="4">
        <v>3182.0</v>
      </c>
      <c r="B5324" s="2" t="s">
        <v>21779</v>
      </c>
      <c r="C5324" s="2" t="s">
        <v>21780</v>
      </c>
      <c r="D5324" s="2" t="s">
        <v>21781</v>
      </c>
      <c r="E5324" s="2" t="s">
        <v>21782</v>
      </c>
      <c r="F5324" s="2" t="b">
        <v>1</v>
      </c>
      <c r="G5324" s="2" t="b">
        <v>1</v>
      </c>
      <c r="H5324" s="2" t="s">
        <v>21783</v>
      </c>
      <c r="I5324" s="2" t="s">
        <v>22</v>
      </c>
      <c r="J5324" s="2" t="s">
        <v>21784</v>
      </c>
      <c r="K5324" s="2" t="s">
        <v>495</v>
      </c>
      <c r="L5324" s="13" t="s">
        <v>496</v>
      </c>
      <c r="M5324" s="2" t="s">
        <v>26</v>
      </c>
      <c r="N5324" s="29"/>
      <c r="O5324" s="29"/>
      <c r="P5324" s="5" t="str">
        <f>IFERROR(__xludf.DUMMYFUNCTION("TEXTJOIN("" | "",TRUE,IF(OR(D5324="""",E5324="""",I5324="""",J5324="""",H5324=""""),""ফাঁকা ঘর"",""""),IF(AND(C5324&lt;&gt;"""",D5324&lt;&gt;"""",C5324=D5324),""gloss=figurative"",""""),IF(LEN(D5324)&lt;15,""figurative ছোট"",""""),IF(AND(I5324=""Positive"",REGEXMATCH(H5"&amp;"324,""মূর্খ|ভণ্ড|প্রতার|অলস|লোভ|স্বার্থ|অক্ষম|অযোগ্য|বোকা|কৃপণ|হিংস"")),""valence-target অমিল"",""""),IF(COUNTIF($B:$B,B5324)&gt;1,""ডুপ্লিকেট"",""""))"),"")</f>
        <v/>
      </c>
      <c r="Q5324" s="5" t="str">
        <f t="shared" si="1"/>
        <v>২ পরে</v>
      </c>
    </row>
    <row r="5325">
      <c r="A5325" s="4">
        <v>3183.0</v>
      </c>
      <c r="B5325" s="2" t="s">
        <v>21785</v>
      </c>
      <c r="C5325" s="2" t="s">
        <v>21785</v>
      </c>
      <c r="D5325" s="2" t="s">
        <v>21786</v>
      </c>
      <c r="E5325" s="2" t="s">
        <v>21787</v>
      </c>
      <c r="F5325" s="2" t="b">
        <v>1</v>
      </c>
      <c r="G5325" s="2" t="b">
        <v>1</v>
      </c>
      <c r="H5325" s="2" t="s">
        <v>21788</v>
      </c>
      <c r="I5325" s="2" t="s">
        <v>22</v>
      </c>
      <c r="J5325" s="2" t="s">
        <v>15507</v>
      </c>
      <c r="K5325" s="2" t="s">
        <v>495</v>
      </c>
      <c r="L5325" s="13" t="s">
        <v>496</v>
      </c>
      <c r="M5325" s="2" t="s">
        <v>26</v>
      </c>
      <c r="N5325" s="29"/>
      <c r="O5325" s="29"/>
      <c r="P5325" s="5" t="str">
        <f>IFERROR(__xludf.DUMMYFUNCTION("TEXTJOIN("" | "",TRUE,IF(OR(D5325="""",E5325="""",I5325="""",J5325="""",H5325=""""),""ফাঁকা ঘর"",""""),IF(AND(C5325&lt;&gt;"""",D5325&lt;&gt;"""",C5325=D5325),""gloss=figurative"",""""),IF(LEN(D5325)&lt;15,""figurative ছোট"",""""),IF(AND(I5325=""Positive"",REGEXMATCH(H5"&amp;"325,""মূর্খ|ভণ্ড|প্রতার|অলস|লোভ|স্বার্থ|অক্ষম|অযোগ্য|বোকা|কৃপণ|হিংস"")),""valence-target অমিল"",""""),IF(COUNTIF($B:$B,B5325)&gt;1,""ডুপ্লিকেট"",""""))"),"")</f>
        <v/>
      </c>
      <c r="Q5325" s="5" t="str">
        <f t="shared" si="1"/>
        <v>২ পরে</v>
      </c>
    </row>
    <row r="5326">
      <c r="A5326" s="4">
        <v>3184.0</v>
      </c>
      <c r="B5326" s="2" t="s">
        <v>21789</v>
      </c>
      <c r="C5326" s="2" t="s">
        <v>21790</v>
      </c>
      <c r="D5326" s="2" t="s">
        <v>21791</v>
      </c>
      <c r="E5326" s="2" t="s">
        <v>21792</v>
      </c>
      <c r="F5326" s="2" t="b">
        <v>1</v>
      </c>
      <c r="G5326" s="2" t="b">
        <v>0</v>
      </c>
      <c r="H5326" s="2" t="s">
        <v>37</v>
      </c>
      <c r="I5326" s="2" t="s">
        <v>22</v>
      </c>
      <c r="J5326" s="2" t="s">
        <v>1621</v>
      </c>
      <c r="K5326" s="2" t="s">
        <v>495</v>
      </c>
      <c r="L5326" s="13" t="s">
        <v>496</v>
      </c>
      <c r="M5326" s="2" t="s">
        <v>26</v>
      </c>
      <c r="N5326" s="29"/>
      <c r="O5326" s="29"/>
      <c r="P5326" s="5" t="str">
        <f>IFERROR(__xludf.DUMMYFUNCTION("TEXTJOIN("" | "",TRUE,IF(OR(D5326="""",E5326="""",I5326="""",J5326="""",H5326=""""),""ফাঁকা ঘর"",""""),IF(AND(C5326&lt;&gt;"""",D5326&lt;&gt;"""",C5326=D5326),""gloss=figurative"",""""),IF(LEN(D5326)&lt;15,""figurative ছোট"",""""),IF(AND(I5326=""Positive"",REGEXMATCH(H5"&amp;"326,""মূর্খ|ভণ্ড|প্রতার|অলস|লোভ|স্বার্থ|অক্ষম|অযোগ্য|বোকা|কৃপণ|হিংস"")),""valence-target অমিল"",""""),IF(COUNTIF($B:$B,B5326)&gt;1,""ডুপ্লিকেট"",""""))"),"")</f>
        <v/>
      </c>
      <c r="Q5326" s="5" t="str">
        <f t="shared" si="1"/>
        <v>২ পরে</v>
      </c>
    </row>
    <row r="5327">
      <c r="A5327" s="4">
        <v>3185.0</v>
      </c>
      <c r="B5327" s="2" t="s">
        <v>21793</v>
      </c>
      <c r="C5327" s="2" t="s">
        <v>21794</v>
      </c>
      <c r="D5327" s="2" t="s">
        <v>21795</v>
      </c>
      <c r="E5327" s="2" t="s">
        <v>21796</v>
      </c>
      <c r="F5327" s="2" t="b">
        <v>1</v>
      </c>
      <c r="G5327" s="2" t="b">
        <v>1</v>
      </c>
      <c r="H5327" s="2" t="s">
        <v>21797</v>
      </c>
      <c r="I5327" s="2" t="s">
        <v>22</v>
      </c>
      <c r="J5327" s="2" t="s">
        <v>3327</v>
      </c>
      <c r="K5327" s="2" t="s">
        <v>495</v>
      </c>
      <c r="L5327" s="13" t="s">
        <v>496</v>
      </c>
      <c r="M5327" s="2" t="s">
        <v>26</v>
      </c>
      <c r="N5327" s="29"/>
      <c r="O5327" s="29"/>
      <c r="P5327" s="5" t="str">
        <f>IFERROR(__xludf.DUMMYFUNCTION("TEXTJOIN("" | "",TRUE,IF(OR(D5327="""",E5327="""",I5327="""",J5327="""",H5327=""""),""ফাঁকা ঘর"",""""),IF(AND(C5327&lt;&gt;"""",D5327&lt;&gt;"""",C5327=D5327),""gloss=figurative"",""""),IF(LEN(D5327)&lt;15,""figurative ছোট"",""""),IF(AND(I5327=""Positive"",REGEXMATCH(H5"&amp;"327,""মূর্খ|ভণ্ড|প্রতার|অলস|লোভ|স্বার্থ|অক্ষম|অযোগ্য|বোকা|কৃপণ|হিংস"")),""valence-target অমিল"",""""),IF(COUNTIF($B:$B,B5327)&gt;1,""ডুপ্লিকেট"",""""))"),"")</f>
        <v/>
      </c>
      <c r="Q5327" s="5" t="str">
        <f t="shared" si="1"/>
        <v>২ পরে</v>
      </c>
    </row>
    <row r="5328">
      <c r="A5328" s="4">
        <v>3186.0</v>
      </c>
      <c r="B5328" s="2" t="s">
        <v>21798</v>
      </c>
      <c r="C5328" s="2" t="s">
        <v>21799</v>
      </c>
      <c r="D5328" s="2" t="s">
        <v>21800</v>
      </c>
      <c r="E5328" s="2" t="s">
        <v>21801</v>
      </c>
      <c r="F5328" s="2" t="b">
        <v>1</v>
      </c>
      <c r="G5328" s="2" t="b">
        <v>1</v>
      </c>
      <c r="H5328" s="2" t="s">
        <v>21523</v>
      </c>
      <c r="I5328" s="2" t="s">
        <v>49</v>
      </c>
      <c r="J5328" s="2" t="s">
        <v>1798</v>
      </c>
      <c r="K5328" s="2" t="s">
        <v>495</v>
      </c>
      <c r="L5328" s="13" t="s">
        <v>496</v>
      </c>
      <c r="M5328" s="2" t="s">
        <v>26</v>
      </c>
      <c r="N5328" s="29"/>
      <c r="O5328" s="29"/>
      <c r="P5328" s="5" t="str">
        <f>IFERROR(__xludf.DUMMYFUNCTION("TEXTJOIN("" | "",TRUE,IF(OR(D5328="""",E5328="""",I5328="""",J5328="""",H5328=""""),""ফাঁকা ঘর"",""""),IF(AND(C5328&lt;&gt;"""",D5328&lt;&gt;"""",C5328=D5328),""gloss=figurative"",""""),IF(LEN(D5328)&lt;15,""figurative ছোট"",""""),IF(AND(I5328=""Positive"",REGEXMATCH(H5"&amp;"328,""মূর্খ|ভণ্ড|প্রতার|অলস|লোভ|স্বার্থ|অক্ষম|অযোগ্য|বোকা|কৃপণ|হিংস"")),""valence-target অমিল"",""""),IF(COUNTIF($B:$B,B5328)&gt;1,""ডুপ্লিকেট"",""""))"),"")</f>
        <v/>
      </c>
      <c r="Q5328" s="5" t="str">
        <f t="shared" si="1"/>
        <v>২ পরে</v>
      </c>
    </row>
    <row r="5329">
      <c r="A5329" s="4">
        <v>3187.0</v>
      </c>
      <c r="B5329" s="2" t="s">
        <v>21802</v>
      </c>
      <c r="C5329" s="2" t="s">
        <v>21803</v>
      </c>
      <c r="D5329" s="2" t="s">
        <v>21804</v>
      </c>
      <c r="E5329" s="2" t="s">
        <v>21805</v>
      </c>
      <c r="F5329" s="2" t="b">
        <v>1</v>
      </c>
      <c r="G5329" s="2" t="b">
        <v>1</v>
      </c>
      <c r="H5329" s="2" t="s">
        <v>19674</v>
      </c>
      <c r="I5329" s="2" t="s">
        <v>22</v>
      </c>
      <c r="J5329" s="2" t="s">
        <v>3327</v>
      </c>
      <c r="K5329" s="2" t="s">
        <v>495</v>
      </c>
      <c r="L5329" s="13" t="s">
        <v>496</v>
      </c>
      <c r="M5329" s="2" t="s">
        <v>26</v>
      </c>
      <c r="N5329" s="29"/>
      <c r="O5329" s="29"/>
      <c r="P5329" s="5" t="str">
        <f>IFERROR(__xludf.DUMMYFUNCTION("TEXTJOIN("" | "",TRUE,IF(OR(D5329="""",E5329="""",I5329="""",J5329="""",H5329=""""),""ফাঁকা ঘর"",""""),IF(AND(C5329&lt;&gt;"""",D5329&lt;&gt;"""",C5329=D5329),""gloss=figurative"",""""),IF(LEN(D5329)&lt;15,""figurative ছোট"",""""),IF(AND(I5329=""Positive"",REGEXMATCH(H5"&amp;"329,""মূর্খ|ভণ্ড|প্রতার|অলস|লোভ|স্বার্থ|অক্ষম|অযোগ্য|বোকা|কৃপণ|হিংস"")),""valence-target অমিল"",""""),IF(COUNTIF($B:$B,B5329)&gt;1,""ডুপ্লিকেট"",""""))"),"")</f>
        <v/>
      </c>
      <c r="Q5329" s="5" t="str">
        <f t="shared" si="1"/>
        <v>২ পরে</v>
      </c>
    </row>
    <row r="5330">
      <c r="A5330" s="4">
        <v>3188.0</v>
      </c>
      <c r="B5330" s="2" t="s">
        <v>21806</v>
      </c>
      <c r="C5330" s="2" t="s">
        <v>21807</v>
      </c>
      <c r="D5330" s="2" t="s">
        <v>21808</v>
      </c>
      <c r="E5330" s="2" t="s">
        <v>21809</v>
      </c>
      <c r="F5330" s="2" t="b">
        <v>1</v>
      </c>
      <c r="G5330" s="2" t="b">
        <v>0</v>
      </c>
      <c r="H5330" s="2" t="s">
        <v>37</v>
      </c>
      <c r="I5330" s="2" t="s">
        <v>22</v>
      </c>
      <c r="J5330" s="2" t="s">
        <v>2040</v>
      </c>
      <c r="K5330" s="2" t="s">
        <v>495</v>
      </c>
      <c r="L5330" s="13" t="s">
        <v>496</v>
      </c>
      <c r="M5330" s="2" t="s">
        <v>26</v>
      </c>
      <c r="N5330" s="29"/>
      <c r="O5330" s="29"/>
      <c r="P5330" s="5" t="str">
        <f>IFERROR(__xludf.DUMMYFUNCTION("TEXTJOIN("" | "",TRUE,IF(OR(D5330="""",E5330="""",I5330="""",J5330="""",H5330=""""),""ফাঁকা ঘর"",""""),IF(AND(C5330&lt;&gt;"""",D5330&lt;&gt;"""",C5330=D5330),""gloss=figurative"",""""),IF(LEN(D5330)&lt;15,""figurative ছোট"",""""),IF(AND(I5330=""Positive"",REGEXMATCH(H5"&amp;"330,""মূর্খ|ভণ্ড|প্রতার|অলস|লোভ|স্বার্থ|অক্ষম|অযোগ্য|বোকা|কৃপণ|হিংস"")),""valence-target অমিল"",""""),IF(COUNTIF($B:$B,B5330)&gt;1,""ডুপ্লিকেট"",""""))"),"")</f>
        <v/>
      </c>
      <c r="Q5330" s="5" t="str">
        <f t="shared" si="1"/>
        <v>২ পরে</v>
      </c>
    </row>
    <row r="5331">
      <c r="A5331" s="4">
        <v>3189.0</v>
      </c>
      <c r="B5331" s="2" t="s">
        <v>21810</v>
      </c>
      <c r="C5331" s="2" t="s">
        <v>21811</v>
      </c>
      <c r="D5331" s="2" t="s">
        <v>21812</v>
      </c>
      <c r="E5331" s="2" t="s">
        <v>21813</v>
      </c>
      <c r="F5331" s="2" t="b">
        <v>1</v>
      </c>
      <c r="G5331" s="2" t="b">
        <v>0</v>
      </c>
      <c r="H5331" s="2" t="s">
        <v>37</v>
      </c>
      <c r="I5331" s="2" t="s">
        <v>22</v>
      </c>
      <c r="J5331" s="2" t="s">
        <v>3694</v>
      </c>
      <c r="K5331" s="2" t="s">
        <v>495</v>
      </c>
      <c r="L5331" s="13" t="s">
        <v>496</v>
      </c>
      <c r="M5331" s="2" t="s">
        <v>26</v>
      </c>
      <c r="N5331" s="29"/>
      <c r="O5331" s="29"/>
      <c r="P5331" s="5" t="str">
        <f>IFERROR(__xludf.DUMMYFUNCTION("TEXTJOIN("" | "",TRUE,IF(OR(D5331="""",E5331="""",I5331="""",J5331="""",H5331=""""),""ফাঁকা ঘর"",""""),IF(AND(C5331&lt;&gt;"""",D5331&lt;&gt;"""",C5331=D5331),""gloss=figurative"",""""),IF(LEN(D5331)&lt;15,""figurative ছোট"",""""),IF(AND(I5331=""Positive"",REGEXMATCH(H5"&amp;"331,""মূর্খ|ভণ্ড|প্রতার|অলস|লোভ|স্বার্থ|অক্ষম|অযোগ্য|বোকা|কৃপণ|হিংস"")),""valence-target অমিল"",""""),IF(COUNTIF($B:$B,B5331)&gt;1,""ডুপ্লিকেট"",""""))"),"")</f>
        <v/>
      </c>
      <c r="Q5331" s="5" t="str">
        <f t="shared" si="1"/>
        <v>২ পরে</v>
      </c>
    </row>
    <row r="5332">
      <c r="A5332" s="4">
        <v>3191.0</v>
      </c>
      <c r="B5332" s="2" t="s">
        <v>21814</v>
      </c>
      <c r="C5332" s="2" t="s">
        <v>21815</v>
      </c>
      <c r="D5332" s="2" t="s">
        <v>21816</v>
      </c>
      <c r="E5332" s="2" t="s">
        <v>21817</v>
      </c>
      <c r="F5332" s="2" t="b">
        <v>1</v>
      </c>
      <c r="G5332" s="2" t="b">
        <v>1</v>
      </c>
      <c r="H5332" s="2" t="s">
        <v>21818</v>
      </c>
      <c r="I5332" s="2" t="s">
        <v>22</v>
      </c>
      <c r="J5332" s="2" t="s">
        <v>21819</v>
      </c>
      <c r="K5332" s="2" t="s">
        <v>495</v>
      </c>
      <c r="L5332" s="13" t="s">
        <v>496</v>
      </c>
      <c r="M5332" s="2" t="s">
        <v>26</v>
      </c>
      <c r="N5332" s="29"/>
      <c r="O5332" s="29"/>
      <c r="P5332" s="5" t="str">
        <f>IFERROR(__xludf.DUMMYFUNCTION("TEXTJOIN("" | "",TRUE,IF(OR(D5332="""",E5332="""",I5332="""",J5332="""",H5332=""""),""ফাঁকা ঘর"",""""),IF(AND(C5332&lt;&gt;"""",D5332&lt;&gt;"""",C5332=D5332),""gloss=figurative"",""""),IF(LEN(D5332)&lt;15,""figurative ছোট"",""""),IF(AND(I5332=""Positive"",REGEXMATCH(H5"&amp;"332,""মূর্খ|ভণ্ড|প্রতার|অলস|লোভ|স্বার্থ|অক্ষম|অযোগ্য|বোকা|কৃপণ|হিংস"")),""valence-target অমিল"",""""),IF(COUNTIF($B:$B,B5332)&gt;1,""ডুপ্লিকেট"",""""))"),"")</f>
        <v/>
      </c>
      <c r="Q5332" s="5" t="str">
        <f t="shared" si="1"/>
        <v>২ পরে</v>
      </c>
    </row>
    <row r="5333">
      <c r="A5333" s="4">
        <v>3192.0</v>
      </c>
      <c r="B5333" s="2" t="s">
        <v>21820</v>
      </c>
      <c r="C5333" s="2" t="s">
        <v>21821</v>
      </c>
      <c r="D5333" s="2" t="s">
        <v>21822</v>
      </c>
      <c r="E5333" s="2" t="s">
        <v>21823</v>
      </c>
      <c r="F5333" s="2" t="b">
        <v>1</v>
      </c>
      <c r="G5333" s="2" t="b">
        <v>0</v>
      </c>
      <c r="H5333" s="2" t="s">
        <v>37</v>
      </c>
      <c r="I5333" s="2" t="s">
        <v>22</v>
      </c>
      <c r="J5333" s="2" t="s">
        <v>6697</v>
      </c>
      <c r="K5333" s="2" t="s">
        <v>495</v>
      </c>
      <c r="L5333" s="13" t="s">
        <v>496</v>
      </c>
      <c r="M5333" s="2" t="s">
        <v>26</v>
      </c>
      <c r="N5333" s="29"/>
      <c r="O5333" s="29"/>
      <c r="P5333" s="5" t="str">
        <f>IFERROR(__xludf.DUMMYFUNCTION("TEXTJOIN("" | "",TRUE,IF(OR(D5333="""",E5333="""",I5333="""",J5333="""",H5333=""""),""ফাঁকা ঘর"",""""),IF(AND(C5333&lt;&gt;"""",D5333&lt;&gt;"""",C5333=D5333),""gloss=figurative"",""""),IF(LEN(D5333)&lt;15,""figurative ছোট"",""""),IF(AND(I5333=""Positive"",REGEXMATCH(H5"&amp;"333,""মূর্খ|ভণ্ড|প্রতার|অলস|লোভ|স্বার্থ|অক্ষম|অযোগ্য|বোকা|কৃপণ|হিংস"")),""valence-target অমিল"",""""),IF(COUNTIF($B:$B,B5333)&gt;1,""ডুপ্লিকেট"",""""))"),"")</f>
        <v/>
      </c>
      <c r="Q5333" s="5" t="str">
        <f t="shared" si="1"/>
        <v>২ পরে</v>
      </c>
    </row>
    <row r="5334">
      <c r="A5334" s="4">
        <v>3193.0</v>
      </c>
      <c r="B5334" s="2" t="s">
        <v>21824</v>
      </c>
      <c r="C5334" s="2" t="s">
        <v>21825</v>
      </c>
      <c r="D5334" s="2" t="s">
        <v>21826</v>
      </c>
      <c r="E5334" s="2" t="s">
        <v>21827</v>
      </c>
      <c r="F5334" s="2" t="b">
        <v>1</v>
      </c>
      <c r="G5334" s="2" t="b">
        <v>0</v>
      </c>
      <c r="H5334" s="2" t="s">
        <v>37</v>
      </c>
      <c r="I5334" s="2" t="s">
        <v>32</v>
      </c>
      <c r="J5334" s="2" t="s">
        <v>750</v>
      </c>
      <c r="K5334" s="2" t="s">
        <v>495</v>
      </c>
      <c r="L5334" s="13" t="s">
        <v>496</v>
      </c>
      <c r="M5334" s="2" t="s">
        <v>26</v>
      </c>
      <c r="N5334" s="29"/>
      <c r="O5334" s="29"/>
      <c r="P5334" s="5" t="str">
        <f>IFERROR(__xludf.DUMMYFUNCTION("TEXTJOIN("" | "",TRUE,IF(OR(D5334="""",E5334="""",I5334="""",J5334="""",H5334=""""),""ফাঁকা ঘর"",""""),IF(AND(C5334&lt;&gt;"""",D5334&lt;&gt;"""",C5334=D5334),""gloss=figurative"",""""),IF(LEN(D5334)&lt;15,""figurative ছোট"",""""),IF(AND(I5334=""Positive"",REGEXMATCH(H5"&amp;"334,""মূর্খ|ভণ্ড|প্রতার|অলস|লোভ|স্বার্থ|অক্ষম|অযোগ্য|বোকা|কৃপণ|হিংস"")),""valence-target অমিল"",""""),IF(COUNTIF($B:$B,B5334)&gt;1,""ডুপ্লিকেট"",""""))"),"")</f>
        <v/>
      </c>
      <c r="Q5334" s="5" t="str">
        <f t="shared" si="1"/>
        <v>২ পরে</v>
      </c>
    </row>
    <row r="5335">
      <c r="A5335" s="4">
        <v>3194.0</v>
      </c>
      <c r="B5335" s="2" t="s">
        <v>21828</v>
      </c>
      <c r="C5335" s="2" t="s">
        <v>21829</v>
      </c>
      <c r="D5335" s="2" t="s">
        <v>21830</v>
      </c>
      <c r="E5335" s="2" t="s">
        <v>21831</v>
      </c>
      <c r="F5335" s="2" t="b">
        <v>1</v>
      </c>
      <c r="G5335" s="2" t="b">
        <v>0</v>
      </c>
      <c r="H5335" s="2" t="s">
        <v>37</v>
      </c>
      <c r="I5335" s="2" t="s">
        <v>22</v>
      </c>
      <c r="J5335" s="2" t="s">
        <v>842</v>
      </c>
      <c r="K5335" s="2" t="s">
        <v>495</v>
      </c>
      <c r="L5335" s="13" t="s">
        <v>496</v>
      </c>
      <c r="M5335" s="2" t="s">
        <v>26</v>
      </c>
      <c r="N5335" s="29"/>
      <c r="O5335" s="29"/>
      <c r="P5335" s="5" t="str">
        <f>IFERROR(__xludf.DUMMYFUNCTION("TEXTJOIN("" | "",TRUE,IF(OR(D5335="""",E5335="""",I5335="""",J5335="""",H5335=""""),""ফাঁকা ঘর"",""""),IF(AND(C5335&lt;&gt;"""",D5335&lt;&gt;"""",C5335=D5335),""gloss=figurative"",""""),IF(LEN(D5335)&lt;15,""figurative ছোট"",""""),IF(AND(I5335=""Positive"",REGEXMATCH(H5"&amp;"335,""মূর্খ|ভণ্ড|প্রতার|অলস|লোভ|স্বার্থ|অক্ষম|অযোগ্য|বোকা|কৃপণ|হিংস"")),""valence-target অমিল"",""""),IF(COUNTIF($B:$B,B5335)&gt;1,""ডুপ্লিকেট"",""""))"),"")</f>
        <v/>
      </c>
      <c r="Q5335" s="5" t="str">
        <f t="shared" si="1"/>
        <v>২ পরে</v>
      </c>
    </row>
    <row r="5336">
      <c r="A5336" s="4">
        <v>3195.0</v>
      </c>
      <c r="B5336" s="2" t="s">
        <v>21832</v>
      </c>
      <c r="C5336" s="2" t="s">
        <v>21833</v>
      </c>
      <c r="D5336" s="2" t="s">
        <v>21834</v>
      </c>
      <c r="E5336" s="2" t="s">
        <v>21835</v>
      </c>
      <c r="F5336" s="2" t="b">
        <v>1</v>
      </c>
      <c r="G5336" s="2" t="b">
        <v>0</v>
      </c>
      <c r="H5336" s="2" t="s">
        <v>37</v>
      </c>
      <c r="I5336" s="2" t="s">
        <v>32</v>
      </c>
      <c r="J5336" s="2" t="s">
        <v>21836</v>
      </c>
      <c r="K5336" s="2" t="s">
        <v>495</v>
      </c>
      <c r="L5336" s="13" t="s">
        <v>496</v>
      </c>
      <c r="M5336" s="2" t="s">
        <v>26</v>
      </c>
      <c r="N5336" s="29"/>
      <c r="O5336" s="29"/>
      <c r="P5336" s="5" t="str">
        <f>IFERROR(__xludf.DUMMYFUNCTION("TEXTJOIN("" | "",TRUE,IF(OR(D5336="""",E5336="""",I5336="""",J5336="""",H5336=""""),""ফাঁকা ঘর"",""""),IF(AND(C5336&lt;&gt;"""",D5336&lt;&gt;"""",C5336=D5336),""gloss=figurative"",""""),IF(LEN(D5336)&lt;15,""figurative ছোট"",""""),IF(AND(I5336=""Positive"",REGEXMATCH(H5"&amp;"336,""মূর্খ|ভণ্ড|প্রতার|অলস|লোভ|স্বার্থ|অক্ষম|অযোগ্য|বোকা|কৃপণ|হিংস"")),""valence-target অমিল"",""""),IF(COUNTIF($B:$B,B5336)&gt;1,""ডুপ্লিকেট"",""""))"),"")</f>
        <v/>
      </c>
      <c r="Q5336" s="5" t="str">
        <f t="shared" si="1"/>
        <v>২ পরে</v>
      </c>
    </row>
    <row r="5337">
      <c r="A5337" s="4">
        <v>3196.0</v>
      </c>
      <c r="B5337" s="2" t="s">
        <v>21837</v>
      </c>
      <c r="C5337" s="2" t="s">
        <v>21837</v>
      </c>
      <c r="D5337" s="2" t="s">
        <v>21838</v>
      </c>
      <c r="E5337" s="2" t="s">
        <v>21839</v>
      </c>
      <c r="F5337" s="2" t="b">
        <v>1</v>
      </c>
      <c r="G5337" s="2" t="b">
        <v>0</v>
      </c>
      <c r="H5337" s="2" t="s">
        <v>37</v>
      </c>
      <c r="I5337" s="2" t="s">
        <v>32</v>
      </c>
      <c r="J5337" s="2" t="s">
        <v>21836</v>
      </c>
      <c r="K5337" s="2" t="s">
        <v>495</v>
      </c>
      <c r="L5337" s="13" t="s">
        <v>496</v>
      </c>
      <c r="M5337" s="2" t="s">
        <v>26</v>
      </c>
      <c r="N5337" s="29"/>
      <c r="O5337" s="29"/>
      <c r="P5337" s="5" t="str">
        <f>IFERROR(__xludf.DUMMYFUNCTION("TEXTJOIN("" | "",TRUE,IF(OR(D5337="""",E5337="""",I5337="""",J5337="""",H5337=""""),""ফাঁকা ঘর"",""""),IF(AND(C5337&lt;&gt;"""",D5337&lt;&gt;"""",C5337=D5337),""gloss=figurative"",""""),IF(LEN(D5337)&lt;15,""figurative ছোট"",""""),IF(AND(I5337=""Positive"",REGEXMATCH(H5"&amp;"337,""মূর্খ|ভণ্ড|প্রতার|অলস|লোভ|স্বার্থ|অক্ষম|অযোগ্য|বোকা|কৃপণ|হিংস"")),""valence-target অমিল"",""""),IF(COUNTIF($B:$B,B5337)&gt;1,""ডুপ্লিকেট"",""""))"),"")</f>
        <v/>
      </c>
      <c r="Q5337" s="5" t="str">
        <f t="shared" si="1"/>
        <v>২ পরে</v>
      </c>
    </row>
    <row r="5338">
      <c r="A5338" s="4">
        <v>3197.0</v>
      </c>
      <c r="B5338" s="2" t="s">
        <v>21840</v>
      </c>
      <c r="C5338" s="2" t="s">
        <v>21841</v>
      </c>
      <c r="D5338" s="2" t="s">
        <v>21842</v>
      </c>
      <c r="E5338" s="2" t="s">
        <v>21843</v>
      </c>
      <c r="F5338" s="2" t="b">
        <v>1</v>
      </c>
      <c r="G5338" s="2" t="b">
        <v>0</v>
      </c>
      <c r="H5338" s="2" t="s">
        <v>37</v>
      </c>
      <c r="I5338" s="2" t="s">
        <v>32</v>
      </c>
      <c r="J5338" s="2" t="s">
        <v>21836</v>
      </c>
      <c r="K5338" s="2" t="s">
        <v>495</v>
      </c>
      <c r="L5338" s="13" t="s">
        <v>496</v>
      </c>
      <c r="M5338" s="2" t="s">
        <v>26</v>
      </c>
      <c r="N5338" s="29"/>
      <c r="O5338" s="29"/>
      <c r="P5338" s="5" t="str">
        <f>IFERROR(__xludf.DUMMYFUNCTION("TEXTJOIN("" | "",TRUE,IF(OR(D5338="""",E5338="""",I5338="""",J5338="""",H5338=""""),""ফাঁকা ঘর"",""""),IF(AND(C5338&lt;&gt;"""",D5338&lt;&gt;"""",C5338=D5338),""gloss=figurative"",""""),IF(LEN(D5338)&lt;15,""figurative ছোট"",""""),IF(AND(I5338=""Positive"",REGEXMATCH(H5"&amp;"338,""মূর্খ|ভণ্ড|প্রতার|অলস|লোভ|স্বার্থ|অক্ষম|অযোগ্য|বোকা|কৃপণ|হিংস"")),""valence-target অমিল"",""""),IF(COUNTIF($B:$B,B5338)&gt;1,""ডুপ্লিকেট"",""""))"),"")</f>
        <v/>
      </c>
      <c r="Q5338" s="5" t="str">
        <f t="shared" si="1"/>
        <v>২ পরে</v>
      </c>
    </row>
    <row r="5339">
      <c r="A5339" s="4">
        <v>3198.0</v>
      </c>
      <c r="B5339" s="2" t="s">
        <v>21844</v>
      </c>
      <c r="C5339" s="2" t="s">
        <v>21845</v>
      </c>
      <c r="D5339" s="2" t="s">
        <v>21846</v>
      </c>
      <c r="E5339" s="2" t="s">
        <v>21847</v>
      </c>
      <c r="F5339" s="2" t="b">
        <v>1</v>
      </c>
      <c r="G5339" s="2" t="b">
        <v>0</v>
      </c>
      <c r="H5339" s="2" t="s">
        <v>37</v>
      </c>
      <c r="I5339" s="2" t="s">
        <v>32</v>
      </c>
      <c r="J5339" s="2" t="s">
        <v>913</v>
      </c>
      <c r="K5339" s="2" t="s">
        <v>495</v>
      </c>
      <c r="L5339" s="13" t="s">
        <v>496</v>
      </c>
      <c r="M5339" s="2" t="s">
        <v>26</v>
      </c>
      <c r="N5339" s="29"/>
      <c r="O5339" s="29"/>
      <c r="P5339" s="5" t="str">
        <f>IFERROR(__xludf.DUMMYFUNCTION("TEXTJOIN("" | "",TRUE,IF(OR(D5339="""",E5339="""",I5339="""",J5339="""",H5339=""""),""ফাঁকা ঘর"",""""),IF(AND(C5339&lt;&gt;"""",D5339&lt;&gt;"""",C5339=D5339),""gloss=figurative"",""""),IF(LEN(D5339)&lt;15,""figurative ছোট"",""""),IF(AND(I5339=""Positive"",REGEXMATCH(H5"&amp;"339,""মূর্খ|ভণ্ড|প্রতার|অলস|লোভ|স্বার্থ|অক্ষম|অযোগ্য|বোকা|কৃপণ|হিংস"")),""valence-target অমিল"",""""),IF(COUNTIF($B:$B,B5339)&gt;1,""ডুপ্লিকেট"",""""))"),"")</f>
        <v/>
      </c>
      <c r="Q5339" s="5" t="str">
        <f t="shared" si="1"/>
        <v>২ পরে</v>
      </c>
    </row>
    <row r="5340">
      <c r="A5340" s="4">
        <v>3199.0</v>
      </c>
      <c r="B5340" s="2" t="s">
        <v>21848</v>
      </c>
      <c r="C5340" s="2" t="s">
        <v>21848</v>
      </c>
      <c r="D5340" s="2" t="s">
        <v>21849</v>
      </c>
      <c r="E5340" s="2" t="s">
        <v>21850</v>
      </c>
      <c r="F5340" s="2" t="b">
        <v>1</v>
      </c>
      <c r="G5340" s="2" t="b">
        <v>1</v>
      </c>
      <c r="H5340" s="2" t="s">
        <v>21851</v>
      </c>
      <c r="I5340" s="2" t="s">
        <v>22</v>
      </c>
      <c r="J5340" s="2" t="s">
        <v>1315</v>
      </c>
      <c r="K5340" s="2" t="s">
        <v>495</v>
      </c>
      <c r="L5340" s="13" t="s">
        <v>496</v>
      </c>
      <c r="M5340" s="2" t="s">
        <v>26</v>
      </c>
      <c r="N5340" s="29"/>
      <c r="O5340" s="29"/>
      <c r="P5340" s="5" t="str">
        <f>IFERROR(__xludf.DUMMYFUNCTION("TEXTJOIN("" | "",TRUE,IF(OR(D5340="""",E5340="""",I5340="""",J5340="""",H5340=""""),""ফাঁকা ঘর"",""""),IF(AND(C5340&lt;&gt;"""",D5340&lt;&gt;"""",C5340=D5340),""gloss=figurative"",""""),IF(LEN(D5340)&lt;15,""figurative ছোট"",""""),IF(AND(I5340=""Positive"",REGEXMATCH(H5"&amp;"340,""মূর্খ|ভণ্ড|প্রতার|অলস|লোভ|স্বার্থ|অক্ষম|অযোগ্য|বোকা|কৃপণ|হিংস"")),""valence-target অমিল"",""""),IF(COUNTIF($B:$B,B5340)&gt;1,""ডুপ্লিকেট"",""""))"),"")</f>
        <v/>
      </c>
      <c r="Q5340" s="5" t="str">
        <f t="shared" si="1"/>
        <v>২ পরে</v>
      </c>
    </row>
    <row r="5341">
      <c r="A5341" s="4">
        <v>3200.0</v>
      </c>
      <c r="B5341" s="2" t="s">
        <v>21852</v>
      </c>
      <c r="C5341" s="2" t="s">
        <v>21853</v>
      </c>
      <c r="D5341" s="2" t="s">
        <v>21854</v>
      </c>
      <c r="E5341" s="2" t="s">
        <v>21855</v>
      </c>
      <c r="F5341" s="2" t="b">
        <v>1</v>
      </c>
      <c r="G5341" s="2" t="b">
        <v>0</v>
      </c>
      <c r="H5341" s="2" t="s">
        <v>37</v>
      </c>
      <c r="I5341" s="2" t="s">
        <v>32</v>
      </c>
      <c r="J5341" s="2" t="s">
        <v>1008</v>
      </c>
      <c r="K5341" s="2" t="s">
        <v>495</v>
      </c>
      <c r="L5341" s="13" t="s">
        <v>496</v>
      </c>
      <c r="M5341" s="2" t="s">
        <v>26</v>
      </c>
      <c r="N5341" s="29"/>
      <c r="O5341" s="29"/>
      <c r="P5341" s="5" t="str">
        <f>IFERROR(__xludf.DUMMYFUNCTION("TEXTJOIN("" | "",TRUE,IF(OR(D5341="""",E5341="""",I5341="""",J5341="""",H5341=""""),""ফাঁকা ঘর"",""""),IF(AND(C5341&lt;&gt;"""",D5341&lt;&gt;"""",C5341=D5341),""gloss=figurative"",""""),IF(LEN(D5341)&lt;15,""figurative ছোট"",""""),IF(AND(I5341=""Positive"",REGEXMATCH(H5"&amp;"341,""মূর্খ|ভণ্ড|প্রতার|অলস|লোভ|স্বার্থ|অক্ষম|অযোগ্য|বোকা|কৃপণ|হিংস"")),""valence-target অমিল"",""""),IF(COUNTIF($B:$B,B5341)&gt;1,""ডুপ্লিকেট"",""""))"),"")</f>
        <v/>
      </c>
      <c r="Q5341" s="5" t="str">
        <f t="shared" si="1"/>
        <v>২ পরে</v>
      </c>
    </row>
    <row r="5342">
      <c r="A5342" s="4">
        <v>3201.0</v>
      </c>
      <c r="B5342" s="2" t="s">
        <v>21856</v>
      </c>
      <c r="C5342" s="2" t="s">
        <v>21857</v>
      </c>
      <c r="D5342" s="2" t="s">
        <v>21858</v>
      </c>
      <c r="E5342" s="2" t="s">
        <v>21859</v>
      </c>
      <c r="F5342" s="2" t="b">
        <v>1</v>
      </c>
      <c r="G5342" s="2" t="b">
        <v>1</v>
      </c>
      <c r="H5342" s="2" t="s">
        <v>21860</v>
      </c>
      <c r="I5342" s="2" t="s">
        <v>32</v>
      </c>
      <c r="J5342" s="2" t="s">
        <v>21861</v>
      </c>
      <c r="K5342" s="2" t="s">
        <v>495</v>
      </c>
      <c r="L5342" s="13" t="s">
        <v>496</v>
      </c>
      <c r="M5342" s="2" t="s">
        <v>26</v>
      </c>
      <c r="N5342" s="29"/>
      <c r="O5342" s="29"/>
      <c r="P5342" s="5" t="str">
        <f>IFERROR(__xludf.DUMMYFUNCTION("TEXTJOIN("" | "",TRUE,IF(OR(D5342="""",E5342="""",I5342="""",J5342="""",H5342=""""),""ফাঁকা ঘর"",""""),IF(AND(C5342&lt;&gt;"""",D5342&lt;&gt;"""",C5342=D5342),""gloss=figurative"",""""),IF(LEN(D5342)&lt;15,""figurative ছোট"",""""),IF(AND(I5342=""Positive"",REGEXMATCH(H5"&amp;"342,""মূর্খ|ভণ্ড|প্রতার|অলস|লোভ|স্বার্থ|অক্ষম|অযোগ্য|বোকা|কৃপণ|হিংস"")),""valence-target অমিল"",""""),IF(COUNTIF($B:$B,B5342)&gt;1,""ডুপ্লিকেট"",""""))"),"")</f>
        <v/>
      </c>
      <c r="Q5342" s="5" t="str">
        <f t="shared" si="1"/>
        <v>২ পরে</v>
      </c>
    </row>
    <row r="5343">
      <c r="A5343" s="4">
        <v>3202.0</v>
      </c>
      <c r="B5343" s="2" t="s">
        <v>21862</v>
      </c>
      <c r="C5343" s="2" t="s">
        <v>21863</v>
      </c>
      <c r="D5343" s="2" t="s">
        <v>21864</v>
      </c>
      <c r="E5343" s="2" t="s">
        <v>21865</v>
      </c>
      <c r="F5343" s="2" t="b">
        <v>1</v>
      </c>
      <c r="G5343" s="2" t="b">
        <v>0</v>
      </c>
      <c r="H5343" s="2" t="s">
        <v>37</v>
      </c>
      <c r="I5343" s="2" t="s">
        <v>49</v>
      </c>
      <c r="J5343" s="2" t="s">
        <v>21866</v>
      </c>
      <c r="K5343" s="2" t="s">
        <v>495</v>
      </c>
      <c r="L5343" s="13" t="s">
        <v>496</v>
      </c>
      <c r="M5343" s="2" t="s">
        <v>26</v>
      </c>
      <c r="N5343" s="29"/>
      <c r="O5343" s="29"/>
      <c r="P5343" s="5" t="str">
        <f>IFERROR(__xludf.DUMMYFUNCTION("TEXTJOIN("" | "",TRUE,IF(OR(D5343="""",E5343="""",I5343="""",J5343="""",H5343=""""),""ফাঁকা ঘর"",""""),IF(AND(C5343&lt;&gt;"""",D5343&lt;&gt;"""",C5343=D5343),""gloss=figurative"",""""),IF(LEN(D5343)&lt;15,""figurative ছোট"",""""),IF(AND(I5343=""Positive"",REGEXMATCH(H5"&amp;"343,""মূর্খ|ভণ্ড|প্রতার|অলস|লোভ|স্বার্থ|অক্ষম|অযোগ্য|বোকা|কৃপণ|হিংস"")),""valence-target অমিল"",""""),IF(COUNTIF($B:$B,B5343)&gt;1,""ডুপ্লিকেট"",""""))"),"")</f>
        <v/>
      </c>
      <c r="Q5343" s="5" t="str">
        <f t="shared" si="1"/>
        <v>২ পরে</v>
      </c>
    </row>
    <row r="5344">
      <c r="A5344" s="4">
        <v>3203.0</v>
      </c>
      <c r="B5344" s="2" t="s">
        <v>21867</v>
      </c>
      <c r="C5344" s="2" t="s">
        <v>21868</v>
      </c>
      <c r="D5344" s="2" t="s">
        <v>21869</v>
      </c>
      <c r="E5344" s="2" t="s">
        <v>21870</v>
      </c>
      <c r="F5344" s="2" t="b">
        <v>1</v>
      </c>
      <c r="G5344" s="2" t="b">
        <v>0</v>
      </c>
      <c r="H5344" s="2" t="s">
        <v>37</v>
      </c>
      <c r="I5344" s="2" t="s">
        <v>49</v>
      </c>
      <c r="J5344" s="2" t="s">
        <v>1621</v>
      </c>
      <c r="K5344" s="2" t="s">
        <v>495</v>
      </c>
      <c r="L5344" s="13" t="s">
        <v>496</v>
      </c>
      <c r="M5344" s="2" t="s">
        <v>26</v>
      </c>
      <c r="N5344" s="29"/>
      <c r="O5344" s="29"/>
      <c r="P5344" s="5" t="str">
        <f>IFERROR(__xludf.DUMMYFUNCTION("TEXTJOIN("" | "",TRUE,IF(OR(D5344="""",E5344="""",I5344="""",J5344="""",H5344=""""),""ফাঁকা ঘর"",""""),IF(AND(C5344&lt;&gt;"""",D5344&lt;&gt;"""",C5344=D5344),""gloss=figurative"",""""),IF(LEN(D5344)&lt;15,""figurative ছোট"",""""),IF(AND(I5344=""Positive"",REGEXMATCH(H5"&amp;"344,""মূর্খ|ভণ্ড|প্রতার|অলস|লোভ|স্বার্থ|অক্ষম|অযোগ্য|বোকা|কৃপণ|হিংস"")),""valence-target অমিল"",""""),IF(COUNTIF($B:$B,B5344)&gt;1,""ডুপ্লিকেট"",""""))"),"")</f>
        <v/>
      </c>
      <c r="Q5344" s="5" t="str">
        <f t="shared" si="1"/>
        <v>২ পরে</v>
      </c>
    </row>
    <row r="5345">
      <c r="A5345" s="4">
        <v>3204.0</v>
      </c>
      <c r="B5345" s="2" t="s">
        <v>21871</v>
      </c>
      <c r="C5345" s="2" t="s">
        <v>21872</v>
      </c>
      <c r="D5345" s="2" t="s">
        <v>21812</v>
      </c>
      <c r="E5345" s="2" t="s">
        <v>21873</v>
      </c>
      <c r="F5345" s="2" t="b">
        <v>1</v>
      </c>
      <c r="G5345" s="2" t="b">
        <v>0</v>
      </c>
      <c r="H5345" s="2" t="s">
        <v>37</v>
      </c>
      <c r="I5345" s="2" t="s">
        <v>22</v>
      </c>
      <c r="J5345" s="2" t="s">
        <v>3694</v>
      </c>
      <c r="K5345" s="2" t="s">
        <v>495</v>
      </c>
      <c r="L5345" s="13" t="s">
        <v>496</v>
      </c>
      <c r="M5345" s="2" t="s">
        <v>26</v>
      </c>
      <c r="N5345" s="29"/>
      <c r="O5345" s="29"/>
      <c r="P5345" s="5" t="str">
        <f>IFERROR(__xludf.DUMMYFUNCTION("TEXTJOIN("" | "",TRUE,IF(OR(D5345="""",E5345="""",I5345="""",J5345="""",H5345=""""),""ফাঁকা ঘর"",""""),IF(AND(C5345&lt;&gt;"""",D5345&lt;&gt;"""",C5345=D5345),""gloss=figurative"",""""),IF(LEN(D5345)&lt;15,""figurative ছোট"",""""),IF(AND(I5345=""Positive"",REGEXMATCH(H5"&amp;"345,""মূর্খ|ভণ্ড|প্রতার|অলস|লোভ|স্বার্থ|অক্ষম|অযোগ্য|বোকা|কৃপণ|হিংস"")),""valence-target অমিল"",""""),IF(COUNTIF($B:$B,B5345)&gt;1,""ডুপ্লিকেট"",""""))"),"")</f>
        <v/>
      </c>
      <c r="Q5345" s="5" t="str">
        <f t="shared" si="1"/>
        <v>২ পরে</v>
      </c>
    </row>
    <row r="5346">
      <c r="A5346" s="4">
        <v>3205.0</v>
      </c>
      <c r="B5346" s="2" t="s">
        <v>21874</v>
      </c>
      <c r="C5346" s="2" t="s">
        <v>21875</v>
      </c>
      <c r="D5346" s="2" t="s">
        <v>21876</v>
      </c>
      <c r="E5346" s="2" t="s">
        <v>16254</v>
      </c>
      <c r="F5346" s="2" t="b">
        <v>1</v>
      </c>
      <c r="G5346" s="2" t="b">
        <v>0</v>
      </c>
      <c r="H5346" s="2" t="s">
        <v>37</v>
      </c>
      <c r="I5346" s="2" t="s">
        <v>49</v>
      </c>
      <c r="J5346" s="2" t="s">
        <v>2140</v>
      </c>
      <c r="K5346" s="2" t="s">
        <v>495</v>
      </c>
      <c r="L5346" s="13" t="s">
        <v>496</v>
      </c>
      <c r="M5346" s="2" t="s">
        <v>26</v>
      </c>
      <c r="N5346" s="29"/>
      <c r="O5346" s="29"/>
      <c r="P5346" s="5" t="str">
        <f>IFERROR(__xludf.DUMMYFUNCTION("TEXTJOIN("" | "",TRUE,IF(OR(D5346="""",E5346="""",I5346="""",J5346="""",H5346=""""),""ফাঁকা ঘর"",""""),IF(AND(C5346&lt;&gt;"""",D5346&lt;&gt;"""",C5346=D5346),""gloss=figurative"",""""),IF(LEN(D5346)&lt;15,""figurative ছোট"",""""),IF(AND(I5346=""Positive"",REGEXMATCH(H5"&amp;"346,""মূর্খ|ভণ্ড|প্রতার|অলস|লোভ|স্বার্থ|অক্ষম|অযোগ্য|বোকা|কৃপণ|হিংস"")),""valence-target অমিল"",""""),IF(COUNTIF($B:$B,B5346)&gt;1,""ডুপ্লিকেট"",""""))"),"")</f>
        <v/>
      </c>
      <c r="Q5346" s="5" t="str">
        <f t="shared" si="1"/>
        <v>২ পরে</v>
      </c>
    </row>
    <row r="5347">
      <c r="A5347" s="4">
        <v>3206.0</v>
      </c>
      <c r="B5347" s="2" t="s">
        <v>21877</v>
      </c>
      <c r="C5347" s="2" t="s">
        <v>21878</v>
      </c>
      <c r="D5347" s="2" t="s">
        <v>21879</v>
      </c>
      <c r="E5347" s="2" t="s">
        <v>21880</v>
      </c>
      <c r="F5347" s="2" t="b">
        <v>1</v>
      </c>
      <c r="G5347" s="2" t="b">
        <v>1</v>
      </c>
      <c r="H5347" s="2" t="s">
        <v>21881</v>
      </c>
      <c r="I5347" s="2" t="s">
        <v>32</v>
      </c>
      <c r="J5347" s="2" t="s">
        <v>21882</v>
      </c>
      <c r="K5347" s="2" t="s">
        <v>495</v>
      </c>
      <c r="L5347" s="13" t="s">
        <v>496</v>
      </c>
      <c r="M5347" s="2" t="s">
        <v>26</v>
      </c>
      <c r="N5347" s="29"/>
      <c r="O5347" s="29"/>
      <c r="P5347" s="5" t="str">
        <f>IFERROR(__xludf.DUMMYFUNCTION("TEXTJOIN("" | "",TRUE,IF(OR(D5347="""",E5347="""",I5347="""",J5347="""",H5347=""""),""ফাঁকা ঘর"",""""),IF(AND(C5347&lt;&gt;"""",D5347&lt;&gt;"""",C5347=D5347),""gloss=figurative"",""""),IF(LEN(D5347)&lt;15,""figurative ছোট"",""""),IF(AND(I5347=""Positive"",REGEXMATCH(H5"&amp;"347,""মূর্খ|ভণ্ড|প্রতার|অলস|লোভ|স্বার্থ|অক্ষম|অযোগ্য|বোকা|কৃপণ|হিংস"")),""valence-target অমিল"",""""),IF(COUNTIF($B:$B,B5347)&gt;1,""ডুপ্লিকেট"",""""))"),"")</f>
        <v/>
      </c>
      <c r="Q5347" s="5" t="str">
        <f t="shared" si="1"/>
        <v>২ পরে</v>
      </c>
    </row>
    <row r="5348">
      <c r="A5348" s="4">
        <v>3207.0</v>
      </c>
      <c r="B5348" s="2" t="s">
        <v>21883</v>
      </c>
      <c r="C5348" s="2" t="s">
        <v>21884</v>
      </c>
      <c r="D5348" s="2" t="s">
        <v>21885</v>
      </c>
      <c r="E5348" s="2" t="s">
        <v>21886</v>
      </c>
      <c r="F5348" s="2" t="b">
        <v>1</v>
      </c>
      <c r="G5348" s="2" t="b">
        <v>0</v>
      </c>
      <c r="H5348" s="2" t="s">
        <v>37</v>
      </c>
      <c r="I5348" s="2" t="s">
        <v>32</v>
      </c>
      <c r="J5348" s="2" t="s">
        <v>1603</v>
      </c>
      <c r="K5348" s="2" t="s">
        <v>495</v>
      </c>
      <c r="L5348" s="13" t="s">
        <v>496</v>
      </c>
      <c r="M5348" s="2" t="s">
        <v>26</v>
      </c>
      <c r="N5348" s="29"/>
      <c r="O5348" s="29"/>
      <c r="P5348" s="5" t="str">
        <f>IFERROR(__xludf.DUMMYFUNCTION("TEXTJOIN("" | "",TRUE,IF(OR(D5348="""",E5348="""",I5348="""",J5348="""",H5348=""""),""ফাঁকা ঘর"",""""),IF(AND(C5348&lt;&gt;"""",D5348&lt;&gt;"""",C5348=D5348),""gloss=figurative"",""""),IF(LEN(D5348)&lt;15,""figurative ছোট"",""""),IF(AND(I5348=""Positive"",REGEXMATCH(H5"&amp;"348,""মূর্খ|ভণ্ড|প্রতার|অলস|লোভ|স্বার্থ|অক্ষম|অযোগ্য|বোকা|কৃপণ|হিংস"")),""valence-target অমিল"",""""),IF(COUNTIF($B:$B,B5348)&gt;1,""ডুপ্লিকেট"",""""))"),"")</f>
        <v/>
      </c>
      <c r="Q5348" s="5" t="str">
        <f t="shared" si="1"/>
        <v>২ পরে</v>
      </c>
    </row>
    <row r="5349">
      <c r="A5349" s="4">
        <v>3208.0</v>
      </c>
      <c r="B5349" s="2" t="s">
        <v>21887</v>
      </c>
      <c r="C5349" s="2" t="s">
        <v>21888</v>
      </c>
      <c r="D5349" s="2" t="s">
        <v>21889</v>
      </c>
      <c r="E5349" s="2" t="s">
        <v>21890</v>
      </c>
      <c r="F5349" s="2" t="b">
        <v>1</v>
      </c>
      <c r="G5349" s="2" t="b">
        <v>0</v>
      </c>
      <c r="H5349" s="2" t="s">
        <v>37</v>
      </c>
      <c r="I5349" s="2" t="s">
        <v>22</v>
      </c>
      <c r="J5349" s="2" t="s">
        <v>1572</v>
      </c>
      <c r="K5349" s="2" t="s">
        <v>495</v>
      </c>
      <c r="L5349" s="13" t="s">
        <v>496</v>
      </c>
      <c r="M5349" s="2" t="s">
        <v>26</v>
      </c>
      <c r="N5349" s="29"/>
      <c r="O5349" s="29"/>
      <c r="P5349" s="5" t="str">
        <f>IFERROR(__xludf.DUMMYFUNCTION("TEXTJOIN("" | "",TRUE,IF(OR(D5349="""",E5349="""",I5349="""",J5349="""",H5349=""""),""ফাঁকা ঘর"",""""),IF(AND(C5349&lt;&gt;"""",D5349&lt;&gt;"""",C5349=D5349),""gloss=figurative"",""""),IF(LEN(D5349)&lt;15,""figurative ছোট"",""""),IF(AND(I5349=""Positive"",REGEXMATCH(H5"&amp;"349,""মূর্খ|ভণ্ড|প্রতার|অলস|লোভ|স্বার্থ|অক্ষম|অযোগ্য|বোকা|কৃপণ|হিংস"")),""valence-target অমিল"",""""),IF(COUNTIF($B:$B,B5349)&gt;1,""ডুপ্লিকেট"",""""))"),"")</f>
        <v/>
      </c>
      <c r="Q5349" s="5" t="str">
        <f t="shared" si="1"/>
        <v>২ পরে</v>
      </c>
    </row>
    <row r="5350">
      <c r="A5350" s="4">
        <v>3209.0</v>
      </c>
      <c r="B5350" s="2" t="s">
        <v>21891</v>
      </c>
      <c r="C5350" s="2" t="s">
        <v>21892</v>
      </c>
      <c r="D5350" s="2" t="s">
        <v>21893</v>
      </c>
      <c r="E5350" s="2" t="s">
        <v>21894</v>
      </c>
      <c r="F5350" s="2" t="b">
        <v>1</v>
      </c>
      <c r="G5350" s="2" t="b">
        <v>0</v>
      </c>
      <c r="H5350" s="2" t="s">
        <v>37</v>
      </c>
      <c r="I5350" s="2" t="s">
        <v>22</v>
      </c>
      <c r="J5350" s="2" t="s">
        <v>5143</v>
      </c>
      <c r="K5350" s="2" t="s">
        <v>495</v>
      </c>
      <c r="L5350" s="13" t="s">
        <v>496</v>
      </c>
      <c r="M5350" s="2" t="s">
        <v>26</v>
      </c>
      <c r="N5350" s="29"/>
      <c r="O5350" s="29"/>
      <c r="P5350" s="5" t="str">
        <f>IFERROR(__xludf.DUMMYFUNCTION("TEXTJOIN("" | "",TRUE,IF(OR(D5350="""",E5350="""",I5350="""",J5350="""",H5350=""""),""ফাঁকা ঘর"",""""),IF(AND(C5350&lt;&gt;"""",D5350&lt;&gt;"""",C5350=D5350),""gloss=figurative"",""""),IF(LEN(D5350)&lt;15,""figurative ছোট"",""""),IF(AND(I5350=""Positive"",REGEXMATCH(H5"&amp;"350,""মূর্খ|ভণ্ড|প্রতার|অলস|লোভ|স্বার্থ|অক্ষম|অযোগ্য|বোকা|কৃপণ|হিংস"")),""valence-target অমিল"",""""),IF(COUNTIF($B:$B,B5350)&gt;1,""ডুপ্লিকেট"",""""))"),"")</f>
        <v/>
      </c>
      <c r="Q5350" s="5" t="str">
        <f t="shared" si="1"/>
        <v>২ পরে</v>
      </c>
    </row>
    <row r="5351">
      <c r="A5351" s="4">
        <v>3210.0</v>
      </c>
      <c r="B5351" s="2" t="s">
        <v>21895</v>
      </c>
      <c r="C5351" s="2" t="s">
        <v>21896</v>
      </c>
      <c r="D5351" s="2" t="s">
        <v>21897</v>
      </c>
      <c r="E5351" s="2" t="s">
        <v>21898</v>
      </c>
      <c r="F5351" s="2" t="b">
        <v>1</v>
      </c>
      <c r="G5351" s="2" t="b">
        <v>0</v>
      </c>
      <c r="H5351" s="2" t="s">
        <v>37</v>
      </c>
      <c r="I5351" s="2" t="s">
        <v>32</v>
      </c>
      <c r="J5351" s="2" t="s">
        <v>300</v>
      </c>
      <c r="K5351" s="2" t="s">
        <v>495</v>
      </c>
      <c r="L5351" s="13" t="s">
        <v>496</v>
      </c>
      <c r="M5351" s="2" t="s">
        <v>26</v>
      </c>
      <c r="N5351" s="29"/>
      <c r="O5351" s="29"/>
      <c r="P5351" s="5" t="str">
        <f>IFERROR(__xludf.DUMMYFUNCTION("TEXTJOIN("" | "",TRUE,IF(OR(D5351="""",E5351="""",I5351="""",J5351="""",H5351=""""),""ফাঁকা ঘর"",""""),IF(AND(C5351&lt;&gt;"""",D5351&lt;&gt;"""",C5351=D5351),""gloss=figurative"",""""),IF(LEN(D5351)&lt;15,""figurative ছোট"",""""),IF(AND(I5351=""Positive"",REGEXMATCH(H5"&amp;"351,""মূর্খ|ভণ্ড|প্রতার|অলস|লোভ|স্বার্থ|অক্ষম|অযোগ্য|বোকা|কৃপণ|হিংস"")),""valence-target অমিল"",""""),IF(COUNTIF($B:$B,B5351)&gt;1,""ডুপ্লিকেট"",""""))"),"")</f>
        <v/>
      </c>
      <c r="Q5351" s="5" t="str">
        <f t="shared" si="1"/>
        <v>২ পরে</v>
      </c>
    </row>
    <row r="5352">
      <c r="A5352" s="4">
        <v>3211.0</v>
      </c>
      <c r="B5352" s="2" t="s">
        <v>21899</v>
      </c>
      <c r="C5352" s="2" t="s">
        <v>21900</v>
      </c>
      <c r="D5352" s="2" t="s">
        <v>21901</v>
      </c>
      <c r="E5352" s="2" t="s">
        <v>21902</v>
      </c>
      <c r="F5352" s="2" t="b">
        <v>1</v>
      </c>
      <c r="G5352" s="2" t="b">
        <v>0</v>
      </c>
      <c r="H5352" s="2" t="s">
        <v>37</v>
      </c>
      <c r="I5352" s="2" t="s">
        <v>22</v>
      </c>
      <c r="J5352" s="2" t="s">
        <v>1987</v>
      </c>
      <c r="K5352" s="2" t="s">
        <v>495</v>
      </c>
      <c r="L5352" s="13" t="s">
        <v>496</v>
      </c>
      <c r="M5352" s="2" t="s">
        <v>26</v>
      </c>
      <c r="N5352" s="29"/>
      <c r="O5352" s="29"/>
      <c r="P5352" s="5" t="str">
        <f>IFERROR(__xludf.DUMMYFUNCTION("TEXTJOIN("" | "",TRUE,IF(OR(D5352="""",E5352="""",I5352="""",J5352="""",H5352=""""),""ফাঁকা ঘর"",""""),IF(AND(C5352&lt;&gt;"""",D5352&lt;&gt;"""",C5352=D5352),""gloss=figurative"",""""),IF(LEN(D5352)&lt;15,""figurative ছোট"",""""),IF(AND(I5352=""Positive"",REGEXMATCH(H5"&amp;"352,""মূর্খ|ভণ্ড|প্রতার|অলস|লোভ|স্বার্থ|অক্ষম|অযোগ্য|বোকা|কৃপণ|হিংস"")),""valence-target অমিল"",""""),IF(COUNTIF($B:$B,B5352)&gt;1,""ডুপ্লিকেট"",""""))"),"")</f>
        <v/>
      </c>
      <c r="Q5352" s="5" t="str">
        <f t="shared" si="1"/>
        <v>২ পরে</v>
      </c>
    </row>
    <row r="5353">
      <c r="A5353" s="4">
        <v>3212.0</v>
      </c>
      <c r="B5353" s="2" t="s">
        <v>21903</v>
      </c>
      <c r="C5353" s="2" t="s">
        <v>21904</v>
      </c>
      <c r="D5353" s="2" t="s">
        <v>21905</v>
      </c>
      <c r="E5353" s="2" t="s">
        <v>21906</v>
      </c>
      <c r="F5353" s="2" t="b">
        <v>1</v>
      </c>
      <c r="G5353" s="2" t="b">
        <v>0</v>
      </c>
      <c r="H5353" s="2" t="s">
        <v>37</v>
      </c>
      <c r="I5353" s="2" t="s">
        <v>22</v>
      </c>
      <c r="J5353" s="2" t="s">
        <v>1987</v>
      </c>
      <c r="K5353" s="2" t="s">
        <v>495</v>
      </c>
      <c r="L5353" s="13" t="s">
        <v>496</v>
      </c>
      <c r="M5353" s="2" t="s">
        <v>26</v>
      </c>
      <c r="N5353" s="29"/>
      <c r="O5353" s="29"/>
      <c r="P5353" s="5" t="str">
        <f>IFERROR(__xludf.DUMMYFUNCTION("TEXTJOIN("" | "",TRUE,IF(OR(D5353="""",E5353="""",I5353="""",J5353="""",H5353=""""),""ফাঁকা ঘর"",""""),IF(AND(C5353&lt;&gt;"""",D5353&lt;&gt;"""",C5353=D5353),""gloss=figurative"",""""),IF(LEN(D5353)&lt;15,""figurative ছোট"",""""),IF(AND(I5353=""Positive"",REGEXMATCH(H5"&amp;"353,""মূর্খ|ভণ্ড|প্রতার|অলস|লোভ|স্বার্থ|অক্ষম|অযোগ্য|বোকা|কৃপণ|হিংস"")),""valence-target অমিল"",""""),IF(COUNTIF($B:$B,B5353)&gt;1,""ডুপ্লিকেট"",""""))"),"")</f>
        <v/>
      </c>
      <c r="Q5353" s="5" t="str">
        <f t="shared" si="1"/>
        <v>২ পরে</v>
      </c>
    </row>
    <row r="5354">
      <c r="A5354" s="4">
        <v>3213.0</v>
      </c>
      <c r="B5354" s="2" t="s">
        <v>21907</v>
      </c>
      <c r="C5354" s="2" t="s">
        <v>21908</v>
      </c>
      <c r="D5354" s="2" t="s">
        <v>21909</v>
      </c>
      <c r="E5354" s="2" t="s">
        <v>21910</v>
      </c>
      <c r="F5354" s="2" t="b">
        <v>1</v>
      </c>
      <c r="G5354" s="2" t="b">
        <v>0</v>
      </c>
      <c r="H5354" s="2" t="s">
        <v>37</v>
      </c>
      <c r="I5354" s="2" t="s">
        <v>22</v>
      </c>
      <c r="J5354" s="2" t="s">
        <v>669</v>
      </c>
      <c r="K5354" s="2" t="s">
        <v>495</v>
      </c>
      <c r="L5354" s="13" t="s">
        <v>496</v>
      </c>
      <c r="M5354" s="2" t="s">
        <v>26</v>
      </c>
      <c r="N5354" s="29"/>
      <c r="O5354" s="29"/>
      <c r="P5354" s="5" t="str">
        <f>IFERROR(__xludf.DUMMYFUNCTION("TEXTJOIN("" | "",TRUE,IF(OR(D5354="""",E5354="""",I5354="""",J5354="""",H5354=""""),""ফাঁকা ঘর"",""""),IF(AND(C5354&lt;&gt;"""",D5354&lt;&gt;"""",C5354=D5354),""gloss=figurative"",""""),IF(LEN(D5354)&lt;15,""figurative ছোট"",""""),IF(AND(I5354=""Positive"",REGEXMATCH(H5"&amp;"354,""মূর্খ|ভণ্ড|প্রতার|অলস|লোভ|স্বার্থ|অক্ষম|অযোগ্য|বোকা|কৃপণ|হিংস"")),""valence-target অমিল"",""""),IF(COUNTIF($B:$B,B5354)&gt;1,""ডুপ্লিকেট"",""""))"),"")</f>
        <v/>
      </c>
      <c r="Q5354" s="5" t="str">
        <f t="shared" si="1"/>
        <v>২ পরে</v>
      </c>
    </row>
    <row r="5355">
      <c r="A5355" s="4">
        <v>3214.0</v>
      </c>
      <c r="B5355" s="2" t="s">
        <v>21911</v>
      </c>
      <c r="C5355" s="2" t="s">
        <v>21912</v>
      </c>
      <c r="D5355" s="2" t="s">
        <v>21913</v>
      </c>
      <c r="E5355" s="2" t="s">
        <v>21914</v>
      </c>
      <c r="F5355" s="2" t="b">
        <v>1</v>
      </c>
      <c r="G5355" s="2" t="b">
        <v>0</v>
      </c>
      <c r="H5355" s="2" t="s">
        <v>37</v>
      </c>
      <c r="I5355" s="2" t="s">
        <v>22</v>
      </c>
      <c r="J5355" s="2" t="s">
        <v>842</v>
      </c>
      <c r="K5355" s="2" t="s">
        <v>495</v>
      </c>
      <c r="L5355" s="13" t="s">
        <v>496</v>
      </c>
      <c r="M5355" s="2" t="s">
        <v>26</v>
      </c>
      <c r="N5355" s="29"/>
      <c r="O5355" s="29"/>
      <c r="P5355" s="5" t="str">
        <f>IFERROR(__xludf.DUMMYFUNCTION("TEXTJOIN("" | "",TRUE,IF(OR(D5355="""",E5355="""",I5355="""",J5355="""",H5355=""""),""ফাঁকা ঘর"",""""),IF(AND(C5355&lt;&gt;"""",D5355&lt;&gt;"""",C5355=D5355),""gloss=figurative"",""""),IF(LEN(D5355)&lt;15,""figurative ছোট"",""""),IF(AND(I5355=""Positive"",REGEXMATCH(H5"&amp;"355,""মূর্খ|ভণ্ড|প্রতার|অলস|লোভ|স্বার্থ|অক্ষম|অযোগ্য|বোকা|কৃপণ|হিংস"")),""valence-target অমিল"",""""),IF(COUNTIF($B:$B,B5355)&gt;1,""ডুপ্লিকেট"",""""))"),"")</f>
        <v/>
      </c>
      <c r="Q5355" s="5" t="str">
        <f t="shared" si="1"/>
        <v>২ পরে</v>
      </c>
    </row>
    <row r="5356">
      <c r="A5356" s="4">
        <v>3215.0</v>
      </c>
      <c r="B5356" s="2" t="s">
        <v>21915</v>
      </c>
      <c r="C5356" s="2" t="s">
        <v>21916</v>
      </c>
      <c r="D5356" s="2" t="s">
        <v>21917</v>
      </c>
      <c r="E5356" s="2" t="s">
        <v>21918</v>
      </c>
      <c r="F5356" s="2" t="b">
        <v>1</v>
      </c>
      <c r="G5356" s="2" t="b">
        <v>0</v>
      </c>
      <c r="H5356" s="2" t="s">
        <v>37</v>
      </c>
      <c r="I5356" s="2" t="s">
        <v>49</v>
      </c>
      <c r="J5356" s="2" t="s">
        <v>1111</v>
      </c>
      <c r="K5356" s="2" t="s">
        <v>495</v>
      </c>
      <c r="L5356" s="13" t="s">
        <v>496</v>
      </c>
      <c r="M5356" s="2" t="s">
        <v>26</v>
      </c>
      <c r="N5356" s="29"/>
      <c r="O5356" s="29"/>
      <c r="P5356" s="5" t="str">
        <f>IFERROR(__xludf.DUMMYFUNCTION("TEXTJOIN("" | "",TRUE,IF(OR(D5356="""",E5356="""",I5356="""",J5356="""",H5356=""""),""ফাঁকা ঘর"",""""),IF(AND(C5356&lt;&gt;"""",D5356&lt;&gt;"""",C5356=D5356),""gloss=figurative"",""""),IF(LEN(D5356)&lt;15,""figurative ছোট"",""""),IF(AND(I5356=""Positive"",REGEXMATCH(H5"&amp;"356,""মূর্খ|ভণ্ড|প্রতার|অলস|লোভ|স্বার্থ|অক্ষম|অযোগ্য|বোকা|কৃপণ|হিংস"")),""valence-target অমিল"",""""),IF(COUNTIF($B:$B,B5356)&gt;1,""ডুপ্লিকেট"",""""))"),"")</f>
        <v/>
      </c>
      <c r="Q5356" s="5" t="str">
        <f t="shared" si="1"/>
        <v>২ পরে</v>
      </c>
    </row>
    <row r="5357">
      <c r="A5357" s="4">
        <v>3216.0</v>
      </c>
      <c r="B5357" s="2" t="s">
        <v>21919</v>
      </c>
      <c r="C5357" s="2" t="s">
        <v>21920</v>
      </c>
      <c r="D5357" s="2" t="s">
        <v>21921</v>
      </c>
      <c r="E5357" s="2" t="s">
        <v>21922</v>
      </c>
      <c r="F5357" s="2" t="b">
        <v>1</v>
      </c>
      <c r="G5357" s="2" t="b">
        <v>0</v>
      </c>
      <c r="H5357" s="2" t="s">
        <v>37</v>
      </c>
      <c r="I5357" s="2" t="s">
        <v>49</v>
      </c>
      <c r="J5357" s="2" t="s">
        <v>1111</v>
      </c>
      <c r="K5357" s="2" t="s">
        <v>495</v>
      </c>
      <c r="L5357" s="13" t="s">
        <v>496</v>
      </c>
      <c r="M5357" s="2" t="s">
        <v>26</v>
      </c>
      <c r="N5357" s="29"/>
      <c r="O5357" s="29"/>
      <c r="P5357" s="5" t="str">
        <f>IFERROR(__xludf.DUMMYFUNCTION("TEXTJOIN("" | "",TRUE,IF(OR(D5357="""",E5357="""",I5357="""",J5357="""",H5357=""""),""ফাঁকা ঘর"",""""),IF(AND(C5357&lt;&gt;"""",D5357&lt;&gt;"""",C5357=D5357),""gloss=figurative"",""""),IF(LEN(D5357)&lt;15,""figurative ছোট"",""""),IF(AND(I5357=""Positive"",REGEXMATCH(H5"&amp;"357,""মূর্খ|ভণ্ড|প্রতার|অলস|লোভ|স্বার্থ|অক্ষম|অযোগ্য|বোকা|কৃপণ|হিংস"")),""valence-target অমিল"",""""),IF(COUNTIF($B:$B,B5357)&gt;1,""ডুপ্লিকেট"",""""))"),"")</f>
        <v/>
      </c>
      <c r="Q5357" s="5" t="str">
        <f t="shared" si="1"/>
        <v>২ পরে</v>
      </c>
    </row>
    <row r="5358">
      <c r="A5358" s="4">
        <v>3217.0</v>
      </c>
      <c r="B5358" s="2" t="s">
        <v>21923</v>
      </c>
      <c r="C5358" s="2" t="s">
        <v>21924</v>
      </c>
      <c r="D5358" s="2" t="s">
        <v>21925</v>
      </c>
      <c r="E5358" s="2" t="s">
        <v>21926</v>
      </c>
      <c r="F5358" s="2" t="b">
        <v>1</v>
      </c>
      <c r="G5358" s="2" t="b">
        <v>0</v>
      </c>
      <c r="H5358" s="2" t="s">
        <v>37</v>
      </c>
      <c r="I5358" s="2" t="s">
        <v>22</v>
      </c>
      <c r="J5358" s="2" t="s">
        <v>5143</v>
      </c>
      <c r="K5358" s="2" t="s">
        <v>495</v>
      </c>
      <c r="L5358" s="13" t="s">
        <v>496</v>
      </c>
      <c r="M5358" s="2" t="s">
        <v>26</v>
      </c>
      <c r="N5358" s="29"/>
      <c r="O5358" s="29"/>
      <c r="P5358" s="5" t="str">
        <f>IFERROR(__xludf.DUMMYFUNCTION("TEXTJOIN("" | "",TRUE,IF(OR(D5358="""",E5358="""",I5358="""",J5358="""",H5358=""""),""ফাঁকা ঘর"",""""),IF(AND(C5358&lt;&gt;"""",D5358&lt;&gt;"""",C5358=D5358),""gloss=figurative"",""""),IF(LEN(D5358)&lt;15,""figurative ছোট"",""""),IF(AND(I5358=""Positive"",REGEXMATCH(H5"&amp;"358,""মূর্খ|ভণ্ড|প্রতার|অলস|লোভ|স্বার্থ|অক্ষম|অযোগ্য|বোকা|কৃপণ|হিংস"")),""valence-target অমিল"",""""),IF(COUNTIF($B:$B,B5358)&gt;1,""ডুপ্লিকেট"",""""))"),"")</f>
        <v/>
      </c>
      <c r="Q5358" s="5" t="str">
        <f t="shared" si="1"/>
        <v>২ পরে</v>
      </c>
    </row>
    <row r="5359">
      <c r="A5359" s="4">
        <v>3218.0</v>
      </c>
      <c r="B5359" s="2" t="s">
        <v>21927</v>
      </c>
      <c r="C5359" s="2" t="s">
        <v>21928</v>
      </c>
      <c r="D5359" s="2" t="s">
        <v>21929</v>
      </c>
      <c r="E5359" s="2" t="s">
        <v>21930</v>
      </c>
      <c r="F5359" s="2" t="b">
        <v>1</v>
      </c>
      <c r="G5359" s="2" t="b">
        <v>0</v>
      </c>
      <c r="H5359" s="2" t="s">
        <v>37</v>
      </c>
      <c r="I5359" s="2" t="s">
        <v>32</v>
      </c>
      <c r="J5359" s="2" t="s">
        <v>565</v>
      </c>
      <c r="K5359" s="2" t="s">
        <v>495</v>
      </c>
      <c r="L5359" s="13" t="s">
        <v>496</v>
      </c>
      <c r="M5359" s="2" t="s">
        <v>26</v>
      </c>
      <c r="N5359" s="29"/>
      <c r="O5359" s="29"/>
      <c r="P5359" s="5" t="str">
        <f>IFERROR(__xludf.DUMMYFUNCTION("TEXTJOIN("" | "",TRUE,IF(OR(D5359="""",E5359="""",I5359="""",J5359="""",H5359=""""),""ফাঁকা ঘর"",""""),IF(AND(C5359&lt;&gt;"""",D5359&lt;&gt;"""",C5359=D5359),""gloss=figurative"",""""),IF(LEN(D5359)&lt;15,""figurative ছোট"",""""),IF(AND(I5359=""Positive"",REGEXMATCH(H5"&amp;"359,""মূর্খ|ভণ্ড|প্রতার|অলস|লোভ|স্বার্থ|অক্ষম|অযোগ্য|বোকা|কৃপণ|হিংস"")),""valence-target অমিল"",""""),IF(COUNTIF($B:$B,B5359)&gt;1,""ডুপ্লিকেট"",""""))"),"")</f>
        <v/>
      </c>
      <c r="Q5359" s="5" t="str">
        <f t="shared" si="1"/>
        <v>২ পরে</v>
      </c>
    </row>
    <row r="5360">
      <c r="A5360" s="4">
        <v>3219.0</v>
      </c>
      <c r="B5360" s="2" t="s">
        <v>21931</v>
      </c>
      <c r="C5360" s="2" t="s">
        <v>21931</v>
      </c>
      <c r="D5360" s="2" t="s">
        <v>21932</v>
      </c>
      <c r="E5360" s="2" t="s">
        <v>21933</v>
      </c>
      <c r="F5360" s="2" t="b">
        <v>1</v>
      </c>
      <c r="G5360" s="2" t="b">
        <v>1</v>
      </c>
      <c r="H5360" s="2" t="s">
        <v>21934</v>
      </c>
      <c r="I5360" s="2" t="s">
        <v>22</v>
      </c>
      <c r="J5360" s="2" t="s">
        <v>836</v>
      </c>
      <c r="K5360" s="2" t="s">
        <v>495</v>
      </c>
      <c r="L5360" s="13" t="s">
        <v>496</v>
      </c>
      <c r="M5360" s="2" t="s">
        <v>26</v>
      </c>
      <c r="N5360" s="29"/>
      <c r="O5360" s="29"/>
      <c r="P5360" s="5" t="str">
        <f>IFERROR(__xludf.DUMMYFUNCTION("TEXTJOIN("" | "",TRUE,IF(OR(D5360="""",E5360="""",I5360="""",J5360="""",H5360=""""),""ফাঁকা ঘর"",""""),IF(AND(C5360&lt;&gt;"""",D5360&lt;&gt;"""",C5360=D5360),""gloss=figurative"",""""),IF(LEN(D5360)&lt;15,""figurative ছোট"",""""),IF(AND(I5360=""Positive"",REGEXMATCH(H5"&amp;"360,""মূর্খ|ভণ্ড|প্রতার|অলস|লোভ|স্বার্থ|অক্ষম|অযোগ্য|বোকা|কৃপণ|হিংস"")),""valence-target অমিল"",""""),IF(COUNTIF($B:$B,B5360)&gt;1,""ডুপ্লিকেট"",""""))"),"")</f>
        <v/>
      </c>
      <c r="Q5360" s="5" t="str">
        <f t="shared" si="1"/>
        <v>২ পরে</v>
      </c>
    </row>
    <row r="5361">
      <c r="A5361" s="4">
        <v>3220.0</v>
      </c>
      <c r="B5361" s="2" t="s">
        <v>21935</v>
      </c>
      <c r="C5361" s="2" t="s">
        <v>21936</v>
      </c>
      <c r="D5361" s="2" t="s">
        <v>21937</v>
      </c>
      <c r="E5361" s="2" t="s">
        <v>21938</v>
      </c>
      <c r="F5361" s="2" t="b">
        <v>1</v>
      </c>
      <c r="G5361" s="2" t="b">
        <v>0</v>
      </c>
      <c r="H5361" s="2" t="s">
        <v>37</v>
      </c>
      <c r="I5361" s="2" t="s">
        <v>32</v>
      </c>
      <c r="J5361" s="2" t="s">
        <v>1239</v>
      </c>
      <c r="K5361" s="2" t="s">
        <v>495</v>
      </c>
      <c r="L5361" s="13" t="s">
        <v>496</v>
      </c>
      <c r="M5361" s="2" t="s">
        <v>26</v>
      </c>
      <c r="N5361" s="29"/>
      <c r="O5361" s="29"/>
      <c r="P5361" s="5" t="str">
        <f>IFERROR(__xludf.DUMMYFUNCTION("TEXTJOIN("" | "",TRUE,IF(OR(D5361="""",E5361="""",I5361="""",J5361="""",H5361=""""),""ফাঁকা ঘর"",""""),IF(AND(C5361&lt;&gt;"""",D5361&lt;&gt;"""",C5361=D5361),""gloss=figurative"",""""),IF(LEN(D5361)&lt;15,""figurative ছোট"",""""),IF(AND(I5361=""Positive"",REGEXMATCH(H5"&amp;"361,""মূর্খ|ভণ্ড|প্রতার|অলস|লোভ|স্বার্থ|অক্ষম|অযোগ্য|বোকা|কৃপণ|হিংস"")),""valence-target অমিল"",""""),IF(COUNTIF($B:$B,B5361)&gt;1,""ডুপ্লিকেট"",""""))"),"")</f>
        <v/>
      </c>
      <c r="Q5361" s="5" t="str">
        <f t="shared" si="1"/>
        <v>২ পরে</v>
      </c>
    </row>
    <row r="5362">
      <c r="A5362" s="4">
        <v>3221.0</v>
      </c>
      <c r="B5362" s="2" t="s">
        <v>21939</v>
      </c>
      <c r="C5362" s="2" t="s">
        <v>21939</v>
      </c>
      <c r="D5362" s="2" t="s">
        <v>21940</v>
      </c>
      <c r="E5362" s="2" t="s">
        <v>21941</v>
      </c>
      <c r="F5362" s="2" t="b">
        <v>1</v>
      </c>
      <c r="G5362" s="2" t="b">
        <v>0</v>
      </c>
      <c r="H5362" s="2" t="s">
        <v>37</v>
      </c>
      <c r="I5362" s="2" t="s">
        <v>22</v>
      </c>
      <c r="J5362" s="2" t="s">
        <v>2075</v>
      </c>
      <c r="K5362" s="2" t="s">
        <v>495</v>
      </c>
      <c r="L5362" s="13" t="s">
        <v>496</v>
      </c>
      <c r="M5362" s="2" t="s">
        <v>26</v>
      </c>
      <c r="N5362" s="29"/>
      <c r="O5362" s="29"/>
      <c r="P5362" s="5" t="str">
        <f>IFERROR(__xludf.DUMMYFUNCTION("TEXTJOIN("" | "",TRUE,IF(OR(D5362="""",E5362="""",I5362="""",J5362="""",H5362=""""),""ফাঁকা ঘর"",""""),IF(AND(C5362&lt;&gt;"""",D5362&lt;&gt;"""",C5362=D5362),""gloss=figurative"",""""),IF(LEN(D5362)&lt;15,""figurative ছোট"",""""),IF(AND(I5362=""Positive"",REGEXMATCH(H5"&amp;"362,""মূর্খ|ভণ্ড|প্রতার|অলস|লোভ|স্বার্থ|অক্ষম|অযোগ্য|বোকা|কৃপণ|হিংস"")),""valence-target অমিল"",""""),IF(COUNTIF($B:$B,B5362)&gt;1,""ডুপ্লিকেট"",""""))"),"")</f>
        <v/>
      </c>
      <c r="Q5362" s="5" t="str">
        <f t="shared" si="1"/>
        <v>২ পরে</v>
      </c>
    </row>
    <row r="5363">
      <c r="A5363" s="4">
        <v>3222.0</v>
      </c>
      <c r="B5363" s="2" t="s">
        <v>21942</v>
      </c>
      <c r="C5363" s="2" t="s">
        <v>21943</v>
      </c>
      <c r="D5363" s="2" t="s">
        <v>21944</v>
      </c>
      <c r="E5363" s="2" t="s">
        <v>21945</v>
      </c>
      <c r="F5363" s="2" t="b">
        <v>1</v>
      </c>
      <c r="G5363" s="2" t="b">
        <v>0</v>
      </c>
      <c r="H5363" s="2" t="s">
        <v>37</v>
      </c>
      <c r="I5363" s="2" t="s">
        <v>22</v>
      </c>
      <c r="J5363" s="2" t="s">
        <v>5829</v>
      </c>
      <c r="K5363" s="2" t="s">
        <v>495</v>
      </c>
      <c r="L5363" s="13" t="s">
        <v>496</v>
      </c>
      <c r="M5363" s="2" t="s">
        <v>26</v>
      </c>
      <c r="N5363" s="29"/>
      <c r="O5363" s="29"/>
      <c r="P5363" s="5" t="str">
        <f>IFERROR(__xludf.DUMMYFUNCTION("TEXTJOIN("" | "",TRUE,IF(OR(D5363="""",E5363="""",I5363="""",J5363="""",H5363=""""),""ফাঁকা ঘর"",""""),IF(AND(C5363&lt;&gt;"""",D5363&lt;&gt;"""",C5363=D5363),""gloss=figurative"",""""),IF(LEN(D5363)&lt;15,""figurative ছোট"",""""),IF(AND(I5363=""Positive"",REGEXMATCH(H5"&amp;"363,""মূর্খ|ভণ্ড|প্রতার|অলস|লোভ|স্বার্থ|অক্ষম|অযোগ্য|বোকা|কৃপণ|হিংস"")),""valence-target অমিল"",""""),IF(COUNTIF($B:$B,B5363)&gt;1,""ডুপ্লিকেট"",""""))"),"")</f>
        <v/>
      </c>
      <c r="Q5363" s="5" t="str">
        <f t="shared" si="1"/>
        <v>২ পরে</v>
      </c>
    </row>
    <row r="5364">
      <c r="A5364" s="4">
        <v>3223.0</v>
      </c>
      <c r="B5364" s="2" t="s">
        <v>21946</v>
      </c>
      <c r="C5364" s="2" t="s">
        <v>21947</v>
      </c>
      <c r="D5364" s="2" t="s">
        <v>21948</v>
      </c>
      <c r="E5364" s="2" t="s">
        <v>21949</v>
      </c>
      <c r="F5364" s="2" t="b">
        <v>1</v>
      </c>
      <c r="G5364" s="2" t="b">
        <v>0</v>
      </c>
      <c r="H5364" s="2" t="s">
        <v>37</v>
      </c>
      <c r="I5364" s="2" t="s">
        <v>32</v>
      </c>
      <c r="J5364" s="2" t="s">
        <v>300</v>
      </c>
      <c r="K5364" s="2" t="s">
        <v>495</v>
      </c>
      <c r="L5364" s="13" t="s">
        <v>496</v>
      </c>
      <c r="M5364" s="2" t="s">
        <v>26</v>
      </c>
      <c r="N5364" s="29"/>
      <c r="O5364" s="29"/>
      <c r="P5364" s="5" t="str">
        <f>IFERROR(__xludf.DUMMYFUNCTION("TEXTJOIN("" | "",TRUE,IF(OR(D5364="""",E5364="""",I5364="""",J5364="""",H5364=""""),""ফাঁকা ঘর"",""""),IF(AND(C5364&lt;&gt;"""",D5364&lt;&gt;"""",C5364=D5364),""gloss=figurative"",""""),IF(LEN(D5364)&lt;15,""figurative ছোট"",""""),IF(AND(I5364=""Positive"",REGEXMATCH(H5"&amp;"364,""মূর্খ|ভণ্ড|প্রতার|অলস|লোভ|স্বার্থ|অক্ষম|অযোগ্য|বোকা|কৃপণ|হিংস"")),""valence-target অমিল"",""""),IF(COUNTIF($B:$B,B5364)&gt;1,""ডুপ্লিকেট"",""""))"),"")</f>
        <v/>
      </c>
      <c r="Q5364" s="5" t="str">
        <f t="shared" si="1"/>
        <v>২ পরে</v>
      </c>
    </row>
    <row r="5365">
      <c r="A5365" s="4">
        <v>3224.0</v>
      </c>
      <c r="B5365" s="2" t="s">
        <v>21950</v>
      </c>
      <c r="C5365" s="2" t="s">
        <v>21951</v>
      </c>
      <c r="D5365" s="2" t="s">
        <v>21952</v>
      </c>
      <c r="E5365" s="2" t="s">
        <v>21953</v>
      </c>
      <c r="F5365" s="2" t="b">
        <v>1</v>
      </c>
      <c r="G5365" s="2" t="b">
        <v>0</v>
      </c>
      <c r="H5365" s="2" t="s">
        <v>37</v>
      </c>
      <c r="I5365" s="2" t="s">
        <v>22</v>
      </c>
      <c r="J5365" s="2" t="s">
        <v>1987</v>
      </c>
      <c r="K5365" s="2" t="s">
        <v>495</v>
      </c>
      <c r="L5365" s="13" t="s">
        <v>496</v>
      </c>
      <c r="M5365" s="2" t="s">
        <v>26</v>
      </c>
      <c r="N5365" s="29"/>
      <c r="O5365" s="29"/>
      <c r="P5365" s="5" t="str">
        <f>IFERROR(__xludf.DUMMYFUNCTION("TEXTJOIN("" | "",TRUE,IF(OR(D5365="""",E5365="""",I5365="""",J5365="""",H5365=""""),""ফাঁকা ঘর"",""""),IF(AND(C5365&lt;&gt;"""",D5365&lt;&gt;"""",C5365=D5365),""gloss=figurative"",""""),IF(LEN(D5365)&lt;15,""figurative ছোট"",""""),IF(AND(I5365=""Positive"",REGEXMATCH(H5"&amp;"365,""মূর্খ|ভণ্ড|প্রতার|অলস|লোভ|স্বার্থ|অক্ষম|অযোগ্য|বোকা|কৃপণ|হিংস"")),""valence-target অমিল"",""""),IF(COUNTIF($B:$B,B5365)&gt;1,""ডুপ্লিকেট"",""""))"),"")</f>
        <v/>
      </c>
      <c r="Q5365" s="5" t="str">
        <f t="shared" si="1"/>
        <v>২ পরে</v>
      </c>
    </row>
    <row r="5366">
      <c r="A5366" s="4">
        <v>3225.0</v>
      </c>
      <c r="B5366" s="2" t="s">
        <v>21954</v>
      </c>
      <c r="C5366" s="2" t="s">
        <v>21955</v>
      </c>
      <c r="D5366" s="2" t="s">
        <v>21956</v>
      </c>
      <c r="E5366" s="2" t="s">
        <v>21957</v>
      </c>
      <c r="F5366" s="2" t="b">
        <v>1</v>
      </c>
      <c r="G5366" s="2" t="b">
        <v>0</v>
      </c>
      <c r="H5366" s="2" t="s">
        <v>37</v>
      </c>
      <c r="I5366" s="2" t="s">
        <v>22</v>
      </c>
      <c r="J5366" s="2" t="s">
        <v>669</v>
      </c>
      <c r="K5366" s="2" t="s">
        <v>495</v>
      </c>
      <c r="L5366" s="13" t="s">
        <v>496</v>
      </c>
      <c r="M5366" s="2" t="s">
        <v>26</v>
      </c>
      <c r="N5366" s="29"/>
      <c r="O5366" s="29"/>
      <c r="P5366" s="5" t="str">
        <f>IFERROR(__xludf.DUMMYFUNCTION("TEXTJOIN("" | "",TRUE,IF(OR(D5366="""",E5366="""",I5366="""",J5366="""",H5366=""""),""ফাঁকা ঘর"",""""),IF(AND(C5366&lt;&gt;"""",D5366&lt;&gt;"""",C5366=D5366),""gloss=figurative"",""""),IF(LEN(D5366)&lt;15,""figurative ছোট"",""""),IF(AND(I5366=""Positive"",REGEXMATCH(H5"&amp;"366,""মূর্খ|ভণ্ড|প্রতার|অলস|লোভ|স্বার্থ|অক্ষম|অযোগ্য|বোকা|কৃপণ|হিংস"")),""valence-target অমিল"",""""),IF(COUNTIF($B:$B,B5366)&gt;1,""ডুপ্লিকেট"",""""))"),"")</f>
        <v/>
      </c>
      <c r="Q5366" s="5" t="str">
        <f t="shared" si="1"/>
        <v>২ পরে</v>
      </c>
    </row>
    <row r="5367">
      <c r="A5367" s="4">
        <v>3226.0</v>
      </c>
      <c r="B5367" s="2" t="s">
        <v>21958</v>
      </c>
      <c r="C5367" s="2" t="s">
        <v>21958</v>
      </c>
      <c r="D5367" s="2" t="s">
        <v>21959</v>
      </c>
      <c r="E5367" s="2" t="s">
        <v>21960</v>
      </c>
      <c r="F5367" s="2" t="b">
        <v>1</v>
      </c>
      <c r="G5367" s="2" t="b">
        <v>0</v>
      </c>
      <c r="H5367" s="2" t="s">
        <v>37</v>
      </c>
      <c r="I5367" s="2" t="s">
        <v>49</v>
      </c>
      <c r="J5367" s="2" t="s">
        <v>1803</v>
      </c>
      <c r="K5367" s="2" t="s">
        <v>495</v>
      </c>
      <c r="L5367" s="13" t="s">
        <v>496</v>
      </c>
      <c r="M5367" s="2" t="s">
        <v>26</v>
      </c>
      <c r="N5367" s="29"/>
      <c r="O5367" s="29"/>
      <c r="P5367" s="5" t="str">
        <f>IFERROR(__xludf.DUMMYFUNCTION("TEXTJOIN("" | "",TRUE,IF(OR(D5367="""",E5367="""",I5367="""",J5367="""",H5367=""""),""ফাঁকা ঘর"",""""),IF(AND(C5367&lt;&gt;"""",D5367&lt;&gt;"""",C5367=D5367),""gloss=figurative"",""""),IF(LEN(D5367)&lt;15,""figurative ছোট"",""""),IF(AND(I5367=""Positive"",REGEXMATCH(H5"&amp;"367,""মূর্খ|ভণ্ড|প্রতার|অলস|লোভ|স্বার্থ|অক্ষম|অযোগ্য|বোকা|কৃপণ|হিংস"")),""valence-target অমিল"",""""),IF(COUNTIF($B:$B,B5367)&gt;1,""ডুপ্লিকেট"",""""))"),"")</f>
        <v/>
      </c>
      <c r="Q5367" s="5" t="str">
        <f t="shared" si="1"/>
        <v>২ পরে</v>
      </c>
    </row>
    <row r="5368">
      <c r="A5368" s="4">
        <v>3227.0</v>
      </c>
      <c r="B5368" s="2" t="s">
        <v>21961</v>
      </c>
      <c r="C5368" s="2" t="s">
        <v>21962</v>
      </c>
      <c r="D5368" s="2" t="s">
        <v>21963</v>
      </c>
      <c r="E5368" s="2" t="s">
        <v>21964</v>
      </c>
      <c r="F5368" s="2" t="b">
        <v>1</v>
      </c>
      <c r="G5368" s="2" t="b">
        <v>0</v>
      </c>
      <c r="H5368" s="2" t="s">
        <v>37</v>
      </c>
      <c r="I5368" s="2" t="s">
        <v>32</v>
      </c>
      <c r="J5368" s="2" t="s">
        <v>176</v>
      </c>
      <c r="K5368" s="2" t="s">
        <v>495</v>
      </c>
      <c r="L5368" s="13" t="s">
        <v>496</v>
      </c>
      <c r="M5368" s="2" t="s">
        <v>26</v>
      </c>
      <c r="N5368" s="29"/>
      <c r="O5368" s="29"/>
      <c r="P5368" s="5" t="str">
        <f>IFERROR(__xludf.DUMMYFUNCTION("TEXTJOIN("" | "",TRUE,IF(OR(D5368="""",E5368="""",I5368="""",J5368="""",H5368=""""),""ফাঁকা ঘর"",""""),IF(AND(C5368&lt;&gt;"""",D5368&lt;&gt;"""",C5368=D5368),""gloss=figurative"",""""),IF(LEN(D5368)&lt;15,""figurative ছোট"",""""),IF(AND(I5368=""Positive"",REGEXMATCH(H5"&amp;"368,""মূর্খ|ভণ্ড|প্রতার|অলস|লোভ|স্বার্থ|অক্ষম|অযোগ্য|বোকা|কৃপণ|হিংস"")),""valence-target অমিল"",""""),IF(COUNTIF($B:$B,B5368)&gt;1,""ডুপ্লিকেট"",""""))"),"")</f>
        <v/>
      </c>
      <c r="Q5368" s="5" t="str">
        <f t="shared" si="1"/>
        <v>২ পরে</v>
      </c>
    </row>
    <row r="5369">
      <c r="A5369" s="4">
        <v>3228.0</v>
      </c>
      <c r="B5369" s="2" t="s">
        <v>21965</v>
      </c>
      <c r="C5369" s="2" t="s">
        <v>21966</v>
      </c>
      <c r="D5369" s="2" t="s">
        <v>21967</v>
      </c>
      <c r="E5369" s="2" t="s">
        <v>21968</v>
      </c>
      <c r="F5369" s="2" t="b">
        <v>1</v>
      </c>
      <c r="G5369" s="2" t="b">
        <v>0</v>
      </c>
      <c r="H5369" s="2" t="s">
        <v>37</v>
      </c>
      <c r="I5369" s="2" t="s">
        <v>22</v>
      </c>
      <c r="J5369" s="2" t="s">
        <v>15507</v>
      </c>
      <c r="K5369" s="2" t="s">
        <v>495</v>
      </c>
      <c r="L5369" s="13" t="s">
        <v>496</v>
      </c>
      <c r="M5369" s="2" t="s">
        <v>26</v>
      </c>
      <c r="N5369" s="29"/>
      <c r="O5369" s="29"/>
      <c r="P5369" s="5" t="str">
        <f>IFERROR(__xludf.DUMMYFUNCTION("TEXTJOIN("" | "",TRUE,IF(OR(D5369="""",E5369="""",I5369="""",J5369="""",H5369=""""),""ফাঁকা ঘর"",""""),IF(AND(C5369&lt;&gt;"""",D5369&lt;&gt;"""",C5369=D5369),""gloss=figurative"",""""),IF(LEN(D5369)&lt;15,""figurative ছোট"",""""),IF(AND(I5369=""Positive"",REGEXMATCH(H5"&amp;"369,""মূর্খ|ভণ্ড|প্রতার|অলস|লোভ|স্বার্থ|অক্ষম|অযোগ্য|বোকা|কৃপণ|হিংস"")),""valence-target অমিল"",""""),IF(COUNTIF($B:$B,B5369)&gt;1,""ডুপ্লিকেট"",""""))"),"")</f>
        <v/>
      </c>
      <c r="Q5369" s="5" t="str">
        <f t="shared" si="1"/>
        <v>২ পরে</v>
      </c>
    </row>
    <row r="5370">
      <c r="A5370" s="4">
        <v>3230.0</v>
      </c>
      <c r="B5370" s="2" t="s">
        <v>21969</v>
      </c>
      <c r="C5370" s="2" t="s">
        <v>21969</v>
      </c>
      <c r="D5370" s="2" t="s">
        <v>21970</v>
      </c>
      <c r="E5370" s="2" t="s">
        <v>21971</v>
      </c>
      <c r="F5370" s="2" t="b">
        <v>1</v>
      </c>
      <c r="G5370" s="2" t="b">
        <v>0</v>
      </c>
      <c r="H5370" s="2" t="s">
        <v>37</v>
      </c>
      <c r="I5370" s="2" t="s">
        <v>22</v>
      </c>
      <c r="J5370" s="2" t="s">
        <v>820</v>
      </c>
      <c r="K5370" s="2" t="s">
        <v>495</v>
      </c>
      <c r="L5370" s="13" t="s">
        <v>496</v>
      </c>
      <c r="M5370" s="2" t="s">
        <v>26</v>
      </c>
      <c r="N5370" s="29"/>
      <c r="O5370" s="29"/>
      <c r="P5370" s="5" t="str">
        <f>IFERROR(__xludf.DUMMYFUNCTION("TEXTJOIN("" | "",TRUE,IF(OR(D5370="""",E5370="""",I5370="""",J5370="""",H5370=""""),""ফাঁকা ঘর"",""""),IF(AND(C5370&lt;&gt;"""",D5370&lt;&gt;"""",C5370=D5370),""gloss=figurative"",""""),IF(LEN(D5370)&lt;15,""figurative ছোট"",""""),IF(AND(I5370=""Positive"",REGEXMATCH(H5"&amp;"370,""মূর্খ|ভণ্ড|প্রতার|অলস|লোভ|স্বার্থ|অক্ষম|অযোগ্য|বোকা|কৃপণ|হিংস"")),""valence-target অমিল"",""""),IF(COUNTIF($B:$B,B5370)&gt;1,""ডুপ্লিকেট"",""""))"),"")</f>
        <v/>
      </c>
      <c r="Q5370" s="5" t="str">
        <f t="shared" si="1"/>
        <v>২ পরে</v>
      </c>
    </row>
    <row r="5371">
      <c r="A5371" s="4">
        <v>3231.0</v>
      </c>
      <c r="B5371" s="2" t="s">
        <v>21972</v>
      </c>
      <c r="C5371" s="2" t="s">
        <v>21973</v>
      </c>
      <c r="D5371" s="2" t="s">
        <v>21974</v>
      </c>
      <c r="E5371" s="2" t="s">
        <v>21975</v>
      </c>
      <c r="F5371" s="2" t="b">
        <v>1</v>
      </c>
      <c r="G5371" s="2" t="b">
        <v>0</v>
      </c>
      <c r="H5371" s="2" t="s">
        <v>37</v>
      </c>
      <c r="I5371" s="2" t="s">
        <v>22</v>
      </c>
      <c r="J5371" s="2" t="s">
        <v>548</v>
      </c>
      <c r="K5371" s="2" t="s">
        <v>495</v>
      </c>
      <c r="L5371" s="13" t="s">
        <v>496</v>
      </c>
      <c r="M5371" s="2" t="s">
        <v>26</v>
      </c>
      <c r="N5371" s="29"/>
      <c r="O5371" s="29"/>
      <c r="P5371" s="5" t="str">
        <f>IFERROR(__xludf.DUMMYFUNCTION("TEXTJOIN("" | "",TRUE,IF(OR(D5371="""",E5371="""",I5371="""",J5371="""",H5371=""""),""ফাঁকা ঘর"",""""),IF(AND(C5371&lt;&gt;"""",D5371&lt;&gt;"""",C5371=D5371),""gloss=figurative"",""""),IF(LEN(D5371)&lt;15,""figurative ছোট"",""""),IF(AND(I5371=""Positive"",REGEXMATCH(H5"&amp;"371,""মূর্খ|ভণ্ড|প্রতার|অলস|লোভ|স্বার্থ|অক্ষম|অযোগ্য|বোকা|কৃপণ|হিংস"")),""valence-target অমিল"",""""),IF(COUNTIF($B:$B,B5371)&gt;1,""ডুপ্লিকেট"",""""))"),"")</f>
        <v/>
      </c>
      <c r="Q5371" s="5" t="str">
        <f t="shared" si="1"/>
        <v>২ পরে</v>
      </c>
    </row>
    <row r="5372">
      <c r="A5372" s="4">
        <v>3232.0</v>
      </c>
      <c r="B5372" s="2" t="s">
        <v>21976</v>
      </c>
      <c r="C5372" s="2" t="s">
        <v>21977</v>
      </c>
      <c r="D5372" s="2" t="s">
        <v>21978</v>
      </c>
      <c r="E5372" s="2" t="s">
        <v>21979</v>
      </c>
      <c r="F5372" s="2" t="b">
        <v>1</v>
      </c>
      <c r="G5372" s="2" t="b">
        <v>1</v>
      </c>
      <c r="H5372" s="2" t="s">
        <v>21980</v>
      </c>
      <c r="I5372" s="2" t="s">
        <v>49</v>
      </c>
      <c r="J5372" s="2" t="s">
        <v>762</v>
      </c>
      <c r="K5372" s="2" t="s">
        <v>495</v>
      </c>
      <c r="L5372" s="13" t="s">
        <v>496</v>
      </c>
      <c r="M5372" s="2" t="s">
        <v>26</v>
      </c>
      <c r="N5372" s="29"/>
      <c r="O5372" s="29"/>
      <c r="P5372" s="5" t="str">
        <f>IFERROR(__xludf.DUMMYFUNCTION("TEXTJOIN("" | "",TRUE,IF(OR(D5372="""",E5372="""",I5372="""",J5372="""",H5372=""""),""ফাঁকা ঘর"",""""),IF(AND(C5372&lt;&gt;"""",D5372&lt;&gt;"""",C5372=D5372),""gloss=figurative"",""""),IF(LEN(D5372)&lt;15,""figurative ছোট"",""""),IF(AND(I5372=""Positive"",REGEXMATCH(H5"&amp;"372,""মূর্খ|ভণ্ড|প্রতার|অলস|লোভ|স্বার্থ|অক্ষম|অযোগ্য|বোকা|কৃপণ|হিংস"")),""valence-target অমিল"",""""),IF(COUNTIF($B:$B,B5372)&gt;1,""ডুপ্লিকেট"",""""))"),"")</f>
        <v/>
      </c>
      <c r="Q5372" s="5" t="str">
        <f t="shared" si="1"/>
        <v>২ পরে</v>
      </c>
    </row>
    <row r="5373">
      <c r="A5373" s="4">
        <v>3233.0</v>
      </c>
      <c r="B5373" s="2" t="s">
        <v>21981</v>
      </c>
      <c r="C5373" s="2" t="s">
        <v>21982</v>
      </c>
      <c r="D5373" s="2" t="s">
        <v>21983</v>
      </c>
      <c r="E5373" s="2" t="s">
        <v>21984</v>
      </c>
      <c r="F5373" s="2" t="b">
        <v>1</v>
      </c>
      <c r="G5373" s="2" t="b">
        <v>1</v>
      </c>
      <c r="H5373" s="2" t="s">
        <v>20779</v>
      </c>
      <c r="I5373" s="2" t="s">
        <v>22</v>
      </c>
      <c r="J5373" s="2" t="s">
        <v>21985</v>
      </c>
      <c r="K5373" s="2" t="s">
        <v>495</v>
      </c>
      <c r="L5373" s="13" t="s">
        <v>496</v>
      </c>
      <c r="M5373" s="2" t="s">
        <v>26</v>
      </c>
      <c r="N5373" s="29"/>
      <c r="O5373" s="29"/>
      <c r="P5373" s="5" t="str">
        <f>IFERROR(__xludf.DUMMYFUNCTION("TEXTJOIN("" | "",TRUE,IF(OR(D5373="""",E5373="""",I5373="""",J5373="""",H5373=""""),""ফাঁকা ঘর"",""""),IF(AND(C5373&lt;&gt;"""",D5373&lt;&gt;"""",C5373=D5373),""gloss=figurative"",""""),IF(LEN(D5373)&lt;15,""figurative ছোট"",""""),IF(AND(I5373=""Positive"",REGEXMATCH(H5"&amp;"373,""মূর্খ|ভণ্ড|প্রতার|অলস|লোভ|স্বার্থ|অক্ষম|অযোগ্য|বোকা|কৃপণ|হিংস"")),""valence-target অমিল"",""""),IF(COUNTIF($B:$B,B5373)&gt;1,""ডুপ্লিকেট"",""""))"),"")</f>
        <v/>
      </c>
      <c r="Q5373" s="5" t="str">
        <f t="shared" si="1"/>
        <v>২ পরে</v>
      </c>
    </row>
    <row r="5374">
      <c r="A5374" s="4">
        <v>3234.0</v>
      </c>
      <c r="B5374" s="2" t="s">
        <v>21986</v>
      </c>
      <c r="C5374" s="2" t="s">
        <v>21986</v>
      </c>
      <c r="D5374" s="2" t="s">
        <v>19818</v>
      </c>
      <c r="E5374" s="2" t="s">
        <v>21987</v>
      </c>
      <c r="F5374" s="2" t="b">
        <v>1</v>
      </c>
      <c r="G5374" s="2" t="b">
        <v>0</v>
      </c>
      <c r="H5374" s="2" t="s">
        <v>37</v>
      </c>
      <c r="I5374" s="2" t="s">
        <v>32</v>
      </c>
      <c r="J5374" s="2" t="s">
        <v>6917</v>
      </c>
      <c r="K5374" s="2" t="s">
        <v>495</v>
      </c>
      <c r="L5374" s="13" t="s">
        <v>496</v>
      </c>
      <c r="M5374" s="2" t="s">
        <v>26</v>
      </c>
      <c r="N5374" s="29"/>
      <c r="O5374" s="29"/>
      <c r="P5374" s="5" t="str">
        <f>IFERROR(__xludf.DUMMYFUNCTION("TEXTJOIN("" | "",TRUE,IF(OR(D5374="""",E5374="""",I5374="""",J5374="""",H5374=""""),""ফাঁকা ঘর"",""""),IF(AND(C5374&lt;&gt;"""",D5374&lt;&gt;"""",C5374=D5374),""gloss=figurative"",""""),IF(LEN(D5374)&lt;15,""figurative ছোট"",""""),IF(AND(I5374=""Positive"",REGEXMATCH(H5"&amp;"374,""মূর্খ|ভণ্ড|প্রতার|অলস|লোভ|স্বার্থ|অক্ষম|অযোগ্য|বোকা|কৃপণ|হিংস"")),""valence-target অমিল"",""""),IF(COUNTIF($B:$B,B5374)&gt;1,""ডুপ্লিকেট"",""""))"),"")</f>
        <v/>
      </c>
      <c r="Q5374" s="5" t="str">
        <f t="shared" si="1"/>
        <v>২ পরে</v>
      </c>
    </row>
    <row r="5375">
      <c r="A5375" s="4">
        <v>3235.0</v>
      </c>
      <c r="B5375" s="2" t="s">
        <v>21988</v>
      </c>
      <c r="C5375" s="2" t="s">
        <v>21989</v>
      </c>
      <c r="D5375" s="2" t="s">
        <v>21990</v>
      </c>
      <c r="E5375" s="2" t="s">
        <v>21991</v>
      </c>
      <c r="F5375" s="2" t="b">
        <v>1</v>
      </c>
      <c r="G5375" s="2" t="b">
        <v>0</v>
      </c>
      <c r="H5375" s="2" t="s">
        <v>37</v>
      </c>
      <c r="I5375" s="2" t="s">
        <v>22</v>
      </c>
      <c r="J5375" s="2" t="s">
        <v>21992</v>
      </c>
      <c r="K5375" s="2" t="s">
        <v>495</v>
      </c>
      <c r="L5375" s="13" t="s">
        <v>496</v>
      </c>
      <c r="M5375" s="2" t="s">
        <v>26</v>
      </c>
      <c r="N5375" s="29"/>
      <c r="O5375" s="29"/>
      <c r="P5375" s="5" t="str">
        <f>IFERROR(__xludf.DUMMYFUNCTION("TEXTJOIN("" | "",TRUE,IF(OR(D5375="""",E5375="""",I5375="""",J5375="""",H5375=""""),""ফাঁকা ঘর"",""""),IF(AND(C5375&lt;&gt;"""",D5375&lt;&gt;"""",C5375=D5375),""gloss=figurative"",""""),IF(LEN(D5375)&lt;15,""figurative ছোট"",""""),IF(AND(I5375=""Positive"",REGEXMATCH(H5"&amp;"375,""মূর্খ|ভণ্ড|প্রতার|অলস|লোভ|স্বার্থ|অক্ষম|অযোগ্য|বোকা|কৃপণ|হিংস"")),""valence-target অমিল"",""""),IF(COUNTIF($B:$B,B5375)&gt;1,""ডুপ্লিকেট"",""""))"),"")</f>
        <v/>
      </c>
      <c r="Q5375" s="5" t="str">
        <f t="shared" si="1"/>
        <v>২ পরে</v>
      </c>
    </row>
    <row r="5376">
      <c r="A5376" s="4">
        <v>3236.0</v>
      </c>
      <c r="B5376" s="2" t="s">
        <v>21993</v>
      </c>
      <c r="C5376" s="2" t="s">
        <v>21994</v>
      </c>
      <c r="D5376" s="2" t="s">
        <v>21995</v>
      </c>
      <c r="E5376" s="2" t="s">
        <v>21996</v>
      </c>
      <c r="F5376" s="2" t="b">
        <v>1</v>
      </c>
      <c r="G5376" s="2" t="b">
        <v>0</v>
      </c>
      <c r="H5376" s="2" t="s">
        <v>37</v>
      </c>
      <c r="I5376" s="2" t="s">
        <v>22</v>
      </c>
      <c r="J5376" s="2" t="s">
        <v>21997</v>
      </c>
      <c r="K5376" s="2" t="s">
        <v>495</v>
      </c>
      <c r="L5376" s="13" t="s">
        <v>496</v>
      </c>
      <c r="M5376" s="2" t="s">
        <v>26</v>
      </c>
      <c r="N5376" s="29"/>
      <c r="O5376" s="29"/>
      <c r="P5376" s="5" t="str">
        <f>IFERROR(__xludf.DUMMYFUNCTION("TEXTJOIN("" | "",TRUE,IF(OR(D5376="""",E5376="""",I5376="""",J5376="""",H5376=""""),""ফাঁকা ঘর"",""""),IF(AND(C5376&lt;&gt;"""",D5376&lt;&gt;"""",C5376=D5376),""gloss=figurative"",""""),IF(LEN(D5376)&lt;15,""figurative ছোট"",""""),IF(AND(I5376=""Positive"",REGEXMATCH(H5"&amp;"376,""মূর্খ|ভণ্ড|প্রতার|অলস|লোভ|স্বার্থ|অক্ষম|অযোগ্য|বোকা|কৃপণ|হিংস"")),""valence-target অমিল"",""""),IF(COUNTIF($B:$B,B5376)&gt;1,""ডুপ্লিকেট"",""""))"),"")</f>
        <v/>
      </c>
      <c r="Q5376" s="5" t="str">
        <f t="shared" si="1"/>
        <v>২ পরে</v>
      </c>
    </row>
    <row r="5377">
      <c r="A5377" s="4">
        <v>3237.0</v>
      </c>
      <c r="B5377" s="2" t="s">
        <v>21998</v>
      </c>
      <c r="C5377" s="2" t="s">
        <v>21999</v>
      </c>
      <c r="D5377" s="2" t="s">
        <v>22000</v>
      </c>
      <c r="E5377" s="2" t="s">
        <v>22001</v>
      </c>
      <c r="F5377" s="2" t="b">
        <v>1</v>
      </c>
      <c r="G5377" s="2" t="b">
        <v>0</v>
      </c>
      <c r="H5377" s="2" t="s">
        <v>37</v>
      </c>
      <c r="I5377" s="2" t="s">
        <v>32</v>
      </c>
      <c r="J5377" s="2" t="s">
        <v>502</v>
      </c>
      <c r="K5377" s="2" t="s">
        <v>495</v>
      </c>
      <c r="L5377" s="13" t="s">
        <v>496</v>
      </c>
      <c r="M5377" s="2" t="s">
        <v>26</v>
      </c>
      <c r="N5377" s="29"/>
      <c r="O5377" s="29"/>
      <c r="P5377" s="5" t="str">
        <f>IFERROR(__xludf.DUMMYFUNCTION("TEXTJOIN("" | "",TRUE,IF(OR(D5377="""",E5377="""",I5377="""",J5377="""",H5377=""""),""ফাঁকা ঘর"",""""),IF(AND(C5377&lt;&gt;"""",D5377&lt;&gt;"""",C5377=D5377),""gloss=figurative"",""""),IF(LEN(D5377)&lt;15,""figurative ছোট"",""""),IF(AND(I5377=""Positive"",REGEXMATCH(H5"&amp;"377,""মূর্খ|ভণ্ড|প্রতার|অলস|লোভ|স্বার্থ|অক্ষম|অযোগ্য|বোকা|কৃপণ|হিংস"")),""valence-target অমিল"",""""),IF(COUNTIF($B:$B,B5377)&gt;1,""ডুপ্লিকেট"",""""))"),"")</f>
        <v/>
      </c>
      <c r="Q5377" s="5" t="str">
        <f t="shared" si="1"/>
        <v>২ পরে</v>
      </c>
    </row>
    <row r="5378">
      <c r="A5378" s="4">
        <v>3238.0</v>
      </c>
      <c r="B5378" s="2" t="s">
        <v>22002</v>
      </c>
      <c r="C5378" s="2" t="s">
        <v>22003</v>
      </c>
      <c r="D5378" s="2" t="s">
        <v>22004</v>
      </c>
      <c r="E5378" s="2" t="s">
        <v>22005</v>
      </c>
      <c r="F5378" s="2" t="b">
        <v>1</v>
      </c>
      <c r="G5378" s="2" t="b">
        <v>0</v>
      </c>
      <c r="H5378" s="2" t="s">
        <v>37</v>
      </c>
      <c r="I5378" s="2" t="s">
        <v>32</v>
      </c>
      <c r="J5378" s="2" t="s">
        <v>739</v>
      </c>
      <c r="K5378" s="2" t="s">
        <v>495</v>
      </c>
      <c r="L5378" s="13" t="s">
        <v>496</v>
      </c>
      <c r="M5378" s="2" t="s">
        <v>26</v>
      </c>
      <c r="N5378" s="29"/>
      <c r="O5378" s="29"/>
      <c r="P5378" s="5" t="str">
        <f>IFERROR(__xludf.DUMMYFUNCTION("TEXTJOIN("" | "",TRUE,IF(OR(D5378="""",E5378="""",I5378="""",J5378="""",H5378=""""),""ফাঁকা ঘর"",""""),IF(AND(C5378&lt;&gt;"""",D5378&lt;&gt;"""",C5378=D5378),""gloss=figurative"",""""),IF(LEN(D5378)&lt;15,""figurative ছোট"",""""),IF(AND(I5378=""Positive"",REGEXMATCH(H5"&amp;"378,""মূর্খ|ভণ্ড|প্রতার|অলস|লোভ|স্বার্থ|অক্ষম|অযোগ্য|বোকা|কৃপণ|হিংস"")),""valence-target অমিল"",""""),IF(COUNTIF($B:$B,B5378)&gt;1,""ডুপ্লিকেট"",""""))"),"")</f>
        <v/>
      </c>
      <c r="Q5378" s="5" t="str">
        <f t="shared" si="1"/>
        <v>২ পরে</v>
      </c>
    </row>
    <row r="5379">
      <c r="A5379" s="4">
        <v>3239.0</v>
      </c>
      <c r="B5379" s="2" t="s">
        <v>22006</v>
      </c>
      <c r="C5379" s="2" t="s">
        <v>22007</v>
      </c>
      <c r="D5379" s="2" t="s">
        <v>22008</v>
      </c>
      <c r="E5379" s="2" t="s">
        <v>22009</v>
      </c>
      <c r="F5379" s="2" t="b">
        <v>1</v>
      </c>
      <c r="G5379" s="2" t="b">
        <v>0</v>
      </c>
      <c r="H5379" s="2" t="s">
        <v>37</v>
      </c>
      <c r="I5379" s="2" t="s">
        <v>49</v>
      </c>
      <c r="J5379" s="2" t="s">
        <v>1249</v>
      </c>
      <c r="K5379" s="2" t="s">
        <v>495</v>
      </c>
      <c r="L5379" s="13" t="s">
        <v>496</v>
      </c>
      <c r="M5379" s="2" t="s">
        <v>26</v>
      </c>
      <c r="N5379" s="29"/>
      <c r="O5379" s="29"/>
      <c r="P5379" s="5" t="str">
        <f>IFERROR(__xludf.DUMMYFUNCTION("TEXTJOIN("" | "",TRUE,IF(OR(D5379="""",E5379="""",I5379="""",J5379="""",H5379=""""),""ফাঁকা ঘর"",""""),IF(AND(C5379&lt;&gt;"""",D5379&lt;&gt;"""",C5379=D5379),""gloss=figurative"",""""),IF(LEN(D5379)&lt;15,""figurative ছোট"",""""),IF(AND(I5379=""Positive"",REGEXMATCH(H5"&amp;"379,""মূর্খ|ভণ্ড|প্রতার|অলস|লোভ|স্বার্থ|অক্ষম|অযোগ্য|বোকা|কৃপণ|হিংস"")),""valence-target অমিল"",""""),IF(COUNTIF($B:$B,B5379)&gt;1,""ডুপ্লিকেট"",""""))"),"")</f>
        <v/>
      </c>
      <c r="Q5379" s="5" t="str">
        <f t="shared" si="1"/>
        <v>২ পরে</v>
      </c>
    </row>
    <row r="5380">
      <c r="A5380" s="4">
        <v>3240.0</v>
      </c>
      <c r="B5380" s="2" t="s">
        <v>22010</v>
      </c>
      <c r="C5380" s="2" t="s">
        <v>22011</v>
      </c>
      <c r="D5380" s="2" t="s">
        <v>22012</v>
      </c>
      <c r="E5380" s="2" t="s">
        <v>22013</v>
      </c>
      <c r="F5380" s="2" t="b">
        <v>1</v>
      </c>
      <c r="G5380" s="2" t="b">
        <v>0</v>
      </c>
      <c r="H5380" s="2" t="s">
        <v>37</v>
      </c>
      <c r="I5380" s="2" t="s">
        <v>32</v>
      </c>
      <c r="J5380" s="2" t="s">
        <v>708</v>
      </c>
      <c r="K5380" s="2" t="s">
        <v>495</v>
      </c>
      <c r="L5380" s="13" t="s">
        <v>496</v>
      </c>
      <c r="M5380" s="2" t="s">
        <v>26</v>
      </c>
      <c r="N5380" s="29"/>
      <c r="O5380" s="29"/>
      <c r="P5380" s="5" t="str">
        <f>IFERROR(__xludf.DUMMYFUNCTION("TEXTJOIN("" | "",TRUE,IF(OR(D5380="""",E5380="""",I5380="""",J5380="""",H5380=""""),""ফাঁকা ঘর"",""""),IF(AND(C5380&lt;&gt;"""",D5380&lt;&gt;"""",C5380=D5380),""gloss=figurative"",""""),IF(LEN(D5380)&lt;15,""figurative ছোট"",""""),IF(AND(I5380=""Positive"",REGEXMATCH(H5"&amp;"380,""মূর্খ|ভণ্ড|প্রতার|অলস|লোভ|স্বার্থ|অক্ষম|অযোগ্য|বোকা|কৃপণ|হিংস"")),""valence-target অমিল"",""""),IF(COUNTIF($B:$B,B5380)&gt;1,""ডুপ্লিকেট"",""""))"),"")</f>
        <v/>
      </c>
      <c r="Q5380" s="5" t="str">
        <f t="shared" si="1"/>
        <v>২ পরে</v>
      </c>
    </row>
    <row r="5381">
      <c r="A5381" s="4">
        <v>3241.0</v>
      </c>
      <c r="B5381" s="2" t="s">
        <v>22014</v>
      </c>
      <c r="C5381" s="2" t="s">
        <v>22015</v>
      </c>
      <c r="D5381" s="2" t="s">
        <v>22016</v>
      </c>
      <c r="E5381" s="2" t="s">
        <v>22017</v>
      </c>
      <c r="F5381" s="2" t="b">
        <v>1</v>
      </c>
      <c r="G5381" s="2" t="b">
        <v>0</v>
      </c>
      <c r="H5381" s="2" t="s">
        <v>37</v>
      </c>
      <c r="I5381" s="2" t="s">
        <v>49</v>
      </c>
      <c r="J5381" s="2" t="s">
        <v>695</v>
      </c>
      <c r="K5381" s="2" t="s">
        <v>495</v>
      </c>
      <c r="L5381" s="13" t="s">
        <v>496</v>
      </c>
      <c r="M5381" s="2" t="s">
        <v>26</v>
      </c>
      <c r="N5381" s="29"/>
      <c r="O5381" s="29"/>
      <c r="P5381" s="5" t="str">
        <f>IFERROR(__xludf.DUMMYFUNCTION("TEXTJOIN("" | "",TRUE,IF(OR(D5381="""",E5381="""",I5381="""",J5381="""",H5381=""""),""ফাঁকা ঘর"",""""),IF(AND(C5381&lt;&gt;"""",D5381&lt;&gt;"""",C5381=D5381),""gloss=figurative"",""""),IF(LEN(D5381)&lt;15,""figurative ছোট"",""""),IF(AND(I5381=""Positive"",REGEXMATCH(H5"&amp;"381,""মূর্খ|ভণ্ড|প্রতার|অলস|লোভ|স্বার্থ|অক্ষম|অযোগ্য|বোকা|কৃপণ|হিংস"")),""valence-target অমিল"",""""),IF(COUNTIF($B:$B,B5381)&gt;1,""ডুপ্লিকেট"",""""))"),"")</f>
        <v/>
      </c>
      <c r="Q5381" s="5" t="str">
        <f t="shared" si="1"/>
        <v>২ পরে</v>
      </c>
    </row>
    <row r="5382">
      <c r="A5382" s="4">
        <v>3243.0</v>
      </c>
      <c r="B5382" s="2" t="s">
        <v>22018</v>
      </c>
      <c r="C5382" s="2" t="s">
        <v>22019</v>
      </c>
      <c r="D5382" s="2" t="s">
        <v>22020</v>
      </c>
      <c r="E5382" s="2" t="s">
        <v>22021</v>
      </c>
      <c r="F5382" s="2" t="b">
        <v>1</v>
      </c>
      <c r="G5382" s="2" t="b">
        <v>0</v>
      </c>
      <c r="H5382" s="2" t="s">
        <v>37</v>
      </c>
      <c r="I5382" s="2" t="s">
        <v>32</v>
      </c>
      <c r="J5382" s="2" t="s">
        <v>913</v>
      </c>
      <c r="K5382" s="2" t="s">
        <v>495</v>
      </c>
      <c r="L5382" s="13" t="s">
        <v>496</v>
      </c>
      <c r="M5382" s="2" t="s">
        <v>26</v>
      </c>
      <c r="N5382" s="29"/>
      <c r="O5382" s="29"/>
      <c r="P5382" s="5" t="str">
        <f>IFERROR(__xludf.DUMMYFUNCTION("TEXTJOIN("" | "",TRUE,IF(OR(D5382="""",E5382="""",I5382="""",J5382="""",H5382=""""),""ফাঁকা ঘর"",""""),IF(AND(C5382&lt;&gt;"""",D5382&lt;&gt;"""",C5382=D5382),""gloss=figurative"",""""),IF(LEN(D5382)&lt;15,""figurative ছোট"",""""),IF(AND(I5382=""Positive"",REGEXMATCH(H5"&amp;"382,""মূর্খ|ভণ্ড|প্রতার|অলস|লোভ|স্বার্থ|অক্ষম|অযোগ্য|বোকা|কৃপণ|হিংস"")),""valence-target অমিল"",""""),IF(COUNTIF($B:$B,B5382)&gt;1,""ডুপ্লিকেট"",""""))"),"")</f>
        <v/>
      </c>
      <c r="Q5382" s="5" t="str">
        <f t="shared" si="1"/>
        <v>২ পরে</v>
      </c>
    </row>
    <row r="5383">
      <c r="A5383" s="4">
        <v>3244.0</v>
      </c>
      <c r="B5383" s="2" t="s">
        <v>22022</v>
      </c>
      <c r="C5383" s="2" t="s">
        <v>22023</v>
      </c>
      <c r="D5383" s="2" t="s">
        <v>22024</v>
      </c>
      <c r="E5383" s="2" t="s">
        <v>22025</v>
      </c>
      <c r="F5383" s="2" t="b">
        <v>1</v>
      </c>
      <c r="G5383" s="2" t="b">
        <v>0</v>
      </c>
      <c r="H5383" s="2" t="s">
        <v>37</v>
      </c>
      <c r="I5383" s="2" t="s">
        <v>22</v>
      </c>
      <c r="J5383" s="2" t="s">
        <v>842</v>
      </c>
      <c r="K5383" s="2" t="s">
        <v>495</v>
      </c>
      <c r="L5383" s="13" t="s">
        <v>496</v>
      </c>
      <c r="M5383" s="2" t="s">
        <v>26</v>
      </c>
      <c r="N5383" s="29"/>
      <c r="O5383" s="29"/>
      <c r="P5383" s="5" t="str">
        <f>IFERROR(__xludf.DUMMYFUNCTION("TEXTJOIN("" | "",TRUE,IF(OR(D5383="""",E5383="""",I5383="""",J5383="""",H5383=""""),""ফাঁকা ঘর"",""""),IF(AND(C5383&lt;&gt;"""",D5383&lt;&gt;"""",C5383=D5383),""gloss=figurative"",""""),IF(LEN(D5383)&lt;15,""figurative ছোট"",""""),IF(AND(I5383=""Positive"",REGEXMATCH(H5"&amp;"383,""মূর্খ|ভণ্ড|প্রতার|অলস|লোভ|স্বার্থ|অক্ষম|অযোগ্য|বোকা|কৃপণ|হিংস"")),""valence-target অমিল"",""""),IF(COUNTIF($B:$B,B5383)&gt;1,""ডুপ্লিকেট"",""""))"),"")</f>
        <v/>
      </c>
      <c r="Q5383" s="5" t="str">
        <f t="shared" si="1"/>
        <v>২ পরে</v>
      </c>
    </row>
    <row r="5384">
      <c r="A5384" s="4">
        <v>3245.0</v>
      </c>
      <c r="B5384" s="2" t="s">
        <v>22026</v>
      </c>
      <c r="C5384" s="2" t="s">
        <v>22027</v>
      </c>
      <c r="D5384" s="2" t="s">
        <v>22028</v>
      </c>
      <c r="E5384" s="2" t="s">
        <v>22029</v>
      </c>
      <c r="F5384" s="2" t="b">
        <v>1</v>
      </c>
      <c r="G5384" s="2" t="b">
        <v>0</v>
      </c>
      <c r="H5384" s="2" t="s">
        <v>37</v>
      </c>
      <c r="I5384" s="2" t="s">
        <v>49</v>
      </c>
      <c r="J5384" s="2" t="s">
        <v>708</v>
      </c>
      <c r="K5384" s="2" t="s">
        <v>495</v>
      </c>
      <c r="L5384" s="13" t="s">
        <v>496</v>
      </c>
      <c r="M5384" s="2" t="s">
        <v>26</v>
      </c>
      <c r="N5384" s="29"/>
      <c r="O5384" s="29"/>
      <c r="P5384" s="5" t="str">
        <f>IFERROR(__xludf.DUMMYFUNCTION("TEXTJOIN("" | "",TRUE,IF(OR(D5384="""",E5384="""",I5384="""",J5384="""",H5384=""""),""ফাঁকা ঘর"",""""),IF(AND(C5384&lt;&gt;"""",D5384&lt;&gt;"""",C5384=D5384),""gloss=figurative"",""""),IF(LEN(D5384)&lt;15,""figurative ছোট"",""""),IF(AND(I5384=""Positive"",REGEXMATCH(H5"&amp;"384,""মূর্খ|ভণ্ড|প্রতার|অলস|লোভ|স্বার্থ|অক্ষম|অযোগ্য|বোকা|কৃপণ|হিংস"")),""valence-target অমিল"",""""),IF(COUNTIF($B:$B,B5384)&gt;1,""ডুপ্লিকেট"",""""))"),"")</f>
        <v/>
      </c>
      <c r="Q5384" s="5" t="str">
        <f t="shared" si="1"/>
        <v>২ পরে</v>
      </c>
    </row>
    <row r="5385">
      <c r="A5385" s="4">
        <v>3247.0</v>
      </c>
      <c r="B5385" s="2" t="s">
        <v>22030</v>
      </c>
      <c r="C5385" s="2" t="s">
        <v>6956</v>
      </c>
      <c r="D5385" s="2" t="s">
        <v>22031</v>
      </c>
      <c r="E5385" s="2" t="s">
        <v>19202</v>
      </c>
      <c r="F5385" s="2" t="b">
        <v>1</v>
      </c>
      <c r="G5385" s="2" t="b">
        <v>0</v>
      </c>
      <c r="H5385" s="2" t="s">
        <v>37</v>
      </c>
      <c r="I5385" s="2" t="s">
        <v>22</v>
      </c>
      <c r="J5385" s="2" t="s">
        <v>2015</v>
      </c>
      <c r="K5385" s="2" t="s">
        <v>495</v>
      </c>
      <c r="L5385" s="13" t="s">
        <v>496</v>
      </c>
      <c r="M5385" s="2" t="s">
        <v>26</v>
      </c>
      <c r="N5385" s="29"/>
      <c r="O5385" s="29"/>
      <c r="P5385" s="5" t="str">
        <f>IFERROR(__xludf.DUMMYFUNCTION("TEXTJOIN("" | "",TRUE,IF(OR(D5385="""",E5385="""",I5385="""",J5385="""",H5385=""""),""ফাঁকা ঘর"",""""),IF(AND(C5385&lt;&gt;"""",D5385&lt;&gt;"""",C5385=D5385),""gloss=figurative"",""""),IF(LEN(D5385)&lt;15,""figurative ছোট"",""""),IF(AND(I5385=""Positive"",REGEXMATCH(H5"&amp;"385,""মূর্খ|ভণ্ড|প্রতার|অলস|লোভ|স্বার্থ|অক্ষম|অযোগ্য|বোকা|কৃপণ|হিংস"")),""valence-target অমিল"",""""),IF(COUNTIF($B:$B,B5385)&gt;1,""ডুপ্লিকেট"",""""))"),"")</f>
        <v/>
      </c>
      <c r="Q5385" s="5" t="str">
        <f t="shared" si="1"/>
        <v>২ পরে</v>
      </c>
    </row>
    <row r="5386">
      <c r="A5386" s="4">
        <v>3248.0</v>
      </c>
      <c r="B5386" s="2" t="s">
        <v>22032</v>
      </c>
      <c r="C5386" s="2" t="s">
        <v>22033</v>
      </c>
      <c r="D5386" s="2" t="s">
        <v>22034</v>
      </c>
      <c r="E5386" s="2" t="s">
        <v>22035</v>
      </c>
      <c r="F5386" s="2" t="b">
        <v>1</v>
      </c>
      <c r="G5386" s="2" t="b">
        <v>0</v>
      </c>
      <c r="H5386" s="2" t="s">
        <v>37</v>
      </c>
      <c r="I5386" s="2" t="s">
        <v>49</v>
      </c>
      <c r="J5386" s="2" t="s">
        <v>708</v>
      </c>
      <c r="K5386" s="2" t="s">
        <v>495</v>
      </c>
      <c r="L5386" s="13" t="s">
        <v>496</v>
      </c>
      <c r="M5386" s="2" t="s">
        <v>26</v>
      </c>
      <c r="N5386" s="29"/>
      <c r="O5386" s="29"/>
      <c r="P5386" s="5" t="str">
        <f>IFERROR(__xludf.DUMMYFUNCTION("TEXTJOIN("" | "",TRUE,IF(OR(D5386="""",E5386="""",I5386="""",J5386="""",H5386=""""),""ফাঁকা ঘর"",""""),IF(AND(C5386&lt;&gt;"""",D5386&lt;&gt;"""",C5386=D5386),""gloss=figurative"",""""),IF(LEN(D5386)&lt;15,""figurative ছোট"",""""),IF(AND(I5386=""Positive"",REGEXMATCH(H5"&amp;"386,""মূর্খ|ভণ্ড|প্রতার|অলস|লোভ|স্বার্থ|অক্ষম|অযোগ্য|বোকা|কৃপণ|হিংস"")),""valence-target অমিল"",""""),IF(COUNTIF($B:$B,B5386)&gt;1,""ডুপ্লিকেট"",""""))"),"")</f>
        <v/>
      </c>
      <c r="Q5386" s="5" t="str">
        <f t="shared" si="1"/>
        <v>২ পরে</v>
      </c>
    </row>
    <row r="5387">
      <c r="A5387" s="4">
        <v>3249.0</v>
      </c>
      <c r="B5387" s="2" t="s">
        <v>22036</v>
      </c>
      <c r="C5387" s="2" t="s">
        <v>22037</v>
      </c>
      <c r="D5387" s="2" t="s">
        <v>22038</v>
      </c>
      <c r="E5387" s="2" t="s">
        <v>22039</v>
      </c>
      <c r="F5387" s="2" t="b">
        <v>1</v>
      </c>
      <c r="G5387" s="2" t="b">
        <v>0</v>
      </c>
      <c r="H5387" s="2" t="s">
        <v>37</v>
      </c>
      <c r="I5387" s="2" t="s">
        <v>22</v>
      </c>
      <c r="J5387" s="2" t="s">
        <v>616</v>
      </c>
      <c r="K5387" s="2" t="s">
        <v>495</v>
      </c>
      <c r="L5387" s="13" t="s">
        <v>496</v>
      </c>
      <c r="M5387" s="2" t="s">
        <v>26</v>
      </c>
      <c r="N5387" s="29"/>
      <c r="O5387" s="29"/>
      <c r="P5387" s="5" t="str">
        <f>IFERROR(__xludf.DUMMYFUNCTION("TEXTJOIN("" | "",TRUE,IF(OR(D5387="""",E5387="""",I5387="""",J5387="""",H5387=""""),""ফাঁকা ঘর"",""""),IF(AND(C5387&lt;&gt;"""",D5387&lt;&gt;"""",C5387=D5387),""gloss=figurative"",""""),IF(LEN(D5387)&lt;15,""figurative ছোট"",""""),IF(AND(I5387=""Positive"",REGEXMATCH(H5"&amp;"387,""মূর্খ|ভণ্ড|প্রতার|অলস|লোভ|স্বার্থ|অক্ষম|অযোগ্য|বোকা|কৃপণ|হিংস"")),""valence-target অমিল"",""""),IF(COUNTIF($B:$B,B5387)&gt;1,""ডুপ্লিকেট"",""""))"),"")</f>
        <v/>
      </c>
      <c r="Q5387" s="5" t="str">
        <f t="shared" si="1"/>
        <v>২ পরে</v>
      </c>
    </row>
    <row r="5388">
      <c r="A5388" s="4">
        <v>3250.0</v>
      </c>
      <c r="B5388" s="2" t="s">
        <v>22040</v>
      </c>
      <c r="C5388" s="2" t="s">
        <v>22041</v>
      </c>
      <c r="D5388" s="2" t="s">
        <v>22042</v>
      </c>
      <c r="E5388" s="2" t="s">
        <v>22043</v>
      </c>
      <c r="F5388" s="2" t="b">
        <v>1</v>
      </c>
      <c r="G5388" s="2" t="b">
        <v>0</v>
      </c>
      <c r="H5388" s="2" t="s">
        <v>37</v>
      </c>
      <c r="I5388" s="2" t="s">
        <v>22</v>
      </c>
      <c r="J5388" s="2" t="s">
        <v>1857</v>
      </c>
      <c r="K5388" s="2" t="s">
        <v>495</v>
      </c>
      <c r="L5388" s="13" t="s">
        <v>496</v>
      </c>
      <c r="M5388" s="2" t="s">
        <v>26</v>
      </c>
      <c r="N5388" s="29"/>
      <c r="O5388" s="29"/>
      <c r="P5388" s="5" t="str">
        <f>IFERROR(__xludf.DUMMYFUNCTION("TEXTJOIN("" | "",TRUE,IF(OR(D5388="""",E5388="""",I5388="""",J5388="""",H5388=""""),""ফাঁকা ঘর"",""""),IF(AND(C5388&lt;&gt;"""",D5388&lt;&gt;"""",C5388=D5388),""gloss=figurative"",""""),IF(LEN(D5388)&lt;15,""figurative ছোট"",""""),IF(AND(I5388=""Positive"",REGEXMATCH(H5"&amp;"388,""মূর্খ|ভণ্ড|প্রতার|অলস|লোভ|স্বার্থ|অক্ষম|অযোগ্য|বোকা|কৃপণ|হিংস"")),""valence-target অমিল"",""""),IF(COUNTIF($B:$B,B5388)&gt;1,""ডুপ্লিকেট"",""""))"),"")</f>
        <v/>
      </c>
      <c r="Q5388" s="5" t="str">
        <f t="shared" si="1"/>
        <v>২ পরে</v>
      </c>
    </row>
    <row r="5389">
      <c r="A5389" s="4">
        <v>3251.0</v>
      </c>
      <c r="B5389" s="2" t="s">
        <v>22044</v>
      </c>
      <c r="C5389" s="2" t="s">
        <v>22045</v>
      </c>
      <c r="D5389" s="2" t="s">
        <v>22046</v>
      </c>
      <c r="E5389" s="2" t="s">
        <v>22047</v>
      </c>
      <c r="F5389" s="2" t="b">
        <v>1</v>
      </c>
      <c r="G5389" s="2" t="b">
        <v>0</v>
      </c>
      <c r="H5389" s="2" t="s">
        <v>37</v>
      </c>
      <c r="I5389" s="2" t="s">
        <v>22</v>
      </c>
      <c r="J5389" s="2" t="s">
        <v>1857</v>
      </c>
      <c r="K5389" s="2" t="s">
        <v>495</v>
      </c>
      <c r="L5389" s="13" t="s">
        <v>496</v>
      </c>
      <c r="M5389" s="2" t="s">
        <v>26</v>
      </c>
      <c r="N5389" s="29"/>
      <c r="O5389" s="29"/>
      <c r="P5389" s="5" t="str">
        <f>IFERROR(__xludf.DUMMYFUNCTION("TEXTJOIN("" | "",TRUE,IF(OR(D5389="""",E5389="""",I5389="""",J5389="""",H5389=""""),""ফাঁকা ঘর"",""""),IF(AND(C5389&lt;&gt;"""",D5389&lt;&gt;"""",C5389=D5389),""gloss=figurative"",""""),IF(LEN(D5389)&lt;15,""figurative ছোট"",""""),IF(AND(I5389=""Positive"",REGEXMATCH(H5"&amp;"389,""মূর্খ|ভণ্ড|প্রতার|অলস|লোভ|স্বার্থ|অক্ষম|অযোগ্য|বোকা|কৃপণ|হিংস"")),""valence-target অমিল"",""""),IF(COUNTIF($B:$B,B5389)&gt;1,""ডুপ্লিকেট"",""""))"),"")</f>
        <v/>
      </c>
      <c r="Q5389" s="5" t="str">
        <f t="shared" si="1"/>
        <v>২ পরে</v>
      </c>
    </row>
    <row r="5390">
      <c r="A5390" s="4">
        <v>3252.0</v>
      </c>
      <c r="B5390" s="2" t="s">
        <v>22048</v>
      </c>
      <c r="C5390" s="2" t="s">
        <v>22049</v>
      </c>
      <c r="D5390" s="2" t="s">
        <v>22050</v>
      </c>
      <c r="E5390" s="2" t="s">
        <v>22051</v>
      </c>
      <c r="F5390" s="2" t="b">
        <v>1</v>
      </c>
      <c r="G5390" s="2" t="b">
        <v>0</v>
      </c>
      <c r="H5390" s="2" t="s">
        <v>37</v>
      </c>
      <c r="I5390" s="2" t="s">
        <v>49</v>
      </c>
      <c r="J5390" s="2" t="s">
        <v>3694</v>
      </c>
      <c r="K5390" s="2" t="s">
        <v>495</v>
      </c>
      <c r="L5390" s="13" t="s">
        <v>496</v>
      </c>
      <c r="M5390" s="2" t="s">
        <v>26</v>
      </c>
      <c r="N5390" s="29"/>
      <c r="O5390" s="29"/>
      <c r="P5390" s="5" t="str">
        <f>IFERROR(__xludf.DUMMYFUNCTION("TEXTJOIN("" | "",TRUE,IF(OR(D5390="""",E5390="""",I5390="""",J5390="""",H5390=""""),""ফাঁকা ঘর"",""""),IF(AND(C5390&lt;&gt;"""",D5390&lt;&gt;"""",C5390=D5390),""gloss=figurative"",""""),IF(LEN(D5390)&lt;15,""figurative ছোট"",""""),IF(AND(I5390=""Positive"",REGEXMATCH(H5"&amp;"390,""মূর্খ|ভণ্ড|প্রতার|অলস|লোভ|স্বার্থ|অক্ষম|অযোগ্য|বোকা|কৃপণ|হিংস"")),""valence-target অমিল"",""""),IF(COUNTIF($B:$B,B5390)&gt;1,""ডুপ্লিকেট"",""""))"),"")</f>
        <v/>
      </c>
      <c r="Q5390" s="5" t="str">
        <f t="shared" si="1"/>
        <v>২ পরে</v>
      </c>
    </row>
    <row r="5391">
      <c r="A5391" s="4">
        <v>3253.0</v>
      </c>
      <c r="B5391" s="2" t="s">
        <v>22052</v>
      </c>
      <c r="C5391" s="2" t="s">
        <v>22053</v>
      </c>
      <c r="D5391" s="2" t="s">
        <v>22054</v>
      </c>
      <c r="E5391" s="2" t="s">
        <v>22055</v>
      </c>
      <c r="F5391" s="2" t="b">
        <v>1</v>
      </c>
      <c r="G5391" s="2" t="b">
        <v>0</v>
      </c>
      <c r="H5391" s="2" t="s">
        <v>37</v>
      </c>
      <c r="I5391" s="2" t="s">
        <v>22</v>
      </c>
      <c r="J5391" s="2" t="s">
        <v>836</v>
      </c>
      <c r="K5391" s="2" t="s">
        <v>495</v>
      </c>
      <c r="L5391" s="13" t="s">
        <v>496</v>
      </c>
      <c r="M5391" s="2" t="s">
        <v>26</v>
      </c>
      <c r="N5391" s="29"/>
      <c r="O5391" s="29"/>
      <c r="P5391" s="5" t="str">
        <f>IFERROR(__xludf.DUMMYFUNCTION("TEXTJOIN("" | "",TRUE,IF(OR(D5391="""",E5391="""",I5391="""",J5391="""",H5391=""""),""ফাঁকা ঘর"",""""),IF(AND(C5391&lt;&gt;"""",D5391&lt;&gt;"""",C5391=D5391),""gloss=figurative"",""""),IF(LEN(D5391)&lt;15,""figurative ছোট"",""""),IF(AND(I5391=""Positive"",REGEXMATCH(H5"&amp;"391,""মূর্খ|ভণ্ড|প্রতার|অলস|লোভ|স্বার্থ|অক্ষম|অযোগ্য|বোকা|কৃপণ|হিংস"")),""valence-target অমিল"",""""),IF(COUNTIF($B:$B,B5391)&gt;1,""ডুপ্লিকেট"",""""))"),"")</f>
        <v/>
      </c>
      <c r="Q5391" s="5" t="str">
        <f t="shared" si="1"/>
        <v>২ পরে</v>
      </c>
    </row>
    <row r="5392">
      <c r="A5392" s="4">
        <v>3254.0</v>
      </c>
      <c r="B5392" s="2" t="s">
        <v>22056</v>
      </c>
      <c r="C5392" s="2" t="s">
        <v>22057</v>
      </c>
      <c r="D5392" s="2" t="s">
        <v>22058</v>
      </c>
      <c r="E5392" s="2" t="s">
        <v>22059</v>
      </c>
      <c r="F5392" s="2" t="b">
        <v>1</v>
      </c>
      <c r="G5392" s="2" t="b">
        <v>0</v>
      </c>
      <c r="H5392" s="2" t="s">
        <v>37</v>
      </c>
      <c r="I5392" s="2" t="s">
        <v>32</v>
      </c>
      <c r="J5392" s="2" t="s">
        <v>2575</v>
      </c>
      <c r="K5392" s="2" t="s">
        <v>495</v>
      </c>
      <c r="L5392" s="13" t="s">
        <v>496</v>
      </c>
      <c r="M5392" s="2" t="s">
        <v>26</v>
      </c>
      <c r="N5392" s="29"/>
      <c r="O5392" s="29"/>
      <c r="P5392" s="5" t="str">
        <f>IFERROR(__xludf.DUMMYFUNCTION("TEXTJOIN("" | "",TRUE,IF(OR(D5392="""",E5392="""",I5392="""",J5392="""",H5392=""""),""ফাঁকা ঘর"",""""),IF(AND(C5392&lt;&gt;"""",D5392&lt;&gt;"""",C5392=D5392),""gloss=figurative"",""""),IF(LEN(D5392)&lt;15,""figurative ছোট"",""""),IF(AND(I5392=""Positive"",REGEXMATCH(H5"&amp;"392,""মূর্খ|ভণ্ড|প্রতার|অলস|লোভ|স্বার্থ|অক্ষম|অযোগ্য|বোকা|কৃপণ|হিংস"")),""valence-target অমিল"",""""),IF(COUNTIF($B:$B,B5392)&gt;1,""ডুপ্লিকেট"",""""))"),"")</f>
        <v/>
      </c>
      <c r="Q5392" s="5" t="str">
        <f t="shared" si="1"/>
        <v>২ পরে</v>
      </c>
    </row>
    <row r="5393">
      <c r="A5393" s="4">
        <v>3255.0</v>
      </c>
      <c r="B5393" s="2" t="s">
        <v>22060</v>
      </c>
      <c r="C5393" s="2" t="s">
        <v>22061</v>
      </c>
      <c r="D5393" s="2" t="s">
        <v>22062</v>
      </c>
      <c r="E5393" s="2" t="s">
        <v>22063</v>
      </c>
      <c r="F5393" s="2" t="b">
        <v>1</v>
      </c>
      <c r="G5393" s="2" t="b">
        <v>0</v>
      </c>
      <c r="H5393" s="2" t="s">
        <v>37</v>
      </c>
      <c r="I5393" s="2" t="s">
        <v>32</v>
      </c>
      <c r="J5393" s="2" t="s">
        <v>1843</v>
      </c>
      <c r="K5393" s="2" t="s">
        <v>495</v>
      </c>
      <c r="L5393" s="13" t="s">
        <v>496</v>
      </c>
      <c r="M5393" s="2" t="s">
        <v>26</v>
      </c>
      <c r="N5393" s="29"/>
      <c r="O5393" s="29"/>
      <c r="P5393" s="5" t="str">
        <f>IFERROR(__xludf.DUMMYFUNCTION("TEXTJOIN("" | "",TRUE,IF(OR(D5393="""",E5393="""",I5393="""",J5393="""",H5393=""""),""ফাঁকা ঘর"",""""),IF(AND(C5393&lt;&gt;"""",D5393&lt;&gt;"""",C5393=D5393),""gloss=figurative"",""""),IF(LEN(D5393)&lt;15,""figurative ছোট"",""""),IF(AND(I5393=""Positive"",REGEXMATCH(H5"&amp;"393,""মূর্খ|ভণ্ড|প্রতার|অলস|লোভ|স্বার্থ|অক্ষম|অযোগ্য|বোকা|কৃপণ|হিংস"")),""valence-target অমিল"",""""),IF(COUNTIF($B:$B,B5393)&gt;1,""ডুপ্লিকেট"",""""))"),"")</f>
        <v/>
      </c>
      <c r="Q5393" s="5" t="str">
        <f t="shared" si="1"/>
        <v>২ পরে</v>
      </c>
    </row>
    <row r="5394">
      <c r="A5394" s="4">
        <v>3256.0</v>
      </c>
      <c r="B5394" s="2" t="s">
        <v>22064</v>
      </c>
      <c r="C5394" s="2" t="s">
        <v>22065</v>
      </c>
      <c r="D5394" s="2" t="s">
        <v>22066</v>
      </c>
      <c r="E5394" s="2" t="s">
        <v>22067</v>
      </c>
      <c r="F5394" s="2" t="b">
        <v>1</v>
      </c>
      <c r="G5394" s="2" t="b">
        <v>0</v>
      </c>
      <c r="H5394" s="2" t="s">
        <v>37</v>
      </c>
      <c r="I5394" s="2" t="s">
        <v>22</v>
      </c>
      <c r="J5394" s="2" t="s">
        <v>3694</v>
      </c>
      <c r="K5394" s="2" t="s">
        <v>495</v>
      </c>
      <c r="L5394" s="13" t="s">
        <v>496</v>
      </c>
      <c r="M5394" s="2" t="s">
        <v>26</v>
      </c>
      <c r="N5394" s="29"/>
      <c r="O5394" s="29"/>
      <c r="P5394" s="5" t="str">
        <f>IFERROR(__xludf.DUMMYFUNCTION("TEXTJOIN("" | "",TRUE,IF(OR(D5394="""",E5394="""",I5394="""",J5394="""",H5394=""""),""ফাঁকা ঘর"",""""),IF(AND(C5394&lt;&gt;"""",D5394&lt;&gt;"""",C5394=D5394),""gloss=figurative"",""""),IF(LEN(D5394)&lt;15,""figurative ছোট"",""""),IF(AND(I5394=""Positive"",REGEXMATCH(H5"&amp;"394,""মূর্খ|ভণ্ড|প্রতার|অলস|লোভ|স্বার্থ|অক্ষম|অযোগ্য|বোকা|কৃপণ|হিংস"")),""valence-target অমিল"",""""),IF(COUNTIF($B:$B,B5394)&gt;1,""ডুপ্লিকেট"",""""))"),"")</f>
        <v/>
      </c>
      <c r="Q5394" s="5" t="str">
        <f t="shared" si="1"/>
        <v>২ পরে</v>
      </c>
    </row>
    <row r="5395">
      <c r="A5395" s="4">
        <v>3257.0</v>
      </c>
      <c r="B5395" s="2" t="s">
        <v>22068</v>
      </c>
      <c r="C5395" s="2" t="s">
        <v>22069</v>
      </c>
      <c r="D5395" s="2" t="s">
        <v>22070</v>
      </c>
      <c r="E5395" s="2" t="s">
        <v>22071</v>
      </c>
      <c r="F5395" s="2" t="b">
        <v>1</v>
      </c>
      <c r="G5395" s="2" t="b">
        <v>1</v>
      </c>
      <c r="H5395" s="2" t="s">
        <v>18426</v>
      </c>
      <c r="I5395" s="2" t="s">
        <v>22</v>
      </c>
      <c r="J5395" s="2" t="s">
        <v>16419</v>
      </c>
      <c r="K5395" s="2" t="s">
        <v>495</v>
      </c>
      <c r="L5395" s="13" t="s">
        <v>496</v>
      </c>
      <c r="M5395" s="2" t="s">
        <v>26</v>
      </c>
      <c r="N5395" s="29"/>
      <c r="O5395" s="29"/>
      <c r="P5395" s="5" t="str">
        <f>IFERROR(__xludf.DUMMYFUNCTION("TEXTJOIN("" | "",TRUE,IF(OR(D5395="""",E5395="""",I5395="""",J5395="""",H5395=""""),""ফাঁকা ঘর"",""""),IF(AND(C5395&lt;&gt;"""",D5395&lt;&gt;"""",C5395=D5395),""gloss=figurative"",""""),IF(LEN(D5395)&lt;15,""figurative ছোট"",""""),IF(AND(I5395=""Positive"",REGEXMATCH(H5"&amp;"395,""মূর্খ|ভণ্ড|প্রতার|অলস|লোভ|স্বার্থ|অক্ষম|অযোগ্য|বোকা|কৃপণ|হিংস"")),""valence-target অমিল"",""""),IF(COUNTIF($B:$B,B5395)&gt;1,""ডুপ্লিকেট"",""""))"),"")</f>
        <v/>
      </c>
      <c r="Q5395" s="5" t="str">
        <f t="shared" si="1"/>
        <v>২ পরে</v>
      </c>
    </row>
    <row r="5396">
      <c r="A5396" s="4">
        <v>3258.0</v>
      </c>
      <c r="B5396" s="2" t="s">
        <v>22072</v>
      </c>
      <c r="C5396" s="2" t="s">
        <v>22073</v>
      </c>
      <c r="D5396" s="2" t="s">
        <v>22074</v>
      </c>
      <c r="E5396" s="2" t="s">
        <v>22075</v>
      </c>
      <c r="F5396" s="2" t="b">
        <v>1</v>
      </c>
      <c r="G5396" s="2" t="b">
        <v>0</v>
      </c>
      <c r="H5396" s="2" t="s">
        <v>37</v>
      </c>
      <c r="I5396" s="2" t="s">
        <v>22</v>
      </c>
      <c r="J5396" s="2" t="s">
        <v>836</v>
      </c>
      <c r="K5396" s="2" t="s">
        <v>495</v>
      </c>
      <c r="L5396" s="13" t="s">
        <v>496</v>
      </c>
      <c r="M5396" s="2" t="s">
        <v>26</v>
      </c>
      <c r="N5396" s="29"/>
      <c r="O5396" s="29"/>
      <c r="P5396" s="5" t="str">
        <f>IFERROR(__xludf.DUMMYFUNCTION("TEXTJOIN("" | "",TRUE,IF(OR(D5396="""",E5396="""",I5396="""",J5396="""",H5396=""""),""ফাঁকা ঘর"",""""),IF(AND(C5396&lt;&gt;"""",D5396&lt;&gt;"""",C5396=D5396),""gloss=figurative"",""""),IF(LEN(D5396)&lt;15,""figurative ছোট"",""""),IF(AND(I5396=""Positive"",REGEXMATCH(H5"&amp;"396,""মূর্খ|ভণ্ড|প্রতার|অলস|লোভ|স্বার্থ|অক্ষম|অযোগ্য|বোকা|কৃপণ|হিংস"")),""valence-target অমিল"",""""),IF(COUNTIF($B:$B,B5396)&gt;1,""ডুপ্লিকেট"",""""))"),"")</f>
        <v/>
      </c>
      <c r="Q5396" s="5" t="str">
        <f t="shared" si="1"/>
        <v>২ পরে</v>
      </c>
    </row>
    <row r="5397">
      <c r="A5397" s="4">
        <v>3259.0</v>
      </c>
      <c r="B5397" s="2" t="s">
        <v>22076</v>
      </c>
      <c r="C5397" s="2" t="s">
        <v>22076</v>
      </c>
      <c r="D5397" s="2" t="s">
        <v>22077</v>
      </c>
      <c r="E5397" s="2" t="s">
        <v>22078</v>
      </c>
      <c r="F5397" s="2" t="b">
        <v>1</v>
      </c>
      <c r="G5397" s="2" t="b">
        <v>0</v>
      </c>
      <c r="H5397" s="2" t="s">
        <v>37</v>
      </c>
      <c r="I5397" s="2" t="s">
        <v>49</v>
      </c>
      <c r="J5397" s="2" t="s">
        <v>43</v>
      </c>
      <c r="K5397" s="2" t="s">
        <v>495</v>
      </c>
      <c r="L5397" s="13" t="s">
        <v>496</v>
      </c>
      <c r="M5397" s="2" t="s">
        <v>26</v>
      </c>
      <c r="N5397" s="29"/>
      <c r="O5397" s="29"/>
      <c r="P5397" s="5" t="str">
        <f>IFERROR(__xludf.DUMMYFUNCTION("TEXTJOIN("" | "",TRUE,IF(OR(D5397="""",E5397="""",I5397="""",J5397="""",H5397=""""),""ফাঁকা ঘর"",""""),IF(AND(C5397&lt;&gt;"""",D5397&lt;&gt;"""",C5397=D5397),""gloss=figurative"",""""),IF(LEN(D5397)&lt;15,""figurative ছোট"",""""),IF(AND(I5397=""Positive"",REGEXMATCH(H5"&amp;"397,""মূর্খ|ভণ্ড|প্রতার|অলস|লোভ|স্বার্থ|অক্ষম|অযোগ্য|বোকা|কৃপণ|হিংস"")),""valence-target অমিল"",""""),IF(COUNTIF($B:$B,B5397)&gt;1,""ডুপ্লিকেট"",""""))"),"")</f>
        <v/>
      </c>
      <c r="Q5397" s="5" t="str">
        <f t="shared" si="1"/>
        <v>২ পরে</v>
      </c>
    </row>
    <row r="5398">
      <c r="A5398" s="4">
        <v>3260.0</v>
      </c>
      <c r="B5398" s="2" t="s">
        <v>22079</v>
      </c>
      <c r="C5398" s="2" t="s">
        <v>22080</v>
      </c>
      <c r="D5398" s="2" t="s">
        <v>22081</v>
      </c>
      <c r="E5398" s="2" t="s">
        <v>22082</v>
      </c>
      <c r="F5398" s="2" t="b">
        <v>1</v>
      </c>
      <c r="G5398" s="2" t="b">
        <v>0</v>
      </c>
      <c r="H5398" s="2" t="s">
        <v>37</v>
      </c>
      <c r="I5398" s="2" t="s">
        <v>22</v>
      </c>
      <c r="J5398" s="2" t="s">
        <v>1013</v>
      </c>
      <c r="K5398" s="2" t="s">
        <v>495</v>
      </c>
      <c r="L5398" s="13" t="s">
        <v>496</v>
      </c>
      <c r="M5398" s="2" t="s">
        <v>26</v>
      </c>
      <c r="N5398" s="29"/>
      <c r="O5398" s="29"/>
      <c r="P5398" s="5" t="str">
        <f>IFERROR(__xludf.DUMMYFUNCTION("TEXTJOIN("" | "",TRUE,IF(OR(D5398="""",E5398="""",I5398="""",J5398="""",H5398=""""),""ফাঁকা ঘর"",""""),IF(AND(C5398&lt;&gt;"""",D5398&lt;&gt;"""",C5398=D5398),""gloss=figurative"",""""),IF(LEN(D5398)&lt;15,""figurative ছোট"",""""),IF(AND(I5398=""Positive"",REGEXMATCH(H5"&amp;"398,""মূর্খ|ভণ্ড|প্রতার|অলস|লোভ|স্বার্থ|অক্ষম|অযোগ্য|বোকা|কৃপণ|হিংস"")),""valence-target অমিল"",""""),IF(COUNTIF($B:$B,B5398)&gt;1,""ডুপ্লিকেট"",""""))"),"")</f>
        <v/>
      </c>
      <c r="Q5398" s="5" t="str">
        <f t="shared" si="1"/>
        <v>২ পরে</v>
      </c>
    </row>
    <row r="5399">
      <c r="A5399" s="4">
        <v>3261.0</v>
      </c>
      <c r="B5399" s="2" t="s">
        <v>22083</v>
      </c>
      <c r="C5399" s="2" t="s">
        <v>22084</v>
      </c>
      <c r="D5399" s="2" t="s">
        <v>22085</v>
      </c>
      <c r="E5399" s="2" t="s">
        <v>22086</v>
      </c>
      <c r="F5399" s="2" t="b">
        <v>1</v>
      </c>
      <c r="G5399" s="2" t="b">
        <v>0</v>
      </c>
      <c r="H5399" s="2" t="s">
        <v>37</v>
      </c>
      <c r="I5399" s="2" t="s">
        <v>22</v>
      </c>
      <c r="J5399" s="2" t="s">
        <v>1013</v>
      </c>
      <c r="K5399" s="2" t="s">
        <v>495</v>
      </c>
      <c r="L5399" s="13" t="s">
        <v>496</v>
      </c>
      <c r="M5399" s="2" t="s">
        <v>26</v>
      </c>
      <c r="N5399" s="29"/>
      <c r="O5399" s="29"/>
      <c r="P5399" s="5" t="str">
        <f>IFERROR(__xludf.DUMMYFUNCTION("TEXTJOIN("" | "",TRUE,IF(OR(D5399="""",E5399="""",I5399="""",J5399="""",H5399=""""),""ফাঁকা ঘর"",""""),IF(AND(C5399&lt;&gt;"""",D5399&lt;&gt;"""",C5399=D5399),""gloss=figurative"",""""),IF(LEN(D5399)&lt;15,""figurative ছোট"",""""),IF(AND(I5399=""Positive"",REGEXMATCH(H5"&amp;"399,""মূর্খ|ভণ্ড|প্রতার|অলস|লোভ|স্বার্থ|অক্ষম|অযোগ্য|বোকা|কৃপণ|হিংস"")),""valence-target অমিল"",""""),IF(COUNTIF($B:$B,B5399)&gt;1,""ডুপ্লিকেট"",""""))"),"")</f>
        <v/>
      </c>
      <c r="Q5399" s="5" t="str">
        <f t="shared" si="1"/>
        <v>২ পরে</v>
      </c>
    </row>
    <row r="5400">
      <c r="A5400" s="4">
        <v>3262.0</v>
      </c>
      <c r="B5400" s="2" t="s">
        <v>22087</v>
      </c>
      <c r="C5400" s="2" t="s">
        <v>22088</v>
      </c>
      <c r="D5400" s="2" t="s">
        <v>22089</v>
      </c>
      <c r="E5400" s="2" t="s">
        <v>22090</v>
      </c>
      <c r="F5400" s="2" t="b">
        <v>1</v>
      </c>
      <c r="G5400" s="2" t="b">
        <v>0</v>
      </c>
      <c r="H5400" s="2" t="s">
        <v>37</v>
      </c>
      <c r="I5400" s="2" t="s">
        <v>49</v>
      </c>
      <c r="J5400" s="2" t="s">
        <v>20450</v>
      </c>
      <c r="K5400" s="2" t="s">
        <v>495</v>
      </c>
      <c r="L5400" s="13" t="s">
        <v>496</v>
      </c>
      <c r="M5400" s="2" t="s">
        <v>26</v>
      </c>
      <c r="N5400" s="29"/>
      <c r="O5400" s="29"/>
      <c r="P5400" s="5" t="str">
        <f>IFERROR(__xludf.DUMMYFUNCTION("TEXTJOIN("" | "",TRUE,IF(OR(D5400="""",E5400="""",I5400="""",J5400="""",H5400=""""),""ফাঁকা ঘর"",""""),IF(AND(C5400&lt;&gt;"""",D5400&lt;&gt;"""",C5400=D5400),""gloss=figurative"",""""),IF(LEN(D5400)&lt;15,""figurative ছোট"",""""),IF(AND(I5400=""Positive"",REGEXMATCH(H5"&amp;"400,""মূর্খ|ভণ্ড|প্রতার|অলস|লোভ|স্বার্থ|অক্ষম|অযোগ্য|বোকা|কৃপণ|হিংস"")),""valence-target অমিল"",""""),IF(COUNTIF($B:$B,B5400)&gt;1,""ডুপ্লিকেট"",""""))"),"")</f>
        <v/>
      </c>
      <c r="Q5400" s="5" t="str">
        <f t="shared" si="1"/>
        <v>২ পরে</v>
      </c>
    </row>
    <row r="5401">
      <c r="A5401" s="4">
        <v>3264.0</v>
      </c>
      <c r="B5401" s="2" t="s">
        <v>22091</v>
      </c>
      <c r="C5401" s="2" t="s">
        <v>22092</v>
      </c>
      <c r="D5401" s="2" t="s">
        <v>22093</v>
      </c>
      <c r="E5401" s="2" t="s">
        <v>22094</v>
      </c>
      <c r="F5401" s="2" t="b">
        <v>1</v>
      </c>
      <c r="G5401" s="2" t="b">
        <v>0</v>
      </c>
      <c r="H5401" s="2" t="s">
        <v>37</v>
      </c>
      <c r="I5401" s="2" t="s">
        <v>32</v>
      </c>
      <c r="J5401" s="2" t="s">
        <v>1160</v>
      </c>
      <c r="K5401" s="2" t="s">
        <v>495</v>
      </c>
      <c r="L5401" s="13" t="s">
        <v>496</v>
      </c>
      <c r="M5401" s="2" t="s">
        <v>26</v>
      </c>
      <c r="N5401" s="29"/>
      <c r="O5401" s="29"/>
      <c r="P5401" s="5" t="str">
        <f>IFERROR(__xludf.DUMMYFUNCTION("TEXTJOIN("" | "",TRUE,IF(OR(D5401="""",E5401="""",I5401="""",J5401="""",H5401=""""),""ফাঁকা ঘর"",""""),IF(AND(C5401&lt;&gt;"""",D5401&lt;&gt;"""",C5401=D5401),""gloss=figurative"",""""),IF(LEN(D5401)&lt;15,""figurative ছোট"",""""),IF(AND(I5401=""Positive"",REGEXMATCH(H5"&amp;"401,""মূর্খ|ভণ্ড|প্রতার|অলস|লোভ|স্বার্থ|অক্ষম|অযোগ্য|বোকা|কৃপণ|হিংস"")),""valence-target অমিল"",""""),IF(COUNTIF($B:$B,B5401)&gt;1,""ডুপ্লিকেট"",""""))"),"")</f>
        <v/>
      </c>
      <c r="Q5401" s="5" t="str">
        <f t="shared" si="1"/>
        <v>২ পরে</v>
      </c>
    </row>
    <row r="5402">
      <c r="A5402" s="4">
        <v>3265.0</v>
      </c>
      <c r="B5402" s="2" t="s">
        <v>22095</v>
      </c>
      <c r="C5402" s="2" t="s">
        <v>22096</v>
      </c>
      <c r="D5402" s="2" t="s">
        <v>22097</v>
      </c>
      <c r="E5402" s="2" t="s">
        <v>22098</v>
      </c>
      <c r="F5402" s="2" t="b">
        <v>1</v>
      </c>
      <c r="G5402" s="2" t="b">
        <v>0</v>
      </c>
      <c r="H5402" s="2" t="s">
        <v>37</v>
      </c>
      <c r="I5402" s="2" t="s">
        <v>49</v>
      </c>
      <c r="J5402" s="2" t="s">
        <v>5524</v>
      </c>
      <c r="K5402" s="2" t="s">
        <v>495</v>
      </c>
      <c r="L5402" s="13" t="s">
        <v>496</v>
      </c>
      <c r="M5402" s="2" t="s">
        <v>26</v>
      </c>
      <c r="N5402" s="29"/>
      <c r="O5402" s="29"/>
      <c r="P5402" s="5" t="str">
        <f>IFERROR(__xludf.DUMMYFUNCTION("TEXTJOIN("" | "",TRUE,IF(OR(D5402="""",E5402="""",I5402="""",J5402="""",H5402=""""),""ফাঁকা ঘর"",""""),IF(AND(C5402&lt;&gt;"""",D5402&lt;&gt;"""",C5402=D5402),""gloss=figurative"",""""),IF(LEN(D5402)&lt;15,""figurative ছোট"",""""),IF(AND(I5402=""Positive"",REGEXMATCH(H5"&amp;"402,""মূর্খ|ভণ্ড|প্রতার|অলস|লোভ|স্বার্থ|অক্ষম|অযোগ্য|বোকা|কৃপণ|হিংস"")),""valence-target অমিল"",""""),IF(COUNTIF($B:$B,B5402)&gt;1,""ডুপ্লিকেট"",""""))"),"")</f>
        <v/>
      </c>
      <c r="Q5402" s="5" t="str">
        <f t="shared" si="1"/>
        <v>২ পরে</v>
      </c>
    </row>
    <row r="5403">
      <c r="A5403" s="4">
        <v>3266.0</v>
      </c>
      <c r="B5403" s="2" t="s">
        <v>22099</v>
      </c>
      <c r="C5403" s="2" t="s">
        <v>22100</v>
      </c>
      <c r="D5403" s="2" t="s">
        <v>22101</v>
      </c>
      <c r="E5403" s="2" t="s">
        <v>22102</v>
      </c>
      <c r="F5403" s="2" t="b">
        <v>1</v>
      </c>
      <c r="G5403" s="2" t="b">
        <v>0</v>
      </c>
      <c r="H5403" s="2" t="s">
        <v>37</v>
      </c>
      <c r="I5403" s="2" t="s">
        <v>22</v>
      </c>
      <c r="J5403" s="2" t="s">
        <v>820</v>
      </c>
      <c r="K5403" s="2" t="s">
        <v>495</v>
      </c>
      <c r="L5403" s="13" t="s">
        <v>496</v>
      </c>
      <c r="M5403" s="2" t="s">
        <v>26</v>
      </c>
      <c r="N5403" s="29"/>
      <c r="O5403" s="29"/>
      <c r="P5403" s="5" t="str">
        <f>IFERROR(__xludf.DUMMYFUNCTION("TEXTJOIN("" | "",TRUE,IF(OR(D5403="""",E5403="""",I5403="""",J5403="""",H5403=""""),""ফাঁকা ঘর"",""""),IF(AND(C5403&lt;&gt;"""",D5403&lt;&gt;"""",C5403=D5403),""gloss=figurative"",""""),IF(LEN(D5403)&lt;15,""figurative ছোট"",""""),IF(AND(I5403=""Positive"",REGEXMATCH(H5"&amp;"403,""মূর্খ|ভণ্ড|প্রতার|অলস|লোভ|স্বার্থ|অক্ষম|অযোগ্য|বোকা|কৃপণ|হিংস"")),""valence-target অমিল"",""""),IF(COUNTIF($B:$B,B5403)&gt;1,""ডুপ্লিকেট"",""""))"),"")</f>
        <v/>
      </c>
      <c r="Q5403" s="5" t="str">
        <f t="shared" si="1"/>
        <v>২ পরে</v>
      </c>
    </row>
    <row r="5404">
      <c r="A5404" s="4">
        <v>3267.0</v>
      </c>
      <c r="B5404" s="2" t="s">
        <v>22103</v>
      </c>
      <c r="C5404" s="2" t="s">
        <v>22103</v>
      </c>
      <c r="D5404" s="2" t="s">
        <v>22104</v>
      </c>
      <c r="E5404" s="2" t="s">
        <v>22105</v>
      </c>
      <c r="F5404" s="2" t="b">
        <v>1</v>
      </c>
      <c r="G5404" s="2" t="b">
        <v>0</v>
      </c>
      <c r="H5404" s="2" t="s">
        <v>37</v>
      </c>
      <c r="I5404" s="2" t="s">
        <v>49</v>
      </c>
      <c r="J5404" s="2" t="s">
        <v>708</v>
      </c>
      <c r="K5404" s="2" t="s">
        <v>495</v>
      </c>
      <c r="L5404" s="13" t="s">
        <v>496</v>
      </c>
      <c r="M5404" s="2" t="s">
        <v>26</v>
      </c>
      <c r="N5404" s="29"/>
      <c r="O5404" s="29"/>
      <c r="P5404" s="5" t="str">
        <f>IFERROR(__xludf.DUMMYFUNCTION("TEXTJOIN("" | "",TRUE,IF(OR(D5404="""",E5404="""",I5404="""",J5404="""",H5404=""""),""ফাঁকা ঘর"",""""),IF(AND(C5404&lt;&gt;"""",D5404&lt;&gt;"""",C5404=D5404),""gloss=figurative"",""""),IF(LEN(D5404)&lt;15,""figurative ছোট"",""""),IF(AND(I5404=""Positive"",REGEXMATCH(H5"&amp;"404,""মূর্খ|ভণ্ড|প্রতার|অলস|লোভ|স্বার্থ|অক্ষম|অযোগ্য|বোকা|কৃপণ|হিংস"")),""valence-target অমিল"",""""),IF(COUNTIF($B:$B,B5404)&gt;1,""ডুপ্লিকেট"",""""))"),"")</f>
        <v/>
      </c>
      <c r="Q5404" s="5" t="str">
        <f t="shared" si="1"/>
        <v>২ পরে</v>
      </c>
    </row>
    <row r="5405">
      <c r="A5405" s="4">
        <v>3269.0</v>
      </c>
      <c r="B5405" s="2" t="s">
        <v>22106</v>
      </c>
      <c r="C5405" s="2" t="s">
        <v>22107</v>
      </c>
      <c r="D5405" s="2" t="s">
        <v>22108</v>
      </c>
      <c r="E5405" s="2" t="s">
        <v>22109</v>
      </c>
      <c r="F5405" s="2" t="b">
        <v>1</v>
      </c>
      <c r="G5405" s="2" t="b">
        <v>0</v>
      </c>
      <c r="H5405" s="2" t="s">
        <v>37</v>
      </c>
      <c r="I5405" s="2" t="s">
        <v>22</v>
      </c>
      <c r="J5405" s="2" t="s">
        <v>814</v>
      </c>
      <c r="K5405" s="2" t="s">
        <v>495</v>
      </c>
      <c r="L5405" s="13" t="s">
        <v>496</v>
      </c>
      <c r="M5405" s="2" t="s">
        <v>26</v>
      </c>
      <c r="N5405" s="29"/>
      <c r="O5405" s="29"/>
      <c r="P5405" s="5" t="str">
        <f>IFERROR(__xludf.DUMMYFUNCTION("TEXTJOIN("" | "",TRUE,IF(OR(D5405="""",E5405="""",I5405="""",J5405="""",H5405=""""),""ফাঁকা ঘর"",""""),IF(AND(C5405&lt;&gt;"""",D5405&lt;&gt;"""",C5405=D5405),""gloss=figurative"",""""),IF(LEN(D5405)&lt;15,""figurative ছোট"",""""),IF(AND(I5405=""Positive"",REGEXMATCH(H5"&amp;"405,""মূর্খ|ভণ্ড|প্রতার|অলস|লোভ|স্বার্থ|অক্ষম|অযোগ্য|বোকা|কৃপণ|হিংস"")),""valence-target অমিল"",""""),IF(COUNTIF($B:$B,B5405)&gt;1,""ডুপ্লিকেট"",""""))"),"")</f>
        <v/>
      </c>
      <c r="Q5405" s="5" t="str">
        <f t="shared" si="1"/>
        <v>২ পরে</v>
      </c>
    </row>
    <row r="5406">
      <c r="A5406" s="4">
        <v>3271.0</v>
      </c>
      <c r="B5406" s="2" t="s">
        <v>22110</v>
      </c>
      <c r="C5406" s="2" t="s">
        <v>22111</v>
      </c>
      <c r="D5406" s="2" t="s">
        <v>22112</v>
      </c>
      <c r="E5406" s="2" t="s">
        <v>22113</v>
      </c>
      <c r="F5406" s="2" t="b">
        <v>1</v>
      </c>
      <c r="G5406" s="2" t="b">
        <v>0</v>
      </c>
      <c r="H5406" s="2" t="s">
        <v>37</v>
      </c>
      <c r="I5406" s="2" t="s">
        <v>22</v>
      </c>
      <c r="J5406" s="2" t="s">
        <v>6010</v>
      </c>
      <c r="K5406" s="2" t="s">
        <v>495</v>
      </c>
      <c r="L5406" s="13" t="s">
        <v>496</v>
      </c>
      <c r="M5406" s="2" t="s">
        <v>26</v>
      </c>
      <c r="N5406" s="29"/>
      <c r="O5406" s="29"/>
      <c r="P5406" s="5" t="str">
        <f>IFERROR(__xludf.DUMMYFUNCTION("TEXTJOIN("" | "",TRUE,IF(OR(D5406="""",E5406="""",I5406="""",J5406="""",H5406=""""),""ফাঁকা ঘর"",""""),IF(AND(C5406&lt;&gt;"""",D5406&lt;&gt;"""",C5406=D5406),""gloss=figurative"",""""),IF(LEN(D5406)&lt;15,""figurative ছোট"",""""),IF(AND(I5406=""Positive"",REGEXMATCH(H5"&amp;"406,""মূর্খ|ভণ্ড|প্রতার|অলস|লোভ|স্বার্থ|অক্ষম|অযোগ্য|বোকা|কৃপণ|হিংস"")),""valence-target অমিল"",""""),IF(COUNTIF($B:$B,B5406)&gt;1,""ডুপ্লিকেট"",""""))"),"")</f>
        <v/>
      </c>
      <c r="Q5406" s="5" t="str">
        <f t="shared" si="1"/>
        <v>২ পরে</v>
      </c>
    </row>
    <row r="5407">
      <c r="A5407" s="4">
        <v>3272.0</v>
      </c>
      <c r="B5407" s="2" t="s">
        <v>22114</v>
      </c>
      <c r="C5407" s="2" t="s">
        <v>22115</v>
      </c>
      <c r="D5407" s="2" t="s">
        <v>22116</v>
      </c>
      <c r="E5407" s="2" t="s">
        <v>22117</v>
      </c>
      <c r="F5407" s="2" t="b">
        <v>1</v>
      </c>
      <c r="G5407" s="2" t="b">
        <v>0</v>
      </c>
      <c r="H5407" s="2" t="s">
        <v>37</v>
      </c>
      <c r="I5407" s="2" t="s">
        <v>22</v>
      </c>
      <c r="J5407" s="2" t="s">
        <v>947</v>
      </c>
      <c r="K5407" s="2" t="s">
        <v>495</v>
      </c>
      <c r="L5407" s="13" t="s">
        <v>496</v>
      </c>
      <c r="M5407" s="2" t="s">
        <v>26</v>
      </c>
      <c r="N5407" s="29"/>
      <c r="O5407" s="29"/>
      <c r="P5407" s="5" t="str">
        <f>IFERROR(__xludf.DUMMYFUNCTION("TEXTJOIN("" | "",TRUE,IF(OR(D5407="""",E5407="""",I5407="""",J5407="""",H5407=""""),""ফাঁকা ঘর"",""""),IF(AND(C5407&lt;&gt;"""",D5407&lt;&gt;"""",C5407=D5407),""gloss=figurative"",""""),IF(LEN(D5407)&lt;15,""figurative ছোট"",""""),IF(AND(I5407=""Positive"",REGEXMATCH(H5"&amp;"407,""মূর্খ|ভণ্ড|প্রতার|অলস|লোভ|স্বার্থ|অক্ষম|অযোগ্য|বোকা|কৃপণ|হিংস"")),""valence-target অমিল"",""""),IF(COUNTIF($B:$B,B5407)&gt;1,""ডুপ্লিকেট"",""""))"),"")</f>
        <v/>
      </c>
      <c r="Q5407" s="5" t="str">
        <f t="shared" si="1"/>
        <v>২ পরে</v>
      </c>
    </row>
    <row r="5408">
      <c r="A5408" s="4">
        <v>3273.0</v>
      </c>
      <c r="B5408" s="2" t="s">
        <v>22118</v>
      </c>
      <c r="C5408" s="2" t="s">
        <v>22119</v>
      </c>
      <c r="D5408" s="2" t="s">
        <v>22120</v>
      </c>
      <c r="E5408" s="2" t="s">
        <v>22121</v>
      </c>
      <c r="F5408" s="2" t="b">
        <v>1</v>
      </c>
      <c r="G5408" s="2" t="b">
        <v>0</v>
      </c>
      <c r="H5408" s="2" t="s">
        <v>37</v>
      </c>
      <c r="I5408" s="2" t="s">
        <v>49</v>
      </c>
      <c r="J5408" s="2" t="s">
        <v>1060</v>
      </c>
      <c r="K5408" s="2" t="s">
        <v>495</v>
      </c>
      <c r="L5408" s="13" t="s">
        <v>496</v>
      </c>
      <c r="M5408" s="2" t="s">
        <v>26</v>
      </c>
      <c r="N5408" s="29"/>
      <c r="O5408" s="29"/>
      <c r="P5408" s="5" t="str">
        <f>IFERROR(__xludf.DUMMYFUNCTION("TEXTJOIN("" | "",TRUE,IF(OR(D5408="""",E5408="""",I5408="""",J5408="""",H5408=""""),""ফাঁকা ঘর"",""""),IF(AND(C5408&lt;&gt;"""",D5408&lt;&gt;"""",C5408=D5408),""gloss=figurative"",""""),IF(LEN(D5408)&lt;15,""figurative ছোট"",""""),IF(AND(I5408=""Positive"",REGEXMATCH(H5"&amp;"408,""মূর্খ|ভণ্ড|প্রতার|অলস|লোভ|স্বার্থ|অক্ষম|অযোগ্য|বোকা|কৃপণ|হিংস"")),""valence-target অমিল"",""""),IF(COUNTIF($B:$B,B5408)&gt;1,""ডুপ্লিকেট"",""""))"),"")</f>
        <v/>
      </c>
      <c r="Q5408" s="5" t="str">
        <f t="shared" si="1"/>
        <v>২ পরে</v>
      </c>
    </row>
    <row r="5409">
      <c r="A5409" s="4">
        <v>3274.0</v>
      </c>
      <c r="B5409" s="2" t="s">
        <v>22122</v>
      </c>
      <c r="C5409" s="2" t="s">
        <v>22123</v>
      </c>
      <c r="D5409" s="2" t="s">
        <v>22124</v>
      </c>
      <c r="E5409" s="2" t="s">
        <v>22125</v>
      </c>
      <c r="F5409" s="2" t="b">
        <v>1</v>
      </c>
      <c r="G5409" s="2" t="b">
        <v>0</v>
      </c>
      <c r="H5409" s="2" t="s">
        <v>37</v>
      </c>
      <c r="I5409" s="2" t="s">
        <v>49</v>
      </c>
      <c r="J5409" s="2" t="s">
        <v>1803</v>
      </c>
      <c r="K5409" s="2" t="s">
        <v>495</v>
      </c>
      <c r="L5409" s="13" t="s">
        <v>496</v>
      </c>
      <c r="M5409" s="2" t="s">
        <v>26</v>
      </c>
      <c r="N5409" s="29"/>
      <c r="O5409" s="29"/>
      <c r="P5409" s="5" t="str">
        <f>IFERROR(__xludf.DUMMYFUNCTION("TEXTJOIN("" | "",TRUE,IF(OR(D5409="""",E5409="""",I5409="""",J5409="""",H5409=""""),""ফাঁকা ঘর"",""""),IF(AND(C5409&lt;&gt;"""",D5409&lt;&gt;"""",C5409=D5409),""gloss=figurative"",""""),IF(LEN(D5409)&lt;15,""figurative ছোট"",""""),IF(AND(I5409=""Positive"",REGEXMATCH(H5"&amp;"409,""মূর্খ|ভণ্ড|প্রতার|অলস|লোভ|স্বার্থ|অক্ষম|অযোগ্য|বোকা|কৃপণ|হিংস"")),""valence-target অমিল"",""""),IF(COUNTIF($B:$B,B5409)&gt;1,""ডুপ্লিকেট"",""""))"),"")</f>
        <v/>
      </c>
      <c r="Q5409" s="5" t="str">
        <f t="shared" si="1"/>
        <v>২ পরে</v>
      </c>
    </row>
    <row r="5410">
      <c r="A5410" s="4">
        <v>3275.0</v>
      </c>
      <c r="B5410" s="2" t="s">
        <v>22126</v>
      </c>
      <c r="C5410" s="2" t="s">
        <v>22127</v>
      </c>
      <c r="D5410" s="2" t="s">
        <v>22128</v>
      </c>
      <c r="E5410" s="2" t="s">
        <v>22129</v>
      </c>
      <c r="F5410" s="2" t="b">
        <v>1</v>
      </c>
      <c r="G5410" s="2" t="b">
        <v>0</v>
      </c>
      <c r="H5410" s="2" t="s">
        <v>37</v>
      </c>
      <c r="I5410" s="2" t="s">
        <v>49</v>
      </c>
      <c r="J5410" s="2" t="s">
        <v>762</v>
      </c>
      <c r="K5410" s="2" t="s">
        <v>495</v>
      </c>
      <c r="L5410" s="13" t="s">
        <v>496</v>
      </c>
      <c r="M5410" s="2" t="s">
        <v>26</v>
      </c>
      <c r="N5410" s="29"/>
      <c r="O5410" s="29"/>
      <c r="P5410" s="5" t="str">
        <f>IFERROR(__xludf.DUMMYFUNCTION("TEXTJOIN("" | "",TRUE,IF(OR(D5410="""",E5410="""",I5410="""",J5410="""",H5410=""""),""ফাঁকা ঘর"",""""),IF(AND(C5410&lt;&gt;"""",D5410&lt;&gt;"""",C5410=D5410),""gloss=figurative"",""""),IF(LEN(D5410)&lt;15,""figurative ছোট"",""""),IF(AND(I5410=""Positive"",REGEXMATCH(H5"&amp;"410,""মূর্খ|ভণ্ড|প্রতার|অলস|লোভ|স্বার্থ|অক্ষম|অযোগ্য|বোকা|কৃপণ|হিংস"")),""valence-target অমিল"",""""),IF(COUNTIF($B:$B,B5410)&gt;1,""ডুপ্লিকেট"",""""))"),"")</f>
        <v/>
      </c>
      <c r="Q5410" s="5" t="str">
        <f t="shared" si="1"/>
        <v>২ পরে</v>
      </c>
    </row>
    <row r="5411">
      <c r="A5411" s="4">
        <v>3276.0</v>
      </c>
      <c r="B5411" s="2" t="s">
        <v>22130</v>
      </c>
      <c r="C5411" s="2" t="s">
        <v>22131</v>
      </c>
      <c r="D5411" s="2" t="s">
        <v>469</v>
      </c>
      <c r="E5411" s="2" t="s">
        <v>22132</v>
      </c>
      <c r="F5411" s="2" t="b">
        <v>1</v>
      </c>
      <c r="G5411" s="2" t="b">
        <v>0</v>
      </c>
      <c r="H5411" s="2" t="s">
        <v>37</v>
      </c>
      <c r="I5411" s="2" t="s">
        <v>49</v>
      </c>
      <c r="J5411" s="2" t="s">
        <v>208</v>
      </c>
      <c r="K5411" s="2" t="s">
        <v>495</v>
      </c>
      <c r="L5411" s="13" t="s">
        <v>496</v>
      </c>
      <c r="M5411" s="2" t="s">
        <v>26</v>
      </c>
      <c r="N5411" s="29"/>
      <c r="O5411" s="29"/>
      <c r="P5411" s="5" t="str">
        <f>IFERROR(__xludf.DUMMYFUNCTION("TEXTJOIN("" | "",TRUE,IF(OR(D5411="""",E5411="""",I5411="""",J5411="""",H5411=""""),""ফাঁকা ঘর"",""""),IF(AND(C5411&lt;&gt;"""",D5411&lt;&gt;"""",C5411=D5411),""gloss=figurative"",""""),IF(LEN(D5411)&lt;15,""figurative ছোট"",""""),IF(AND(I5411=""Positive"",REGEXMATCH(H5"&amp;"411,""মূর্খ|ভণ্ড|প্রতার|অলস|লোভ|স্বার্থ|অক্ষম|অযোগ্য|বোকা|কৃপণ|হিংস"")),""valence-target অমিল"",""""),IF(COUNTIF($B:$B,B5411)&gt;1,""ডুপ্লিকেট"",""""))"),"")</f>
        <v/>
      </c>
      <c r="Q5411" s="5" t="str">
        <f t="shared" si="1"/>
        <v>২ পরে</v>
      </c>
    </row>
    <row r="5412">
      <c r="A5412" s="4">
        <v>3277.0</v>
      </c>
      <c r="B5412" s="2" t="s">
        <v>22133</v>
      </c>
      <c r="C5412" s="2" t="s">
        <v>22134</v>
      </c>
      <c r="D5412" s="2" t="s">
        <v>22135</v>
      </c>
      <c r="E5412" s="2" t="s">
        <v>22136</v>
      </c>
      <c r="F5412" s="2" t="b">
        <v>1</v>
      </c>
      <c r="G5412" s="2" t="b">
        <v>0</v>
      </c>
      <c r="H5412" s="2" t="s">
        <v>37</v>
      </c>
      <c r="I5412" s="2" t="s">
        <v>22</v>
      </c>
      <c r="J5412" s="2" t="s">
        <v>22137</v>
      </c>
      <c r="K5412" s="2" t="s">
        <v>495</v>
      </c>
      <c r="L5412" s="13" t="s">
        <v>496</v>
      </c>
      <c r="M5412" s="2" t="s">
        <v>26</v>
      </c>
      <c r="N5412" s="29"/>
      <c r="O5412" s="29"/>
      <c r="P5412" s="5" t="str">
        <f>IFERROR(__xludf.DUMMYFUNCTION("TEXTJOIN("" | "",TRUE,IF(OR(D5412="""",E5412="""",I5412="""",J5412="""",H5412=""""),""ফাঁকা ঘর"",""""),IF(AND(C5412&lt;&gt;"""",D5412&lt;&gt;"""",C5412=D5412),""gloss=figurative"",""""),IF(LEN(D5412)&lt;15,""figurative ছোট"",""""),IF(AND(I5412=""Positive"",REGEXMATCH(H5"&amp;"412,""মূর্খ|ভণ্ড|প্রতার|অলস|লোভ|স্বার্থ|অক্ষম|অযোগ্য|বোকা|কৃপণ|হিংস"")),""valence-target অমিল"",""""),IF(COUNTIF($B:$B,B5412)&gt;1,""ডুপ্লিকেট"",""""))"),"")</f>
        <v/>
      </c>
      <c r="Q5412" s="5" t="str">
        <f t="shared" si="1"/>
        <v>২ পরে</v>
      </c>
    </row>
    <row r="5413">
      <c r="A5413" s="4">
        <v>3278.0</v>
      </c>
      <c r="B5413" s="2" t="s">
        <v>22138</v>
      </c>
      <c r="C5413" s="2" t="s">
        <v>22139</v>
      </c>
      <c r="D5413" s="2" t="s">
        <v>22140</v>
      </c>
      <c r="E5413" s="2" t="s">
        <v>22141</v>
      </c>
      <c r="F5413" s="2" t="b">
        <v>1</v>
      </c>
      <c r="G5413" s="2" t="b">
        <v>0</v>
      </c>
      <c r="H5413" s="2" t="s">
        <v>37</v>
      </c>
      <c r="I5413" s="2" t="s">
        <v>22</v>
      </c>
      <c r="J5413" s="2" t="s">
        <v>1013</v>
      </c>
      <c r="K5413" s="2" t="s">
        <v>495</v>
      </c>
      <c r="L5413" s="13" t="s">
        <v>496</v>
      </c>
      <c r="M5413" s="2" t="s">
        <v>26</v>
      </c>
      <c r="N5413" s="29"/>
      <c r="O5413" s="29"/>
      <c r="P5413" s="5" t="str">
        <f>IFERROR(__xludf.DUMMYFUNCTION("TEXTJOIN("" | "",TRUE,IF(OR(D5413="""",E5413="""",I5413="""",J5413="""",H5413=""""),""ফাঁকা ঘর"",""""),IF(AND(C5413&lt;&gt;"""",D5413&lt;&gt;"""",C5413=D5413),""gloss=figurative"",""""),IF(LEN(D5413)&lt;15,""figurative ছোট"",""""),IF(AND(I5413=""Positive"",REGEXMATCH(H5"&amp;"413,""মূর্খ|ভণ্ড|প্রতার|অলস|লোভ|স্বার্থ|অক্ষম|অযোগ্য|বোকা|কৃপণ|হিংস"")),""valence-target অমিল"",""""),IF(COUNTIF($B:$B,B5413)&gt;1,""ডুপ্লিকেট"",""""))"),"")</f>
        <v/>
      </c>
      <c r="Q5413" s="5" t="str">
        <f t="shared" si="1"/>
        <v>২ পরে</v>
      </c>
    </row>
    <row r="5414">
      <c r="A5414" s="4">
        <v>3279.0</v>
      </c>
      <c r="B5414" s="2" t="s">
        <v>22142</v>
      </c>
      <c r="C5414" s="2" t="s">
        <v>22143</v>
      </c>
      <c r="D5414" s="2" t="s">
        <v>22144</v>
      </c>
      <c r="E5414" s="2" t="s">
        <v>22145</v>
      </c>
      <c r="F5414" s="2" t="b">
        <v>1</v>
      </c>
      <c r="G5414" s="2" t="b">
        <v>0</v>
      </c>
      <c r="H5414" s="2" t="s">
        <v>37</v>
      </c>
      <c r="I5414" s="2" t="s">
        <v>49</v>
      </c>
      <c r="J5414" s="2" t="s">
        <v>22146</v>
      </c>
      <c r="K5414" s="2" t="s">
        <v>495</v>
      </c>
      <c r="L5414" s="13" t="s">
        <v>496</v>
      </c>
      <c r="M5414" s="2" t="s">
        <v>26</v>
      </c>
      <c r="N5414" s="29"/>
      <c r="O5414" s="29"/>
      <c r="P5414" s="5" t="str">
        <f>IFERROR(__xludf.DUMMYFUNCTION("TEXTJOIN("" | "",TRUE,IF(OR(D5414="""",E5414="""",I5414="""",J5414="""",H5414=""""),""ফাঁকা ঘর"",""""),IF(AND(C5414&lt;&gt;"""",D5414&lt;&gt;"""",C5414=D5414),""gloss=figurative"",""""),IF(LEN(D5414)&lt;15,""figurative ছোট"",""""),IF(AND(I5414=""Positive"",REGEXMATCH(H5"&amp;"414,""মূর্খ|ভণ্ড|প্রতার|অলস|লোভ|স্বার্থ|অক্ষম|অযোগ্য|বোকা|কৃপণ|হিংস"")),""valence-target অমিল"",""""),IF(COUNTIF($B:$B,B5414)&gt;1,""ডুপ্লিকেট"",""""))"),"")</f>
        <v/>
      </c>
      <c r="Q5414" s="5" t="str">
        <f t="shared" si="1"/>
        <v>২ পরে</v>
      </c>
    </row>
    <row r="5415">
      <c r="A5415" s="4">
        <v>3280.0</v>
      </c>
      <c r="B5415" s="2" t="s">
        <v>22147</v>
      </c>
      <c r="C5415" s="2" t="s">
        <v>22148</v>
      </c>
      <c r="D5415" s="2" t="s">
        <v>22149</v>
      </c>
      <c r="E5415" s="2" t="s">
        <v>22150</v>
      </c>
      <c r="F5415" s="2" t="b">
        <v>1</v>
      </c>
      <c r="G5415" s="2" t="b">
        <v>0</v>
      </c>
      <c r="H5415" s="2" t="s">
        <v>37</v>
      </c>
      <c r="I5415" s="2" t="s">
        <v>49</v>
      </c>
      <c r="J5415" s="2" t="s">
        <v>22151</v>
      </c>
      <c r="K5415" s="2" t="s">
        <v>495</v>
      </c>
      <c r="L5415" s="13" t="s">
        <v>496</v>
      </c>
      <c r="M5415" s="2" t="s">
        <v>26</v>
      </c>
      <c r="N5415" s="29"/>
      <c r="O5415" s="29"/>
      <c r="P5415" s="5" t="str">
        <f>IFERROR(__xludf.DUMMYFUNCTION("TEXTJOIN("" | "",TRUE,IF(OR(D5415="""",E5415="""",I5415="""",J5415="""",H5415=""""),""ফাঁকা ঘর"",""""),IF(AND(C5415&lt;&gt;"""",D5415&lt;&gt;"""",C5415=D5415),""gloss=figurative"",""""),IF(LEN(D5415)&lt;15,""figurative ছোট"",""""),IF(AND(I5415=""Positive"",REGEXMATCH(H5"&amp;"415,""মূর্খ|ভণ্ড|প্রতার|অলস|লোভ|স্বার্থ|অক্ষম|অযোগ্য|বোকা|কৃপণ|হিংস"")),""valence-target অমিল"",""""),IF(COUNTIF($B:$B,B5415)&gt;1,""ডুপ্লিকেট"",""""))"),"")</f>
        <v/>
      </c>
      <c r="Q5415" s="5" t="str">
        <f t="shared" si="1"/>
        <v>২ পরে</v>
      </c>
    </row>
    <row r="5416">
      <c r="A5416" s="4">
        <v>3281.0</v>
      </c>
      <c r="B5416" s="2" t="s">
        <v>22152</v>
      </c>
      <c r="C5416" s="2" t="s">
        <v>22153</v>
      </c>
      <c r="D5416" s="2" t="s">
        <v>22154</v>
      </c>
      <c r="E5416" s="2" t="s">
        <v>22155</v>
      </c>
      <c r="F5416" s="2" t="b">
        <v>1</v>
      </c>
      <c r="G5416" s="2" t="b">
        <v>0</v>
      </c>
      <c r="H5416" s="2" t="s">
        <v>37</v>
      </c>
      <c r="I5416" s="2" t="s">
        <v>32</v>
      </c>
      <c r="J5416" s="2" t="s">
        <v>3105</v>
      </c>
      <c r="K5416" s="2" t="s">
        <v>495</v>
      </c>
      <c r="L5416" s="13" t="s">
        <v>496</v>
      </c>
      <c r="M5416" s="2" t="s">
        <v>26</v>
      </c>
      <c r="N5416" s="29"/>
      <c r="O5416" s="29"/>
      <c r="P5416" s="5" t="str">
        <f>IFERROR(__xludf.DUMMYFUNCTION("TEXTJOIN("" | "",TRUE,IF(OR(D5416="""",E5416="""",I5416="""",J5416="""",H5416=""""),""ফাঁকা ঘর"",""""),IF(AND(C5416&lt;&gt;"""",D5416&lt;&gt;"""",C5416=D5416),""gloss=figurative"",""""),IF(LEN(D5416)&lt;15,""figurative ছোট"",""""),IF(AND(I5416=""Positive"",REGEXMATCH(H5"&amp;"416,""মূর্খ|ভণ্ড|প্রতার|অলস|লোভ|স্বার্থ|অক্ষম|অযোগ্য|বোকা|কৃপণ|হিংস"")),""valence-target অমিল"",""""),IF(COUNTIF($B:$B,B5416)&gt;1,""ডুপ্লিকেট"",""""))"),"")</f>
        <v/>
      </c>
      <c r="Q5416" s="5" t="str">
        <f t="shared" si="1"/>
        <v>২ পরে</v>
      </c>
    </row>
    <row r="5417">
      <c r="A5417" s="4">
        <v>3282.0</v>
      </c>
      <c r="B5417" s="2" t="s">
        <v>22156</v>
      </c>
      <c r="C5417" s="2" t="s">
        <v>22157</v>
      </c>
      <c r="D5417" s="2" t="s">
        <v>22158</v>
      </c>
      <c r="E5417" s="2" t="s">
        <v>22159</v>
      </c>
      <c r="F5417" s="2" t="b">
        <v>1</v>
      </c>
      <c r="G5417" s="2" t="b">
        <v>0</v>
      </c>
      <c r="H5417" s="2" t="s">
        <v>37</v>
      </c>
      <c r="I5417" s="2" t="s">
        <v>22</v>
      </c>
      <c r="J5417" s="2" t="s">
        <v>808</v>
      </c>
      <c r="K5417" s="2" t="s">
        <v>495</v>
      </c>
      <c r="L5417" s="13" t="s">
        <v>496</v>
      </c>
      <c r="M5417" s="2" t="s">
        <v>26</v>
      </c>
      <c r="N5417" s="29"/>
      <c r="O5417" s="29"/>
      <c r="P5417" s="5" t="str">
        <f>IFERROR(__xludf.DUMMYFUNCTION("TEXTJOIN("" | "",TRUE,IF(OR(D5417="""",E5417="""",I5417="""",J5417="""",H5417=""""),""ফাঁকা ঘর"",""""),IF(AND(C5417&lt;&gt;"""",D5417&lt;&gt;"""",C5417=D5417),""gloss=figurative"",""""),IF(LEN(D5417)&lt;15,""figurative ছোট"",""""),IF(AND(I5417=""Positive"",REGEXMATCH(H5"&amp;"417,""মূর্খ|ভণ্ড|প্রতার|অলস|লোভ|স্বার্থ|অক্ষম|অযোগ্য|বোকা|কৃপণ|হিংস"")),""valence-target অমিল"",""""),IF(COUNTIF($B:$B,B5417)&gt;1,""ডুপ্লিকেট"",""""))"),"")</f>
        <v/>
      </c>
      <c r="Q5417" s="5" t="str">
        <f t="shared" si="1"/>
        <v>২ পরে</v>
      </c>
    </row>
    <row r="5418">
      <c r="A5418" s="4">
        <v>3283.0</v>
      </c>
      <c r="B5418" s="2" t="s">
        <v>22160</v>
      </c>
      <c r="C5418" s="2" t="s">
        <v>22161</v>
      </c>
      <c r="D5418" s="2" t="s">
        <v>22162</v>
      </c>
      <c r="E5418" s="2" t="s">
        <v>22163</v>
      </c>
      <c r="F5418" s="2" t="b">
        <v>1</v>
      </c>
      <c r="G5418" s="2" t="b">
        <v>0</v>
      </c>
      <c r="H5418" s="2" t="s">
        <v>37</v>
      </c>
      <c r="I5418" s="2" t="s">
        <v>32</v>
      </c>
      <c r="J5418" s="2" t="s">
        <v>808</v>
      </c>
      <c r="K5418" s="2" t="s">
        <v>495</v>
      </c>
      <c r="L5418" s="13" t="s">
        <v>496</v>
      </c>
      <c r="M5418" s="2" t="s">
        <v>26</v>
      </c>
      <c r="N5418" s="29"/>
      <c r="O5418" s="29"/>
      <c r="P5418" s="5" t="str">
        <f>IFERROR(__xludf.DUMMYFUNCTION("TEXTJOIN("" | "",TRUE,IF(OR(D5418="""",E5418="""",I5418="""",J5418="""",H5418=""""),""ফাঁকা ঘর"",""""),IF(AND(C5418&lt;&gt;"""",D5418&lt;&gt;"""",C5418=D5418),""gloss=figurative"",""""),IF(LEN(D5418)&lt;15,""figurative ছোট"",""""),IF(AND(I5418=""Positive"",REGEXMATCH(H5"&amp;"418,""মূর্খ|ভণ্ড|প্রতার|অলস|লোভ|স্বার্থ|অক্ষম|অযোগ্য|বোকা|কৃপণ|হিংস"")),""valence-target অমিল"",""""),IF(COUNTIF($B:$B,B5418)&gt;1,""ডুপ্লিকেট"",""""))"),"")</f>
        <v/>
      </c>
      <c r="Q5418" s="5" t="str">
        <f t="shared" si="1"/>
        <v>২ পরে</v>
      </c>
    </row>
    <row r="5419">
      <c r="A5419" s="4">
        <v>3284.0</v>
      </c>
      <c r="B5419" s="2" t="s">
        <v>22164</v>
      </c>
      <c r="C5419" s="2" t="s">
        <v>22165</v>
      </c>
      <c r="D5419" s="2" t="s">
        <v>22166</v>
      </c>
      <c r="E5419" s="2" t="s">
        <v>22167</v>
      </c>
      <c r="F5419" s="2" t="b">
        <v>1</v>
      </c>
      <c r="G5419" s="2" t="b">
        <v>0</v>
      </c>
      <c r="H5419" s="2" t="s">
        <v>37</v>
      </c>
      <c r="I5419" s="2" t="s">
        <v>22</v>
      </c>
      <c r="J5419" s="2" t="s">
        <v>808</v>
      </c>
      <c r="K5419" s="2" t="s">
        <v>495</v>
      </c>
      <c r="L5419" s="13" t="s">
        <v>496</v>
      </c>
      <c r="M5419" s="2" t="s">
        <v>26</v>
      </c>
      <c r="N5419" s="29"/>
      <c r="O5419" s="29"/>
      <c r="P5419" s="5" t="str">
        <f>IFERROR(__xludf.DUMMYFUNCTION("TEXTJOIN("" | "",TRUE,IF(OR(D5419="""",E5419="""",I5419="""",J5419="""",H5419=""""),""ফাঁকা ঘর"",""""),IF(AND(C5419&lt;&gt;"""",D5419&lt;&gt;"""",C5419=D5419),""gloss=figurative"",""""),IF(LEN(D5419)&lt;15,""figurative ছোট"",""""),IF(AND(I5419=""Positive"",REGEXMATCH(H5"&amp;"419,""মূর্খ|ভণ্ড|প্রতার|অলস|লোভ|স্বার্থ|অক্ষম|অযোগ্য|বোকা|কৃপণ|হিংস"")),""valence-target অমিল"",""""),IF(COUNTIF($B:$B,B5419)&gt;1,""ডুপ্লিকেট"",""""))"),"")</f>
        <v/>
      </c>
      <c r="Q5419" s="5" t="str">
        <f t="shared" si="1"/>
        <v>২ পরে</v>
      </c>
    </row>
    <row r="5420">
      <c r="A5420" s="4">
        <v>3285.0</v>
      </c>
      <c r="B5420" s="2" t="s">
        <v>22168</v>
      </c>
      <c r="C5420" s="2" t="s">
        <v>22169</v>
      </c>
      <c r="D5420" s="2" t="s">
        <v>22170</v>
      </c>
      <c r="E5420" s="2" t="s">
        <v>22171</v>
      </c>
      <c r="F5420" s="2" t="b">
        <v>1</v>
      </c>
      <c r="G5420" s="2" t="b">
        <v>0</v>
      </c>
      <c r="H5420" s="2" t="s">
        <v>37</v>
      </c>
      <c r="I5420" s="2" t="s">
        <v>22</v>
      </c>
      <c r="J5420" s="2" t="s">
        <v>808</v>
      </c>
      <c r="K5420" s="2" t="s">
        <v>495</v>
      </c>
      <c r="L5420" s="13" t="s">
        <v>496</v>
      </c>
      <c r="M5420" s="2" t="s">
        <v>26</v>
      </c>
      <c r="N5420" s="29"/>
      <c r="O5420" s="29"/>
      <c r="P5420" s="5" t="str">
        <f>IFERROR(__xludf.DUMMYFUNCTION("TEXTJOIN("" | "",TRUE,IF(OR(D5420="""",E5420="""",I5420="""",J5420="""",H5420=""""),""ফাঁকা ঘর"",""""),IF(AND(C5420&lt;&gt;"""",D5420&lt;&gt;"""",C5420=D5420),""gloss=figurative"",""""),IF(LEN(D5420)&lt;15,""figurative ছোট"",""""),IF(AND(I5420=""Positive"",REGEXMATCH(H5"&amp;"420,""মূর্খ|ভণ্ড|প্রতার|অলস|লোভ|স্বার্থ|অক্ষম|অযোগ্য|বোকা|কৃপণ|হিংস"")),""valence-target অমিল"",""""),IF(COUNTIF($B:$B,B5420)&gt;1,""ডুপ্লিকেট"",""""))"),"")</f>
        <v/>
      </c>
      <c r="Q5420" s="5" t="str">
        <f t="shared" si="1"/>
        <v>২ পরে</v>
      </c>
    </row>
    <row r="5421">
      <c r="A5421" s="4">
        <v>3286.0</v>
      </c>
      <c r="B5421" s="2" t="s">
        <v>22172</v>
      </c>
      <c r="C5421" s="2" t="s">
        <v>22173</v>
      </c>
      <c r="D5421" s="2" t="s">
        <v>22174</v>
      </c>
      <c r="E5421" s="2" t="s">
        <v>22175</v>
      </c>
      <c r="F5421" s="2" t="b">
        <v>1</v>
      </c>
      <c r="G5421" s="2" t="b">
        <v>0</v>
      </c>
      <c r="H5421" s="2" t="s">
        <v>37</v>
      </c>
      <c r="I5421" s="2" t="s">
        <v>32</v>
      </c>
      <c r="J5421" s="2" t="s">
        <v>808</v>
      </c>
      <c r="K5421" s="2" t="s">
        <v>495</v>
      </c>
      <c r="L5421" s="13" t="s">
        <v>496</v>
      </c>
      <c r="M5421" s="2" t="s">
        <v>26</v>
      </c>
      <c r="N5421" s="29"/>
      <c r="O5421" s="29"/>
      <c r="P5421" s="5" t="str">
        <f>IFERROR(__xludf.DUMMYFUNCTION("TEXTJOIN("" | "",TRUE,IF(OR(D5421="""",E5421="""",I5421="""",J5421="""",H5421=""""),""ফাঁকা ঘর"",""""),IF(AND(C5421&lt;&gt;"""",D5421&lt;&gt;"""",C5421=D5421),""gloss=figurative"",""""),IF(LEN(D5421)&lt;15,""figurative ছোট"",""""),IF(AND(I5421=""Positive"",REGEXMATCH(H5"&amp;"421,""মূর্খ|ভণ্ড|প্রতার|অলস|লোভ|স্বার্থ|অক্ষম|অযোগ্য|বোকা|কৃপণ|হিংস"")),""valence-target অমিল"",""""),IF(COUNTIF($B:$B,B5421)&gt;1,""ডুপ্লিকেট"",""""))"),"")</f>
        <v/>
      </c>
      <c r="Q5421" s="5" t="str">
        <f t="shared" si="1"/>
        <v>২ পরে</v>
      </c>
    </row>
    <row r="5422">
      <c r="A5422" s="4">
        <v>3287.0</v>
      </c>
      <c r="B5422" s="2" t="s">
        <v>22176</v>
      </c>
      <c r="C5422" s="2" t="s">
        <v>22177</v>
      </c>
      <c r="D5422" s="2" t="s">
        <v>22178</v>
      </c>
      <c r="E5422" s="2" t="s">
        <v>22179</v>
      </c>
      <c r="F5422" s="2" t="b">
        <v>1</v>
      </c>
      <c r="G5422" s="2" t="b">
        <v>0</v>
      </c>
      <c r="H5422" s="2" t="s">
        <v>37</v>
      </c>
      <c r="I5422" s="2" t="s">
        <v>32</v>
      </c>
      <c r="J5422" s="2" t="s">
        <v>808</v>
      </c>
      <c r="K5422" s="2" t="s">
        <v>495</v>
      </c>
      <c r="L5422" s="13" t="s">
        <v>496</v>
      </c>
      <c r="M5422" s="2" t="s">
        <v>26</v>
      </c>
      <c r="N5422" s="29"/>
      <c r="O5422" s="29"/>
      <c r="P5422" s="5" t="str">
        <f>IFERROR(__xludf.DUMMYFUNCTION("TEXTJOIN("" | "",TRUE,IF(OR(D5422="""",E5422="""",I5422="""",J5422="""",H5422=""""),""ফাঁকা ঘর"",""""),IF(AND(C5422&lt;&gt;"""",D5422&lt;&gt;"""",C5422=D5422),""gloss=figurative"",""""),IF(LEN(D5422)&lt;15,""figurative ছোট"",""""),IF(AND(I5422=""Positive"",REGEXMATCH(H5"&amp;"422,""মূর্খ|ভণ্ড|প্রতার|অলস|লোভ|স্বার্থ|অক্ষম|অযোগ্য|বোকা|কৃপণ|হিংস"")),""valence-target অমিল"",""""),IF(COUNTIF($B:$B,B5422)&gt;1,""ডুপ্লিকেট"",""""))"),"")</f>
        <v/>
      </c>
      <c r="Q5422" s="5" t="str">
        <f t="shared" si="1"/>
        <v>২ পরে</v>
      </c>
    </row>
    <row r="5423">
      <c r="A5423" s="4">
        <v>3288.0</v>
      </c>
      <c r="B5423" s="2" t="s">
        <v>22180</v>
      </c>
      <c r="C5423" s="2" t="s">
        <v>22181</v>
      </c>
      <c r="D5423" s="2" t="s">
        <v>22182</v>
      </c>
      <c r="E5423" s="2" t="s">
        <v>22183</v>
      </c>
      <c r="F5423" s="2" t="b">
        <v>1</v>
      </c>
      <c r="G5423" s="2" t="b">
        <v>0</v>
      </c>
      <c r="H5423" s="2" t="s">
        <v>37</v>
      </c>
      <c r="I5423" s="2" t="s">
        <v>32</v>
      </c>
      <c r="J5423" s="2" t="s">
        <v>19766</v>
      </c>
      <c r="K5423" s="2" t="s">
        <v>495</v>
      </c>
      <c r="L5423" s="13" t="s">
        <v>496</v>
      </c>
      <c r="M5423" s="2" t="s">
        <v>26</v>
      </c>
      <c r="N5423" s="29"/>
      <c r="O5423" s="29"/>
      <c r="P5423" s="5" t="str">
        <f>IFERROR(__xludf.DUMMYFUNCTION("TEXTJOIN("" | "",TRUE,IF(OR(D5423="""",E5423="""",I5423="""",J5423="""",H5423=""""),""ফাঁকা ঘর"",""""),IF(AND(C5423&lt;&gt;"""",D5423&lt;&gt;"""",C5423=D5423),""gloss=figurative"",""""),IF(LEN(D5423)&lt;15,""figurative ছোট"",""""),IF(AND(I5423=""Positive"",REGEXMATCH(H5"&amp;"423,""মূর্খ|ভণ্ড|প্রতার|অলস|লোভ|স্বার্থ|অক্ষম|অযোগ্য|বোকা|কৃপণ|হিংস"")),""valence-target অমিল"",""""),IF(COUNTIF($B:$B,B5423)&gt;1,""ডুপ্লিকেট"",""""))"),"")</f>
        <v/>
      </c>
      <c r="Q5423" s="5" t="str">
        <f t="shared" si="1"/>
        <v>২ পরে</v>
      </c>
    </row>
    <row r="5424">
      <c r="A5424" s="4">
        <v>3289.0</v>
      </c>
      <c r="B5424" s="2" t="s">
        <v>22184</v>
      </c>
      <c r="C5424" s="2" t="s">
        <v>22185</v>
      </c>
      <c r="D5424" s="2" t="s">
        <v>22186</v>
      </c>
      <c r="E5424" s="2" t="s">
        <v>22187</v>
      </c>
      <c r="F5424" s="2" t="b">
        <v>1</v>
      </c>
      <c r="G5424" s="2" t="b">
        <v>0</v>
      </c>
      <c r="H5424" s="2" t="s">
        <v>37</v>
      </c>
      <c r="I5424" s="2" t="s">
        <v>32</v>
      </c>
      <c r="J5424" s="2" t="s">
        <v>22188</v>
      </c>
      <c r="K5424" s="2" t="s">
        <v>495</v>
      </c>
      <c r="L5424" s="13" t="s">
        <v>496</v>
      </c>
      <c r="M5424" s="2" t="s">
        <v>26</v>
      </c>
      <c r="N5424" s="29"/>
      <c r="O5424" s="29"/>
      <c r="P5424" s="5" t="str">
        <f>IFERROR(__xludf.DUMMYFUNCTION("TEXTJOIN("" | "",TRUE,IF(OR(D5424="""",E5424="""",I5424="""",J5424="""",H5424=""""),""ফাঁকা ঘর"",""""),IF(AND(C5424&lt;&gt;"""",D5424&lt;&gt;"""",C5424=D5424),""gloss=figurative"",""""),IF(LEN(D5424)&lt;15,""figurative ছোট"",""""),IF(AND(I5424=""Positive"",REGEXMATCH(H5"&amp;"424,""মূর্খ|ভণ্ড|প্রতার|অলস|লোভ|স্বার্থ|অক্ষম|অযোগ্য|বোকা|কৃপণ|হিংস"")),""valence-target অমিল"",""""),IF(COUNTIF($B:$B,B5424)&gt;1,""ডুপ্লিকেট"",""""))"),"")</f>
        <v/>
      </c>
      <c r="Q5424" s="5" t="str">
        <f t="shared" si="1"/>
        <v>২ পরে</v>
      </c>
    </row>
    <row r="5425">
      <c r="A5425" s="4">
        <v>3290.0</v>
      </c>
      <c r="B5425" s="2" t="s">
        <v>22189</v>
      </c>
      <c r="C5425" s="2" t="s">
        <v>22190</v>
      </c>
      <c r="D5425" s="2" t="s">
        <v>22191</v>
      </c>
      <c r="E5425" s="2" t="s">
        <v>22192</v>
      </c>
      <c r="F5425" s="2" t="b">
        <v>1</v>
      </c>
      <c r="G5425" s="2" t="b">
        <v>0</v>
      </c>
      <c r="H5425" s="2" t="s">
        <v>37</v>
      </c>
      <c r="I5425" s="2" t="s">
        <v>32</v>
      </c>
      <c r="J5425" s="2" t="s">
        <v>1249</v>
      </c>
      <c r="K5425" s="2" t="s">
        <v>495</v>
      </c>
      <c r="L5425" s="13" t="s">
        <v>496</v>
      </c>
      <c r="M5425" s="2" t="s">
        <v>26</v>
      </c>
      <c r="N5425" s="29"/>
      <c r="O5425" s="29"/>
      <c r="P5425" s="5" t="str">
        <f>IFERROR(__xludf.DUMMYFUNCTION("TEXTJOIN("" | "",TRUE,IF(OR(D5425="""",E5425="""",I5425="""",J5425="""",H5425=""""),""ফাঁকা ঘর"",""""),IF(AND(C5425&lt;&gt;"""",D5425&lt;&gt;"""",C5425=D5425),""gloss=figurative"",""""),IF(LEN(D5425)&lt;15,""figurative ছোট"",""""),IF(AND(I5425=""Positive"",REGEXMATCH(H5"&amp;"425,""মূর্খ|ভণ্ড|প্রতার|অলস|লোভ|স্বার্থ|অক্ষম|অযোগ্য|বোকা|কৃপণ|হিংস"")),""valence-target অমিল"",""""),IF(COUNTIF($B:$B,B5425)&gt;1,""ডুপ্লিকেট"",""""))"),"")</f>
        <v/>
      </c>
      <c r="Q5425" s="5" t="str">
        <f t="shared" si="1"/>
        <v>২ পরে</v>
      </c>
    </row>
    <row r="5426">
      <c r="A5426" s="4">
        <v>3291.0</v>
      </c>
      <c r="B5426" s="2" t="s">
        <v>22193</v>
      </c>
      <c r="C5426" s="2" t="s">
        <v>22194</v>
      </c>
      <c r="D5426" s="2" t="s">
        <v>22195</v>
      </c>
      <c r="E5426" s="2" t="s">
        <v>22196</v>
      </c>
      <c r="F5426" s="2" t="b">
        <v>1</v>
      </c>
      <c r="G5426" s="2" t="b">
        <v>0</v>
      </c>
      <c r="H5426" s="2" t="s">
        <v>37</v>
      </c>
      <c r="I5426" s="2" t="s">
        <v>49</v>
      </c>
      <c r="J5426" s="2" t="s">
        <v>22197</v>
      </c>
      <c r="K5426" s="2" t="s">
        <v>495</v>
      </c>
      <c r="L5426" s="13" t="s">
        <v>496</v>
      </c>
      <c r="M5426" s="2" t="s">
        <v>26</v>
      </c>
      <c r="N5426" s="29"/>
      <c r="O5426" s="29"/>
      <c r="P5426" s="5" t="str">
        <f>IFERROR(__xludf.DUMMYFUNCTION("TEXTJOIN("" | "",TRUE,IF(OR(D5426="""",E5426="""",I5426="""",J5426="""",H5426=""""),""ফাঁকা ঘর"",""""),IF(AND(C5426&lt;&gt;"""",D5426&lt;&gt;"""",C5426=D5426),""gloss=figurative"",""""),IF(LEN(D5426)&lt;15,""figurative ছোট"",""""),IF(AND(I5426=""Positive"",REGEXMATCH(H5"&amp;"426,""মূর্খ|ভণ্ড|প্রতার|অলস|লোভ|স্বার্থ|অক্ষম|অযোগ্য|বোকা|কৃপণ|হিংস"")),""valence-target অমিল"",""""),IF(COUNTIF($B:$B,B5426)&gt;1,""ডুপ্লিকেট"",""""))"),"")</f>
        <v/>
      </c>
      <c r="Q5426" s="5" t="str">
        <f t="shared" si="1"/>
        <v>২ পরে</v>
      </c>
    </row>
    <row r="5427">
      <c r="A5427" s="4">
        <v>3292.0</v>
      </c>
      <c r="B5427" s="2" t="s">
        <v>22198</v>
      </c>
      <c r="C5427" s="2" t="s">
        <v>22198</v>
      </c>
      <c r="D5427" s="2" t="s">
        <v>22199</v>
      </c>
      <c r="E5427" s="2" t="s">
        <v>22200</v>
      </c>
      <c r="F5427" s="2" t="b">
        <v>1</v>
      </c>
      <c r="G5427" s="2" t="b">
        <v>0</v>
      </c>
      <c r="H5427" s="2" t="s">
        <v>37</v>
      </c>
      <c r="I5427" s="2" t="s">
        <v>22</v>
      </c>
      <c r="J5427" s="2" t="s">
        <v>750</v>
      </c>
      <c r="K5427" s="2" t="s">
        <v>495</v>
      </c>
      <c r="L5427" s="13" t="s">
        <v>496</v>
      </c>
      <c r="M5427" s="2" t="s">
        <v>26</v>
      </c>
      <c r="N5427" s="29"/>
      <c r="O5427" s="29"/>
      <c r="P5427" s="5" t="str">
        <f>IFERROR(__xludf.DUMMYFUNCTION("TEXTJOIN("" | "",TRUE,IF(OR(D5427="""",E5427="""",I5427="""",J5427="""",H5427=""""),""ফাঁকা ঘর"",""""),IF(AND(C5427&lt;&gt;"""",D5427&lt;&gt;"""",C5427=D5427),""gloss=figurative"",""""),IF(LEN(D5427)&lt;15,""figurative ছোট"",""""),IF(AND(I5427=""Positive"",REGEXMATCH(H5"&amp;"427,""মূর্খ|ভণ্ড|প্রতার|অলস|লোভ|স্বার্থ|অক্ষম|অযোগ্য|বোকা|কৃপণ|হিংস"")),""valence-target অমিল"",""""),IF(COUNTIF($B:$B,B5427)&gt;1,""ডুপ্লিকেট"",""""))"),"")</f>
        <v/>
      </c>
      <c r="Q5427" s="5" t="str">
        <f t="shared" si="1"/>
        <v>২ পরে</v>
      </c>
    </row>
    <row r="5428">
      <c r="A5428" s="4">
        <v>3293.0</v>
      </c>
      <c r="B5428" s="2" t="s">
        <v>22201</v>
      </c>
      <c r="C5428" s="2" t="s">
        <v>22202</v>
      </c>
      <c r="D5428" s="2" t="s">
        <v>22203</v>
      </c>
      <c r="E5428" s="2" t="s">
        <v>22204</v>
      </c>
      <c r="F5428" s="2" t="b">
        <v>1</v>
      </c>
      <c r="G5428" s="2" t="b">
        <v>0</v>
      </c>
      <c r="H5428" s="2" t="s">
        <v>37</v>
      </c>
      <c r="I5428" s="2" t="s">
        <v>22</v>
      </c>
      <c r="J5428" s="2" t="s">
        <v>3716</v>
      </c>
      <c r="K5428" s="2" t="s">
        <v>495</v>
      </c>
      <c r="L5428" s="13" t="s">
        <v>496</v>
      </c>
      <c r="M5428" s="2" t="s">
        <v>26</v>
      </c>
      <c r="N5428" s="29"/>
      <c r="O5428" s="29"/>
      <c r="P5428" s="5" t="str">
        <f>IFERROR(__xludf.DUMMYFUNCTION("TEXTJOIN("" | "",TRUE,IF(OR(D5428="""",E5428="""",I5428="""",J5428="""",H5428=""""),""ফাঁকা ঘর"",""""),IF(AND(C5428&lt;&gt;"""",D5428&lt;&gt;"""",C5428=D5428),""gloss=figurative"",""""),IF(LEN(D5428)&lt;15,""figurative ছোট"",""""),IF(AND(I5428=""Positive"",REGEXMATCH(H5"&amp;"428,""মূর্খ|ভণ্ড|প্রতার|অলস|লোভ|স্বার্থ|অক্ষম|অযোগ্য|বোকা|কৃপণ|হিংস"")),""valence-target অমিল"",""""),IF(COUNTIF($B:$B,B5428)&gt;1,""ডুপ্লিকেট"",""""))"),"")</f>
        <v/>
      </c>
      <c r="Q5428" s="5" t="str">
        <f t="shared" si="1"/>
        <v>২ পরে</v>
      </c>
    </row>
    <row r="5429">
      <c r="A5429" s="4">
        <v>3294.0</v>
      </c>
      <c r="B5429" s="2" t="s">
        <v>22205</v>
      </c>
      <c r="C5429" s="2" t="s">
        <v>22206</v>
      </c>
      <c r="D5429" s="2" t="s">
        <v>22207</v>
      </c>
      <c r="E5429" s="2" t="s">
        <v>22208</v>
      </c>
      <c r="F5429" s="2" t="b">
        <v>1</v>
      </c>
      <c r="G5429" s="2" t="b">
        <v>0</v>
      </c>
      <c r="H5429" s="2" t="s">
        <v>37</v>
      </c>
      <c r="I5429" s="2" t="s">
        <v>22</v>
      </c>
      <c r="J5429" s="2" t="s">
        <v>1607</v>
      </c>
      <c r="K5429" s="2" t="s">
        <v>495</v>
      </c>
      <c r="L5429" s="13" t="s">
        <v>496</v>
      </c>
      <c r="M5429" s="2" t="s">
        <v>26</v>
      </c>
      <c r="N5429" s="29"/>
      <c r="O5429" s="29"/>
      <c r="P5429" s="5" t="str">
        <f>IFERROR(__xludf.DUMMYFUNCTION("TEXTJOIN("" | "",TRUE,IF(OR(D5429="""",E5429="""",I5429="""",J5429="""",H5429=""""),""ফাঁকা ঘর"",""""),IF(AND(C5429&lt;&gt;"""",D5429&lt;&gt;"""",C5429=D5429),""gloss=figurative"",""""),IF(LEN(D5429)&lt;15,""figurative ছোট"",""""),IF(AND(I5429=""Positive"",REGEXMATCH(H5"&amp;"429,""মূর্খ|ভণ্ড|প্রতার|অলস|লোভ|স্বার্থ|অক্ষম|অযোগ্য|বোকা|কৃপণ|হিংস"")),""valence-target অমিল"",""""),IF(COUNTIF($B:$B,B5429)&gt;1,""ডুপ্লিকেট"",""""))"),"")</f>
        <v/>
      </c>
      <c r="Q5429" s="5" t="str">
        <f t="shared" si="1"/>
        <v>২ পরে</v>
      </c>
    </row>
    <row r="5430">
      <c r="A5430" s="4">
        <v>3295.0</v>
      </c>
      <c r="B5430" s="2" t="s">
        <v>22209</v>
      </c>
      <c r="C5430" s="2" t="s">
        <v>22210</v>
      </c>
      <c r="D5430" s="2" t="s">
        <v>22211</v>
      </c>
      <c r="E5430" s="2" t="s">
        <v>22212</v>
      </c>
      <c r="F5430" s="2" t="b">
        <v>1</v>
      </c>
      <c r="G5430" s="2" t="b">
        <v>0</v>
      </c>
      <c r="H5430" s="2" t="s">
        <v>37</v>
      </c>
      <c r="I5430" s="2" t="s">
        <v>22</v>
      </c>
      <c r="J5430" s="2" t="s">
        <v>590</v>
      </c>
      <c r="K5430" s="2" t="s">
        <v>495</v>
      </c>
      <c r="L5430" s="13" t="s">
        <v>496</v>
      </c>
      <c r="M5430" s="2" t="s">
        <v>26</v>
      </c>
      <c r="N5430" s="29"/>
      <c r="O5430" s="29"/>
      <c r="P5430" s="5" t="str">
        <f>IFERROR(__xludf.DUMMYFUNCTION("TEXTJOIN("" | "",TRUE,IF(OR(D5430="""",E5430="""",I5430="""",J5430="""",H5430=""""),""ফাঁকা ঘর"",""""),IF(AND(C5430&lt;&gt;"""",D5430&lt;&gt;"""",C5430=D5430),""gloss=figurative"",""""),IF(LEN(D5430)&lt;15,""figurative ছোট"",""""),IF(AND(I5430=""Positive"",REGEXMATCH(H5"&amp;"430,""মূর্খ|ভণ্ড|প্রতার|অলস|লোভ|স্বার্থ|অক্ষম|অযোগ্য|বোকা|কৃপণ|হিংস"")),""valence-target অমিল"",""""),IF(COUNTIF($B:$B,B5430)&gt;1,""ডুপ্লিকেট"",""""))"),"")</f>
        <v/>
      </c>
      <c r="Q5430" s="5" t="str">
        <f t="shared" si="1"/>
        <v>২ পরে</v>
      </c>
    </row>
    <row r="5431">
      <c r="A5431" s="4">
        <v>3296.0</v>
      </c>
      <c r="B5431" s="2" t="s">
        <v>22213</v>
      </c>
      <c r="C5431" s="2" t="s">
        <v>22214</v>
      </c>
      <c r="D5431" s="2" t="s">
        <v>22215</v>
      </c>
      <c r="E5431" s="2" t="s">
        <v>22216</v>
      </c>
      <c r="F5431" s="2" t="b">
        <v>1</v>
      </c>
      <c r="G5431" s="2" t="b">
        <v>0</v>
      </c>
      <c r="H5431" s="2" t="s">
        <v>37</v>
      </c>
      <c r="I5431" s="2" t="s">
        <v>32</v>
      </c>
      <c r="J5431" s="2" t="s">
        <v>814</v>
      </c>
      <c r="K5431" s="2" t="s">
        <v>495</v>
      </c>
      <c r="L5431" s="13" t="s">
        <v>496</v>
      </c>
      <c r="M5431" s="2" t="s">
        <v>26</v>
      </c>
      <c r="N5431" s="29"/>
      <c r="O5431" s="29"/>
      <c r="P5431" s="5" t="str">
        <f>IFERROR(__xludf.DUMMYFUNCTION("TEXTJOIN("" | "",TRUE,IF(OR(D5431="""",E5431="""",I5431="""",J5431="""",H5431=""""),""ফাঁকা ঘর"",""""),IF(AND(C5431&lt;&gt;"""",D5431&lt;&gt;"""",C5431=D5431),""gloss=figurative"",""""),IF(LEN(D5431)&lt;15,""figurative ছোট"",""""),IF(AND(I5431=""Positive"",REGEXMATCH(H5"&amp;"431,""মূর্খ|ভণ্ড|প্রতার|অলস|লোভ|স্বার্থ|অক্ষম|অযোগ্য|বোকা|কৃপণ|হিংস"")),""valence-target অমিল"",""""),IF(COUNTIF($B:$B,B5431)&gt;1,""ডুপ্লিকেট"",""""))"),"")</f>
        <v/>
      </c>
      <c r="Q5431" s="5" t="str">
        <f t="shared" si="1"/>
        <v>২ পরে</v>
      </c>
    </row>
    <row r="5432">
      <c r="A5432" s="4">
        <v>3298.0</v>
      </c>
      <c r="B5432" s="2" t="s">
        <v>22217</v>
      </c>
      <c r="C5432" s="2" t="s">
        <v>22218</v>
      </c>
      <c r="D5432" s="2" t="s">
        <v>22219</v>
      </c>
      <c r="E5432" s="2" t="s">
        <v>22220</v>
      </c>
      <c r="F5432" s="2" t="b">
        <v>1</v>
      </c>
      <c r="G5432" s="2" t="b">
        <v>0</v>
      </c>
      <c r="H5432" s="2" t="s">
        <v>37</v>
      </c>
      <c r="I5432" s="2" t="s">
        <v>49</v>
      </c>
      <c r="J5432" s="2" t="s">
        <v>913</v>
      </c>
      <c r="K5432" s="2" t="s">
        <v>495</v>
      </c>
      <c r="L5432" s="13" t="s">
        <v>496</v>
      </c>
      <c r="M5432" s="2" t="s">
        <v>26</v>
      </c>
      <c r="N5432" s="29"/>
      <c r="O5432" s="29"/>
      <c r="P5432" s="5" t="str">
        <f>IFERROR(__xludf.DUMMYFUNCTION("TEXTJOIN("" | "",TRUE,IF(OR(D5432="""",E5432="""",I5432="""",J5432="""",H5432=""""),""ফাঁকা ঘর"",""""),IF(AND(C5432&lt;&gt;"""",D5432&lt;&gt;"""",C5432=D5432),""gloss=figurative"",""""),IF(LEN(D5432)&lt;15,""figurative ছোট"",""""),IF(AND(I5432=""Positive"",REGEXMATCH(H5"&amp;"432,""মূর্খ|ভণ্ড|প্রতার|অলস|লোভ|স্বার্থ|অক্ষম|অযোগ্য|বোকা|কৃপণ|হিংস"")),""valence-target অমিল"",""""),IF(COUNTIF($B:$B,B5432)&gt;1,""ডুপ্লিকেট"",""""))"),"")</f>
        <v/>
      </c>
      <c r="Q5432" s="5" t="str">
        <f t="shared" si="1"/>
        <v>২ পরে</v>
      </c>
    </row>
    <row r="5433">
      <c r="A5433" s="4">
        <v>3299.0</v>
      </c>
      <c r="B5433" s="2" t="s">
        <v>22221</v>
      </c>
      <c r="C5433" s="2" t="s">
        <v>22222</v>
      </c>
      <c r="D5433" s="2" t="s">
        <v>22223</v>
      </c>
      <c r="E5433" s="2" t="s">
        <v>22224</v>
      </c>
      <c r="F5433" s="2" t="b">
        <v>1</v>
      </c>
      <c r="G5433" s="2" t="b">
        <v>0</v>
      </c>
      <c r="H5433" s="2" t="s">
        <v>37</v>
      </c>
      <c r="I5433" s="2" t="s">
        <v>49</v>
      </c>
      <c r="J5433" s="2" t="s">
        <v>528</v>
      </c>
      <c r="K5433" s="2" t="s">
        <v>495</v>
      </c>
      <c r="L5433" s="13" t="s">
        <v>496</v>
      </c>
      <c r="M5433" s="2" t="s">
        <v>26</v>
      </c>
      <c r="N5433" s="29"/>
      <c r="O5433" s="29"/>
      <c r="P5433" s="5" t="str">
        <f>IFERROR(__xludf.DUMMYFUNCTION("TEXTJOIN("" | "",TRUE,IF(OR(D5433="""",E5433="""",I5433="""",J5433="""",H5433=""""),""ফাঁকা ঘর"",""""),IF(AND(C5433&lt;&gt;"""",D5433&lt;&gt;"""",C5433=D5433),""gloss=figurative"",""""),IF(LEN(D5433)&lt;15,""figurative ছোট"",""""),IF(AND(I5433=""Positive"",REGEXMATCH(H5"&amp;"433,""মূর্খ|ভণ্ড|প্রতার|অলস|লোভ|স্বার্থ|অক্ষম|অযোগ্য|বোকা|কৃপণ|হিংস"")),""valence-target অমিল"",""""),IF(COUNTIF($B:$B,B5433)&gt;1,""ডুপ্লিকেট"",""""))"),"")</f>
        <v/>
      </c>
      <c r="Q5433" s="5" t="str">
        <f t="shared" si="1"/>
        <v>২ পরে</v>
      </c>
    </row>
    <row r="5434">
      <c r="A5434" s="4">
        <v>3300.0</v>
      </c>
      <c r="B5434" s="2" t="s">
        <v>22225</v>
      </c>
      <c r="C5434" s="2" t="s">
        <v>22226</v>
      </c>
      <c r="D5434" s="2" t="s">
        <v>22227</v>
      </c>
      <c r="E5434" s="2" t="s">
        <v>22228</v>
      </c>
      <c r="F5434" s="2" t="b">
        <v>1</v>
      </c>
      <c r="G5434" s="2" t="b">
        <v>0</v>
      </c>
      <c r="H5434" s="2" t="s">
        <v>37</v>
      </c>
      <c r="I5434" s="2" t="s">
        <v>22</v>
      </c>
      <c r="J5434" s="2" t="s">
        <v>2424</v>
      </c>
      <c r="K5434" s="2" t="s">
        <v>495</v>
      </c>
      <c r="L5434" s="13" t="s">
        <v>496</v>
      </c>
      <c r="M5434" s="2" t="s">
        <v>26</v>
      </c>
      <c r="N5434" s="29"/>
      <c r="O5434" s="29"/>
      <c r="P5434" s="5" t="str">
        <f>IFERROR(__xludf.DUMMYFUNCTION("TEXTJOIN("" | "",TRUE,IF(OR(D5434="""",E5434="""",I5434="""",J5434="""",H5434=""""),""ফাঁকা ঘর"",""""),IF(AND(C5434&lt;&gt;"""",D5434&lt;&gt;"""",C5434=D5434),""gloss=figurative"",""""),IF(LEN(D5434)&lt;15,""figurative ছোট"",""""),IF(AND(I5434=""Positive"",REGEXMATCH(H5"&amp;"434,""মূর্খ|ভণ্ড|প্রতার|অলস|লোভ|স্বার্থ|অক্ষম|অযোগ্য|বোকা|কৃপণ|হিংস"")),""valence-target অমিল"",""""),IF(COUNTIF($B:$B,B5434)&gt;1,""ডুপ্লিকেট"",""""))"),"")</f>
        <v/>
      </c>
      <c r="Q5434" s="5" t="str">
        <f t="shared" si="1"/>
        <v>২ পরে</v>
      </c>
    </row>
    <row r="5435">
      <c r="A5435" s="4">
        <v>3301.0</v>
      </c>
      <c r="B5435" s="2" t="s">
        <v>22229</v>
      </c>
      <c r="C5435" s="2" t="s">
        <v>22230</v>
      </c>
      <c r="D5435" s="2" t="s">
        <v>22231</v>
      </c>
      <c r="E5435" s="2" t="s">
        <v>22232</v>
      </c>
      <c r="F5435" s="2" t="b">
        <v>1</v>
      </c>
      <c r="G5435" s="2" t="b">
        <v>0</v>
      </c>
      <c r="H5435" s="2" t="s">
        <v>37</v>
      </c>
      <c r="I5435" s="2" t="s">
        <v>32</v>
      </c>
      <c r="J5435" s="2" t="s">
        <v>8511</v>
      </c>
      <c r="K5435" s="2" t="s">
        <v>495</v>
      </c>
      <c r="L5435" s="13" t="s">
        <v>496</v>
      </c>
      <c r="M5435" s="2" t="s">
        <v>26</v>
      </c>
      <c r="N5435" s="29"/>
      <c r="O5435" s="29"/>
      <c r="P5435" s="5" t="str">
        <f>IFERROR(__xludf.DUMMYFUNCTION("TEXTJOIN("" | "",TRUE,IF(OR(D5435="""",E5435="""",I5435="""",J5435="""",H5435=""""),""ফাঁকা ঘর"",""""),IF(AND(C5435&lt;&gt;"""",D5435&lt;&gt;"""",C5435=D5435),""gloss=figurative"",""""),IF(LEN(D5435)&lt;15,""figurative ছোট"",""""),IF(AND(I5435=""Positive"",REGEXMATCH(H5"&amp;"435,""মূর্খ|ভণ্ড|প্রতার|অলস|লোভ|স্বার্থ|অক্ষম|অযোগ্য|বোকা|কৃপণ|হিংস"")),""valence-target অমিল"",""""),IF(COUNTIF($B:$B,B5435)&gt;1,""ডুপ্লিকেট"",""""))"),"")</f>
        <v/>
      </c>
      <c r="Q5435" s="5" t="str">
        <f t="shared" si="1"/>
        <v>২ পরে</v>
      </c>
    </row>
    <row r="5436">
      <c r="A5436" s="4">
        <v>3302.0</v>
      </c>
      <c r="B5436" s="2" t="s">
        <v>22233</v>
      </c>
      <c r="C5436" s="2" t="s">
        <v>22234</v>
      </c>
      <c r="D5436" s="2" t="s">
        <v>22235</v>
      </c>
      <c r="E5436" s="2" t="s">
        <v>22236</v>
      </c>
      <c r="F5436" s="2" t="b">
        <v>1</v>
      </c>
      <c r="G5436" s="2" t="b">
        <v>0</v>
      </c>
      <c r="H5436" s="2" t="s">
        <v>37</v>
      </c>
      <c r="I5436" s="2" t="s">
        <v>22</v>
      </c>
      <c r="J5436" s="2" t="s">
        <v>729</v>
      </c>
      <c r="K5436" s="2" t="s">
        <v>495</v>
      </c>
      <c r="L5436" s="13" t="s">
        <v>496</v>
      </c>
      <c r="M5436" s="2" t="s">
        <v>26</v>
      </c>
      <c r="N5436" s="29"/>
      <c r="O5436" s="29"/>
      <c r="P5436" s="5" t="str">
        <f>IFERROR(__xludf.DUMMYFUNCTION("TEXTJOIN("" | "",TRUE,IF(OR(D5436="""",E5436="""",I5436="""",J5436="""",H5436=""""),""ফাঁকা ঘর"",""""),IF(AND(C5436&lt;&gt;"""",D5436&lt;&gt;"""",C5436=D5436),""gloss=figurative"",""""),IF(LEN(D5436)&lt;15,""figurative ছোট"",""""),IF(AND(I5436=""Positive"",REGEXMATCH(H5"&amp;"436,""মূর্খ|ভণ্ড|প্রতার|অলস|লোভ|স্বার্থ|অক্ষম|অযোগ্য|বোকা|কৃপণ|হিংস"")),""valence-target অমিল"",""""),IF(COUNTIF($B:$B,B5436)&gt;1,""ডুপ্লিকেট"",""""))"),"")</f>
        <v/>
      </c>
      <c r="Q5436" s="5" t="str">
        <f t="shared" si="1"/>
        <v>২ পরে</v>
      </c>
    </row>
    <row r="5437">
      <c r="A5437" s="4">
        <v>3303.0</v>
      </c>
      <c r="B5437" s="2" t="s">
        <v>22237</v>
      </c>
      <c r="C5437" s="2" t="s">
        <v>22238</v>
      </c>
      <c r="D5437" s="2" t="s">
        <v>22239</v>
      </c>
      <c r="E5437" s="2" t="s">
        <v>22240</v>
      </c>
      <c r="F5437" s="2" t="b">
        <v>1</v>
      </c>
      <c r="G5437" s="2" t="b">
        <v>0</v>
      </c>
      <c r="H5437" s="2" t="s">
        <v>37</v>
      </c>
      <c r="I5437" s="2" t="s">
        <v>22</v>
      </c>
      <c r="J5437" s="2" t="s">
        <v>1603</v>
      </c>
      <c r="K5437" s="2" t="s">
        <v>495</v>
      </c>
      <c r="L5437" s="13" t="s">
        <v>496</v>
      </c>
      <c r="M5437" s="2" t="s">
        <v>26</v>
      </c>
      <c r="N5437" s="29"/>
      <c r="O5437" s="29"/>
      <c r="P5437" s="5" t="str">
        <f>IFERROR(__xludf.DUMMYFUNCTION("TEXTJOIN("" | "",TRUE,IF(OR(D5437="""",E5437="""",I5437="""",J5437="""",H5437=""""),""ফাঁকা ঘর"",""""),IF(AND(C5437&lt;&gt;"""",D5437&lt;&gt;"""",C5437=D5437),""gloss=figurative"",""""),IF(LEN(D5437)&lt;15,""figurative ছোট"",""""),IF(AND(I5437=""Positive"",REGEXMATCH(H5"&amp;"437,""মূর্খ|ভণ্ড|প্রতার|অলস|লোভ|স্বার্থ|অক্ষম|অযোগ্য|বোকা|কৃপণ|হিংস"")),""valence-target অমিল"",""""),IF(COUNTIF($B:$B,B5437)&gt;1,""ডুপ্লিকেট"",""""))"),"")</f>
        <v/>
      </c>
      <c r="Q5437" s="5" t="str">
        <f t="shared" si="1"/>
        <v>২ পরে</v>
      </c>
    </row>
    <row r="5438">
      <c r="A5438" s="4">
        <v>3304.0</v>
      </c>
      <c r="B5438" s="2" t="s">
        <v>22241</v>
      </c>
      <c r="C5438" s="2" t="s">
        <v>22242</v>
      </c>
      <c r="D5438" s="2" t="s">
        <v>22243</v>
      </c>
      <c r="E5438" s="2" t="s">
        <v>22244</v>
      </c>
      <c r="F5438" s="2" t="b">
        <v>1</v>
      </c>
      <c r="G5438" s="2" t="b">
        <v>0</v>
      </c>
      <c r="H5438" s="2" t="s">
        <v>37</v>
      </c>
      <c r="I5438" s="2" t="s">
        <v>32</v>
      </c>
      <c r="J5438" s="2" t="s">
        <v>1249</v>
      </c>
      <c r="K5438" s="2" t="s">
        <v>495</v>
      </c>
      <c r="L5438" s="13" t="s">
        <v>496</v>
      </c>
      <c r="M5438" s="2" t="s">
        <v>26</v>
      </c>
      <c r="N5438" s="29"/>
      <c r="O5438" s="29"/>
      <c r="P5438" s="5" t="str">
        <f>IFERROR(__xludf.DUMMYFUNCTION("TEXTJOIN("" | "",TRUE,IF(OR(D5438="""",E5438="""",I5438="""",J5438="""",H5438=""""),""ফাঁকা ঘর"",""""),IF(AND(C5438&lt;&gt;"""",D5438&lt;&gt;"""",C5438=D5438),""gloss=figurative"",""""),IF(LEN(D5438)&lt;15,""figurative ছোট"",""""),IF(AND(I5438=""Positive"",REGEXMATCH(H5"&amp;"438,""মূর্খ|ভণ্ড|প্রতার|অলস|লোভ|স্বার্থ|অক্ষম|অযোগ্য|বোকা|কৃপণ|হিংস"")),""valence-target অমিল"",""""),IF(COUNTIF($B:$B,B5438)&gt;1,""ডুপ্লিকেট"",""""))"),"")</f>
        <v/>
      </c>
      <c r="Q5438" s="5" t="str">
        <f t="shared" si="1"/>
        <v>২ পরে</v>
      </c>
    </row>
    <row r="5439">
      <c r="A5439" s="4">
        <v>3305.0</v>
      </c>
      <c r="B5439" s="2" t="s">
        <v>22245</v>
      </c>
      <c r="C5439" s="2" t="s">
        <v>22246</v>
      </c>
      <c r="D5439" s="2" t="s">
        <v>22247</v>
      </c>
      <c r="E5439" s="2" t="s">
        <v>22248</v>
      </c>
      <c r="F5439" s="2" t="b">
        <v>1</v>
      </c>
      <c r="G5439" s="2" t="b">
        <v>0</v>
      </c>
      <c r="H5439" s="2" t="s">
        <v>37</v>
      </c>
      <c r="I5439" s="2" t="s">
        <v>22</v>
      </c>
      <c r="J5439" s="2" t="s">
        <v>3407</v>
      </c>
      <c r="K5439" s="2" t="s">
        <v>495</v>
      </c>
      <c r="L5439" s="13" t="s">
        <v>496</v>
      </c>
      <c r="M5439" s="2" t="s">
        <v>26</v>
      </c>
      <c r="N5439" s="29"/>
      <c r="O5439" s="29"/>
      <c r="P5439" s="5" t="str">
        <f>IFERROR(__xludf.DUMMYFUNCTION("TEXTJOIN("" | "",TRUE,IF(OR(D5439="""",E5439="""",I5439="""",J5439="""",H5439=""""),""ফাঁকা ঘর"",""""),IF(AND(C5439&lt;&gt;"""",D5439&lt;&gt;"""",C5439=D5439),""gloss=figurative"",""""),IF(LEN(D5439)&lt;15,""figurative ছোট"",""""),IF(AND(I5439=""Positive"",REGEXMATCH(H5"&amp;"439,""মূর্খ|ভণ্ড|প্রতার|অলস|লোভ|স্বার্থ|অক্ষম|অযোগ্য|বোকা|কৃপণ|হিংস"")),""valence-target অমিল"",""""),IF(COUNTIF($B:$B,B5439)&gt;1,""ডুপ্লিকেট"",""""))"),"")</f>
        <v/>
      </c>
      <c r="Q5439" s="5" t="str">
        <f t="shared" si="1"/>
        <v>২ পরে</v>
      </c>
    </row>
    <row r="5440">
      <c r="A5440" s="4">
        <v>3306.0</v>
      </c>
      <c r="B5440" s="2" t="s">
        <v>22249</v>
      </c>
      <c r="C5440" s="2" t="s">
        <v>22250</v>
      </c>
      <c r="D5440" s="2" t="s">
        <v>22251</v>
      </c>
      <c r="E5440" s="2" t="s">
        <v>22252</v>
      </c>
      <c r="F5440" s="2" t="b">
        <v>1</v>
      </c>
      <c r="G5440" s="2" t="b">
        <v>0</v>
      </c>
      <c r="H5440" s="2" t="s">
        <v>37</v>
      </c>
      <c r="I5440" s="2" t="s">
        <v>22</v>
      </c>
      <c r="J5440" s="2" t="s">
        <v>2857</v>
      </c>
      <c r="K5440" s="2" t="s">
        <v>495</v>
      </c>
      <c r="L5440" s="13" t="s">
        <v>496</v>
      </c>
      <c r="M5440" s="2" t="s">
        <v>26</v>
      </c>
      <c r="N5440" s="29"/>
      <c r="O5440" s="29"/>
      <c r="P5440" s="5" t="str">
        <f>IFERROR(__xludf.DUMMYFUNCTION("TEXTJOIN("" | "",TRUE,IF(OR(D5440="""",E5440="""",I5440="""",J5440="""",H5440=""""),""ফাঁকা ঘর"",""""),IF(AND(C5440&lt;&gt;"""",D5440&lt;&gt;"""",C5440=D5440),""gloss=figurative"",""""),IF(LEN(D5440)&lt;15,""figurative ছোট"",""""),IF(AND(I5440=""Positive"",REGEXMATCH(H5"&amp;"440,""মূর্খ|ভণ্ড|প্রতার|অলস|লোভ|স্বার্থ|অক্ষম|অযোগ্য|বোকা|কৃপণ|হিংস"")),""valence-target অমিল"",""""),IF(COUNTIF($B:$B,B5440)&gt;1,""ডুপ্লিকেট"",""""))"),"")</f>
        <v/>
      </c>
      <c r="Q5440" s="5" t="str">
        <f t="shared" si="1"/>
        <v>২ পরে</v>
      </c>
    </row>
    <row r="5441">
      <c r="A5441" s="4">
        <v>3307.0</v>
      </c>
      <c r="B5441" s="2" t="s">
        <v>22253</v>
      </c>
      <c r="C5441" s="2" t="s">
        <v>22253</v>
      </c>
      <c r="D5441" s="2" t="s">
        <v>22254</v>
      </c>
      <c r="E5441" s="2" t="s">
        <v>22255</v>
      </c>
      <c r="F5441" s="2" t="b">
        <v>1</v>
      </c>
      <c r="G5441" s="2" t="b">
        <v>0</v>
      </c>
      <c r="H5441" s="2" t="s">
        <v>37</v>
      </c>
      <c r="I5441" s="2" t="s">
        <v>22</v>
      </c>
      <c r="J5441" s="2" t="s">
        <v>772</v>
      </c>
      <c r="K5441" s="2" t="s">
        <v>495</v>
      </c>
      <c r="L5441" s="13" t="s">
        <v>496</v>
      </c>
      <c r="M5441" s="2" t="s">
        <v>26</v>
      </c>
      <c r="N5441" s="29"/>
      <c r="O5441" s="29"/>
      <c r="P5441" s="5" t="str">
        <f>IFERROR(__xludf.DUMMYFUNCTION("TEXTJOIN("" | "",TRUE,IF(OR(D5441="""",E5441="""",I5441="""",J5441="""",H5441=""""),""ফাঁকা ঘর"",""""),IF(AND(C5441&lt;&gt;"""",D5441&lt;&gt;"""",C5441=D5441),""gloss=figurative"",""""),IF(LEN(D5441)&lt;15,""figurative ছোট"",""""),IF(AND(I5441=""Positive"",REGEXMATCH(H5"&amp;"441,""মূর্খ|ভণ্ড|প্রতার|অলস|লোভ|স্বার্থ|অক্ষম|অযোগ্য|বোকা|কৃপণ|হিংস"")),""valence-target অমিল"",""""),IF(COUNTIF($B:$B,B5441)&gt;1,""ডুপ্লিকেট"",""""))"),"")</f>
        <v/>
      </c>
      <c r="Q5441" s="5" t="str">
        <f t="shared" si="1"/>
        <v>২ পরে</v>
      </c>
    </row>
    <row r="5442">
      <c r="A5442" s="4">
        <v>3308.0</v>
      </c>
      <c r="B5442" s="2" t="s">
        <v>22256</v>
      </c>
      <c r="C5442" s="2" t="s">
        <v>22256</v>
      </c>
      <c r="D5442" s="2" t="s">
        <v>22257</v>
      </c>
      <c r="E5442" s="2" t="s">
        <v>22258</v>
      </c>
      <c r="F5442" s="2" t="b">
        <v>1</v>
      </c>
      <c r="G5442" s="2" t="b">
        <v>0</v>
      </c>
      <c r="H5442" s="2" t="s">
        <v>22259</v>
      </c>
      <c r="I5442" s="2" t="s">
        <v>22</v>
      </c>
      <c r="J5442" s="2" t="s">
        <v>1644</v>
      </c>
      <c r="K5442" s="2" t="s">
        <v>495</v>
      </c>
      <c r="L5442" s="13" t="s">
        <v>496</v>
      </c>
      <c r="M5442" s="2" t="s">
        <v>26</v>
      </c>
      <c r="N5442" s="29"/>
      <c r="O5442" s="29"/>
      <c r="P5442" s="5" t="str">
        <f>IFERROR(__xludf.DUMMYFUNCTION("TEXTJOIN("" | "",TRUE,IF(OR(D5442="""",E5442="""",I5442="""",J5442="""",H5442=""""),""ফাঁকা ঘর"",""""),IF(AND(C5442&lt;&gt;"""",D5442&lt;&gt;"""",C5442=D5442),""gloss=figurative"",""""),IF(LEN(D5442)&lt;15,""figurative ছোট"",""""),IF(AND(I5442=""Positive"",REGEXMATCH(H5"&amp;"442,""মূর্খ|ভণ্ড|প্রতার|অলস|লোভ|স্বার্থ|অক্ষম|অযোগ্য|বোকা|কৃপণ|হিংস"")),""valence-target অমিল"",""""),IF(COUNTIF($B:$B,B5442)&gt;1,""ডুপ্লিকেট"",""""))"),"")</f>
        <v/>
      </c>
      <c r="Q5442" s="5" t="str">
        <f t="shared" si="1"/>
        <v>২ পরে</v>
      </c>
    </row>
    <row r="5443">
      <c r="A5443" s="4">
        <v>3309.0</v>
      </c>
      <c r="B5443" s="2" t="s">
        <v>22260</v>
      </c>
      <c r="C5443" s="2" t="s">
        <v>22261</v>
      </c>
      <c r="D5443" s="2" t="s">
        <v>22262</v>
      </c>
      <c r="E5443" s="2" t="s">
        <v>22263</v>
      </c>
      <c r="F5443" s="2" t="b">
        <v>1</v>
      </c>
      <c r="G5443" s="2" t="b">
        <v>0</v>
      </c>
      <c r="H5443" s="2" t="s">
        <v>22264</v>
      </c>
      <c r="I5443" s="2" t="s">
        <v>22</v>
      </c>
      <c r="J5443" s="2" t="s">
        <v>2671</v>
      </c>
      <c r="K5443" s="2" t="s">
        <v>495</v>
      </c>
      <c r="L5443" s="13" t="s">
        <v>496</v>
      </c>
      <c r="M5443" s="2" t="s">
        <v>26</v>
      </c>
      <c r="N5443" s="29"/>
      <c r="O5443" s="29"/>
      <c r="P5443" s="5" t="str">
        <f>IFERROR(__xludf.DUMMYFUNCTION("TEXTJOIN("" | "",TRUE,IF(OR(D5443="""",E5443="""",I5443="""",J5443="""",H5443=""""),""ফাঁকা ঘর"",""""),IF(AND(C5443&lt;&gt;"""",D5443&lt;&gt;"""",C5443=D5443),""gloss=figurative"",""""),IF(LEN(D5443)&lt;15,""figurative ছোট"",""""),IF(AND(I5443=""Positive"",REGEXMATCH(H5"&amp;"443,""মূর্খ|ভণ্ড|প্রতার|অলস|লোভ|স্বার্থ|অক্ষম|অযোগ্য|বোকা|কৃপণ|হিংস"")),""valence-target অমিল"",""""),IF(COUNTIF($B:$B,B5443)&gt;1,""ডুপ্লিকেট"",""""))"),"")</f>
        <v/>
      </c>
      <c r="Q5443" s="5" t="str">
        <f t="shared" si="1"/>
        <v>২ পরে</v>
      </c>
    </row>
    <row r="5444">
      <c r="A5444" s="4">
        <v>3310.0</v>
      </c>
      <c r="B5444" s="2" t="s">
        <v>22265</v>
      </c>
      <c r="C5444" s="2" t="s">
        <v>22266</v>
      </c>
      <c r="D5444" s="2" t="s">
        <v>22267</v>
      </c>
      <c r="E5444" s="2" t="s">
        <v>22268</v>
      </c>
      <c r="F5444" s="2" t="b">
        <v>1</v>
      </c>
      <c r="G5444" s="2" t="b">
        <v>0</v>
      </c>
      <c r="H5444" s="2" t="s">
        <v>110</v>
      </c>
      <c r="I5444" s="2" t="s">
        <v>22</v>
      </c>
      <c r="J5444" s="2" t="s">
        <v>43</v>
      </c>
      <c r="K5444" s="2" t="s">
        <v>495</v>
      </c>
      <c r="L5444" s="13" t="s">
        <v>496</v>
      </c>
      <c r="M5444" s="2" t="s">
        <v>26</v>
      </c>
      <c r="N5444" s="29"/>
      <c r="O5444" s="29"/>
      <c r="P5444" s="5" t="str">
        <f>IFERROR(__xludf.DUMMYFUNCTION("TEXTJOIN("" | "",TRUE,IF(OR(D5444="""",E5444="""",I5444="""",J5444="""",H5444=""""),""ফাঁকা ঘর"",""""),IF(AND(C5444&lt;&gt;"""",D5444&lt;&gt;"""",C5444=D5444),""gloss=figurative"",""""),IF(LEN(D5444)&lt;15,""figurative ছোট"",""""),IF(AND(I5444=""Positive"",REGEXMATCH(H5"&amp;"444,""মূর্খ|ভণ্ড|প্রতার|অলস|লোভ|স্বার্থ|অক্ষম|অযোগ্য|বোকা|কৃপণ|হিংস"")),""valence-target অমিল"",""""),IF(COUNTIF($B:$B,B5444)&gt;1,""ডুপ্লিকেট"",""""))"),"")</f>
        <v/>
      </c>
      <c r="Q5444" s="5" t="str">
        <f t="shared" si="1"/>
        <v>২ পরে</v>
      </c>
    </row>
    <row r="5445">
      <c r="A5445" s="4">
        <v>3311.0</v>
      </c>
      <c r="B5445" s="2" t="s">
        <v>22269</v>
      </c>
      <c r="C5445" s="2" t="s">
        <v>22270</v>
      </c>
      <c r="D5445" s="2" t="s">
        <v>22271</v>
      </c>
      <c r="E5445" s="2" t="s">
        <v>22272</v>
      </c>
      <c r="F5445" s="2" t="b">
        <v>1</v>
      </c>
      <c r="G5445" s="2" t="b">
        <v>0</v>
      </c>
      <c r="H5445" s="2" t="s">
        <v>18793</v>
      </c>
      <c r="I5445" s="2" t="s">
        <v>32</v>
      </c>
      <c r="J5445" s="2" t="s">
        <v>162</v>
      </c>
      <c r="K5445" s="2" t="s">
        <v>495</v>
      </c>
      <c r="L5445" s="13" t="s">
        <v>496</v>
      </c>
      <c r="M5445" s="2" t="s">
        <v>26</v>
      </c>
      <c r="N5445" s="29"/>
      <c r="O5445" s="29"/>
      <c r="P5445" s="5" t="str">
        <f>IFERROR(__xludf.DUMMYFUNCTION("TEXTJOIN("" | "",TRUE,IF(OR(D5445="""",E5445="""",I5445="""",J5445="""",H5445=""""),""ফাঁকা ঘর"",""""),IF(AND(C5445&lt;&gt;"""",D5445&lt;&gt;"""",C5445=D5445),""gloss=figurative"",""""),IF(LEN(D5445)&lt;15,""figurative ছোট"",""""),IF(AND(I5445=""Positive"",REGEXMATCH(H5"&amp;"445,""মূর্খ|ভণ্ড|প্রতার|অলস|লোভ|স্বার্থ|অক্ষম|অযোগ্য|বোকা|কৃপণ|হিংস"")),""valence-target অমিল"",""""),IF(COUNTIF($B:$B,B5445)&gt;1,""ডুপ্লিকেট"",""""))"),"")</f>
        <v/>
      </c>
      <c r="Q5445" s="5" t="str">
        <f t="shared" si="1"/>
        <v>২ পরে</v>
      </c>
    </row>
    <row r="5446">
      <c r="A5446" s="4">
        <v>3312.0</v>
      </c>
      <c r="B5446" s="2" t="s">
        <v>22273</v>
      </c>
      <c r="C5446" s="2" t="s">
        <v>22274</v>
      </c>
      <c r="D5446" s="2" t="s">
        <v>22275</v>
      </c>
      <c r="E5446" s="2" t="s">
        <v>22276</v>
      </c>
      <c r="F5446" s="2" t="b">
        <v>1</v>
      </c>
      <c r="G5446" s="2" t="b">
        <v>0</v>
      </c>
      <c r="H5446" s="2" t="s">
        <v>22277</v>
      </c>
      <c r="I5446" s="2" t="s">
        <v>49</v>
      </c>
      <c r="J5446" s="2" t="s">
        <v>300</v>
      </c>
      <c r="K5446" s="2" t="s">
        <v>495</v>
      </c>
      <c r="L5446" s="13" t="s">
        <v>496</v>
      </c>
      <c r="M5446" s="2" t="s">
        <v>26</v>
      </c>
      <c r="N5446" s="29"/>
      <c r="O5446" s="29"/>
      <c r="P5446" s="5" t="str">
        <f>IFERROR(__xludf.DUMMYFUNCTION("TEXTJOIN("" | "",TRUE,IF(OR(D5446="""",E5446="""",I5446="""",J5446="""",H5446=""""),""ফাঁকা ঘর"",""""),IF(AND(C5446&lt;&gt;"""",D5446&lt;&gt;"""",C5446=D5446),""gloss=figurative"",""""),IF(LEN(D5446)&lt;15,""figurative ছোট"",""""),IF(AND(I5446=""Positive"",REGEXMATCH(H5"&amp;"446,""মূর্খ|ভণ্ড|প্রতার|অলস|লোভ|স্বার্থ|অক্ষম|অযোগ্য|বোকা|কৃপণ|হিংস"")),""valence-target অমিল"",""""),IF(COUNTIF($B:$B,B5446)&gt;1,""ডুপ্লিকেট"",""""))"),"")</f>
        <v/>
      </c>
      <c r="Q5446" s="5" t="str">
        <f t="shared" si="1"/>
        <v>২ পরে</v>
      </c>
    </row>
    <row r="5447">
      <c r="A5447" s="4">
        <v>3313.0</v>
      </c>
      <c r="B5447" s="2" t="s">
        <v>22278</v>
      </c>
      <c r="C5447" s="2" t="s">
        <v>22279</v>
      </c>
      <c r="D5447" s="2" t="s">
        <v>22280</v>
      </c>
      <c r="E5447" s="2" t="s">
        <v>22281</v>
      </c>
      <c r="F5447" s="2" t="b">
        <v>1</v>
      </c>
      <c r="G5447" s="2" t="b">
        <v>0</v>
      </c>
      <c r="H5447" s="2" t="s">
        <v>22282</v>
      </c>
      <c r="I5447" s="2" t="s">
        <v>49</v>
      </c>
      <c r="J5447" s="2" t="s">
        <v>22283</v>
      </c>
      <c r="K5447" s="2" t="s">
        <v>495</v>
      </c>
      <c r="L5447" s="13" t="s">
        <v>496</v>
      </c>
      <c r="M5447" s="2" t="s">
        <v>26</v>
      </c>
      <c r="N5447" s="29"/>
      <c r="O5447" s="29"/>
      <c r="P5447" s="5" t="str">
        <f>IFERROR(__xludf.DUMMYFUNCTION("TEXTJOIN("" | "",TRUE,IF(OR(D5447="""",E5447="""",I5447="""",J5447="""",H5447=""""),""ফাঁকা ঘর"",""""),IF(AND(C5447&lt;&gt;"""",D5447&lt;&gt;"""",C5447=D5447),""gloss=figurative"",""""),IF(LEN(D5447)&lt;15,""figurative ছোট"",""""),IF(AND(I5447=""Positive"",REGEXMATCH(H5"&amp;"447,""মূর্খ|ভণ্ড|প্রতার|অলস|লোভ|স্বার্থ|অক্ষম|অযোগ্য|বোকা|কৃপণ|হিংস"")),""valence-target অমিল"",""""),IF(COUNTIF($B:$B,B5447)&gt;1,""ডুপ্লিকেট"",""""))"),"")</f>
        <v/>
      </c>
      <c r="Q5447" s="5" t="str">
        <f t="shared" si="1"/>
        <v>২ পরে</v>
      </c>
    </row>
    <row r="5448">
      <c r="A5448" s="4">
        <v>3314.0</v>
      </c>
      <c r="B5448" s="2" t="s">
        <v>22284</v>
      </c>
      <c r="C5448" s="2" t="s">
        <v>22285</v>
      </c>
      <c r="D5448" s="2" t="s">
        <v>22286</v>
      </c>
      <c r="E5448" s="2" t="s">
        <v>22287</v>
      </c>
      <c r="F5448" s="2" t="b">
        <v>1</v>
      </c>
      <c r="G5448" s="2" t="b">
        <v>0</v>
      </c>
      <c r="H5448" s="2" t="s">
        <v>22288</v>
      </c>
      <c r="I5448" s="2" t="s">
        <v>49</v>
      </c>
      <c r="J5448" s="2" t="s">
        <v>9743</v>
      </c>
      <c r="K5448" s="2" t="s">
        <v>495</v>
      </c>
      <c r="L5448" s="13" t="s">
        <v>496</v>
      </c>
      <c r="M5448" s="2" t="s">
        <v>26</v>
      </c>
      <c r="N5448" s="29"/>
      <c r="O5448" s="29"/>
      <c r="P5448" s="5" t="str">
        <f>IFERROR(__xludf.DUMMYFUNCTION("TEXTJOIN("" | "",TRUE,IF(OR(D5448="""",E5448="""",I5448="""",J5448="""",H5448=""""),""ফাঁকা ঘর"",""""),IF(AND(C5448&lt;&gt;"""",D5448&lt;&gt;"""",C5448=D5448),""gloss=figurative"",""""),IF(LEN(D5448)&lt;15,""figurative ছোট"",""""),IF(AND(I5448=""Positive"",REGEXMATCH(H5"&amp;"448,""মূর্খ|ভণ্ড|প্রতার|অলস|লোভ|স্বার্থ|অক্ষম|অযোগ্য|বোকা|কৃপণ|হিংস"")),""valence-target অমিল"",""""),IF(COUNTIF($B:$B,B5448)&gt;1,""ডুপ্লিকেট"",""""))"),"")</f>
        <v/>
      </c>
      <c r="Q5448" s="5" t="str">
        <f t="shared" si="1"/>
        <v>২ পরে</v>
      </c>
    </row>
    <row r="5449">
      <c r="A5449" s="4">
        <v>3315.0</v>
      </c>
      <c r="B5449" s="2" t="s">
        <v>22289</v>
      </c>
      <c r="C5449" s="2" t="s">
        <v>22290</v>
      </c>
      <c r="D5449" s="2" t="s">
        <v>22291</v>
      </c>
      <c r="E5449" s="2" t="s">
        <v>22292</v>
      </c>
      <c r="F5449" s="2" t="b">
        <v>1</v>
      </c>
      <c r="G5449" s="2" t="b">
        <v>0</v>
      </c>
      <c r="H5449" s="2" t="s">
        <v>22293</v>
      </c>
      <c r="I5449" s="2" t="s">
        <v>22</v>
      </c>
      <c r="J5449" s="2" t="s">
        <v>43</v>
      </c>
      <c r="K5449" s="2" t="s">
        <v>495</v>
      </c>
      <c r="L5449" s="13" t="s">
        <v>496</v>
      </c>
      <c r="M5449" s="2" t="s">
        <v>26</v>
      </c>
      <c r="N5449" s="29"/>
      <c r="O5449" s="29"/>
      <c r="P5449" s="5" t="str">
        <f>IFERROR(__xludf.DUMMYFUNCTION("TEXTJOIN("" | "",TRUE,IF(OR(D5449="""",E5449="""",I5449="""",J5449="""",H5449=""""),""ফাঁকা ঘর"",""""),IF(AND(C5449&lt;&gt;"""",D5449&lt;&gt;"""",C5449=D5449),""gloss=figurative"",""""),IF(LEN(D5449)&lt;15,""figurative ছোট"",""""),IF(AND(I5449=""Positive"",REGEXMATCH(H5"&amp;"449,""মূর্খ|ভণ্ড|প্রতার|অলস|লোভ|স্বার্থ|অক্ষম|অযোগ্য|বোকা|কৃপণ|হিংস"")),""valence-target অমিল"",""""),IF(COUNTIF($B:$B,B5449)&gt;1,""ডুপ্লিকেট"",""""))"),"")</f>
        <v/>
      </c>
      <c r="Q5449" s="5" t="str">
        <f t="shared" si="1"/>
        <v>২ পরে</v>
      </c>
    </row>
    <row r="5450">
      <c r="A5450" s="4">
        <v>3316.0</v>
      </c>
      <c r="B5450" s="2" t="s">
        <v>22294</v>
      </c>
      <c r="C5450" s="2" t="s">
        <v>22295</v>
      </c>
      <c r="D5450" s="2" t="s">
        <v>22296</v>
      </c>
      <c r="E5450" s="2" t="s">
        <v>22297</v>
      </c>
      <c r="F5450" s="2" t="b">
        <v>1</v>
      </c>
      <c r="G5450" s="2" t="b">
        <v>0</v>
      </c>
      <c r="H5450" s="2" t="s">
        <v>65</v>
      </c>
      <c r="I5450" s="2" t="s">
        <v>22</v>
      </c>
      <c r="J5450" s="2" t="s">
        <v>669</v>
      </c>
      <c r="K5450" s="2" t="s">
        <v>495</v>
      </c>
      <c r="L5450" s="13" t="s">
        <v>496</v>
      </c>
      <c r="M5450" s="2" t="s">
        <v>26</v>
      </c>
      <c r="N5450" s="29"/>
      <c r="O5450" s="29"/>
      <c r="P5450" s="5" t="str">
        <f>IFERROR(__xludf.DUMMYFUNCTION("TEXTJOIN("" | "",TRUE,IF(OR(D5450="""",E5450="""",I5450="""",J5450="""",H5450=""""),""ফাঁকা ঘর"",""""),IF(AND(C5450&lt;&gt;"""",D5450&lt;&gt;"""",C5450=D5450),""gloss=figurative"",""""),IF(LEN(D5450)&lt;15,""figurative ছোট"",""""),IF(AND(I5450=""Positive"",REGEXMATCH(H5"&amp;"450,""মূর্খ|ভণ্ড|প্রতার|অলস|লোভ|স্বার্থ|অক্ষম|অযোগ্য|বোকা|কৃপণ|হিংস"")),""valence-target অমিল"",""""),IF(COUNTIF($B:$B,B5450)&gt;1,""ডুপ্লিকেট"",""""))"),"")</f>
        <v/>
      </c>
      <c r="Q5450" s="5" t="str">
        <f t="shared" si="1"/>
        <v>২ পরে</v>
      </c>
    </row>
    <row r="5451">
      <c r="A5451" s="4">
        <v>3317.0</v>
      </c>
      <c r="B5451" s="2" t="s">
        <v>22298</v>
      </c>
      <c r="C5451" s="2" t="s">
        <v>22299</v>
      </c>
      <c r="D5451" s="2" t="s">
        <v>22300</v>
      </c>
      <c r="E5451" s="2" t="s">
        <v>22301</v>
      </c>
      <c r="F5451" s="2" t="b">
        <v>1</v>
      </c>
      <c r="G5451" s="2" t="b">
        <v>0</v>
      </c>
      <c r="H5451" s="2" t="s">
        <v>22302</v>
      </c>
      <c r="I5451" s="2" t="s">
        <v>22</v>
      </c>
      <c r="J5451" s="2" t="s">
        <v>820</v>
      </c>
      <c r="K5451" s="2" t="s">
        <v>495</v>
      </c>
      <c r="L5451" s="13" t="s">
        <v>496</v>
      </c>
      <c r="M5451" s="2" t="s">
        <v>26</v>
      </c>
      <c r="N5451" s="29"/>
      <c r="O5451" s="29"/>
      <c r="P5451" s="5" t="str">
        <f>IFERROR(__xludf.DUMMYFUNCTION("TEXTJOIN("" | "",TRUE,IF(OR(D5451="""",E5451="""",I5451="""",J5451="""",H5451=""""),""ফাঁকা ঘর"",""""),IF(AND(C5451&lt;&gt;"""",D5451&lt;&gt;"""",C5451=D5451),""gloss=figurative"",""""),IF(LEN(D5451)&lt;15,""figurative ছোট"",""""),IF(AND(I5451=""Positive"",REGEXMATCH(H5"&amp;"451,""মূর্খ|ভণ্ড|প্রতার|অলস|লোভ|স্বার্থ|অক্ষম|অযোগ্য|বোকা|কৃপণ|হিংস"")),""valence-target অমিল"",""""),IF(COUNTIF($B:$B,B5451)&gt;1,""ডুপ্লিকেট"",""""))"),"")</f>
        <v/>
      </c>
      <c r="Q5451" s="5" t="str">
        <f t="shared" si="1"/>
        <v>২ পরে</v>
      </c>
    </row>
    <row r="5452">
      <c r="A5452" s="4">
        <v>3318.0</v>
      </c>
      <c r="B5452" s="2" t="s">
        <v>22303</v>
      </c>
      <c r="C5452" s="2" t="s">
        <v>22304</v>
      </c>
      <c r="D5452" s="2" t="s">
        <v>22305</v>
      </c>
      <c r="E5452" s="2" t="s">
        <v>22306</v>
      </c>
      <c r="F5452" s="2" t="b">
        <v>1</v>
      </c>
      <c r="G5452" s="2" t="b">
        <v>0</v>
      </c>
      <c r="H5452" s="2" t="s">
        <v>16827</v>
      </c>
      <c r="I5452" s="2" t="s">
        <v>22</v>
      </c>
      <c r="J5452" s="2" t="s">
        <v>750</v>
      </c>
      <c r="K5452" s="2" t="s">
        <v>495</v>
      </c>
      <c r="L5452" s="13" t="s">
        <v>496</v>
      </c>
      <c r="M5452" s="2" t="s">
        <v>26</v>
      </c>
      <c r="N5452" s="29"/>
      <c r="O5452" s="29"/>
      <c r="P5452" s="5" t="str">
        <f>IFERROR(__xludf.DUMMYFUNCTION("TEXTJOIN("" | "",TRUE,IF(OR(D5452="""",E5452="""",I5452="""",J5452="""",H5452=""""),""ফাঁকা ঘর"",""""),IF(AND(C5452&lt;&gt;"""",D5452&lt;&gt;"""",C5452=D5452),""gloss=figurative"",""""),IF(LEN(D5452)&lt;15,""figurative ছোট"",""""),IF(AND(I5452=""Positive"",REGEXMATCH(H5"&amp;"452,""মূর্খ|ভণ্ড|প্রতার|অলস|লোভ|স্বার্থ|অক্ষম|অযোগ্য|বোকা|কৃপণ|হিংস"")),""valence-target অমিল"",""""),IF(COUNTIF($B:$B,B5452)&gt;1,""ডুপ্লিকেট"",""""))"),"")</f>
        <v/>
      </c>
      <c r="Q5452" s="5" t="str">
        <f t="shared" si="1"/>
        <v>২ পরে</v>
      </c>
    </row>
    <row r="5453">
      <c r="A5453" s="4">
        <v>3319.0</v>
      </c>
      <c r="B5453" s="2" t="s">
        <v>22307</v>
      </c>
      <c r="C5453" s="2" t="s">
        <v>22308</v>
      </c>
      <c r="D5453" s="2" t="s">
        <v>22309</v>
      </c>
      <c r="E5453" s="2" t="s">
        <v>22310</v>
      </c>
      <c r="F5453" s="2" t="b">
        <v>1</v>
      </c>
      <c r="G5453" s="2" t="b">
        <v>0</v>
      </c>
      <c r="H5453" s="2" t="s">
        <v>749</v>
      </c>
      <c r="I5453" s="2" t="s">
        <v>22</v>
      </c>
      <c r="J5453" s="2" t="s">
        <v>750</v>
      </c>
      <c r="K5453" s="2" t="s">
        <v>495</v>
      </c>
      <c r="L5453" s="13" t="s">
        <v>496</v>
      </c>
      <c r="M5453" s="2" t="s">
        <v>26</v>
      </c>
      <c r="N5453" s="29"/>
      <c r="O5453" s="29"/>
      <c r="P5453" s="5" t="str">
        <f>IFERROR(__xludf.DUMMYFUNCTION("TEXTJOIN("" | "",TRUE,IF(OR(D5453="""",E5453="""",I5453="""",J5453="""",H5453=""""),""ফাঁকা ঘর"",""""),IF(AND(C5453&lt;&gt;"""",D5453&lt;&gt;"""",C5453=D5453),""gloss=figurative"",""""),IF(LEN(D5453)&lt;15,""figurative ছোট"",""""),IF(AND(I5453=""Positive"",REGEXMATCH(H5"&amp;"453,""মূর্খ|ভণ্ড|প্রতার|অলস|লোভ|স্বার্থ|অক্ষম|অযোগ্য|বোকা|কৃপণ|হিংস"")),""valence-target অমিল"",""""),IF(COUNTIF($B:$B,B5453)&gt;1,""ডুপ্লিকেট"",""""))"),"")</f>
        <v/>
      </c>
      <c r="Q5453" s="5" t="str">
        <f t="shared" si="1"/>
        <v>২ পরে</v>
      </c>
    </row>
    <row r="5454">
      <c r="A5454" s="4">
        <v>3320.0</v>
      </c>
      <c r="B5454" s="2" t="s">
        <v>22311</v>
      </c>
      <c r="C5454" s="2" t="s">
        <v>22312</v>
      </c>
      <c r="D5454" s="2" t="s">
        <v>22313</v>
      </c>
      <c r="E5454" s="2" t="s">
        <v>22314</v>
      </c>
      <c r="F5454" s="2" t="b">
        <v>1</v>
      </c>
      <c r="G5454" s="2" t="b">
        <v>0</v>
      </c>
      <c r="H5454" s="2" t="s">
        <v>14866</v>
      </c>
      <c r="I5454" s="2" t="s">
        <v>22</v>
      </c>
      <c r="J5454" s="2" t="s">
        <v>43</v>
      </c>
      <c r="K5454" s="2" t="s">
        <v>495</v>
      </c>
      <c r="L5454" s="13" t="s">
        <v>496</v>
      </c>
      <c r="M5454" s="2" t="s">
        <v>26</v>
      </c>
      <c r="N5454" s="29"/>
      <c r="O5454" s="29"/>
      <c r="P5454" s="5" t="str">
        <f>IFERROR(__xludf.DUMMYFUNCTION("TEXTJOIN("" | "",TRUE,IF(OR(D5454="""",E5454="""",I5454="""",J5454="""",H5454=""""),""ফাঁকা ঘর"",""""),IF(AND(C5454&lt;&gt;"""",D5454&lt;&gt;"""",C5454=D5454),""gloss=figurative"",""""),IF(LEN(D5454)&lt;15,""figurative ছোট"",""""),IF(AND(I5454=""Positive"",REGEXMATCH(H5"&amp;"454,""মূর্খ|ভণ্ড|প্রতার|অলস|লোভ|স্বার্থ|অক্ষম|অযোগ্য|বোকা|কৃপণ|হিংস"")),""valence-target অমিল"",""""),IF(COUNTIF($B:$B,B5454)&gt;1,""ডুপ্লিকেট"",""""))"),"")</f>
        <v/>
      </c>
      <c r="Q5454" s="5" t="str">
        <f t="shared" si="1"/>
        <v>২ পরে</v>
      </c>
    </row>
    <row r="5455">
      <c r="A5455" s="4">
        <v>3321.0</v>
      </c>
      <c r="B5455" s="2" t="s">
        <v>22315</v>
      </c>
      <c r="C5455" s="2" t="s">
        <v>22316</v>
      </c>
      <c r="D5455" s="2" t="s">
        <v>22317</v>
      </c>
      <c r="E5455" s="2" t="s">
        <v>22318</v>
      </c>
      <c r="F5455" s="2" t="b">
        <v>1</v>
      </c>
      <c r="G5455" s="2" t="b">
        <v>0</v>
      </c>
      <c r="H5455" s="2" t="s">
        <v>37</v>
      </c>
      <c r="I5455" s="2" t="s">
        <v>32</v>
      </c>
      <c r="J5455" s="2" t="s">
        <v>3105</v>
      </c>
      <c r="K5455" s="2" t="s">
        <v>495</v>
      </c>
      <c r="L5455" s="13" t="s">
        <v>496</v>
      </c>
      <c r="M5455" s="2" t="s">
        <v>26</v>
      </c>
      <c r="N5455" s="29"/>
      <c r="O5455" s="29"/>
      <c r="P5455" s="5" t="str">
        <f>IFERROR(__xludf.DUMMYFUNCTION("TEXTJOIN("" | "",TRUE,IF(OR(D5455="""",E5455="""",I5455="""",J5455="""",H5455=""""),""ফাঁকা ঘর"",""""),IF(AND(C5455&lt;&gt;"""",D5455&lt;&gt;"""",C5455=D5455),""gloss=figurative"",""""),IF(LEN(D5455)&lt;15,""figurative ছোট"",""""),IF(AND(I5455=""Positive"",REGEXMATCH(H5"&amp;"455,""মূর্খ|ভণ্ড|প্রতার|অলস|লোভ|স্বার্থ|অক্ষম|অযোগ্য|বোকা|কৃপণ|হিংস"")),""valence-target অমিল"",""""),IF(COUNTIF($B:$B,B5455)&gt;1,""ডুপ্লিকেট"",""""))"),"")</f>
        <v/>
      </c>
      <c r="Q5455" s="5" t="str">
        <f t="shared" si="1"/>
        <v>২ পরে</v>
      </c>
    </row>
    <row r="5456">
      <c r="A5456" s="4">
        <v>3322.0</v>
      </c>
      <c r="B5456" s="2" t="s">
        <v>22319</v>
      </c>
      <c r="C5456" s="2" t="s">
        <v>22320</v>
      </c>
      <c r="D5456" s="2" t="s">
        <v>22321</v>
      </c>
      <c r="E5456" s="2" t="s">
        <v>22322</v>
      </c>
      <c r="F5456" s="2" t="b">
        <v>1</v>
      </c>
      <c r="G5456" s="2" t="b">
        <v>0</v>
      </c>
      <c r="H5456" s="2" t="s">
        <v>22323</v>
      </c>
      <c r="I5456" s="2" t="s">
        <v>22</v>
      </c>
      <c r="J5456" s="2" t="s">
        <v>1553</v>
      </c>
      <c r="K5456" s="2" t="s">
        <v>495</v>
      </c>
      <c r="L5456" s="13" t="s">
        <v>496</v>
      </c>
      <c r="M5456" s="2" t="s">
        <v>26</v>
      </c>
      <c r="N5456" s="29"/>
      <c r="O5456" s="29"/>
      <c r="P5456" s="5" t="str">
        <f>IFERROR(__xludf.DUMMYFUNCTION("TEXTJOIN("" | "",TRUE,IF(OR(D5456="""",E5456="""",I5456="""",J5456="""",H5456=""""),""ফাঁকা ঘর"",""""),IF(AND(C5456&lt;&gt;"""",D5456&lt;&gt;"""",C5456=D5456),""gloss=figurative"",""""),IF(LEN(D5456)&lt;15,""figurative ছোট"",""""),IF(AND(I5456=""Positive"",REGEXMATCH(H5"&amp;"456,""মূর্খ|ভণ্ড|প্রতার|অলস|লোভ|স্বার্থ|অক্ষম|অযোগ্য|বোকা|কৃপণ|হিংস"")),""valence-target অমিল"",""""),IF(COUNTIF($B:$B,B5456)&gt;1,""ডুপ্লিকেট"",""""))"),"")</f>
        <v/>
      </c>
      <c r="Q5456" s="5" t="str">
        <f t="shared" si="1"/>
        <v>২ পরে</v>
      </c>
    </row>
    <row r="5457">
      <c r="A5457" s="4">
        <v>3323.0</v>
      </c>
      <c r="B5457" s="2" t="s">
        <v>22324</v>
      </c>
      <c r="C5457" s="2" t="s">
        <v>22325</v>
      </c>
      <c r="D5457" s="2" t="s">
        <v>22326</v>
      </c>
      <c r="E5457" s="2" t="s">
        <v>22327</v>
      </c>
      <c r="F5457" s="2" t="b">
        <v>1</v>
      </c>
      <c r="G5457" s="2" t="b">
        <v>0</v>
      </c>
      <c r="H5457" s="2" t="s">
        <v>37</v>
      </c>
      <c r="I5457" s="2" t="s">
        <v>32</v>
      </c>
      <c r="J5457" s="2" t="s">
        <v>22328</v>
      </c>
      <c r="K5457" s="2" t="s">
        <v>495</v>
      </c>
      <c r="L5457" s="13" t="s">
        <v>496</v>
      </c>
      <c r="M5457" s="2" t="s">
        <v>26</v>
      </c>
      <c r="N5457" s="29"/>
      <c r="O5457" s="29"/>
      <c r="P5457" s="5" t="str">
        <f>IFERROR(__xludf.DUMMYFUNCTION("TEXTJOIN("" | "",TRUE,IF(OR(D5457="""",E5457="""",I5457="""",J5457="""",H5457=""""),""ফাঁকা ঘর"",""""),IF(AND(C5457&lt;&gt;"""",D5457&lt;&gt;"""",C5457=D5457),""gloss=figurative"",""""),IF(LEN(D5457)&lt;15,""figurative ছোট"",""""),IF(AND(I5457=""Positive"",REGEXMATCH(H5"&amp;"457,""মূর্খ|ভণ্ড|প্রতার|অলস|লোভ|স্বার্থ|অক্ষম|অযোগ্য|বোকা|কৃপণ|হিংস"")),""valence-target অমিল"",""""),IF(COUNTIF($B:$B,B5457)&gt;1,""ডুপ্লিকেট"",""""))"),"")</f>
        <v/>
      </c>
      <c r="Q5457" s="5" t="str">
        <f t="shared" si="1"/>
        <v>২ পরে</v>
      </c>
    </row>
    <row r="5458">
      <c r="A5458" s="4">
        <v>3324.0</v>
      </c>
      <c r="B5458" s="2" t="s">
        <v>22329</v>
      </c>
      <c r="C5458" s="2" t="s">
        <v>22330</v>
      </c>
      <c r="D5458" s="2" t="s">
        <v>22331</v>
      </c>
      <c r="E5458" s="2" t="s">
        <v>22332</v>
      </c>
      <c r="F5458" s="2" t="b">
        <v>1</v>
      </c>
      <c r="G5458" s="2" t="b">
        <v>1</v>
      </c>
      <c r="H5458" s="2" t="s">
        <v>22333</v>
      </c>
      <c r="I5458" s="2" t="s">
        <v>32</v>
      </c>
      <c r="J5458" s="2" t="s">
        <v>16590</v>
      </c>
      <c r="K5458" s="2" t="s">
        <v>495</v>
      </c>
      <c r="L5458" s="13" t="s">
        <v>496</v>
      </c>
      <c r="M5458" s="2" t="s">
        <v>26</v>
      </c>
      <c r="N5458" s="29"/>
      <c r="O5458" s="29"/>
      <c r="P5458" s="5" t="str">
        <f>IFERROR(__xludf.DUMMYFUNCTION("TEXTJOIN("" | "",TRUE,IF(OR(D5458="""",E5458="""",I5458="""",J5458="""",H5458=""""),""ফাঁকা ঘর"",""""),IF(AND(C5458&lt;&gt;"""",D5458&lt;&gt;"""",C5458=D5458),""gloss=figurative"",""""),IF(LEN(D5458)&lt;15,""figurative ছোট"",""""),IF(AND(I5458=""Positive"",REGEXMATCH(H5"&amp;"458,""মূর্খ|ভণ্ড|প্রতার|অলস|লোভ|স্বার্থ|অক্ষম|অযোগ্য|বোকা|কৃপণ|হিংস"")),""valence-target অমিল"",""""),IF(COUNTIF($B:$B,B5458)&gt;1,""ডুপ্লিকেট"",""""))"),"")</f>
        <v/>
      </c>
      <c r="Q5458" s="5" t="str">
        <f t="shared" si="1"/>
        <v>২ পরে</v>
      </c>
    </row>
    <row r="5459">
      <c r="A5459" s="4">
        <v>3325.0</v>
      </c>
      <c r="B5459" s="2" t="s">
        <v>22334</v>
      </c>
      <c r="C5459" s="2" t="s">
        <v>22335</v>
      </c>
      <c r="D5459" s="2" t="s">
        <v>22336</v>
      </c>
      <c r="E5459" s="2" t="s">
        <v>22337</v>
      </c>
      <c r="F5459" s="2" t="b">
        <v>1</v>
      </c>
      <c r="G5459" s="2" t="b">
        <v>0</v>
      </c>
      <c r="H5459" s="2" t="s">
        <v>22338</v>
      </c>
      <c r="I5459" s="2" t="s">
        <v>32</v>
      </c>
      <c r="J5459" s="2" t="s">
        <v>1644</v>
      </c>
      <c r="K5459" s="2" t="s">
        <v>495</v>
      </c>
      <c r="L5459" s="13" t="s">
        <v>496</v>
      </c>
      <c r="M5459" s="2" t="s">
        <v>26</v>
      </c>
      <c r="N5459" s="29"/>
      <c r="O5459" s="29"/>
      <c r="P5459" s="5" t="str">
        <f>IFERROR(__xludf.DUMMYFUNCTION("TEXTJOIN("" | "",TRUE,IF(OR(D5459="""",E5459="""",I5459="""",J5459="""",H5459=""""),""ফাঁকা ঘর"",""""),IF(AND(C5459&lt;&gt;"""",D5459&lt;&gt;"""",C5459=D5459),""gloss=figurative"",""""),IF(LEN(D5459)&lt;15,""figurative ছোট"",""""),IF(AND(I5459=""Positive"",REGEXMATCH(H5"&amp;"459,""মূর্খ|ভণ্ড|প্রতার|অলস|লোভ|স্বার্থ|অক্ষম|অযোগ্য|বোকা|কৃপণ|হিংস"")),""valence-target অমিল"",""""),IF(COUNTIF($B:$B,B5459)&gt;1,""ডুপ্লিকেট"",""""))"),"")</f>
        <v/>
      </c>
      <c r="Q5459" s="5" t="str">
        <f t="shared" si="1"/>
        <v>২ পরে</v>
      </c>
    </row>
    <row r="5460">
      <c r="A5460" s="4">
        <v>3326.0</v>
      </c>
      <c r="B5460" s="2" t="s">
        <v>22339</v>
      </c>
      <c r="C5460" s="2" t="s">
        <v>22340</v>
      </c>
      <c r="D5460" s="2" t="s">
        <v>22341</v>
      </c>
      <c r="E5460" s="2" t="s">
        <v>22342</v>
      </c>
      <c r="F5460" s="2" t="b">
        <v>1</v>
      </c>
      <c r="G5460" s="2" t="b">
        <v>0</v>
      </c>
      <c r="H5460" s="2" t="s">
        <v>22343</v>
      </c>
      <c r="I5460" s="2" t="s">
        <v>22</v>
      </c>
      <c r="J5460" s="2" t="s">
        <v>820</v>
      </c>
      <c r="K5460" s="2" t="s">
        <v>495</v>
      </c>
      <c r="L5460" s="13" t="s">
        <v>496</v>
      </c>
      <c r="M5460" s="2" t="s">
        <v>26</v>
      </c>
      <c r="N5460" s="29"/>
      <c r="O5460" s="29"/>
      <c r="P5460" s="5" t="str">
        <f>IFERROR(__xludf.DUMMYFUNCTION("TEXTJOIN("" | "",TRUE,IF(OR(D5460="""",E5460="""",I5460="""",J5460="""",H5460=""""),""ফাঁকা ঘর"",""""),IF(AND(C5460&lt;&gt;"""",D5460&lt;&gt;"""",C5460=D5460),""gloss=figurative"",""""),IF(LEN(D5460)&lt;15,""figurative ছোট"",""""),IF(AND(I5460=""Positive"",REGEXMATCH(H5"&amp;"460,""মূর্খ|ভণ্ড|প্রতার|অলস|লোভ|স্বার্থ|অক্ষম|অযোগ্য|বোকা|কৃপণ|হিংস"")),""valence-target অমিল"",""""),IF(COUNTIF($B:$B,B5460)&gt;1,""ডুপ্লিকেট"",""""))"),"")</f>
        <v/>
      </c>
      <c r="Q5460" s="5" t="str">
        <f t="shared" si="1"/>
        <v>২ পরে</v>
      </c>
    </row>
    <row r="5461">
      <c r="A5461" s="4">
        <v>3327.0</v>
      </c>
      <c r="B5461" s="2" t="s">
        <v>22344</v>
      </c>
      <c r="C5461" s="2" t="s">
        <v>22345</v>
      </c>
      <c r="D5461" s="2" t="s">
        <v>22346</v>
      </c>
      <c r="E5461" s="2" t="s">
        <v>22347</v>
      </c>
      <c r="F5461" s="2" t="b">
        <v>1</v>
      </c>
      <c r="G5461" s="2" t="b">
        <v>0</v>
      </c>
      <c r="H5461" s="2" t="s">
        <v>1334</v>
      </c>
      <c r="I5461" s="2" t="s">
        <v>22</v>
      </c>
      <c r="J5461" s="2" t="s">
        <v>820</v>
      </c>
      <c r="K5461" s="2" t="s">
        <v>495</v>
      </c>
      <c r="L5461" s="13" t="s">
        <v>496</v>
      </c>
      <c r="M5461" s="2" t="s">
        <v>26</v>
      </c>
      <c r="N5461" s="29"/>
      <c r="O5461" s="29"/>
      <c r="P5461" s="5" t="str">
        <f>IFERROR(__xludf.DUMMYFUNCTION("TEXTJOIN("" | "",TRUE,IF(OR(D5461="""",E5461="""",I5461="""",J5461="""",H5461=""""),""ফাঁকা ঘর"",""""),IF(AND(C5461&lt;&gt;"""",D5461&lt;&gt;"""",C5461=D5461),""gloss=figurative"",""""),IF(LEN(D5461)&lt;15,""figurative ছোট"",""""),IF(AND(I5461=""Positive"",REGEXMATCH(H5"&amp;"461,""মূর্খ|ভণ্ড|প্রতার|অলস|লোভ|স্বার্থ|অক্ষম|অযোগ্য|বোকা|কৃপণ|হিংস"")),""valence-target অমিল"",""""),IF(COUNTIF($B:$B,B5461)&gt;1,""ডুপ্লিকেট"",""""))"),"")</f>
        <v/>
      </c>
      <c r="Q5461" s="5" t="str">
        <f t="shared" si="1"/>
        <v>২ পরে</v>
      </c>
    </row>
    <row r="5462">
      <c r="A5462" s="4">
        <v>3328.0</v>
      </c>
      <c r="B5462" s="2" t="s">
        <v>22348</v>
      </c>
      <c r="C5462" s="2" t="s">
        <v>22349</v>
      </c>
      <c r="D5462" s="2" t="s">
        <v>22350</v>
      </c>
      <c r="E5462" s="2" t="s">
        <v>22351</v>
      </c>
      <c r="F5462" s="2" t="b">
        <v>1</v>
      </c>
      <c r="G5462" s="2" t="b">
        <v>0</v>
      </c>
      <c r="H5462" s="2" t="s">
        <v>189</v>
      </c>
      <c r="I5462" s="2" t="s">
        <v>22</v>
      </c>
      <c r="J5462" s="2" t="s">
        <v>601</v>
      </c>
      <c r="K5462" s="2" t="s">
        <v>495</v>
      </c>
      <c r="L5462" s="13" t="s">
        <v>496</v>
      </c>
      <c r="M5462" s="2" t="s">
        <v>26</v>
      </c>
      <c r="N5462" s="29"/>
      <c r="O5462" s="29"/>
      <c r="P5462" s="5" t="str">
        <f>IFERROR(__xludf.DUMMYFUNCTION("TEXTJOIN("" | "",TRUE,IF(OR(D5462="""",E5462="""",I5462="""",J5462="""",H5462=""""),""ফাঁকা ঘর"",""""),IF(AND(C5462&lt;&gt;"""",D5462&lt;&gt;"""",C5462=D5462),""gloss=figurative"",""""),IF(LEN(D5462)&lt;15,""figurative ছোট"",""""),IF(AND(I5462=""Positive"",REGEXMATCH(H5"&amp;"462,""মূর্খ|ভণ্ড|প্রতার|অলস|লোভ|স্বার্থ|অক্ষম|অযোগ্য|বোকা|কৃপণ|হিংস"")),""valence-target অমিল"",""""),IF(COUNTIF($B:$B,B5462)&gt;1,""ডুপ্লিকেট"",""""))"),"")</f>
        <v/>
      </c>
      <c r="Q5462" s="5" t="str">
        <f t="shared" si="1"/>
        <v>২ পরে</v>
      </c>
    </row>
    <row r="5463">
      <c r="A5463" s="4">
        <v>3329.0</v>
      </c>
      <c r="B5463" s="2" t="s">
        <v>22352</v>
      </c>
      <c r="C5463" s="2" t="s">
        <v>22353</v>
      </c>
      <c r="D5463" s="2" t="s">
        <v>22354</v>
      </c>
      <c r="E5463" s="2" t="s">
        <v>22355</v>
      </c>
      <c r="F5463" s="2" t="b">
        <v>1</v>
      </c>
      <c r="G5463" s="2" t="b">
        <v>0</v>
      </c>
      <c r="H5463" s="2" t="s">
        <v>722</v>
      </c>
      <c r="I5463" s="2" t="s">
        <v>32</v>
      </c>
      <c r="J5463" s="2" t="s">
        <v>3105</v>
      </c>
      <c r="K5463" s="2" t="s">
        <v>495</v>
      </c>
      <c r="L5463" s="13" t="s">
        <v>496</v>
      </c>
      <c r="M5463" s="2" t="s">
        <v>26</v>
      </c>
      <c r="N5463" s="29"/>
      <c r="O5463" s="29"/>
      <c r="P5463" s="5" t="str">
        <f>IFERROR(__xludf.DUMMYFUNCTION("TEXTJOIN("" | "",TRUE,IF(OR(D5463="""",E5463="""",I5463="""",J5463="""",H5463=""""),""ফাঁকা ঘর"",""""),IF(AND(C5463&lt;&gt;"""",D5463&lt;&gt;"""",C5463=D5463),""gloss=figurative"",""""),IF(LEN(D5463)&lt;15,""figurative ছোট"",""""),IF(AND(I5463=""Positive"",REGEXMATCH(H5"&amp;"463,""মূর্খ|ভণ্ড|প্রতার|অলস|লোভ|স্বার্থ|অক্ষম|অযোগ্য|বোকা|কৃপণ|হিংস"")),""valence-target অমিল"",""""),IF(COUNTIF($B:$B,B5463)&gt;1,""ডুপ্লিকেট"",""""))"),"")</f>
        <v/>
      </c>
      <c r="Q5463" s="5" t="str">
        <f t="shared" si="1"/>
        <v>২ পরে</v>
      </c>
    </row>
    <row r="5464">
      <c r="A5464" s="4">
        <v>3330.0</v>
      </c>
      <c r="B5464" s="2" t="s">
        <v>22356</v>
      </c>
      <c r="C5464" s="2" t="s">
        <v>22357</v>
      </c>
      <c r="D5464" s="2" t="s">
        <v>22358</v>
      </c>
      <c r="E5464" s="2" t="s">
        <v>22359</v>
      </c>
      <c r="F5464" s="2" t="b">
        <v>1</v>
      </c>
      <c r="G5464" s="2" t="b">
        <v>0</v>
      </c>
      <c r="H5464" s="2" t="s">
        <v>3161</v>
      </c>
      <c r="I5464" s="2" t="s">
        <v>22</v>
      </c>
      <c r="J5464" s="2" t="s">
        <v>43</v>
      </c>
      <c r="K5464" s="2" t="s">
        <v>495</v>
      </c>
      <c r="L5464" s="13" t="s">
        <v>496</v>
      </c>
      <c r="M5464" s="2" t="s">
        <v>26</v>
      </c>
      <c r="N5464" s="29"/>
      <c r="O5464" s="29"/>
      <c r="P5464" s="5" t="str">
        <f>IFERROR(__xludf.DUMMYFUNCTION("TEXTJOIN("" | "",TRUE,IF(OR(D5464="""",E5464="""",I5464="""",J5464="""",H5464=""""),""ফাঁকা ঘর"",""""),IF(AND(C5464&lt;&gt;"""",D5464&lt;&gt;"""",C5464=D5464),""gloss=figurative"",""""),IF(LEN(D5464)&lt;15,""figurative ছোট"",""""),IF(AND(I5464=""Positive"",REGEXMATCH(H5"&amp;"464,""মূর্খ|ভণ্ড|প্রতার|অলস|লোভ|স্বার্থ|অক্ষম|অযোগ্য|বোকা|কৃপণ|হিংস"")),""valence-target অমিল"",""""),IF(COUNTIF($B:$B,B5464)&gt;1,""ডুপ্লিকেট"",""""))"),"")</f>
        <v/>
      </c>
      <c r="Q5464" s="5" t="str">
        <f t="shared" si="1"/>
        <v>২ পরে</v>
      </c>
    </row>
    <row r="5465">
      <c r="A5465" s="4">
        <v>3331.0</v>
      </c>
      <c r="B5465" s="2" t="s">
        <v>22360</v>
      </c>
      <c r="C5465" s="2" t="s">
        <v>22361</v>
      </c>
      <c r="D5465" s="2" t="s">
        <v>22362</v>
      </c>
      <c r="E5465" s="2" t="s">
        <v>22363</v>
      </c>
      <c r="F5465" s="2" t="b">
        <v>1</v>
      </c>
      <c r="G5465" s="2" t="b">
        <v>0</v>
      </c>
      <c r="H5465" s="2" t="s">
        <v>22364</v>
      </c>
      <c r="I5465" s="2" t="s">
        <v>49</v>
      </c>
      <c r="J5465" s="2" t="s">
        <v>424</v>
      </c>
      <c r="K5465" s="2" t="s">
        <v>495</v>
      </c>
      <c r="L5465" s="13" t="s">
        <v>496</v>
      </c>
      <c r="M5465" s="2" t="s">
        <v>26</v>
      </c>
      <c r="N5465" s="29"/>
      <c r="O5465" s="29"/>
      <c r="P5465" s="5" t="str">
        <f>IFERROR(__xludf.DUMMYFUNCTION("TEXTJOIN("" | "",TRUE,IF(OR(D5465="""",E5465="""",I5465="""",J5465="""",H5465=""""),""ফাঁকা ঘর"",""""),IF(AND(C5465&lt;&gt;"""",D5465&lt;&gt;"""",C5465=D5465),""gloss=figurative"",""""),IF(LEN(D5465)&lt;15,""figurative ছোট"",""""),IF(AND(I5465=""Positive"",REGEXMATCH(H5"&amp;"465,""মূর্খ|ভণ্ড|প্রতার|অলস|লোভ|স্বার্থ|অক্ষম|অযোগ্য|বোকা|কৃপণ|হিংস"")),""valence-target অমিল"",""""),IF(COUNTIF($B:$B,B5465)&gt;1,""ডুপ্লিকেট"",""""))"),"")</f>
        <v/>
      </c>
      <c r="Q5465" s="5" t="str">
        <f t="shared" si="1"/>
        <v>২ পরে</v>
      </c>
    </row>
    <row r="5466">
      <c r="A5466" s="4">
        <v>3332.0</v>
      </c>
      <c r="B5466" s="2" t="s">
        <v>22365</v>
      </c>
      <c r="C5466" s="2" t="s">
        <v>22366</v>
      </c>
      <c r="D5466" s="2" t="s">
        <v>22367</v>
      </c>
      <c r="E5466" s="2" t="s">
        <v>22368</v>
      </c>
      <c r="F5466" s="2" t="b">
        <v>1</v>
      </c>
      <c r="G5466" s="2" t="b">
        <v>0</v>
      </c>
      <c r="H5466" s="2" t="s">
        <v>16157</v>
      </c>
      <c r="I5466" s="2" t="s">
        <v>22</v>
      </c>
      <c r="J5466" s="2" t="s">
        <v>1008</v>
      </c>
      <c r="K5466" s="2" t="s">
        <v>495</v>
      </c>
      <c r="L5466" s="13" t="s">
        <v>496</v>
      </c>
      <c r="M5466" s="2" t="s">
        <v>26</v>
      </c>
      <c r="N5466" s="29"/>
      <c r="O5466" s="29"/>
      <c r="P5466" s="5" t="str">
        <f>IFERROR(__xludf.DUMMYFUNCTION("TEXTJOIN("" | "",TRUE,IF(OR(D5466="""",E5466="""",I5466="""",J5466="""",H5466=""""),""ফাঁকা ঘর"",""""),IF(AND(C5466&lt;&gt;"""",D5466&lt;&gt;"""",C5466=D5466),""gloss=figurative"",""""),IF(LEN(D5466)&lt;15,""figurative ছোট"",""""),IF(AND(I5466=""Positive"",REGEXMATCH(H5"&amp;"466,""মূর্খ|ভণ্ড|প্রতার|অলস|লোভ|স্বার্থ|অক্ষম|অযোগ্য|বোকা|কৃপণ|হিংস"")),""valence-target অমিল"",""""),IF(COUNTIF($B:$B,B5466)&gt;1,""ডুপ্লিকেট"",""""))"),"")</f>
        <v/>
      </c>
      <c r="Q5466" s="5" t="str">
        <f t="shared" si="1"/>
        <v>২ পরে</v>
      </c>
    </row>
    <row r="5467">
      <c r="A5467" s="4">
        <v>3333.0</v>
      </c>
      <c r="B5467" s="2" t="s">
        <v>22369</v>
      </c>
      <c r="C5467" s="2" t="s">
        <v>22370</v>
      </c>
      <c r="D5467" s="2" t="s">
        <v>22371</v>
      </c>
      <c r="E5467" s="2" t="s">
        <v>19190</v>
      </c>
      <c r="F5467" s="2" t="b">
        <v>1</v>
      </c>
      <c r="G5467" s="2" t="b">
        <v>0</v>
      </c>
      <c r="H5467" s="2" t="s">
        <v>37</v>
      </c>
      <c r="I5467" s="2" t="s">
        <v>32</v>
      </c>
      <c r="J5467" s="2" t="s">
        <v>43</v>
      </c>
      <c r="K5467" s="2" t="s">
        <v>495</v>
      </c>
      <c r="L5467" s="13" t="s">
        <v>496</v>
      </c>
      <c r="M5467" s="2" t="s">
        <v>26</v>
      </c>
      <c r="N5467" s="29"/>
      <c r="O5467" s="29"/>
      <c r="P5467" s="5" t="str">
        <f>IFERROR(__xludf.DUMMYFUNCTION("TEXTJOIN("" | "",TRUE,IF(OR(D5467="""",E5467="""",I5467="""",J5467="""",H5467=""""),""ফাঁকা ঘর"",""""),IF(AND(C5467&lt;&gt;"""",D5467&lt;&gt;"""",C5467=D5467),""gloss=figurative"",""""),IF(LEN(D5467)&lt;15,""figurative ছোট"",""""),IF(AND(I5467=""Positive"",REGEXMATCH(H5"&amp;"467,""মূর্খ|ভণ্ড|প্রতার|অলস|লোভ|স্বার্থ|অক্ষম|অযোগ্য|বোকা|কৃপণ|হিংস"")),""valence-target অমিল"",""""),IF(COUNTIF($B:$B,B5467)&gt;1,""ডুপ্লিকেট"",""""))"),"")</f>
        <v/>
      </c>
      <c r="Q5467" s="5" t="str">
        <f t="shared" si="1"/>
        <v>২ পরে</v>
      </c>
    </row>
    <row r="5468">
      <c r="A5468" s="4">
        <v>3334.0</v>
      </c>
      <c r="B5468" s="2" t="s">
        <v>22372</v>
      </c>
      <c r="C5468" s="2" t="s">
        <v>22372</v>
      </c>
      <c r="D5468" s="2" t="s">
        <v>22373</v>
      </c>
      <c r="E5468" s="2" t="s">
        <v>19194</v>
      </c>
      <c r="F5468" s="2" t="b">
        <v>1</v>
      </c>
      <c r="G5468" s="2" t="b">
        <v>0</v>
      </c>
      <c r="H5468" s="2" t="s">
        <v>37</v>
      </c>
      <c r="I5468" s="2" t="s">
        <v>49</v>
      </c>
      <c r="J5468" s="2" t="s">
        <v>176</v>
      </c>
      <c r="K5468" s="2" t="s">
        <v>495</v>
      </c>
      <c r="L5468" s="13" t="s">
        <v>496</v>
      </c>
      <c r="M5468" s="2" t="s">
        <v>26</v>
      </c>
      <c r="N5468" s="29"/>
      <c r="O5468" s="29"/>
      <c r="P5468" s="5" t="str">
        <f>IFERROR(__xludf.DUMMYFUNCTION("TEXTJOIN("" | "",TRUE,IF(OR(D5468="""",E5468="""",I5468="""",J5468="""",H5468=""""),""ফাঁকা ঘর"",""""),IF(AND(C5468&lt;&gt;"""",D5468&lt;&gt;"""",C5468=D5468),""gloss=figurative"",""""),IF(LEN(D5468)&lt;15,""figurative ছোট"",""""),IF(AND(I5468=""Positive"",REGEXMATCH(H5"&amp;"468,""মূর্খ|ভণ্ড|প্রতার|অলস|লোভ|স্বার্থ|অক্ষম|অযোগ্য|বোকা|কৃপণ|হিংস"")),""valence-target অমিল"",""""),IF(COUNTIF($B:$B,B5468)&gt;1,""ডুপ্লিকেট"",""""))"),"")</f>
        <v/>
      </c>
      <c r="Q5468" s="5" t="str">
        <f t="shared" si="1"/>
        <v>২ পরে</v>
      </c>
    </row>
    <row r="5469">
      <c r="A5469" s="4">
        <v>3335.0</v>
      </c>
      <c r="B5469" s="2" t="s">
        <v>22374</v>
      </c>
      <c r="C5469" s="2" t="s">
        <v>22375</v>
      </c>
      <c r="D5469" s="2" t="s">
        <v>22376</v>
      </c>
      <c r="E5469" s="2" t="s">
        <v>19198</v>
      </c>
      <c r="F5469" s="2" t="b">
        <v>1</v>
      </c>
      <c r="G5469" s="2" t="b">
        <v>0</v>
      </c>
      <c r="H5469" s="2" t="s">
        <v>37</v>
      </c>
      <c r="I5469" s="2" t="s">
        <v>32</v>
      </c>
      <c r="J5469" s="2" t="s">
        <v>2165</v>
      </c>
      <c r="K5469" s="2" t="s">
        <v>495</v>
      </c>
      <c r="L5469" s="13" t="s">
        <v>496</v>
      </c>
      <c r="M5469" s="2" t="s">
        <v>26</v>
      </c>
      <c r="N5469" s="29"/>
      <c r="O5469" s="29"/>
      <c r="P5469" s="5" t="str">
        <f>IFERROR(__xludf.DUMMYFUNCTION("TEXTJOIN("" | "",TRUE,IF(OR(D5469="""",E5469="""",I5469="""",J5469="""",H5469=""""),""ফাঁকা ঘর"",""""),IF(AND(C5469&lt;&gt;"""",D5469&lt;&gt;"""",C5469=D5469),""gloss=figurative"",""""),IF(LEN(D5469)&lt;15,""figurative ছোট"",""""),IF(AND(I5469=""Positive"",REGEXMATCH(H5"&amp;"469,""মূর্খ|ভণ্ড|প্রতার|অলস|লোভ|স্বার্থ|অক্ষম|অযোগ্য|বোকা|কৃপণ|হিংস"")),""valence-target অমিল"",""""),IF(COUNTIF($B:$B,B5469)&gt;1,""ডুপ্লিকেট"",""""))"),"")</f>
        <v/>
      </c>
      <c r="Q5469" s="5" t="str">
        <f t="shared" si="1"/>
        <v>২ পরে</v>
      </c>
    </row>
    <row r="5470">
      <c r="A5470" s="4">
        <v>3336.0</v>
      </c>
      <c r="B5470" s="2" t="s">
        <v>22377</v>
      </c>
      <c r="C5470" s="2" t="s">
        <v>22377</v>
      </c>
      <c r="D5470" s="2" t="s">
        <v>22378</v>
      </c>
      <c r="E5470" s="2" t="s">
        <v>19202</v>
      </c>
      <c r="F5470" s="2" t="b">
        <v>1</v>
      </c>
      <c r="G5470" s="2" t="b">
        <v>0</v>
      </c>
      <c r="H5470" s="2" t="s">
        <v>37</v>
      </c>
      <c r="I5470" s="2" t="s">
        <v>22</v>
      </c>
      <c r="J5470" s="2" t="s">
        <v>708</v>
      </c>
      <c r="K5470" s="2" t="s">
        <v>495</v>
      </c>
      <c r="L5470" s="13" t="s">
        <v>496</v>
      </c>
      <c r="M5470" s="2" t="s">
        <v>26</v>
      </c>
      <c r="N5470" s="29"/>
      <c r="O5470" s="29"/>
      <c r="P5470" s="5" t="str">
        <f>IFERROR(__xludf.DUMMYFUNCTION("TEXTJOIN("" | "",TRUE,IF(OR(D5470="""",E5470="""",I5470="""",J5470="""",H5470=""""),""ফাঁকা ঘর"",""""),IF(AND(C5470&lt;&gt;"""",D5470&lt;&gt;"""",C5470=D5470),""gloss=figurative"",""""),IF(LEN(D5470)&lt;15,""figurative ছোট"",""""),IF(AND(I5470=""Positive"",REGEXMATCH(H5"&amp;"470,""মূর্খ|ভণ্ড|প্রতার|অলস|লোভ|স্বার্থ|অক্ষম|অযোগ্য|বোকা|কৃপণ|হিংস"")),""valence-target অমিল"",""""),IF(COUNTIF($B:$B,B5470)&gt;1,""ডুপ্লিকেট"",""""))"),"")</f>
        <v/>
      </c>
      <c r="Q5470" s="5" t="str">
        <f t="shared" si="1"/>
        <v>২ পরে</v>
      </c>
    </row>
    <row r="5471">
      <c r="A5471" s="4">
        <v>3337.0</v>
      </c>
      <c r="B5471" s="2" t="s">
        <v>22379</v>
      </c>
      <c r="C5471" s="2" t="s">
        <v>22380</v>
      </c>
      <c r="D5471" s="2" t="s">
        <v>22381</v>
      </c>
      <c r="E5471" s="2" t="s">
        <v>22382</v>
      </c>
      <c r="F5471" s="2" t="b">
        <v>1</v>
      </c>
      <c r="G5471" s="2" t="b">
        <v>0</v>
      </c>
      <c r="H5471" s="2" t="s">
        <v>978</v>
      </c>
      <c r="I5471" s="2" t="s">
        <v>22</v>
      </c>
      <c r="J5471" s="2" t="s">
        <v>1630</v>
      </c>
      <c r="K5471" s="2" t="s">
        <v>495</v>
      </c>
      <c r="L5471" s="13" t="s">
        <v>496</v>
      </c>
      <c r="M5471" s="2" t="s">
        <v>26</v>
      </c>
      <c r="N5471" s="29"/>
      <c r="O5471" s="29"/>
      <c r="P5471" s="5" t="str">
        <f>IFERROR(__xludf.DUMMYFUNCTION("TEXTJOIN("" | "",TRUE,IF(OR(D5471="""",E5471="""",I5471="""",J5471="""",H5471=""""),""ফাঁকা ঘর"",""""),IF(AND(C5471&lt;&gt;"""",D5471&lt;&gt;"""",C5471=D5471),""gloss=figurative"",""""),IF(LEN(D5471)&lt;15,""figurative ছোট"",""""),IF(AND(I5471=""Positive"",REGEXMATCH(H5"&amp;"471,""মূর্খ|ভণ্ড|প্রতার|অলস|লোভ|স্বার্থ|অক্ষম|অযোগ্য|বোকা|কৃপণ|হিংস"")),""valence-target অমিল"",""""),IF(COUNTIF($B:$B,B5471)&gt;1,""ডুপ্লিকেট"",""""))"),"")</f>
        <v/>
      </c>
      <c r="Q5471" s="5" t="str">
        <f t="shared" si="1"/>
        <v>২ পরে</v>
      </c>
    </row>
    <row r="5472">
      <c r="A5472" s="4">
        <v>3338.0</v>
      </c>
      <c r="B5472" s="2" t="s">
        <v>22383</v>
      </c>
      <c r="C5472" s="2" t="s">
        <v>22384</v>
      </c>
      <c r="D5472" s="2" t="s">
        <v>22385</v>
      </c>
      <c r="E5472" s="2" t="s">
        <v>22386</v>
      </c>
      <c r="F5472" s="2" t="b">
        <v>1</v>
      </c>
      <c r="G5472" s="2" t="b">
        <v>0</v>
      </c>
      <c r="H5472" s="2" t="s">
        <v>1025</v>
      </c>
      <c r="I5472" s="2" t="s">
        <v>22</v>
      </c>
      <c r="J5472" s="2" t="s">
        <v>43</v>
      </c>
      <c r="K5472" s="2" t="s">
        <v>495</v>
      </c>
      <c r="L5472" s="13" t="s">
        <v>496</v>
      </c>
      <c r="M5472" s="2" t="s">
        <v>26</v>
      </c>
      <c r="N5472" s="29"/>
      <c r="O5472" s="29"/>
      <c r="P5472" s="5" t="str">
        <f>IFERROR(__xludf.DUMMYFUNCTION("TEXTJOIN("" | "",TRUE,IF(OR(D5472="""",E5472="""",I5472="""",J5472="""",H5472=""""),""ফাঁকা ঘর"",""""),IF(AND(C5472&lt;&gt;"""",D5472&lt;&gt;"""",C5472=D5472),""gloss=figurative"",""""),IF(LEN(D5472)&lt;15,""figurative ছোট"",""""),IF(AND(I5472=""Positive"",REGEXMATCH(H5"&amp;"472,""মূর্খ|ভণ্ড|প্রতার|অলস|লোভ|স্বার্থ|অক্ষম|অযোগ্য|বোকা|কৃপণ|হিংস"")),""valence-target অমিল"",""""),IF(COUNTIF($B:$B,B5472)&gt;1,""ডুপ্লিকেট"",""""))"),"")</f>
        <v/>
      </c>
      <c r="Q5472" s="5" t="str">
        <f t="shared" si="1"/>
        <v>২ পরে</v>
      </c>
    </row>
    <row r="5473">
      <c r="A5473" s="4">
        <v>3339.0</v>
      </c>
      <c r="B5473" s="2" t="s">
        <v>22387</v>
      </c>
      <c r="C5473" s="2" t="s">
        <v>22387</v>
      </c>
      <c r="D5473" s="2" t="s">
        <v>22388</v>
      </c>
      <c r="E5473" s="2" t="s">
        <v>14753</v>
      </c>
      <c r="F5473" s="2" t="b">
        <v>1</v>
      </c>
      <c r="G5473" s="2" t="b">
        <v>0</v>
      </c>
      <c r="H5473" s="2" t="s">
        <v>521</v>
      </c>
      <c r="I5473" s="2" t="s">
        <v>22</v>
      </c>
      <c r="J5473" s="2" t="s">
        <v>300</v>
      </c>
      <c r="K5473" s="2" t="s">
        <v>495</v>
      </c>
      <c r="L5473" s="13" t="s">
        <v>496</v>
      </c>
      <c r="M5473" s="2" t="s">
        <v>26</v>
      </c>
      <c r="N5473" s="29"/>
      <c r="O5473" s="29"/>
      <c r="P5473" s="5" t="str">
        <f>IFERROR(__xludf.DUMMYFUNCTION("TEXTJOIN("" | "",TRUE,IF(OR(D5473="""",E5473="""",I5473="""",J5473="""",H5473=""""),""ফাঁকা ঘর"",""""),IF(AND(C5473&lt;&gt;"""",D5473&lt;&gt;"""",C5473=D5473),""gloss=figurative"",""""),IF(LEN(D5473)&lt;15,""figurative ছোট"",""""),IF(AND(I5473=""Positive"",REGEXMATCH(H5"&amp;"473,""মূর্খ|ভণ্ড|প্রতার|অলস|লোভ|স্বার্থ|অক্ষম|অযোগ্য|বোকা|কৃপণ|হিংস"")),""valence-target অমিল"",""""),IF(COUNTIF($B:$B,B5473)&gt;1,""ডুপ্লিকেট"",""""))"),"")</f>
        <v/>
      </c>
      <c r="Q5473" s="5" t="str">
        <f t="shared" si="1"/>
        <v>২ পরে</v>
      </c>
    </row>
    <row r="5474">
      <c r="A5474" s="4">
        <v>3340.0</v>
      </c>
      <c r="B5474" s="2" t="s">
        <v>22389</v>
      </c>
      <c r="C5474" s="2" t="s">
        <v>22390</v>
      </c>
      <c r="D5474" s="2" t="s">
        <v>22391</v>
      </c>
      <c r="E5474" s="2" t="s">
        <v>22392</v>
      </c>
      <c r="F5474" s="2" t="b">
        <v>1</v>
      </c>
      <c r="G5474" s="2" t="b">
        <v>1</v>
      </c>
      <c r="H5474" s="2" t="s">
        <v>22393</v>
      </c>
      <c r="I5474" s="2" t="s">
        <v>32</v>
      </c>
      <c r="J5474" s="2" t="s">
        <v>22394</v>
      </c>
      <c r="K5474" s="2" t="s">
        <v>495</v>
      </c>
      <c r="L5474" s="13" t="s">
        <v>496</v>
      </c>
      <c r="M5474" s="2" t="s">
        <v>26</v>
      </c>
      <c r="N5474" s="29"/>
      <c r="O5474" s="29"/>
      <c r="P5474" s="5" t="str">
        <f>IFERROR(__xludf.DUMMYFUNCTION("TEXTJOIN("" | "",TRUE,IF(OR(D5474="""",E5474="""",I5474="""",J5474="""",H5474=""""),""ফাঁকা ঘর"",""""),IF(AND(C5474&lt;&gt;"""",D5474&lt;&gt;"""",C5474=D5474),""gloss=figurative"",""""),IF(LEN(D5474)&lt;15,""figurative ছোট"",""""),IF(AND(I5474=""Positive"",REGEXMATCH(H5"&amp;"474,""মূর্খ|ভণ্ড|প্রতার|অলস|লোভ|স্বার্থ|অক্ষম|অযোগ্য|বোকা|কৃপণ|হিংস"")),""valence-target অমিল"",""""),IF(COUNTIF($B:$B,B5474)&gt;1,""ডুপ্লিকেট"",""""))"),"")</f>
        <v/>
      </c>
      <c r="Q5474" s="5" t="str">
        <f t="shared" si="1"/>
        <v>২ পরে</v>
      </c>
    </row>
    <row r="5475">
      <c r="A5475" s="4">
        <v>3341.0</v>
      </c>
      <c r="B5475" s="2" t="s">
        <v>22395</v>
      </c>
      <c r="C5475" s="2" t="s">
        <v>22396</v>
      </c>
      <c r="D5475" s="2" t="s">
        <v>22397</v>
      </c>
      <c r="E5475" s="2" t="s">
        <v>22398</v>
      </c>
      <c r="F5475" s="2" t="b">
        <v>1</v>
      </c>
      <c r="G5475" s="2" t="b">
        <v>0</v>
      </c>
      <c r="H5475" s="2" t="s">
        <v>22399</v>
      </c>
      <c r="I5475" s="2" t="s">
        <v>22</v>
      </c>
      <c r="J5475" s="2" t="s">
        <v>708</v>
      </c>
      <c r="K5475" s="2" t="s">
        <v>495</v>
      </c>
      <c r="L5475" s="13" t="s">
        <v>496</v>
      </c>
      <c r="M5475" s="2" t="s">
        <v>26</v>
      </c>
      <c r="N5475" s="29"/>
      <c r="O5475" s="29"/>
      <c r="P5475" s="5" t="str">
        <f>IFERROR(__xludf.DUMMYFUNCTION("TEXTJOIN("" | "",TRUE,IF(OR(D5475="""",E5475="""",I5475="""",J5475="""",H5475=""""),""ফাঁকা ঘর"",""""),IF(AND(C5475&lt;&gt;"""",D5475&lt;&gt;"""",C5475=D5475),""gloss=figurative"",""""),IF(LEN(D5475)&lt;15,""figurative ছোট"",""""),IF(AND(I5475=""Positive"",REGEXMATCH(H5"&amp;"475,""মূর্খ|ভণ্ড|প্রতার|অলস|লোভ|স্বার্থ|অক্ষম|অযোগ্য|বোকা|কৃপণ|হিংস"")),""valence-target অমিল"",""""),IF(COUNTIF($B:$B,B5475)&gt;1,""ডুপ্লিকেট"",""""))"),"")</f>
        <v/>
      </c>
      <c r="Q5475" s="5" t="str">
        <f t="shared" si="1"/>
        <v>২ পরে</v>
      </c>
    </row>
    <row r="5476">
      <c r="A5476" s="4">
        <v>3342.0</v>
      </c>
      <c r="B5476" s="2" t="s">
        <v>22400</v>
      </c>
      <c r="C5476" s="2" t="s">
        <v>22400</v>
      </c>
      <c r="D5476" s="2" t="s">
        <v>22401</v>
      </c>
      <c r="E5476" s="2" t="s">
        <v>22402</v>
      </c>
      <c r="F5476" s="2" t="b">
        <v>1</v>
      </c>
      <c r="G5476" s="2" t="b">
        <v>0</v>
      </c>
      <c r="H5476" s="2" t="s">
        <v>37</v>
      </c>
      <c r="I5476" s="2" t="s">
        <v>49</v>
      </c>
      <c r="J5476" s="2" t="s">
        <v>1008</v>
      </c>
      <c r="K5476" s="2" t="s">
        <v>495</v>
      </c>
      <c r="L5476" s="13" t="s">
        <v>496</v>
      </c>
      <c r="M5476" s="2" t="s">
        <v>26</v>
      </c>
      <c r="N5476" s="29"/>
      <c r="O5476" s="29"/>
      <c r="P5476" s="5" t="str">
        <f>IFERROR(__xludf.DUMMYFUNCTION("TEXTJOIN("" | "",TRUE,IF(OR(D5476="""",E5476="""",I5476="""",J5476="""",H5476=""""),""ফাঁকা ঘর"",""""),IF(AND(C5476&lt;&gt;"""",D5476&lt;&gt;"""",C5476=D5476),""gloss=figurative"",""""),IF(LEN(D5476)&lt;15,""figurative ছোট"",""""),IF(AND(I5476=""Positive"",REGEXMATCH(H5"&amp;"476,""মূর্খ|ভণ্ড|প্রতার|অলস|লোভ|স্বার্থ|অক্ষম|অযোগ্য|বোকা|কৃপণ|হিংস"")),""valence-target অমিল"",""""),IF(COUNTIF($B:$B,B5476)&gt;1,""ডুপ্লিকেট"",""""))"),"")</f>
        <v/>
      </c>
      <c r="Q5476" s="5" t="str">
        <f t="shared" si="1"/>
        <v>২ পরে</v>
      </c>
    </row>
    <row r="5477">
      <c r="A5477" s="4">
        <v>3343.0</v>
      </c>
      <c r="B5477" s="2" t="s">
        <v>22403</v>
      </c>
      <c r="C5477" s="2" t="s">
        <v>22404</v>
      </c>
      <c r="D5477" s="2" t="s">
        <v>22405</v>
      </c>
      <c r="E5477" s="2" t="s">
        <v>22406</v>
      </c>
      <c r="F5477" s="2" t="b">
        <v>1</v>
      </c>
      <c r="G5477" s="2" t="b">
        <v>0</v>
      </c>
      <c r="H5477" s="2" t="s">
        <v>22407</v>
      </c>
      <c r="I5477" s="2" t="s">
        <v>22</v>
      </c>
      <c r="J5477" s="2" t="s">
        <v>3105</v>
      </c>
      <c r="K5477" s="2" t="s">
        <v>495</v>
      </c>
      <c r="L5477" s="13" t="s">
        <v>496</v>
      </c>
      <c r="M5477" s="2" t="s">
        <v>26</v>
      </c>
      <c r="N5477" s="29"/>
      <c r="O5477" s="29"/>
      <c r="P5477" s="5" t="str">
        <f>IFERROR(__xludf.DUMMYFUNCTION("TEXTJOIN("" | "",TRUE,IF(OR(D5477="""",E5477="""",I5477="""",J5477="""",H5477=""""),""ফাঁকা ঘর"",""""),IF(AND(C5477&lt;&gt;"""",D5477&lt;&gt;"""",C5477=D5477),""gloss=figurative"",""""),IF(LEN(D5477)&lt;15,""figurative ছোট"",""""),IF(AND(I5477=""Positive"",REGEXMATCH(H5"&amp;"477,""মূর্খ|ভণ্ড|প্রতার|অলস|লোভ|স্বার্থ|অক্ষম|অযোগ্য|বোকা|কৃপণ|হিংস"")),""valence-target অমিল"",""""),IF(COUNTIF($B:$B,B5477)&gt;1,""ডুপ্লিকেট"",""""))"),"")</f>
        <v/>
      </c>
      <c r="Q5477" s="5" t="str">
        <f t="shared" si="1"/>
        <v>২ পরে</v>
      </c>
    </row>
    <row r="5478">
      <c r="A5478" s="4">
        <v>3344.0</v>
      </c>
      <c r="B5478" s="2" t="s">
        <v>22408</v>
      </c>
      <c r="C5478" s="2" t="s">
        <v>22409</v>
      </c>
      <c r="D5478" s="2" t="s">
        <v>22410</v>
      </c>
      <c r="E5478" s="2" t="s">
        <v>22411</v>
      </c>
      <c r="F5478" s="2" t="b">
        <v>1</v>
      </c>
      <c r="G5478" s="2" t="b">
        <v>0</v>
      </c>
      <c r="H5478" s="2" t="s">
        <v>37</v>
      </c>
      <c r="I5478" s="2" t="s">
        <v>32</v>
      </c>
      <c r="J5478" s="2" t="s">
        <v>750</v>
      </c>
      <c r="K5478" s="2" t="s">
        <v>495</v>
      </c>
      <c r="L5478" s="13" t="s">
        <v>496</v>
      </c>
      <c r="M5478" s="2" t="s">
        <v>26</v>
      </c>
      <c r="N5478" s="29"/>
      <c r="O5478" s="29"/>
      <c r="P5478" s="5" t="str">
        <f>IFERROR(__xludf.DUMMYFUNCTION("TEXTJOIN("" | "",TRUE,IF(OR(D5478="""",E5478="""",I5478="""",J5478="""",H5478=""""),""ফাঁকা ঘর"",""""),IF(AND(C5478&lt;&gt;"""",D5478&lt;&gt;"""",C5478=D5478),""gloss=figurative"",""""),IF(LEN(D5478)&lt;15,""figurative ছোট"",""""),IF(AND(I5478=""Positive"",REGEXMATCH(H5"&amp;"478,""মূর্খ|ভণ্ড|প্রতার|অলস|লোভ|স্বার্থ|অক্ষম|অযোগ্য|বোকা|কৃপণ|হিংস"")),""valence-target অমিল"",""""),IF(COUNTIF($B:$B,B5478)&gt;1,""ডুপ্লিকেট"",""""))"),"")</f>
        <v/>
      </c>
      <c r="Q5478" s="5" t="str">
        <f t="shared" si="1"/>
        <v>২ পরে</v>
      </c>
    </row>
    <row r="5479">
      <c r="A5479" s="4">
        <v>3345.0</v>
      </c>
      <c r="B5479" s="2" t="s">
        <v>22412</v>
      </c>
      <c r="C5479" s="2" t="s">
        <v>22413</v>
      </c>
      <c r="D5479" s="2" t="s">
        <v>22414</v>
      </c>
      <c r="E5479" s="2" t="s">
        <v>22415</v>
      </c>
      <c r="F5479" s="2" t="b">
        <v>1</v>
      </c>
      <c r="G5479" s="2" t="b">
        <v>0</v>
      </c>
      <c r="H5479" s="2" t="s">
        <v>37</v>
      </c>
      <c r="I5479" s="2" t="s">
        <v>32</v>
      </c>
      <c r="J5479" s="2" t="s">
        <v>750</v>
      </c>
      <c r="K5479" s="2" t="s">
        <v>495</v>
      </c>
      <c r="L5479" s="13" t="s">
        <v>496</v>
      </c>
      <c r="M5479" s="2" t="s">
        <v>26</v>
      </c>
      <c r="N5479" s="29"/>
      <c r="O5479" s="29"/>
      <c r="P5479" s="5" t="str">
        <f>IFERROR(__xludf.DUMMYFUNCTION("TEXTJOIN("" | "",TRUE,IF(OR(D5479="""",E5479="""",I5479="""",J5479="""",H5479=""""),""ফাঁকা ঘর"",""""),IF(AND(C5479&lt;&gt;"""",D5479&lt;&gt;"""",C5479=D5479),""gloss=figurative"",""""),IF(LEN(D5479)&lt;15,""figurative ছোট"",""""),IF(AND(I5479=""Positive"",REGEXMATCH(H5"&amp;"479,""মূর্খ|ভণ্ড|প্রতার|অলস|লোভ|স্বার্থ|অক্ষম|অযোগ্য|বোকা|কৃপণ|হিংস"")),""valence-target অমিল"",""""),IF(COUNTIF($B:$B,B5479)&gt;1,""ডুপ্লিকেট"",""""))"),"")</f>
        <v/>
      </c>
      <c r="Q5479" s="5" t="str">
        <f t="shared" si="1"/>
        <v>২ পরে</v>
      </c>
    </row>
    <row r="5480">
      <c r="A5480" s="4">
        <v>3346.0</v>
      </c>
      <c r="B5480" s="2" t="s">
        <v>22416</v>
      </c>
      <c r="C5480" s="2" t="s">
        <v>22417</v>
      </c>
      <c r="D5480" s="2" t="s">
        <v>22418</v>
      </c>
      <c r="E5480" s="2" t="s">
        <v>22419</v>
      </c>
      <c r="F5480" s="2" t="b">
        <v>1</v>
      </c>
      <c r="G5480" s="2" t="b">
        <v>0</v>
      </c>
      <c r="H5480" s="2" t="s">
        <v>37</v>
      </c>
      <c r="I5480" s="2" t="s">
        <v>32</v>
      </c>
      <c r="J5480" s="2" t="s">
        <v>729</v>
      </c>
      <c r="K5480" s="2" t="s">
        <v>495</v>
      </c>
      <c r="L5480" s="13" t="s">
        <v>496</v>
      </c>
      <c r="M5480" s="2" t="s">
        <v>26</v>
      </c>
      <c r="N5480" s="29"/>
      <c r="O5480" s="29"/>
      <c r="P5480" s="5" t="str">
        <f>IFERROR(__xludf.DUMMYFUNCTION("TEXTJOIN("" | "",TRUE,IF(OR(D5480="""",E5480="""",I5480="""",J5480="""",H5480=""""),""ফাঁকা ঘর"",""""),IF(AND(C5480&lt;&gt;"""",D5480&lt;&gt;"""",C5480=D5480),""gloss=figurative"",""""),IF(LEN(D5480)&lt;15,""figurative ছোট"",""""),IF(AND(I5480=""Positive"",REGEXMATCH(H5"&amp;"480,""মূর্খ|ভণ্ড|প্রতার|অলস|লোভ|স্বার্থ|অক্ষম|অযোগ্য|বোকা|কৃপণ|হিংস"")),""valence-target অমিল"",""""),IF(COUNTIF($B:$B,B5480)&gt;1,""ডুপ্লিকেট"",""""))"),"")</f>
        <v/>
      </c>
      <c r="Q5480" s="5" t="str">
        <f t="shared" si="1"/>
        <v>২ পরে</v>
      </c>
    </row>
    <row r="5481">
      <c r="A5481" s="4">
        <v>3347.0</v>
      </c>
      <c r="B5481" s="2" t="s">
        <v>22420</v>
      </c>
      <c r="C5481" s="2" t="s">
        <v>22420</v>
      </c>
      <c r="D5481" s="2" t="s">
        <v>22421</v>
      </c>
      <c r="E5481" s="2" t="s">
        <v>22422</v>
      </c>
      <c r="F5481" s="2" t="b">
        <v>1</v>
      </c>
      <c r="G5481" s="2" t="b">
        <v>0</v>
      </c>
      <c r="H5481" s="2" t="s">
        <v>22423</v>
      </c>
      <c r="I5481" s="2" t="s">
        <v>22</v>
      </c>
      <c r="J5481" s="2" t="s">
        <v>848</v>
      </c>
      <c r="K5481" s="2" t="s">
        <v>495</v>
      </c>
      <c r="L5481" s="13" t="s">
        <v>496</v>
      </c>
      <c r="M5481" s="2" t="s">
        <v>26</v>
      </c>
      <c r="N5481" s="29"/>
      <c r="O5481" s="29"/>
      <c r="P5481" s="5" t="str">
        <f>IFERROR(__xludf.DUMMYFUNCTION("TEXTJOIN("" | "",TRUE,IF(OR(D5481="""",E5481="""",I5481="""",J5481="""",H5481=""""),""ফাঁকা ঘর"",""""),IF(AND(C5481&lt;&gt;"""",D5481&lt;&gt;"""",C5481=D5481),""gloss=figurative"",""""),IF(LEN(D5481)&lt;15,""figurative ছোট"",""""),IF(AND(I5481=""Positive"",REGEXMATCH(H5"&amp;"481,""মূর্খ|ভণ্ড|প্রতার|অলস|লোভ|স্বার্থ|অক্ষম|অযোগ্য|বোকা|কৃপণ|হিংস"")),""valence-target অমিল"",""""),IF(COUNTIF($B:$B,B5481)&gt;1,""ডুপ্লিকেট"",""""))"),"")</f>
        <v/>
      </c>
      <c r="Q5481" s="5" t="str">
        <f t="shared" si="1"/>
        <v>২ পরে</v>
      </c>
    </row>
    <row r="5482">
      <c r="A5482" s="4">
        <v>3348.0</v>
      </c>
      <c r="B5482" s="2" t="s">
        <v>22424</v>
      </c>
      <c r="C5482" s="2" t="s">
        <v>22425</v>
      </c>
      <c r="D5482" s="2" t="s">
        <v>22426</v>
      </c>
      <c r="E5482" s="2" t="s">
        <v>22427</v>
      </c>
      <c r="F5482" s="2" t="b">
        <v>1</v>
      </c>
      <c r="G5482" s="2" t="b">
        <v>0</v>
      </c>
      <c r="H5482" s="2" t="s">
        <v>1686</v>
      </c>
      <c r="I5482" s="2" t="s">
        <v>22</v>
      </c>
      <c r="J5482" s="2" t="s">
        <v>729</v>
      </c>
      <c r="K5482" s="2" t="s">
        <v>495</v>
      </c>
      <c r="L5482" s="13" t="s">
        <v>496</v>
      </c>
      <c r="M5482" s="2" t="s">
        <v>26</v>
      </c>
      <c r="N5482" s="29"/>
      <c r="O5482" s="29"/>
      <c r="P5482" s="5" t="str">
        <f>IFERROR(__xludf.DUMMYFUNCTION("TEXTJOIN("" | "",TRUE,IF(OR(D5482="""",E5482="""",I5482="""",J5482="""",H5482=""""),""ফাঁকা ঘর"",""""),IF(AND(C5482&lt;&gt;"""",D5482&lt;&gt;"""",C5482=D5482),""gloss=figurative"",""""),IF(LEN(D5482)&lt;15,""figurative ছোট"",""""),IF(AND(I5482=""Positive"",REGEXMATCH(H5"&amp;"482,""মূর্খ|ভণ্ড|প্রতার|অলস|লোভ|স্বার্থ|অক্ষম|অযোগ্য|বোকা|কৃপণ|হিংস"")),""valence-target অমিল"",""""),IF(COUNTIF($B:$B,B5482)&gt;1,""ডুপ্লিকেট"",""""))"),"")</f>
        <v/>
      </c>
      <c r="Q5482" s="5" t="str">
        <f t="shared" si="1"/>
        <v>২ পরে</v>
      </c>
    </row>
    <row r="5483">
      <c r="A5483" s="4">
        <v>3349.0</v>
      </c>
      <c r="B5483" s="2" t="s">
        <v>22428</v>
      </c>
      <c r="C5483" s="2" t="s">
        <v>22429</v>
      </c>
      <c r="D5483" s="2" t="s">
        <v>22430</v>
      </c>
      <c r="E5483" s="2" t="s">
        <v>22431</v>
      </c>
      <c r="F5483" s="2" t="b">
        <v>1</v>
      </c>
      <c r="G5483" s="2" t="b">
        <v>0</v>
      </c>
      <c r="H5483" s="2" t="s">
        <v>1686</v>
      </c>
      <c r="I5483" s="2" t="s">
        <v>22</v>
      </c>
      <c r="J5483" s="2" t="s">
        <v>729</v>
      </c>
      <c r="K5483" s="2" t="s">
        <v>495</v>
      </c>
      <c r="L5483" s="13" t="s">
        <v>496</v>
      </c>
      <c r="M5483" s="2" t="s">
        <v>26</v>
      </c>
      <c r="N5483" s="29"/>
      <c r="O5483" s="29"/>
      <c r="P5483" s="5" t="str">
        <f>IFERROR(__xludf.DUMMYFUNCTION("TEXTJOIN("" | "",TRUE,IF(OR(D5483="""",E5483="""",I5483="""",J5483="""",H5483=""""),""ফাঁকা ঘর"",""""),IF(AND(C5483&lt;&gt;"""",D5483&lt;&gt;"""",C5483=D5483),""gloss=figurative"",""""),IF(LEN(D5483)&lt;15,""figurative ছোট"",""""),IF(AND(I5483=""Positive"",REGEXMATCH(H5"&amp;"483,""মূর্খ|ভণ্ড|প্রতার|অলস|লোভ|স্বার্থ|অক্ষম|অযোগ্য|বোকা|কৃপণ|হিংস"")),""valence-target অমিল"",""""),IF(COUNTIF($B:$B,B5483)&gt;1,""ডুপ্লিকেট"",""""))"),"")</f>
        <v/>
      </c>
      <c r="Q5483" s="5" t="str">
        <f t="shared" si="1"/>
        <v>২ পরে</v>
      </c>
    </row>
    <row r="5484">
      <c r="A5484" s="4">
        <v>3350.0</v>
      </c>
      <c r="B5484" s="2" t="s">
        <v>22432</v>
      </c>
      <c r="C5484" s="2" t="s">
        <v>22433</v>
      </c>
      <c r="D5484" s="2" t="s">
        <v>22434</v>
      </c>
      <c r="E5484" s="2" t="s">
        <v>22435</v>
      </c>
      <c r="F5484" s="2" t="b">
        <v>1</v>
      </c>
      <c r="G5484" s="2" t="b">
        <v>0</v>
      </c>
      <c r="H5484" s="2" t="s">
        <v>37</v>
      </c>
      <c r="I5484" s="2" t="s">
        <v>32</v>
      </c>
      <c r="J5484" s="2" t="s">
        <v>808</v>
      </c>
      <c r="K5484" s="2" t="s">
        <v>495</v>
      </c>
      <c r="L5484" s="13" t="s">
        <v>496</v>
      </c>
      <c r="M5484" s="2" t="s">
        <v>26</v>
      </c>
      <c r="N5484" s="29"/>
      <c r="O5484" s="29"/>
      <c r="P5484" s="5" t="str">
        <f>IFERROR(__xludf.DUMMYFUNCTION("TEXTJOIN("" | "",TRUE,IF(OR(D5484="""",E5484="""",I5484="""",J5484="""",H5484=""""),""ফাঁকা ঘর"",""""),IF(AND(C5484&lt;&gt;"""",D5484&lt;&gt;"""",C5484=D5484),""gloss=figurative"",""""),IF(LEN(D5484)&lt;15,""figurative ছোট"",""""),IF(AND(I5484=""Positive"",REGEXMATCH(H5"&amp;"484,""মূর্খ|ভণ্ড|প্রতার|অলস|লোভ|স্বার্থ|অক্ষম|অযোগ্য|বোকা|কৃপণ|হিংস"")),""valence-target অমিল"",""""),IF(COUNTIF($B:$B,B5484)&gt;1,""ডুপ্লিকেট"",""""))"),"")</f>
        <v/>
      </c>
      <c r="Q5484" s="5" t="str">
        <f t="shared" si="1"/>
        <v>২ পরে</v>
      </c>
    </row>
    <row r="5485">
      <c r="A5485" s="4">
        <v>3351.0</v>
      </c>
      <c r="B5485" s="2" t="s">
        <v>22436</v>
      </c>
      <c r="C5485" s="2" t="s">
        <v>22437</v>
      </c>
      <c r="D5485" s="2" t="s">
        <v>22438</v>
      </c>
      <c r="E5485" s="2" t="s">
        <v>22439</v>
      </c>
      <c r="F5485" s="2" t="b">
        <v>1</v>
      </c>
      <c r="G5485" s="2" t="b">
        <v>0</v>
      </c>
      <c r="H5485" s="2" t="s">
        <v>37</v>
      </c>
      <c r="I5485" s="2" t="s">
        <v>32</v>
      </c>
      <c r="J5485" s="2" t="s">
        <v>3105</v>
      </c>
      <c r="K5485" s="2" t="s">
        <v>495</v>
      </c>
      <c r="L5485" s="13" t="s">
        <v>496</v>
      </c>
      <c r="M5485" s="2" t="s">
        <v>26</v>
      </c>
      <c r="N5485" s="29"/>
      <c r="O5485" s="29"/>
      <c r="P5485" s="5" t="str">
        <f>IFERROR(__xludf.DUMMYFUNCTION("TEXTJOIN("" | "",TRUE,IF(OR(D5485="""",E5485="""",I5485="""",J5485="""",H5485=""""),""ফাঁকা ঘর"",""""),IF(AND(C5485&lt;&gt;"""",D5485&lt;&gt;"""",C5485=D5485),""gloss=figurative"",""""),IF(LEN(D5485)&lt;15,""figurative ছোট"",""""),IF(AND(I5485=""Positive"",REGEXMATCH(H5"&amp;"485,""মূর্খ|ভণ্ড|প্রতার|অলস|লোভ|স্বার্থ|অক্ষম|অযোগ্য|বোকা|কৃপণ|হিংস"")),""valence-target অমিল"",""""),IF(COUNTIF($B:$B,B5485)&gt;1,""ডুপ্লিকেট"",""""))"),"")</f>
        <v/>
      </c>
      <c r="Q5485" s="5" t="str">
        <f t="shared" si="1"/>
        <v>২ পরে</v>
      </c>
    </row>
    <row r="5486">
      <c r="A5486" s="4">
        <v>3352.0</v>
      </c>
      <c r="B5486" s="2" t="s">
        <v>22440</v>
      </c>
      <c r="C5486" s="2" t="s">
        <v>22441</v>
      </c>
      <c r="D5486" s="2" t="s">
        <v>22442</v>
      </c>
      <c r="E5486" s="2" t="s">
        <v>22443</v>
      </c>
      <c r="F5486" s="2" t="b">
        <v>1</v>
      </c>
      <c r="G5486" s="2" t="b">
        <v>0</v>
      </c>
      <c r="H5486" s="2" t="s">
        <v>37</v>
      </c>
      <c r="I5486" s="2" t="s">
        <v>22</v>
      </c>
      <c r="J5486" s="2" t="s">
        <v>808</v>
      </c>
      <c r="K5486" s="2" t="s">
        <v>495</v>
      </c>
      <c r="L5486" s="13" t="s">
        <v>496</v>
      </c>
      <c r="M5486" s="2" t="s">
        <v>26</v>
      </c>
      <c r="N5486" s="29"/>
      <c r="O5486" s="29"/>
      <c r="P5486" s="5" t="str">
        <f>IFERROR(__xludf.DUMMYFUNCTION("TEXTJOIN("" | "",TRUE,IF(OR(D5486="""",E5486="""",I5486="""",J5486="""",H5486=""""),""ফাঁকা ঘর"",""""),IF(AND(C5486&lt;&gt;"""",D5486&lt;&gt;"""",C5486=D5486),""gloss=figurative"",""""),IF(LEN(D5486)&lt;15,""figurative ছোট"",""""),IF(AND(I5486=""Positive"",REGEXMATCH(H5"&amp;"486,""মূর্খ|ভণ্ড|প্রতার|অলস|লোভ|স্বার্থ|অক্ষম|অযোগ্য|বোকা|কৃপণ|হিংস"")),""valence-target অমিল"",""""),IF(COUNTIF($B:$B,B5486)&gt;1,""ডুপ্লিকেট"",""""))"),"")</f>
        <v/>
      </c>
      <c r="Q5486" s="5" t="str">
        <f t="shared" si="1"/>
        <v>২ পরে</v>
      </c>
    </row>
    <row r="5487">
      <c r="A5487" s="4">
        <v>3353.0</v>
      </c>
      <c r="B5487" s="2" t="s">
        <v>22444</v>
      </c>
      <c r="C5487" s="2" t="s">
        <v>22444</v>
      </c>
      <c r="D5487" s="2" t="s">
        <v>22445</v>
      </c>
      <c r="E5487" s="2" t="s">
        <v>22446</v>
      </c>
      <c r="F5487" s="2" t="b">
        <v>1</v>
      </c>
      <c r="G5487" s="2" t="b">
        <v>0</v>
      </c>
      <c r="H5487" s="2" t="s">
        <v>37</v>
      </c>
      <c r="I5487" s="2" t="s">
        <v>32</v>
      </c>
      <c r="J5487" s="2" t="s">
        <v>891</v>
      </c>
      <c r="K5487" s="2" t="s">
        <v>495</v>
      </c>
      <c r="L5487" s="13" t="s">
        <v>496</v>
      </c>
      <c r="M5487" s="2" t="s">
        <v>26</v>
      </c>
      <c r="N5487" s="29"/>
      <c r="O5487" s="29"/>
      <c r="P5487" s="5" t="str">
        <f>IFERROR(__xludf.DUMMYFUNCTION("TEXTJOIN("" | "",TRUE,IF(OR(D5487="""",E5487="""",I5487="""",J5487="""",H5487=""""),""ফাঁকা ঘর"",""""),IF(AND(C5487&lt;&gt;"""",D5487&lt;&gt;"""",C5487=D5487),""gloss=figurative"",""""),IF(LEN(D5487)&lt;15,""figurative ছোট"",""""),IF(AND(I5487=""Positive"",REGEXMATCH(H5"&amp;"487,""মূর্খ|ভণ্ড|প্রতার|অলস|লোভ|স্বার্থ|অক্ষম|অযোগ্য|বোকা|কৃপণ|হিংস"")),""valence-target অমিল"",""""),IF(COUNTIF($B:$B,B5487)&gt;1,""ডুপ্লিকেট"",""""))"),"")</f>
        <v/>
      </c>
      <c r="Q5487" s="5" t="str">
        <f t="shared" si="1"/>
        <v>২ পরে</v>
      </c>
    </row>
    <row r="5488">
      <c r="A5488" s="4">
        <v>3354.0</v>
      </c>
      <c r="B5488" s="2" t="s">
        <v>22447</v>
      </c>
      <c r="C5488" s="2" t="s">
        <v>22448</v>
      </c>
      <c r="D5488" s="2" t="s">
        <v>22449</v>
      </c>
      <c r="E5488" s="2" t="s">
        <v>22450</v>
      </c>
      <c r="F5488" s="2" t="b">
        <v>1</v>
      </c>
      <c r="G5488" s="2" t="b">
        <v>0</v>
      </c>
      <c r="H5488" s="2" t="s">
        <v>37</v>
      </c>
      <c r="I5488" s="2" t="s">
        <v>32</v>
      </c>
      <c r="J5488" s="2" t="s">
        <v>808</v>
      </c>
      <c r="K5488" s="2" t="s">
        <v>495</v>
      </c>
      <c r="L5488" s="13" t="s">
        <v>496</v>
      </c>
      <c r="M5488" s="2" t="s">
        <v>26</v>
      </c>
      <c r="N5488" s="29"/>
      <c r="O5488" s="29"/>
      <c r="P5488" s="5" t="str">
        <f>IFERROR(__xludf.DUMMYFUNCTION("TEXTJOIN("" | "",TRUE,IF(OR(D5488="""",E5488="""",I5488="""",J5488="""",H5488=""""),""ফাঁকা ঘর"",""""),IF(AND(C5488&lt;&gt;"""",D5488&lt;&gt;"""",C5488=D5488),""gloss=figurative"",""""),IF(LEN(D5488)&lt;15,""figurative ছোট"",""""),IF(AND(I5488=""Positive"",REGEXMATCH(H5"&amp;"488,""মূর্খ|ভণ্ড|প্রতার|অলস|লোভ|স্বার্থ|অক্ষম|অযোগ্য|বোকা|কৃপণ|হিংস"")),""valence-target অমিল"",""""),IF(COUNTIF($B:$B,B5488)&gt;1,""ডুপ্লিকেট"",""""))"),"")</f>
        <v/>
      </c>
      <c r="Q5488" s="5" t="str">
        <f t="shared" si="1"/>
        <v>২ পরে</v>
      </c>
    </row>
    <row r="5489">
      <c r="A5489" s="4">
        <v>3355.0</v>
      </c>
      <c r="B5489" s="2" t="s">
        <v>22451</v>
      </c>
      <c r="C5489" s="2" t="s">
        <v>22452</v>
      </c>
      <c r="D5489" s="2" t="s">
        <v>22453</v>
      </c>
      <c r="E5489" s="2" t="s">
        <v>22454</v>
      </c>
      <c r="F5489" s="2" t="b">
        <v>1</v>
      </c>
      <c r="G5489" s="2" t="b">
        <v>0</v>
      </c>
      <c r="H5489" s="2" t="s">
        <v>37</v>
      </c>
      <c r="I5489" s="2" t="s">
        <v>22</v>
      </c>
      <c r="J5489" s="2" t="s">
        <v>808</v>
      </c>
      <c r="K5489" s="2" t="s">
        <v>495</v>
      </c>
      <c r="L5489" s="13" t="s">
        <v>496</v>
      </c>
      <c r="M5489" s="2" t="s">
        <v>26</v>
      </c>
      <c r="N5489" s="29"/>
      <c r="O5489" s="29"/>
      <c r="P5489" s="5" t="str">
        <f>IFERROR(__xludf.DUMMYFUNCTION("TEXTJOIN("" | "",TRUE,IF(OR(D5489="""",E5489="""",I5489="""",J5489="""",H5489=""""),""ফাঁকা ঘর"",""""),IF(AND(C5489&lt;&gt;"""",D5489&lt;&gt;"""",C5489=D5489),""gloss=figurative"",""""),IF(LEN(D5489)&lt;15,""figurative ছোট"",""""),IF(AND(I5489=""Positive"",REGEXMATCH(H5"&amp;"489,""মূর্খ|ভণ্ড|প্রতার|অলস|লোভ|স্বার্থ|অক্ষম|অযোগ্য|বোকা|কৃপণ|হিংস"")),""valence-target অমিল"",""""),IF(COUNTIF($B:$B,B5489)&gt;1,""ডুপ্লিকেট"",""""))"),"")</f>
        <v/>
      </c>
      <c r="Q5489" s="5" t="str">
        <f t="shared" si="1"/>
        <v>২ পরে</v>
      </c>
    </row>
    <row r="5490">
      <c r="A5490" s="4">
        <v>3356.0</v>
      </c>
      <c r="B5490" s="2" t="s">
        <v>22455</v>
      </c>
      <c r="C5490" s="2" t="s">
        <v>22456</v>
      </c>
      <c r="D5490" s="2" t="s">
        <v>22457</v>
      </c>
      <c r="E5490" s="2" t="s">
        <v>22458</v>
      </c>
      <c r="F5490" s="2" t="b">
        <v>1</v>
      </c>
      <c r="G5490" s="2" t="b">
        <v>0</v>
      </c>
      <c r="H5490" s="2" t="s">
        <v>20537</v>
      </c>
      <c r="I5490" s="2" t="s">
        <v>22</v>
      </c>
      <c r="J5490" s="2" t="s">
        <v>4112</v>
      </c>
      <c r="K5490" s="2" t="s">
        <v>495</v>
      </c>
      <c r="L5490" s="13" t="s">
        <v>496</v>
      </c>
      <c r="M5490" s="2" t="s">
        <v>26</v>
      </c>
      <c r="N5490" s="29"/>
      <c r="O5490" s="29"/>
      <c r="P5490" s="5" t="str">
        <f>IFERROR(__xludf.DUMMYFUNCTION("TEXTJOIN("" | "",TRUE,IF(OR(D5490="""",E5490="""",I5490="""",J5490="""",H5490=""""),""ফাঁকা ঘর"",""""),IF(AND(C5490&lt;&gt;"""",D5490&lt;&gt;"""",C5490=D5490),""gloss=figurative"",""""),IF(LEN(D5490)&lt;15,""figurative ছোট"",""""),IF(AND(I5490=""Positive"",REGEXMATCH(H5"&amp;"490,""মূর্খ|ভণ্ড|প্রতার|অলস|লোভ|স্বার্থ|অক্ষম|অযোগ্য|বোকা|কৃপণ|হিংস"")),""valence-target অমিল"",""""),IF(COUNTIF($B:$B,B5490)&gt;1,""ডুপ্লিকেট"",""""))"),"")</f>
        <v/>
      </c>
      <c r="Q5490" s="5" t="str">
        <f t="shared" si="1"/>
        <v>২ পরে</v>
      </c>
    </row>
    <row r="5491">
      <c r="A5491" s="4">
        <v>3357.0</v>
      </c>
      <c r="B5491" s="2" t="s">
        <v>22459</v>
      </c>
      <c r="C5491" s="2" t="s">
        <v>22460</v>
      </c>
      <c r="D5491" s="2" t="s">
        <v>22461</v>
      </c>
      <c r="E5491" s="2" t="s">
        <v>22462</v>
      </c>
      <c r="F5491" s="2" t="b">
        <v>1</v>
      </c>
      <c r="G5491" s="2" t="b">
        <v>0</v>
      </c>
      <c r="H5491" s="2" t="s">
        <v>37</v>
      </c>
      <c r="I5491" s="2" t="s">
        <v>22</v>
      </c>
      <c r="J5491" s="2" t="s">
        <v>616</v>
      </c>
      <c r="K5491" s="2" t="s">
        <v>495</v>
      </c>
      <c r="L5491" s="13" t="s">
        <v>496</v>
      </c>
      <c r="M5491" s="2" t="s">
        <v>26</v>
      </c>
      <c r="N5491" s="29"/>
      <c r="O5491" s="29"/>
      <c r="P5491" s="5" t="str">
        <f>IFERROR(__xludf.DUMMYFUNCTION("TEXTJOIN("" | "",TRUE,IF(OR(D5491="""",E5491="""",I5491="""",J5491="""",H5491=""""),""ফাঁকা ঘর"",""""),IF(AND(C5491&lt;&gt;"""",D5491&lt;&gt;"""",C5491=D5491),""gloss=figurative"",""""),IF(LEN(D5491)&lt;15,""figurative ছোট"",""""),IF(AND(I5491=""Positive"",REGEXMATCH(H5"&amp;"491,""মূর্খ|ভণ্ড|প্রতার|অলস|লোভ|স্বার্থ|অক্ষম|অযোগ্য|বোকা|কৃপণ|হিংস"")),""valence-target অমিল"",""""),IF(COUNTIF($B:$B,B5491)&gt;1,""ডুপ্লিকেট"",""""))"),"")</f>
        <v/>
      </c>
      <c r="Q5491" s="5" t="str">
        <f t="shared" si="1"/>
        <v>২ পরে</v>
      </c>
    </row>
    <row r="5492">
      <c r="A5492" s="4">
        <v>3358.0</v>
      </c>
      <c r="B5492" s="2" t="s">
        <v>22463</v>
      </c>
      <c r="C5492" s="2" t="s">
        <v>22464</v>
      </c>
      <c r="D5492" s="2" t="s">
        <v>22465</v>
      </c>
      <c r="E5492" s="2" t="s">
        <v>22466</v>
      </c>
      <c r="F5492" s="2" t="b">
        <v>1</v>
      </c>
      <c r="G5492" s="2" t="b">
        <v>0</v>
      </c>
      <c r="H5492" s="2" t="s">
        <v>37</v>
      </c>
      <c r="I5492" s="2" t="s">
        <v>32</v>
      </c>
      <c r="J5492" s="2" t="s">
        <v>5229</v>
      </c>
      <c r="K5492" s="2" t="s">
        <v>495</v>
      </c>
      <c r="L5492" s="13" t="s">
        <v>496</v>
      </c>
      <c r="M5492" s="2" t="s">
        <v>26</v>
      </c>
      <c r="N5492" s="29"/>
      <c r="O5492" s="29"/>
      <c r="P5492" s="5" t="str">
        <f>IFERROR(__xludf.DUMMYFUNCTION("TEXTJOIN("" | "",TRUE,IF(OR(D5492="""",E5492="""",I5492="""",J5492="""",H5492=""""),""ফাঁকা ঘর"",""""),IF(AND(C5492&lt;&gt;"""",D5492&lt;&gt;"""",C5492=D5492),""gloss=figurative"",""""),IF(LEN(D5492)&lt;15,""figurative ছোট"",""""),IF(AND(I5492=""Positive"",REGEXMATCH(H5"&amp;"492,""মূর্খ|ভণ্ড|প্রতার|অলস|লোভ|স্বার্থ|অক্ষম|অযোগ্য|বোকা|কৃপণ|হিংস"")),""valence-target অমিল"",""""),IF(COUNTIF($B:$B,B5492)&gt;1,""ডুপ্লিকেট"",""""))"),"")</f>
        <v/>
      </c>
      <c r="Q5492" s="5" t="str">
        <f t="shared" si="1"/>
        <v>২ পরে</v>
      </c>
    </row>
    <row r="5493">
      <c r="A5493" s="4">
        <v>3359.0</v>
      </c>
      <c r="B5493" s="2" t="s">
        <v>22467</v>
      </c>
      <c r="C5493" s="2" t="s">
        <v>22468</v>
      </c>
      <c r="D5493" s="2" t="s">
        <v>22469</v>
      </c>
      <c r="E5493" s="2" t="s">
        <v>22470</v>
      </c>
      <c r="F5493" s="2" t="b">
        <v>1</v>
      </c>
      <c r="G5493" s="2" t="b">
        <v>0</v>
      </c>
      <c r="H5493" s="2" t="s">
        <v>37</v>
      </c>
      <c r="I5493" s="2" t="s">
        <v>32</v>
      </c>
      <c r="J5493" s="2" t="s">
        <v>2827</v>
      </c>
      <c r="K5493" s="2" t="s">
        <v>495</v>
      </c>
      <c r="L5493" s="13" t="s">
        <v>496</v>
      </c>
      <c r="M5493" s="2" t="s">
        <v>26</v>
      </c>
      <c r="N5493" s="29"/>
      <c r="O5493" s="29"/>
      <c r="P5493" s="5" t="str">
        <f>IFERROR(__xludf.DUMMYFUNCTION("TEXTJOIN("" | "",TRUE,IF(OR(D5493="""",E5493="""",I5493="""",J5493="""",H5493=""""),""ফাঁকা ঘর"",""""),IF(AND(C5493&lt;&gt;"""",D5493&lt;&gt;"""",C5493=D5493),""gloss=figurative"",""""),IF(LEN(D5493)&lt;15,""figurative ছোট"",""""),IF(AND(I5493=""Positive"",REGEXMATCH(H5"&amp;"493,""মূর্খ|ভণ্ড|প্রতার|অলস|লোভ|স্বার্থ|অক্ষম|অযোগ্য|বোকা|কৃপণ|হিংস"")),""valence-target অমিল"",""""),IF(COUNTIF($B:$B,B5493)&gt;1,""ডুপ্লিকেট"",""""))"),"")</f>
        <v/>
      </c>
      <c r="Q5493" s="5" t="str">
        <f t="shared" si="1"/>
        <v>২ পরে</v>
      </c>
    </row>
    <row r="5494">
      <c r="A5494" s="4">
        <v>3360.0</v>
      </c>
      <c r="B5494" s="2" t="s">
        <v>22471</v>
      </c>
      <c r="C5494" s="2" t="s">
        <v>22472</v>
      </c>
      <c r="D5494" s="2" t="s">
        <v>22473</v>
      </c>
      <c r="E5494" s="2" t="s">
        <v>22474</v>
      </c>
      <c r="F5494" s="2" t="b">
        <v>1</v>
      </c>
      <c r="G5494" s="2" t="b">
        <v>0</v>
      </c>
      <c r="H5494" s="2" t="s">
        <v>37</v>
      </c>
      <c r="I5494" s="2" t="s">
        <v>32</v>
      </c>
      <c r="J5494" s="2" t="s">
        <v>1249</v>
      </c>
      <c r="K5494" s="2" t="s">
        <v>495</v>
      </c>
      <c r="L5494" s="13" t="s">
        <v>496</v>
      </c>
      <c r="M5494" s="2" t="s">
        <v>26</v>
      </c>
      <c r="N5494" s="29"/>
      <c r="O5494" s="29"/>
      <c r="P5494" s="5" t="str">
        <f>IFERROR(__xludf.DUMMYFUNCTION("TEXTJOIN("" | "",TRUE,IF(OR(D5494="""",E5494="""",I5494="""",J5494="""",H5494=""""),""ফাঁকা ঘর"",""""),IF(AND(C5494&lt;&gt;"""",D5494&lt;&gt;"""",C5494=D5494),""gloss=figurative"",""""),IF(LEN(D5494)&lt;15,""figurative ছোট"",""""),IF(AND(I5494=""Positive"",REGEXMATCH(H5"&amp;"494,""মূর্খ|ভণ্ড|প্রতার|অলস|লোভ|স্বার্থ|অক্ষম|অযোগ্য|বোকা|কৃপণ|হিংস"")),""valence-target অমিল"",""""),IF(COUNTIF($B:$B,B5494)&gt;1,""ডুপ্লিকেট"",""""))"),"")</f>
        <v/>
      </c>
      <c r="Q5494" s="5" t="str">
        <f t="shared" si="1"/>
        <v>২ পরে</v>
      </c>
    </row>
    <row r="5495">
      <c r="A5495" s="4">
        <v>3361.0</v>
      </c>
      <c r="B5495" s="2" t="s">
        <v>22475</v>
      </c>
      <c r="C5495" s="2" t="s">
        <v>22476</v>
      </c>
      <c r="D5495" s="2" t="s">
        <v>22477</v>
      </c>
      <c r="E5495" s="2" t="s">
        <v>22478</v>
      </c>
      <c r="F5495" s="2" t="b">
        <v>1</v>
      </c>
      <c r="G5495" s="2" t="b">
        <v>0</v>
      </c>
      <c r="H5495" s="2" t="s">
        <v>22479</v>
      </c>
      <c r="I5495" s="2" t="s">
        <v>22</v>
      </c>
      <c r="J5495" s="2" t="s">
        <v>43</v>
      </c>
      <c r="K5495" s="2" t="s">
        <v>495</v>
      </c>
      <c r="L5495" s="13" t="s">
        <v>496</v>
      </c>
      <c r="M5495" s="2" t="s">
        <v>26</v>
      </c>
      <c r="N5495" s="29"/>
      <c r="O5495" s="29"/>
      <c r="P5495" s="5" t="str">
        <f>IFERROR(__xludf.DUMMYFUNCTION("TEXTJOIN("" | "",TRUE,IF(OR(D5495="""",E5495="""",I5495="""",J5495="""",H5495=""""),""ফাঁকা ঘর"",""""),IF(AND(C5495&lt;&gt;"""",D5495&lt;&gt;"""",C5495=D5495),""gloss=figurative"",""""),IF(LEN(D5495)&lt;15,""figurative ছোট"",""""),IF(AND(I5495=""Positive"",REGEXMATCH(H5"&amp;"495,""মূর্খ|ভণ্ড|প্রতার|অলস|লোভ|স্বার্থ|অক্ষম|অযোগ্য|বোকা|কৃপণ|হিংস"")),""valence-target অমিল"",""""),IF(COUNTIF($B:$B,B5495)&gt;1,""ডুপ্লিকেট"",""""))"),"")</f>
        <v/>
      </c>
      <c r="Q5495" s="5" t="str">
        <f t="shared" si="1"/>
        <v>২ পরে</v>
      </c>
    </row>
    <row r="5496">
      <c r="A5496" s="4">
        <v>3362.0</v>
      </c>
      <c r="B5496" s="2" t="s">
        <v>22480</v>
      </c>
      <c r="C5496" s="2" t="s">
        <v>22481</v>
      </c>
      <c r="D5496" s="2" t="s">
        <v>22482</v>
      </c>
      <c r="E5496" s="2" t="s">
        <v>22483</v>
      </c>
      <c r="F5496" s="2" t="b">
        <v>1</v>
      </c>
      <c r="G5496" s="2" t="b">
        <v>0</v>
      </c>
      <c r="H5496" s="2" t="s">
        <v>8384</v>
      </c>
      <c r="I5496" s="2" t="s">
        <v>22</v>
      </c>
      <c r="J5496" s="2" t="s">
        <v>43</v>
      </c>
      <c r="K5496" s="2" t="s">
        <v>495</v>
      </c>
      <c r="L5496" s="13" t="s">
        <v>496</v>
      </c>
      <c r="M5496" s="2" t="s">
        <v>26</v>
      </c>
      <c r="N5496" s="29"/>
      <c r="O5496" s="29"/>
      <c r="P5496" s="5" t="str">
        <f>IFERROR(__xludf.DUMMYFUNCTION("TEXTJOIN("" | "",TRUE,IF(OR(D5496="""",E5496="""",I5496="""",J5496="""",H5496=""""),""ফাঁকা ঘর"",""""),IF(AND(C5496&lt;&gt;"""",D5496&lt;&gt;"""",C5496=D5496),""gloss=figurative"",""""),IF(LEN(D5496)&lt;15,""figurative ছোট"",""""),IF(AND(I5496=""Positive"",REGEXMATCH(H5"&amp;"496,""মূর্খ|ভণ্ড|প্রতার|অলস|লোভ|স্বার্থ|অক্ষম|অযোগ্য|বোকা|কৃপণ|হিংস"")),""valence-target অমিল"",""""),IF(COUNTIF($B:$B,B5496)&gt;1,""ডুপ্লিকেট"",""""))"),"")</f>
        <v/>
      </c>
      <c r="Q5496" s="5" t="str">
        <f t="shared" si="1"/>
        <v>২ পরে</v>
      </c>
    </row>
    <row r="5497">
      <c r="A5497" s="4">
        <v>3363.0</v>
      </c>
      <c r="B5497" s="2" t="s">
        <v>22484</v>
      </c>
      <c r="C5497" s="2" t="s">
        <v>22484</v>
      </c>
      <c r="D5497" s="2" t="s">
        <v>22485</v>
      </c>
      <c r="E5497" s="2" t="s">
        <v>22486</v>
      </c>
      <c r="F5497" s="2" t="b">
        <v>1</v>
      </c>
      <c r="G5497" s="2" t="b">
        <v>0</v>
      </c>
      <c r="H5497" s="2" t="s">
        <v>37</v>
      </c>
      <c r="I5497" s="2" t="s">
        <v>32</v>
      </c>
      <c r="J5497" s="2" t="s">
        <v>22487</v>
      </c>
      <c r="K5497" s="2" t="s">
        <v>495</v>
      </c>
      <c r="L5497" s="13" t="s">
        <v>496</v>
      </c>
      <c r="M5497" s="2" t="s">
        <v>26</v>
      </c>
      <c r="N5497" s="29"/>
      <c r="O5497" s="29"/>
      <c r="P5497" s="5" t="str">
        <f>IFERROR(__xludf.DUMMYFUNCTION("TEXTJOIN("" | "",TRUE,IF(OR(D5497="""",E5497="""",I5497="""",J5497="""",H5497=""""),""ফাঁকা ঘর"",""""),IF(AND(C5497&lt;&gt;"""",D5497&lt;&gt;"""",C5497=D5497),""gloss=figurative"",""""),IF(LEN(D5497)&lt;15,""figurative ছোট"",""""),IF(AND(I5497=""Positive"",REGEXMATCH(H5"&amp;"497,""মূর্খ|ভণ্ড|প্রতার|অলস|লোভ|স্বার্থ|অক্ষম|অযোগ্য|বোকা|কৃপণ|হিংস"")),""valence-target অমিল"",""""),IF(COUNTIF($B:$B,B5497)&gt;1,""ডুপ্লিকেট"",""""))"),"")</f>
        <v/>
      </c>
      <c r="Q5497" s="5" t="str">
        <f t="shared" si="1"/>
        <v>২ পরে</v>
      </c>
    </row>
    <row r="5498">
      <c r="A5498" s="4">
        <v>3364.0</v>
      </c>
      <c r="B5498" s="2" t="s">
        <v>22488</v>
      </c>
      <c r="C5498" s="2" t="s">
        <v>22489</v>
      </c>
      <c r="D5498" s="2" t="s">
        <v>22490</v>
      </c>
      <c r="E5498" s="2" t="s">
        <v>22491</v>
      </c>
      <c r="F5498" s="2" t="b">
        <v>1</v>
      </c>
      <c r="G5498" s="2" t="b">
        <v>0</v>
      </c>
      <c r="H5498" s="2" t="s">
        <v>37</v>
      </c>
      <c r="I5498" s="2" t="s">
        <v>22</v>
      </c>
      <c r="J5498" s="2" t="s">
        <v>1553</v>
      </c>
      <c r="K5498" s="2" t="s">
        <v>495</v>
      </c>
      <c r="L5498" s="13" t="s">
        <v>496</v>
      </c>
      <c r="M5498" s="2" t="s">
        <v>26</v>
      </c>
      <c r="N5498" s="29"/>
      <c r="O5498" s="29"/>
      <c r="P5498" s="5" t="str">
        <f>IFERROR(__xludf.DUMMYFUNCTION("TEXTJOIN("" | "",TRUE,IF(OR(D5498="""",E5498="""",I5498="""",J5498="""",H5498=""""),""ফাঁকা ঘর"",""""),IF(AND(C5498&lt;&gt;"""",D5498&lt;&gt;"""",C5498=D5498),""gloss=figurative"",""""),IF(LEN(D5498)&lt;15,""figurative ছোট"",""""),IF(AND(I5498=""Positive"",REGEXMATCH(H5"&amp;"498,""মূর্খ|ভণ্ড|প্রতার|অলস|লোভ|স্বার্থ|অক্ষম|অযোগ্য|বোকা|কৃপণ|হিংস"")),""valence-target অমিল"",""""),IF(COUNTIF($B:$B,B5498)&gt;1,""ডুপ্লিকেট"",""""))"),"")</f>
        <v/>
      </c>
      <c r="Q5498" s="5" t="str">
        <f t="shared" si="1"/>
        <v>২ পরে</v>
      </c>
    </row>
    <row r="5499">
      <c r="A5499" s="4">
        <v>3365.0</v>
      </c>
      <c r="B5499" s="2" t="s">
        <v>22492</v>
      </c>
      <c r="C5499" s="2" t="s">
        <v>22493</v>
      </c>
      <c r="D5499" s="2" t="s">
        <v>22494</v>
      </c>
      <c r="E5499" s="2" t="s">
        <v>22495</v>
      </c>
      <c r="F5499" s="2" t="b">
        <v>1</v>
      </c>
      <c r="G5499" s="2" t="b">
        <v>0</v>
      </c>
      <c r="H5499" s="2" t="s">
        <v>22496</v>
      </c>
      <c r="I5499" s="2" t="s">
        <v>22</v>
      </c>
      <c r="J5499" s="2" t="s">
        <v>723</v>
      </c>
      <c r="K5499" s="2" t="s">
        <v>495</v>
      </c>
      <c r="L5499" s="13" t="s">
        <v>496</v>
      </c>
      <c r="M5499" s="2" t="s">
        <v>26</v>
      </c>
      <c r="N5499" s="29"/>
      <c r="O5499" s="29"/>
      <c r="P5499" s="5" t="str">
        <f>IFERROR(__xludf.DUMMYFUNCTION("TEXTJOIN("" | "",TRUE,IF(OR(D5499="""",E5499="""",I5499="""",J5499="""",H5499=""""),""ফাঁকা ঘর"",""""),IF(AND(C5499&lt;&gt;"""",D5499&lt;&gt;"""",C5499=D5499),""gloss=figurative"",""""),IF(LEN(D5499)&lt;15,""figurative ছোট"",""""),IF(AND(I5499=""Positive"",REGEXMATCH(H5"&amp;"499,""মূর্খ|ভণ্ড|প্রতার|অলস|লোভ|স্বার্থ|অক্ষম|অযোগ্য|বোকা|কৃপণ|হিংস"")),""valence-target অমিল"",""""),IF(COUNTIF($B:$B,B5499)&gt;1,""ডুপ্লিকেট"",""""))"),"")</f>
        <v/>
      </c>
      <c r="Q5499" s="5" t="str">
        <f t="shared" si="1"/>
        <v>২ পরে</v>
      </c>
    </row>
    <row r="5500">
      <c r="A5500" s="4">
        <v>3367.0</v>
      </c>
      <c r="B5500" s="2" t="s">
        <v>22497</v>
      </c>
      <c r="C5500" s="2" t="s">
        <v>22498</v>
      </c>
      <c r="D5500" s="2" t="s">
        <v>22499</v>
      </c>
      <c r="E5500" s="2" t="s">
        <v>22500</v>
      </c>
      <c r="F5500" s="2" t="b">
        <v>1</v>
      </c>
      <c r="G5500" s="2" t="b">
        <v>0</v>
      </c>
      <c r="H5500" s="2" t="s">
        <v>37</v>
      </c>
      <c r="I5500" s="2" t="s">
        <v>32</v>
      </c>
      <c r="J5500" s="2" t="s">
        <v>3585</v>
      </c>
      <c r="K5500" s="2" t="s">
        <v>495</v>
      </c>
      <c r="L5500" s="13" t="s">
        <v>496</v>
      </c>
      <c r="M5500" s="2" t="s">
        <v>26</v>
      </c>
      <c r="N5500" s="29"/>
      <c r="O5500" s="29"/>
      <c r="P5500" s="5" t="str">
        <f>IFERROR(__xludf.DUMMYFUNCTION("TEXTJOIN("" | "",TRUE,IF(OR(D5500="""",E5500="""",I5500="""",J5500="""",H5500=""""),""ফাঁকা ঘর"",""""),IF(AND(C5500&lt;&gt;"""",D5500&lt;&gt;"""",C5500=D5500),""gloss=figurative"",""""),IF(LEN(D5500)&lt;15,""figurative ছোট"",""""),IF(AND(I5500=""Positive"",REGEXMATCH(H5"&amp;"500,""মূর্খ|ভণ্ড|প্রতার|অলস|লোভ|স্বার্থ|অক্ষম|অযোগ্য|বোকা|কৃপণ|হিংস"")),""valence-target অমিল"",""""),IF(COUNTIF($B:$B,B5500)&gt;1,""ডুপ্লিকেট"",""""))"),"")</f>
        <v/>
      </c>
      <c r="Q5500" s="5" t="str">
        <f t="shared" si="1"/>
        <v>২ পরে</v>
      </c>
    </row>
    <row r="5501">
      <c r="A5501" s="4">
        <v>3368.0</v>
      </c>
      <c r="B5501" s="2" t="s">
        <v>22501</v>
      </c>
      <c r="C5501" s="2" t="s">
        <v>22502</v>
      </c>
      <c r="D5501" s="2" t="s">
        <v>22503</v>
      </c>
      <c r="E5501" s="2" t="s">
        <v>22504</v>
      </c>
      <c r="F5501" s="2" t="b">
        <v>1</v>
      </c>
      <c r="G5501" s="2" t="b">
        <v>0</v>
      </c>
      <c r="H5501" s="2" t="s">
        <v>37</v>
      </c>
      <c r="I5501" s="2" t="s">
        <v>49</v>
      </c>
      <c r="J5501" s="2" t="s">
        <v>22505</v>
      </c>
      <c r="K5501" s="2" t="s">
        <v>495</v>
      </c>
      <c r="L5501" s="13" t="s">
        <v>496</v>
      </c>
      <c r="M5501" s="2" t="s">
        <v>26</v>
      </c>
      <c r="N5501" s="29"/>
      <c r="O5501" s="29"/>
      <c r="P5501" s="5" t="str">
        <f>IFERROR(__xludf.DUMMYFUNCTION("TEXTJOIN("" | "",TRUE,IF(OR(D5501="""",E5501="""",I5501="""",J5501="""",H5501=""""),""ফাঁকা ঘর"",""""),IF(AND(C5501&lt;&gt;"""",D5501&lt;&gt;"""",C5501=D5501),""gloss=figurative"",""""),IF(LEN(D5501)&lt;15,""figurative ছোট"",""""),IF(AND(I5501=""Positive"",REGEXMATCH(H5"&amp;"501,""মূর্খ|ভণ্ড|প্রতার|অলস|লোভ|স্বার্থ|অক্ষম|অযোগ্য|বোকা|কৃপণ|হিংস"")),""valence-target অমিল"",""""),IF(COUNTIF($B:$B,B5501)&gt;1,""ডুপ্লিকেট"",""""))"),"")</f>
        <v/>
      </c>
      <c r="Q5501" s="5" t="str">
        <f t="shared" si="1"/>
        <v>২ পরে</v>
      </c>
    </row>
    <row r="5502">
      <c r="A5502" s="4">
        <v>3369.0</v>
      </c>
      <c r="B5502" s="2" t="s">
        <v>22506</v>
      </c>
      <c r="C5502" s="2" t="s">
        <v>22507</v>
      </c>
      <c r="D5502" s="2" t="s">
        <v>22508</v>
      </c>
      <c r="E5502" s="2" t="s">
        <v>22509</v>
      </c>
      <c r="F5502" s="2" t="b">
        <v>1</v>
      </c>
      <c r="G5502" s="2" t="b">
        <v>0</v>
      </c>
      <c r="H5502" s="2" t="s">
        <v>37</v>
      </c>
      <c r="I5502" s="2" t="s">
        <v>49</v>
      </c>
      <c r="J5502" s="2" t="s">
        <v>814</v>
      </c>
      <c r="K5502" s="2" t="s">
        <v>495</v>
      </c>
      <c r="L5502" s="13" t="s">
        <v>496</v>
      </c>
      <c r="M5502" s="2" t="s">
        <v>26</v>
      </c>
      <c r="N5502" s="29"/>
      <c r="O5502" s="29"/>
      <c r="P5502" s="5" t="str">
        <f>IFERROR(__xludf.DUMMYFUNCTION("TEXTJOIN("" | "",TRUE,IF(OR(D5502="""",E5502="""",I5502="""",J5502="""",H5502=""""),""ফাঁকা ঘর"",""""),IF(AND(C5502&lt;&gt;"""",D5502&lt;&gt;"""",C5502=D5502),""gloss=figurative"",""""),IF(LEN(D5502)&lt;15,""figurative ছোট"",""""),IF(AND(I5502=""Positive"",REGEXMATCH(H5"&amp;"502,""মূর্খ|ভণ্ড|প্রতার|অলস|লোভ|স্বার্থ|অক্ষম|অযোগ্য|বোকা|কৃপণ|হিংস"")),""valence-target অমিল"",""""),IF(COUNTIF($B:$B,B5502)&gt;1,""ডুপ্লিকেট"",""""))"),"")</f>
        <v/>
      </c>
      <c r="Q5502" s="5" t="str">
        <f t="shared" si="1"/>
        <v>২ পরে</v>
      </c>
    </row>
    <row r="5503">
      <c r="A5503" s="4">
        <v>3370.0</v>
      </c>
      <c r="B5503" s="2" t="s">
        <v>22510</v>
      </c>
      <c r="C5503" s="2" t="s">
        <v>22511</v>
      </c>
      <c r="D5503" s="2" t="s">
        <v>22512</v>
      </c>
      <c r="E5503" s="2" t="s">
        <v>22513</v>
      </c>
      <c r="F5503" s="2" t="b">
        <v>1</v>
      </c>
      <c r="G5503" s="2" t="b">
        <v>0</v>
      </c>
      <c r="H5503" s="2" t="s">
        <v>19800</v>
      </c>
      <c r="I5503" s="2" t="s">
        <v>22</v>
      </c>
      <c r="J5503" s="2" t="s">
        <v>43</v>
      </c>
      <c r="K5503" s="2" t="s">
        <v>495</v>
      </c>
      <c r="L5503" s="13" t="s">
        <v>496</v>
      </c>
      <c r="M5503" s="2" t="s">
        <v>26</v>
      </c>
      <c r="N5503" s="29"/>
      <c r="O5503" s="29"/>
      <c r="P5503" s="5" t="str">
        <f>IFERROR(__xludf.DUMMYFUNCTION("TEXTJOIN("" | "",TRUE,IF(OR(D5503="""",E5503="""",I5503="""",J5503="""",H5503=""""),""ফাঁকা ঘর"",""""),IF(AND(C5503&lt;&gt;"""",D5503&lt;&gt;"""",C5503=D5503),""gloss=figurative"",""""),IF(LEN(D5503)&lt;15,""figurative ছোট"",""""),IF(AND(I5503=""Positive"",REGEXMATCH(H5"&amp;"503,""মূর্খ|ভণ্ড|প্রতার|অলস|লোভ|স্বার্থ|অক্ষম|অযোগ্য|বোকা|কৃপণ|হিংস"")),""valence-target অমিল"",""""),IF(COUNTIF($B:$B,B5503)&gt;1,""ডুপ্লিকেট"",""""))"),"")</f>
        <v/>
      </c>
      <c r="Q5503" s="5" t="str">
        <f t="shared" si="1"/>
        <v>২ পরে</v>
      </c>
    </row>
    <row r="5504">
      <c r="A5504" s="4">
        <v>3371.0</v>
      </c>
      <c r="B5504" s="2" t="s">
        <v>22514</v>
      </c>
      <c r="C5504" s="2" t="s">
        <v>22515</v>
      </c>
      <c r="D5504" s="2" t="s">
        <v>22516</v>
      </c>
      <c r="E5504" s="2" t="s">
        <v>22517</v>
      </c>
      <c r="F5504" s="2" t="b">
        <v>1</v>
      </c>
      <c r="G5504" s="2" t="b">
        <v>0</v>
      </c>
      <c r="H5504" s="2" t="s">
        <v>3161</v>
      </c>
      <c r="I5504" s="2" t="s">
        <v>22</v>
      </c>
      <c r="J5504" s="2" t="s">
        <v>43</v>
      </c>
      <c r="K5504" s="2" t="s">
        <v>495</v>
      </c>
      <c r="L5504" s="13" t="s">
        <v>496</v>
      </c>
      <c r="M5504" s="2" t="s">
        <v>26</v>
      </c>
      <c r="N5504" s="29"/>
      <c r="O5504" s="29"/>
      <c r="P5504" s="5" t="str">
        <f>IFERROR(__xludf.DUMMYFUNCTION("TEXTJOIN("" | "",TRUE,IF(OR(D5504="""",E5504="""",I5504="""",J5504="""",H5504=""""),""ফাঁকা ঘর"",""""),IF(AND(C5504&lt;&gt;"""",D5504&lt;&gt;"""",C5504=D5504),""gloss=figurative"",""""),IF(LEN(D5504)&lt;15,""figurative ছোট"",""""),IF(AND(I5504=""Positive"",REGEXMATCH(H5"&amp;"504,""মূর্খ|ভণ্ড|প্রতার|অলস|লোভ|স্বার্থ|অক্ষম|অযোগ্য|বোকা|কৃপণ|হিংস"")),""valence-target অমিল"",""""),IF(COUNTIF($B:$B,B5504)&gt;1,""ডুপ্লিকেট"",""""))"),"")</f>
        <v/>
      </c>
      <c r="Q5504" s="5" t="str">
        <f t="shared" si="1"/>
        <v>২ পরে</v>
      </c>
    </row>
    <row r="5505">
      <c r="A5505" s="4">
        <v>3372.0</v>
      </c>
      <c r="B5505" s="2" t="s">
        <v>22518</v>
      </c>
      <c r="C5505" s="2" t="s">
        <v>22519</v>
      </c>
      <c r="D5505" s="2" t="s">
        <v>22520</v>
      </c>
      <c r="E5505" s="2" t="s">
        <v>22521</v>
      </c>
      <c r="F5505" s="2" t="b">
        <v>1</v>
      </c>
      <c r="G5505" s="2" t="b">
        <v>0</v>
      </c>
      <c r="H5505" s="2" t="s">
        <v>22522</v>
      </c>
      <c r="I5505" s="2" t="s">
        <v>22</v>
      </c>
      <c r="J5505" s="2" t="s">
        <v>43</v>
      </c>
      <c r="K5505" s="2" t="s">
        <v>495</v>
      </c>
      <c r="L5505" s="13" t="s">
        <v>496</v>
      </c>
      <c r="M5505" s="2" t="s">
        <v>26</v>
      </c>
      <c r="N5505" s="29"/>
      <c r="O5505" s="29"/>
      <c r="P5505" s="5" t="str">
        <f>IFERROR(__xludf.DUMMYFUNCTION("TEXTJOIN("" | "",TRUE,IF(OR(D5505="""",E5505="""",I5505="""",J5505="""",H5505=""""),""ফাঁকা ঘর"",""""),IF(AND(C5505&lt;&gt;"""",D5505&lt;&gt;"""",C5505=D5505),""gloss=figurative"",""""),IF(LEN(D5505)&lt;15,""figurative ছোট"",""""),IF(AND(I5505=""Positive"",REGEXMATCH(H5"&amp;"505,""মূর্খ|ভণ্ড|প্রতার|অলস|লোভ|স্বার্থ|অক্ষম|অযোগ্য|বোকা|কৃপণ|হিংস"")),""valence-target অমিল"",""""),IF(COUNTIF($B:$B,B5505)&gt;1,""ডুপ্লিকেট"",""""))"),"")</f>
        <v/>
      </c>
      <c r="Q5505" s="5" t="str">
        <f t="shared" si="1"/>
        <v>২ পরে</v>
      </c>
    </row>
    <row r="5506">
      <c r="A5506" s="4">
        <v>3373.0</v>
      </c>
      <c r="B5506" s="2" t="s">
        <v>22523</v>
      </c>
      <c r="C5506" s="2" t="s">
        <v>22524</v>
      </c>
      <c r="D5506" s="2" t="s">
        <v>22525</v>
      </c>
      <c r="E5506" s="2" t="s">
        <v>22526</v>
      </c>
      <c r="F5506" s="2" t="b">
        <v>1</v>
      </c>
      <c r="G5506" s="2" t="b">
        <v>0</v>
      </c>
      <c r="H5506" s="2" t="s">
        <v>22527</v>
      </c>
      <c r="I5506" s="2" t="s">
        <v>22</v>
      </c>
      <c r="J5506" s="2" t="s">
        <v>43</v>
      </c>
      <c r="K5506" s="2" t="s">
        <v>495</v>
      </c>
      <c r="L5506" s="13" t="s">
        <v>496</v>
      </c>
      <c r="M5506" s="2" t="s">
        <v>26</v>
      </c>
      <c r="N5506" s="29"/>
      <c r="O5506" s="29"/>
      <c r="P5506" s="5" t="str">
        <f>IFERROR(__xludf.DUMMYFUNCTION("TEXTJOIN("" | "",TRUE,IF(OR(D5506="""",E5506="""",I5506="""",J5506="""",H5506=""""),""ফাঁকা ঘর"",""""),IF(AND(C5506&lt;&gt;"""",D5506&lt;&gt;"""",C5506=D5506),""gloss=figurative"",""""),IF(LEN(D5506)&lt;15,""figurative ছোট"",""""),IF(AND(I5506=""Positive"",REGEXMATCH(H5"&amp;"506,""মূর্খ|ভণ্ড|প্রতার|অলস|লোভ|স্বার্থ|অক্ষম|অযোগ্য|বোকা|কৃপণ|হিংস"")),""valence-target অমিল"",""""),IF(COUNTIF($B:$B,B5506)&gt;1,""ডুপ্লিকেট"",""""))"),"")</f>
        <v/>
      </c>
      <c r="Q5506" s="5" t="str">
        <f t="shared" si="1"/>
        <v>২ পরে</v>
      </c>
    </row>
    <row r="5507">
      <c r="A5507" s="4">
        <v>3374.0</v>
      </c>
      <c r="B5507" s="2" t="s">
        <v>22528</v>
      </c>
      <c r="C5507" s="2" t="s">
        <v>22529</v>
      </c>
      <c r="D5507" s="2" t="s">
        <v>22530</v>
      </c>
      <c r="E5507" s="2" t="s">
        <v>22531</v>
      </c>
      <c r="F5507" s="2" t="b">
        <v>1</v>
      </c>
      <c r="G5507" s="2" t="b">
        <v>0</v>
      </c>
      <c r="H5507" s="2" t="s">
        <v>488</v>
      </c>
      <c r="I5507" s="2" t="s">
        <v>22</v>
      </c>
      <c r="J5507" s="2" t="s">
        <v>1438</v>
      </c>
      <c r="K5507" s="2" t="s">
        <v>495</v>
      </c>
      <c r="L5507" s="13" t="s">
        <v>496</v>
      </c>
      <c r="M5507" s="2" t="s">
        <v>26</v>
      </c>
      <c r="N5507" s="29"/>
      <c r="O5507" s="29"/>
      <c r="P5507" s="5" t="str">
        <f>IFERROR(__xludf.DUMMYFUNCTION("TEXTJOIN("" | "",TRUE,IF(OR(D5507="""",E5507="""",I5507="""",J5507="""",H5507=""""),""ফাঁকা ঘর"",""""),IF(AND(C5507&lt;&gt;"""",D5507&lt;&gt;"""",C5507=D5507),""gloss=figurative"",""""),IF(LEN(D5507)&lt;15,""figurative ছোট"",""""),IF(AND(I5507=""Positive"",REGEXMATCH(H5"&amp;"507,""মূর্খ|ভণ্ড|প্রতার|অলস|লোভ|স্বার্থ|অক্ষম|অযোগ্য|বোকা|কৃপণ|হিংস"")),""valence-target অমিল"",""""),IF(COUNTIF($B:$B,B5507)&gt;1,""ডুপ্লিকেট"",""""))"),"")</f>
        <v/>
      </c>
      <c r="Q5507" s="5" t="str">
        <f t="shared" si="1"/>
        <v>২ পরে</v>
      </c>
    </row>
    <row r="5508">
      <c r="A5508" s="4">
        <v>3375.0</v>
      </c>
      <c r="B5508" s="2" t="s">
        <v>22532</v>
      </c>
      <c r="C5508" s="2" t="s">
        <v>22533</v>
      </c>
      <c r="D5508" s="2" t="s">
        <v>22534</v>
      </c>
      <c r="E5508" s="2" t="s">
        <v>22535</v>
      </c>
      <c r="F5508" s="2" t="b">
        <v>1</v>
      </c>
      <c r="G5508" s="2" t="b">
        <v>1</v>
      </c>
      <c r="H5508" s="2" t="s">
        <v>22536</v>
      </c>
      <c r="I5508" s="2" t="s">
        <v>32</v>
      </c>
      <c r="J5508" s="2" t="s">
        <v>22394</v>
      </c>
      <c r="K5508" s="2" t="s">
        <v>495</v>
      </c>
      <c r="L5508" s="13" t="s">
        <v>496</v>
      </c>
      <c r="M5508" s="2" t="s">
        <v>26</v>
      </c>
      <c r="N5508" s="29"/>
      <c r="O5508" s="29"/>
      <c r="P5508" s="5" t="str">
        <f>IFERROR(__xludf.DUMMYFUNCTION("TEXTJOIN("" | "",TRUE,IF(OR(D5508="""",E5508="""",I5508="""",J5508="""",H5508=""""),""ফাঁকা ঘর"",""""),IF(AND(C5508&lt;&gt;"""",D5508&lt;&gt;"""",C5508=D5508),""gloss=figurative"",""""),IF(LEN(D5508)&lt;15,""figurative ছোট"",""""),IF(AND(I5508=""Positive"",REGEXMATCH(H5"&amp;"508,""মূর্খ|ভণ্ড|প্রতার|অলস|লোভ|স্বার্থ|অক্ষম|অযোগ্য|বোকা|কৃপণ|হিংস"")),""valence-target অমিল"",""""),IF(COUNTIF($B:$B,B5508)&gt;1,""ডুপ্লিকেট"",""""))"),"")</f>
        <v/>
      </c>
      <c r="Q5508" s="5" t="str">
        <f t="shared" si="1"/>
        <v>২ পরে</v>
      </c>
    </row>
    <row r="5509">
      <c r="A5509" s="4">
        <v>3376.0</v>
      </c>
      <c r="B5509" s="2" t="s">
        <v>22537</v>
      </c>
      <c r="C5509" s="2" t="s">
        <v>22538</v>
      </c>
      <c r="D5509" s="2" t="s">
        <v>22539</v>
      </c>
      <c r="E5509" s="2" t="s">
        <v>22540</v>
      </c>
      <c r="F5509" s="2" t="b">
        <v>1</v>
      </c>
      <c r="G5509" s="2" t="b">
        <v>0</v>
      </c>
      <c r="H5509" s="2" t="s">
        <v>37</v>
      </c>
      <c r="I5509" s="2" t="s">
        <v>32</v>
      </c>
      <c r="J5509" s="2" t="s">
        <v>22541</v>
      </c>
      <c r="K5509" s="2" t="s">
        <v>495</v>
      </c>
      <c r="L5509" s="13" t="s">
        <v>496</v>
      </c>
      <c r="M5509" s="2" t="s">
        <v>26</v>
      </c>
      <c r="N5509" s="29"/>
      <c r="O5509" s="29"/>
      <c r="P5509" s="5" t="str">
        <f>IFERROR(__xludf.DUMMYFUNCTION("TEXTJOIN("" | "",TRUE,IF(OR(D5509="""",E5509="""",I5509="""",J5509="""",H5509=""""),""ফাঁকা ঘর"",""""),IF(AND(C5509&lt;&gt;"""",D5509&lt;&gt;"""",C5509=D5509),""gloss=figurative"",""""),IF(LEN(D5509)&lt;15,""figurative ছোট"",""""),IF(AND(I5509=""Positive"",REGEXMATCH(H5"&amp;"509,""মূর্খ|ভণ্ড|প্রতার|অলস|লোভ|স্বার্থ|অক্ষম|অযোগ্য|বোকা|কৃপণ|হিংস"")),""valence-target অমিল"",""""),IF(COUNTIF($B:$B,B5509)&gt;1,""ডুপ্লিকেট"",""""))"),"")</f>
        <v/>
      </c>
      <c r="Q5509" s="5" t="str">
        <f t="shared" si="1"/>
        <v>২ পরে</v>
      </c>
    </row>
    <row r="5510">
      <c r="A5510" s="4">
        <v>3377.0</v>
      </c>
      <c r="B5510" s="2" t="s">
        <v>22542</v>
      </c>
      <c r="C5510" s="2" t="s">
        <v>22543</v>
      </c>
      <c r="D5510" s="2" t="s">
        <v>22544</v>
      </c>
      <c r="E5510" s="2" t="s">
        <v>22545</v>
      </c>
      <c r="F5510" s="2" t="b">
        <v>1</v>
      </c>
      <c r="G5510" s="2" t="b">
        <v>0</v>
      </c>
      <c r="H5510" s="2" t="s">
        <v>37</v>
      </c>
      <c r="I5510" s="2" t="s">
        <v>32</v>
      </c>
      <c r="J5510" s="2" t="s">
        <v>1895</v>
      </c>
      <c r="K5510" s="2" t="s">
        <v>495</v>
      </c>
      <c r="L5510" s="13" t="s">
        <v>496</v>
      </c>
      <c r="M5510" s="2" t="s">
        <v>26</v>
      </c>
      <c r="N5510" s="29"/>
      <c r="O5510" s="29"/>
      <c r="P5510" s="5" t="str">
        <f>IFERROR(__xludf.DUMMYFUNCTION("TEXTJOIN("" | "",TRUE,IF(OR(D5510="""",E5510="""",I5510="""",J5510="""",H5510=""""),""ফাঁকা ঘর"",""""),IF(AND(C5510&lt;&gt;"""",D5510&lt;&gt;"""",C5510=D5510),""gloss=figurative"",""""),IF(LEN(D5510)&lt;15,""figurative ছোট"",""""),IF(AND(I5510=""Positive"",REGEXMATCH(H5"&amp;"510,""মূর্খ|ভণ্ড|প্রতার|অলস|লোভ|স্বার্থ|অক্ষম|অযোগ্য|বোকা|কৃপণ|হিংস"")),""valence-target অমিল"",""""),IF(COUNTIF($B:$B,B5510)&gt;1,""ডুপ্লিকেট"",""""))"),"")</f>
        <v/>
      </c>
      <c r="Q5510" s="5" t="str">
        <f t="shared" si="1"/>
        <v>২ পরে</v>
      </c>
    </row>
    <row r="5511">
      <c r="A5511" s="4">
        <v>3378.0</v>
      </c>
      <c r="B5511" s="2" t="s">
        <v>22546</v>
      </c>
      <c r="C5511" s="2" t="s">
        <v>22547</v>
      </c>
      <c r="D5511" s="2" t="s">
        <v>22548</v>
      </c>
      <c r="E5511" s="2" t="s">
        <v>22549</v>
      </c>
      <c r="F5511" s="2" t="b">
        <v>1</v>
      </c>
      <c r="G5511" s="2" t="b">
        <v>0</v>
      </c>
      <c r="H5511" s="2" t="s">
        <v>756</v>
      </c>
      <c r="I5511" s="2" t="s">
        <v>22</v>
      </c>
      <c r="J5511" s="2" t="s">
        <v>2732</v>
      </c>
      <c r="K5511" s="2" t="s">
        <v>495</v>
      </c>
      <c r="L5511" s="13" t="s">
        <v>496</v>
      </c>
      <c r="M5511" s="2" t="s">
        <v>26</v>
      </c>
      <c r="N5511" s="29"/>
      <c r="O5511" s="29"/>
      <c r="P5511" s="5" t="str">
        <f>IFERROR(__xludf.DUMMYFUNCTION("TEXTJOIN("" | "",TRUE,IF(OR(D5511="""",E5511="""",I5511="""",J5511="""",H5511=""""),""ফাঁকা ঘর"",""""),IF(AND(C5511&lt;&gt;"""",D5511&lt;&gt;"""",C5511=D5511),""gloss=figurative"",""""),IF(LEN(D5511)&lt;15,""figurative ছোট"",""""),IF(AND(I5511=""Positive"",REGEXMATCH(H5"&amp;"511,""মূর্খ|ভণ্ড|প্রতার|অলস|লোভ|স্বার্থ|অক্ষম|অযোগ্য|বোকা|কৃপণ|হিংস"")),""valence-target অমিল"",""""),IF(COUNTIF($B:$B,B5511)&gt;1,""ডুপ্লিকেট"",""""))"),"")</f>
        <v/>
      </c>
      <c r="Q5511" s="5" t="str">
        <f t="shared" si="1"/>
        <v>২ পরে</v>
      </c>
    </row>
    <row r="5512">
      <c r="A5512" s="4">
        <v>3379.0</v>
      </c>
      <c r="B5512" s="2" t="s">
        <v>22550</v>
      </c>
      <c r="C5512" s="2" t="s">
        <v>22551</v>
      </c>
      <c r="D5512" s="2" t="s">
        <v>22552</v>
      </c>
      <c r="E5512" s="2" t="s">
        <v>22553</v>
      </c>
      <c r="F5512" s="2" t="b">
        <v>1</v>
      </c>
      <c r="G5512" s="2" t="b">
        <v>0</v>
      </c>
      <c r="H5512" s="2" t="s">
        <v>1334</v>
      </c>
      <c r="I5512" s="2" t="s">
        <v>22</v>
      </c>
      <c r="J5512" s="2" t="s">
        <v>820</v>
      </c>
      <c r="K5512" s="2" t="s">
        <v>495</v>
      </c>
      <c r="L5512" s="13" t="s">
        <v>496</v>
      </c>
      <c r="M5512" s="2" t="s">
        <v>26</v>
      </c>
      <c r="N5512" s="29"/>
      <c r="O5512" s="29"/>
      <c r="P5512" s="5" t="str">
        <f>IFERROR(__xludf.DUMMYFUNCTION("TEXTJOIN("" | "",TRUE,IF(OR(D5512="""",E5512="""",I5512="""",J5512="""",H5512=""""),""ফাঁকা ঘর"",""""),IF(AND(C5512&lt;&gt;"""",D5512&lt;&gt;"""",C5512=D5512),""gloss=figurative"",""""),IF(LEN(D5512)&lt;15,""figurative ছোট"",""""),IF(AND(I5512=""Positive"",REGEXMATCH(H5"&amp;"512,""মূর্খ|ভণ্ড|প্রতার|অলস|লোভ|স্বার্থ|অক্ষম|অযোগ্য|বোকা|কৃপণ|হিংস"")),""valence-target অমিল"",""""),IF(COUNTIF($B:$B,B5512)&gt;1,""ডুপ্লিকেট"",""""))"),"")</f>
        <v/>
      </c>
      <c r="Q5512" s="5" t="str">
        <f t="shared" si="1"/>
        <v>২ পরে</v>
      </c>
    </row>
    <row r="5513">
      <c r="A5513" s="4">
        <v>3380.0</v>
      </c>
      <c r="B5513" s="2" t="s">
        <v>22554</v>
      </c>
      <c r="C5513" s="2" t="s">
        <v>22555</v>
      </c>
      <c r="D5513" s="2" t="s">
        <v>22556</v>
      </c>
      <c r="E5513" s="2" t="s">
        <v>22557</v>
      </c>
      <c r="F5513" s="2" t="b">
        <v>1</v>
      </c>
      <c r="G5513" s="2" t="b">
        <v>0</v>
      </c>
      <c r="H5513" s="2" t="s">
        <v>37</v>
      </c>
      <c r="I5513" s="2" t="s">
        <v>49</v>
      </c>
      <c r="J5513" s="2" t="s">
        <v>1008</v>
      </c>
      <c r="K5513" s="2" t="s">
        <v>495</v>
      </c>
      <c r="L5513" s="13" t="s">
        <v>496</v>
      </c>
      <c r="M5513" s="2" t="s">
        <v>26</v>
      </c>
      <c r="N5513" s="29"/>
      <c r="O5513" s="29"/>
      <c r="P5513" s="5" t="str">
        <f>IFERROR(__xludf.DUMMYFUNCTION("TEXTJOIN("" | "",TRUE,IF(OR(D5513="""",E5513="""",I5513="""",J5513="""",H5513=""""),""ফাঁকা ঘর"",""""),IF(AND(C5513&lt;&gt;"""",D5513&lt;&gt;"""",C5513=D5513),""gloss=figurative"",""""),IF(LEN(D5513)&lt;15,""figurative ছোট"",""""),IF(AND(I5513=""Positive"",REGEXMATCH(H5"&amp;"513,""মূর্খ|ভণ্ড|প্রতার|অলস|লোভ|স্বার্থ|অক্ষম|অযোগ্য|বোকা|কৃপণ|হিংস"")),""valence-target অমিল"",""""),IF(COUNTIF($B:$B,B5513)&gt;1,""ডুপ্লিকেট"",""""))"),"")</f>
        <v/>
      </c>
      <c r="Q5513" s="5" t="str">
        <f t="shared" si="1"/>
        <v>২ পরে</v>
      </c>
    </row>
    <row r="5514">
      <c r="A5514" s="4">
        <v>3381.0</v>
      </c>
      <c r="B5514" s="2" t="s">
        <v>22558</v>
      </c>
      <c r="C5514" s="2" t="s">
        <v>22559</v>
      </c>
      <c r="D5514" s="2" t="s">
        <v>22560</v>
      </c>
      <c r="E5514" s="2" t="s">
        <v>22561</v>
      </c>
      <c r="F5514" s="2" t="b">
        <v>1</v>
      </c>
      <c r="G5514" s="2" t="b">
        <v>0</v>
      </c>
      <c r="H5514" s="2" t="s">
        <v>37</v>
      </c>
      <c r="I5514" s="2" t="s">
        <v>49</v>
      </c>
      <c r="J5514" s="2" t="s">
        <v>5524</v>
      </c>
      <c r="K5514" s="2" t="s">
        <v>495</v>
      </c>
      <c r="L5514" s="13" t="s">
        <v>496</v>
      </c>
      <c r="M5514" s="2" t="s">
        <v>26</v>
      </c>
      <c r="N5514" s="29"/>
      <c r="O5514" s="29"/>
      <c r="P5514" s="5" t="str">
        <f>IFERROR(__xludf.DUMMYFUNCTION("TEXTJOIN("" | "",TRUE,IF(OR(D5514="""",E5514="""",I5514="""",J5514="""",H5514=""""),""ফাঁকা ঘর"",""""),IF(AND(C5514&lt;&gt;"""",D5514&lt;&gt;"""",C5514=D5514),""gloss=figurative"",""""),IF(LEN(D5514)&lt;15,""figurative ছোট"",""""),IF(AND(I5514=""Positive"",REGEXMATCH(H5"&amp;"514,""মূর্খ|ভণ্ড|প্রতার|অলস|লোভ|স্বার্থ|অক্ষম|অযোগ্য|বোকা|কৃপণ|হিংস"")),""valence-target অমিল"",""""),IF(COUNTIF($B:$B,B5514)&gt;1,""ডুপ্লিকেট"",""""))"),"")</f>
        <v/>
      </c>
      <c r="Q5514" s="5" t="str">
        <f t="shared" si="1"/>
        <v>২ পরে</v>
      </c>
    </row>
    <row r="5515">
      <c r="A5515" s="4">
        <v>3383.0</v>
      </c>
      <c r="B5515" s="2" t="s">
        <v>22562</v>
      </c>
      <c r="C5515" s="2" t="s">
        <v>22563</v>
      </c>
      <c r="D5515" s="2" t="s">
        <v>22564</v>
      </c>
      <c r="E5515" s="2" t="s">
        <v>22565</v>
      </c>
      <c r="F5515" s="2" t="b">
        <v>1</v>
      </c>
      <c r="G5515" s="2" t="b">
        <v>0</v>
      </c>
      <c r="H5515" s="2" t="s">
        <v>37</v>
      </c>
      <c r="I5515" s="2" t="s">
        <v>32</v>
      </c>
      <c r="J5515" s="2" t="s">
        <v>8633</v>
      </c>
      <c r="K5515" s="2" t="s">
        <v>495</v>
      </c>
      <c r="L5515" s="13" t="s">
        <v>496</v>
      </c>
      <c r="M5515" s="2" t="s">
        <v>26</v>
      </c>
      <c r="N5515" s="29"/>
      <c r="O5515" s="29"/>
      <c r="P5515" s="5" t="str">
        <f>IFERROR(__xludf.DUMMYFUNCTION("TEXTJOIN("" | "",TRUE,IF(OR(D5515="""",E5515="""",I5515="""",J5515="""",H5515=""""),""ফাঁকা ঘর"",""""),IF(AND(C5515&lt;&gt;"""",D5515&lt;&gt;"""",C5515=D5515),""gloss=figurative"",""""),IF(LEN(D5515)&lt;15,""figurative ছোট"",""""),IF(AND(I5515=""Positive"",REGEXMATCH(H5"&amp;"515,""মূর্খ|ভণ্ড|প্রতার|অলস|লোভ|স্বার্থ|অক্ষম|অযোগ্য|বোকা|কৃপণ|হিংস"")),""valence-target অমিল"",""""),IF(COUNTIF($B:$B,B5515)&gt;1,""ডুপ্লিকেট"",""""))"),"")</f>
        <v/>
      </c>
      <c r="Q5515" s="5" t="str">
        <f t="shared" si="1"/>
        <v>২ পরে</v>
      </c>
    </row>
    <row r="5516">
      <c r="A5516" s="4">
        <v>3385.0</v>
      </c>
      <c r="B5516" s="2" t="s">
        <v>22566</v>
      </c>
      <c r="C5516" s="2" t="s">
        <v>22567</v>
      </c>
      <c r="D5516" s="2" t="s">
        <v>22568</v>
      </c>
      <c r="E5516" s="2" t="s">
        <v>22569</v>
      </c>
      <c r="F5516" s="2" t="b">
        <v>1</v>
      </c>
      <c r="G5516" s="2" t="b">
        <v>0</v>
      </c>
      <c r="H5516" s="2" t="s">
        <v>37</v>
      </c>
      <c r="I5516" s="2" t="s">
        <v>32</v>
      </c>
      <c r="J5516" s="2" t="s">
        <v>3710</v>
      </c>
      <c r="K5516" s="2" t="s">
        <v>495</v>
      </c>
      <c r="L5516" s="13" t="s">
        <v>496</v>
      </c>
      <c r="M5516" s="2" t="s">
        <v>26</v>
      </c>
      <c r="N5516" s="29"/>
      <c r="O5516" s="29"/>
      <c r="P5516" s="5" t="str">
        <f>IFERROR(__xludf.DUMMYFUNCTION("TEXTJOIN("" | "",TRUE,IF(OR(D5516="""",E5516="""",I5516="""",J5516="""",H5516=""""),""ফাঁকা ঘর"",""""),IF(AND(C5516&lt;&gt;"""",D5516&lt;&gt;"""",C5516=D5516),""gloss=figurative"",""""),IF(LEN(D5516)&lt;15,""figurative ছোট"",""""),IF(AND(I5516=""Positive"",REGEXMATCH(H5"&amp;"516,""মূর্খ|ভণ্ড|প্রতার|অলস|লোভ|স্বার্থ|অক্ষম|অযোগ্য|বোকা|কৃপণ|হিংস"")),""valence-target অমিল"",""""),IF(COUNTIF($B:$B,B5516)&gt;1,""ডুপ্লিকেট"",""""))"),"")</f>
        <v/>
      </c>
      <c r="Q5516" s="5" t="str">
        <f t="shared" si="1"/>
        <v>২ পরে</v>
      </c>
    </row>
    <row r="5517">
      <c r="A5517" s="4">
        <v>3386.0</v>
      </c>
      <c r="B5517" s="2" t="s">
        <v>22570</v>
      </c>
      <c r="C5517" s="2" t="s">
        <v>22198</v>
      </c>
      <c r="D5517" s="2" t="s">
        <v>22571</v>
      </c>
      <c r="E5517" s="2" t="s">
        <v>22572</v>
      </c>
      <c r="F5517" s="2" t="b">
        <v>1</v>
      </c>
      <c r="G5517" s="2" t="b">
        <v>0</v>
      </c>
      <c r="H5517" s="2" t="s">
        <v>749</v>
      </c>
      <c r="I5517" s="2" t="s">
        <v>22</v>
      </c>
      <c r="J5517" s="2" t="s">
        <v>750</v>
      </c>
      <c r="K5517" s="2" t="s">
        <v>495</v>
      </c>
      <c r="L5517" s="13" t="s">
        <v>496</v>
      </c>
      <c r="M5517" s="2" t="s">
        <v>26</v>
      </c>
      <c r="N5517" s="29"/>
      <c r="O5517" s="29"/>
      <c r="P5517" s="5" t="str">
        <f>IFERROR(__xludf.DUMMYFUNCTION("TEXTJOIN("" | "",TRUE,IF(OR(D5517="""",E5517="""",I5517="""",J5517="""",H5517=""""),""ফাঁকা ঘর"",""""),IF(AND(C5517&lt;&gt;"""",D5517&lt;&gt;"""",C5517=D5517),""gloss=figurative"",""""),IF(LEN(D5517)&lt;15,""figurative ছোট"",""""),IF(AND(I5517=""Positive"",REGEXMATCH(H5"&amp;"517,""মূর্খ|ভণ্ড|প্রতার|অলস|লোভ|স্বার্থ|অক্ষম|অযোগ্য|বোকা|কৃপণ|হিংস"")),""valence-target অমিল"",""""),IF(COUNTIF($B:$B,B5517)&gt;1,""ডুপ্লিকেট"",""""))"),"")</f>
        <v/>
      </c>
      <c r="Q5517" s="5" t="str">
        <f t="shared" si="1"/>
        <v>২ পরে</v>
      </c>
    </row>
    <row r="5518">
      <c r="A5518" s="4">
        <v>3387.0</v>
      </c>
      <c r="B5518" s="2" t="s">
        <v>22573</v>
      </c>
      <c r="C5518" s="2" t="s">
        <v>22574</v>
      </c>
      <c r="D5518" s="2" t="s">
        <v>22575</v>
      </c>
      <c r="E5518" s="2" t="s">
        <v>22576</v>
      </c>
      <c r="F5518" s="2" t="b">
        <v>1</v>
      </c>
      <c r="G5518" s="2" t="b">
        <v>0</v>
      </c>
      <c r="H5518" s="2" t="s">
        <v>749</v>
      </c>
      <c r="I5518" s="2" t="s">
        <v>22</v>
      </c>
      <c r="J5518" s="2" t="s">
        <v>750</v>
      </c>
      <c r="K5518" s="2" t="s">
        <v>495</v>
      </c>
      <c r="L5518" s="13" t="s">
        <v>496</v>
      </c>
      <c r="M5518" s="2" t="s">
        <v>26</v>
      </c>
      <c r="N5518" s="29"/>
      <c r="O5518" s="29"/>
      <c r="P5518" s="5" t="str">
        <f>IFERROR(__xludf.DUMMYFUNCTION("TEXTJOIN("" | "",TRUE,IF(OR(D5518="""",E5518="""",I5518="""",J5518="""",H5518=""""),""ফাঁকা ঘর"",""""),IF(AND(C5518&lt;&gt;"""",D5518&lt;&gt;"""",C5518=D5518),""gloss=figurative"",""""),IF(LEN(D5518)&lt;15,""figurative ছোট"",""""),IF(AND(I5518=""Positive"",REGEXMATCH(H5"&amp;"518,""মূর্খ|ভণ্ড|প্রতার|অলস|লোভ|স্বার্থ|অক্ষম|অযোগ্য|বোকা|কৃপণ|হিংস"")),""valence-target অমিল"",""""),IF(COUNTIF($B:$B,B5518)&gt;1,""ডুপ্লিকেট"",""""))"),"")</f>
        <v/>
      </c>
      <c r="Q5518" s="5" t="str">
        <f t="shared" si="1"/>
        <v>২ পরে</v>
      </c>
    </row>
    <row r="5519">
      <c r="A5519" s="4">
        <v>3388.0</v>
      </c>
      <c r="B5519" s="2" t="s">
        <v>22577</v>
      </c>
      <c r="C5519" s="2" t="s">
        <v>22577</v>
      </c>
      <c r="D5519" s="2" t="s">
        <v>22578</v>
      </c>
      <c r="E5519" s="2" t="s">
        <v>22579</v>
      </c>
      <c r="F5519" s="2" t="b">
        <v>1</v>
      </c>
      <c r="G5519" s="2" t="b">
        <v>0</v>
      </c>
      <c r="H5519" s="2" t="s">
        <v>18462</v>
      </c>
      <c r="I5519" s="2" t="s">
        <v>22</v>
      </c>
      <c r="J5519" s="2" t="s">
        <v>947</v>
      </c>
      <c r="K5519" s="2" t="s">
        <v>495</v>
      </c>
      <c r="L5519" s="13" t="s">
        <v>496</v>
      </c>
      <c r="M5519" s="2" t="s">
        <v>26</v>
      </c>
      <c r="N5519" s="29"/>
      <c r="O5519" s="29"/>
      <c r="P5519" s="5" t="str">
        <f>IFERROR(__xludf.DUMMYFUNCTION("TEXTJOIN("" | "",TRUE,IF(OR(D5519="""",E5519="""",I5519="""",J5519="""",H5519=""""),""ফাঁকা ঘর"",""""),IF(AND(C5519&lt;&gt;"""",D5519&lt;&gt;"""",C5519=D5519),""gloss=figurative"",""""),IF(LEN(D5519)&lt;15,""figurative ছোট"",""""),IF(AND(I5519=""Positive"",REGEXMATCH(H5"&amp;"519,""মূর্খ|ভণ্ড|প্রতার|অলস|লোভ|স্বার্থ|অক্ষম|অযোগ্য|বোকা|কৃপণ|হিংস"")),""valence-target অমিল"",""""),IF(COUNTIF($B:$B,B5519)&gt;1,""ডুপ্লিকেট"",""""))"),"")</f>
        <v/>
      </c>
      <c r="Q5519" s="5" t="str">
        <f t="shared" si="1"/>
        <v>২ পরে</v>
      </c>
    </row>
    <row r="5520">
      <c r="A5520" s="4">
        <v>3389.0</v>
      </c>
      <c r="B5520" s="2" t="s">
        <v>22580</v>
      </c>
      <c r="C5520" s="2" t="s">
        <v>22581</v>
      </c>
      <c r="D5520" s="2" t="s">
        <v>22582</v>
      </c>
      <c r="E5520" s="2" t="s">
        <v>22583</v>
      </c>
      <c r="F5520" s="2" t="b">
        <v>1</v>
      </c>
      <c r="G5520" s="2" t="b">
        <v>0</v>
      </c>
      <c r="H5520" s="2" t="s">
        <v>37</v>
      </c>
      <c r="I5520" s="2" t="s">
        <v>22</v>
      </c>
      <c r="J5520" s="2" t="s">
        <v>22584</v>
      </c>
      <c r="K5520" s="2" t="s">
        <v>495</v>
      </c>
      <c r="L5520" s="13" t="s">
        <v>496</v>
      </c>
      <c r="M5520" s="2" t="s">
        <v>26</v>
      </c>
      <c r="N5520" s="29"/>
      <c r="O5520" s="29"/>
      <c r="P5520" s="5" t="str">
        <f>IFERROR(__xludf.DUMMYFUNCTION("TEXTJOIN("" | "",TRUE,IF(OR(D5520="""",E5520="""",I5520="""",J5520="""",H5520=""""),""ফাঁকা ঘর"",""""),IF(AND(C5520&lt;&gt;"""",D5520&lt;&gt;"""",C5520=D5520),""gloss=figurative"",""""),IF(LEN(D5520)&lt;15,""figurative ছোট"",""""),IF(AND(I5520=""Positive"",REGEXMATCH(H5"&amp;"520,""মূর্খ|ভণ্ড|প্রতার|অলস|লোভ|স্বার্থ|অক্ষম|অযোগ্য|বোকা|কৃপণ|হিংস"")),""valence-target অমিল"",""""),IF(COUNTIF($B:$B,B5520)&gt;1,""ডুপ্লিকেট"",""""))"),"")</f>
        <v/>
      </c>
      <c r="Q5520" s="5" t="str">
        <f t="shared" si="1"/>
        <v>২ পরে</v>
      </c>
    </row>
    <row r="5521">
      <c r="A5521" s="4">
        <v>3390.0</v>
      </c>
      <c r="B5521" s="2" t="s">
        <v>22585</v>
      </c>
      <c r="C5521" s="2" t="s">
        <v>22586</v>
      </c>
      <c r="D5521" s="2" t="s">
        <v>22587</v>
      </c>
      <c r="E5521" s="2" t="s">
        <v>22588</v>
      </c>
      <c r="F5521" s="2" t="b">
        <v>1</v>
      </c>
      <c r="G5521" s="2" t="b">
        <v>0</v>
      </c>
      <c r="H5521" s="2" t="s">
        <v>37</v>
      </c>
      <c r="I5521" s="2" t="s">
        <v>49</v>
      </c>
      <c r="J5521" s="2" t="s">
        <v>1060</v>
      </c>
      <c r="K5521" s="2" t="s">
        <v>495</v>
      </c>
      <c r="L5521" s="13" t="s">
        <v>496</v>
      </c>
      <c r="M5521" s="2" t="s">
        <v>26</v>
      </c>
      <c r="N5521" s="29"/>
      <c r="O5521" s="29"/>
      <c r="P5521" s="5" t="str">
        <f>IFERROR(__xludf.DUMMYFUNCTION("TEXTJOIN("" | "",TRUE,IF(OR(D5521="""",E5521="""",I5521="""",J5521="""",H5521=""""),""ফাঁকা ঘর"",""""),IF(AND(C5521&lt;&gt;"""",D5521&lt;&gt;"""",C5521=D5521),""gloss=figurative"",""""),IF(LEN(D5521)&lt;15,""figurative ছোট"",""""),IF(AND(I5521=""Positive"",REGEXMATCH(H5"&amp;"521,""মূর্খ|ভণ্ড|প্রতার|অলস|লোভ|স্বার্থ|অক্ষম|অযোগ্য|বোকা|কৃপণ|হিংস"")),""valence-target অমিল"",""""),IF(COUNTIF($B:$B,B5521)&gt;1,""ডুপ্লিকেট"",""""))"),"")</f>
        <v/>
      </c>
      <c r="Q5521" s="5" t="str">
        <f t="shared" si="1"/>
        <v>২ পরে</v>
      </c>
    </row>
    <row r="5522">
      <c r="A5522" s="4">
        <v>3391.0</v>
      </c>
      <c r="B5522" s="2" t="s">
        <v>22589</v>
      </c>
      <c r="C5522" s="2" t="s">
        <v>22590</v>
      </c>
      <c r="D5522" s="2" t="s">
        <v>22591</v>
      </c>
      <c r="E5522" s="2" t="s">
        <v>22592</v>
      </c>
      <c r="F5522" s="2" t="b">
        <v>1</v>
      </c>
      <c r="G5522" s="2" t="b">
        <v>0</v>
      </c>
      <c r="H5522" s="2" t="s">
        <v>37</v>
      </c>
      <c r="I5522" s="2" t="s">
        <v>22</v>
      </c>
      <c r="J5522" s="2" t="s">
        <v>1060</v>
      </c>
      <c r="K5522" s="2" t="s">
        <v>495</v>
      </c>
      <c r="L5522" s="13" t="s">
        <v>496</v>
      </c>
      <c r="M5522" s="2" t="s">
        <v>26</v>
      </c>
      <c r="N5522" s="29"/>
      <c r="O5522" s="29"/>
      <c r="P5522" s="5" t="str">
        <f>IFERROR(__xludf.DUMMYFUNCTION("TEXTJOIN("" | "",TRUE,IF(OR(D5522="""",E5522="""",I5522="""",J5522="""",H5522=""""),""ফাঁকা ঘর"",""""),IF(AND(C5522&lt;&gt;"""",D5522&lt;&gt;"""",C5522=D5522),""gloss=figurative"",""""),IF(LEN(D5522)&lt;15,""figurative ছোট"",""""),IF(AND(I5522=""Positive"",REGEXMATCH(H5"&amp;"522,""মূর্খ|ভণ্ড|প্রতার|অলস|লোভ|স্বার্থ|অক্ষম|অযোগ্য|বোকা|কৃপণ|হিংস"")),""valence-target অমিল"",""""),IF(COUNTIF($B:$B,B5522)&gt;1,""ডুপ্লিকেট"",""""))"),"")</f>
        <v/>
      </c>
      <c r="Q5522" s="5" t="str">
        <f t="shared" si="1"/>
        <v>২ পরে</v>
      </c>
    </row>
    <row r="5523">
      <c r="A5523" s="4">
        <v>3392.0</v>
      </c>
      <c r="B5523" s="2" t="s">
        <v>22593</v>
      </c>
      <c r="C5523" s="2" t="s">
        <v>22594</v>
      </c>
      <c r="D5523" s="2" t="s">
        <v>22595</v>
      </c>
      <c r="E5523" s="2" t="s">
        <v>22596</v>
      </c>
      <c r="F5523" s="2" t="b">
        <v>1</v>
      </c>
      <c r="G5523" s="2" t="b">
        <v>0</v>
      </c>
      <c r="H5523" s="2" t="s">
        <v>22597</v>
      </c>
      <c r="I5523" s="2" t="s">
        <v>22</v>
      </c>
      <c r="J5523" s="2" t="s">
        <v>43</v>
      </c>
      <c r="K5523" s="2" t="s">
        <v>495</v>
      </c>
      <c r="L5523" s="13" t="s">
        <v>496</v>
      </c>
      <c r="M5523" s="2" t="s">
        <v>26</v>
      </c>
      <c r="N5523" s="29"/>
      <c r="O5523" s="29"/>
      <c r="P5523" s="5" t="str">
        <f>IFERROR(__xludf.DUMMYFUNCTION("TEXTJOIN("" | "",TRUE,IF(OR(D5523="""",E5523="""",I5523="""",J5523="""",H5523=""""),""ফাঁকা ঘর"",""""),IF(AND(C5523&lt;&gt;"""",D5523&lt;&gt;"""",C5523=D5523),""gloss=figurative"",""""),IF(LEN(D5523)&lt;15,""figurative ছোট"",""""),IF(AND(I5523=""Positive"",REGEXMATCH(H5"&amp;"523,""মূর্খ|ভণ্ড|প্রতার|অলস|লোভ|স্বার্থ|অক্ষম|অযোগ্য|বোকা|কৃপণ|হিংস"")),""valence-target অমিল"",""""),IF(COUNTIF($B:$B,B5523)&gt;1,""ডুপ্লিকেট"",""""))"),"")</f>
        <v/>
      </c>
      <c r="Q5523" s="5" t="str">
        <f t="shared" si="1"/>
        <v>২ পরে</v>
      </c>
    </row>
    <row r="5524">
      <c r="A5524" s="4">
        <v>3393.0</v>
      </c>
      <c r="B5524" s="2" t="s">
        <v>22598</v>
      </c>
      <c r="C5524" s="2" t="s">
        <v>22599</v>
      </c>
      <c r="D5524" s="2" t="s">
        <v>22600</v>
      </c>
      <c r="E5524" s="2" t="s">
        <v>22601</v>
      </c>
      <c r="F5524" s="2" t="b">
        <v>1</v>
      </c>
      <c r="G5524" s="2" t="b">
        <v>0</v>
      </c>
      <c r="H5524" s="2" t="s">
        <v>22602</v>
      </c>
      <c r="I5524" s="2" t="s">
        <v>22</v>
      </c>
      <c r="J5524" s="2" t="s">
        <v>1644</v>
      </c>
      <c r="K5524" s="2" t="s">
        <v>495</v>
      </c>
      <c r="L5524" s="13" t="s">
        <v>496</v>
      </c>
      <c r="M5524" s="2" t="s">
        <v>26</v>
      </c>
      <c r="N5524" s="29"/>
      <c r="O5524" s="29"/>
      <c r="P5524" s="5" t="str">
        <f>IFERROR(__xludf.DUMMYFUNCTION("TEXTJOIN("" | "",TRUE,IF(OR(D5524="""",E5524="""",I5524="""",J5524="""",H5524=""""),""ফাঁকা ঘর"",""""),IF(AND(C5524&lt;&gt;"""",D5524&lt;&gt;"""",C5524=D5524),""gloss=figurative"",""""),IF(LEN(D5524)&lt;15,""figurative ছোট"",""""),IF(AND(I5524=""Positive"",REGEXMATCH(H5"&amp;"524,""মূর্খ|ভণ্ড|প্রতার|অলস|লোভ|স্বার্থ|অক্ষম|অযোগ্য|বোকা|কৃপণ|হিংস"")),""valence-target অমিল"",""""),IF(COUNTIF($B:$B,B5524)&gt;1,""ডুপ্লিকেট"",""""))"),"")</f>
        <v/>
      </c>
      <c r="Q5524" s="5" t="str">
        <f t="shared" si="1"/>
        <v>২ পরে</v>
      </c>
    </row>
    <row r="5525">
      <c r="A5525" s="4">
        <v>3394.0</v>
      </c>
      <c r="B5525" s="2" t="s">
        <v>22603</v>
      </c>
      <c r="C5525" s="2" t="s">
        <v>2983</v>
      </c>
      <c r="D5525" s="2" t="s">
        <v>22604</v>
      </c>
      <c r="E5525" s="2" t="s">
        <v>22605</v>
      </c>
      <c r="F5525" s="2" t="b">
        <v>1</v>
      </c>
      <c r="G5525" s="2" t="b">
        <v>0</v>
      </c>
      <c r="H5525" s="2" t="s">
        <v>37</v>
      </c>
      <c r="I5525" s="2" t="s">
        <v>32</v>
      </c>
      <c r="J5525" s="2" t="s">
        <v>1060</v>
      </c>
      <c r="K5525" s="2" t="s">
        <v>495</v>
      </c>
      <c r="L5525" s="13" t="s">
        <v>496</v>
      </c>
      <c r="M5525" s="2" t="s">
        <v>26</v>
      </c>
      <c r="N5525" s="29"/>
      <c r="O5525" s="29"/>
      <c r="P5525" s="5" t="str">
        <f>IFERROR(__xludf.DUMMYFUNCTION("TEXTJOIN("" | "",TRUE,IF(OR(D5525="""",E5525="""",I5525="""",J5525="""",H5525=""""),""ফাঁকা ঘর"",""""),IF(AND(C5525&lt;&gt;"""",D5525&lt;&gt;"""",C5525=D5525),""gloss=figurative"",""""),IF(LEN(D5525)&lt;15,""figurative ছোট"",""""),IF(AND(I5525=""Positive"",REGEXMATCH(H5"&amp;"525,""মূর্খ|ভণ্ড|প্রতার|অলস|লোভ|স্বার্থ|অক্ষম|অযোগ্য|বোকা|কৃপণ|হিংস"")),""valence-target অমিল"",""""),IF(COUNTIF($B:$B,B5525)&gt;1,""ডুপ্লিকেট"",""""))"),"")</f>
        <v/>
      </c>
      <c r="Q5525" s="5" t="str">
        <f t="shared" si="1"/>
        <v>২ পরে</v>
      </c>
    </row>
    <row r="5526">
      <c r="A5526" s="4">
        <v>3396.0</v>
      </c>
      <c r="B5526" s="2" t="s">
        <v>22606</v>
      </c>
      <c r="C5526" s="2" t="s">
        <v>22607</v>
      </c>
      <c r="D5526" s="2" t="s">
        <v>22608</v>
      </c>
      <c r="E5526" s="2" t="s">
        <v>22609</v>
      </c>
      <c r="F5526" s="2" t="b">
        <v>1</v>
      </c>
      <c r="G5526" s="2" t="b">
        <v>0</v>
      </c>
      <c r="H5526" s="2" t="s">
        <v>37</v>
      </c>
      <c r="I5526" s="2" t="s">
        <v>32</v>
      </c>
      <c r="J5526" s="2" t="s">
        <v>1060</v>
      </c>
      <c r="K5526" s="2" t="s">
        <v>495</v>
      </c>
      <c r="L5526" s="13" t="s">
        <v>496</v>
      </c>
      <c r="M5526" s="2" t="s">
        <v>26</v>
      </c>
      <c r="N5526" s="29"/>
      <c r="O5526" s="29"/>
      <c r="P5526" s="5" t="str">
        <f>IFERROR(__xludf.DUMMYFUNCTION("TEXTJOIN("" | "",TRUE,IF(OR(D5526="""",E5526="""",I5526="""",J5526="""",H5526=""""),""ফাঁকা ঘর"",""""),IF(AND(C5526&lt;&gt;"""",D5526&lt;&gt;"""",C5526=D5526),""gloss=figurative"",""""),IF(LEN(D5526)&lt;15,""figurative ছোট"",""""),IF(AND(I5526=""Positive"",REGEXMATCH(H5"&amp;"526,""মূর্খ|ভণ্ড|প্রতার|অলস|লোভ|স্বার্থ|অক্ষম|অযোগ্য|বোকা|কৃপণ|হিংস"")),""valence-target অমিল"",""""),IF(COUNTIF($B:$B,B5526)&gt;1,""ডুপ্লিকেট"",""""))"),"")</f>
        <v/>
      </c>
      <c r="Q5526" s="5" t="str">
        <f t="shared" si="1"/>
        <v>২ পরে</v>
      </c>
    </row>
    <row r="5527">
      <c r="A5527" s="4">
        <v>3397.0</v>
      </c>
      <c r="B5527" s="2" t="s">
        <v>22610</v>
      </c>
      <c r="C5527" s="2" t="s">
        <v>22610</v>
      </c>
      <c r="D5527" s="2" t="s">
        <v>22611</v>
      </c>
      <c r="E5527" s="2" t="s">
        <v>22612</v>
      </c>
      <c r="F5527" s="2" t="b">
        <v>1</v>
      </c>
      <c r="G5527" s="2" t="b">
        <v>0</v>
      </c>
      <c r="H5527" s="2" t="s">
        <v>37</v>
      </c>
      <c r="I5527" s="2" t="s">
        <v>22</v>
      </c>
      <c r="J5527" s="2" t="s">
        <v>750</v>
      </c>
      <c r="K5527" s="2" t="s">
        <v>495</v>
      </c>
      <c r="L5527" s="13" t="s">
        <v>496</v>
      </c>
      <c r="M5527" s="2" t="s">
        <v>26</v>
      </c>
      <c r="N5527" s="29"/>
      <c r="O5527" s="29"/>
      <c r="P5527" s="5" t="str">
        <f>IFERROR(__xludf.DUMMYFUNCTION("TEXTJOIN("" | "",TRUE,IF(OR(D5527="""",E5527="""",I5527="""",J5527="""",H5527=""""),""ফাঁকা ঘর"",""""),IF(AND(C5527&lt;&gt;"""",D5527&lt;&gt;"""",C5527=D5527),""gloss=figurative"",""""),IF(LEN(D5527)&lt;15,""figurative ছোট"",""""),IF(AND(I5527=""Positive"",REGEXMATCH(H5"&amp;"527,""মূর্খ|ভণ্ড|প্রতার|অলস|লোভ|স্বার্থ|অক্ষম|অযোগ্য|বোকা|কৃপণ|হিংস"")),""valence-target অমিল"",""""),IF(COUNTIF($B:$B,B5527)&gt;1,""ডুপ্লিকেট"",""""))"),"")</f>
        <v/>
      </c>
      <c r="Q5527" s="5" t="str">
        <f t="shared" si="1"/>
        <v>২ পরে</v>
      </c>
    </row>
    <row r="5528">
      <c r="A5528" s="4">
        <v>3398.0</v>
      </c>
      <c r="B5528" s="2" t="s">
        <v>22613</v>
      </c>
      <c r="C5528" s="2" t="s">
        <v>22613</v>
      </c>
      <c r="D5528" s="2" t="s">
        <v>22614</v>
      </c>
      <c r="E5528" s="2" t="s">
        <v>22615</v>
      </c>
      <c r="F5528" s="2" t="b">
        <v>1</v>
      </c>
      <c r="G5528" s="2" t="b">
        <v>0</v>
      </c>
      <c r="H5528" s="2" t="s">
        <v>37</v>
      </c>
      <c r="I5528" s="2" t="s">
        <v>22</v>
      </c>
      <c r="J5528" s="2" t="s">
        <v>565</v>
      </c>
      <c r="K5528" s="2" t="s">
        <v>495</v>
      </c>
      <c r="L5528" s="13" t="s">
        <v>496</v>
      </c>
      <c r="M5528" s="2" t="s">
        <v>26</v>
      </c>
      <c r="N5528" s="29"/>
      <c r="O5528" s="29"/>
      <c r="P5528" s="5" t="str">
        <f>IFERROR(__xludf.DUMMYFUNCTION("TEXTJOIN("" | "",TRUE,IF(OR(D5528="""",E5528="""",I5528="""",J5528="""",H5528=""""),""ফাঁকা ঘর"",""""),IF(AND(C5528&lt;&gt;"""",D5528&lt;&gt;"""",C5528=D5528),""gloss=figurative"",""""),IF(LEN(D5528)&lt;15,""figurative ছোট"",""""),IF(AND(I5528=""Positive"",REGEXMATCH(H5"&amp;"528,""মূর্খ|ভণ্ড|প্রতার|অলস|লোভ|স্বার্থ|অক্ষম|অযোগ্য|বোকা|কৃপণ|হিংস"")),""valence-target অমিল"",""""),IF(COUNTIF($B:$B,B5528)&gt;1,""ডুপ্লিকেট"",""""))"),"")</f>
        <v/>
      </c>
      <c r="Q5528" s="5" t="str">
        <f t="shared" si="1"/>
        <v>২ পরে</v>
      </c>
    </row>
    <row r="5529">
      <c r="A5529" s="4">
        <v>3399.0</v>
      </c>
      <c r="B5529" s="2" t="s">
        <v>22616</v>
      </c>
      <c r="C5529" s="2" t="s">
        <v>22617</v>
      </c>
      <c r="D5529" s="2" t="s">
        <v>22618</v>
      </c>
      <c r="E5529" s="2" t="s">
        <v>20379</v>
      </c>
      <c r="F5529" s="2" t="b">
        <v>1</v>
      </c>
      <c r="G5529" s="2" t="b">
        <v>0</v>
      </c>
      <c r="H5529" s="2" t="s">
        <v>22619</v>
      </c>
      <c r="I5529" s="2" t="s">
        <v>22</v>
      </c>
      <c r="J5529" s="2" t="s">
        <v>2040</v>
      </c>
      <c r="K5529" s="2" t="s">
        <v>495</v>
      </c>
      <c r="L5529" s="13" t="s">
        <v>496</v>
      </c>
      <c r="M5529" s="2" t="s">
        <v>26</v>
      </c>
      <c r="N5529" s="29"/>
      <c r="O5529" s="29"/>
      <c r="P5529" s="5" t="str">
        <f>IFERROR(__xludf.DUMMYFUNCTION("TEXTJOIN("" | "",TRUE,IF(OR(D5529="""",E5529="""",I5529="""",J5529="""",H5529=""""),""ফাঁকা ঘর"",""""),IF(AND(C5529&lt;&gt;"""",D5529&lt;&gt;"""",C5529=D5529),""gloss=figurative"",""""),IF(LEN(D5529)&lt;15,""figurative ছোট"",""""),IF(AND(I5529=""Positive"",REGEXMATCH(H5"&amp;"529,""মূর্খ|ভণ্ড|প্রতার|অলস|লোভ|স্বার্থ|অক্ষম|অযোগ্য|বোকা|কৃপণ|হিংস"")),""valence-target অমিল"",""""),IF(COUNTIF($B:$B,B5529)&gt;1,""ডুপ্লিকেট"",""""))"),"")</f>
        <v/>
      </c>
      <c r="Q5529" s="5" t="str">
        <f t="shared" si="1"/>
        <v>২ পরে</v>
      </c>
    </row>
    <row r="5530">
      <c r="A5530" s="4">
        <v>3400.0</v>
      </c>
      <c r="B5530" s="2" t="s">
        <v>22620</v>
      </c>
      <c r="C5530" s="2" t="s">
        <v>22621</v>
      </c>
      <c r="D5530" s="2" t="s">
        <v>22622</v>
      </c>
      <c r="E5530" s="2" t="s">
        <v>22623</v>
      </c>
      <c r="F5530" s="2" t="b">
        <v>1</v>
      </c>
      <c r="G5530" s="2" t="b">
        <v>0</v>
      </c>
      <c r="H5530" s="2" t="s">
        <v>37</v>
      </c>
      <c r="I5530" s="2" t="s">
        <v>49</v>
      </c>
      <c r="J5530" s="2" t="s">
        <v>814</v>
      </c>
      <c r="K5530" s="2" t="s">
        <v>495</v>
      </c>
      <c r="L5530" s="13" t="s">
        <v>496</v>
      </c>
      <c r="M5530" s="2" t="s">
        <v>26</v>
      </c>
      <c r="N5530" s="29"/>
      <c r="O5530" s="29"/>
      <c r="P5530" s="5" t="str">
        <f>IFERROR(__xludf.DUMMYFUNCTION("TEXTJOIN("" | "",TRUE,IF(OR(D5530="""",E5530="""",I5530="""",J5530="""",H5530=""""),""ফাঁকা ঘর"",""""),IF(AND(C5530&lt;&gt;"""",D5530&lt;&gt;"""",C5530=D5530),""gloss=figurative"",""""),IF(LEN(D5530)&lt;15,""figurative ছোট"",""""),IF(AND(I5530=""Positive"",REGEXMATCH(H5"&amp;"530,""মূর্খ|ভণ্ড|প্রতার|অলস|লোভ|স্বার্থ|অক্ষম|অযোগ্য|বোকা|কৃপণ|হিংস"")),""valence-target অমিল"",""""),IF(COUNTIF($B:$B,B5530)&gt;1,""ডুপ্লিকেট"",""""))"),"")</f>
        <v/>
      </c>
      <c r="Q5530" s="5" t="str">
        <f t="shared" si="1"/>
        <v>২ পরে</v>
      </c>
    </row>
    <row r="5531">
      <c r="A5531" s="4">
        <v>3401.0</v>
      </c>
      <c r="B5531" s="2" t="s">
        <v>22624</v>
      </c>
      <c r="C5531" s="2" t="s">
        <v>22625</v>
      </c>
      <c r="D5531" s="2" t="s">
        <v>22626</v>
      </c>
      <c r="E5531" s="2" t="s">
        <v>22627</v>
      </c>
      <c r="F5531" s="2" t="b">
        <v>1</v>
      </c>
      <c r="G5531" s="2" t="b">
        <v>0</v>
      </c>
      <c r="H5531" s="2" t="s">
        <v>22628</v>
      </c>
      <c r="I5531" s="2" t="s">
        <v>22</v>
      </c>
      <c r="J5531" s="2" t="s">
        <v>723</v>
      </c>
      <c r="K5531" s="2" t="s">
        <v>495</v>
      </c>
      <c r="L5531" s="13" t="s">
        <v>496</v>
      </c>
      <c r="M5531" s="2" t="s">
        <v>26</v>
      </c>
      <c r="N5531" s="29"/>
      <c r="O5531" s="29"/>
      <c r="P5531" s="5" t="str">
        <f>IFERROR(__xludf.DUMMYFUNCTION("TEXTJOIN("" | "",TRUE,IF(OR(D5531="""",E5531="""",I5531="""",J5531="""",H5531=""""),""ফাঁকা ঘর"",""""),IF(AND(C5531&lt;&gt;"""",D5531&lt;&gt;"""",C5531=D5531),""gloss=figurative"",""""),IF(LEN(D5531)&lt;15,""figurative ছোট"",""""),IF(AND(I5531=""Positive"",REGEXMATCH(H5"&amp;"531,""মূর্খ|ভণ্ড|প্রতার|অলস|লোভ|স্বার্থ|অক্ষম|অযোগ্য|বোকা|কৃপণ|হিংস"")),""valence-target অমিল"",""""),IF(COUNTIF($B:$B,B5531)&gt;1,""ডুপ্লিকেট"",""""))"),"")</f>
        <v/>
      </c>
      <c r="Q5531" s="5" t="str">
        <f t="shared" si="1"/>
        <v>২ পরে</v>
      </c>
    </row>
    <row r="5532">
      <c r="A5532" s="4">
        <v>3402.0</v>
      </c>
      <c r="B5532" s="2" t="s">
        <v>22629</v>
      </c>
      <c r="C5532" s="2" t="s">
        <v>22630</v>
      </c>
      <c r="D5532" s="2" t="s">
        <v>22631</v>
      </c>
      <c r="E5532" s="2" t="s">
        <v>22632</v>
      </c>
      <c r="F5532" s="2" t="b">
        <v>1</v>
      </c>
      <c r="G5532" s="2" t="b">
        <v>0</v>
      </c>
      <c r="H5532" s="2" t="s">
        <v>8809</v>
      </c>
      <c r="I5532" s="2" t="s">
        <v>22</v>
      </c>
      <c r="J5532" s="2" t="s">
        <v>43</v>
      </c>
      <c r="K5532" s="2" t="s">
        <v>495</v>
      </c>
      <c r="L5532" s="13" t="s">
        <v>496</v>
      </c>
      <c r="M5532" s="2" t="s">
        <v>26</v>
      </c>
      <c r="N5532" s="29"/>
      <c r="O5532" s="29"/>
      <c r="P5532" s="5" t="str">
        <f>IFERROR(__xludf.DUMMYFUNCTION("TEXTJOIN("" | "",TRUE,IF(OR(D5532="""",E5532="""",I5532="""",J5532="""",H5532=""""),""ফাঁকা ঘর"",""""),IF(AND(C5532&lt;&gt;"""",D5532&lt;&gt;"""",C5532=D5532),""gloss=figurative"",""""),IF(LEN(D5532)&lt;15,""figurative ছোট"",""""),IF(AND(I5532=""Positive"",REGEXMATCH(H5"&amp;"532,""মূর্খ|ভণ্ড|প্রতার|অলস|লোভ|স্বার্থ|অক্ষম|অযোগ্য|বোকা|কৃপণ|হিংস"")),""valence-target অমিল"",""""),IF(COUNTIF($B:$B,B5532)&gt;1,""ডুপ্লিকেট"",""""))"),"")</f>
        <v/>
      </c>
      <c r="Q5532" s="5" t="str">
        <f t="shared" si="1"/>
        <v>২ পরে</v>
      </c>
    </row>
    <row r="5533">
      <c r="A5533" s="4">
        <v>3403.0</v>
      </c>
      <c r="B5533" s="2" t="s">
        <v>22633</v>
      </c>
      <c r="C5533" s="2" t="s">
        <v>22634</v>
      </c>
      <c r="D5533" s="2" t="s">
        <v>22635</v>
      </c>
      <c r="E5533" s="2" t="s">
        <v>22636</v>
      </c>
      <c r="F5533" s="2" t="b">
        <v>1</v>
      </c>
      <c r="G5533" s="2" t="b">
        <v>0</v>
      </c>
      <c r="H5533" s="2" t="s">
        <v>356</v>
      </c>
      <c r="I5533" s="2" t="s">
        <v>22</v>
      </c>
      <c r="J5533" s="2" t="s">
        <v>3165</v>
      </c>
      <c r="K5533" s="2" t="s">
        <v>495</v>
      </c>
      <c r="L5533" s="13" t="s">
        <v>496</v>
      </c>
      <c r="M5533" s="2" t="s">
        <v>26</v>
      </c>
      <c r="N5533" s="29"/>
      <c r="O5533" s="29"/>
      <c r="P5533" s="5" t="str">
        <f>IFERROR(__xludf.DUMMYFUNCTION("TEXTJOIN("" | "",TRUE,IF(OR(D5533="""",E5533="""",I5533="""",J5533="""",H5533=""""),""ফাঁকা ঘর"",""""),IF(AND(C5533&lt;&gt;"""",D5533&lt;&gt;"""",C5533=D5533),""gloss=figurative"",""""),IF(LEN(D5533)&lt;15,""figurative ছোট"",""""),IF(AND(I5533=""Positive"",REGEXMATCH(H5"&amp;"533,""মূর্খ|ভণ্ড|প্রতার|অলস|লোভ|স্বার্থ|অক্ষম|অযোগ্য|বোকা|কৃপণ|হিংস"")),""valence-target অমিল"",""""),IF(COUNTIF($B:$B,B5533)&gt;1,""ডুপ্লিকেট"",""""))"),"")</f>
        <v/>
      </c>
      <c r="Q5533" s="5" t="str">
        <f t="shared" si="1"/>
        <v>২ পরে</v>
      </c>
    </row>
    <row r="5534">
      <c r="A5534" s="4">
        <v>3404.0</v>
      </c>
      <c r="B5534" s="2" t="s">
        <v>22637</v>
      </c>
      <c r="C5534" s="2" t="s">
        <v>22638</v>
      </c>
      <c r="D5534" s="2" t="s">
        <v>22639</v>
      </c>
      <c r="E5534" s="2" t="s">
        <v>22640</v>
      </c>
      <c r="F5534" s="2" t="b">
        <v>1</v>
      </c>
      <c r="G5534" s="2" t="b">
        <v>0</v>
      </c>
      <c r="H5534" s="2" t="s">
        <v>37</v>
      </c>
      <c r="I5534" s="2" t="s">
        <v>32</v>
      </c>
      <c r="J5534" s="2" t="s">
        <v>636</v>
      </c>
      <c r="K5534" s="2" t="s">
        <v>495</v>
      </c>
      <c r="L5534" s="13" t="s">
        <v>496</v>
      </c>
      <c r="M5534" s="2" t="s">
        <v>26</v>
      </c>
      <c r="N5534" s="29"/>
      <c r="O5534" s="29"/>
      <c r="P5534" s="5" t="str">
        <f>IFERROR(__xludf.DUMMYFUNCTION("TEXTJOIN("" | "",TRUE,IF(OR(D5534="""",E5534="""",I5534="""",J5534="""",H5534=""""),""ফাঁকা ঘর"",""""),IF(AND(C5534&lt;&gt;"""",D5534&lt;&gt;"""",C5534=D5534),""gloss=figurative"",""""),IF(LEN(D5534)&lt;15,""figurative ছোট"",""""),IF(AND(I5534=""Positive"",REGEXMATCH(H5"&amp;"534,""মূর্খ|ভণ্ড|প্রতার|অলস|লোভ|স্বার্থ|অক্ষম|অযোগ্য|বোকা|কৃপণ|হিংস"")),""valence-target অমিল"",""""),IF(COUNTIF($B:$B,B5534)&gt;1,""ডুপ্লিকেট"",""""))"),"")</f>
        <v/>
      </c>
      <c r="Q5534" s="5" t="str">
        <f t="shared" si="1"/>
        <v>২ পরে</v>
      </c>
    </row>
    <row r="5535">
      <c r="A5535" s="4">
        <v>3405.0</v>
      </c>
      <c r="B5535" s="2" t="s">
        <v>22641</v>
      </c>
      <c r="C5535" s="2" t="s">
        <v>22642</v>
      </c>
      <c r="D5535" s="2" t="s">
        <v>22643</v>
      </c>
      <c r="E5535" s="2" t="s">
        <v>22644</v>
      </c>
      <c r="F5535" s="2" t="b">
        <v>1</v>
      </c>
      <c r="G5535" s="2" t="b">
        <v>0</v>
      </c>
      <c r="H5535" s="2" t="s">
        <v>37</v>
      </c>
      <c r="I5535" s="2" t="s">
        <v>32</v>
      </c>
      <c r="J5535" s="2" t="s">
        <v>636</v>
      </c>
      <c r="K5535" s="2" t="s">
        <v>495</v>
      </c>
      <c r="L5535" s="13" t="s">
        <v>496</v>
      </c>
      <c r="M5535" s="2" t="s">
        <v>26</v>
      </c>
      <c r="N5535" s="29"/>
      <c r="O5535" s="29"/>
      <c r="P5535" s="5" t="str">
        <f>IFERROR(__xludf.DUMMYFUNCTION("TEXTJOIN("" | "",TRUE,IF(OR(D5535="""",E5535="""",I5535="""",J5535="""",H5535=""""),""ফাঁকা ঘর"",""""),IF(AND(C5535&lt;&gt;"""",D5535&lt;&gt;"""",C5535=D5535),""gloss=figurative"",""""),IF(LEN(D5535)&lt;15,""figurative ছোট"",""""),IF(AND(I5535=""Positive"",REGEXMATCH(H5"&amp;"535,""মূর্খ|ভণ্ড|প্রতার|অলস|লোভ|স্বার্থ|অক্ষম|অযোগ্য|বোকা|কৃপণ|হিংস"")),""valence-target অমিল"",""""),IF(COUNTIF($B:$B,B5535)&gt;1,""ডুপ্লিকেট"",""""))"),"")</f>
        <v/>
      </c>
      <c r="Q5535" s="5" t="str">
        <f t="shared" si="1"/>
        <v>২ পরে</v>
      </c>
    </row>
    <row r="5536">
      <c r="A5536" s="4">
        <v>3406.0</v>
      </c>
      <c r="B5536" s="2" t="s">
        <v>22645</v>
      </c>
      <c r="C5536" s="2" t="s">
        <v>22646</v>
      </c>
      <c r="D5536" s="2" t="s">
        <v>22647</v>
      </c>
      <c r="E5536" s="2" t="s">
        <v>22648</v>
      </c>
      <c r="F5536" s="2" t="b">
        <v>1</v>
      </c>
      <c r="G5536" s="2" t="b">
        <v>0</v>
      </c>
      <c r="H5536" s="2" t="s">
        <v>37</v>
      </c>
      <c r="I5536" s="2" t="s">
        <v>32</v>
      </c>
      <c r="J5536" s="2" t="s">
        <v>636</v>
      </c>
      <c r="K5536" s="2" t="s">
        <v>495</v>
      </c>
      <c r="L5536" s="13" t="s">
        <v>496</v>
      </c>
      <c r="M5536" s="2" t="s">
        <v>26</v>
      </c>
      <c r="N5536" s="29"/>
      <c r="O5536" s="29"/>
      <c r="P5536" s="5" t="str">
        <f>IFERROR(__xludf.DUMMYFUNCTION("TEXTJOIN("" | "",TRUE,IF(OR(D5536="""",E5536="""",I5536="""",J5536="""",H5536=""""),""ফাঁকা ঘর"",""""),IF(AND(C5536&lt;&gt;"""",D5536&lt;&gt;"""",C5536=D5536),""gloss=figurative"",""""),IF(LEN(D5536)&lt;15,""figurative ছোট"",""""),IF(AND(I5536=""Positive"",REGEXMATCH(H5"&amp;"536,""মূর্খ|ভণ্ড|প্রতার|অলস|লোভ|স্বার্থ|অক্ষম|অযোগ্য|বোকা|কৃপণ|হিংস"")),""valence-target অমিল"",""""),IF(COUNTIF($B:$B,B5536)&gt;1,""ডুপ্লিকেট"",""""))"),"")</f>
        <v/>
      </c>
      <c r="Q5536" s="5" t="str">
        <f t="shared" si="1"/>
        <v>২ পরে</v>
      </c>
    </row>
    <row r="5537">
      <c r="A5537" s="4">
        <v>3407.0</v>
      </c>
      <c r="B5537" s="2" t="s">
        <v>22649</v>
      </c>
      <c r="C5537" s="2" t="s">
        <v>22649</v>
      </c>
      <c r="D5537" s="2" t="s">
        <v>22650</v>
      </c>
      <c r="E5537" s="2" t="s">
        <v>22651</v>
      </c>
      <c r="F5537" s="2" t="b">
        <v>1</v>
      </c>
      <c r="G5537" s="2" t="b">
        <v>0</v>
      </c>
      <c r="H5537" s="2" t="s">
        <v>37</v>
      </c>
      <c r="I5537" s="2" t="s">
        <v>22</v>
      </c>
      <c r="J5537" s="2" t="s">
        <v>20510</v>
      </c>
      <c r="K5537" s="2" t="s">
        <v>495</v>
      </c>
      <c r="L5537" s="13" t="s">
        <v>496</v>
      </c>
      <c r="M5537" s="2" t="s">
        <v>26</v>
      </c>
      <c r="N5537" s="29"/>
      <c r="O5537" s="29"/>
      <c r="P5537" s="5" t="str">
        <f>IFERROR(__xludf.DUMMYFUNCTION("TEXTJOIN("" | "",TRUE,IF(OR(D5537="""",E5537="""",I5537="""",J5537="""",H5537=""""),""ফাঁকা ঘর"",""""),IF(AND(C5537&lt;&gt;"""",D5537&lt;&gt;"""",C5537=D5537),""gloss=figurative"",""""),IF(LEN(D5537)&lt;15,""figurative ছোট"",""""),IF(AND(I5537=""Positive"",REGEXMATCH(H5"&amp;"537,""মূর্খ|ভণ্ড|প্রতার|অলস|লোভ|স্বার্থ|অক্ষম|অযোগ্য|বোকা|কৃপণ|হিংস"")),""valence-target অমিল"",""""),IF(COUNTIF($B:$B,B5537)&gt;1,""ডুপ্লিকেট"",""""))"),"")</f>
        <v/>
      </c>
      <c r="Q5537" s="5" t="str">
        <f t="shared" si="1"/>
        <v>২ পরে</v>
      </c>
    </row>
    <row r="5538">
      <c r="A5538" s="4">
        <v>3408.0</v>
      </c>
      <c r="B5538" s="2" t="s">
        <v>22652</v>
      </c>
      <c r="C5538" s="2" t="s">
        <v>22653</v>
      </c>
      <c r="D5538" s="2" t="s">
        <v>22654</v>
      </c>
      <c r="E5538" s="2" t="s">
        <v>22655</v>
      </c>
      <c r="F5538" s="2" t="b">
        <v>1</v>
      </c>
      <c r="G5538" s="2" t="b">
        <v>0</v>
      </c>
      <c r="H5538" s="2" t="s">
        <v>37</v>
      </c>
      <c r="I5538" s="2" t="s">
        <v>49</v>
      </c>
      <c r="J5538" s="2" t="s">
        <v>16675</v>
      </c>
      <c r="K5538" s="2" t="s">
        <v>495</v>
      </c>
      <c r="L5538" s="13" t="s">
        <v>496</v>
      </c>
      <c r="M5538" s="2" t="s">
        <v>26</v>
      </c>
      <c r="N5538" s="29"/>
      <c r="O5538" s="29"/>
      <c r="P5538" s="5" t="str">
        <f>IFERROR(__xludf.DUMMYFUNCTION("TEXTJOIN("" | "",TRUE,IF(OR(D5538="""",E5538="""",I5538="""",J5538="""",H5538=""""),""ফাঁকা ঘর"",""""),IF(AND(C5538&lt;&gt;"""",D5538&lt;&gt;"""",C5538=D5538),""gloss=figurative"",""""),IF(LEN(D5538)&lt;15,""figurative ছোট"",""""),IF(AND(I5538=""Positive"",REGEXMATCH(H5"&amp;"538,""মূর্খ|ভণ্ড|প্রতার|অলস|লোভ|স্বার্থ|অক্ষম|অযোগ্য|বোকা|কৃপণ|হিংস"")),""valence-target অমিল"",""""),IF(COUNTIF($B:$B,B5538)&gt;1,""ডুপ্লিকেট"",""""))"),"")</f>
        <v/>
      </c>
      <c r="Q5538" s="5" t="str">
        <f t="shared" si="1"/>
        <v>২ পরে</v>
      </c>
    </row>
    <row r="5539">
      <c r="A5539" s="4">
        <v>3409.0</v>
      </c>
      <c r="B5539" s="2" t="s">
        <v>22656</v>
      </c>
      <c r="C5539" s="2" t="s">
        <v>22657</v>
      </c>
      <c r="D5539" s="2" t="s">
        <v>22658</v>
      </c>
      <c r="E5539" s="2" t="s">
        <v>22659</v>
      </c>
      <c r="F5539" s="2" t="b">
        <v>1</v>
      </c>
      <c r="G5539" s="2" t="b">
        <v>0</v>
      </c>
      <c r="H5539" s="2" t="s">
        <v>37</v>
      </c>
      <c r="I5539" s="2" t="s">
        <v>49</v>
      </c>
      <c r="J5539" s="2" t="s">
        <v>16675</v>
      </c>
      <c r="K5539" s="2" t="s">
        <v>495</v>
      </c>
      <c r="L5539" s="13" t="s">
        <v>496</v>
      </c>
      <c r="M5539" s="2" t="s">
        <v>26</v>
      </c>
      <c r="N5539" s="29"/>
      <c r="O5539" s="29"/>
      <c r="P5539" s="5" t="str">
        <f>IFERROR(__xludf.DUMMYFUNCTION("TEXTJOIN("" | "",TRUE,IF(OR(D5539="""",E5539="""",I5539="""",J5539="""",H5539=""""),""ফাঁকা ঘর"",""""),IF(AND(C5539&lt;&gt;"""",D5539&lt;&gt;"""",C5539=D5539),""gloss=figurative"",""""),IF(LEN(D5539)&lt;15,""figurative ছোট"",""""),IF(AND(I5539=""Positive"",REGEXMATCH(H5"&amp;"539,""মূর্খ|ভণ্ড|প্রতার|অলস|লোভ|স্বার্থ|অক্ষম|অযোগ্য|বোকা|কৃপণ|হিংস"")),""valence-target অমিল"",""""),IF(COUNTIF($B:$B,B5539)&gt;1,""ডুপ্লিকেট"",""""))"),"")</f>
        <v/>
      </c>
      <c r="Q5539" s="5" t="str">
        <f t="shared" si="1"/>
        <v>২ পরে</v>
      </c>
    </row>
    <row r="5540">
      <c r="A5540" s="4">
        <v>3410.0</v>
      </c>
      <c r="B5540" s="2" t="s">
        <v>22660</v>
      </c>
      <c r="C5540" s="2" t="s">
        <v>22661</v>
      </c>
      <c r="D5540" s="2" t="s">
        <v>22662</v>
      </c>
      <c r="E5540" s="2" t="s">
        <v>22663</v>
      </c>
      <c r="F5540" s="2" t="b">
        <v>1</v>
      </c>
      <c r="G5540" s="2" t="b">
        <v>0</v>
      </c>
      <c r="H5540" s="2" t="s">
        <v>37</v>
      </c>
      <c r="I5540" s="2" t="s">
        <v>49</v>
      </c>
      <c r="J5540" s="2" t="s">
        <v>22664</v>
      </c>
      <c r="K5540" s="2" t="s">
        <v>495</v>
      </c>
      <c r="L5540" s="13" t="s">
        <v>496</v>
      </c>
      <c r="M5540" s="2" t="s">
        <v>26</v>
      </c>
      <c r="N5540" s="29"/>
      <c r="O5540" s="29"/>
      <c r="P5540" s="5" t="str">
        <f>IFERROR(__xludf.DUMMYFUNCTION("TEXTJOIN("" | "",TRUE,IF(OR(D5540="""",E5540="""",I5540="""",J5540="""",H5540=""""),""ফাঁকা ঘর"",""""),IF(AND(C5540&lt;&gt;"""",D5540&lt;&gt;"""",C5540=D5540),""gloss=figurative"",""""),IF(LEN(D5540)&lt;15,""figurative ছোট"",""""),IF(AND(I5540=""Positive"",REGEXMATCH(H5"&amp;"540,""মূর্খ|ভণ্ড|প্রতার|অলস|লোভ|স্বার্থ|অক্ষম|অযোগ্য|বোকা|কৃপণ|হিংস"")),""valence-target অমিল"",""""),IF(COUNTIF($B:$B,B5540)&gt;1,""ডুপ্লিকেট"",""""))"),"")</f>
        <v/>
      </c>
      <c r="Q5540" s="5" t="str">
        <f t="shared" si="1"/>
        <v>২ পরে</v>
      </c>
    </row>
    <row r="5541">
      <c r="A5541" s="4">
        <v>3411.0</v>
      </c>
      <c r="B5541" s="2" t="s">
        <v>22665</v>
      </c>
      <c r="C5541" s="2" t="s">
        <v>22666</v>
      </c>
      <c r="D5541" s="2" t="s">
        <v>22667</v>
      </c>
      <c r="E5541" s="2" t="s">
        <v>22668</v>
      </c>
      <c r="F5541" s="2" t="b">
        <v>1</v>
      </c>
      <c r="G5541" s="2" t="b">
        <v>0</v>
      </c>
      <c r="H5541" s="2" t="s">
        <v>37</v>
      </c>
      <c r="I5541" s="2" t="s">
        <v>32</v>
      </c>
      <c r="J5541" s="2" t="s">
        <v>1813</v>
      </c>
      <c r="K5541" s="2" t="s">
        <v>495</v>
      </c>
      <c r="L5541" s="13" t="s">
        <v>496</v>
      </c>
      <c r="M5541" s="2" t="s">
        <v>26</v>
      </c>
      <c r="N5541" s="29"/>
      <c r="O5541" s="29"/>
      <c r="P5541" s="5" t="str">
        <f>IFERROR(__xludf.DUMMYFUNCTION("TEXTJOIN("" | "",TRUE,IF(OR(D5541="""",E5541="""",I5541="""",J5541="""",H5541=""""),""ফাঁকা ঘর"",""""),IF(AND(C5541&lt;&gt;"""",D5541&lt;&gt;"""",C5541=D5541),""gloss=figurative"",""""),IF(LEN(D5541)&lt;15,""figurative ছোট"",""""),IF(AND(I5541=""Positive"",REGEXMATCH(H5"&amp;"541,""মূর্খ|ভণ্ড|প্রতার|অলস|লোভ|স্বার্থ|অক্ষম|অযোগ্য|বোকা|কৃপণ|হিংস"")),""valence-target অমিল"",""""),IF(COUNTIF($B:$B,B5541)&gt;1,""ডুপ্লিকেট"",""""))"),"")</f>
        <v/>
      </c>
      <c r="Q5541" s="5" t="str">
        <f t="shared" si="1"/>
        <v>২ পরে</v>
      </c>
    </row>
    <row r="5542">
      <c r="A5542" s="4">
        <v>3412.0</v>
      </c>
      <c r="B5542" s="2" t="s">
        <v>22669</v>
      </c>
      <c r="C5542" s="2" t="s">
        <v>22670</v>
      </c>
      <c r="D5542" s="2" t="s">
        <v>22671</v>
      </c>
      <c r="E5542" s="2" t="s">
        <v>22672</v>
      </c>
      <c r="F5542" s="2" t="b">
        <v>1</v>
      </c>
      <c r="G5542" s="2" t="b">
        <v>0</v>
      </c>
      <c r="H5542" s="2" t="s">
        <v>37</v>
      </c>
      <c r="I5542" s="2" t="s">
        <v>49</v>
      </c>
      <c r="J5542" s="2" t="s">
        <v>2440</v>
      </c>
      <c r="K5542" s="2" t="s">
        <v>495</v>
      </c>
      <c r="L5542" s="13" t="s">
        <v>496</v>
      </c>
      <c r="M5542" s="2" t="s">
        <v>26</v>
      </c>
      <c r="N5542" s="29"/>
      <c r="O5542" s="29"/>
      <c r="P5542" s="5" t="str">
        <f>IFERROR(__xludf.DUMMYFUNCTION("TEXTJOIN("" | "",TRUE,IF(OR(D5542="""",E5542="""",I5542="""",J5542="""",H5542=""""),""ফাঁকা ঘর"",""""),IF(AND(C5542&lt;&gt;"""",D5542&lt;&gt;"""",C5542=D5542),""gloss=figurative"",""""),IF(LEN(D5542)&lt;15,""figurative ছোট"",""""),IF(AND(I5542=""Positive"",REGEXMATCH(H5"&amp;"542,""মূর্খ|ভণ্ড|প্রতার|অলস|লোভ|স্বার্থ|অক্ষম|অযোগ্য|বোকা|কৃপণ|হিংস"")),""valence-target অমিল"",""""),IF(COUNTIF($B:$B,B5542)&gt;1,""ডুপ্লিকেট"",""""))"),"")</f>
        <v/>
      </c>
      <c r="Q5542" s="5" t="str">
        <f t="shared" si="1"/>
        <v>২ পরে</v>
      </c>
    </row>
    <row r="5543">
      <c r="A5543" s="4">
        <v>3413.0</v>
      </c>
      <c r="B5543" s="2" t="s">
        <v>22673</v>
      </c>
      <c r="C5543" s="2" t="s">
        <v>22674</v>
      </c>
      <c r="D5543" s="2" t="s">
        <v>22675</v>
      </c>
      <c r="E5543" s="2" t="s">
        <v>22676</v>
      </c>
      <c r="F5543" s="2" t="b">
        <v>1</v>
      </c>
      <c r="G5543" s="2" t="b">
        <v>0</v>
      </c>
      <c r="H5543" s="2" t="s">
        <v>37</v>
      </c>
      <c r="I5543" s="2" t="s">
        <v>49</v>
      </c>
      <c r="J5543" s="2" t="s">
        <v>708</v>
      </c>
      <c r="K5543" s="2" t="s">
        <v>495</v>
      </c>
      <c r="L5543" s="13" t="s">
        <v>496</v>
      </c>
      <c r="M5543" s="2" t="s">
        <v>26</v>
      </c>
      <c r="N5543" s="29"/>
      <c r="O5543" s="29"/>
      <c r="P5543" s="5" t="str">
        <f>IFERROR(__xludf.DUMMYFUNCTION("TEXTJOIN("" | "",TRUE,IF(OR(D5543="""",E5543="""",I5543="""",J5543="""",H5543=""""),""ফাঁকা ঘর"",""""),IF(AND(C5543&lt;&gt;"""",D5543&lt;&gt;"""",C5543=D5543),""gloss=figurative"",""""),IF(LEN(D5543)&lt;15,""figurative ছোট"",""""),IF(AND(I5543=""Positive"",REGEXMATCH(H5"&amp;"543,""মূর্খ|ভণ্ড|প্রতার|অলস|লোভ|স্বার্থ|অক্ষম|অযোগ্য|বোকা|কৃপণ|হিংস"")),""valence-target অমিল"",""""),IF(COUNTIF($B:$B,B5543)&gt;1,""ডুপ্লিকেট"",""""))"),"")</f>
        <v/>
      </c>
      <c r="Q5543" s="5" t="str">
        <f t="shared" si="1"/>
        <v>২ পরে</v>
      </c>
    </row>
    <row r="5544">
      <c r="A5544" s="4">
        <v>3414.0</v>
      </c>
      <c r="B5544" s="2" t="s">
        <v>22677</v>
      </c>
      <c r="C5544" s="2" t="s">
        <v>22678</v>
      </c>
      <c r="D5544" s="2" t="s">
        <v>22679</v>
      </c>
      <c r="E5544" s="2" t="s">
        <v>22680</v>
      </c>
      <c r="F5544" s="2" t="b">
        <v>1</v>
      </c>
      <c r="G5544" s="2" t="b">
        <v>0</v>
      </c>
      <c r="H5544" s="2" t="s">
        <v>37</v>
      </c>
      <c r="I5544" s="2" t="s">
        <v>32</v>
      </c>
      <c r="J5544" s="2" t="s">
        <v>5365</v>
      </c>
      <c r="K5544" s="2" t="s">
        <v>495</v>
      </c>
      <c r="L5544" s="13" t="s">
        <v>496</v>
      </c>
      <c r="M5544" s="2" t="s">
        <v>26</v>
      </c>
      <c r="N5544" s="29"/>
      <c r="O5544" s="29"/>
      <c r="P5544" s="5" t="str">
        <f>IFERROR(__xludf.DUMMYFUNCTION("TEXTJOIN("" | "",TRUE,IF(OR(D5544="""",E5544="""",I5544="""",J5544="""",H5544=""""),""ফাঁকা ঘর"",""""),IF(AND(C5544&lt;&gt;"""",D5544&lt;&gt;"""",C5544=D5544),""gloss=figurative"",""""),IF(LEN(D5544)&lt;15,""figurative ছোট"",""""),IF(AND(I5544=""Positive"",REGEXMATCH(H5"&amp;"544,""মূর্খ|ভণ্ড|প্রতার|অলস|লোভ|স্বার্থ|অক্ষম|অযোগ্য|বোকা|কৃপণ|হিংস"")),""valence-target অমিল"",""""),IF(COUNTIF($B:$B,B5544)&gt;1,""ডুপ্লিকেট"",""""))"),"")</f>
        <v/>
      </c>
      <c r="Q5544" s="5" t="str">
        <f t="shared" si="1"/>
        <v>২ পরে</v>
      </c>
    </row>
    <row r="5545">
      <c r="A5545" s="4">
        <v>3415.0</v>
      </c>
      <c r="B5545" s="2" t="s">
        <v>22681</v>
      </c>
      <c r="C5545" s="2" t="s">
        <v>22682</v>
      </c>
      <c r="D5545" s="2" t="s">
        <v>22683</v>
      </c>
      <c r="E5545" s="2" t="s">
        <v>22684</v>
      </c>
      <c r="F5545" s="2" t="b">
        <v>1</v>
      </c>
      <c r="G5545" s="2" t="b">
        <v>0</v>
      </c>
      <c r="H5545" s="2" t="s">
        <v>37</v>
      </c>
      <c r="I5545" s="2" t="s">
        <v>22</v>
      </c>
      <c r="J5545" s="2" t="s">
        <v>8515</v>
      </c>
      <c r="K5545" s="2" t="s">
        <v>495</v>
      </c>
      <c r="L5545" s="13" t="s">
        <v>496</v>
      </c>
      <c r="M5545" s="2" t="s">
        <v>26</v>
      </c>
      <c r="N5545" s="29"/>
      <c r="O5545" s="29"/>
      <c r="P5545" s="5" t="str">
        <f>IFERROR(__xludf.DUMMYFUNCTION("TEXTJOIN("" | "",TRUE,IF(OR(D5545="""",E5545="""",I5545="""",J5545="""",H5545=""""),""ফাঁকা ঘর"",""""),IF(AND(C5545&lt;&gt;"""",D5545&lt;&gt;"""",C5545=D5545),""gloss=figurative"",""""),IF(LEN(D5545)&lt;15,""figurative ছোট"",""""),IF(AND(I5545=""Positive"",REGEXMATCH(H5"&amp;"545,""মূর্খ|ভণ্ড|প্রতার|অলস|লোভ|স্বার্থ|অক্ষম|অযোগ্য|বোকা|কৃপণ|হিংস"")),""valence-target অমিল"",""""),IF(COUNTIF($B:$B,B5545)&gt;1,""ডুপ্লিকেট"",""""))"),"")</f>
        <v/>
      </c>
      <c r="Q5545" s="5" t="str">
        <f t="shared" si="1"/>
        <v>২ পরে</v>
      </c>
    </row>
    <row r="5546">
      <c r="A5546" s="4">
        <v>3416.0</v>
      </c>
      <c r="B5546" s="2" t="s">
        <v>22685</v>
      </c>
      <c r="C5546" s="2" t="s">
        <v>22686</v>
      </c>
      <c r="D5546" s="2" t="s">
        <v>22687</v>
      </c>
      <c r="E5546" s="2" t="s">
        <v>22688</v>
      </c>
      <c r="F5546" s="2" t="b">
        <v>1</v>
      </c>
      <c r="G5546" s="2" t="b">
        <v>0</v>
      </c>
      <c r="H5546" s="2" t="s">
        <v>37</v>
      </c>
      <c r="I5546" s="2" t="s">
        <v>22</v>
      </c>
      <c r="J5546" s="2" t="s">
        <v>8515</v>
      </c>
      <c r="K5546" s="2" t="s">
        <v>495</v>
      </c>
      <c r="L5546" s="13" t="s">
        <v>496</v>
      </c>
      <c r="M5546" s="2" t="s">
        <v>26</v>
      </c>
      <c r="N5546" s="29"/>
      <c r="O5546" s="29"/>
      <c r="P5546" s="5" t="str">
        <f>IFERROR(__xludf.DUMMYFUNCTION("TEXTJOIN("" | "",TRUE,IF(OR(D5546="""",E5546="""",I5546="""",J5546="""",H5546=""""),""ফাঁকা ঘর"",""""),IF(AND(C5546&lt;&gt;"""",D5546&lt;&gt;"""",C5546=D5546),""gloss=figurative"",""""),IF(LEN(D5546)&lt;15,""figurative ছোট"",""""),IF(AND(I5546=""Positive"",REGEXMATCH(H5"&amp;"546,""মূর্খ|ভণ্ড|প্রতার|অলস|লোভ|স্বার্থ|অক্ষম|অযোগ্য|বোকা|কৃপণ|হিংস"")),""valence-target অমিল"",""""),IF(COUNTIF($B:$B,B5546)&gt;1,""ডুপ্লিকেট"",""""))"),"")</f>
        <v/>
      </c>
      <c r="Q5546" s="5" t="str">
        <f t="shared" si="1"/>
        <v>২ পরে</v>
      </c>
    </row>
    <row r="5547">
      <c r="A5547" s="4">
        <v>3417.0</v>
      </c>
      <c r="B5547" s="2" t="s">
        <v>22689</v>
      </c>
      <c r="C5547" s="2" t="s">
        <v>22690</v>
      </c>
      <c r="D5547" s="2" t="s">
        <v>22691</v>
      </c>
      <c r="E5547" s="2" t="s">
        <v>22692</v>
      </c>
      <c r="F5547" s="2" t="b">
        <v>1</v>
      </c>
      <c r="G5547" s="2" t="b">
        <v>0</v>
      </c>
      <c r="H5547" s="2" t="s">
        <v>37</v>
      </c>
      <c r="I5547" s="2" t="s">
        <v>32</v>
      </c>
      <c r="J5547" s="2" t="s">
        <v>762</v>
      </c>
      <c r="K5547" s="2" t="s">
        <v>495</v>
      </c>
      <c r="L5547" s="13" t="s">
        <v>496</v>
      </c>
      <c r="M5547" s="2" t="s">
        <v>26</v>
      </c>
      <c r="N5547" s="29"/>
      <c r="O5547" s="29"/>
      <c r="P5547" s="5" t="str">
        <f>IFERROR(__xludf.DUMMYFUNCTION("TEXTJOIN("" | "",TRUE,IF(OR(D5547="""",E5547="""",I5547="""",J5547="""",H5547=""""),""ফাঁকা ঘর"",""""),IF(AND(C5547&lt;&gt;"""",D5547&lt;&gt;"""",C5547=D5547),""gloss=figurative"",""""),IF(LEN(D5547)&lt;15,""figurative ছোট"",""""),IF(AND(I5547=""Positive"",REGEXMATCH(H5"&amp;"547,""মূর্খ|ভণ্ড|প্রতার|অলস|লোভ|স্বার্থ|অক্ষম|অযোগ্য|বোকা|কৃপণ|হিংস"")),""valence-target অমিল"",""""),IF(COUNTIF($B:$B,B5547)&gt;1,""ডুপ্লিকেট"",""""))"),"")</f>
        <v/>
      </c>
      <c r="Q5547" s="5" t="str">
        <f t="shared" si="1"/>
        <v>২ পরে</v>
      </c>
    </row>
    <row r="5548">
      <c r="A5548" s="4">
        <v>3418.0</v>
      </c>
      <c r="B5548" s="2" t="s">
        <v>22693</v>
      </c>
      <c r="C5548" s="2" t="s">
        <v>22694</v>
      </c>
      <c r="D5548" s="2" t="s">
        <v>22695</v>
      </c>
      <c r="E5548" s="2" t="s">
        <v>22696</v>
      </c>
      <c r="F5548" s="2" t="b">
        <v>1</v>
      </c>
      <c r="G5548" s="2" t="b">
        <v>0</v>
      </c>
      <c r="H5548" s="2" t="s">
        <v>22697</v>
      </c>
      <c r="I5548" s="2" t="s">
        <v>22</v>
      </c>
      <c r="J5548" s="2" t="s">
        <v>43</v>
      </c>
      <c r="K5548" s="2" t="s">
        <v>495</v>
      </c>
      <c r="L5548" s="13" t="s">
        <v>496</v>
      </c>
      <c r="M5548" s="2" t="s">
        <v>26</v>
      </c>
      <c r="N5548" s="29"/>
      <c r="O5548" s="29"/>
      <c r="P5548" s="5" t="str">
        <f>IFERROR(__xludf.DUMMYFUNCTION("TEXTJOIN("" | "",TRUE,IF(OR(D5548="""",E5548="""",I5548="""",J5548="""",H5548=""""),""ফাঁকা ঘর"",""""),IF(AND(C5548&lt;&gt;"""",D5548&lt;&gt;"""",C5548=D5548),""gloss=figurative"",""""),IF(LEN(D5548)&lt;15,""figurative ছোট"",""""),IF(AND(I5548=""Positive"",REGEXMATCH(H5"&amp;"548,""মূর্খ|ভণ্ড|প্রতার|অলস|লোভ|স্বার্থ|অক্ষম|অযোগ্য|বোকা|কৃপণ|হিংস"")),""valence-target অমিল"",""""),IF(COUNTIF($B:$B,B5548)&gt;1,""ডুপ্লিকেট"",""""))"),"")</f>
        <v/>
      </c>
      <c r="Q5548" s="5" t="str">
        <f t="shared" si="1"/>
        <v>২ পরে</v>
      </c>
    </row>
    <row r="5549">
      <c r="A5549" s="4">
        <v>3419.0</v>
      </c>
      <c r="B5549" s="2" t="s">
        <v>22698</v>
      </c>
      <c r="C5549" s="2" t="s">
        <v>22699</v>
      </c>
      <c r="D5549" s="2" t="s">
        <v>22700</v>
      </c>
      <c r="E5549" s="2" t="s">
        <v>22701</v>
      </c>
      <c r="F5549" s="2" t="b">
        <v>1</v>
      </c>
      <c r="G5549" s="2" t="b">
        <v>0</v>
      </c>
      <c r="H5549" s="2" t="s">
        <v>37</v>
      </c>
      <c r="I5549" s="2" t="s">
        <v>22</v>
      </c>
      <c r="J5549" s="2" t="s">
        <v>43</v>
      </c>
      <c r="K5549" s="2" t="s">
        <v>495</v>
      </c>
      <c r="L5549" s="13" t="s">
        <v>496</v>
      </c>
      <c r="M5549" s="2" t="s">
        <v>26</v>
      </c>
      <c r="N5549" s="29"/>
      <c r="O5549" s="29"/>
      <c r="P5549" s="5" t="str">
        <f>IFERROR(__xludf.DUMMYFUNCTION("TEXTJOIN("" | "",TRUE,IF(OR(D5549="""",E5549="""",I5549="""",J5549="""",H5549=""""),""ফাঁকা ঘর"",""""),IF(AND(C5549&lt;&gt;"""",D5549&lt;&gt;"""",C5549=D5549),""gloss=figurative"",""""),IF(LEN(D5549)&lt;15,""figurative ছোট"",""""),IF(AND(I5549=""Positive"",REGEXMATCH(H5"&amp;"549,""মূর্খ|ভণ্ড|প্রতার|অলস|লোভ|স্বার্থ|অক্ষম|অযোগ্য|বোকা|কৃপণ|হিংস"")),""valence-target অমিল"",""""),IF(COUNTIF($B:$B,B5549)&gt;1,""ডুপ্লিকেট"",""""))"),"")</f>
        <v/>
      </c>
      <c r="Q5549" s="5" t="str">
        <f t="shared" si="1"/>
        <v>২ পরে</v>
      </c>
    </row>
    <row r="5550">
      <c r="A5550" s="4">
        <v>3420.0</v>
      </c>
      <c r="B5550" s="2" t="s">
        <v>22702</v>
      </c>
      <c r="C5550" s="2" t="s">
        <v>22703</v>
      </c>
      <c r="D5550" s="2" t="s">
        <v>22704</v>
      </c>
      <c r="E5550" s="2" t="s">
        <v>22705</v>
      </c>
      <c r="F5550" s="2" t="b">
        <v>1</v>
      </c>
      <c r="G5550" s="2" t="b">
        <v>0</v>
      </c>
      <c r="H5550" s="2" t="s">
        <v>37</v>
      </c>
      <c r="I5550" s="2" t="s">
        <v>22</v>
      </c>
      <c r="J5550" s="2" t="s">
        <v>2937</v>
      </c>
      <c r="K5550" s="2" t="s">
        <v>495</v>
      </c>
      <c r="L5550" s="13" t="s">
        <v>496</v>
      </c>
      <c r="M5550" s="2" t="s">
        <v>26</v>
      </c>
      <c r="N5550" s="29"/>
      <c r="O5550" s="29"/>
      <c r="P5550" s="5" t="str">
        <f>IFERROR(__xludf.DUMMYFUNCTION("TEXTJOIN("" | "",TRUE,IF(OR(D5550="""",E5550="""",I5550="""",J5550="""",H5550=""""),""ফাঁকা ঘর"",""""),IF(AND(C5550&lt;&gt;"""",D5550&lt;&gt;"""",C5550=D5550),""gloss=figurative"",""""),IF(LEN(D5550)&lt;15,""figurative ছোট"",""""),IF(AND(I5550=""Positive"",REGEXMATCH(H5"&amp;"550,""মূর্খ|ভণ্ড|প্রতার|অলস|লোভ|স্বার্থ|অক্ষম|অযোগ্য|বোকা|কৃপণ|হিংস"")),""valence-target অমিল"",""""),IF(COUNTIF($B:$B,B5550)&gt;1,""ডুপ্লিকেট"",""""))"),"")</f>
        <v/>
      </c>
      <c r="Q5550" s="5" t="str">
        <f t="shared" si="1"/>
        <v>২ পরে</v>
      </c>
    </row>
    <row r="5551">
      <c r="A5551" s="4">
        <v>3421.0</v>
      </c>
      <c r="B5551" s="2" t="s">
        <v>22706</v>
      </c>
      <c r="C5551" s="2" t="s">
        <v>22707</v>
      </c>
      <c r="D5551" s="2" t="s">
        <v>22708</v>
      </c>
      <c r="E5551" s="2" t="s">
        <v>22709</v>
      </c>
      <c r="F5551" s="2" t="b">
        <v>1</v>
      </c>
      <c r="G5551" s="2" t="b">
        <v>0</v>
      </c>
      <c r="H5551" s="2" t="s">
        <v>37</v>
      </c>
      <c r="I5551" s="2" t="s">
        <v>32</v>
      </c>
      <c r="J5551" s="2" t="s">
        <v>3356</v>
      </c>
      <c r="K5551" s="2" t="s">
        <v>495</v>
      </c>
      <c r="L5551" s="13" t="s">
        <v>496</v>
      </c>
      <c r="M5551" s="2" t="s">
        <v>26</v>
      </c>
      <c r="N5551" s="29"/>
      <c r="O5551" s="29"/>
      <c r="P5551" s="5" t="str">
        <f>IFERROR(__xludf.DUMMYFUNCTION("TEXTJOIN("" | "",TRUE,IF(OR(D5551="""",E5551="""",I5551="""",J5551="""",H5551=""""),""ফাঁকা ঘর"",""""),IF(AND(C5551&lt;&gt;"""",D5551&lt;&gt;"""",C5551=D5551),""gloss=figurative"",""""),IF(LEN(D5551)&lt;15,""figurative ছোট"",""""),IF(AND(I5551=""Positive"",REGEXMATCH(H5"&amp;"551,""মূর্খ|ভণ্ড|প্রতার|অলস|লোভ|স্বার্থ|অক্ষম|অযোগ্য|বোকা|কৃপণ|হিংস"")),""valence-target অমিল"",""""),IF(COUNTIF($B:$B,B5551)&gt;1,""ডুপ্লিকেট"",""""))"),"")</f>
        <v/>
      </c>
      <c r="Q5551" s="5" t="str">
        <f t="shared" si="1"/>
        <v>২ পরে</v>
      </c>
    </row>
    <row r="5552">
      <c r="A5552" s="4">
        <v>3422.0</v>
      </c>
      <c r="B5552" s="2" t="s">
        <v>22710</v>
      </c>
      <c r="C5552" s="2" t="s">
        <v>22711</v>
      </c>
      <c r="D5552" s="2" t="s">
        <v>22712</v>
      </c>
      <c r="E5552" s="2" t="s">
        <v>22713</v>
      </c>
      <c r="F5552" s="2" t="b">
        <v>1</v>
      </c>
      <c r="G5552" s="2" t="b">
        <v>0</v>
      </c>
      <c r="H5552" s="2" t="s">
        <v>37</v>
      </c>
      <c r="I5552" s="2" t="s">
        <v>49</v>
      </c>
      <c r="J5552" s="2" t="s">
        <v>708</v>
      </c>
      <c r="K5552" s="2" t="s">
        <v>495</v>
      </c>
      <c r="L5552" s="13" t="s">
        <v>496</v>
      </c>
      <c r="M5552" s="2" t="s">
        <v>26</v>
      </c>
      <c r="N5552" s="29"/>
      <c r="O5552" s="29"/>
      <c r="P5552" s="5" t="str">
        <f>IFERROR(__xludf.DUMMYFUNCTION("TEXTJOIN("" | "",TRUE,IF(OR(D5552="""",E5552="""",I5552="""",J5552="""",H5552=""""),""ফাঁকা ঘর"",""""),IF(AND(C5552&lt;&gt;"""",D5552&lt;&gt;"""",C5552=D5552),""gloss=figurative"",""""),IF(LEN(D5552)&lt;15,""figurative ছোট"",""""),IF(AND(I5552=""Positive"",REGEXMATCH(H5"&amp;"552,""মূর্খ|ভণ্ড|প্রতার|অলস|লোভ|স্বার্থ|অক্ষম|অযোগ্য|বোকা|কৃপণ|হিংস"")),""valence-target অমিল"",""""),IF(COUNTIF($B:$B,B5552)&gt;1,""ডুপ্লিকেট"",""""))"),"")</f>
        <v/>
      </c>
      <c r="Q5552" s="5" t="str">
        <f t="shared" si="1"/>
        <v>২ পরে</v>
      </c>
    </row>
    <row r="5553">
      <c r="A5553" s="4">
        <v>3423.0</v>
      </c>
      <c r="B5553" s="2" t="s">
        <v>22714</v>
      </c>
      <c r="C5553" s="2" t="s">
        <v>22715</v>
      </c>
      <c r="D5553" s="2" t="s">
        <v>22716</v>
      </c>
      <c r="E5553" s="2" t="s">
        <v>22713</v>
      </c>
      <c r="F5553" s="2" t="b">
        <v>1</v>
      </c>
      <c r="G5553" s="2" t="b">
        <v>0</v>
      </c>
      <c r="H5553" s="2" t="s">
        <v>37</v>
      </c>
      <c r="I5553" s="2" t="s">
        <v>49</v>
      </c>
      <c r="J5553" s="2" t="s">
        <v>708</v>
      </c>
      <c r="K5553" s="2" t="s">
        <v>495</v>
      </c>
      <c r="L5553" s="13" t="s">
        <v>496</v>
      </c>
      <c r="M5553" s="2" t="s">
        <v>26</v>
      </c>
      <c r="N5553" s="29"/>
      <c r="O5553" s="29"/>
      <c r="P5553" s="5" t="str">
        <f>IFERROR(__xludf.DUMMYFUNCTION("TEXTJOIN("" | "",TRUE,IF(OR(D5553="""",E5553="""",I5553="""",J5553="""",H5553=""""),""ফাঁকা ঘর"",""""),IF(AND(C5553&lt;&gt;"""",D5553&lt;&gt;"""",C5553=D5553),""gloss=figurative"",""""),IF(LEN(D5553)&lt;15,""figurative ছোট"",""""),IF(AND(I5553=""Positive"",REGEXMATCH(H5"&amp;"553,""মূর্খ|ভণ্ড|প্রতার|অলস|লোভ|স্বার্থ|অক্ষম|অযোগ্য|বোকা|কৃপণ|হিংস"")),""valence-target অমিল"",""""),IF(COUNTIF($B:$B,B5553)&gt;1,""ডুপ্লিকেট"",""""))"),"")</f>
        <v/>
      </c>
      <c r="Q5553" s="5" t="str">
        <f t="shared" si="1"/>
        <v>২ পরে</v>
      </c>
    </row>
    <row r="5554">
      <c r="A5554" s="4">
        <v>3424.0</v>
      </c>
      <c r="B5554" s="2" t="s">
        <v>22717</v>
      </c>
      <c r="C5554" s="2" t="s">
        <v>22718</v>
      </c>
      <c r="D5554" s="2" t="s">
        <v>22719</v>
      </c>
      <c r="E5554" s="2" t="s">
        <v>22720</v>
      </c>
      <c r="F5554" s="2" t="b">
        <v>1</v>
      </c>
      <c r="G5554" s="2" t="b">
        <v>0</v>
      </c>
      <c r="H5554" s="2" t="s">
        <v>37</v>
      </c>
      <c r="I5554" s="2" t="s">
        <v>49</v>
      </c>
      <c r="J5554" s="2" t="s">
        <v>708</v>
      </c>
      <c r="K5554" s="2" t="s">
        <v>495</v>
      </c>
      <c r="L5554" s="13" t="s">
        <v>496</v>
      </c>
      <c r="M5554" s="2" t="s">
        <v>26</v>
      </c>
      <c r="N5554" s="29"/>
      <c r="O5554" s="29"/>
      <c r="P5554" s="5" t="str">
        <f>IFERROR(__xludf.DUMMYFUNCTION("TEXTJOIN("" | "",TRUE,IF(OR(D5554="""",E5554="""",I5554="""",J5554="""",H5554=""""),""ফাঁকা ঘর"",""""),IF(AND(C5554&lt;&gt;"""",D5554&lt;&gt;"""",C5554=D5554),""gloss=figurative"",""""),IF(LEN(D5554)&lt;15,""figurative ছোট"",""""),IF(AND(I5554=""Positive"",REGEXMATCH(H5"&amp;"554,""মূর্খ|ভণ্ড|প্রতার|অলস|লোভ|স্বার্থ|অক্ষম|অযোগ্য|বোকা|কৃপণ|হিংস"")),""valence-target অমিল"",""""),IF(COUNTIF($B:$B,B5554)&gt;1,""ডুপ্লিকেট"",""""))"),"")</f>
        <v/>
      </c>
      <c r="Q5554" s="5" t="str">
        <f t="shared" si="1"/>
        <v>২ পরে</v>
      </c>
    </row>
    <row r="5555">
      <c r="A5555" s="4">
        <v>3425.0</v>
      </c>
      <c r="B5555" s="2" t="s">
        <v>22721</v>
      </c>
      <c r="C5555" s="2" t="s">
        <v>22721</v>
      </c>
      <c r="D5555" s="2" t="s">
        <v>22722</v>
      </c>
      <c r="E5555" s="2" t="s">
        <v>22723</v>
      </c>
      <c r="F5555" s="2" t="b">
        <v>1</v>
      </c>
      <c r="G5555" s="2" t="b">
        <v>0</v>
      </c>
      <c r="H5555" s="2" t="s">
        <v>189</v>
      </c>
      <c r="I5555" s="2" t="s">
        <v>22</v>
      </c>
      <c r="J5555" s="2" t="s">
        <v>601</v>
      </c>
      <c r="K5555" s="2" t="s">
        <v>495</v>
      </c>
      <c r="L5555" s="13" t="s">
        <v>496</v>
      </c>
      <c r="M5555" s="2" t="s">
        <v>26</v>
      </c>
      <c r="N5555" s="29"/>
      <c r="O5555" s="29"/>
      <c r="P5555" s="5" t="str">
        <f>IFERROR(__xludf.DUMMYFUNCTION("TEXTJOIN("" | "",TRUE,IF(OR(D5555="""",E5555="""",I5555="""",J5555="""",H5555=""""),""ফাঁকা ঘর"",""""),IF(AND(C5555&lt;&gt;"""",D5555&lt;&gt;"""",C5555=D5555),""gloss=figurative"",""""),IF(LEN(D5555)&lt;15,""figurative ছোট"",""""),IF(AND(I5555=""Positive"",REGEXMATCH(H5"&amp;"555,""মূর্খ|ভণ্ড|প্রতার|অলস|লোভ|স্বার্থ|অক্ষম|অযোগ্য|বোকা|কৃপণ|হিংস"")),""valence-target অমিল"",""""),IF(COUNTIF($B:$B,B5555)&gt;1,""ডুপ্লিকেট"",""""))"),"")</f>
        <v/>
      </c>
      <c r="Q5555" s="5" t="str">
        <f t="shared" si="1"/>
        <v>২ পরে</v>
      </c>
    </row>
    <row r="5556">
      <c r="A5556" s="4">
        <v>3426.0</v>
      </c>
      <c r="B5556" s="2" t="s">
        <v>22724</v>
      </c>
      <c r="C5556" s="2" t="s">
        <v>22725</v>
      </c>
      <c r="D5556" s="2" t="s">
        <v>22726</v>
      </c>
      <c r="E5556" s="2" t="s">
        <v>22727</v>
      </c>
      <c r="F5556" s="2" t="b">
        <v>1</v>
      </c>
      <c r="G5556" s="2" t="b">
        <v>0</v>
      </c>
      <c r="H5556" s="2" t="s">
        <v>521</v>
      </c>
      <c r="I5556" s="2" t="s">
        <v>22</v>
      </c>
      <c r="J5556" s="2" t="s">
        <v>300</v>
      </c>
      <c r="K5556" s="2" t="s">
        <v>495</v>
      </c>
      <c r="L5556" s="13" t="s">
        <v>496</v>
      </c>
      <c r="M5556" s="2" t="s">
        <v>26</v>
      </c>
      <c r="N5556" s="29"/>
      <c r="O5556" s="29"/>
      <c r="P5556" s="5" t="str">
        <f>IFERROR(__xludf.DUMMYFUNCTION("TEXTJOIN("" | "",TRUE,IF(OR(D5556="""",E5556="""",I5556="""",J5556="""",H5556=""""),""ফাঁকা ঘর"",""""),IF(AND(C5556&lt;&gt;"""",D5556&lt;&gt;"""",C5556=D5556),""gloss=figurative"",""""),IF(LEN(D5556)&lt;15,""figurative ছোট"",""""),IF(AND(I5556=""Positive"",REGEXMATCH(H5"&amp;"556,""মূর্খ|ভণ্ড|প্রতার|অলস|লোভ|স্বার্থ|অক্ষম|অযোগ্য|বোকা|কৃপণ|হিংস"")),""valence-target অমিল"",""""),IF(COUNTIF($B:$B,B5556)&gt;1,""ডুপ্লিকেট"",""""))"),"")</f>
        <v/>
      </c>
      <c r="Q5556" s="5" t="str">
        <f t="shared" si="1"/>
        <v>২ পরে</v>
      </c>
    </row>
    <row r="5557">
      <c r="A5557" s="4">
        <v>3427.0</v>
      </c>
      <c r="B5557" s="2" t="s">
        <v>22728</v>
      </c>
      <c r="C5557" s="2" t="s">
        <v>22729</v>
      </c>
      <c r="D5557" s="2" t="s">
        <v>22730</v>
      </c>
      <c r="E5557" s="2" t="s">
        <v>22731</v>
      </c>
      <c r="F5557" s="2" t="b">
        <v>1</v>
      </c>
      <c r="G5557" s="2" t="b">
        <v>0</v>
      </c>
      <c r="H5557" s="2" t="s">
        <v>521</v>
      </c>
      <c r="I5557" s="2" t="s">
        <v>22</v>
      </c>
      <c r="J5557" s="2" t="s">
        <v>300</v>
      </c>
      <c r="K5557" s="2" t="s">
        <v>495</v>
      </c>
      <c r="L5557" s="13" t="s">
        <v>496</v>
      </c>
      <c r="M5557" s="2" t="s">
        <v>26</v>
      </c>
      <c r="N5557" s="29"/>
      <c r="O5557" s="29"/>
      <c r="P5557" s="5" t="str">
        <f>IFERROR(__xludf.DUMMYFUNCTION("TEXTJOIN("" | "",TRUE,IF(OR(D5557="""",E5557="""",I5557="""",J5557="""",H5557=""""),""ফাঁকা ঘর"",""""),IF(AND(C5557&lt;&gt;"""",D5557&lt;&gt;"""",C5557=D5557),""gloss=figurative"",""""),IF(LEN(D5557)&lt;15,""figurative ছোট"",""""),IF(AND(I5557=""Positive"",REGEXMATCH(H5"&amp;"557,""মূর্খ|ভণ্ড|প্রতার|অলস|লোভ|স্বার্থ|অক্ষম|অযোগ্য|বোকা|কৃপণ|হিংস"")),""valence-target অমিল"",""""),IF(COUNTIF($B:$B,B5557)&gt;1,""ডুপ্লিকেট"",""""))"),"")</f>
        <v/>
      </c>
      <c r="Q5557" s="5" t="str">
        <f t="shared" si="1"/>
        <v>২ পরে</v>
      </c>
    </row>
    <row r="5558">
      <c r="A5558" s="4">
        <v>3428.0</v>
      </c>
      <c r="B5558" s="2" t="s">
        <v>22732</v>
      </c>
      <c r="C5558" s="2" t="s">
        <v>22733</v>
      </c>
      <c r="D5558" s="2" t="s">
        <v>22734</v>
      </c>
      <c r="E5558" s="2" t="s">
        <v>22735</v>
      </c>
      <c r="F5558" s="2" t="b">
        <v>1</v>
      </c>
      <c r="G5558" s="2" t="b">
        <v>0</v>
      </c>
      <c r="H5558" s="2" t="s">
        <v>22736</v>
      </c>
      <c r="I5558" s="2" t="s">
        <v>22</v>
      </c>
      <c r="J5558" s="2" t="s">
        <v>43</v>
      </c>
      <c r="K5558" s="2" t="s">
        <v>495</v>
      </c>
      <c r="L5558" s="13" t="s">
        <v>496</v>
      </c>
      <c r="M5558" s="2" t="s">
        <v>26</v>
      </c>
      <c r="N5558" s="29"/>
      <c r="O5558" s="29"/>
      <c r="P5558" s="5" t="str">
        <f>IFERROR(__xludf.DUMMYFUNCTION("TEXTJOIN("" | "",TRUE,IF(OR(D5558="""",E5558="""",I5558="""",J5558="""",H5558=""""),""ফাঁকা ঘর"",""""),IF(AND(C5558&lt;&gt;"""",D5558&lt;&gt;"""",C5558=D5558),""gloss=figurative"",""""),IF(LEN(D5558)&lt;15,""figurative ছোট"",""""),IF(AND(I5558=""Positive"",REGEXMATCH(H5"&amp;"558,""মূর্খ|ভণ্ড|প্রতার|অলস|লোভ|স্বার্থ|অক্ষম|অযোগ্য|বোকা|কৃপণ|হিংস"")),""valence-target অমিল"",""""),IF(COUNTIF($B:$B,B5558)&gt;1,""ডুপ্লিকেট"",""""))"),"")</f>
        <v/>
      </c>
      <c r="Q5558" s="5" t="str">
        <f t="shared" si="1"/>
        <v>২ পরে</v>
      </c>
    </row>
    <row r="5559">
      <c r="A5559" s="4">
        <v>3429.0</v>
      </c>
      <c r="B5559" s="2" t="s">
        <v>22737</v>
      </c>
      <c r="C5559" s="2" t="s">
        <v>22738</v>
      </c>
      <c r="D5559" s="2" t="s">
        <v>22739</v>
      </c>
      <c r="E5559" s="2" t="s">
        <v>22740</v>
      </c>
      <c r="F5559" s="2" t="b">
        <v>1</v>
      </c>
      <c r="G5559" s="2" t="b">
        <v>0</v>
      </c>
      <c r="H5559" s="2" t="s">
        <v>189</v>
      </c>
      <c r="I5559" s="2" t="s">
        <v>22</v>
      </c>
      <c r="J5559" s="2" t="s">
        <v>43</v>
      </c>
      <c r="K5559" s="2" t="s">
        <v>495</v>
      </c>
      <c r="L5559" s="13" t="s">
        <v>496</v>
      </c>
      <c r="M5559" s="2" t="s">
        <v>26</v>
      </c>
      <c r="N5559" s="29"/>
      <c r="O5559" s="29"/>
      <c r="P5559" s="5" t="str">
        <f>IFERROR(__xludf.DUMMYFUNCTION("TEXTJOIN("" | "",TRUE,IF(OR(D5559="""",E5559="""",I5559="""",J5559="""",H5559=""""),""ফাঁকা ঘর"",""""),IF(AND(C5559&lt;&gt;"""",D5559&lt;&gt;"""",C5559=D5559),""gloss=figurative"",""""),IF(LEN(D5559)&lt;15,""figurative ছোট"",""""),IF(AND(I5559=""Positive"",REGEXMATCH(H5"&amp;"559,""মূর্খ|ভণ্ড|প্রতার|অলস|লোভ|স্বার্থ|অক্ষম|অযোগ্য|বোকা|কৃপণ|হিংস"")),""valence-target অমিল"",""""),IF(COUNTIF($B:$B,B5559)&gt;1,""ডুপ্লিকেট"",""""))"),"")</f>
        <v/>
      </c>
      <c r="Q5559" s="5" t="str">
        <f t="shared" si="1"/>
        <v>২ পরে</v>
      </c>
    </row>
    <row r="5560">
      <c r="A5560" s="4">
        <v>3430.0</v>
      </c>
      <c r="B5560" s="2" t="s">
        <v>22741</v>
      </c>
      <c r="C5560" s="2" t="s">
        <v>22742</v>
      </c>
      <c r="D5560" s="2" t="s">
        <v>22743</v>
      </c>
      <c r="E5560" s="2" t="s">
        <v>22744</v>
      </c>
      <c r="F5560" s="2" t="b">
        <v>1</v>
      </c>
      <c r="G5560" s="2" t="b">
        <v>0</v>
      </c>
      <c r="H5560" s="2" t="s">
        <v>37</v>
      </c>
      <c r="I5560" s="2" t="s">
        <v>32</v>
      </c>
      <c r="J5560" s="2" t="s">
        <v>1249</v>
      </c>
      <c r="K5560" s="2" t="s">
        <v>495</v>
      </c>
      <c r="L5560" s="13" t="s">
        <v>496</v>
      </c>
      <c r="M5560" s="2" t="s">
        <v>26</v>
      </c>
      <c r="N5560" s="29"/>
      <c r="O5560" s="29"/>
      <c r="P5560" s="5" t="str">
        <f>IFERROR(__xludf.DUMMYFUNCTION("TEXTJOIN("" | "",TRUE,IF(OR(D5560="""",E5560="""",I5560="""",J5560="""",H5560=""""),""ফাঁকা ঘর"",""""),IF(AND(C5560&lt;&gt;"""",D5560&lt;&gt;"""",C5560=D5560),""gloss=figurative"",""""),IF(LEN(D5560)&lt;15,""figurative ছোট"",""""),IF(AND(I5560=""Positive"",REGEXMATCH(H5"&amp;"560,""মূর্খ|ভণ্ড|প্রতার|অলস|লোভ|স্বার্থ|অক্ষম|অযোগ্য|বোকা|কৃপণ|হিংস"")),""valence-target অমিল"",""""),IF(COUNTIF($B:$B,B5560)&gt;1,""ডুপ্লিকেট"",""""))"),"")</f>
        <v/>
      </c>
      <c r="Q5560" s="5" t="str">
        <f t="shared" si="1"/>
        <v>২ পরে</v>
      </c>
    </row>
    <row r="5561">
      <c r="A5561" s="4">
        <v>3431.0</v>
      </c>
      <c r="B5561" s="2" t="s">
        <v>22745</v>
      </c>
      <c r="C5561" s="2" t="s">
        <v>22746</v>
      </c>
      <c r="D5561" s="2" t="s">
        <v>22747</v>
      </c>
      <c r="E5561" s="2" t="s">
        <v>22748</v>
      </c>
      <c r="F5561" s="2" t="b">
        <v>1</v>
      </c>
      <c r="G5561" s="2" t="b">
        <v>0</v>
      </c>
      <c r="H5561" s="2" t="s">
        <v>37</v>
      </c>
      <c r="I5561" s="2" t="s">
        <v>32</v>
      </c>
      <c r="J5561" s="2" t="s">
        <v>22749</v>
      </c>
      <c r="K5561" s="2" t="s">
        <v>495</v>
      </c>
      <c r="L5561" s="13" t="s">
        <v>496</v>
      </c>
      <c r="M5561" s="2" t="s">
        <v>26</v>
      </c>
      <c r="N5561" s="29"/>
      <c r="O5561" s="29"/>
      <c r="P5561" s="5" t="str">
        <f>IFERROR(__xludf.DUMMYFUNCTION("TEXTJOIN("" | "",TRUE,IF(OR(D5561="""",E5561="""",I5561="""",J5561="""",H5561=""""),""ফাঁকা ঘর"",""""),IF(AND(C5561&lt;&gt;"""",D5561&lt;&gt;"""",C5561=D5561),""gloss=figurative"",""""),IF(LEN(D5561)&lt;15,""figurative ছোট"",""""),IF(AND(I5561=""Positive"",REGEXMATCH(H5"&amp;"561,""মূর্খ|ভণ্ড|প্রতার|অলস|লোভ|স্বার্থ|অক্ষম|অযোগ্য|বোকা|কৃপণ|হিংস"")),""valence-target অমিল"",""""),IF(COUNTIF($B:$B,B5561)&gt;1,""ডুপ্লিকেট"",""""))"),"")</f>
        <v/>
      </c>
      <c r="Q5561" s="5" t="str">
        <f t="shared" si="1"/>
        <v>২ পরে</v>
      </c>
    </row>
    <row r="5562">
      <c r="A5562" s="4">
        <v>3432.0</v>
      </c>
      <c r="B5562" s="2" t="s">
        <v>22750</v>
      </c>
      <c r="C5562" s="2" t="s">
        <v>22751</v>
      </c>
      <c r="D5562" s="2" t="s">
        <v>22752</v>
      </c>
      <c r="E5562" s="2" t="s">
        <v>22753</v>
      </c>
      <c r="F5562" s="2" t="b">
        <v>1</v>
      </c>
      <c r="G5562" s="2" t="b">
        <v>0</v>
      </c>
      <c r="H5562" s="2" t="s">
        <v>37</v>
      </c>
      <c r="I5562" s="2" t="s">
        <v>22</v>
      </c>
      <c r="J5562" s="2" t="s">
        <v>14802</v>
      </c>
      <c r="K5562" s="2" t="s">
        <v>495</v>
      </c>
      <c r="L5562" s="13" t="s">
        <v>496</v>
      </c>
      <c r="M5562" s="2" t="s">
        <v>26</v>
      </c>
      <c r="N5562" s="29"/>
      <c r="O5562" s="29"/>
      <c r="P5562" s="5" t="str">
        <f>IFERROR(__xludf.DUMMYFUNCTION("TEXTJOIN("" | "",TRUE,IF(OR(D5562="""",E5562="""",I5562="""",J5562="""",H5562=""""),""ফাঁকা ঘর"",""""),IF(AND(C5562&lt;&gt;"""",D5562&lt;&gt;"""",C5562=D5562),""gloss=figurative"",""""),IF(LEN(D5562)&lt;15,""figurative ছোট"",""""),IF(AND(I5562=""Positive"",REGEXMATCH(H5"&amp;"562,""মূর্খ|ভণ্ড|প্রতার|অলস|লোভ|স্বার্থ|অক্ষম|অযোগ্য|বোকা|কৃপণ|হিংস"")),""valence-target অমিল"",""""),IF(COUNTIF($B:$B,B5562)&gt;1,""ডুপ্লিকেট"",""""))"),"")</f>
        <v/>
      </c>
      <c r="Q5562" s="5" t="str">
        <f t="shared" si="1"/>
        <v>২ পরে</v>
      </c>
    </row>
    <row r="5563">
      <c r="A5563" s="4">
        <v>3433.0</v>
      </c>
      <c r="B5563" s="2" t="s">
        <v>22754</v>
      </c>
      <c r="C5563" s="2" t="s">
        <v>22755</v>
      </c>
      <c r="D5563" s="2" t="s">
        <v>22756</v>
      </c>
      <c r="E5563" s="2" t="s">
        <v>22757</v>
      </c>
      <c r="F5563" s="2" t="b">
        <v>1</v>
      </c>
      <c r="G5563" s="2" t="b">
        <v>0</v>
      </c>
      <c r="H5563" s="2" t="s">
        <v>37</v>
      </c>
      <c r="I5563" s="2" t="s">
        <v>22</v>
      </c>
      <c r="J5563" s="2" t="s">
        <v>590</v>
      </c>
      <c r="K5563" s="2" t="s">
        <v>495</v>
      </c>
      <c r="L5563" s="13" t="s">
        <v>496</v>
      </c>
      <c r="M5563" s="2" t="s">
        <v>26</v>
      </c>
      <c r="N5563" s="29"/>
      <c r="O5563" s="29"/>
      <c r="P5563" s="5" t="str">
        <f>IFERROR(__xludf.DUMMYFUNCTION("TEXTJOIN("" | "",TRUE,IF(OR(D5563="""",E5563="""",I5563="""",J5563="""",H5563=""""),""ফাঁকা ঘর"",""""),IF(AND(C5563&lt;&gt;"""",D5563&lt;&gt;"""",C5563=D5563),""gloss=figurative"",""""),IF(LEN(D5563)&lt;15,""figurative ছোট"",""""),IF(AND(I5563=""Positive"",REGEXMATCH(H5"&amp;"563,""মূর্খ|ভণ্ড|প্রতার|অলস|লোভ|স্বার্থ|অক্ষম|অযোগ্য|বোকা|কৃপণ|হিংস"")),""valence-target অমিল"",""""),IF(COUNTIF($B:$B,B5563)&gt;1,""ডুপ্লিকেট"",""""))"),"")</f>
        <v/>
      </c>
      <c r="Q5563" s="5" t="str">
        <f t="shared" si="1"/>
        <v>২ পরে</v>
      </c>
    </row>
    <row r="5564">
      <c r="A5564" s="4">
        <v>3434.0</v>
      </c>
      <c r="B5564" s="2" t="s">
        <v>22758</v>
      </c>
      <c r="C5564" s="2" t="s">
        <v>22759</v>
      </c>
      <c r="D5564" s="2" t="s">
        <v>22760</v>
      </c>
      <c r="E5564" s="2" t="s">
        <v>22761</v>
      </c>
      <c r="F5564" s="2" t="b">
        <v>1</v>
      </c>
      <c r="G5564" s="2" t="b">
        <v>0</v>
      </c>
      <c r="H5564" s="2" t="s">
        <v>37</v>
      </c>
      <c r="I5564" s="2" t="s">
        <v>49</v>
      </c>
      <c r="J5564" s="2" t="s">
        <v>2442</v>
      </c>
      <c r="K5564" s="2" t="s">
        <v>495</v>
      </c>
      <c r="L5564" s="13" t="s">
        <v>496</v>
      </c>
      <c r="M5564" s="2" t="s">
        <v>26</v>
      </c>
      <c r="N5564" s="29"/>
      <c r="O5564" s="29"/>
      <c r="P5564" s="5" t="str">
        <f>IFERROR(__xludf.DUMMYFUNCTION("TEXTJOIN("" | "",TRUE,IF(OR(D5564="""",E5564="""",I5564="""",J5564="""",H5564=""""),""ফাঁকা ঘর"",""""),IF(AND(C5564&lt;&gt;"""",D5564&lt;&gt;"""",C5564=D5564),""gloss=figurative"",""""),IF(LEN(D5564)&lt;15,""figurative ছোট"",""""),IF(AND(I5564=""Positive"",REGEXMATCH(H5"&amp;"564,""মূর্খ|ভণ্ড|প্রতার|অলস|লোভ|স্বার্থ|অক্ষম|অযোগ্য|বোকা|কৃপণ|হিংস"")),""valence-target অমিল"",""""),IF(COUNTIF($B:$B,B5564)&gt;1,""ডুপ্লিকেট"",""""))"),"")</f>
        <v/>
      </c>
      <c r="Q5564" s="5" t="str">
        <f t="shared" si="1"/>
        <v>২ পরে</v>
      </c>
    </row>
    <row r="5565">
      <c r="A5565" s="4">
        <v>3435.0</v>
      </c>
      <c r="B5565" s="2" t="s">
        <v>22762</v>
      </c>
      <c r="C5565" s="2" t="s">
        <v>22763</v>
      </c>
      <c r="D5565" s="2" t="s">
        <v>22764</v>
      </c>
      <c r="E5565" s="2" t="s">
        <v>22765</v>
      </c>
      <c r="F5565" s="2" t="b">
        <v>1</v>
      </c>
      <c r="G5565" s="2" t="b">
        <v>0</v>
      </c>
      <c r="H5565" s="2" t="s">
        <v>16190</v>
      </c>
      <c r="I5565" s="2" t="s">
        <v>32</v>
      </c>
      <c r="J5565" s="2" t="s">
        <v>300</v>
      </c>
      <c r="K5565" s="2" t="s">
        <v>495</v>
      </c>
      <c r="L5565" s="13" t="s">
        <v>496</v>
      </c>
      <c r="M5565" s="2" t="s">
        <v>26</v>
      </c>
      <c r="N5565" s="29"/>
      <c r="O5565" s="29"/>
      <c r="P5565" s="5" t="str">
        <f>IFERROR(__xludf.DUMMYFUNCTION("TEXTJOIN("" | "",TRUE,IF(OR(D5565="""",E5565="""",I5565="""",J5565="""",H5565=""""),""ফাঁকা ঘর"",""""),IF(AND(C5565&lt;&gt;"""",D5565&lt;&gt;"""",C5565=D5565),""gloss=figurative"",""""),IF(LEN(D5565)&lt;15,""figurative ছোট"",""""),IF(AND(I5565=""Positive"",REGEXMATCH(H5"&amp;"565,""মূর্খ|ভণ্ড|প্রতার|অলস|লোভ|স্বার্থ|অক্ষম|অযোগ্য|বোকা|কৃপণ|হিংস"")),""valence-target অমিল"",""""),IF(COUNTIF($B:$B,B5565)&gt;1,""ডুপ্লিকেট"",""""))"),"")</f>
        <v/>
      </c>
      <c r="Q5565" s="5" t="str">
        <f t="shared" si="1"/>
        <v>২ পরে</v>
      </c>
    </row>
    <row r="5566">
      <c r="A5566" s="4">
        <v>3436.0</v>
      </c>
      <c r="B5566" s="2" t="s">
        <v>22766</v>
      </c>
      <c r="C5566" s="2" t="s">
        <v>22766</v>
      </c>
      <c r="D5566" s="2" t="s">
        <v>22767</v>
      </c>
      <c r="E5566" s="2" t="s">
        <v>22768</v>
      </c>
      <c r="F5566" s="2" t="b">
        <v>1</v>
      </c>
      <c r="G5566" s="2" t="b">
        <v>0</v>
      </c>
      <c r="H5566" s="2" t="s">
        <v>22769</v>
      </c>
      <c r="I5566" s="2" t="s">
        <v>49</v>
      </c>
      <c r="J5566" s="2" t="s">
        <v>15368</v>
      </c>
      <c r="K5566" s="2" t="s">
        <v>495</v>
      </c>
      <c r="L5566" s="13" t="s">
        <v>496</v>
      </c>
      <c r="M5566" s="2" t="s">
        <v>26</v>
      </c>
      <c r="N5566" s="29"/>
      <c r="O5566" s="29"/>
      <c r="P5566" s="5" t="str">
        <f>IFERROR(__xludf.DUMMYFUNCTION("TEXTJOIN("" | "",TRUE,IF(OR(D5566="""",E5566="""",I5566="""",J5566="""",H5566=""""),""ফাঁকা ঘর"",""""),IF(AND(C5566&lt;&gt;"""",D5566&lt;&gt;"""",C5566=D5566),""gloss=figurative"",""""),IF(LEN(D5566)&lt;15,""figurative ছোট"",""""),IF(AND(I5566=""Positive"",REGEXMATCH(H5"&amp;"566,""মূর্খ|ভণ্ড|প্রতার|অলস|লোভ|স্বার্থ|অক্ষম|অযোগ্য|বোকা|কৃপণ|হিংস"")),""valence-target অমিল"",""""),IF(COUNTIF($B:$B,B5566)&gt;1,""ডুপ্লিকেট"",""""))"),"")</f>
        <v/>
      </c>
      <c r="Q5566" s="5" t="str">
        <f t="shared" si="1"/>
        <v>২ পরে</v>
      </c>
    </row>
    <row r="5567">
      <c r="A5567" s="4">
        <v>3437.0</v>
      </c>
      <c r="B5567" s="2" t="s">
        <v>22770</v>
      </c>
      <c r="C5567" s="2" t="s">
        <v>22771</v>
      </c>
      <c r="D5567" s="2" t="s">
        <v>22772</v>
      </c>
      <c r="E5567" s="2" t="s">
        <v>22773</v>
      </c>
      <c r="F5567" s="2" t="b">
        <v>1</v>
      </c>
      <c r="G5567" s="2" t="b">
        <v>0</v>
      </c>
      <c r="H5567" s="2" t="s">
        <v>37</v>
      </c>
      <c r="I5567" s="2" t="s">
        <v>49</v>
      </c>
      <c r="J5567" s="2" t="s">
        <v>762</v>
      </c>
      <c r="K5567" s="2" t="s">
        <v>495</v>
      </c>
      <c r="L5567" s="13" t="s">
        <v>496</v>
      </c>
      <c r="M5567" s="2" t="s">
        <v>26</v>
      </c>
      <c r="N5567" s="29"/>
      <c r="O5567" s="29"/>
      <c r="P5567" s="5" t="str">
        <f>IFERROR(__xludf.DUMMYFUNCTION("TEXTJOIN("" | "",TRUE,IF(OR(D5567="""",E5567="""",I5567="""",J5567="""",H5567=""""),""ফাঁকা ঘর"",""""),IF(AND(C5567&lt;&gt;"""",D5567&lt;&gt;"""",C5567=D5567),""gloss=figurative"",""""),IF(LEN(D5567)&lt;15,""figurative ছোট"",""""),IF(AND(I5567=""Positive"",REGEXMATCH(H5"&amp;"567,""মূর্খ|ভণ্ড|প্রতার|অলস|লোভ|স্বার্থ|অক্ষম|অযোগ্য|বোকা|কৃপণ|হিংস"")),""valence-target অমিল"",""""),IF(COUNTIF($B:$B,B5567)&gt;1,""ডুপ্লিকেট"",""""))"),"")</f>
        <v/>
      </c>
      <c r="Q5567" s="5" t="str">
        <f t="shared" si="1"/>
        <v>২ পরে</v>
      </c>
    </row>
    <row r="5568">
      <c r="A5568" s="4">
        <v>3438.0</v>
      </c>
      <c r="B5568" s="2" t="s">
        <v>22774</v>
      </c>
      <c r="C5568" s="2" t="s">
        <v>22774</v>
      </c>
      <c r="D5568" s="2" t="s">
        <v>22775</v>
      </c>
      <c r="E5568" s="2" t="s">
        <v>22776</v>
      </c>
      <c r="F5568" s="2" t="b">
        <v>1</v>
      </c>
      <c r="G5568" s="2" t="b">
        <v>0</v>
      </c>
      <c r="H5568" s="2" t="s">
        <v>37</v>
      </c>
      <c r="I5568" s="2" t="s">
        <v>32</v>
      </c>
      <c r="J5568" s="2" t="s">
        <v>22777</v>
      </c>
      <c r="K5568" s="2" t="s">
        <v>495</v>
      </c>
      <c r="L5568" s="13" t="s">
        <v>496</v>
      </c>
      <c r="M5568" s="2" t="s">
        <v>26</v>
      </c>
      <c r="N5568" s="29"/>
      <c r="O5568" s="29"/>
      <c r="P5568" s="5" t="str">
        <f>IFERROR(__xludf.DUMMYFUNCTION("TEXTJOIN("" | "",TRUE,IF(OR(D5568="""",E5568="""",I5568="""",J5568="""",H5568=""""),""ফাঁকা ঘর"",""""),IF(AND(C5568&lt;&gt;"""",D5568&lt;&gt;"""",C5568=D5568),""gloss=figurative"",""""),IF(LEN(D5568)&lt;15,""figurative ছোট"",""""),IF(AND(I5568=""Positive"",REGEXMATCH(H5"&amp;"568,""মূর্খ|ভণ্ড|প্রতার|অলস|লোভ|স্বার্থ|অক্ষম|অযোগ্য|বোকা|কৃপণ|হিংস"")),""valence-target অমিল"",""""),IF(COUNTIF($B:$B,B5568)&gt;1,""ডুপ্লিকেট"",""""))"),"")</f>
        <v/>
      </c>
      <c r="Q5568" s="5" t="str">
        <f t="shared" si="1"/>
        <v>২ পরে</v>
      </c>
    </row>
    <row r="5569">
      <c r="A5569" s="4">
        <v>3439.0</v>
      </c>
      <c r="B5569" s="2" t="s">
        <v>22778</v>
      </c>
      <c r="C5569" s="2" t="s">
        <v>22779</v>
      </c>
      <c r="D5569" s="2" t="s">
        <v>22780</v>
      </c>
      <c r="E5569" s="2" t="s">
        <v>22781</v>
      </c>
      <c r="F5569" s="2" t="b">
        <v>1</v>
      </c>
      <c r="G5569" s="2" t="b">
        <v>0</v>
      </c>
      <c r="H5569" s="2" t="s">
        <v>37</v>
      </c>
      <c r="I5569" s="2" t="s">
        <v>22</v>
      </c>
      <c r="J5569" s="2" t="s">
        <v>891</v>
      </c>
      <c r="K5569" s="2" t="s">
        <v>495</v>
      </c>
      <c r="L5569" s="13" t="s">
        <v>496</v>
      </c>
      <c r="M5569" s="2" t="s">
        <v>26</v>
      </c>
      <c r="N5569" s="29"/>
      <c r="O5569" s="29"/>
      <c r="P5569" s="5" t="str">
        <f>IFERROR(__xludf.DUMMYFUNCTION("TEXTJOIN("" | "",TRUE,IF(OR(D5569="""",E5569="""",I5569="""",J5569="""",H5569=""""),""ফাঁকা ঘর"",""""),IF(AND(C5569&lt;&gt;"""",D5569&lt;&gt;"""",C5569=D5569),""gloss=figurative"",""""),IF(LEN(D5569)&lt;15,""figurative ছোট"",""""),IF(AND(I5569=""Positive"",REGEXMATCH(H5"&amp;"569,""মূর্খ|ভণ্ড|প্রতার|অলস|লোভ|স্বার্থ|অক্ষম|অযোগ্য|বোকা|কৃপণ|হিংস"")),""valence-target অমিল"",""""),IF(COUNTIF($B:$B,B5569)&gt;1,""ডুপ্লিকেট"",""""))"),"")</f>
        <v/>
      </c>
      <c r="Q5569" s="5" t="str">
        <f t="shared" si="1"/>
        <v>২ পরে</v>
      </c>
    </row>
    <row r="5570">
      <c r="A5570" s="4">
        <v>3440.0</v>
      </c>
      <c r="B5570" s="2" t="s">
        <v>22782</v>
      </c>
      <c r="C5570" s="2" t="s">
        <v>22783</v>
      </c>
      <c r="D5570" s="2" t="s">
        <v>22784</v>
      </c>
      <c r="E5570" s="2" t="s">
        <v>22785</v>
      </c>
      <c r="F5570" s="2" t="b">
        <v>1</v>
      </c>
      <c r="G5570" s="2" t="b">
        <v>0</v>
      </c>
      <c r="H5570" s="2" t="s">
        <v>37</v>
      </c>
      <c r="I5570" s="2" t="s">
        <v>22</v>
      </c>
      <c r="J5570" s="2" t="s">
        <v>891</v>
      </c>
      <c r="K5570" s="2" t="s">
        <v>495</v>
      </c>
      <c r="L5570" s="13" t="s">
        <v>496</v>
      </c>
      <c r="M5570" s="2" t="s">
        <v>26</v>
      </c>
      <c r="N5570" s="29"/>
      <c r="O5570" s="29"/>
      <c r="P5570" s="5" t="str">
        <f>IFERROR(__xludf.DUMMYFUNCTION("TEXTJOIN("" | "",TRUE,IF(OR(D5570="""",E5570="""",I5570="""",J5570="""",H5570=""""),""ফাঁকা ঘর"",""""),IF(AND(C5570&lt;&gt;"""",D5570&lt;&gt;"""",C5570=D5570),""gloss=figurative"",""""),IF(LEN(D5570)&lt;15,""figurative ছোট"",""""),IF(AND(I5570=""Positive"",REGEXMATCH(H5"&amp;"570,""মূর্খ|ভণ্ড|প্রতার|অলস|লোভ|স্বার্থ|অক্ষম|অযোগ্য|বোকা|কৃপণ|হিংস"")),""valence-target অমিল"",""""),IF(COUNTIF($B:$B,B5570)&gt;1,""ডুপ্লিকেট"",""""))"),"")</f>
        <v/>
      </c>
      <c r="Q5570" s="5" t="str">
        <f t="shared" si="1"/>
        <v>২ পরে</v>
      </c>
    </row>
    <row r="5571">
      <c r="A5571" s="4">
        <v>3441.0</v>
      </c>
      <c r="B5571" s="2" t="s">
        <v>22786</v>
      </c>
      <c r="C5571" s="2" t="s">
        <v>22787</v>
      </c>
      <c r="D5571" s="2" t="s">
        <v>22788</v>
      </c>
      <c r="E5571" s="2" t="s">
        <v>22789</v>
      </c>
      <c r="F5571" s="2" t="b">
        <v>1</v>
      </c>
      <c r="G5571" s="2" t="b">
        <v>0</v>
      </c>
      <c r="H5571" s="2" t="s">
        <v>37</v>
      </c>
      <c r="I5571" s="2" t="s">
        <v>32</v>
      </c>
      <c r="J5571" s="2" t="s">
        <v>891</v>
      </c>
      <c r="K5571" s="2" t="s">
        <v>495</v>
      </c>
      <c r="L5571" s="13" t="s">
        <v>496</v>
      </c>
      <c r="M5571" s="2" t="s">
        <v>26</v>
      </c>
      <c r="N5571" s="29"/>
      <c r="O5571" s="29"/>
      <c r="P5571" s="5" t="str">
        <f>IFERROR(__xludf.DUMMYFUNCTION("TEXTJOIN("" | "",TRUE,IF(OR(D5571="""",E5571="""",I5571="""",J5571="""",H5571=""""),""ফাঁকা ঘর"",""""),IF(AND(C5571&lt;&gt;"""",D5571&lt;&gt;"""",C5571=D5571),""gloss=figurative"",""""),IF(LEN(D5571)&lt;15,""figurative ছোট"",""""),IF(AND(I5571=""Positive"",REGEXMATCH(H5"&amp;"571,""মূর্খ|ভণ্ড|প্রতার|অলস|লোভ|স্বার্থ|অক্ষম|অযোগ্য|বোকা|কৃপণ|হিংস"")),""valence-target অমিল"",""""),IF(COUNTIF($B:$B,B5571)&gt;1,""ডুপ্লিকেট"",""""))"),"")</f>
        <v/>
      </c>
      <c r="Q5571" s="5" t="str">
        <f t="shared" si="1"/>
        <v>২ পরে</v>
      </c>
    </row>
    <row r="5572">
      <c r="A5572" s="4">
        <v>3442.0</v>
      </c>
      <c r="B5572" s="2" t="s">
        <v>22790</v>
      </c>
      <c r="C5572" s="2" t="s">
        <v>22791</v>
      </c>
      <c r="D5572" s="2" t="s">
        <v>22792</v>
      </c>
      <c r="E5572" s="2" t="s">
        <v>22793</v>
      </c>
      <c r="F5572" s="2" t="b">
        <v>1</v>
      </c>
      <c r="G5572" s="2" t="b">
        <v>0</v>
      </c>
      <c r="H5572" s="2" t="s">
        <v>37</v>
      </c>
      <c r="I5572" s="2" t="s">
        <v>32</v>
      </c>
      <c r="J5572" s="2" t="s">
        <v>891</v>
      </c>
      <c r="K5572" s="2" t="s">
        <v>495</v>
      </c>
      <c r="L5572" s="13" t="s">
        <v>496</v>
      </c>
      <c r="M5572" s="2" t="s">
        <v>26</v>
      </c>
      <c r="N5572" s="29"/>
      <c r="O5572" s="29"/>
      <c r="P5572" s="5" t="str">
        <f>IFERROR(__xludf.DUMMYFUNCTION("TEXTJOIN("" | "",TRUE,IF(OR(D5572="""",E5572="""",I5572="""",J5572="""",H5572=""""),""ফাঁকা ঘর"",""""),IF(AND(C5572&lt;&gt;"""",D5572&lt;&gt;"""",C5572=D5572),""gloss=figurative"",""""),IF(LEN(D5572)&lt;15,""figurative ছোট"",""""),IF(AND(I5572=""Positive"",REGEXMATCH(H5"&amp;"572,""মূর্খ|ভণ্ড|প্রতার|অলস|লোভ|স্বার্থ|অক্ষম|অযোগ্য|বোকা|কৃপণ|হিংস"")),""valence-target অমিল"",""""),IF(COUNTIF($B:$B,B5572)&gt;1,""ডুপ্লিকেট"",""""))"),"")</f>
        <v/>
      </c>
      <c r="Q5572" s="5" t="str">
        <f t="shared" si="1"/>
        <v>২ পরে</v>
      </c>
    </row>
    <row r="5573">
      <c r="A5573" s="4">
        <v>3443.0</v>
      </c>
      <c r="B5573" s="2" t="s">
        <v>22794</v>
      </c>
      <c r="C5573" s="2" t="s">
        <v>22795</v>
      </c>
      <c r="D5573" s="2" t="s">
        <v>22796</v>
      </c>
      <c r="E5573" s="2" t="s">
        <v>22797</v>
      </c>
      <c r="F5573" s="2" t="b">
        <v>1</v>
      </c>
      <c r="G5573" s="2" t="b">
        <v>0</v>
      </c>
      <c r="H5573" s="2" t="s">
        <v>16798</v>
      </c>
      <c r="I5573" s="2" t="s">
        <v>22</v>
      </c>
      <c r="J5573" s="2" t="s">
        <v>836</v>
      </c>
      <c r="K5573" s="2" t="s">
        <v>495</v>
      </c>
      <c r="L5573" s="13" t="s">
        <v>496</v>
      </c>
      <c r="M5573" s="2" t="s">
        <v>26</v>
      </c>
      <c r="N5573" s="29"/>
      <c r="O5573" s="29"/>
      <c r="P5573" s="5" t="str">
        <f>IFERROR(__xludf.DUMMYFUNCTION("TEXTJOIN("" | "",TRUE,IF(OR(D5573="""",E5573="""",I5573="""",J5573="""",H5573=""""),""ফাঁকা ঘর"",""""),IF(AND(C5573&lt;&gt;"""",D5573&lt;&gt;"""",C5573=D5573),""gloss=figurative"",""""),IF(LEN(D5573)&lt;15,""figurative ছোট"",""""),IF(AND(I5573=""Positive"",REGEXMATCH(H5"&amp;"573,""মূর্খ|ভণ্ড|প্রতার|অলস|লোভ|স্বার্থ|অক্ষম|অযোগ্য|বোকা|কৃপণ|হিংস"")),""valence-target অমিল"",""""),IF(COUNTIF($B:$B,B5573)&gt;1,""ডুপ্লিকেট"",""""))"),"")</f>
        <v/>
      </c>
      <c r="Q5573" s="5" t="str">
        <f t="shared" si="1"/>
        <v>২ পরে</v>
      </c>
    </row>
    <row r="5574">
      <c r="A5574" s="4">
        <v>3444.0</v>
      </c>
      <c r="B5574" s="2" t="s">
        <v>22798</v>
      </c>
      <c r="C5574" s="2" t="s">
        <v>22799</v>
      </c>
      <c r="D5574" s="2" t="s">
        <v>22800</v>
      </c>
      <c r="E5574" s="2" t="s">
        <v>22801</v>
      </c>
      <c r="F5574" s="2" t="b">
        <v>1</v>
      </c>
      <c r="G5574" s="2" t="b">
        <v>0</v>
      </c>
      <c r="H5574" s="2" t="s">
        <v>37</v>
      </c>
      <c r="I5574" s="2" t="s">
        <v>22</v>
      </c>
      <c r="J5574" s="2" t="s">
        <v>1630</v>
      </c>
      <c r="K5574" s="2" t="s">
        <v>495</v>
      </c>
      <c r="L5574" s="13" t="s">
        <v>496</v>
      </c>
      <c r="M5574" s="2" t="s">
        <v>26</v>
      </c>
      <c r="N5574" s="29"/>
      <c r="O5574" s="29"/>
      <c r="P5574" s="5" t="str">
        <f>IFERROR(__xludf.DUMMYFUNCTION("TEXTJOIN("" | "",TRUE,IF(OR(D5574="""",E5574="""",I5574="""",J5574="""",H5574=""""),""ফাঁকা ঘর"",""""),IF(AND(C5574&lt;&gt;"""",D5574&lt;&gt;"""",C5574=D5574),""gloss=figurative"",""""),IF(LEN(D5574)&lt;15,""figurative ছোট"",""""),IF(AND(I5574=""Positive"",REGEXMATCH(H5"&amp;"574,""মূর্খ|ভণ্ড|প্রতার|অলস|লোভ|স্বার্থ|অক্ষম|অযোগ্য|বোকা|কৃপণ|হিংস"")),""valence-target অমিল"",""""),IF(COUNTIF($B:$B,B5574)&gt;1,""ডুপ্লিকেট"",""""))"),"")</f>
        <v/>
      </c>
      <c r="Q5574" s="5" t="str">
        <f t="shared" si="1"/>
        <v>২ পরে</v>
      </c>
    </row>
    <row r="5575">
      <c r="A5575" s="4">
        <v>3445.0</v>
      </c>
      <c r="B5575" s="2" t="s">
        <v>22802</v>
      </c>
      <c r="C5575" s="2" t="s">
        <v>22803</v>
      </c>
      <c r="D5575" s="2" t="s">
        <v>22804</v>
      </c>
      <c r="E5575" s="2" t="s">
        <v>22805</v>
      </c>
      <c r="F5575" s="2" t="b">
        <v>1</v>
      </c>
      <c r="G5575" s="2" t="b">
        <v>0</v>
      </c>
      <c r="H5575" s="2" t="s">
        <v>37</v>
      </c>
      <c r="I5575" s="2" t="s">
        <v>32</v>
      </c>
      <c r="J5575" s="2" t="s">
        <v>1679</v>
      </c>
      <c r="K5575" s="2" t="s">
        <v>495</v>
      </c>
      <c r="L5575" s="13" t="s">
        <v>496</v>
      </c>
      <c r="M5575" s="2" t="s">
        <v>26</v>
      </c>
      <c r="N5575" s="29"/>
      <c r="O5575" s="29"/>
      <c r="P5575" s="5" t="str">
        <f>IFERROR(__xludf.DUMMYFUNCTION("TEXTJOIN("" | "",TRUE,IF(OR(D5575="""",E5575="""",I5575="""",J5575="""",H5575=""""),""ফাঁকা ঘর"",""""),IF(AND(C5575&lt;&gt;"""",D5575&lt;&gt;"""",C5575=D5575),""gloss=figurative"",""""),IF(LEN(D5575)&lt;15,""figurative ছোট"",""""),IF(AND(I5575=""Positive"",REGEXMATCH(H5"&amp;"575,""মূর্খ|ভণ্ড|প্রতার|অলস|লোভ|স্বার্থ|অক্ষম|অযোগ্য|বোকা|কৃপণ|হিংস"")),""valence-target অমিল"",""""),IF(COUNTIF($B:$B,B5575)&gt;1,""ডুপ্লিকেট"",""""))"),"")</f>
        <v/>
      </c>
      <c r="Q5575" s="5" t="str">
        <f t="shared" si="1"/>
        <v>২ পরে</v>
      </c>
    </row>
    <row r="5576">
      <c r="A5576" s="4">
        <v>3446.0</v>
      </c>
      <c r="B5576" s="2" t="s">
        <v>22806</v>
      </c>
      <c r="C5576" s="2" t="s">
        <v>22807</v>
      </c>
      <c r="D5576" s="2" t="s">
        <v>22808</v>
      </c>
      <c r="E5576" s="2" t="s">
        <v>22809</v>
      </c>
      <c r="F5576" s="2" t="b">
        <v>1</v>
      </c>
      <c r="G5576" s="2" t="b">
        <v>0</v>
      </c>
      <c r="H5576" s="2" t="s">
        <v>37</v>
      </c>
      <c r="I5576" s="2" t="s">
        <v>49</v>
      </c>
      <c r="J5576" s="2" t="s">
        <v>6697</v>
      </c>
      <c r="K5576" s="2" t="s">
        <v>495</v>
      </c>
      <c r="L5576" s="13" t="s">
        <v>496</v>
      </c>
      <c r="M5576" s="2" t="s">
        <v>26</v>
      </c>
      <c r="N5576" s="29"/>
      <c r="O5576" s="29"/>
      <c r="P5576" s="5" t="str">
        <f>IFERROR(__xludf.DUMMYFUNCTION("TEXTJOIN("" | "",TRUE,IF(OR(D5576="""",E5576="""",I5576="""",J5576="""",H5576=""""),""ফাঁকা ঘর"",""""),IF(AND(C5576&lt;&gt;"""",D5576&lt;&gt;"""",C5576=D5576),""gloss=figurative"",""""),IF(LEN(D5576)&lt;15,""figurative ছোট"",""""),IF(AND(I5576=""Positive"",REGEXMATCH(H5"&amp;"576,""মূর্খ|ভণ্ড|প্রতার|অলস|লোভ|স্বার্থ|অক্ষম|অযোগ্য|বোকা|কৃপণ|হিংস"")),""valence-target অমিল"",""""),IF(COUNTIF($B:$B,B5576)&gt;1,""ডুপ্লিকেট"",""""))"),"")</f>
        <v/>
      </c>
      <c r="Q5576" s="5" t="str">
        <f t="shared" si="1"/>
        <v>২ পরে</v>
      </c>
    </row>
    <row r="5577">
      <c r="A5577" s="4">
        <v>3447.0</v>
      </c>
      <c r="B5577" s="2" t="s">
        <v>22810</v>
      </c>
      <c r="C5577" s="2" t="s">
        <v>22811</v>
      </c>
      <c r="D5577" s="2" t="s">
        <v>22812</v>
      </c>
      <c r="E5577" s="2" t="s">
        <v>22813</v>
      </c>
      <c r="F5577" s="2" t="b">
        <v>1</v>
      </c>
      <c r="G5577" s="2" t="b">
        <v>0</v>
      </c>
      <c r="H5577" s="2" t="s">
        <v>37</v>
      </c>
      <c r="I5577" s="2" t="s">
        <v>32</v>
      </c>
      <c r="J5577" s="2" t="s">
        <v>565</v>
      </c>
      <c r="K5577" s="2" t="s">
        <v>495</v>
      </c>
      <c r="L5577" s="13" t="s">
        <v>496</v>
      </c>
      <c r="M5577" s="2" t="s">
        <v>26</v>
      </c>
      <c r="N5577" s="29"/>
      <c r="O5577" s="29"/>
      <c r="P5577" s="5" t="str">
        <f>IFERROR(__xludf.DUMMYFUNCTION("TEXTJOIN("" | "",TRUE,IF(OR(D5577="""",E5577="""",I5577="""",J5577="""",H5577=""""),""ফাঁকা ঘর"",""""),IF(AND(C5577&lt;&gt;"""",D5577&lt;&gt;"""",C5577=D5577),""gloss=figurative"",""""),IF(LEN(D5577)&lt;15,""figurative ছোট"",""""),IF(AND(I5577=""Positive"",REGEXMATCH(H5"&amp;"577,""মূর্খ|ভণ্ড|প্রতার|অলস|লোভ|স্বার্থ|অক্ষম|অযোগ্য|বোকা|কৃপণ|হিংস"")),""valence-target অমিল"",""""),IF(COUNTIF($B:$B,B5577)&gt;1,""ডুপ্লিকেট"",""""))"),"")</f>
        <v/>
      </c>
      <c r="Q5577" s="5" t="str">
        <f t="shared" si="1"/>
        <v>২ পরে</v>
      </c>
    </row>
    <row r="5578">
      <c r="A5578" s="4">
        <v>3448.0</v>
      </c>
      <c r="B5578" s="2" t="s">
        <v>22814</v>
      </c>
      <c r="C5578" s="2" t="s">
        <v>22815</v>
      </c>
      <c r="D5578" s="2" t="s">
        <v>22816</v>
      </c>
      <c r="E5578" s="2" t="s">
        <v>22817</v>
      </c>
      <c r="F5578" s="2" t="b">
        <v>1</v>
      </c>
      <c r="G5578" s="2" t="b">
        <v>0</v>
      </c>
      <c r="H5578" s="2" t="s">
        <v>37</v>
      </c>
      <c r="I5578" s="2" t="s">
        <v>49</v>
      </c>
      <c r="J5578" s="2" t="s">
        <v>939</v>
      </c>
      <c r="K5578" s="2" t="s">
        <v>495</v>
      </c>
      <c r="L5578" s="13" t="s">
        <v>496</v>
      </c>
      <c r="M5578" s="2" t="s">
        <v>26</v>
      </c>
      <c r="N5578" s="29"/>
      <c r="O5578" s="29"/>
      <c r="P5578" s="5" t="str">
        <f>IFERROR(__xludf.DUMMYFUNCTION("TEXTJOIN("" | "",TRUE,IF(OR(D5578="""",E5578="""",I5578="""",J5578="""",H5578=""""),""ফাঁকা ঘর"",""""),IF(AND(C5578&lt;&gt;"""",D5578&lt;&gt;"""",C5578=D5578),""gloss=figurative"",""""),IF(LEN(D5578)&lt;15,""figurative ছোট"",""""),IF(AND(I5578=""Positive"",REGEXMATCH(H5"&amp;"578,""মূর্খ|ভণ্ড|প্রতার|অলস|লোভ|স্বার্থ|অক্ষম|অযোগ্য|বোকা|কৃপণ|হিংস"")),""valence-target অমিল"",""""),IF(COUNTIF($B:$B,B5578)&gt;1,""ডুপ্লিকেট"",""""))"),"")</f>
        <v/>
      </c>
      <c r="Q5578" s="5" t="str">
        <f t="shared" si="1"/>
        <v>২ পরে</v>
      </c>
    </row>
    <row r="5579">
      <c r="A5579" s="4">
        <v>3449.0</v>
      </c>
      <c r="B5579" s="2" t="s">
        <v>22818</v>
      </c>
      <c r="C5579" s="2" t="s">
        <v>22819</v>
      </c>
      <c r="D5579" s="2" t="s">
        <v>22820</v>
      </c>
      <c r="E5579" s="2" t="s">
        <v>22821</v>
      </c>
      <c r="F5579" s="2" t="b">
        <v>1</v>
      </c>
      <c r="G5579" s="2" t="b">
        <v>0</v>
      </c>
      <c r="H5579" s="2" t="s">
        <v>22822</v>
      </c>
      <c r="I5579" s="2" t="s">
        <v>22</v>
      </c>
      <c r="J5579" s="2" t="s">
        <v>2040</v>
      </c>
      <c r="K5579" s="2" t="s">
        <v>495</v>
      </c>
      <c r="L5579" s="13" t="s">
        <v>496</v>
      </c>
      <c r="M5579" s="2" t="s">
        <v>26</v>
      </c>
      <c r="N5579" s="29"/>
      <c r="O5579" s="29"/>
      <c r="P5579" s="5" t="str">
        <f>IFERROR(__xludf.DUMMYFUNCTION("TEXTJOIN("" | "",TRUE,IF(OR(D5579="""",E5579="""",I5579="""",J5579="""",H5579=""""),""ফাঁকা ঘর"",""""),IF(AND(C5579&lt;&gt;"""",D5579&lt;&gt;"""",C5579=D5579),""gloss=figurative"",""""),IF(LEN(D5579)&lt;15,""figurative ছোট"",""""),IF(AND(I5579=""Positive"",REGEXMATCH(H5"&amp;"579,""মূর্খ|ভণ্ড|প্রতার|অলস|লোভ|স্বার্থ|অক্ষম|অযোগ্য|বোকা|কৃপণ|হিংস"")),""valence-target অমিল"",""""),IF(COUNTIF($B:$B,B5579)&gt;1,""ডুপ্লিকেট"",""""))"),"")</f>
        <v/>
      </c>
      <c r="Q5579" s="5" t="str">
        <f t="shared" si="1"/>
        <v>২ পরে</v>
      </c>
    </row>
    <row r="5580">
      <c r="A5580" s="4">
        <v>3450.0</v>
      </c>
      <c r="B5580" s="2" t="s">
        <v>22823</v>
      </c>
      <c r="C5580" s="2" t="s">
        <v>22824</v>
      </c>
      <c r="D5580" s="2" t="s">
        <v>22825</v>
      </c>
      <c r="E5580" s="2" t="s">
        <v>22713</v>
      </c>
      <c r="F5580" s="2" t="b">
        <v>1</v>
      </c>
      <c r="G5580" s="2" t="b">
        <v>0</v>
      </c>
      <c r="H5580" s="2" t="s">
        <v>37</v>
      </c>
      <c r="I5580" s="2" t="s">
        <v>49</v>
      </c>
      <c r="J5580" s="2" t="s">
        <v>708</v>
      </c>
      <c r="K5580" s="2" t="s">
        <v>495</v>
      </c>
      <c r="L5580" s="13" t="s">
        <v>496</v>
      </c>
      <c r="M5580" s="2" t="s">
        <v>26</v>
      </c>
      <c r="N5580" s="29"/>
      <c r="O5580" s="29"/>
      <c r="P5580" s="5" t="str">
        <f>IFERROR(__xludf.DUMMYFUNCTION("TEXTJOIN("" | "",TRUE,IF(OR(D5580="""",E5580="""",I5580="""",J5580="""",H5580=""""),""ফাঁকা ঘর"",""""),IF(AND(C5580&lt;&gt;"""",D5580&lt;&gt;"""",C5580=D5580),""gloss=figurative"",""""),IF(LEN(D5580)&lt;15,""figurative ছোট"",""""),IF(AND(I5580=""Positive"",REGEXMATCH(H5"&amp;"580,""মূর্খ|ভণ্ড|প্রতার|অলস|লোভ|স্বার্থ|অক্ষম|অযোগ্য|বোকা|কৃপণ|হিংস"")),""valence-target অমিল"",""""),IF(COUNTIF($B:$B,B5580)&gt;1,""ডুপ্লিকেট"",""""))"),"")</f>
        <v/>
      </c>
      <c r="Q5580" s="5" t="str">
        <f t="shared" si="1"/>
        <v>২ পরে</v>
      </c>
    </row>
    <row r="5581">
      <c r="A5581" s="4">
        <v>3451.0</v>
      </c>
      <c r="B5581" s="2" t="s">
        <v>22826</v>
      </c>
      <c r="C5581" s="2" t="s">
        <v>22827</v>
      </c>
      <c r="D5581" s="2" t="s">
        <v>22828</v>
      </c>
      <c r="E5581" s="2" t="s">
        <v>22829</v>
      </c>
      <c r="F5581" s="2" t="b">
        <v>1</v>
      </c>
      <c r="G5581" s="2" t="b">
        <v>0</v>
      </c>
      <c r="H5581" s="2" t="s">
        <v>5283</v>
      </c>
      <c r="I5581" s="2" t="s">
        <v>32</v>
      </c>
      <c r="J5581" s="2" t="s">
        <v>729</v>
      </c>
      <c r="K5581" s="2" t="s">
        <v>495</v>
      </c>
      <c r="L5581" s="13" t="s">
        <v>496</v>
      </c>
      <c r="M5581" s="2" t="s">
        <v>26</v>
      </c>
      <c r="N5581" s="29"/>
      <c r="O5581" s="29"/>
      <c r="P5581" s="5" t="str">
        <f>IFERROR(__xludf.DUMMYFUNCTION("TEXTJOIN("" | "",TRUE,IF(OR(D5581="""",E5581="""",I5581="""",J5581="""",H5581=""""),""ফাঁকা ঘর"",""""),IF(AND(C5581&lt;&gt;"""",D5581&lt;&gt;"""",C5581=D5581),""gloss=figurative"",""""),IF(LEN(D5581)&lt;15,""figurative ছোট"",""""),IF(AND(I5581=""Positive"",REGEXMATCH(H5"&amp;"581,""মূর্খ|ভণ্ড|প্রতার|অলস|লোভ|স্বার্থ|অক্ষম|অযোগ্য|বোকা|কৃপণ|হিংস"")),""valence-target অমিল"",""""),IF(COUNTIF($B:$B,B5581)&gt;1,""ডুপ্লিকেট"",""""))"),"")</f>
        <v/>
      </c>
      <c r="Q5581" s="5" t="str">
        <f t="shared" si="1"/>
        <v>২ পরে</v>
      </c>
    </row>
    <row r="5582">
      <c r="A5582" s="4">
        <v>3452.0</v>
      </c>
      <c r="B5582" s="2" t="s">
        <v>22830</v>
      </c>
      <c r="C5582" s="2" t="s">
        <v>22831</v>
      </c>
      <c r="D5582" s="2" t="s">
        <v>22832</v>
      </c>
      <c r="E5582" s="2" t="s">
        <v>20833</v>
      </c>
      <c r="F5582" s="2" t="b">
        <v>1</v>
      </c>
      <c r="G5582" s="2" t="b">
        <v>0</v>
      </c>
      <c r="H5582" s="2" t="s">
        <v>396</v>
      </c>
      <c r="I5582" s="2" t="s">
        <v>32</v>
      </c>
      <c r="J5582" s="2" t="s">
        <v>739</v>
      </c>
      <c r="K5582" s="2" t="s">
        <v>495</v>
      </c>
      <c r="L5582" s="13" t="s">
        <v>496</v>
      </c>
      <c r="M5582" s="2" t="s">
        <v>26</v>
      </c>
      <c r="N5582" s="29"/>
      <c r="O5582" s="29"/>
      <c r="P5582" s="5" t="str">
        <f>IFERROR(__xludf.DUMMYFUNCTION("TEXTJOIN("" | "",TRUE,IF(OR(D5582="""",E5582="""",I5582="""",J5582="""",H5582=""""),""ফাঁকা ঘর"",""""),IF(AND(C5582&lt;&gt;"""",D5582&lt;&gt;"""",C5582=D5582),""gloss=figurative"",""""),IF(LEN(D5582)&lt;15,""figurative ছোট"",""""),IF(AND(I5582=""Positive"",REGEXMATCH(H5"&amp;"582,""মূর্খ|ভণ্ড|প্রতার|অলস|লোভ|স্বার্থ|অক্ষম|অযোগ্য|বোকা|কৃপণ|হিংস"")),""valence-target অমিল"",""""),IF(COUNTIF($B:$B,B5582)&gt;1,""ডুপ্লিকেট"",""""))"),"")</f>
        <v/>
      </c>
      <c r="Q5582" s="5" t="str">
        <f t="shared" si="1"/>
        <v>২ পরে</v>
      </c>
    </row>
    <row r="5583">
      <c r="A5583" s="4">
        <v>3453.0</v>
      </c>
      <c r="B5583" s="2" t="s">
        <v>22833</v>
      </c>
      <c r="C5583" s="2" t="s">
        <v>22834</v>
      </c>
      <c r="D5583" s="2" t="s">
        <v>22835</v>
      </c>
      <c r="E5583" s="2" t="s">
        <v>22836</v>
      </c>
      <c r="F5583" s="2" t="b">
        <v>1</v>
      </c>
      <c r="G5583" s="2" t="b">
        <v>0</v>
      </c>
      <c r="H5583" s="2" t="s">
        <v>22837</v>
      </c>
      <c r="I5583" s="2" t="s">
        <v>22</v>
      </c>
      <c r="J5583" s="2" t="s">
        <v>43</v>
      </c>
      <c r="K5583" s="2" t="s">
        <v>495</v>
      </c>
      <c r="L5583" s="13" t="s">
        <v>496</v>
      </c>
      <c r="M5583" s="2" t="s">
        <v>26</v>
      </c>
      <c r="N5583" s="29"/>
      <c r="O5583" s="29"/>
      <c r="P5583" s="5" t="str">
        <f>IFERROR(__xludf.DUMMYFUNCTION("TEXTJOIN("" | "",TRUE,IF(OR(D5583="""",E5583="""",I5583="""",J5583="""",H5583=""""),""ফাঁকা ঘর"",""""),IF(AND(C5583&lt;&gt;"""",D5583&lt;&gt;"""",C5583=D5583),""gloss=figurative"",""""),IF(LEN(D5583)&lt;15,""figurative ছোট"",""""),IF(AND(I5583=""Positive"",REGEXMATCH(H5"&amp;"583,""মূর্খ|ভণ্ড|প্রতার|অলস|লোভ|স্বার্থ|অক্ষম|অযোগ্য|বোকা|কৃপণ|হিংস"")),""valence-target অমিল"",""""),IF(COUNTIF($B:$B,B5583)&gt;1,""ডুপ্লিকেট"",""""))"),"")</f>
        <v/>
      </c>
      <c r="Q5583" s="5" t="str">
        <f t="shared" si="1"/>
        <v>২ পরে</v>
      </c>
    </row>
    <row r="5584">
      <c r="A5584" s="4">
        <v>3454.0</v>
      </c>
      <c r="B5584" s="2" t="s">
        <v>22838</v>
      </c>
      <c r="C5584" s="2" t="s">
        <v>22838</v>
      </c>
      <c r="D5584" s="2" t="s">
        <v>22839</v>
      </c>
      <c r="E5584" s="2" t="s">
        <v>22840</v>
      </c>
      <c r="F5584" s="2" t="b">
        <v>1</v>
      </c>
      <c r="G5584" s="2" t="b">
        <v>0</v>
      </c>
      <c r="H5584" s="2" t="s">
        <v>783</v>
      </c>
      <c r="I5584" s="2" t="s">
        <v>22</v>
      </c>
      <c r="J5584" s="2" t="s">
        <v>723</v>
      </c>
      <c r="K5584" s="2" t="s">
        <v>495</v>
      </c>
      <c r="L5584" s="13" t="s">
        <v>496</v>
      </c>
      <c r="M5584" s="2" t="s">
        <v>26</v>
      </c>
      <c r="N5584" s="29"/>
      <c r="O5584" s="29"/>
      <c r="P5584" s="5" t="str">
        <f>IFERROR(__xludf.DUMMYFUNCTION("TEXTJOIN("" | "",TRUE,IF(OR(D5584="""",E5584="""",I5584="""",J5584="""",H5584=""""),""ফাঁকা ঘর"",""""),IF(AND(C5584&lt;&gt;"""",D5584&lt;&gt;"""",C5584=D5584),""gloss=figurative"",""""),IF(LEN(D5584)&lt;15,""figurative ছোট"",""""),IF(AND(I5584=""Positive"",REGEXMATCH(H5"&amp;"584,""মূর্খ|ভণ্ড|প্রতার|অলস|লোভ|স্বার্থ|অক্ষম|অযোগ্য|বোকা|কৃপণ|হিংস"")),""valence-target অমিল"",""""),IF(COUNTIF($B:$B,B5584)&gt;1,""ডুপ্লিকেট"",""""))"),"")</f>
        <v/>
      </c>
      <c r="Q5584" s="5" t="str">
        <f t="shared" si="1"/>
        <v>২ পরে</v>
      </c>
    </row>
    <row r="5585">
      <c r="A5585" s="4">
        <v>3455.0</v>
      </c>
      <c r="B5585" s="2" t="s">
        <v>22841</v>
      </c>
      <c r="C5585" s="2" t="s">
        <v>22841</v>
      </c>
      <c r="D5585" s="2" t="s">
        <v>22842</v>
      </c>
      <c r="E5585" s="2" t="s">
        <v>22843</v>
      </c>
      <c r="F5585" s="2" t="b">
        <v>1</v>
      </c>
      <c r="G5585" s="2" t="b">
        <v>0</v>
      </c>
      <c r="H5585" s="2" t="s">
        <v>22844</v>
      </c>
      <c r="I5585" s="2" t="s">
        <v>22</v>
      </c>
      <c r="J5585" s="2" t="s">
        <v>820</v>
      </c>
      <c r="K5585" s="2" t="s">
        <v>495</v>
      </c>
      <c r="L5585" s="13" t="s">
        <v>496</v>
      </c>
      <c r="M5585" s="2" t="s">
        <v>26</v>
      </c>
      <c r="N5585" s="29"/>
      <c r="O5585" s="29"/>
      <c r="P5585" s="5" t="str">
        <f>IFERROR(__xludf.DUMMYFUNCTION("TEXTJOIN("" | "",TRUE,IF(OR(D5585="""",E5585="""",I5585="""",J5585="""",H5585=""""),""ফাঁকা ঘর"",""""),IF(AND(C5585&lt;&gt;"""",D5585&lt;&gt;"""",C5585=D5585),""gloss=figurative"",""""),IF(LEN(D5585)&lt;15,""figurative ছোট"",""""),IF(AND(I5585=""Positive"",REGEXMATCH(H5"&amp;"585,""মূর্খ|ভণ্ড|প্রতার|অলস|লোভ|স্বার্থ|অক্ষম|অযোগ্য|বোকা|কৃপণ|হিংস"")),""valence-target অমিল"",""""),IF(COUNTIF($B:$B,B5585)&gt;1,""ডুপ্লিকেট"",""""))"),"")</f>
        <v/>
      </c>
      <c r="Q5585" s="5" t="str">
        <f t="shared" si="1"/>
        <v>২ পরে</v>
      </c>
    </row>
    <row r="5586">
      <c r="A5586" s="4">
        <v>3456.0</v>
      </c>
      <c r="B5586" s="2" t="s">
        <v>22845</v>
      </c>
      <c r="C5586" s="2" t="s">
        <v>22846</v>
      </c>
      <c r="D5586" s="2" t="s">
        <v>22847</v>
      </c>
      <c r="E5586" s="2" t="s">
        <v>22848</v>
      </c>
      <c r="F5586" s="2" t="b">
        <v>1</v>
      </c>
      <c r="G5586" s="2" t="b">
        <v>1</v>
      </c>
      <c r="H5586" s="2" t="s">
        <v>22849</v>
      </c>
      <c r="I5586" s="2" t="s">
        <v>22</v>
      </c>
      <c r="J5586" s="2" t="s">
        <v>17435</v>
      </c>
      <c r="K5586" s="2" t="s">
        <v>495</v>
      </c>
      <c r="L5586" s="13" t="s">
        <v>496</v>
      </c>
      <c r="M5586" s="2" t="s">
        <v>26</v>
      </c>
      <c r="N5586" s="29"/>
      <c r="O5586" s="29"/>
      <c r="P5586" s="5" t="str">
        <f>IFERROR(__xludf.DUMMYFUNCTION("TEXTJOIN("" | "",TRUE,IF(OR(D5586="""",E5586="""",I5586="""",J5586="""",H5586=""""),""ফাঁকা ঘর"",""""),IF(AND(C5586&lt;&gt;"""",D5586&lt;&gt;"""",C5586=D5586),""gloss=figurative"",""""),IF(LEN(D5586)&lt;15,""figurative ছোট"",""""),IF(AND(I5586=""Positive"",REGEXMATCH(H5"&amp;"586,""মূর্খ|ভণ্ড|প্রতার|অলস|লোভ|স্বার্থ|অক্ষম|অযোগ্য|বোকা|কৃপণ|হিংস"")),""valence-target অমিল"",""""),IF(COUNTIF($B:$B,B5586)&gt;1,""ডুপ্লিকেট"",""""))"),"")</f>
        <v/>
      </c>
      <c r="Q5586" s="5" t="str">
        <f t="shared" si="1"/>
        <v>২ পরে</v>
      </c>
    </row>
    <row r="5587">
      <c r="A5587" s="4">
        <v>3457.0</v>
      </c>
      <c r="B5587" s="2" t="s">
        <v>22850</v>
      </c>
      <c r="C5587" s="2" t="s">
        <v>22851</v>
      </c>
      <c r="D5587" s="2" t="s">
        <v>22852</v>
      </c>
      <c r="E5587" s="2" t="s">
        <v>22853</v>
      </c>
      <c r="F5587" s="2" t="b">
        <v>1</v>
      </c>
      <c r="G5587" s="2" t="b">
        <v>1</v>
      </c>
      <c r="H5587" s="2" t="s">
        <v>19402</v>
      </c>
      <c r="I5587" s="2" t="s">
        <v>22</v>
      </c>
      <c r="J5587" s="2" t="s">
        <v>1315</v>
      </c>
      <c r="K5587" s="2" t="s">
        <v>495</v>
      </c>
      <c r="L5587" s="13" t="s">
        <v>496</v>
      </c>
      <c r="M5587" s="2" t="s">
        <v>26</v>
      </c>
      <c r="N5587" s="29"/>
      <c r="O5587" s="29"/>
      <c r="P5587" s="5" t="str">
        <f>IFERROR(__xludf.DUMMYFUNCTION("TEXTJOIN("" | "",TRUE,IF(OR(D5587="""",E5587="""",I5587="""",J5587="""",H5587=""""),""ফাঁকা ঘর"",""""),IF(AND(C5587&lt;&gt;"""",D5587&lt;&gt;"""",C5587=D5587),""gloss=figurative"",""""),IF(LEN(D5587)&lt;15,""figurative ছোট"",""""),IF(AND(I5587=""Positive"",REGEXMATCH(H5"&amp;"587,""মূর্খ|ভণ্ড|প্রতার|অলস|লোভ|স্বার্থ|অক্ষম|অযোগ্য|বোকা|কৃপণ|হিংস"")),""valence-target অমিল"",""""),IF(COUNTIF($B:$B,B5587)&gt;1,""ডুপ্লিকেট"",""""))"),"")</f>
        <v/>
      </c>
      <c r="Q5587" s="5" t="str">
        <f t="shared" si="1"/>
        <v>২ পরে</v>
      </c>
    </row>
    <row r="5588">
      <c r="A5588" s="4">
        <v>3458.0</v>
      </c>
      <c r="B5588" s="2" t="s">
        <v>22854</v>
      </c>
      <c r="C5588" s="2" t="s">
        <v>22855</v>
      </c>
      <c r="D5588" s="2" t="s">
        <v>22856</v>
      </c>
      <c r="E5588" s="2" t="s">
        <v>20851</v>
      </c>
      <c r="F5588" s="2" t="b">
        <v>1</v>
      </c>
      <c r="G5588" s="2" t="b">
        <v>0</v>
      </c>
      <c r="H5588" s="2" t="s">
        <v>783</v>
      </c>
      <c r="I5588" s="2" t="s">
        <v>22</v>
      </c>
      <c r="J5588" s="2" t="s">
        <v>1471</v>
      </c>
      <c r="K5588" s="2" t="s">
        <v>495</v>
      </c>
      <c r="L5588" s="13" t="s">
        <v>496</v>
      </c>
      <c r="M5588" s="2" t="s">
        <v>26</v>
      </c>
      <c r="N5588" s="29"/>
      <c r="O5588" s="29"/>
      <c r="P5588" s="5" t="str">
        <f>IFERROR(__xludf.DUMMYFUNCTION("TEXTJOIN("" | "",TRUE,IF(OR(D5588="""",E5588="""",I5588="""",J5588="""",H5588=""""),""ফাঁকা ঘর"",""""),IF(AND(C5588&lt;&gt;"""",D5588&lt;&gt;"""",C5588=D5588),""gloss=figurative"",""""),IF(LEN(D5588)&lt;15,""figurative ছোট"",""""),IF(AND(I5588=""Positive"",REGEXMATCH(H5"&amp;"588,""মূর্খ|ভণ্ড|প্রতার|অলস|লোভ|স্বার্থ|অক্ষম|অযোগ্য|বোকা|কৃপণ|হিংস"")),""valence-target অমিল"",""""),IF(COUNTIF($B:$B,B5588)&gt;1,""ডুপ্লিকেট"",""""))"),"")</f>
        <v/>
      </c>
      <c r="Q5588" s="5" t="str">
        <f t="shared" si="1"/>
        <v>২ পরে</v>
      </c>
    </row>
    <row r="5589">
      <c r="A5589" s="4">
        <v>3459.0</v>
      </c>
      <c r="B5589" s="2" t="s">
        <v>22857</v>
      </c>
      <c r="C5589" s="2" t="s">
        <v>22858</v>
      </c>
      <c r="D5589" s="2" t="s">
        <v>22859</v>
      </c>
      <c r="E5589" s="2" t="s">
        <v>22860</v>
      </c>
      <c r="F5589" s="2" t="b">
        <v>1</v>
      </c>
      <c r="G5589" s="2" t="b">
        <v>0</v>
      </c>
      <c r="H5589" s="2" t="s">
        <v>783</v>
      </c>
      <c r="I5589" s="2" t="s">
        <v>32</v>
      </c>
      <c r="J5589" s="2" t="s">
        <v>3105</v>
      </c>
      <c r="K5589" s="2" t="s">
        <v>495</v>
      </c>
      <c r="L5589" s="13" t="s">
        <v>496</v>
      </c>
      <c r="M5589" s="2" t="s">
        <v>26</v>
      </c>
      <c r="N5589" s="29"/>
      <c r="O5589" s="29"/>
      <c r="P5589" s="5" t="str">
        <f>IFERROR(__xludf.DUMMYFUNCTION("TEXTJOIN("" | "",TRUE,IF(OR(D5589="""",E5589="""",I5589="""",J5589="""",H5589=""""),""ফাঁকা ঘর"",""""),IF(AND(C5589&lt;&gt;"""",D5589&lt;&gt;"""",C5589=D5589),""gloss=figurative"",""""),IF(LEN(D5589)&lt;15,""figurative ছোট"",""""),IF(AND(I5589=""Positive"",REGEXMATCH(H5"&amp;"589,""মূর্খ|ভণ্ড|প্রতার|অলস|লোভ|স্বার্থ|অক্ষম|অযোগ্য|বোকা|কৃপণ|হিংস"")),""valence-target অমিল"",""""),IF(COUNTIF($B:$B,B5589)&gt;1,""ডুপ্লিকেট"",""""))"),"")</f>
        <v/>
      </c>
      <c r="Q5589" s="5" t="str">
        <f t="shared" si="1"/>
        <v>২ পরে</v>
      </c>
    </row>
    <row r="5590">
      <c r="A5590" s="4">
        <v>3460.0</v>
      </c>
      <c r="B5590" s="2" t="s">
        <v>22861</v>
      </c>
      <c r="C5590" s="2" t="s">
        <v>22862</v>
      </c>
      <c r="D5590" s="2" t="s">
        <v>22863</v>
      </c>
      <c r="E5590" s="2" t="s">
        <v>22864</v>
      </c>
      <c r="F5590" s="2" t="b">
        <v>1</v>
      </c>
      <c r="G5590" s="2" t="b">
        <v>0</v>
      </c>
      <c r="H5590" s="2" t="s">
        <v>783</v>
      </c>
      <c r="I5590" s="2" t="s">
        <v>32</v>
      </c>
      <c r="J5590" s="2" t="s">
        <v>22865</v>
      </c>
      <c r="K5590" s="2" t="s">
        <v>495</v>
      </c>
      <c r="L5590" s="13" t="s">
        <v>496</v>
      </c>
      <c r="M5590" s="2" t="s">
        <v>26</v>
      </c>
      <c r="N5590" s="29"/>
      <c r="O5590" s="29"/>
      <c r="P5590" s="5" t="str">
        <f>IFERROR(__xludf.DUMMYFUNCTION("TEXTJOIN("" | "",TRUE,IF(OR(D5590="""",E5590="""",I5590="""",J5590="""",H5590=""""),""ফাঁকা ঘর"",""""),IF(AND(C5590&lt;&gt;"""",D5590&lt;&gt;"""",C5590=D5590),""gloss=figurative"",""""),IF(LEN(D5590)&lt;15,""figurative ছোট"",""""),IF(AND(I5590=""Positive"",REGEXMATCH(H5"&amp;"590,""মূর্খ|ভণ্ড|প্রতার|অলস|লোভ|স্বার্থ|অক্ষম|অযোগ্য|বোকা|কৃপণ|হিংস"")),""valence-target অমিল"",""""),IF(COUNTIF($B:$B,B5590)&gt;1,""ডুপ্লিকেট"",""""))"),"")</f>
        <v/>
      </c>
      <c r="Q5590" s="5" t="str">
        <f t="shared" si="1"/>
        <v>২ পরে</v>
      </c>
    </row>
    <row r="5591">
      <c r="A5591" s="4">
        <v>3461.0</v>
      </c>
      <c r="B5591" s="2" t="s">
        <v>22866</v>
      </c>
      <c r="C5591" s="2" t="s">
        <v>22867</v>
      </c>
      <c r="D5591" s="2" t="s">
        <v>22868</v>
      </c>
      <c r="E5591" s="2" t="s">
        <v>22869</v>
      </c>
      <c r="F5591" s="2" t="b">
        <v>1</v>
      </c>
      <c r="G5591" s="2" t="b">
        <v>0</v>
      </c>
      <c r="H5591" s="2" t="s">
        <v>783</v>
      </c>
      <c r="I5591" s="2" t="s">
        <v>32</v>
      </c>
      <c r="J5591" s="2" t="s">
        <v>3506</v>
      </c>
      <c r="K5591" s="2" t="s">
        <v>495</v>
      </c>
      <c r="L5591" s="13" t="s">
        <v>496</v>
      </c>
      <c r="M5591" s="2" t="s">
        <v>26</v>
      </c>
      <c r="N5591" s="29"/>
      <c r="O5591" s="29"/>
      <c r="P5591" s="5" t="str">
        <f>IFERROR(__xludf.DUMMYFUNCTION("TEXTJOIN("" | "",TRUE,IF(OR(D5591="""",E5591="""",I5591="""",J5591="""",H5591=""""),""ফাঁকা ঘর"",""""),IF(AND(C5591&lt;&gt;"""",D5591&lt;&gt;"""",C5591=D5591),""gloss=figurative"",""""),IF(LEN(D5591)&lt;15,""figurative ছোট"",""""),IF(AND(I5591=""Positive"",REGEXMATCH(H5"&amp;"591,""মূর্খ|ভণ্ড|প্রতার|অলস|লোভ|স্বার্থ|অক্ষম|অযোগ্য|বোকা|কৃপণ|হিংস"")),""valence-target অমিল"",""""),IF(COUNTIF($B:$B,B5591)&gt;1,""ডুপ্লিকেট"",""""))"),"")</f>
        <v/>
      </c>
      <c r="Q5591" s="5" t="str">
        <f t="shared" si="1"/>
        <v>২ পরে</v>
      </c>
    </row>
    <row r="5592">
      <c r="A5592" s="4">
        <v>3462.0</v>
      </c>
      <c r="B5592" s="2" t="s">
        <v>22870</v>
      </c>
      <c r="C5592" s="2" t="s">
        <v>22871</v>
      </c>
      <c r="D5592" s="2" t="s">
        <v>22872</v>
      </c>
      <c r="E5592" s="2" t="s">
        <v>22873</v>
      </c>
      <c r="F5592" s="2" t="b">
        <v>1</v>
      </c>
      <c r="G5592" s="2" t="b">
        <v>0</v>
      </c>
      <c r="H5592" s="2" t="s">
        <v>37</v>
      </c>
      <c r="I5592" s="2" t="s">
        <v>32</v>
      </c>
      <c r="J5592" s="2" t="s">
        <v>669</v>
      </c>
      <c r="K5592" s="2" t="s">
        <v>495</v>
      </c>
      <c r="L5592" s="13" t="s">
        <v>496</v>
      </c>
      <c r="M5592" s="2" t="s">
        <v>26</v>
      </c>
      <c r="N5592" s="29"/>
      <c r="O5592" s="29"/>
      <c r="P5592" s="5" t="str">
        <f>IFERROR(__xludf.DUMMYFUNCTION("TEXTJOIN("" | "",TRUE,IF(OR(D5592="""",E5592="""",I5592="""",J5592="""",H5592=""""),""ফাঁকা ঘর"",""""),IF(AND(C5592&lt;&gt;"""",D5592&lt;&gt;"""",C5592=D5592),""gloss=figurative"",""""),IF(LEN(D5592)&lt;15,""figurative ছোট"",""""),IF(AND(I5592=""Positive"",REGEXMATCH(H5"&amp;"592,""মূর্খ|ভণ্ড|প্রতার|অলস|লোভ|স্বার্থ|অক্ষম|অযোগ্য|বোকা|কৃপণ|হিংস"")),""valence-target অমিল"",""""),IF(COUNTIF($B:$B,B5592)&gt;1,""ডুপ্লিকেট"",""""))"),"")</f>
        <v/>
      </c>
      <c r="Q5592" s="5" t="str">
        <f t="shared" si="1"/>
        <v>২ পরে</v>
      </c>
    </row>
    <row r="5593">
      <c r="A5593" s="4">
        <v>3463.0</v>
      </c>
      <c r="B5593" s="2" t="s">
        <v>22874</v>
      </c>
      <c r="C5593" s="2" t="s">
        <v>22875</v>
      </c>
      <c r="D5593" s="2" t="s">
        <v>22876</v>
      </c>
      <c r="E5593" s="2" t="s">
        <v>22877</v>
      </c>
      <c r="F5593" s="2" t="b">
        <v>1</v>
      </c>
      <c r="G5593" s="2" t="b">
        <v>0</v>
      </c>
      <c r="H5593" s="2" t="s">
        <v>37</v>
      </c>
      <c r="I5593" s="2" t="s">
        <v>22</v>
      </c>
      <c r="J5593" s="2" t="s">
        <v>22878</v>
      </c>
      <c r="K5593" s="2" t="s">
        <v>495</v>
      </c>
      <c r="L5593" s="13" t="s">
        <v>496</v>
      </c>
      <c r="M5593" s="2" t="s">
        <v>26</v>
      </c>
      <c r="N5593" s="29"/>
      <c r="O5593" s="29"/>
      <c r="P5593" s="5" t="str">
        <f>IFERROR(__xludf.DUMMYFUNCTION("TEXTJOIN("" | "",TRUE,IF(OR(D5593="""",E5593="""",I5593="""",J5593="""",H5593=""""),""ফাঁকা ঘর"",""""),IF(AND(C5593&lt;&gt;"""",D5593&lt;&gt;"""",C5593=D5593),""gloss=figurative"",""""),IF(LEN(D5593)&lt;15,""figurative ছোট"",""""),IF(AND(I5593=""Positive"",REGEXMATCH(H5"&amp;"593,""মূর্খ|ভণ্ড|প্রতার|অলস|লোভ|স্বার্থ|অক্ষম|অযোগ্য|বোকা|কৃপণ|হিংস"")),""valence-target অমিল"",""""),IF(COUNTIF($B:$B,B5593)&gt;1,""ডুপ্লিকেট"",""""))"),"")</f>
        <v/>
      </c>
      <c r="Q5593" s="5" t="str">
        <f t="shared" si="1"/>
        <v>২ পরে</v>
      </c>
    </row>
    <row r="5594">
      <c r="A5594" s="4">
        <v>3464.0</v>
      </c>
      <c r="B5594" s="2" t="s">
        <v>22879</v>
      </c>
      <c r="C5594" s="2" t="s">
        <v>22880</v>
      </c>
      <c r="D5594" s="2" t="s">
        <v>22881</v>
      </c>
      <c r="E5594" s="2" t="s">
        <v>22882</v>
      </c>
      <c r="F5594" s="2" t="b">
        <v>1</v>
      </c>
      <c r="G5594" s="2" t="b">
        <v>0</v>
      </c>
      <c r="H5594" s="2" t="s">
        <v>37</v>
      </c>
      <c r="I5594" s="2" t="s">
        <v>22</v>
      </c>
      <c r="J5594" s="2" t="s">
        <v>669</v>
      </c>
      <c r="K5594" s="2" t="s">
        <v>495</v>
      </c>
      <c r="L5594" s="13" t="s">
        <v>496</v>
      </c>
      <c r="M5594" s="2" t="s">
        <v>26</v>
      </c>
      <c r="N5594" s="29"/>
      <c r="O5594" s="29"/>
      <c r="P5594" s="5" t="str">
        <f>IFERROR(__xludf.DUMMYFUNCTION("TEXTJOIN("" | "",TRUE,IF(OR(D5594="""",E5594="""",I5594="""",J5594="""",H5594=""""),""ফাঁকা ঘর"",""""),IF(AND(C5594&lt;&gt;"""",D5594&lt;&gt;"""",C5594=D5594),""gloss=figurative"",""""),IF(LEN(D5594)&lt;15,""figurative ছোট"",""""),IF(AND(I5594=""Positive"",REGEXMATCH(H5"&amp;"594,""মূর্খ|ভণ্ড|প্রতার|অলস|লোভ|স্বার্থ|অক্ষম|অযোগ্য|বোকা|কৃপণ|হিংস"")),""valence-target অমিল"",""""),IF(COUNTIF($B:$B,B5594)&gt;1,""ডুপ্লিকেট"",""""))"),"")</f>
        <v/>
      </c>
      <c r="Q5594" s="5" t="str">
        <f t="shared" si="1"/>
        <v>২ পরে</v>
      </c>
    </row>
    <row r="5595">
      <c r="A5595" s="4">
        <v>3465.0</v>
      </c>
      <c r="B5595" s="2" t="s">
        <v>22883</v>
      </c>
      <c r="C5595" s="2" t="s">
        <v>22884</v>
      </c>
      <c r="D5595" s="2" t="s">
        <v>22885</v>
      </c>
      <c r="E5595" s="2" t="s">
        <v>22886</v>
      </c>
      <c r="F5595" s="2" t="b">
        <v>1</v>
      </c>
      <c r="G5595" s="2" t="b">
        <v>0</v>
      </c>
      <c r="H5595" s="2" t="s">
        <v>37</v>
      </c>
      <c r="I5595" s="2" t="s">
        <v>49</v>
      </c>
      <c r="J5595" s="2" t="s">
        <v>1239</v>
      </c>
      <c r="K5595" s="2" t="s">
        <v>495</v>
      </c>
      <c r="L5595" s="13" t="s">
        <v>496</v>
      </c>
      <c r="M5595" s="2" t="s">
        <v>26</v>
      </c>
      <c r="N5595" s="29"/>
      <c r="O5595" s="29"/>
      <c r="P5595" s="5" t="str">
        <f>IFERROR(__xludf.DUMMYFUNCTION("TEXTJOIN("" | "",TRUE,IF(OR(D5595="""",E5595="""",I5595="""",J5595="""",H5595=""""),""ফাঁকা ঘর"",""""),IF(AND(C5595&lt;&gt;"""",D5595&lt;&gt;"""",C5595=D5595),""gloss=figurative"",""""),IF(LEN(D5595)&lt;15,""figurative ছোট"",""""),IF(AND(I5595=""Positive"",REGEXMATCH(H5"&amp;"595,""মূর্খ|ভণ্ড|প্রতার|অলস|লোভ|স্বার্থ|অক্ষম|অযোগ্য|বোকা|কৃপণ|হিংস"")),""valence-target অমিল"",""""),IF(COUNTIF($B:$B,B5595)&gt;1,""ডুপ্লিকেট"",""""))"),"")</f>
        <v/>
      </c>
      <c r="Q5595" s="5" t="str">
        <f t="shared" si="1"/>
        <v>২ পরে</v>
      </c>
    </row>
    <row r="5596">
      <c r="A5596" s="4">
        <v>3466.0</v>
      </c>
      <c r="B5596" s="2" t="s">
        <v>22887</v>
      </c>
      <c r="C5596" s="2" t="s">
        <v>22888</v>
      </c>
      <c r="D5596" s="2" t="s">
        <v>22889</v>
      </c>
      <c r="E5596" s="2" t="s">
        <v>22890</v>
      </c>
      <c r="F5596" s="2" t="b">
        <v>1</v>
      </c>
      <c r="G5596" s="2" t="b">
        <v>0</v>
      </c>
      <c r="H5596" s="2" t="s">
        <v>37</v>
      </c>
      <c r="I5596" s="2" t="s">
        <v>49</v>
      </c>
      <c r="J5596" s="2" t="s">
        <v>1239</v>
      </c>
      <c r="K5596" s="2" t="s">
        <v>495</v>
      </c>
      <c r="L5596" s="13" t="s">
        <v>496</v>
      </c>
      <c r="M5596" s="2" t="s">
        <v>26</v>
      </c>
      <c r="N5596" s="29"/>
      <c r="O5596" s="29"/>
      <c r="P5596" s="5" t="str">
        <f>IFERROR(__xludf.DUMMYFUNCTION("TEXTJOIN("" | "",TRUE,IF(OR(D5596="""",E5596="""",I5596="""",J5596="""",H5596=""""),""ফাঁকা ঘর"",""""),IF(AND(C5596&lt;&gt;"""",D5596&lt;&gt;"""",C5596=D5596),""gloss=figurative"",""""),IF(LEN(D5596)&lt;15,""figurative ছোট"",""""),IF(AND(I5596=""Positive"",REGEXMATCH(H5"&amp;"596,""মূর্খ|ভণ্ড|প্রতার|অলস|লোভ|স্বার্থ|অক্ষম|অযোগ্য|বোকা|কৃপণ|হিংস"")),""valence-target অমিল"",""""),IF(COUNTIF($B:$B,B5596)&gt;1,""ডুপ্লিকেট"",""""))"),"")</f>
        <v/>
      </c>
      <c r="Q5596" s="5" t="str">
        <f t="shared" si="1"/>
        <v>২ পরে</v>
      </c>
    </row>
    <row r="5597">
      <c r="A5597" s="4">
        <v>3467.0</v>
      </c>
      <c r="B5597" s="2" t="s">
        <v>22891</v>
      </c>
      <c r="C5597" s="2" t="s">
        <v>22892</v>
      </c>
      <c r="D5597" s="2" t="s">
        <v>22893</v>
      </c>
      <c r="E5597" s="2" t="s">
        <v>22894</v>
      </c>
      <c r="F5597" s="2" t="b">
        <v>1</v>
      </c>
      <c r="G5597" s="2" t="b">
        <v>1</v>
      </c>
      <c r="H5597" s="2" t="s">
        <v>22895</v>
      </c>
      <c r="I5597" s="2" t="s">
        <v>22</v>
      </c>
      <c r="J5597" s="2" t="s">
        <v>22896</v>
      </c>
      <c r="K5597" s="2" t="s">
        <v>495</v>
      </c>
      <c r="L5597" s="13" t="s">
        <v>496</v>
      </c>
      <c r="M5597" s="2" t="s">
        <v>26</v>
      </c>
      <c r="N5597" s="29"/>
      <c r="O5597" s="29"/>
      <c r="P5597" s="5" t="str">
        <f>IFERROR(__xludf.DUMMYFUNCTION("TEXTJOIN("" | "",TRUE,IF(OR(D5597="""",E5597="""",I5597="""",J5597="""",H5597=""""),""ফাঁকা ঘর"",""""),IF(AND(C5597&lt;&gt;"""",D5597&lt;&gt;"""",C5597=D5597),""gloss=figurative"",""""),IF(LEN(D5597)&lt;15,""figurative ছোট"",""""),IF(AND(I5597=""Positive"",REGEXMATCH(H5"&amp;"597,""মূর্খ|ভণ্ড|প্রতার|অলস|লোভ|স্বার্থ|অক্ষম|অযোগ্য|বোকা|কৃপণ|হিংস"")),""valence-target অমিল"",""""),IF(COUNTIF($B:$B,B5597)&gt;1,""ডুপ্লিকেট"",""""))"),"")</f>
        <v/>
      </c>
      <c r="Q5597" s="5" t="str">
        <f t="shared" si="1"/>
        <v>২ পরে</v>
      </c>
    </row>
    <row r="5598">
      <c r="A5598" s="4">
        <v>3468.0</v>
      </c>
      <c r="B5598" s="2" t="s">
        <v>22897</v>
      </c>
      <c r="C5598" s="2" t="s">
        <v>22898</v>
      </c>
      <c r="D5598" s="2" t="s">
        <v>22899</v>
      </c>
      <c r="E5598" s="2" t="s">
        <v>22900</v>
      </c>
      <c r="F5598" s="2" t="b">
        <v>1</v>
      </c>
      <c r="G5598" s="2" t="b">
        <v>0</v>
      </c>
      <c r="H5598" s="2" t="s">
        <v>22901</v>
      </c>
      <c r="I5598" s="2" t="s">
        <v>22</v>
      </c>
      <c r="J5598" s="2" t="s">
        <v>528</v>
      </c>
      <c r="K5598" s="2" t="s">
        <v>495</v>
      </c>
      <c r="L5598" s="13" t="s">
        <v>496</v>
      </c>
      <c r="M5598" s="2" t="s">
        <v>26</v>
      </c>
      <c r="N5598" s="29"/>
      <c r="O5598" s="29"/>
      <c r="P5598" s="5" t="str">
        <f>IFERROR(__xludf.DUMMYFUNCTION("TEXTJOIN("" | "",TRUE,IF(OR(D5598="""",E5598="""",I5598="""",J5598="""",H5598=""""),""ফাঁকা ঘর"",""""),IF(AND(C5598&lt;&gt;"""",D5598&lt;&gt;"""",C5598=D5598),""gloss=figurative"",""""),IF(LEN(D5598)&lt;15,""figurative ছোট"",""""),IF(AND(I5598=""Positive"",REGEXMATCH(H5"&amp;"598,""মূর্খ|ভণ্ড|প্রতার|অলস|লোভ|স্বার্থ|অক্ষম|অযোগ্য|বোকা|কৃপণ|হিংস"")),""valence-target অমিল"",""""),IF(COUNTIF($B:$B,B5598)&gt;1,""ডুপ্লিকেট"",""""))"),"")</f>
        <v/>
      </c>
      <c r="Q5598" s="5" t="str">
        <f t="shared" si="1"/>
        <v>২ পরে</v>
      </c>
    </row>
    <row r="5599">
      <c r="A5599" s="4">
        <v>3469.0</v>
      </c>
      <c r="B5599" s="2" t="s">
        <v>22902</v>
      </c>
      <c r="C5599" s="2" t="s">
        <v>22903</v>
      </c>
      <c r="D5599" s="2" t="s">
        <v>22904</v>
      </c>
      <c r="E5599" s="2" t="s">
        <v>22905</v>
      </c>
      <c r="F5599" s="2" t="b">
        <v>1</v>
      </c>
      <c r="G5599" s="2" t="b">
        <v>0</v>
      </c>
      <c r="H5599" s="2" t="s">
        <v>22302</v>
      </c>
      <c r="I5599" s="2" t="s">
        <v>22</v>
      </c>
      <c r="J5599" s="2" t="s">
        <v>820</v>
      </c>
      <c r="K5599" s="2" t="s">
        <v>495</v>
      </c>
      <c r="L5599" s="13" t="s">
        <v>496</v>
      </c>
      <c r="M5599" s="2" t="s">
        <v>26</v>
      </c>
      <c r="N5599" s="29"/>
      <c r="O5599" s="29"/>
      <c r="P5599" s="5" t="str">
        <f>IFERROR(__xludf.DUMMYFUNCTION("TEXTJOIN("" | "",TRUE,IF(OR(D5599="""",E5599="""",I5599="""",J5599="""",H5599=""""),""ফাঁকা ঘর"",""""),IF(AND(C5599&lt;&gt;"""",D5599&lt;&gt;"""",C5599=D5599),""gloss=figurative"",""""),IF(LEN(D5599)&lt;15,""figurative ছোট"",""""),IF(AND(I5599=""Positive"",REGEXMATCH(H5"&amp;"599,""মূর্খ|ভণ্ড|প্রতার|অলস|লোভ|স্বার্থ|অক্ষম|অযোগ্য|বোকা|কৃপণ|হিংস"")),""valence-target অমিল"",""""),IF(COUNTIF($B:$B,B5599)&gt;1,""ডুপ্লিকেট"",""""))"),"")</f>
        <v/>
      </c>
      <c r="Q5599" s="5" t="str">
        <f t="shared" si="1"/>
        <v>২ পরে</v>
      </c>
    </row>
    <row r="5600">
      <c r="A5600" s="4">
        <v>3470.0</v>
      </c>
      <c r="B5600" s="2" t="s">
        <v>22906</v>
      </c>
      <c r="C5600" s="2" t="s">
        <v>22907</v>
      </c>
      <c r="D5600" s="2" t="s">
        <v>22908</v>
      </c>
      <c r="E5600" s="2" t="s">
        <v>22909</v>
      </c>
      <c r="F5600" s="2" t="b">
        <v>1</v>
      </c>
      <c r="G5600" s="2" t="b">
        <v>0</v>
      </c>
      <c r="H5600" s="2" t="s">
        <v>2243</v>
      </c>
      <c r="I5600" s="2" t="s">
        <v>22</v>
      </c>
      <c r="J5600" s="2" t="s">
        <v>528</v>
      </c>
      <c r="K5600" s="2" t="s">
        <v>495</v>
      </c>
      <c r="L5600" s="13" t="s">
        <v>496</v>
      </c>
      <c r="M5600" s="2" t="s">
        <v>26</v>
      </c>
      <c r="N5600" s="29"/>
      <c r="O5600" s="29"/>
      <c r="P5600" s="5" t="str">
        <f>IFERROR(__xludf.DUMMYFUNCTION("TEXTJOIN("" | "",TRUE,IF(OR(D5600="""",E5600="""",I5600="""",J5600="""",H5600=""""),""ফাঁকা ঘর"",""""),IF(AND(C5600&lt;&gt;"""",D5600&lt;&gt;"""",C5600=D5600),""gloss=figurative"",""""),IF(LEN(D5600)&lt;15,""figurative ছোট"",""""),IF(AND(I5600=""Positive"",REGEXMATCH(H5"&amp;"600,""মূর্খ|ভণ্ড|প্রতার|অলস|লোভ|স্বার্থ|অক্ষম|অযোগ্য|বোকা|কৃপণ|হিংস"")),""valence-target অমিল"",""""),IF(COUNTIF($B:$B,B5600)&gt;1,""ডুপ্লিকেট"",""""))"),"")</f>
        <v/>
      </c>
      <c r="Q5600" s="5" t="str">
        <f t="shared" si="1"/>
        <v>২ পরে</v>
      </c>
    </row>
    <row r="5601">
      <c r="A5601" s="4">
        <v>3471.0</v>
      </c>
      <c r="B5601" s="2" t="s">
        <v>22910</v>
      </c>
      <c r="C5601" s="2" t="s">
        <v>22911</v>
      </c>
      <c r="D5601" s="2" t="s">
        <v>22912</v>
      </c>
      <c r="E5601" s="2" t="s">
        <v>22913</v>
      </c>
      <c r="F5601" s="2" t="b">
        <v>1</v>
      </c>
      <c r="G5601" s="2" t="b">
        <v>0</v>
      </c>
      <c r="H5601" s="2" t="s">
        <v>37</v>
      </c>
      <c r="I5601" s="2" t="s">
        <v>32</v>
      </c>
      <c r="J5601" s="2" t="s">
        <v>5820</v>
      </c>
      <c r="K5601" s="2" t="s">
        <v>495</v>
      </c>
      <c r="L5601" s="13" t="s">
        <v>496</v>
      </c>
      <c r="M5601" s="2" t="s">
        <v>26</v>
      </c>
      <c r="N5601" s="29"/>
      <c r="O5601" s="29"/>
      <c r="P5601" s="5" t="str">
        <f>IFERROR(__xludf.DUMMYFUNCTION("TEXTJOIN("" | "",TRUE,IF(OR(D5601="""",E5601="""",I5601="""",J5601="""",H5601=""""),""ফাঁকা ঘর"",""""),IF(AND(C5601&lt;&gt;"""",D5601&lt;&gt;"""",C5601=D5601),""gloss=figurative"",""""),IF(LEN(D5601)&lt;15,""figurative ছোট"",""""),IF(AND(I5601=""Positive"",REGEXMATCH(H5"&amp;"601,""মূর্খ|ভণ্ড|প্রতার|অলস|লোভ|স্বার্থ|অক্ষম|অযোগ্য|বোকা|কৃপণ|হিংস"")),""valence-target অমিল"",""""),IF(COUNTIF($B:$B,B5601)&gt;1,""ডুপ্লিকেট"",""""))"),"")</f>
        <v/>
      </c>
      <c r="Q5601" s="5" t="str">
        <f t="shared" si="1"/>
        <v>২ পরে</v>
      </c>
    </row>
    <row r="5602">
      <c r="A5602" s="4">
        <v>3472.0</v>
      </c>
      <c r="B5602" s="2" t="s">
        <v>22914</v>
      </c>
      <c r="C5602" s="2" t="s">
        <v>22915</v>
      </c>
      <c r="D5602" s="2" t="s">
        <v>22916</v>
      </c>
      <c r="E5602" s="2" t="s">
        <v>22917</v>
      </c>
      <c r="F5602" s="2" t="b">
        <v>1</v>
      </c>
      <c r="G5602" s="2" t="b">
        <v>0</v>
      </c>
      <c r="H5602" s="2" t="s">
        <v>37</v>
      </c>
      <c r="I5602" s="2" t="s">
        <v>32</v>
      </c>
      <c r="J5602" s="2" t="s">
        <v>43</v>
      </c>
      <c r="K5602" s="2" t="s">
        <v>495</v>
      </c>
      <c r="L5602" s="13" t="s">
        <v>496</v>
      </c>
      <c r="M5602" s="2" t="s">
        <v>26</v>
      </c>
      <c r="N5602" s="29"/>
      <c r="O5602" s="29"/>
      <c r="P5602" s="5" t="str">
        <f>IFERROR(__xludf.DUMMYFUNCTION("TEXTJOIN("" | "",TRUE,IF(OR(D5602="""",E5602="""",I5602="""",J5602="""",H5602=""""),""ফাঁকা ঘর"",""""),IF(AND(C5602&lt;&gt;"""",D5602&lt;&gt;"""",C5602=D5602),""gloss=figurative"",""""),IF(LEN(D5602)&lt;15,""figurative ছোট"",""""),IF(AND(I5602=""Positive"",REGEXMATCH(H5"&amp;"602,""মূর্খ|ভণ্ড|প্রতার|অলস|লোভ|স্বার্থ|অক্ষম|অযোগ্য|বোকা|কৃপণ|হিংস"")),""valence-target অমিল"",""""),IF(COUNTIF($B:$B,B5602)&gt;1,""ডুপ্লিকেট"",""""))"),"")</f>
        <v/>
      </c>
      <c r="Q5602" s="5" t="str">
        <f t="shared" si="1"/>
        <v>২ পরে</v>
      </c>
    </row>
    <row r="5603">
      <c r="A5603" s="4">
        <v>3473.0</v>
      </c>
      <c r="B5603" s="2" t="s">
        <v>22918</v>
      </c>
      <c r="C5603" s="2" t="s">
        <v>22919</v>
      </c>
      <c r="D5603" s="2" t="s">
        <v>22920</v>
      </c>
      <c r="E5603" s="2" t="s">
        <v>22921</v>
      </c>
      <c r="F5603" s="2" t="b">
        <v>1</v>
      </c>
      <c r="G5603" s="2" t="b">
        <v>0</v>
      </c>
      <c r="H5603" s="2" t="s">
        <v>11604</v>
      </c>
      <c r="I5603" s="2" t="s">
        <v>22</v>
      </c>
      <c r="J5603" s="2" t="s">
        <v>43</v>
      </c>
      <c r="K5603" s="2" t="s">
        <v>495</v>
      </c>
      <c r="L5603" s="13" t="s">
        <v>496</v>
      </c>
      <c r="M5603" s="2" t="s">
        <v>26</v>
      </c>
      <c r="N5603" s="29"/>
      <c r="O5603" s="29"/>
      <c r="P5603" s="5" t="str">
        <f>IFERROR(__xludf.DUMMYFUNCTION("TEXTJOIN("" | "",TRUE,IF(OR(D5603="""",E5603="""",I5603="""",J5603="""",H5603=""""),""ফাঁকা ঘর"",""""),IF(AND(C5603&lt;&gt;"""",D5603&lt;&gt;"""",C5603=D5603),""gloss=figurative"",""""),IF(LEN(D5603)&lt;15,""figurative ছোট"",""""),IF(AND(I5603=""Positive"",REGEXMATCH(H5"&amp;"603,""মূর্খ|ভণ্ড|প্রতার|অলস|লোভ|স্বার্থ|অক্ষম|অযোগ্য|বোকা|কৃপণ|হিংস"")),""valence-target অমিল"",""""),IF(COUNTIF($B:$B,B5603)&gt;1,""ডুপ্লিকেট"",""""))"),"")</f>
        <v/>
      </c>
      <c r="Q5603" s="5" t="str">
        <f t="shared" si="1"/>
        <v>২ পরে</v>
      </c>
    </row>
    <row r="5604">
      <c r="A5604" s="4">
        <v>3474.0</v>
      </c>
      <c r="B5604" s="2" t="s">
        <v>22922</v>
      </c>
      <c r="C5604" s="2" t="s">
        <v>22922</v>
      </c>
      <c r="D5604" s="2" t="s">
        <v>22923</v>
      </c>
      <c r="E5604" s="2" t="s">
        <v>22924</v>
      </c>
      <c r="F5604" s="2" t="b">
        <v>1</v>
      </c>
      <c r="G5604" s="2" t="b">
        <v>0</v>
      </c>
      <c r="H5604" s="2" t="s">
        <v>4349</v>
      </c>
      <c r="I5604" s="2" t="s">
        <v>22</v>
      </c>
      <c r="J5604" s="2" t="s">
        <v>43</v>
      </c>
      <c r="K5604" s="2" t="s">
        <v>495</v>
      </c>
      <c r="L5604" s="13" t="s">
        <v>496</v>
      </c>
      <c r="M5604" s="2" t="s">
        <v>26</v>
      </c>
      <c r="N5604" s="29"/>
      <c r="O5604" s="29"/>
      <c r="P5604" s="5" t="str">
        <f>IFERROR(__xludf.DUMMYFUNCTION("TEXTJOIN("" | "",TRUE,IF(OR(D5604="""",E5604="""",I5604="""",J5604="""",H5604=""""),""ফাঁকা ঘর"",""""),IF(AND(C5604&lt;&gt;"""",D5604&lt;&gt;"""",C5604=D5604),""gloss=figurative"",""""),IF(LEN(D5604)&lt;15,""figurative ছোট"",""""),IF(AND(I5604=""Positive"",REGEXMATCH(H5"&amp;"604,""মূর্খ|ভণ্ড|প্রতার|অলস|লোভ|স্বার্থ|অক্ষম|অযোগ্য|বোকা|কৃপণ|হিংস"")),""valence-target অমিল"",""""),IF(COUNTIF($B:$B,B5604)&gt;1,""ডুপ্লিকেট"",""""))"),"")</f>
        <v/>
      </c>
      <c r="Q5604" s="5" t="str">
        <f t="shared" si="1"/>
        <v>২ পরে</v>
      </c>
    </row>
    <row r="5605">
      <c r="A5605" s="4">
        <v>3475.0</v>
      </c>
      <c r="B5605" s="2" t="s">
        <v>22925</v>
      </c>
      <c r="C5605" s="2" t="s">
        <v>22925</v>
      </c>
      <c r="D5605" s="2" t="s">
        <v>22926</v>
      </c>
      <c r="E5605" s="2" t="s">
        <v>22927</v>
      </c>
      <c r="F5605" s="2" t="b">
        <v>1</v>
      </c>
      <c r="G5605" s="2" t="b">
        <v>0</v>
      </c>
      <c r="H5605" s="2" t="s">
        <v>37</v>
      </c>
      <c r="I5605" s="2" t="s">
        <v>32</v>
      </c>
      <c r="J5605" s="2" t="s">
        <v>2732</v>
      </c>
      <c r="K5605" s="2" t="s">
        <v>495</v>
      </c>
      <c r="L5605" s="13" t="s">
        <v>496</v>
      </c>
      <c r="M5605" s="2" t="s">
        <v>26</v>
      </c>
      <c r="N5605" s="29"/>
      <c r="O5605" s="29"/>
      <c r="P5605" s="5" t="str">
        <f>IFERROR(__xludf.DUMMYFUNCTION("TEXTJOIN("" | "",TRUE,IF(OR(D5605="""",E5605="""",I5605="""",J5605="""",H5605=""""),""ফাঁকা ঘর"",""""),IF(AND(C5605&lt;&gt;"""",D5605&lt;&gt;"""",C5605=D5605),""gloss=figurative"",""""),IF(LEN(D5605)&lt;15,""figurative ছোট"",""""),IF(AND(I5605=""Positive"",REGEXMATCH(H5"&amp;"605,""মূর্খ|ভণ্ড|প্রতার|অলস|লোভ|স্বার্থ|অক্ষম|অযোগ্য|বোকা|কৃপণ|হিংস"")),""valence-target অমিল"",""""),IF(COUNTIF($B:$B,B5605)&gt;1,""ডুপ্লিকেট"",""""))"),"")</f>
        <v/>
      </c>
      <c r="Q5605" s="5" t="str">
        <f t="shared" si="1"/>
        <v>২ পরে</v>
      </c>
    </row>
    <row r="5606">
      <c r="A5606" s="4">
        <v>3476.0</v>
      </c>
      <c r="B5606" s="2" t="s">
        <v>22928</v>
      </c>
      <c r="C5606" s="2" t="s">
        <v>22929</v>
      </c>
      <c r="D5606" s="2" t="s">
        <v>22930</v>
      </c>
      <c r="E5606" s="2" t="s">
        <v>22931</v>
      </c>
      <c r="F5606" s="2" t="b">
        <v>1</v>
      </c>
      <c r="G5606" s="2" t="b">
        <v>0</v>
      </c>
      <c r="H5606" s="2" t="s">
        <v>22932</v>
      </c>
      <c r="I5606" s="2" t="s">
        <v>22</v>
      </c>
      <c r="J5606" s="2" t="s">
        <v>1630</v>
      </c>
      <c r="K5606" s="2" t="s">
        <v>495</v>
      </c>
      <c r="L5606" s="13" t="s">
        <v>496</v>
      </c>
      <c r="M5606" s="2" t="s">
        <v>26</v>
      </c>
      <c r="N5606" s="29"/>
      <c r="O5606" s="29"/>
      <c r="P5606" s="5" t="str">
        <f>IFERROR(__xludf.DUMMYFUNCTION("TEXTJOIN("" | "",TRUE,IF(OR(D5606="""",E5606="""",I5606="""",J5606="""",H5606=""""),""ফাঁকা ঘর"",""""),IF(AND(C5606&lt;&gt;"""",D5606&lt;&gt;"""",C5606=D5606),""gloss=figurative"",""""),IF(LEN(D5606)&lt;15,""figurative ছোট"",""""),IF(AND(I5606=""Positive"",REGEXMATCH(H5"&amp;"606,""মূর্খ|ভণ্ড|প্রতার|অলস|লোভ|স্বার্থ|অক্ষম|অযোগ্য|বোকা|কৃপণ|হিংস"")),""valence-target অমিল"",""""),IF(COUNTIF($B:$B,B5606)&gt;1,""ডুপ্লিকেট"",""""))"),"")</f>
        <v/>
      </c>
      <c r="Q5606" s="5" t="str">
        <f t="shared" si="1"/>
        <v>২ পরে</v>
      </c>
    </row>
    <row r="5607">
      <c r="A5607" s="4">
        <v>3477.0</v>
      </c>
      <c r="B5607" s="2" t="s">
        <v>22933</v>
      </c>
      <c r="C5607" s="2" t="s">
        <v>22933</v>
      </c>
      <c r="D5607" s="2" t="s">
        <v>22934</v>
      </c>
      <c r="E5607" s="2" t="s">
        <v>22935</v>
      </c>
      <c r="F5607" s="2" t="b">
        <v>1</v>
      </c>
      <c r="G5607" s="2" t="b">
        <v>0</v>
      </c>
      <c r="H5607" s="2" t="s">
        <v>37</v>
      </c>
      <c r="I5607" s="2" t="s">
        <v>32</v>
      </c>
      <c r="J5607" s="2" t="s">
        <v>340</v>
      </c>
      <c r="K5607" s="2" t="s">
        <v>495</v>
      </c>
      <c r="L5607" s="13" t="s">
        <v>496</v>
      </c>
      <c r="M5607" s="2" t="s">
        <v>26</v>
      </c>
      <c r="N5607" s="29"/>
      <c r="O5607" s="29"/>
      <c r="P5607" s="5" t="str">
        <f>IFERROR(__xludf.DUMMYFUNCTION("TEXTJOIN("" | "",TRUE,IF(OR(D5607="""",E5607="""",I5607="""",J5607="""",H5607=""""),""ফাঁকা ঘর"",""""),IF(AND(C5607&lt;&gt;"""",D5607&lt;&gt;"""",C5607=D5607),""gloss=figurative"",""""),IF(LEN(D5607)&lt;15,""figurative ছোট"",""""),IF(AND(I5607=""Positive"",REGEXMATCH(H5"&amp;"607,""মূর্খ|ভণ্ড|প্রতার|অলস|লোভ|স্বার্থ|অক্ষম|অযোগ্য|বোকা|কৃপণ|হিংস"")),""valence-target অমিল"",""""),IF(COUNTIF($B:$B,B5607)&gt;1,""ডুপ্লিকেট"",""""))"),"")</f>
        <v/>
      </c>
      <c r="Q5607" s="5" t="str">
        <f t="shared" si="1"/>
        <v>২ পরে</v>
      </c>
    </row>
    <row r="5608">
      <c r="A5608" s="4">
        <v>3478.0</v>
      </c>
      <c r="B5608" s="2" t="s">
        <v>22936</v>
      </c>
      <c r="C5608" s="2" t="s">
        <v>22937</v>
      </c>
      <c r="D5608" s="2" t="s">
        <v>22938</v>
      </c>
      <c r="E5608" s="2" t="s">
        <v>22939</v>
      </c>
      <c r="F5608" s="2" t="b">
        <v>1</v>
      </c>
      <c r="G5608" s="2" t="b">
        <v>0</v>
      </c>
      <c r="H5608" s="2" t="s">
        <v>22940</v>
      </c>
      <c r="I5608" s="2" t="s">
        <v>22</v>
      </c>
      <c r="J5608" s="2" t="s">
        <v>750</v>
      </c>
      <c r="K5608" s="2" t="s">
        <v>495</v>
      </c>
      <c r="L5608" s="13" t="s">
        <v>496</v>
      </c>
      <c r="M5608" s="2" t="s">
        <v>26</v>
      </c>
      <c r="N5608" s="29"/>
      <c r="O5608" s="29"/>
      <c r="P5608" s="5" t="str">
        <f>IFERROR(__xludf.DUMMYFUNCTION("TEXTJOIN("" | "",TRUE,IF(OR(D5608="""",E5608="""",I5608="""",J5608="""",H5608=""""),""ফাঁকা ঘর"",""""),IF(AND(C5608&lt;&gt;"""",D5608&lt;&gt;"""",C5608=D5608),""gloss=figurative"",""""),IF(LEN(D5608)&lt;15,""figurative ছোট"",""""),IF(AND(I5608=""Positive"",REGEXMATCH(H5"&amp;"608,""মূর্খ|ভণ্ড|প্রতার|অলস|লোভ|স্বার্থ|অক্ষম|অযোগ্য|বোকা|কৃপণ|হিংস"")),""valence-target অমিল"",""""),IF(COUNTIF($B:$B,B5608)&gt;1,""ডুপ্লিকেট"",""""))"),"")</f>
        <v/>
      </c>
      <c r="Q5608" s="5" t="str">
        <f t="shared" si="1"/>
        <v>২ পরে</v>
      </c>
    </row>
    <row r="5609">
      <c r="A5609" s="4">
        <v>3479.0</v>
      </c>
      <c r="B5609" s="2" t="s">
        <v>22941</v>
      </c>
      <c r="C5609" s="2" t="s">
        <v>22942</v>
      </c>
      <c r="D5609" s="2" t="s">
        <v>22943</v>
      </c>
      <c r="E5609" s="2" t="s">
        <v>22944</v>
      </c>
      <c r="F5609" s="2" t="b">
        <v>1</v>
      </c>
      <c r="G5609" s="2" t="b">
        <v>0</v>
      </c>
      <c r="H5609" s="2" t="s">
        <v>756</v>
      </c>
      <c r="I5609" s="2" t="s">
        <v>22</v>
      </c>
      <c r="J5609" s="2" t="s">
        <v>2732</v>
      </c>
      <c r="K5609" s="2" t="s">
        <v>495</v>
      </c>
      <c r="L5609" s="13" t="s">
        <v>496</v>
      </c>
      <c r="M5609" s="2" t="s">
        <v>26</v>
      </c>
      <c r="N5609" s="29"/>
      <c r="O5609" s="29"/>
      <c r="P5609" s="5" t="str">
        <f>IFERROR(__xludf.DUMMYFUNCTION("TEXTJOIN("" | "",TRUE,IF(OR(D5609="""",E5609="""",I5609="""",J5609="""",H5609=""""),""ফাঁকা ঘর"",""""),IF(AND(C5609&lt;&gt;"""",D5609&lt;&gt;"""",C5609=D5609),""gloss=figurative"",""""),IF(LEN(D5609)&lt;15,""figurative ছোট"",""""),IF(AND(I5609=""Positive"",REGEXMATCH(H5"&amp;"609,""মূর্খ|ভণ্ড|প্রতার|অলস|লোভ|স্বার্থ|অক্ষম|অযোগ্য|বোকা|কৃপণ|হিংস"")),""valence-target অমিল"",""""),IF(COUNTIF($B:$B,B5609)&gt;1,""ডুপ্লিকেট"",""""))"),"")</f>
        <v/>
      </c>
      <c r="Q5609" s="5" t="str">
        <f t="shared" si="1"/>
        <v>২ পরে</v>
      </c>
    </row>
    <row r="5610">
      <c r="A5610" s="4">
        <v>3480.0</v>
      </c>
      <c r="B5610" s="2" t="s">
        <v>22945</v>
      </c>
      <c r="C5610" s="2" t="s">
        <v>22946</v>
      </c>
      <c r="D5610" s="2" t="s">
        <v>22947</v>
      </c>
      <c r="E5610" s="2" t="s">
        <v>22948</v>
      </c>
      <c r="F5610" s="2" t="b">
        <v>1</v>
      </c>
      <c r="G5610" s="2" t="b">
        <v>0</v>
      </c>
      <c r="H5610" s="2" t="s">
        <v>37</v>
      </c>
      <c r="I5610" s="2" t="s">
        <v>22</v>
      </c>
      <c r="J5610" s="2" t="s">
        <v>19315</v>
      </c>
      <c r="K5610" s="2" t="s">
        <v>495</v>
      </c>
      <c r="L5610" s="13" t="s">
        <v>496</v>
      </c>
      <c r="M5610" s="2" t="s">
        <v>26</v>
      </c>
      <c r="N5610" s="29"/>
      <c r="O5610" s="29"/>
      <c r="P5610" s="5" t="str">
        <f>IFERROR(__xludf.DUMMYFUNCTION("TEXTJOIN("" | "",TRUE,IF(OR(D5610="""",E5610="""",I5610="""",J5610="""",H5610=""""),""ফাঁকা ঘর"",""""),IF(AND(C5610&lt;&gt;"""",D5610&lt;&gt;"""",C5610=D5610),""gloss=figurative"",""""),IF(LEN(D5610)&lt;15,""figurative ছোট"",""""),IF(AND(I5610=""Positive"",REGEXMATCH(H5"&amp;"610,""মূর্খ|ভণ্ড|প্রতার|অলস|লোভ|স্বার্থ|অক্ষম|অযোগ্য|বোকা|কৃপণ|হিংস"")),""valence-target অমিল"",""""),IF(COUNTIF($B:$B,B5610)&gt;1,""ডুপ্লিকেট"",""""))"),"")</f>
        <v/>
      </c>
      <c r="Q5610" s="5" t="str">
        <f t="shared" si="1"/>
        <v>২ পরে</v>
      </c>
    </row>
    <row r="5611">
      <c r="A5611" s="4">
        <v>3481.0</v>
      </c>
      <c r="B5611" s="2" t="s">
        <v>22949</v>
      </c>
      <c r="C5611" s="2" t="s">
        <v>22950</v>
      </c>
      <c r="D5611" s="2" t="s">
        <v>22951</v>
      </c>
      <c r="E5611" s="2" t="s">
        <v>22952</v>
      </c>
      <c r="F5611" s="2" t="b">
        <v>1</v>
      </c>
      <c r="G5611" s="2" t="b">
        <v>0</v>
      </c>
      <c r="H5611" s="2" t="s">
        <v>16157</v>
      </c>
      <c r="I5611" s="2" t="s">
        <v>22</v>
      </c>
      <c r="J5611" s="2" t="s">
        <v>669</v>
      </c>
      <c r="K5611" s="2" t="s">
        <v>495</v>
      </c>
      <c r="L5611" s="13" t="s">
        <v>496</v>
      </c>
      <c r="M5611" s="2" t="s">
        <v>26</v>
      </c>
      <c r="N5611" s="29"/>
      <c r="O5611" s="29"/>
      <c r="P5611" s="5" t="str">
        <f>IFERROR(__xludf.DUMMYFUNCTION("TEXTJOIN("" | "",TRUE,IF(OR(D5611="""",E5611="""",I5611="""",J5611="""",H5611=""""),""ফাঁকা ঘর"",""""),IF(AND(C5611&lt;&gt;"""",D5611&lt;&gt;"""",C5611=D5611),""gloss=figurative"",""""),IF(LEN(D5611)&lt;15,""figurative ছোট"",""""),IF(AND(I5611=""Positive"",REGEXMATCH(H5"&amp;"611,""মূর্খ|ভণ্ড|প্রতার|অলস|লোভ|স্বার্থ|অক্ষম|অযোগ্য|বোকা|কৃপণ|হিংস"")),""valence-target অমিল"",""""),IF(COUNTIF($B:$B,B5611)&gt;1,""ডুপ্লিকেট"",""""))"),"")</f>
        <v/>
      </c>
      <c r="Q5611" s="5" t="str">
        <f t="shared" si="1"/>
        <v>২ পরে</v>
      </c>
    </row>
    <row r="5612">
      <c r="A5612" s="4">
        <v>3482.0</v>
      </c>
      <c r="B5612" s="2" t="s">
        <v>22953</v>
      </c>
      <c r="C5612" s="2" t="s">
        <v>22954</v>
      </c>
      <c r="D5612" s="2" t="s">
        <v>22955</v>
      </c>
      <c r="E5612" s="2" t="s">
        <v>22956</v>
      </c>
      <c r="F5612" s="2" t="b">
        <v>1</v>
      </c>
      <c r="G5612" s="2" t="b">
        <v>0</v>
      </c>
      <c r="H5612" s="2" t="s">
        <v>37</v>
      </c>
      <c r="I5612" s="2" t="s">
        <v>32</v>
      </c>
      <c r="J5612" s="2" t="s">
        <v>1244</v>
      </c>
      <c r="K5612" s="2" t="s">
        <v>495</v>
      </c>
      <c r="L5612" s="13" t="s">
        <v>496</v>
      </c>
      <c r="M5612" s="2" t="s">
        <v>26</v>
      </c>
      <c r="N5612" s="29"/>
      <c r="O5612" s="29"/>
      <c r="P5612" s="5" t="str">
        <f>IFERROR(__xludf.DUMMYFUNCTION("TEXTJOIN("" | "",TRUE,IF(OR(D5612="""",E5612="""",I5612="""",J5612="""",H5612=""""),""ফাঁকা ঘর"",""""),IF(AND(C5612&lt;&gt;"""",D5612&lt;&gt;"""",C5612=D5612),""gloss=figurative"",""""),IF(LEN(D5612)&lt;15,""figurative ছোট"",""""),IF(AND(I5612=""Positive"",REGEXMATCH(H5"&amp;"612,""মূর্খ|ভণ্ড|প্রতার|অলস|লোভ|স্বার্থ|অক্ষম|অযোগ্য|বোকা|কৃপণ|হিংস"")),""valence-target অমিল"",""""),IF(COUNTIF($B:$B,B5612)&gt;1,""ডুপ্লিকেট"",""""))"),"")</f>
        <v/>
      </c>
      <c r="Q5612" s="5" t="str">
        <f t="shared" si="1"/>
        <v>২ পরে</v>
      </c>
    </row>
    <row r="5613">
      <c r="A5613" s="4">
        <v>3483.0</v>
      </c>
      <c r="B5613" s="2" t="s">
        <v>22957</v>
      </c>
      <c r="C5613" s="2" t="s">
        <v>22957</v>
      </c>
      <c r="D5613" s="2" t="s">
        <v>22958</v>
      </c>
      <c r="E5613" s="2" t="s">
        <v>22959</v>
      </c>
      <c r="F5613" s="2" t="b">
        <v>1</v>
      </c>
      <c r="G5613" s="2" t="b">
        <v>0</v>
      </c>
      <c r="H5613" s="2" t="s">
        <v>37</v>
      </c>
      <c r="I5613" s="2" t="s">
        <v>32</v>
      </c>
      <c r="J5613" s="2" t="s">
        <v>1944</v>
      </c>
      <c r="K5613" s="2" t="s">
        <v>495</v>
      </c>
      <c r="L5613" s="13" t="s">
        <v>496</v>
      </c>
      <c r="M5613" s="2" t="s">
        <v>26</v>
      </c>
      <c r="N5613" s="29"/>
      <c r="O5613" s="29"/>
      <c r="P5613" s="5" t="str">
        <f>IFERROR(__xludf.DUMMYFUNCTION("TEXTJOIN("" | "",TRUE,IF(OR(D5613="""",E5613="""",I5613="""",J5613="""",H5613=""""),""ফাঁকা ঘর"",""""),IF(AND(C5613&lt;&gt;"""",D5613&lt;&gt;"""",C5613=D5613),""gloss=figurative"",""""),IF(LEN(D5613)&lt;15,""figurative ছোট"",""""),IF(AND(I5613=""Positive"",REGEXMATCH(H5"&amp;"613,""মূর্খ|ভণ্ড|প্রতার|অলস|লোভ|স্বার্থ|অক্ষম|অযোগ্য|বোকা|কৃপণ|হিংস"")),""valence-target অমিল"",""""),IF(COUNTIF($B:$B,B5613)&gt;1,""ডুপ্লিকেট"",""""))"),"")</f>
        <v/>
      </c>
      <c r="Q5613" s="5" t="str">
        <f t="shared" si="1"/>
        <v>২ পরে</v>
      </c>
    </row>
    <row r="5614">
      <c r="A5614" s="4">
        <v>3484.0</v>
      </c>
      <c r="B5614" s="2" t="s">
        <v>22960</v>
      </c>
      <c r="C5614" s="2" t="s">
        <v>22961</v>
      </c>
      <c r="D5614" s="2" t="s">
        <v>22962</v>
      </c>
      <c r="E5614" s="2" t="s">
        <v>22963</v>
      </c>
      <c r="F5614" s="2" t="b">
        <v>1</v>
      </c>
      <c r="G5614" s="2" t="b">
        <v>0</v>
      </c>
      <c r="H5614" s="2" t="s">
        <v>37</v>
      </c>
      <c r="I5614" s="2" t="s">
        <v>32</v>
      </c>
      <c r="J5614" s="2" t="s">
        <v>5278</v>
      </c>
      <c r="K5614" s="2" t="s">
        <v>495</v>
      </c>
      <c r="L5614" s="13" t="s">
        <v>496</v>
      </c>
      <c r="M5614" s="2" t="s">
        <v>26</v>
      </c>
      <c r="N5614" s="29"/>
      <c r="O5614" s="29"/>
      <c r="P5614" s="5" t="str">
        <f>IFERROR(__xludf.DUMMYFUNCTION("TEXTJOIN("" | "",TRUE,IF(OR(D5614="""",E5614="""",I5614="""",J5614="""",H5614=""""),""ফাঁকা ঘর"",""""),IF(AND(C5614&lt;&gt;"""",D5614&lt;&gt;"""",C5614=D5614),""gloss=figurative"",""""),IF(LEN(D5614)&lt;15,""figurative ছোট"",""""),IF(AND(I5614=""Positive"",REGEXMATCH(H5"&amp;"614,""মূর্খ|ভণ্ড|প্রতার|অলস|লোভ|স্বার্থ|অক্ষম|অযোগ্য|বোকা|কৃপণ|হিংস"")),""valence-target অমিল"",""""),IF(COUNTIF($B:$B,B5614)&gt;1,""ডুপ্লিকেট"",""""))"),"")</f>
        <v/>
      </c>
      <c r="Q5614" s="5" t="str">
        <f t="shared" si="1"/>
        <v>২ পরে</v>
      </c>
    </row>
    <row r="5615">
      <c r="A5615" s="4">
        <v>3485.0</v>
      </c>
      <c r="B5615" s="2" t="s">
        <v>22964</v>
      </c>
      <c r="C5615" s="2" t="s">
        <v>22965</v>
      </c>
      <c r="D5615" s="2" t="s">
        <v>22966</v>
      </c>
      <c r="E5615" s="2" t="s">
        <v>22967</v>
      </c>
      <c r="F5615" s="2" t="b">
        <v>1</v>
      </c>
      <c r="G5615" s="2" t="b">
        <v>0</v>
      </c>
      <c r="H5615" s="2" t="s">
        <v>37</v>
      </c>
      <c r="I5615" s="2" t="s">
        <v>32</v>
      </c>
      <c r="J5615" s="2" t="s">
        <v>5278</v>
      </c>
      <c r="K5615" s="2" t="s">
        <v>495</v>
      </c>
      <c r="L5615" s="13" t="s">
        <v>496</v>
      </c>
      <c r="M5615" s="2" t="s">
        <v>26</v>
      </c>
      <c r="N5615" s="29"/>
      <c r="O5615" s="29"/>
      <c r="P5615" s="5" t="str">
        <f>IFERROR(__xludf.DUMMYFUNCTION("TEXTJOIN("" | "",TRUE,IF(OR(D5615="""",E5615="""",I5615="""",J5615="""",H5615=""""),""ফাঁকা ঘর"",""""),IF(AND(C5615&lt;&gt;"""",D5615&lt;&gt;"""",C5615=D5615),""gloss=figurative"",""""),IF(LEN(D5615)&lt;15,""figurative ছোট"",""""),IF(AND(I5615=""Positive"",REGEXMATCH(H5"&amp;"615,""মূর্খ|ভণ্ড|প্রতার|অলস|লোভ|স্বার্থ|অক্ষম|অযোগ্য|বোকা|কৃপণ|হিংস"")),""valence-target অমিল"",""""),IF(COUNTIF($B:$B,B5615)&gt;1,""ডুপ্লিকেট"",""""))"),"")</f>
        <v/>
      </c>
      <c r="Q5615" s="5" t="str">
        <f t="shared" si="1"/>
        <v>২ পরে</v>
      </c>
    </row>
    <row r="5616">
      <c r="A5616" s="4">
        <v>3486.0</v>
      </c>
      <c r="B5616" s="2" t="s">
        <v>22968</v>
      </c>
      <c r="C5616" s="2" t="s">
        <v>22969</v>
      </c>
      <c r="D5616" s="2" t="s">
        <v>22970</v>
      </c>
      <c r="E5616" s="2" t="s">
        <v>22971</v>
      </c>
      <c r="F5616" s="2" t="b">
        <v>1</v>
      </c>
      <c r="G5616" s="2" t="b">
        <v>0</v>
      </c>
      <c r="H5616" s="2" t="s">
        <v>22972</v>
      </c>
      <c r="I5616" s="2" t="s">
        <v>22</v>
      </c>
      <c r="J5616" s="2" t="s">
        <v>43</v>
      </c>
      <c r="K5616" s="2" t="s">
        <v>495</v>
      </c>
      <c r="L5616" s="13" t="s">
        <v>496</v>
      </c>
      <c r="M5616" s="2" t="s">
        <v>26</v>
      </c>
      <c r="N5616" s="29"/>
      <c r="O5616" s="29"/>
      <c r="P5616" s="5" t="str">
        <f>IFERROR(__xludf.DUMMYFUNCTION("TEXTJOIN("" | "",TRUE,IF(OR(D5616="""",E5616="""",I5616="""",J5616="""",H5616=""""),""ফাঁকা ঘর"",""""),IF(AND(C5616&lt;&gt;"""",D5616&lt;&gt;"""",C5616=D5616),""gloss=figurative"",""""),IF(LEN(D5616)&lt;15,""figurative ছোট"",""""),IF(AND(I5616=""Positive"",REGEXMATCH(H5"&amp;"616,""মূর্খ|ভণ্ড|প্রতার|অলস|লোভ|স্বার্থ|অক্ষম|অযোগ্য|বোকা|কৃপণ|হিংস"")),""valence-target অমিল"",""""),IF(COUNTIF($B:$B,B5616)&gt;1,""ডুপ্লিকেট"",""""))"),"")</f>
        <v/>
      </c>
      <c r="Q5616" s="5" t="str">
        <f t="shared" si="1"/>
        <v>২ পরে</v>
      </c>
    </row>
    <row r="5617">
      <c r="A5617" s="4">
        <v>3487.0</v>
      </c>
      <c r="B5617" s="2" t="s">
        <v>22973</v>
      </c>
      <c r="C5617" s="2" t="s">
        <v>22974</v>
      </c>
      <c r="D5617" s="2" t="s">
        <v>22975</v>
      </c>
      <c r="E5617" s="2" t="s">
        <v>22976</v>
      </c>
      <c r="F5617" s="2" t="b">
        <v>1</v>
      </c>
      <c r="G5617" s="2" t="b">
        <v>0</v>
      </c>
      <c r="H5617" s="2" t="s">
        <v>22977</v>
      </c>
      <c r="I5617" s="2" t="s">
        <v>22</v>
      </c>
      <c r="J5617" s="2" t="s">
        <v>2732</v>
      </c>
      <c r="K5617" s="2" t="s">
        <v>495</v>
      </c>
      <c r="L5617" s="13" t="s">
        <v>496</v>
      </c>
      <c r="M5617" s="2" t="s">
        <v>26</v>
      </c>
      <c r="N5617" s="29"/>
      <c r="O5617" s="29"/>
      <c r="P5617" s="5" t="str">
        <f>IFERROR(__xludf.DUMMYFUNCTION("TEXTJOIN("" | "",TRUE,IF(OR(D5617="""",E5617="""",I5617="""",J5617="""",H5617=""""),""ফাঁকা ঘর"",""""),IF(AND(C5617&lt;&gt;"""",D5617&lt;&gt;"""",C5617=D5617),""gloss=figurative"",""""),IF(LEN(D5617)&lt;15,""figurative ছোট"",""""),IF(AND(I5617=""Positive"",REGEXMATCH(H5"&amp;"617,""মূর্খ|ভণ্ড|প্রতার|অলস|লোভ|স্বার্থ|অক্ষম|অযোগ্য|বোকা|কৃপণ|হিংস"")),""valence-target অমিল"",""""),IF(COUNTIF($B:$B,B5617)&gt;1,""ডুপ্লিকেট"",""""))"),"")</f>
        <v/>
      </c>
      <c r="Q5617" s="5" t="str">
        <f t="shared" si="1"/>
        <v>২ পরে</v>
      </c>
    </row>
    <row r="5618">
      <c r="A5618" s="4">
        <v>3488.0</v>
      </c>
      <c r="B5618" s="2" t="s">
        <v>22978</v>
      </c>
      <c r="C5618" s="2" t="s">
        <v>22979</v>
      </c>
      <c r="D5618" s="2" t="s">
        <v>22980</v>
      </c>
      <c r="E5618" s="2" t="s">
        <v>22981</v>
      </c>
      <c r="F5618" s="2" t="b">
        <v>1</v>
      </c>
      <c r="G5618" s="2" t="b">
        <v>0</v>
      </c>
      <c r="H5618" s="2" t="s">
        <v>37</v>
      </c>
      <c r="I5618" s="2" t="s">
        <v>49</v>
      </c>
      <c r="J5618" s="2" t="s">
        <v>16048</v>
      </c>
      <c r="K5618" s="2" t="s">
        <v>495</v>
      </c>
      <c r="L5618" s="13" t="s">
        <v>496</v>
      </c>
      <c r="M5618" s="2" t="s">
        <v>26</v>
      </c>
      <c r="N5618" s="29"/>
      <c r="O5618" s="29"/>
      <c r="P5618" s="5" t="str">
        <f>IFERROR(__xludf.DUMMYFUNCTION("TEXTJOIN("" | "",TRUE,IF(OR(D5618="""",E5618="""",I5618="""",J5618="""",H5618=""""),""ফাঁকা ঘর"",""""),IF(AND(C5618&lt;&gt;"""",D5618&lt;&gt;"""",C5618=D5618),""gloss=figurative"",""""),IF(LEN(D5618)&lt;15,""figurative ছোট"",""""),IF(AND(I5618=""Positive"",REGEXMATCH(H5"&amp;"618,""মূর্খ|ভণ্ড|প্রতার|অলস|লোভ|স্বার্থ|অক্ষম|অযোগ্য|বোকা|কৃপণ|হিংস"")),""valence-target অমিল"",""""),IF(COUNTIF($B:$B,B5618)&gt;1,""ডুপ্লিকেট"",""""))"),"")</f>
        <v/>
      </c>
      <c r="Q5618" s="5" t="str">
        <f t="shared" si="1"/>
        <v>২ পরে</v>
      </c>
    </row>
    <row r="5619">
      <c r="A5619" s="4">
        <v>3489.0</v>
      </c>
      <c r="B5619" s="2" t="s">
        <v>22982</v>
      </c>
      <c r="C5619" s="2" t="s">
        <v>22983</v>
      </c>
      <c r="D5619" s="2" t="s">
        <v>22984</v>
      </c>
      <c r="E5619" s="2" t="s">
        <v>22985</v>
      </c>
      <c r="F5619" s="2" t="b">
        <v>1</v>
      </c>
      <c r="G5619" s="2" t="b">
        <v>0</v>
      </c>
      <c r="H5619" s="2" t="s">
        <v>37</v>
      </c>
      <c r="I5619" s="2" t="s">
        <v>49</v>
      </c>
      <c r="J5619" s="2" t="s">
        <v>2002</v>
      </c>
      <c r="K5619" s="2" t="s">
        <v>495</v>
      </c>
      <c r="L5619" s="13" t="s">
        <v>496</v>
      </c>
      <c r="M5619" s="2" t="s">
        <v>26</v>
      </c>
      <c r="N5619" s="29"/>
      <c r="O5619" s="29"/>
      <c r="P5619" s="5" t="str">
        <f>IFERROR(__xludf.DUMMYFUNCTION("TEXTJOIN("" | "",TRUE,IF(OR(D5619="""",E5619="""",I5619="""",J5619="""",H5619=""""),""ফাঁকা ঘর"",""""),IF(AND(C5619&lt;&gt;"""",D5619&lt;&gt;"""",C5619=D5619),""gloss=figurative"",""""),IF(LEN(D5619)&lt;15,""figurative ছোট"",""""),IF(AND(I5619=""Positive"",REGEXMATCH(H5"&amp;"619,""মূর্খ|ভণ্ড|প্রতার|অলস|লোভ|স্বার্থ|অক্ষম|অযোগ্য|বোকা|কৃপণ|হিংস"")),""valence-target অমিল"",""""),IF(COUNTIF($B:$B,B5619)&gt;1,""ডুপ্লিকেট"",""""))"),"")</f>
        <v/>
      </c>
      <c r="Q5619" s="5" t="str">
        <f t="shared" si="1"/>
        <v>২ পরে</v>
      </c>
    </row>
    <row r="5620">
      <c r="A5620" s="4">
        <v>3490.0</v>
      </c>
      <c r="B5620" s="2" t="s">
        <v>10368</v>
      </c>
      <c r="C5620" s="2" t="s">
        <v>10368</v>
      </c>
      <c r="D5620" s="2" t="s">
        <v>22986</v>
      </c>
      <c r="E5620" s="2" t="s">
        <v>22987</v>
      </c>
      <c r="F5620" s="2" t="b">
        <v>1</v>
      </c>
      <c r="G5620" s="2" t="b">
        <v>0</v>
      </c>
      <c r="H5620" s="2" t="s">
        <v>37</v>
      </c>
      <c r="I5620" s="2" t="s">
        <v>49</v>
      </c>
      <c r="J5620" s="2" t="s">
        <v>22988</v>
      </c>
      <c r="K5620" s="2" t="s">
        <v>495</v>
      </c>
      <c r="L5620" s="13" t="s">
        <v>496</v>
      </c>
      <c r="M5620" s="2" t="s">
        <v>26</v>
      </c>
      <c r="N5620" s="29"/>
      <c r="O5620" s="29"/>
      <c r="P5620" s="5" t="str">
        <f>IFERROR(__xludf.DUMMYFUNCTION("TEXTJOIN("" | "",TRUE,IF(OR(D5620="""",E5620="""",I5620="""",J5620="""",H5620=""""),""ফাঁকা ঘর"",""""),IF(AND(C5620&lt;&gt;"""",D5620&lt;&gt;"""",C5620=D5620),""gloss=figurative"",""""),IF(LEN(D5620)&lt;15,""figurative ছোট"",""""),IF(AND(I5620=""Positive"",REGEXMATCH(H5"&amp;"620,""মূর্খ|ভণ্ড|প্রতার|অলস|লোভ|স্বার্থ|অক্ষম|অযোগ্য|বোকা|কৃপণ|হিংস"")),""valence-target অমিল"",""""),IF(COUNTIF($B:$B,B5620)&gt;1,""ডুপ্লিকেট"",""""))"),"")</f>
        <v/>
      </c>
      <c r="Q5620" s="5" t="str">
        <f t="shared" si="1"/>
        <v>২ পরে</v>
      </c>
    </row>
    <row r="5621">
      <c r="A5621" s="4">
        <v>3491.0</v>
      </c>
      <c r="B5621" s="2" t="s">
        <v>22989</v>
      </c>
      <c r="C5621" s="2" t="s">
        <v>22990</v>
      </c>
      <c r="D5621" s="2" t="s">
        <v>22991</v>
      </c>
      <c r="E5621" s="2" t="s">
        <v>22992</v>
      </c>
      <c r="F5621" s="2" t="b">
        <v>1</v>
      </c>
      <c r="G5621" s="2" t="b">
        <v>0</v>
      </c>
      <c r="H5621" s="2" t="s">
        <v>37</v>
      </c>
      <c r="I5621" s="2" t="s">
        <v>49</v>
      </c>
      <c r="J5621" s="2" t="s">
        <v>1621</v>
      </c>
      <c r="K5621" s="2" t="s">
        <v>495</v>
      </c>
      <c r="L5621" s="13" t="s">
        <v>496</v>
      </c>
      <c r="M5621" s="2" t="s">
        <v>26</v>
      </c>
      <c r="N5621" s="29"/>
      <c r="O5621" s="29"/>
      <c r="P5621" s="5" t="str">
        <f>IFERROR(__xludf.DUMMYFUNCTION("TEXTJOIN("" | "",TRUE,IF(OR(D5621="""",E5621="""",I5621="""",J5621="""",H5621=""""),""ফাঁকা ঘর"",""""),IF(AND(C5621&lt;&gt;"""",D5621&lt;&gt;"""",C5621=D5621),""gloss=figurative"",""""),IF(LEN(D5621)&lt;15,""figurative ছোট"",""""),IF(AND(I5621=""Positive"",REGEXMATCH(H5"&amp;"621,""মূর্খ|ভণ্ড|প্রতার|অলস|লোভ|স্বার্থ|অক্ষম|অযোগ্য|বোকা|কৃপণ|হিংস"")),""valence-target অমিল"",""""),IF(COUNTIF($B:$B,B5621)&gt;1,""ডুপ্লিকেট"",""""))"),"")</f>
        <v/>
      </c>
      <c r="Q5621" s="5" t="str">
        <f t="shared" si="1"/>
        <v>২ পরে</v>
      </c>
    </row>
    <row r="5622">
      <c r="A5622" s="4">
        <v>3492.0</v>
      </c>
      <c r="B5622" s="2" t="s">
        <v>22993</v>
      </c>
      <c r="C5622" s="2" t="s">
        <v>22994</v>
      </c>
      <c r="D5622" s="2" t="s">
        <v>22995</v>
      </c>
      <c r="E5622" s="2" t="s">
        <v>22996</v>
      </c>
      <c r="F5622" s="2" t="b">
        <v>1</v>
      </c>
      <c r="G5622" s="2" t="b">
        <v>0</v>
      </c>
      <c r="H5622" s="2" t="s">
        <v>37</v>
      </c>
      <c r="I5622" s="2" t="s">
        <v>22</v>
      </c>
      <c r="J5622" s="2" t="s">
        <v>16089</v>
      </c>
      <c r="K5622" s="2" t="s">
        <v>495</v>
      </c>
      <c r="L5622" s="13" t="s">
        <v>496</v>
      </c>
      <c r="M5622" s="2" t="s">
        <v>26</v>
      </c>
      <c r="N5622" s="29"/>
      <c r="O5622" s="29"/>
      <c r="P5622" s="5" t="str">
        <f>IFERROR(__xludf.DUMMYFUNCTION("TEXTJOIN("" | "",TRUE,IF(OR(D5622="""",E5622="""",I5622="""",J5622="""",H5622=""""),""ফাঁকা ঘর"",""""),IF(AND(C5622&lt;&gt;"""",D5622&lt;&gt;"""",C5622=D5622),""gloss=figurative"",""""),IF(LEN(D5622)&lt;15,""figurative ছোট"",""""),IF(AND(I5622=""Positive"",REGEXMATCH(H5"&amp;"622,""মূর্খ|ভণ্ড|প্রতার|অলস|লোভ|স্বার্থ|অক্ষম|অযোগ্য|বোকা|কৃপণ|হিংস"")),""valence-target অমিল"",""""),IF(COUNTIF($B:$B,B5622)&gt;1,""ডুপ্লিকেট"",""""))"),"")</f>
        <v/>
      </c>
      <c r="Q5622" s="5" t="str">
        <f t="shared" si="1"/>
        <v>২ পরে</v>
      </c>
    </row>
    <row r="5623">
      <c r="A5623" s="4">
        <v>3493.0</v>
      </c>
      <c r="B5623" s="2" t="s">
        <v>22997</v>
      </c>
      <c r="C5623" s="2" t="s">
        <v>22998</v>
      </c>
      <c r="D5623" s="2" t="s">
        <v>22999</v>
      </c>
      <c r="E5623" s="2" t="s">
        <v>23000</v>
      </c>
      <c r="F5623" s="2" t="b">
        <v>1</v>
      </c>
      <c r="G5623" s="2" t="b">
        <v>0</v>
      </c>
      <c r="H5623" s="2" t="s">
        <v>1612</v>
      </c>
      <c r="I5623" s="2" t="s">
        <v>22</v>
      </c>
      <c r="J5623" s="2" t="s">
        <v>784</v>
      </c>
      <c r="K5623" s="2" t="s">
        <v>495</v>
      </c>
      <c r="L5623" s="13" t="s">
        <v>496</v>
      </c>
      <c r="M5623" s="2" t="s">
        <v>26</v>
      </c>
      <c r="N5623" s="29"/>
      <c r="O5623" s="29"/>
      <c r="P5623" s="5" t="str">
        <f>IFERROR(__xludf.DUMMYFUNCTION("TEXTJOIN("" | "",TRUE,IF(OR(D5623="""",E5623="""",I5623="""",J5623="""",H5623=""""),""ফাঁকা ঘর"",""""),IF(AND(C5623&lt;&gt;"""",D5623&lt;&gt;"""",C5623=D5623),""gloss=figurative"",""""),IF(LEN(D5623)&lt;15,""figurative ছোট"",""""),IF(AND(I5623=""Positive"",REGEXMATCH(H5"&amp;"623,""মূর্খ|ভণ্ড|প্রতার|অলস|লোভ|স্বার্থ|অক্ষম|অযোগ্য|বোকা|কৃপণ|হিংস"")),""valence-target অমিল"",""""),IF(COUNTIF($B:$B,B5623)&gt;1,""ডুপ্লিকেট"",""""))"),"")</f>
        <v/>
      </c>
      <c r="Q5623" s="5" t="str">
        <f t="shared" si="1"/>
        <v>২ পরে</v>
      </c>
    </row>
    <row r="5624">
      <c r="A5624" s="4">
        <v>3494.0</v>
      </c>
      <c r="B5624" s="2" t="s">
        <v>23001</v>
      </c>
      <c r="C5624" s="2" t="s">
        <v>23002</v>
      </c>
      <c r="D5624" s="2" t="s">
        <v>23003</v>
      </c>
      <c r="E5624" s="2" t="s">
        <v>23004</v>
      </c>
      <c r="F5624" s="2" t="b">
        <v>1</v>
      </c>
      <c r="G5624" s="2" t="b">
        <v>0</v>
      </c>
      <c r="H5624" s="2" t="s">
        <v>1334</v>
      </c>
      <c r="I5624" s="2" t="s">
        <v>22</v>
      </c>
      <c r="J5624" s="2" t="s">
        <v>784</v>
      </c>
      <c r="K5624" s="2" t="s">
        <v>495</v>
      </c>
      <c r="L5624" s="13" t="s">
        <v>496</v>
      </c>
      <c r="M5624" s="2" t="s">
        <v>26</v>
      </c>
      <c r="N5624" s="29"/>
      <c r="O5624" s="29"/>
      <c r="P5624" s="5" t="str">
        <f>IFERROR(__xludf.DUMMYFUNCTION("TEXTJOIN("" | "",TRUE,IF(OR(D5624="""",E5624="""",I5624="""",J5624="""",H5624=""""),""ফাঁকা ঘর"",""""),IF(AND(C5624&lt;&gt;"""",D5624&lt;&gt;"""",C5624=D5624),""gloss=figurative"",""""),IF(LEN(D5624)&lt;15,""figurative ছোট"",""""),IF(AND(I5624=""Positive"",REGEXMATCH(H5"&amp;"624,""মূর্খ|ভণ্ড|প্রতার|অলস|লোভ|স্বার্থ|অক্ষম|অযোগ্য|বোকা|কৃপণ|হিংস"")),""valence-target অমিল"",""""),IF(COUNTIF($B:$B,B5624)&gt;1,""ডুপ্লিকেট"",""""))"),"")</f>
        <v/>
      </c>
      <c r="Q5624" s="5" t="str">
        <f t="shared" si="1"/>
        <v>২ পরে</v>
      </c>
    </row>
    <row r="5625">
      <c r="A5625" s="4">
        <v>3495.0</v>
      </c>
      <c r="B5625" s="2" t="s">
        <v>23005</v>
      </c>
      <c r="C5625" s="2" t="s">
        <v>23006</v>
      </c>
      <c r="D5625" s="2" t="s">
        <v>23007</v>
      </c>
      <c r="E5625" s="2" t="s">
        <v>23008</v>
      </c>
      <c r="F5625" s="2" t="b">
        <v>1</v>
      </c>
      <c r="G5625" s="2" t="b">
        <v>0</v>
      </c>
      <c r="H5625" s="2" t="s">
        <v>17776</v>
      </c>
      <c r="I5625" s="2" t="s">
        <v>22</v>
      </c>
      <c r="J5625" s="2" t="s">
        <v>784</v>
      </c>
      <c r="K5625" s="2" t="s">
        <v>495</v>
      </c>
      <c r="L5625" s="13" t="s">
        <v>496</v>
      </c>
      <c r="M5625" s="2" t="s">
        <v>26</v>
      </c>
      <c r="N5625" s="29"/>
      <c r="O5625" s="29"/>
      <c r="P5625" s="5" t="str">
        <f>IFERROR(__xludf.DUMMYFUNCTION("TEXTJOIN("" | "",TRUE,IF(OR(D5625="""",E5625="""",I5625="""",J5625="""",H5625=""""),""ফাঁকা ঘর"",""""),IF(AND(C5625&lt;&gt;"""",D5625&lt;&gt;"""",C5625=D5625),""gloss=figurative"",""""),IF(LEN(D5625)&lt;15,""figurative ছোট"",""""),IF(AND(I5625=""Positive"",REGEXMATCH(H5"&amp;"625,""মূর্খ|ভণ্ড|প্রতার|অলস|লোভ|স্বার্থ|অক্ষম|অযোগ্য|বোকা|কৃপণ|হিংস"")),""valence-target অমিল"",""""),IF(COUNTIF($B:$B,B5625)&gt;1,""ডুপ্লিকেট"",""""))"),"")</f>
        <v/>
      </c>
      <c r="Q5625" s="5" t="str">
        <f t="shared" si="1"/>
        <v>২ পরে</v>
      </c>
    </row>
    <row r="5626">
      <c r="A5626" s="4">
        <v>3496.0</v>
      </c>
      <c r="B5626" s="2" t="s">
        <v>23009</v>
      </c>
      <c r="C5626" s="2" t="s">
        <v>23010</v>
      </c>
      <c r="D5626" s="2" t="s">
        <v>23011</v>
      </c>
      <c r="E5626" s="2" t="s">
        <v>23012</v>
      </c>
      <c r="F5626" s="2" t="b">
        <v>1</v>
      </c>
      <c r="G5626" s="2" t="b">
        <v>0</v>
      </c>
      <c r="H5626" s="2" t="s">
        <v>23013</v>
      </c>
      <c r="I5626" s="2" t="s">
        <v>22</v>
      </c>
      <c r="J5626" s="2" t="s">
        <v>836</v>
      </c>
      <c r="K5626" s="2" t="s">
        <v>495</v>
      </c>
      <c r="L5626" s="13" t="s">
        <v>496</v>
      </c>
      <c r="M5626" s="2" t="s">
        <v>26</v>
      </c>
      <c r="N5626" s="29"/>
      <c r="O5626" s="29"/>
      <c r="P5626" s="5" t="str">
        <f>IFERROR(__xludf.DUMMYFUNCTION("TEXTJOIN("" | "",TRUE,IF(OR(D5626="""",E5626="""",I5626="""",J5626="""",H5626=""""),""ফাঁকা ঘর"",""""),IF(AND(C5626&lt;&gt;"""",D5626&lt;&gt;"""",C5626=D5626),""gloss=figurative"",""""),IF(LEN(D5626)&lt;15,""figurative ছোট"",""""),IF(AND(I5626=""Positive"",REGEXMATCH(H5"&amp;"626,""মূর্খ|ভণ্ড|প্রতার|অলস|লোভ|স্বার্থ|অক্ষম|অযোগ্য|বোকা|কৃপণ|হিংস"")),""valence-target অমিল"",""""),IF(COUNTIF($B:$B,B5626)&gt;1,""ডুপ্লিকেট"",""""))"),"")</f>
        <v/>
      </c>
      <c r="Q5626" s="5" t="str">
        <f t="shared" si="1"/>
        <v>২ পরে</v>
      </c>
    </row>
    <row r="5627">
      <c r="A5627" s="4">
        <v>3497.0</v>
      </c>
      <c r="B5627" s="2" t="s">
        <v>23014</v>
      </c>
      <c r="C5627" s="2" t="s">
        <v>23015</v>
      </c>
      <c r="D5627" s="2" t="s">
        <v>23016</v>
      </c>
      <c r="E5627" s="2" t="s">
        <v>23017</v>
      </c>
      <c r="F5627" s="2" t="b">
        <v>1</v>
      </c>
      <c r="G5627" s="2" t="b">
        <v>0</v>
      </c>
      <c r="H5627" s="2" t="s">
        <v>37</v>
      </c>
      <c r="I5627" s="2" t="s">
        <v>32</v>
      </c>
      <c r="J5627" s="2" t="s">
        <v>23018</v>
      </c>
      <c r="K5627" s="2" t="s">
        <v>495</v>
      </c>
      <c r="L5627" s="13" t="s">
        <v>496</v>
      </c>
      <c r="M5627" s="2" t="s">
        <v>26</v>
      </c>
      <c r="N5627" s="29"/>
      <c r="O5627" s="29"/>
      <c r="P5627" s="5" t="str">
        <f>IFERROR(__xludf.DUMMYFUNCTION("TEXTJOIN("" | "",TRUE,IF(OR(D5627="""",E5627="""",I5627="""",J5627="""",H5627=""""),""ফাঁকা ঘর"",""""),IF(AND(C5627&lt;&gt;"""",D5627&lt;&gt;"""",C5627=D5627),""gloss=figurative"",""""),IF(LEN(D5627)&lt;15,""figurative ছোট"",""""),IF(AND(I5627=""Positive"",REGEXMATCH(H5"&amp;"627,""মূর্খ|ভণ্ড|প্রতার|অলস|লোভ|স্বার্থ|অক্ষম|অযোগ্য|বোকা|কৃপণ|হিংস"")),""valence-target অমিল"",""""),IF(COUNTIF($B:$B,B5627)&gt;1,""ডুপ্লিকেট"",""""))"),"")</f>
        <v/>
      </c>
      <c r="Q5627" s="5" t="str">
        <f t="shared" si="1"/>
        <v>২ পরে</v>
      </c>
    </row>
    <row r="5628">
      <c r="A5628" s="4">
        <v>3498.0</v>
      </c>
      <c r="B5628" s="2" t="s">
        <v>23019</v>
      </c>
      <c r="C5628" s="2" t="s">
        <v>23020</v>
      </c>
      <c r="D5628" s="2" t="s">
        <v>23021</v>
      </c>
      <c r="E5628" s="2" t="s">
        <v>23022</v>
      </c>
      <c r="F5628" s="2" t="b">
        <v>1</v>
      </c>
      <c r="G5628" s="2" t="b">
        <v>0</v>
      </c>
      <c r="H5628" s="2" t="s">
        <v>37</v>
      </c>
      <c r="I5628" s="2" t="s">
        <v>22</v>
      </c>
      <c r="J5628" s="2" t="s">
        <v>23023</v>
      </c>
      <c r="K5628" s="2" t="s">
        <v>495</v>
      </c>
      <c r="L5628" s="13" t="s">
        <v>496</v>
      </c>
      <c r="M5628" s="2" t="s">
        <v>26</v>
      </c>
      <c r="N5628" s="29"/>
      <c r="O5628" s="29"/>
      <c r="P5628" s="5" t="str">
        <f>IFERROR(__xludf.DUMMYFUNCTION("TEXTJOIN("" | "",TRUE,IF(OR(D5628="""",E5628="""",I5628="""",J5628="""",H5628=""""),""ফাঁকা ঘর"",""""),IF(AND(C5628&lt;&gt;"""",D5628&lt;&gt;"""",C5628=D5628),""gloss=figurative"",""""),IF(LEN(D5628)&lt;15,""figurative ছোট"",""""),IF(AND(I5628=""Positive"",REGEXMATCH(H5"&amp;"628,""মূর্খ|ভণ্ড|প্রতার|অলস|লোভ|স্বার্থ|অক্ষম|অযোগ্য|বোকা|কৃপণ|হিংস"")),""valence-target অমিল"",""""),IF(COUNTIF($B:$B,B5628)&gt;1,""ডুপ্লিকেট"",""""))"),"")</f>
        <v/>
      </c>
      <c r="Q5628" s="5" t="str">
        <f t="shared" si="1"/>
        <v>২ পরে</v>
      </c>
    </row>
    <row r="5629">
      <c r="A5629" s="4">
        <v>3499.0</v>
      </c>
      <c r="B5629" s="2" t="s">
        <v>23024</v>
      </c>
      <c r="C5629" s="2" t="s">
        <v>23025</v>
      </c>
      <c r="D5629" s="2" t="s">
        <v>23026</v>
      </c>
      <c r="E5629" s="2" t="s">
        <v>23027</v>
      </c>
      <c r="F5629" s="2" t="b">
        <v>1</v>
      </c>
      <c r="G5629" s="2" t="b">
        <v>0</v>
      </c>
      <c r="H5629" s="2" t="s">
        <v>1025</v>
      </c>
      <c r="I5629" s="2" t="s">
        <v>22</v>
      </c>
      <c r="J5629" s="2" t="s">
        <v>43</v>
      </c>
      <c r="K5629" s="2" t="s">
        <v>495</v>
      </c>
      <c r="L5629" s="13" t="s">
        <v>496</v>
      </c>
      <c r="M5629" s="2" t="s">
        <v>26</v>
      </c>
      <c r="N5629" s="29"/>
      <c r="O5629" s="29"/>
      <c r="P5629" s="5" t="str">
        <f>IFERROR(__xludf.DUMMYFUNCTION("TEXTJOIN("" | "",TRUE,IF(OR(D5629="""",E5629="""",I5629="""",J5629="""",H5629=""""),""ফাঁকা ঘর"",""""),IF(AND(C5629&lt;&gt;"""",D5629&lt;&gt;"""",C5629=D5629),""gloss=figurative"",""""),IF(LEN(D5629)&lt;15,""figurative ছোট"",""""),IF(AND(I5629=""Positive"",REGEXMATCH(H5"&amp;"629,""মূর্খ|ভণ্ড|প্রতার|অলস|লোভ|স্বার্থ|অক্ষম|অযোগ্য|বোকা|কৃপণ|হিংস"")),""valence-target অমিল"",""""),IF(COUNTIF($B:$B,B5629)&gt;1,""ডুপ্লিকেট"",""""))"),"")</f>
        <v/>
      </c>
      <c r="Q5629" s="5" t="str">
        <f t="shared" si="1"/>
        <v>২ পরে</v>
      </c>
    </row>
    <row r="5630">
      <c r="A5630" s="4">
        <v>3500.0</v>
      </c>
      <c r="B5630" s="2" t="s">
        <v>23028</v>
      </c>
      <c r="C5630" s="2" t="s">
        <v>23029</v>
      </c>
      <c r="D5630" s="2" t="s">
        <v>23030</v>
      </c>
      <c r="E5630" s="2" t="s">
        <v>23031</v>
      </c>
      <c r="F5630" s="2" t="b">
        <v>1</v>
      </c>
      <c r="G5630" s="2" t="b">
        <v>0</v>
      </c>
      <c r="H5630" s="2" t="s">
        <v>1025</v>
      </c>
      <c r="I5630" s="2" t="s">
        <v>22</v>
      </c>
      <c r="J5630" s="2" t="s">
        <v>43</v>
      </c>
      <c r="K5630" s="2" t="s">
        <v>495</v>
      </c>
      <c r="L5630" s="13" t="s">
        <v>496</v>
      </c>
      <c r="M5630" s="2" t="s">
        <v>26</v>
      </c>
      <c r="N5630" s="29"/>
      <c r="O5630" s="29"/>
      <c r="P5630" s="5" t="str">
        <f>IFERROR(__xludf.DUMMYFUNCTION("TEXTJOIN("" | "",TRUE,IF(OR(D5630="""",E5630="""",I5630="""",J5630="""",H5630=""""),""ফাঁকা ঘর"",""""),IF(AND(C5630&lt;&gt;"""",D5630&lt;&gt;"""",C5630=D5630),""gloss=figurative"",""""),IF(LEN(D5630)&lt;15,""figurative ছোট"",""""),IF(AND(I5630=""Positive"",REGEXMATCH(H5"&amp;"630,""মূর্খ|ভণ্ড|প্রতার|অলস|লোভ|স্বার্থ|অক্ষম|অযোগ্য|বোকা|কৃপণ|হিংস"")),""valence-target অমিল"",""""),IF(COUNTIF($B:$B,B5630)&gt;1,""ডুপ্লিকেট"",""""))"),"")</f>
        <v/>
      </c>
      <c r="Q5630" s="5" t="str">
        <f t="shared" si="1"/>
        <v>২ পরে</v>
      </c>
    </row>
    <row r="5631">
      <c r="A5631" s="4">
        <v>3501.0</v>
      </c>
      <c r="B5631" s="2" t="s">
        <v>23032</v>
      </c>
      <c r="C5631" s="2" t="s">
        <v>23033</v>
      </c>
      <c r="D5631" s="2" t="s">
        <v>23034</v>
      </c>
      <c r="E5631" s="2" t="s">
        <v>23035</v>
      </c>
      <c r="F5631" s="2" t="b">
        <v>1</v>
      </c>
      <c r="G5631" s="2" t="b">
        <v>1</v>
      </c>
      <c r="H5631" s="2" t="s">
        <v>23036</v>
      </c>
      <c r="I5631" s="2" t="s">
        <v>22</v>
      </c>
      <c r="J5631" s="2" t="s">
        <v>3327</v>
      </c>
      <c r="K5631" s="2" t="s">
        <v>495</v>
      </c>
      <c r="L5631" s="13" t="s">
        <v>496</v>
      </c>
      <c r="M5631" s="2" t="s">
        <v>26</v>
      </c>
      <c r="N5631" s="29"/>
      <c r="O5631" s="29"/>
      <c r="P5631" s="5" t="str">
        <f>IFERROR(__xludf.DUMMYFUNCTION("TEXTJOIN("" | "",TRUE,IF(OR(D5631="""",E5631="""",I5631="""",J5631="""",H5631=""""),""ফাঁকা ঘর"",""""),IF(AND(C5631&lt;&gt;"""",D5631&lt;&gt;"""",C5631=D5631),""gloss=figurative"",""""),IF(LEN(D5631)&lt;15,""figurative ছোট"",""""),IF(AND(I5631=""Positive"",REGEXMATCH(H5"&amp;"631,""মূর্খ|ভণ্ড|প্রতার|অলস|লোভ|স্বার্থ|অক্ষম|অযোগ্য|বোকা|কৃপণ|হিংস"")),""valence-target অমিল"",""""),IF(COUNTIF($B:$B,B5631)&gt;1,""ডুপ্লিকেট"",""""))"),"")</f>
        <v/>
      </c>
      <c r="Q5631" s="5" t="str">
        <f t="shared" si="1"/>
        <v>২ পরে</v>
      </c>
    </row>
    <row r="5632">
      <c r="A5632" s="4">
        <v>3502.0</v>
      </c>
      <c r="B5632" s="2" t="s">
        <v>23037</v>
      </c>
      <c r="C5632" s="2" t="s">
        <v>23038</v>
      </c>
      <c r="D5632" s="2" t="s">
        <v>23039</v>
      </c>
      <c r="E5632" s="2" t="s">
        <v>23040</v>
      </c>
      <c r="F5632" s="2" t="b">
        <v>1</v>
      </c>
      <c r="G5632" s="2" t="b">
        <v>1</v>
      </c>
      <c r="H5632" s="2" t="s">
        <v>23041</v>
      </c>
      <c r="I5632" s="2" t="s">
        <v>49</v>
      </c>
      <c r="J5632" s="2" t="s">
        <v>3327</v>
      </c>
      <c r="K5632" s="2" t="s">
        <v>495</v>
      </c>
      <c r="L5632" s="13" t="s">
        <v>496</v>
      </c>
      <c r="M5632" s="2" t="s">
        <v>26</v>
      </c>
      <c r="N5632" s="29"/>
      <c r="O5632" s="29"/>
      <c r="P5632" s="5" t="str">
        <f>IFERROR(__xludf.DUMMYFUNCTION("TEXTJOIN("" | "",TRUE,IF(OR(D5632="""",E5632="""",I5632="""",J5632="""",H5632=""""),""ফাঁকা ঘর"",""""),IF(AND(C5632&lt;&gt;"""",D5632&lt;&gt;"""",C5632=D5632),""gloss=figurative"",""""),IF(LEN(D5632)&lt;15,""figurative ছোট"",""""),IF(AND(I5632=""Positive"",REGEXMATCH(H5"&amp;"632,""মূর্খ|ভণ্ড|প্রতার|অলস|লোভ|স্বার্থ|অক্ষম|অযোগ্য|বোকা|কৃপণ|হিংস"")),""valence-target অমিল"",""""),IF(COUNTIF($B:$B,B5632)&gt;1,""ডুপ্লিকেট"",""""))"),"")</f>
        <v/>
      </c>
      <c r="Q5632" s="5" t="str">
        <f t="shared" si="1"/>
        <v>২ পরে</v>
      </c>
    </row>
    <row r="5633">
      <c r="A5633" s="4">
        <v>3503.0</v>
      </c>
      <c r="B5633" s="2" t="s">
        <v>23042</v>
      </c>
      <c r="C5633" s="2" t="s">
        <v>23043</v>
      </c>
      <c r="D5633" s="2" t="s">
        <v>23044</v>
      </c>
      <c r="E5633" s="2" t="s">
        <v>23045</v>
      </c>
      <c r="F5633" s="2" t="b">
        <v>1</v>
      </c>
      <c r="G5633" s="2" t="b">
        <v>0</v>
      </c>
      <c r="H5633" s="2" t="s">
        <v>37</v>
      </c>
      <c r="I5633" s="2" t="s">
        <v>32</v>
      </c>
      <c r="J5633" s="2" t="s">
        <v>1438</v>
      </c>
      <c r="K5633" s="2" t="s">
        <v>495</v>
      </c>
      <c r="L5633" s="13" t="s">
        <v>496</v>
      </c>
      <c r="M5633" s="2" t="s">
        <v>26</v>
      </c>
      <c r="N5633" s="29"/>
      <c r="O5633" s="29"/>
      <c r="P5633" s="5" t="str">
        <f>IFERROR(__xludf.DUMMYFUNCTION("TEXTJOIN("" | "",TRUE,IF(OR(D5633="""",E5633="""",I5633="""",J5633="""",H5633=""""),""ফাঁকা ঘর"",""""),IF(AND(C5633&lt;&gt;"""",D5633&lt;&gt;"""",C5633=D5633),""gloss=figurative"",""""),IF(LEN(D5633)&lt;15,""figurative ছোট"",""""),IF(AND(I5633=""Positive"",REGEXMATCH(H5"&amp;"633,""মূর্খ|ভণ্ড|প্রতার|অলস|লোভ|স্বার্থ|অক্ষম|অযোগ্য|বোকা|কৃপণ|হিংস"")),""valence-target অমিল"",""""),IF(COUNTIF($B:$B,B5633)&gt;1,""ডুপ্লিকেট"",""""))"),"")</f>
        <v/>
      </c>
      <c r="Q5633" s="5" t="str">
        <f t="shared" si="1"/>
        <v>২ পরে</v>
      </c>
    </row>
    <row r="5634">
      <c r="A5634" s="4">
        <v>3504.0</v>
      </c>
      <c r="B5634" s="2" t="s">
        <v>23046</v>
      </c>
      <c r="C5634" s="2" t="s">
        <v>23047</v>
      </c>
      <c r="D5634" s="2" t="s">
        <v>23048</v>
      </c>
      <c r="E5634" s="2" t="s">
        <v>23049</v>
      </c>
      <c r="F5634" s="2" t="b">
        <v>1</v>
      </c>
      <c r="G5634" s="2" t="b">
        <v>0</v>
      </c>
      <c r="H5634" s="2" t="s">
        <v>37</v>
      </c>
      <c r="I5634" s="2" t="s">
        <v>49</v>
      </c>
      <c r="J5634" s="2" t="s">
        <v>23050</v>
      </c>
      <c r="K5634" s="2" t="s">
        <v>495</v>
      </c>
      <c r="L5634" s="13" t="s">
        <v>496</v>
      </c>
      <c r="M5634" s="2" t="s">
        <v>26</v>
      </c>
      <c r="N5634" s="29"/>
      <c r="O5634" s="29"/>
      <c r="P5634" s="5" t="str">
        <f>IFERROR(__xludf.DUMMYFUNCTION("TEXTJOIN("" | "",TRUE,IF(OR(D5634="""",E5634="""",I5634="""",J5634="""",H5634=""""),""ফাঁকা ঘর"",""""),IF(AND(C5634&lt;&gt;"""",D5634&lt;&gt;"""",C5634=D5634),""gloss=figurative"",""""),IF(LEN(D5634)&lt;15,""figurative ছোট"",""""),IF(AND(I5634=""Positive"",REGEXMATCH(H5"&amp;"634,""মূর্খ|ভণ্ড|প্রতার|অলস|লোভ|স্বার্থ|অক্ষম|অযোগ্য|বোকা|কৃপণ|হিংস"")),""valence-target অমিল"",""""),IF(COUNTIF($B:$B,B5634)&gt;1,""ডুপ্লিকেট"",""""))"),"")</f>
        <v/>
      </c>
      <c r="Q5634" s="5" t="str">
        <f t="shared" si="1"/>
        <v>২ পরে</v>
      </c>
    </row>
    <row r="5635">
      <c r="A5635" s="4">
        <v>3505.0</v>
      </c>
      <c r="B5635" s="2" t="s">
        <v>23051</v>
      </c>
      <c r="C5635" s="2" t="s">
        <v>23052</v>
      </c>
      <c r="D5635" s="2" t="s">
        <v>23053</v>
      </c>
      <c r="E5635" s="2" t="s">
        <v>23054</v>
      </c>
      <c r="F5635" s="2" t="b">
        <v>1</v>
      </c>
      <c r="G5635" s="2" t="b">
        <v>0</v>
      </c>
      <c r="H5635" s="2" t="s">
        <v>37</v>
      </c>
      <c r="I5635" s="2" t="s">
        <v>49</v>
      </c>
      <c r="J5635" s="2" t="s">
        <v>913</v>
      </c>
      <c r="K5635" s="2" t="s">
        <v>495</v>
      </c>
      <c r="L5635" s="13" t="s">
        <v>496</v>
      </c>
      <c r="M5635" s="2" t="s">
        <v>26</v>
      </c>
      <c r="N5635" s="29"/>
      <c r="O5635" s="29"/>
      <c r="P5635" s="5" t="str">
        <f>IFERROR(__xludf.DUMMYFUNCTION("TEXTJOIN("" | "",TRUE,IF(OR(D5635="""",E5635="""",I5635="""",J5635="""",H5635=""""),""ফাঁকা ঘর"",""""),IF(AND(C5635&lt;&gt;"""",D5635&lt;&gt;"""",C5635=D5635),""gloss=figurative"",""""),IF(LEN(D5635)&lt;15,""figurative ছোট"",""""),IF(AND(I5635=""Positive"",REGEXMATCH(H5"&amp;"635,""মূর্খ|ভণ্ড|প্রতার|অলস|লোভ|স্বার্থ|অক্ষম|অযোগ্য|বোকা|কৃপণ|হিংস"")),""valence-target অমিল"",""""),IF(COUNTIF($B:$B,B5635)&gt;1,""ডুপ্লিকেট"",""""))"),"")</f>
        <v/>
      </c>
      <c r="Q5635" s="5" t="str">
        <f t="shared" si="1"/>
        <v>২ পরে</v>
      </c>
    </row>
    <row r="5636">
      <c r="A5636" s="4">
        <v>3507.0</v>
      </c>
      <c r="B5636" s="2" t="s">
        <v>23055</v>
      </c>
      <c r="C5636" s="2" t="s">
        <v>23056</v>
      </c>
      <c r="D5636" s="2" t="s">
        <v>23057</v>
      </c>
      <c r="E5636" s="2" t="s">
        <v>23058</v>
      </c>
      <c r="F5636" s="2" t="b">
        <v>1</v>
      </c>
      <c r="G5636" s="2" t="b">
        <v>0</v>
      </c>
      <c r="H5636" s="2" t="s">
        <v>23059</v>
      </c>
      <c r="I5636" s="2" t="s">
        <v>22</v>
      </c>
      <c r="J5636" s="2" t="s">
        <v>1644</v>
      </c>
      <c r="K5636" s="2" t="s">
        <v>495</v>
      </c>
      <c r="L5636" s="13" t="s">
        <v>496</v>
      </c>
      <c r="M5636" s="2" t="s">
        <v>26</v>
      </c>
      <c r="N5636" s="29"/>
      <c r="O5636" s="29"/>
      <c r="P5636" s="5" t="str">
        <f>IFERROR(__xludf.DUMMYFUNCTION("TEXTJOIN("" | "",TRUE,IF(OR(D5636="""",E5636="""",I5636="""",J5636="""",H5636=""""),""ফাঁকা ঘর"",""""),IF(AND(C5636&lt;&gt;"""",D5636&lt;&gt;"""",C5636=D5636),""gloss=figurative"",""""),IF(LEN(D5636)&lt;15,""figurative ছোট"",""""),IF(AND(I5636=""Positive"",REGEXMATCH(H5"&amp;"636,""মূর্খ|ভণ্ড|প্রতার|অলস|লোভ|স্বার্থ|অক্ষম|অযোগ্য|বোকা|কৃপণ|হিংস"")),""valence-target অমিল"",""""),IF(COUNTIF($B:$B,B5636)&gt;1,""ডুপ্লিকেট"",""""))"),"")</f>
        <v/>
      </c>
      <c r="Q5636" s="5" t="str">
        <f t="shared" si="1"/>
        <v>২ পরে</v>
      </c>
    </row>
    <row r="5637">
      <c r="A5637" s="4">
        <v>3508.0</v>
      </c>
      <c r="B5637" s="2" t="s">
        <v>23060</v>
      </c>
      <c r="C5637" s="2" t="s">
        <v>9423</v>
      </c>
      <c r="D5637" s="2" t="s">
        <v>23061</v>
      </c>
      <c r="E5637" s="2" t="s">
        <v>23062</v>
      </c>
      <c r="F5637" s="2" t="b">
        <v>1</v>
      </c>
      <c r="G5637" s="2" t="b">
        <v>0</v>
      </c>
      <c r="H5637" s="2" t="s">
        <v>15120</v>
      </c>
      <c r="I5637" s="2" t="s">
        <v>32</v>
      </c>
      <c r="J5637" s="2" t="s">
        <v>1784</v>
      </c>
      <c r="K5637" s="2" t="s">
        <v>495</v>
      </c>
      <c r="L5637" s="13" t="s">
        <v>496</v>
      </c>
      <c r="M5637" s="2" t="s">
        <v>26</v>
      </c>
      <c r="N5637" s="29"/>
      <c r="O5637" s="29"/>
      <c r="P5637" s="5" t="str">
        <f>IFERROR(__xludf.DUMMYFUNCTION("TEXTJOIN("" | "",TRUE,IF(OR(D5637="""",E5637="""",I5637="""",J5637="""",H5637=""""),""ফাঁকা ঘর"",""""),IF(AND(C5637&lt;&gt;"""",D5637&lt;&gt;"""",C5637=D5637),""gloss=figurative"",""""),IF(LEN(D5637)&lt;15,""figurative ছোট"",""""),IF(AND(I5637=""Positive"",REGEXMATCH(H5"&amp;"637,""মূর্খ|ভণ্ড|প্রতার|অলস|লোভ|স্বার্থ|অক্ষম|অযোগ্য|বোকা|কৃপণ|হিংস"")),""valence-target অমিল"",""""),IF(COUNTIF($B:$B,B5637)&gt;1,""ডুপ্লিকেট"",""""))"),"")</f>
        <v/>
      </c>
      <c r="Q5637" s="5" t="str">
        <f t="shared" si="1"/>
        <v>২ পরে</v>
      </c>
    </row>
    <row r="5638">
      <c r="A5638" s="4">
        <v>3509.0</v>
      </c>
      <c r="B5638" s="2" t="s">
        <v>23063</v>
      </c>
      <c r="C5638" s="2" t="s">
        <v>23064</v>
      </c>
      <c r="D5638" s="2" t="s">
        <v>23065</v>
      </c>
      <c r="E5638" s="2" t="s">
        <v>23066</v>
      </c>
      <c r="F5638" s="2" t="b">
        <v>1</v>
      </c>
      <c r="G5638" s="2" t="b">
        <v>0</v>
      </c>
      <c r="H5638" s="2" t="s">
        <v>23067</v>
      </c>
      <c r="I5638" s="2" t="s">
        <v>22</v>
      </c>
      <c r="J5638" s="2" t="s">
        <v>3245</v>
      </c>
      <c r="K5638" s="2" t="s">
        <v>495</v>
      </c>
      <c r="L5638" s="13" t="s">
        <v>496</v>
      </c>
      <c r="M5638" s="2" t="s">
        <v>26</v>
      </c>
      <c r="N5638" s="29"/>
      <c r="O5638" s="29"/>
      <c r="P5638" s="5" t="str">
        <f>IFERROR(__xludf.DUMMYFUNCTION("TEXTJOIN("" | "",TRUE,IF(OR(D5638="""",E5638="""",I5638="""",J5638="""",H5638=""""),""ফাঁকা ঘর"",""""),IF(AND(C5638&lt;&gt;"""",D5638&lt;&gt;"""",C5638=D5638),""gloss=figurative"",""""),IF(LEN(D5638)&lt;15,""figurative ছোট"",""""),IF(AND(I5638=""Positive"",REGEXMATCH(H5"&amp;"638,""মূর্খ|ভণ্ড|প্রতার|অলস|লোভ|স্বার্থ|অক্ষম|অযোগ্য|বোকা|কৃপণ|হিংস"")),""valence-target অমিল"",""""),IF(COUNTIF($B:$B,B5638)&gt;1,""ডুপ্লিকেট"",""""))"),"")</f>
        <v/>
      </c>
      <c r="Q5638" s="5" t="str">
        <f t="shared" si="1"/>
        <v>২ পরে</v>
      </c>
    </row>
    <row r="5639">
      <c r="A5639" s="4">
        <v>3510.0</v>
      </c>
      <c r="B5639" s="2" t="s">
        <v>23068</v>
      </c>
      <c r="C5639" s="2" t="s">
        <v>23069</v>
      </c>
      <c r="D5639" s="2" t="s">
        <v>23070</v>
      </c>
      <c r="E5639" s="2" t="s">
        <v>23071</v>
      </c>
      <c r="F5639" s="2" t="b">
        <v>1</v>
      </c>
      <c r="G5639" s="2" t="b">
        <v>0</v>
      </c>
      <c r="H5639" s="2" t="s">
        <v>37</v>
      </c>
      <c r="I5639" s="2" t="s">
        <v>32</v>
      </c>
      <c r="J5639" s="2" t="s">
        <v>23072</v>
      </c>
      <c r="K5639" s="2" t="s">
        <v>495</v>
      </c>
      <c r="L5639" s="13" t="s">
        <v>496</v>
      </c>
      <c r="M5639" s="2" t="s">
        <v>26</v>
      </c>
      <c r="N5639" s="29"/>
      <c r="O5639" s="29"/>
      <c r="P5639" s="5" t="str">
        <f>IFERROR(__xludf.DUMMYFUNCTION("TEXTJOIN("" | "",TRUE,IF(OR(D5639="""",E5639="""",I5639="""",J5639="""",H5639=""""),""ফাঁকা ঘর"",""""),IF(AND(C5639&lt;&gt;"""",D5639&lt;&gt;"""",C5639=D5639),""gloss=figurative"",""""),IF(LEN(D5639)&lt;15,""figurative ছোট"",""""),IF(AND(I5639=""Positive"",REGEXMATCH(H5"&amp;"639,""মূর্খ|ভণ্ড|প্রতার|অলস|লোভ|স্বার্থ|অক্ষম|অযোগ্য|বোকা|কৃপণ|হিংস"")),""valence-target অমিল"",""""),IF(COUNTIF($B:$B,B5639)&gt;1,""ডুপ্লিকেট"",""""))"),"")</f>
        <v/>
      </c>
      <c r="Q5639" s="5" t="str">
        <f t="shared" si="1"/>
        <v>২ পরে</v>
      </c>
    </row>
    <row r="5640">
      <c r="A5640" s="4">
        <v>3511.0</v>
      </c>
      <c r="B5640" s="2" t="s">
        <v>23073</v>
      </c>
      <c r="C5640" s="2" t="s">
        <v>23073</v>
      </c>
      <c r="D5640" s="2" t="s">
        <v>23074</v>
      </c>
      <c r="E5640" s="2" t="s">
        <v>23075</v>
      </c>
      <c r="F5640" s="2" t="b">
        <v>1</v>
      </c>
      <c r="G5640" s="2" t="b">
        <v>0</v>
      </c>
      <c r="H5640" s="2" t="s">
        <v>37</v>
      </c>
      <c r="I5640" s="2" t="s">
        <v>22</v>
      </c>
      <c r="J5640" s="2" t="s">
        <v>2422</v>
      </c>
      <c r="K5640" s="2" t="s">
        <v>495</v>
      </c>
      <c r="L5640" s="13" t="s">
        <v>496</v>
      </c>
      <c r="M5640" s="2" t="s">
        <v>26</v>
      </c>
      <c r="N5640" s="29"/>
      <c r="O5640" s="29"/>
      <c r="P5640" s="5" t="str">
        <f>IFERROR(__xludf.DUMMYFUNCTION("TEXTJOIN("" | "",TRUE,IF(OR(D5640="""",E5640="""",I5640="""",J5640="""",H5640=""""),""ফাঁকা ঘর"",""""),IF(AND(C5640&lt;&gt;"""",D5640&lt;&gt;"""",C5640=D5640),""gloss=figurative"",""""),IF(LEN(D5640)&lt;15,""figurative ছোট"",""""),IF(AND(I5640=""Positive"",REGEXMATCH(H5"&amp;"640,""মূর্খ|ভণ্ড|প্রতার|অলস|লোভ|স্বার্থ|অক্ষম|অযোগ্য|বোকা|কৃপণ|হিংস"")),""valence-target অমিল"",""""),IF(COUNTIF($B:$B,B5640)&gt;1,""ডুপ্লিকেট"",""""))"),"")</f>
        <v/>
      </c>
      <c r="Q5640" s="5" t="str">
        <f t="shared" si="1"/>
        <v>২ পরে</v>
      </c>
    </row>
    <row r="5641">
      <c r="A5641" s="4">
        <v>3512.0</v>
      </c>
      <c r="B5641" s="2" t="s">
        <v>23076</v>
      </c>
      <c r="C5641" s="2" t="s">
        <v>23077</v>
      </c>
      <c r="D5641" s="2" t="s">
        <v>23078</v>
      </c>
      <c r="E5641" s="2" t="s">
        <v>23079</v>
      </c>
      <c r="F5641" s="2" t="b">
        <v>1</v>
      </c>
      <c r="G5641" s="2" t="b">
        <v>0</v>
      </c>
      <c r="H5641" s="2" t="s">
        <v>23080</v>
      </c>
      <c r="I5641" s="2" t="s">
        <v>22</v>
      </c>
      <c r="J5641" s="2" t="s">
        <v>2040</v>
      </c>
      <c r="K5641" s="2" t="s">
        <v>495</v>
      </c>
      <c r="L5641" s="13" t="s">
        <v>496</v>
      </c>
      <c r="M5641" s="2" t="s">
        <v>26</v>
      </c>
      <c r="N5641" s="29"/>
      <c r="O5641" s="29"/>
      <c r="P5641" s="5" t="str">
        <f>IFERROR(__xludf.DUMMYFUNCTION("TEXTJOIN("" | "",TRUE,IF(OR(D5641="""",E5641="""",I5641="""",J5641="""",H5641=""""),""ফাঁকা ঘর"",""""),IF(AND(C5641&lt;&gt;"""",D5641&lt;&gt;"""",C5641=D5641),""gloss=figurative"",""""),IF(LEN(D5641)&lt;15,""figurative ছোট"",""""),IF(AND(I5641=""Positive"",REGEXMATCH(H5"&amp;"641,""মূর্খ|ভণ্ড|প্রতার|অলস|লোভ|স্বার্থ|অক্ষম|অযোগ্য|বোকা|কৃপণ|হিংস"")),""valence-target অমিল"",""""),IF(COUNTIF($B:$B,B5641)&gt;1,""ডুপ্লিকেট"",""""))"),"")</f>
        <v/>
      </c>
      <c r="Q5641" s="5" t="str">
        <f t="shared" si="1"/>
        <v>২ পরে</v>
      </c>
    </row>
    <row r="5642">
      <c r="A5642" s="4">
        <v>3513.0</v>
      </c>
      <c r="B5642" s="2" t="s">
        <v>10841</v>
      </c>
      <c r="C5642" s="2" t="s">
        <v>23081</v>
      </c>
      <c r="D5642" s="2" t="s">
        <v>23082</v>
      </c>
      <c r="E5642" s="2" t="s">
        <v>23083</v>
      </c>
      <c r="F5642" s="2" t="b">
        <v>1</v>
      </c>
      <c r="G5642" s="2" t="b">
        <v>0</v>
      </c>
      <c r="H5642" s="2" t="s">
        <v>5571</v>
      </c>
      <c r="I5642" s="2" t="s">
        <v>22</v>
      </c>
      <c r="J5642" s="2" t="s">
        <v>2857</v>
      </c>
      <c r="K5642" s="2" t="s">
        <v>495</v>
      </c>
      <c r="L5642" s="13" t="s">
        <v>496</v>
      </c>
      <c r="M5642" s="2" t="s">
        <v>26</v>
      </c>
      <c r="N5642" s="29"/>
      <c r="O5642" s="29"/>
      <c r="P5642" s="5" t="str">
        <f>IFERROR(__xludf.DUMMYFUNCTION("TEXTJOIN("" | "",TRUE,IF(OR(D5642="""",E5642="""",I5642="""",J5642="""",H5642=""""),""ফাঁকা ঘর"",""""),IF(AND(C5642&lt;&gt;"""",D5642&lt;&gt;"""",C5642=D5642),""gloss=figurative"",""""),IF(LEN(D5642)&lt;15,""figurative ছোট"",""""),IF(AND(I5642=""Positive"",REGEXMATCH(H5"&amp;"642,""মূর্খ|ভণ্ড|প্রতার|অলস|লোভ|স্বার্থ|অক্ষম|অযোগ্য|বোকা|কৃপণ|হিংস"")),""valence-target অমিল"",""""),IF(COUNTIF($B:$B,B5642)&gt;1,""ডুপ্লিকেট"",""""))"),"")</f>
        <v/>
      </c>
      <c r="Q5642" s="5" t="str">
        <f t="shared" si="1"/>
        <v>২ পরে</v>
      </c>
    </row>
    <row r="5643">
      <c r="A5643" s="4">
        <v>3514.0</v>
      </c>
      <c r="B5643" s="2" t="s">
        <v>23084</v>
      </c>
      <c r="C5643" s="2" t="s">
        <v>23085</v>
      </c>
      <c r="D5643" s="2" t="s">
        <v>23086</v>
      </c>
      <c r="E5643" s="2" t="s">
        <v>23087</v>
      </c>
      <c r="F5643" s="2" t="b">
        <v>1</v>
      </c>
      <c r="G5643" s="2" t="b">
        <v>0</v>
      </c>
      <c r="H5643" s="2" t="s">
        <v>23067</v>
      </c>
      <c r="I5643" s="2" t="s">
        <v>22</v>
      </c>
      <c r="J5643" s="2" t="s">
        <v>723</v>
      </c>
      <c r="K5643" s="2" t="s">
        <v>495</v>
      </c>
      <c r="L5643" s="13" t="s">
        <v>496</v>
      </c>
      <c r="M5643" s="2" t="s">
        <v>26</v>
      </c>
      <c r="N5643" s="29"/>
      <c r="O5643" s="29"/>
      <c r="P5643" s="5" t="str">
        <f>IFERROR(__xludf.DUMMYFUNCTION("TEXTJOIN("" | "",TRUE,IF(OR(D5643="""",E5643="""",I5643="""",J5643="""",H5643=""""),""ফাঁকা ঘর"",""""),IF(AND(C5643&lt;&gt;"""",D5643&lt;&gt;"""",C5643=D5643),""gloss=figurative"",""""),IF(LEN(D5643)&lt;15,""figurative ছোট"",""""),IF(AND(I5643=""Positive"",REGEXMATCH(H5"&amp;"643,""মূর্খ|ভণ্ড|প্রতার|অলস|লোভ|স্বার্থ|অক্ষম|অযোগ্য|বোকা|কৃপণ|হিংস"")),""valence-target অমিল"",""""),IF(COUNTIF($B:$B,B5643)&gt;1,""ডুপ্লিকেট"",""""))"),"")</f>
        <v/>
      </c>
      <c r="Q5643" s="5" t="str">
        <f t="shared" si="1"/>
        <v>২ পরে</v>
      </c>
    </row>
    <row r="5644">
      <c r="A5644" s="4">
        <v>3515.0</v>
      </c>
      <c r="B5644" s="2" t="s">
        <v>23088</v>
      </c>
      <c r="C5644" s="2" t="s">
        <v>23089</v>
      </c>
      <c r="D5644" s="2" t="s">
        <v>23090</v>
      </c>
      <c r="E5644" s="2" t="s">
        <v>23091</v>
      </c>
      <c r="F5644" s="2" t="b">
        <v>1</v>
      </c>
      <c r="G5644" s="2" t="b">
        <v>0</v>
      </c>
      <c r="H5644" s="2" t="s">
        <v>749</v>
      </c>
      <c r="I5644" s="2" t="s">
        <v>22</v>
      </c>
      <c r="J5644" s="2" t="s">
        <v>723</v>
      </c>
      <c r="K5644" s="2" t="s">
        <v>495</v>
      </c>
      <c r="L5644" s="13" t="s">
        <v>496</v>
      </c>
      <c r="M5644" s="2" t="s">
        <v>26</v>
      </c>
      <c r="N5644" s="29"/>
      <c r="O5644" s="29"/>
      <c r="P5644" s="5" t="str">
        <f>IFERROR(__xludf.DUMMYFUNCTION("TEXTJOIN("" | "",TRUE,IF(OR(D5644="""",E5644="""",I5644="""",J5644="""",H5644=""""),""ফাঁকা ঘর"",""""),IF(AND(C5644&lt;&gt;"""",D5644&lt;&gt;"""",C5644=D5644),""gloss=figurative"",""""),IF(LEN(D5644)&lt;15,""figurative ছোট"",""""),IF(AND(I5644=""Positive"",REGEXMATCH(H5"&amp;"644,""মূর্খ|ভণ্ড|প্রতার|অলস|লোভ|স্বার্থ|অক্ষম|অযোগ্য|বোকা|কৃপণ|হিংস"")),""valence-target অমিল"",""""),IF(COUNTIF($B:$B,B5644)&gt;1,""ডুপ্লিকেট"",""""))"),"")</f>
        <v/>
      </c>
      <c r="Q5644" s="5" t="str">
        <f t="shared" si="1"/>
        <v>২ পরে</v>
      </c>
    </row>
    <row r="5645">
      <c r="A5645" s="4">
        <v>3516.0</v>
      </c>
      <c r="B5645" s="2" t="s">
        <v>23092</v>
      </c>
      <c r="C5645" s="2" t="s">
        <v>23092</v>
      </c>
      <c r="D5645" s="2" t="s">
        <v>23093</v>
      </c>
      <c r="E5645" s="2" t="s">
        <v>23094</v>
      </c>
      <c r="F5645" s="2" t="b">
        <v>1</v>
      </c>
      <c r="G5645" s="2" t="b">
        <v>0</v>
      </c>
      <c r="H5645" s="2" t="s">
        <v>37</v>
      </c>
      <c r="I5645" s="2" t="s">
        <v>49</v>
      </c>
      <c r="J5645" s="2" t="s">
        <v>436</v>
      </c>
      <c r="K5645" s="2" t="s">
        <v>495</v>
      </c>
      <c r="L5645" s="13" t="s">
        <v>496</v>
      </c>
      <c r="M5645" s="2" t="s">
        <v>26</v>
      </c>
      <c r="N5645" s="29"/>
      <c r="O5645" s="29"/>
      <c r="P5645" s="5" t="str">
        <f>IFERROR(__xludf.DUMMYFUNCTION("TEXTJOIN("" | "",TRUE,IF(OR(D5645="""",E5645="""",I5645="""",J5645="""",H5645=""""),""ফাঁকা ঘর"",""""),IF(AND(C5645&lt;&gt;"""",D5645&lt;&gt;"""",C5645=D5645),""gloss=figurative"",""""),IF(LEN(D5645)&lt;15,""figurative ছোট"",""""),IF(AND(I5645=""Positive"",REGEXMATCH(H5"&amp;"645,""মূর্খ|ভণ্ড|প্রতার|অলস|লোভ|স্বার্থ|অক্ষম|অযোগ্য|বোকা|কৃপণ|হিংস"")),""valence-target অমিল"",""""),IF(COUNTIF($B:$B,B5645)&gt;1,""ডুপ্লিকেট"",""""))"),"")</f>
        <v/>
      </c>
      <c r="Q5645" s="5" t="str">
        <f t="shared" si="1"/>
        <v>২ পরে</v>
      </c>
    </row>
    <row r="5646">
      <c r="A5646" s="4">
        <v>3517.0</v>
      </c>
      <c r="B5646" s="2" t="s">
        <v>23095</v>
      </c>
      <c r="C5646" s="2" t="s">
        <v>23095</v>
      </c>
      <c r="D5646" s="2" t="s">
        <v>23096</v>
      </c>
      <c r="E5646" s="2" t="s">
        <v>23097</v>
      </c>
      <c r="F5646" s="2" t="b">
        <v>1</v>
      </c>
      <c r="G5646" s="2" t="b">
        <v>0</v>
      </c>
      <c r="H5646" s="2" t="s">
        <v>23098</v>
      </c>
      <c r="I5646" s="2" t="s">
        <v>22</v>
      </c>
      <c r="J5646" s="2" t="s">
        <v>4112</v>
      </c>
      <c r="K5646" s="2" t="s">
        <v>495</v>
      </c>
      <c r="L5646" s="13" t="s">
        <v>496</v>
      </c>
      <c r="M5646" s="2" t="s">
        <v>26</v>
      </c>
      <c r="N5646" s="29"/>
      <c r="O5646" s="29"/>
      <c r="P5646" s="5" t="str">
        <f>IFERROR(__xludf.DUMMYFUNCTION("TEXTJOIN("" | "",TRUE,IF(OR(D5646="""",E5646="""",I5646="""",J5646="""",H5646=""""),""ফাঁকা ঘর"",""""),IF(AND(C5646&lt;&gt;"""",D5646&lt;&gt;"""",C5646=D5646),""gloss=figurative"",""""),IF(LEN(D5646)&lt;15,""figurative ছোট"",""""),IF(AND(I5646=""Positive"",REGEXMATCH(H5"&amp;"646,""মূর্খ|ভণ্ড|প্রতার|অলস|লোভ|স্বার্থ|অক্ষম|অযোগ্য|বোকা|কৃপণ|হিংস"")),""valence-target অমিল"",""""),IF(COUNTIF($B:$B,B5646)&gt;1,""ডুপ্লিকেট"",""""))"),"")</f>
        <v/>
      </c>
      <c r="Q5646" s="5" t="str">
        <f t="shared" si="1"/>
        <v>২ পরে</v>
      </c>
    </row>
    <row r="5647">
      <c r="A5647" s="4">
        <v>3518.0</v>
      </c>
      <c r="B5647" s="2" t="s">
        <v>23099</v>
      </c>
      <c r="C5647" s="2" t="s">
        <v>23100</v>
      </c>
      <c r="D5647" s="2" t="s">
        <v>23101</v>
      </c>
      <c r="E5647" s="2" t="s">
        <v>23102</v>
      </c>
      <c r="F5647" s="2" t="b">
        <v>1</v>
      </c>
      <c r="G5647" s="2" t="b">
        <v>0</v>
      </c>
      <c r="H5647" s="2" t="s">
        <v>749</v>
      </c>
      <c r="I5647" s="2" t="s">
        <v>22</v>
      </c>
      <c r="J5647" s="2" t="s">
        <v>750</v>
      </c>
      <c r="K5647" s="2" t="s">
        <v>495</v>
      </c>
      <c r="L5647" s="13" t="s">
        <v>496</v>
      </c>
      <c r="M5647" s="2" t="s">
        <v>26</v>
      </c>
      <c r="N5647" s="29"/>
      <c r="O5647" s="29"/>
      <c r="P5647" s="5" t="str">
        <f>IFERROR(__xludf.DUMMYFUNCTION("TEXTJOIN("" | "",TRUE,IF(OR(D5647="""",E5647="""",I5647="""",J5647="""",H5647=""""),""ফাঁকা ঘর"",""""),IF(AND(C5647&lt;&gt;"""",D5647&lt;&gt;"""",C5647=D5647),""gloss=figurative"",""""),IF(LEN(D5647)&lt;15,""figurative ছোট"",""""),IF(AND(I5647=""Positive"",REGEXMATCH(H5"&amp;"647,""মূর্খ|ভণ্ড|প্রতার|অলস|লোভ|স্বার্থ|অক্ষম|অযোগ্য|বোকা|কৃপণ|হিংস"")),""valence-target অমিল"",""""),IF(COUNTIF($B:$B,B5647)&gt;1,""ডুপ্লিকেট"",""""))"),"")</f>
        <v/>
      </c>
      <c r="Q5647" s="5" t="str">
        <f t="shared" si="1"/>
        <v>২ পরে</v>
      </c>
    </row>
    <row r="5648">
      <c r="A5648" s="4">
        <v>3520.0</v>
      </c>
      <c r="B5648" s="2" t="s">
        <v>23103</v>
      </c>
      <c r="C5648" s="2" t="s">
        <v>23104</v>
      </c>
      <c r="D5648" s="2" t="s">
        <v>23105</v>
      </c>
      <c r="E5648" s="2" t="s">
        <v>23106</v>
      </c>
      <c r="F5648" s="2" t="b">
        <v>1</v>
      </c>
      <c r="G5648" s="2" t="b">
        <v>0</v>
      </c>
      <c r="H5648" s="2" t="s">
        <v>37</v>
      </c>
      <c r="I5648" s="2" t="s">
        <v>49</v>
      </c>
      <c r="J5648" s="2" t="s">
        <v>762</v>
      </c>
      <c r="K5648" s="2" t="s">
        <v>495</v>
      </c>
      <c r="L5648" s="13" t="s">
        <v>496</v>
      </c>
      <c r="M5648" s="2" t="s">
        <v>26</v>
      </c>
      <c r="N5648" s="29"/>
      <c r="O5648" s="29"/>
      <c r="P5648" s="5" t="str">
        <f>IFERROR(__xludf.DUMMYFUNCTION("TEXTJOIN("" | "",TRUE,IF(OR(D5648="""",E5648="""",I5648="""",J5648="""",H5648=""""),""ফাঁকা ঘর"",""""),IF(AND(C5648&lt;&gt;"""",D5648&lt;&gt;"""",C5648=D5648),""gloss=figurative"",""""),IF(LEN(D5648)&lt;15,""figurative ছোট"",""""),IF(AND(I5648=""Positive"",REGEXMATCH(H5"&amp;"648,""মূর্খ|ভণ্ড|প্রতার|অলস|লোভ|স্বার্থ|অক্ষম|অযোগ্য|বোকা|কৃপণ|হিংস"")),""valence-target অমিল"",""""),IF(COUNTIF($B:$B,B5648)&gt;1,""ডুপ্লিকেট"",""""))"),"")</f>
        <v/>
      </c>
      <c r="Q5648" s="5" t="str">
        <f t="shared" si="1"/>
        <v>২ পরে</v>
      </c>
    </row>
    <row r="5649">
      <c r="A5649" s="4">
        <v>3521.0</v>
      </c>
      <c r="B5649" s="2" t="s">
        <v>23107</v>
      </c>
      <c r="C5649" s="2" t="s">
        <v>23108</v>
      </c>
      <c r="D5649" s="2" t="s">
        <v>23109</v>
      </c>
      <c r="E5649" s="2" t="s">
        <v>23110</v>
      </c>
      <c r="F5649" s="2" t="b">
        <v>1</v>
      </c>
      <c r="G5649" s="2" t="b">
        <v>0</v>
      </c>
      <c r="H5649" s="2" t="s">
        <v>37</v>
      </c>
      <c r="I5649" s="2" t="s">
        <v>22</v>
      </c>
      <c r="J5649" s="2" t="s">
        <v>4946</v>
      </c>
      <c r="K5649" s="2" t="s">
        <v>495</v>
      </c>
      <c r="L5649" s="13" t="s">
        <v>496</v>
      </c>
      <c r="M5649" s="2" t="s">
        <v>26</v>
      </c>
      <c r="N5649" s="29"/>
      <c r="O5649" s="29"/>
      <c r="P5649" s="5" t="str">
        <f>IFERROR(__xludf.DUMMYFUNCTION("TEXTJOIN("" | "",TRUE,IF(OR(D5649="""",E5649="""",I5649="""",J5649="""",H5649=""""),""ফাঁকা ঘর"",""""),IF(AND(C5649&lt;&gt;"""",D5649&lt;&gt;"""",C5649=D5649),""gloss=figurative"",""""),IF(LEN(D5649)&lt;15,""figurative ছোট"",""""),IF(AND(I5649=""Positive"",REGEXMATCH(H5"&amp;"649,""মূর্খ|ভণ্ড|প্রতার|অলস|লোভ|স্বার্থ|অক্ষম|অযোগ্য|বোকা|কৃপণ|হিংস"")),""valence-target অমিল"",""""),IF(COUNTIF($B:$B,B5649)&gt;1,""ডুপ্লিকেট"",""""))"),"")</f>
        <v/>
      </c>
      <c r="Q5649" s="5" t="str">
        <f t="shared" si="1"/>
        <v>২ পরে</v>
      </c>
    </row>
    <row r="5650">
      <c r="A5650" s="4">
        <v>3522.0</v>
      </c>
      <c r="B5650" s="2" t="s">
        <v>23111</v>
      </c>
      <c r="C5650" s="2" t="s">
        <v>23112</v>
      </c>
      <c r="D5650" s="2" t="s">
        <v>23113</v>
      </c>
      <c r="E5650" s="2" t="s">
        <v>23114</v>
      </c>
      <c r="F5650" s="2" t="b">
        <v>1</v>
      </c>
      <c r="G5650" s="2" t="b">
        <v>0</v>
      </c>
      <c r="H5650" s="2" t="s">
        <v>37</v>
      </c>
      <c r="I5650" s="2" t="s">
        <v>49</v>
      </c>
      <c r="J5650" s="2" t="s">
        <v>2742</v>
      </c>
      <c r="K5650" s="2" t="s">
        <v>495</v>
      </c>
      <c r="L5650" s="13" t="s">
        <v>496</v>
      </c>
      <c r="M5650" s="2" t="s">
        <v>26</v>
      </c>
      <c r="N5650" s="29"/>
      <c r="O5650" s="29"/>
      <c r="P5650" s="5" t="str">
        <f>IFERROR(__xludf.DUMMYFUNCTION("TEXTJOIN("" | "",TRUE,IF(OR(D5650="""",E5650="""",I5650="""",J5650="""",H5650=""""),""ফাঁকা ঘর"",""""),IF(AND(C5650&lt;&gt;"""",D5650&lt;&gt;"""",C5650=D5650),""gloss=figurative"",""""),IF(LEN(D5650)&lt;15,""figurative ছোট"",""""),IF(AND(I5650=""Positive"",REGEXMATCH(H5"&amp;"650,""মূর্খ|ভণ্ড|প্রতার|অলস|লোভ|স্বার্থ|অক্ষম|অযোগ্য|বোকা|কৃপণ|হিংস"")),""valence-target অমিল"",""""),IF(COUNTIF($B:$B,B5650)&gt;1,""ডুপ্লিকেট"",""""))"),"")</f>
        <v/>
      </c>
      <c r="Q5650" s="5" t="str">
        <f t="shared" si="1"/>
        <v>২ পরে</v>
      </c>
    </row>
    <row r="5651">
      <c r="A5651" s="4">
        <v>3523.0</v>
      </c>
      <c r="B5651" s="2" t="s">
        <v>23115</v>
      </c>
      <c r="C5651" s="2" t="s">
        <v>23116</v>
      </c>
      <c r="D5651" s="2" t="s">
        <v>23117</v>
      </c>
      <c r="E5651" s="2" t="s">
        <v>23118</v>
      </c>
      <c r="F5651" s="2" t="b">
        <v>1</v>
      </c>
      <c r="G5651" s="2" t="b">
        <v>0</v>
      </c>
      <c r="H5651" s="2" t="s">
        <v>37</v>
      </c>
      <c r="I5651" s="2" t="s">
        <v>32</v>
      </c>
      <c r="J5651" s="2" t="s">
        <v>553</v>
      </c>
      <c r="K5651" s="2" t="s">
        <v>495</v>
      </c>
      <c r="L5651" s="13" t="s">
        <v>496</v>
      </c>
      <c r="M5651" s="2" t="s">
        <v>26</v>
      </c>
      <c r="N5651" s="29"/>
      <c r="O5651" s="29"/>
      <c r="P5651" s="5" t="str">
        <f>IFERROR(__xludf.DUMMYFUNCTION("TEXTJOIN("" | "",TRUE,IF(OR(D5651="""",E5651="""",I5651="""",J5651="""",H5651=""""),""ফাঁকা ঘর"",""""),IF(AND(C5651&lt;&gt;"""",D5651&lt;&gt;"""",C5651=D5651),""gloss=figurative"",""""),IF(LEN(D5651)&lt;15,""figurative ছোট"",""""),IF(AND(I5651=""Positive"",REGEXMATCH(H5"&amp;"651,""মূর্খ|ভণ্ড|প্রতার|অলস|লোভ|স্বার্থ|অক্ষম|অযোগ্য|বোকা|কৃপণ|হিংস"")),""valence-target অমিল"",""""),IF(COUNTIF($B:$B,B5651)&gt;1,""ডুপ্লিকেট"",""""))"),"")</f>
        <v/>
      </c>
      <c r="Q5651" s="5" t="str">
        <f t="shared" si="1"/>
        <v>২ পরে</v>
      </c>
    </row>
    <row r="5652">
      <c r="A5652" s="4">
        <v>3524.0</v>
      </c>
      <c r="B5652" s="2" t="s">
        <v>23119</v>
      </c>
      <c r="C5652" s="2" t="s">
        <v>23120</v>
      </c>
      <c r="D5652" s="2" t="s">
        <v>23121</v>
      </c>
      <c r="E5652" s="2" t="s">
        <v>23122</v>
      </c>
      <c r="F5652" s="2" t="b">
        <v>1</v>
      </c>
      <c r="G5652" s="2" t="b">
        <v>0</v>
      </c>
      <c r="H5652" s="2" t="s">
        <v>756</v>
      </c>
      <c r="I5652" s="2" t="s">
        <v>22</v>
      </c>
      <c r="J5652" s="2" t="s">
        <v>729</v>
      </c>
      <c r="K5652" s="2" t="s">
        <v>495</v>
      </c>
      <c r="L5652" s="13" t="s">
        <v>496</v>
      </c>
      <c r="M5652" s="2" t="s">
        <v>26</v>
      </c>
      <c r="N5652" s="29"/>
      <c r="O5652" s="29"/>
      <c r="P5652" s="5" t="str">
        <f>IFERROR(__xludf.DUMMYFUNCTION("TEXTJOIN("" | "",TRUE,IF(OR(D5652="""",E5652="""",I5652="""",J5652="""",H5652=""""),""ফাঁকা ঘর"",""""),IF(AND(C5652&lt;&gt;"""",D5652&lt;&gt;"""",C5652=D5652),""gloss=figurative"",""""),IF(LEN(D5652)&lt;15,""figurative ছোট"",""""),IF(AND(I5652=""Positive"",REGEXMATCH(H5"&amp;"652,""মূর্খ|ভণ্ড|প্রতার|অলস|লোভ|স্বার্থ|অক্ষম|অযোগ্য|বোকা|কৃপণ|হিংস"")),""valence-target অমিল"",""""),IF(COUNTIF($B:$B,B5652)&gt;1,""ডুপ্লিকেট"",""""))"),"")</f>
        <v/>
      </c>
      <c r="Q5652" s="5" t="str">
        <f t="shared" si="1"/>
        <v>২ পরে</v>
      </c>
    </row>
    <row r="5653">
      <c r="A5653" s="4">
        <v>3525.0</v>
      </c>
      <c r="B5653" s="2" t="s">
        <v>23123</v>
      </c>
      <c r="C5653" s="2" t="s">
        <v>23124</v>
      </c>
      <c r="D5653" s="2" t="s">
        <v>23125</v>
      </c>
      <c r="E5653" s="2" t="s">
        <v>23126</v>
      </c>
      <c r="F5653" s="2" t="b">
        <v>1</v>
      </c>
      <c r="G5653" s="2" t="b">
        <v>0</v>
      </c>
      <c r="H5653" s="2" t="s">
        <v>37</v>
      </c>
      <c r="I5653" s="2" t="s">
        <v>32</v>
      </c>
      <c r="J5653" s="2" t="s">
        <v>23127</v>
      </c>
      <c r="K5653" s="2" t="s">
        <v>495</v>
      </c>
      <c r="L5653" s="13" t="s">
        <v>496</v>
      </c>
      <c r="M5653" s="2" t="s">
        <v>26</v>
      </c>
      <c r="N5653" s="29"/>
      <c r="O5653" s="29"/>
      <c r="P5653" s="5" t="str">
        <f>IFERROR(__xludf.DUMMYFUNCTION("TEXTJOIN("" | "",TRUE,IF(OR(D5653="""",E5653="""",I5653="""",J5653="""",H5653=""""),""ফাঁকা ঘর"",""""),IF(AND(C5653&lt;&gt;"""",D5653&lt;&gt;"""",C5653=D5653),""gloss=figurative"",""""),IF(LEN(D5653)&lt;15,""figurative ছোট"",""""),IF(AND(I5653=""Positive"",REGEXMATCH(H5"&amp;"653,""মূর্খ|ভণ্ড|প্রতার|অলস|লোভ|স্বার্থ|অক্ষম|অযোগ্য|বোকা|কৃপণ|হিংস"")),""valence-target অমিল"",""""),IF(COUNTIF($B:$B,B5653)&gt;1,""ডুপ্লিকেট"",""""))"),"")</f>
        <v/>
      </c>
      <c r="Q5653" s="5" t="str">
        <f t="shared" si="1"/>
        <v>২ পরে</v>
      </c>
    </row>
    <row r="5654">
      <c r="A5654" s="4">
        <v>3526.0</v>
      </c>
      <c r="B5654" s="2" t="s">
        <v>23128</v>
      </c>
      <c r="C5654" s="2" t="s">
        <v>23129</v>
      </c>
      <c r="D5654" s="2" t="s">
        <v>23130</v>
      </c>
      <c r="E5654" s="2" t="s">
        <v>23131</v>
      </c>
      <c r="F5654" s="2" t="b">
        <v>1</v>
      </c>
      <c r="G5654" s="2" t="b">
        <v>0</v>
      </c>
      <c r="H5654" s="2" t="s">
        <v>756</v>
      </c>
      <c r="I5654" s="2" t="s">
        <v>22</v>
      </c>
      <c r="J5654" s="2" t="s">
        <v>6766</v>
      </c>
      <c r="K5654" s="2" t="s">
        <v>495</v>
      </c>
      <c r="L5654" s="13" t="s">
        <v>496</v>
      </c>
      <c r="M5654" s="2" t="s">
        <v>26</v>
      </c>
      <c r="N5654" s="29"/>
      <c r="O5654" s="29"/>
      <c r="P5654" s="5" t="str">
        <f>IFERROR(__xludf.DUMMYFUNCTION("TEXTJOIN("" | "",TRUE,IF(OR(D5654="""",E5654="""",I5654="""",J5654="""",H5654=""""),""ফাঁকা ঘর"",""""),IF(AND(C5654&lt;&gt;"""",D5654&lt;&gt;"""",C5654=D5654),""gloss=figurative"",""""),IF(LEN(D5654)&lt;15,""figurative ছোট"",""""),IF(AND(I5654=""Positive"",REGEXMATCH(H5"&amp;"654,""মূর্খ|ভণ্ড|প্রতার|অলস|লোভ|স্বার্থ|অক্ষম|অযোগ্য|বোকা|কৃপণ|হিংস"")),""valence-target অমিল"",""""),IF(COUNTIF($B:$B,B5654)&gt;1,""ডুপ্লিকেট"",""""))"),"")</f>
        <v/>
      </c>
      <c r="Q5654" s="5" t="str">
        <f t="shared" si="1"/>
        <v>২ পরে</v>
      </c>
    </row>
    <row r="5655">
      <c r="A5655" s="4">
        <v>3527.0</v>
      </c>
      <c r="B5655" s="2" t="s">
        <v>4596</v>
      </c>
      <c r="C5655" s="2" t="s">
        <v>4596</v>
      </c>
      <c r="D5655" s="2" t="s">
        <v>23132</v>
      </c>
      <c r="E5655" s="2" t="s">
        <v>23133</v>
      </c>
      <c r="F5655" s="2" t="b">
        <v>1</v>
      </c>
      <c r="G5655" s="2" t="b">
        <v>0</v>
      </c>
      <c r="H5655" s="2" t="s">
        <v>756</v>
      </c>
      <c r="I5655" s="2" t="s">
        <v>22</v>
      </c>
      <c r="J5655" s="2" t="s">
        <v>43</v>
      </c>
      <c r="K5655" s="2" t="s">
        <v>495</v>
      </c>
      <c r="L5655" s="13" t="s">
        <v>496</v>
      </c>
      <c r="M5655" s="2" t="s">
        <v>26</v>
      </c>
      <c r="N5655" s="29"/>
      <c r="O5655" s="29"/>
      <c r="P5655" s="5" t="str">
        <f>IFERROR(__xludf.DUMMYFUNCTION("TEXTJOIN("" | "",TRUE,IF(OR(D5655="""",E5655="""",I5655="""",J5655="""",H5655=""""),""ফাঁকা ঘর"",""""),IF(AND(C5655&lt;&gt;"""",D5655&lt;&gt;"""",C5655=D5655),""gloss=figurative"",""""),IF(LEN(D5655)&lt;15,""figurative ছোট"",""""),IF(AND(I5655=""Positive"",REGEXMATCH(H5"&amp;"655,""মূর্খ|ভণ্ড|প্রতার|অলস|লোভ|স্বার্থ|অক্ষম|অযোগ্য|বোকা|কৃপণ|হিংস"")),""valence-target অমিল"",""""),IF(COUNTIF($B:$B,B5655)&gt;1,""ডুপ্লিকেট"",""""))"),"")</f>
        <v/>
      </c>
      <c r="Q5655" s="5" t="str">
        <f t="shared" si="1"/>
        <v>২ পরে</v>
      </c>
    </row>
    <row r="5656">
      <c r="A5656" s="4">
        <v>3529.0</v>
      </c>
      <c r="B5656" s="2" t="s">
        <v>23134</v>
      </c>
      <c r="C5656" s="2" t="s">
        <v>23135</v>
      </c>
      <c r="D5656" s="2" t="s">
        <v>23136</v>
      </c>
      <c r="E5656" s="2" t="s">
        <v>23137</v>
      </c>
      <c r="F5656" s="2" t="b">
        <v>1</v>
      </c>
      <c r="G5656" s="2" t="b">
        <v>0</v>
      </c>
      <c r="H5656" s="2" t="s">
        <v>756</v>
      </c>
      <c r="I5656" s="2" t="s">
        <v>22</v>
      </c>
      <c r="J5656" s="2" t="s">
        <v>669</v>
      </c>
      <c r="K5656" s="2" t="s">
        <v>495</v>
      </c>
      <c r="L5656" s="13" t="s">
        <v>496</v>
      </c>
      <c r="M5656" s="2" t="s">
        <v>26</v>
      </c>
      <c r="N5656" s="29"/>
      <c r="O5656" s="29"/>
      <c r="P5656" s="5" t="str">
        <f>IFERROR(__xludf.DUMMYFUNCTION("TEXTJOIN("" | "",TRUE,IF(OR(D5656="""",E5656="""",I5656="""",J5656="""",H5656=""""),""ফাঁকা ঘর"",""""),IF(AND(C5656&lt;&gt;"""",D5656&lt;&gt;"""",C5656=D5656),""gloss=figurative"",""""),IF(LEN(D5656)&lt;15,""figurative ছোট"",""""),IF(AND(I5656=""Positive"",REGEXMATCH(H5"&amp;"656,""মূর্খ|ভণ্ড|প্রতার|অলস|লোভ|স্বার্থ|অক্ষম|অযোগ্য|বোকা|কৃপণ|হিংস"")),""valence-target অমিল"",""""),IF(COUNTIF($B:$B,B5656)&gt;1,""ডুপ্লিকেট"",""""))"),"")</f>
        <v/>
      </c>
      <c r="Q5656" s="5" t="str">
        <f t="shared" si="1"/>
        <v>২ পরে</v>
      </c>
    </row>
    <row r="5657">
      <c r="A5657" s="4">
        <v>3530.0</v>
      </c>
      <c r="B5657" s="2" t="s">
        <v>23138</v>
      </c>
      <c r="C5657" s="2" t="s">
        <v>23138</v>
      </c>
      <c r="D5657" s="2" t="s">
        <v>23139</v>
      </c>
      <c r="E5657" s="2" t="s">
        <v>23140</v>
      </c>
      <c r="F5657" s="2" t="b">
        <v>1</v>
      </c>
      <c r="G5657" s="2" t="b">
        <v>0</v>
      </c>
      <c r="H5657" s="2" t="s">
        <v>756</v>
      </c>
      <c r="I5657" s="2" t="s">
        <v>22</v>
      </c>
      <c r="J5657" s="2" t="s">
        <v>669</v>
      </c>
      <c r="K5657" s="2" t="s">
        <v>495</v>
      </c>
      <c r="L5657" s="13" t="s">
        <v>496</v>
      </c>
      <c r="M5657" s="2" t="s">
        <v>26</v>
      </c>
      <c r="N5657" s="29"/>
      <c r="O5657" s="29"/>
      <c r="P5657" s="5" t="str">
        <f>IFERROR(__xludf.DUMMYFUNCTION("TEXTJOIN("" | "",TRUE,IF(OR(D5657="""",E5657="""",I5657="""",J5657="""",H5657=""""),""ফাঁকা ঘর"",""""),IF(AND(C5657&lt;&gt;"""",D5657&lt;&gt;"""",C5657=D5657),""gloss=figurative"",""""),IF(LEN(D5657)&lt;15,""figurative ছোট"",""""),IF(AND(I5657=""Positive"",REGEXMATCH(H5"&amp;"657,""মূর্খ|ভণ্ড|প্রতার|অলস|লোভ|স্বার্থ|অক্ষম|অযোগ্য|বোকা|কৃপণ|হিংস"")),""valence-target অমিল"",""""),IF(COUNTIF($B:$B,B5657)&gt;1,""ডুপ্লিকেট"",""""))"),"")</f>
        <v/>
      </c>
      <c r="Q5657" s="5" t="str">
        <f t="shared" si="1"/>
        <v>২ পরে</v>
      </c>
    </row>
    <row r="5658">
      <c r="A5658" s="4">
        <v>3531.0</v>
      </c>
      <c r="B5658" s="2" t="s">
        <v>23141</v>
      </c>
      <c r="C5658" s="2" t="s">
        <v>23142</v>
      </c>
      <c r="D5658" s="2" t="s">
        <v>23143</v>
      </c>
      <c r="E5658" s="2" t="s">
        <v>23144</v>
      </c>
      <c r="F5658" s="2" t="b">
        <v>1</v>
      </c>
      <c r="G5658" s="2" t="b">
        <v>0</v>
      </c>
      <c r="H5658" s="2" t="s">
        <v>23145</v>
      </c>
      <c r="I5658" s="2" t="s">
        <v>22</v>
      </c>
      <c r="J5658" s="2" t="s">
        <v>669</v>
      </c>
      <c r="K5658" s="2" t="s">
        <v>495</v>
      </c>
      <c r="L5658" s="13" t="s">
        <v>496</v>
      </c>
      <c r="M5658" s="2" t="s">
        <v>26</v>
      </c>
      <c r="N5658" s="29"/>
      <c r="O5658" s="29"/>
      <c r="P5658" s="5" t="str">
        <f>IFERROR(__xludf.DUMMYFUNCTION("TEXTJOIN("" | "",TRUE,IF(OR(D5658="""",E5658="""",I5658="""",J5658="""",H5658=""""),""ফাঁকা ঘর"",""""),IF(AND(C5658&lt;&gt;"""",D5658&lt;&gt;"""",C5658=D5658),""gloss=figurative"",""""),IF(LEN(D5658)&lt;15,""figurative ছোট"",""""),IF(AND(I5658=""Positive"",REGEXMATCH(H5"&amp;"658,""মূর্খ|ভণ্ড|প্রতার|অলস|লোভ|স্বার্থ|অক্ষম|অযোগ্য|বোকা|কৃপণ|হিংস"")),""valence-target অমিল"",""""),IF(COUNTIF($B:$B,B5658)&gt;1,""ডুপ্লিকেট"",""""))"),"")</f>
        <v/>
      </c>
      <c r="Q5658" s="5" t="str">
        <f t="shared" si="1"/>
        <v>২ পরে</v>
      </c>
    </row>
    <row r="5659">
      <c r="A5659" s="4">
        <v>3532.0</v>
      </c>
      <c r="B5659" s="2" t="s">
        <v>23146</v>
      </c>
      <c r="C5659" s="2" t="s">
        <v>23147</v>
      </c>
      <c r="D5659" s="2" t="s">
        <v>23148</v>
      </c>
      <c r="E5659" s="2" t="s">
        <v>23149</v>
      </c>
      <c r="F5659" s="2" t="b">
        <v>1</v>
      </c>
      <c r="G5659" s="2" t="b">
        <v>0</v>
      </c>
      <c r="H5659" s="2" t="s">
        <v>23150</v>
      </c>
      <c r="I5659" s="2" t="s">
        <v>22</v>
      </c>
      <c r="J5659" s="2" t="s">
        <v>820</v>
      </c>
      <c r="K5659" s="2" t="s">
        <v>495</v>
      </c>
      <c r="L5659" s="13" t="s">
        <v>496</v>
      </c>
      <c r="M5659" s="2" t="s">
        <v>26</v>
      </c>
      <c r="N5659" s="29"/>
      <c r="O5659" s="29"/>
      <c r="P5659" s="5" t="str">
        <f>IFERROR(__xludf.DUMMYFUNCTION("TEXTJOIN("" | "",TRUE,IF(OR(D5659="""",E5659="""",I5659="""",J5659="""",H5659=""""),""ফাঁকা ঘর"",""""),IF(AND(C5659&lt;&gt;"""",D5659&lt;&gt;"""",C5659=D5659),""gloss=figurative"",""""),IF(LEN(D5659)&lt;15,""figurative ছোট"",""""),IF(AND(I5659=""Positive"",REGEXMATCH(H5"&amp;"659,""মূর্খ|ভণ্ড|প্রতার|অলস|লোভ|স্বার্থ|অক্ষম|অযোগ্য|বোকা|কৃপণ|হিংস"")),""valence-target অমিল"",""""),IF(COUNTIF($B:$B,B5659)&gt;1,""ডুপ্লিকেট"",""""))"),"")</f>
        <v/>
      </c>
      <c r="Q5659" s="5" t="str">
        <f t="shared" si="1"/>
        <v>২ পরে</v>
      </c>
    </row>
    <row r="5660">
      <c r="A5660" s="4">
        <v>3533.0</v>
      </c>
      <c r="B5660" s="2" t="s">
        <v>23151</v>
      </c>
      <c r="C5660" s="2" t="s">
        <v>23152</v>
      </c>
      <c r="D5660" s="2" t="s">
        <v>23153</v>
      </c>
      <c r="E5660" s="2" t="s">
        <v>23154</v>
      </c>
      <c r="F5660" s="2" t="b">
        <v>1</v>
      </c>
      <c r="G5660" s="2" t="b">
        <v>0</v>
      </c>
      <c r="H5660" s="2" t="s">
        <v>756</v>
      </c>
      <c r="I5660" s="2" t="s">
        <v>22</v>
      </c>
      <c r="J5660" s="2" t="s">
        <v>669</v>
      </c>
      <c r="K5660" s="2" t="s">
        <v>495</v>
      </c>
      <c r="L5660" s="13" t="s">
        <v>496</v>
      </c>
      <c r="M5660" s="2" t="s">
        <v>26</v>
      </c>
      <c r="N5660" s="29"/>
      <c r="O5660" s="29"/>
      <c r="P5660" s="5" t="str">
        <f>IFERROR(__xludf.DUMMYFUNCTION("TEXTJOIN("" | "",TRUE,IF(OR(D5660="""",E5660="""",I5660="""",J5660="""",H5660=""""),""ফাঁকা ঘর"",""""),IF(AND(C5660&lt;&gt;"""",D5660&lt;&gt;"""",C5660=D5660),""gloss=figurative"",""""),IF(LEN(D5660)&lt;15,""figurative ছোট"",""""),IF(AND(I5660=""Positive"",REGEXMATCH(H5"&amp;"660,""মূর্খ|ভণ্ড|প্রতার|অলস|লোভ|স্বার্থ|অক্ষম|অযোগ্য|বোকা|কৃপণ|হিংস"")),""valence-target অমিল"",""""),IF(COUNTIF($B:$B,B5660)&gt;1,""ডুপ্লিকেট"",""""))"),"")</f>
        <v/>
      </c>
      <c r="Q5660" s="5" t="str">
        <f t="shared" si="1"/>
        <v>২ পরে</v>
      </c>
    </row>
    <row r="5661">
      <c r="A5661" s="4">
        <v>3534.0</v>
      </c>
      <c r="B5661" s="2" t="s">
        <v>23155</v>
      </c>
      <c r="C5661" s="2" t="s">
        <v>23155</v>
      </c>
      <c r="D5661" s="2" t="s">
        <v>23156</v>
      </c>
      <c r="E5661" s="2" t="s">
        <v>23157</v>
      </c>
      <c r="F5661" s="2" t="b">
        <v>1</v>
      </c>
      <c r="G5661" s="2" t="b">
        <v>0</v>
      </c>
      <c r="H5661" s="2" t="s">
        <v>23158</v>
      </c>
      <c r="I5661" s="2" t="s">
        <v>22</v>
      </c>
      <c r="J5661" s="2" t="s">
        <v>4374</v>
      </c>
      <c r="K5661" s="2" t="s">
        <v>495</v>
      </c>
      <c r="L5661" s="13" t="s">
        <v>496</v>
      </c>
      <c r="M5661" s="2" t="s">
        <v>26</v>
      </c>
      <c r="N5661" s="29"/>
      <c r="O5661" s="29"/>
      <c r="P5661" s="5" t="str">
        <f>IFERROR(__xludf.DUMMYFUNCTION("TEXTJOIN("" | "",TRUE,IF(OR(D5661="""",E5661="""",I5661="""",J5661="""",H5661=""""),""ফাঁকা ঘর"",""""),IF(AND(C5661&lt;&gt;"""",D5661&lt;&gt;"""",C5661=D5661),""gloss=figurative"",""""),IF(LEN(D5661)&lt;15,""figurative ছোট"",""""),IF(AND(I5661=""Positive"",REGEXMATCH(H5"&amp;"661,""মূর্খ|ভণ্ড|প্রতার|অলস|লোভ|স্বার্থ|অক্ষম|অযোগ্য|বোকা|কৃপণ|হিংস"")),""valence-target অমিল"",""""),IF(COUNTIF($B:$B,B5661)&gt;1,""ডুপ্লিকেট"",""""))"),"")</f>
        <v/>
      </c>
      <c r="Q5661" s="5" t="str">
        <f t="shared" si="1"/>
        <v>২ পরে</v>
      </c>
    </row>
    <row r="5662">
      <c r="A5662" s="4">
        <v>3535.0</v>
      </c>
      <c r="B5662" s="2" t="s">
        <v>23159</v>
      </c>
      <c r="C5662" s="2" t="s">
        <v>23159</v>
      </c>
      <c r="D5662" s="2" t="s">
        <v>23160</v>
      </c>
      <c r="E5662" s="2" t="s">
        <v>23161</v>
      </c>
      <c r="F5662" s="2" t="b">
        <v>1</v>
      </c>
      <c r="G5662" s="2" t="b">
        <v>0</v>
      </c>
      <c r="H5662" s="2" t="s">
        <v>756</v>
      </c>
      <c r="I5662" s="2" t="s">
        <v>22</v>
      </c>
      <c r="J5662" s="2" t="s">
        <v>1630</v>
      </c>
      <c r="K5662" s="2" t="s">
        <v>495</v>
      </c>
      <c r="L5662" s="13" t="s">
        <v>496</v>
      </c>
      <c r="M5662" s="2" t="s">
        <v>26</v>
      </c>
      <c r="N5662" s="29"/>
      <c r="O5662" s="29"/>
      <c r="P5662" s="5" t="str">
        <f>IFERROR(__xludf.DUMMYFUNCTION("TEXTJOIN("" | "",TRUE,IF(OR(D5662="""",E5662="""",I5662="""",J5662="""",H5662=""""),""ফাঁকা ঘর"",""""),IF(AND(C5662&lt;&gt;"""",D5662&lt;&gt;"""",C5662=D5662),""gloss=figurative"",""""),IF(LEN(D5662)&lt;15,""figurative ছোট"",""""),IF(AND(I5662=""Positive"",REGEXMATCH(H5"&amp;"662,""মূর্খ|ভণ্ড|প্রতার|অলস|লোভ|স্বার্থ|অক্ষম|অযোগ্য|বোকা|কৃপণ|হিংস"")),""valence-target অমিল"",""""),IF(COUNTIF($B:$B,B5662)&gt;1,""ডুপ্লিকেট"",""""))"),"")</f>
        <v/>
      </c>
      <c r="Q5662" s="5" t="str">
        <f t="shared" si="1"/>
        <v>২ পরে</v>
      </c>
    </row>
    <row r="5663">
      <c r="A5663" s="4">
        <v>3536.0</v>
      </c>
      <c r="B5663" s="2" t="s">
        <v>23162</v>
      </c>
      <c r="C5663" s="2" t="s">
        <v>23163</v>
      </c>
      <c r="D5663" s="2" t="s">
        <v>23164</v>
      </c>
      <c r="E5663" s="2" t="s">
        <v>23165</v>
      </c>
      <c r="F5663" s="2" t="b">
        <v>1</v>
      </c>
      <c r="G5663" s="2" t="b">
        <v>0</v>
      </c>
      <c r="H5663" s="2" t="s">
        <v>17771</v>
      </c>
      <c r="I5663" s="2" t="s">
        <v>22</v>
      </c>
      <c r="J5663" s="2" t="s">
        <v>424</v>
      </c>
      <c r="K5663" s="2" t="s">
        <v>495</v>
      </c>
      <c r="L5663" s="13" t="s">
        <v>496</v>
      </c>
      <c r="M5663" s="2" t="s">
        <v>26</v>
      </c>
      <c r="N5663" s="29"/>
      <c r="O5663" s="29"/>
      <c r="P5663" s="5" t="str">
        <f>IFERROR(__xludf.DUMMYFUNCTION("TEXTJOIN("" | "",TRUE,IF(OR(D5663="""",E5663="""",I5663="""",J5663="""",H5663=""""),""ফাঁকা ঘর"",""""),IF(AND(C5663&lt;&gt;"""",D5663&lt;&gt;"""",C5663=D5663),""gloss=figurative"",""""),IF(LEN(D5663)&lt;15,""figurative ছোট"",""""),IF(AND(I5663=""Positive"",REGEXMATCH(H5"&amp;"663,""মূর্খ|ভণ্ড|প্রতার|অলস|লোভ|স্বার্থ|অক্ষম|অযোগ্য|বোকা|কৃপণ|হিংস"")),""valence-target অমিল"",""""),IF(COUNTIF($B:$B,B5663)&gt;1,""ডুপ্লিকেট"",""""))"),"")</f>
        <v/>
      </c>
      <c r="Q5663" s="5" t="str">
        <f t="shared" si="1"/>
        <v>২ পরে</v>
      </c>
    </row>
    <row r="5664">
      <c r="A5664" s="4">
        <v>3537.0</v>
      </c>
      <c r="B5664" s="2" t="s">
        <v>23166</v>
      </c>
      <c r="C5664" s="2" t="s">
        <v>23167</v>
      </c>
      <c r="D5664" s="2" t="s">
        <v>23168</v>
      </c>
      <c r="E5664" s="2" t="s">
        <v>23169</v>
      </c>
      <c r="F5664" s="2" t="b">
        <v>1</v>
      </c>
      <c r="G5664" s="2" t="b">
        <v>0</v>
      </c>
      <c r="H5664" s="2" t="s">
        <v>23170</v>
      </c>
      <c r="I5664" s="2" t="s">
        <v>22</v>
      </c>
      <c r="J5664" s="2" t="s">
        <v>784</v>
      </c>
      <c r="K5664" s="2" t="s">
        <v>495</v>
      </c>
      <c r="L5664" s="13" t="s">
        <v>496</v>
      </c>
      <c r="M5664" s="2" t="s">
        <v>26</v>
      </c>
      <c r="N5664" s="29"/>
      <c r="O5664" s="29"/>
      <c r="P5664" s="5" t="str">
        <f>IFERROR(__xludf.DUMMYFUNCTION("TEXTJOIN("" | "",TRUE,IF(OR(D5664="""",E5664="""",I5664="""",J5664="""",H5664=""""),""ফাঁকা ঘর"",""""),IF(AND(C5664&lt;&gt;"""",D5664&lt;&gt;"""",C5664=D5664),""gloss=figurative"",""""),IF(LEN(D5664)&lt;15,""figurative ছোট"",""""),IF(AND(I5664=""Positive"",REGEXMATCH(H5"&amp;"664,""মূর্খ|ভণ্ড|প্রতার|অলস|লোভ|স্বার্থ|অক্ষম|অযোগ্য|বোকা|কৃপণ|হিংস"")),""valence-target অমিল"",""""),IF(COUNTIF($B:$B,B5664)&gt;1,""ডুপ্লিকেট"",""""))"),"")</f>
        <v/>
      </c>
      <c r="Q5664" s="5" t="str">
        <f t="shared" si="1"/>
        <v>২ পরে</v>
      </c>
    </row>
    <row r="5665">
      <c r="A5665" s="4">
        <v>3538.0</v>
      </c>
      <c r="B5665" s="2" t="s">
        <v>23171</v>
      </c>
      <c r="C5665" s="2" t="s">
        <v>23171</v>
      </c>
      <c r="D5665" s="2" t="s">
        <v>23172</v>
      </c>
      <c r="E5665" s="2" t="s">
        <v>23173</v>
      </c>
      <c r="F5665" s="2" t="b">
        <v>1</v>
      </c>
      <c r="G5665" s="2" t="b">
        <v>0</v>
      </c>
      <c r="H5665" s="2" t="s">
        <v>13034</v>
      </c>
      <c r="I5665" s="2" t="s">
        <v>22</v>
      </c>
      <c r="J5665" s="2" t="s">
        <v>5136</v>
      </c>
      <c r="K5665" s="2" t="s">
        <v>495</v>
      </c>
      <c r="L5665" s="13" t="s">
        <v>496</v>
      </c>
      <c r="M5665" s="2" t="s">
        <v>26</v>
      </c>
      <c r="N5665" s="29"/>
      <c r="O5665" s="29"/>
      <c r="P5665" s="5" t="str">
        <f>IFERROR(__xludf.DUMMYFUNCTION("TEXTJOIN("" | "",TRUE,IF(OR(D5665="""",E5665="""",I5665="""",J5665="""",H5665=""""),""ফাঁকা ঘর"",""""),IF(AND(C5665&lt;&gt;"""",D5665&lt;&gt;"""",C5665=D5665),""gloss=figurative"",""""),IF(LEN(D5665)&lt;15,""figurative ছোট"",""""),IF(AND(I5665=""Positive"",REGEXMATCH(H5"&amp;"665,""মূর্খ|ভণ্ড|প্রতার|অলস|লোভ|স্বার্থ|অক্ষম|অযোগ্য|বোকা|কৃপণ|হিংস"")),""valence-target অমিল"",""""),IF(COUNTIF($B:$B,B5665)&gt;1,""ডুপ্লিকেট"",""""))"),"")</f>
        <v/>
      </c>
      <c r="Q5665" s="5" t="str">
        <f t="shared" si="1"/>
        <v>২ পরে</v>
      </c>
    </row>
    <row r="5666">
      <c r="A5666" s="4">
        <v>3539.0</v>
      </c>
      <c r="B5666" s="2" t="s">
        <v>23174</v>
      </c>
      <c r="C5666" s="2" t="s">
        <v>23175</v>
      </c>
      <c r="D5666" s="2" t="s">
        <v>23176</v>
      </c>
      <c r="E5666" s="2" t="s">
        <v>23177</v>
      </c>
      <c r="F5666" s="2" t="b">
        <v>1</v>
      </c>
      <c r="G5666" s="2" t="b">
        <v>0</v>
      </c>
      <c r="H5666" s="2" t="s">
        <v>756</v>
      </c>
      <c r="I5666" s="2" t="s">
        <v>22</v>
      </c>
      <c r="J5666" s="2" t="s">
        <v>43</v>
      </c>
      <c r="K5666" s="2" t="s">
        <v>495</v>
      </c>
      <c r="L5666" s="13" t="s">
        <v>496</v>
      </c>
      <c r="M5666" s="2" t="s">
        <v>26</v>
      </c>
      <c r="N5666" s="29"/>
      <c r="O5666" s="29"/>
      <c r="P5666" s="5" t="str">
        <f>IFERROR(__xludf.DUMMYFUNCTION("TEXTJOIN("" | "",TRUE,IF(OR(D5666="""",E5666="""",I5666="""",J5666="""",H5666=""""),""ফাঁকা ঘর"",""""),IF(AND(C5666&lt;&gt;"""",D5666&lt;&gt;"""",C5666=D5666),""gloss=figurative"",""""),IF(LEN(D5666)&lt;15,""figurative ছোট"",""""),IF(AND(I5666=""Positive"",REGEXMATCH(H5"&amp;"666,""মূর্খ|ভণ্ড|প্রতার|অলস|লোভ|স্বার্থ|অক্ষম|অযোগ্য|বোকা|কৃপণ|হিংস"")),""valence-target অমিল"",""""),IF(COUNTIF($B:$B,B5666)&gt;1,""ডুপ্লিকেট"",""""))"),"")</f>
        <v/>
      </c>
      <c r="Q5666" s="5" t="str">
        <f t="shared" si="1"/>
        <v>২ পরে</v>
      </c>
    </row>
    <row r="5667">
      <c r="A5667" s="4">
        <v>3540.0</v>
      </c>
      <c r="B5667" s="2" t="s">
        <v>23178</v>
      </c>
      <c r="C5667" s="2" t="s">
        <v>23178</v>
      </c>
      <c r="D5667" s="2" t="s">
        <v>23179</v>
      </c>
      <c r="E5667" s="2" t="s">
        <v>23180</v>
      </c>
      <c r="F5667" s="2" t="b">
        <v>1</v>
      </c>
      <c r="G5667" s="2" t="b">
        <v>0</v>
      </c>
      <c r="H5667" s="2" t="s">
        <v>23181</v>
      </c>
      <c r="I5667" s="2" t="s">
        <v>22</v>
      </c>
      <c r="J5667" s="2" t="s">
        <v>43</v>
      </c>
      <c r="K5667" s="2" t="s">
        <v>495</v>
      </c>
      <c r="L5667" s="13" t="s">
        <v>496</v>
      </c>
      <c r="M5667" s="2" t="s">
        <v>26</v>
      </c>
      <c r="N5667" s="29"/>
      <c r="O5667" s="29"/>
      <c r="P5667" s="5" t="str">
        <f>IFERROR(__xludf.DUMMYFUNCTION("TEXTJOIN("" | "",TRUE,IF(OR(D5667="""",E5667="""",I5667="""",J5667="""",H5667=""""),""ফাঁকা ঘর"",""""),IF(AND(C5667&lt;&gt;"""",D5667&lt;&gt;"""",C5667=D5667),""gloss=figurative"",""""),IF(LEN(D5667)&lt;15,""figurative ছোট"",""""),IF(AND(I5667=""Positive"",REGEXMATCH(H5"&amp;"667,""মূর্খ|ভণ্ড|প্রতার|অলস|লোভ|স্বার্থ|অক্ষম|অযোগ্য|বোকা|কৃপণ|হিংস"")),""valence-target অমিল"",""""),IF(COUNTIF($B:$B,B5667)&gt;1,""ডুপ্লিকেট"",""""))"),"")</f>
        <v/>
      </c>
      <c r="Q5667" s="5" t="str">
        <f t="shared" si="1"/>
        <v>২ পরে</v>
      </c>
    </row>
    <row r="5668">
      <c r="A5668" s="4">
        <v>3541.0</v>
      </c>
      <c r="B5668" s="2" t="s">
        <v>23182</v>
      </c>
      <c r="C5668" s="2" t="s">
        <v>23182</v>
      </c>
      <c r="D5668" s="2" t="s">
        <v>23183</v>
      </c>
      <c r="E5668" s="2" t="s">
        <v>23184</v>
      </c>
      <c r="F5668" s="2" t="b">
        <v>1</v>
      </c>
      <c r="G5668" s="2" t="b">
        <v>0</v>
      </c>
      <c r="H5668" s="2" t="s">
        <v>23185</v>
      </c>
      <c r="I5668" s="2" t="s">
        <v>22</v>
      </c>
      <c r="J5668" s="2" t="s">
        <v>669</v>
      </c>
      <c r="K5668" s="2" t="s">
        <v>495</v>
      </c>
      <c r="L5668" s="13" t="s">
        <v>496</v>
      </c>
      <c r="M5668" s="2" t="s">
        <v>26</v>
      </c>
      <c r="N5668" s="29"/>
      <c r="O5668" s="29"/>
      <c r="P5668" s="5" t="str">
        <f>IFERROR(__xludf.DUMMYFUNCTION("TEXTJOIN("" | "",TRUE,IF(OR(D5668="""",E5668="""",I5668="""",J5668="""",H5668=""""),""ফাঁকা ঘর"",""""),IF(AND(C5668&lt;&gt;"""",D5668&lt;&gt;"""",C5668=D5668),""gloss=figurative"",""""),IF(LEN(D5668)&lt;15,""figurative ছোট"",""""),IF(AND(I5668=""Positive"",REGEXMATCH(H5"&amp;"668,""মূর্খ|ভণ্ড|প্রতার|অলস|লোভ|স্বার্থ|অক্ষম|অযোগ্য|বোকা|কৃপণ|হিংস"")),""valence-target অমিল"",""""),IF(COUNTIF($B:$B,B5668)&gt;1,""ডুপ্লিকেট"",""""))"),"")</f>
        <v/>
      </c>
      <c r="Q5668" s="5" t="str">
        <f t="shared" si="1"/>
        <v>২ পরে</v>
      </c>
    </row>
    <row r="5669">
      <c r="A5669" s="4">
        <v>3542.0</v>
      </c>
      <c r="B5669" s="2" t="s">
        <v>23186</v>
      </c>
      <c r="C5669" s="2" t="s">
        <v>23187</v>
      </c>
      <c r="D5669" s="2" t="s">
        <v>23188</v>
      </c>
      <c r="E5669" s="2" t="s">
        <v>23189</v>
      </c>
      <c r="F5669" s="2" t="b">
        <v>1</v>
      </c>
      <c r="G5669" s="2" t="b">
        <v>0</v>
      </c>
      <c r="H5669" s="2" t="s">
        <v>37</v>
      </c>
      <c r="I5669" s="2" t="s">
        <v>22</v>
      </c>
      <c r="J5669" s="2" t="s">
        <v>3615</v>
      </c>
      <c r="K5669" s="2" t="s">
        <v>495</v>
      </c>
      <c r="L5669" s="13" t="s">
        <v>496</v>
      </c>
      <c r="M5669" s="2" t="s">
        <v>26</v>
      </c>
      <c r="N5669" s="29"/>
      <c r="O5669" s="29"/>
      <c r="P5669" s="5" t="str">
        <f>IFERROR(__xludf.DUMMYFUNCTION("TEXTJOIN("" | "",TRUE,IF(OR(D5669="""",E5669="""",I5669="""",J5669="""",H5669=""""),""ফাঁকা ঘর"",""""),IF(AND(C5669&lt;&gt;"""",D5669&lt;&gt;"""",C5669=D5669),""gloss=figurative"",""""),IF(LEN(D5669)&lt;15,""figurative ছোট"",""""),IF(AND(I5669=""Positive"",REGEXMATCH(H5"&amp;"669,""মূর্খ|ভণ্ড|প্রতার|অলস|লোভ|স্বার্থ|অক্ষম|অযোগ্য|বোকা|কৃপণ|হিংস"")),""valence-target অমিল"",""""),IF(COUNTIF($B:$B,B5669)&gt;1,""ডুপ্লিকেট"",""""))"),"")</f>
        <v/>
      </c>
      <c r="Q5669" s="5" t="str">
        <f t="shared" si="1"/>
        <v>২ পরে</v>
      </c>
    </row>
    <row r="5670">
      <c r="A5670" s="4">
        <v>3543.0</v>
      </c>
      <c r="B5670" s="2" t="s">
        <v>23190</v>
      </c>
      <c r="C5670" s="2" t="s">
        <v>23191</v>
      </c>
      <c r="D5670" s="2" t="s">
        <v>23192</v>
      </c>
      <c r="E5670" s="2" t="s">
        <v>23193</v>
      </c>
      <c r="F5670" s="2" t="b">
        <v>1</v>
      </c>
      <c r="G5670" s="2" t="b">
        <v>0</v>
      </c>
      <c r="H5670" s="2" t="s">
        <v>37</v>
      </c>
      <c r="I5670" s="2" t="s">
        <v>22</v>
      </c>
      <c r="J5670" s="2" t="s">
        <v>43</v>
      </c>
      <c r="K5670" s="2" t="s">
        <v>495</v>
      </c>
      <c r="L5670" s="13" t="s">
        <v>496</v>
      </c>
      <c r="M5670" s="2" t="s">
        <v>26</v>
      </c>
      <c r="N5670" s="29"/>
      <c r="O5670" s="29"/>
      <c r="P5670" s="5" t="str">
        <f>IFERROR(__xludf.DUMMYFUNCTION("TEXTJOIN("" | "",TRUE,IF(OR(D5670="""",E5670="""",I5670="""",J5670="""",H5670=""""),""ফাঁকা ঘর"",""""),IF(AND(C5670&lt;&gt;"""",D5670&lt;&gt;"""",C5670=D5670),""gloss=figurative"",""""),IF(LEN(D5670)&lt;15,""figurative ছোট"",""""),IF(AND(I5670=""Positive"",REGEXMATCH(H5"&amp;"670,""মূর্খ|ভণ্ড|প্রতার|অলস|লোভ|স্বার্থ|অক্ষম|অযোগ্য|বোকা|কৃপণ|হিংস"")),""valence-target অমিল"",""""),IF(COUNTIF($B:$B,B5670)&gt;1,""ডুপ্লিকেট"",""""))"),"")</f>
        <v/>
      </c>
      <c r="Q5670" s="5" t="str">
        <f t="shared" si="1"/>
        <v>২ পরে</v>
      </c>
    </row>
    <row r="5671">
      <c r="A5671" s="4">
        <v>3544.0</v>
      </c>
      <c r="B5671" s="2" t="s">
        <v>23194</v>
      </c>
      <c r="C5671" s="2" t="s">
        <v>23194</v>
      </c>
      <c r="D5671" s="2" t="s">
        <v>23195</v>
      </c>
      <c r="E5671" s="2" t="s">
        <v>23196</v>
      </c>
      <c r="F5671" s="2" t="b">
        <v>1</v>
      </c>
      <c r="G5671" s="2" t="b">
        <v>0</v>
      </c>
      <c r="H5671" s="2" t="s">
        <v>23197</v>
      </c>
      <c r="I5671" s="2" t="s">
        <v>32</v>
      </c>
      <c r="J5671" s="2" t="s">
        <v>2249</v>
      </c>
      <c r="K5671" s="2" t="s">
        <v>495</v>
      </c>
      <c r="L5671" s="13" t="s">
        <v>496</v>
      </c>
      <c r="M5671" s="2" t="s">
        <v>26</v>
      </c>
      <c r="N5671" s="29"/>
      <c r="O5671" s="29"/>
      <c r="P5671" s="5" t="str">
        <f>IFERROR(__xludf.DUMMYFUNCTION("TEXTJOIN("" | "",TRUE,IF(OR(D5671="""",E5671="""",I5671="""",J5671="""",H5671=""""),""ফাঁকা ঘর"",""""),IF(AND(C5671&lt;&gt;"""",D5671&lt;&gt;"""",C5671=D5671),""gloss=figurative"",""""),IF(LEN(D5671)&lt;15,""figurative ছোট"",""""),IF(AND(I5671=""Positive"",REGEXMATCH(H5"&amp;"671,""মূর্খ|ভণ্ড|প্রতার|অলস|লোভ|স্বার্থ|অক্ষম|অযোগ্য|বোকা|কৃপণ|হিংস"")),""valence-target অমিল"",""""),IF(COUNTIF($B:$B,B5671)&gt;1,""ডুপ্লিকেট"",""""))"),"")</f>
        <v/>
      </c>
      <c r="Q5671" s="5" t="str">
        <f t="shared" si="1"/>
        <v>২ পরে</v>
      </c>
    </row>
    <row r="5672">
      <c r="A5672" s="4">
        <v>3545.0</v>
      </c>
      <c r="B5672" s="2" t="s">
        <v>23198</v>
      </c>
      <c r="C5672" s="2" t="s">
        <v>23199</v>
      </c>
      <c r="D5672" s="2" t="s">
        <v>23200</v>
      </c>
      <c r="E5672" s="2" t="s">
        <v>23201</v>
      </c>
      <c r="F5672" s="2" t="b">
        <v>1</v>
      </c>
      <c r="G5672" s="2" t="b">
        <v>0</v>
      </c>
      <c r="H5672" s="2" t="s">
        <v>756</v>
      </c>
      <c r="I5672" s="2" t="s">
        <v>22</v>
      </c>
      <c r="J5672" s="2" t="s">
        <v>1630</v>
      </c>
      <c r="K5672" s="2" t="s">
        <v>495</v>
      </c>
      <c r="L5672" s="13" t="s">
        <v>496</v>
      </c>
      <c r="M5672" s="2" t="s">
        <v>26</v>
      </c>
      <c r="N5672" s="29"/>
      <c r="O5672" s="29"/>
      <c r="P5672" s="5" t="str">
        <f>IFERROR(__xludf.DUMMYFUNCTION("TEXTJOIN("" | "",TRUE,IF(OR(D5672="""",E5672="""",I5672="""",J5672="""",H5672=""""),""ফাঁকা ঘর"",""""),IF(AND(C5672&lt;&gt;"""",D5672&lt;&gt;"""",C5672=D5672),""gloss=figurative"",""""),IF(LEN(D5672)&lt;15,""figurative ছোট"",""""),IF(AND(I5672=""Positive"",REGEXMATCH(H5"&amp;"672,""মূর্খ|ভণ্ড|প্রতার|অলস|লোভ|স্বার্থ|অক্ষম|অযোগ্য|বোকা|কৃপণ|হিংস"")),""valence-target অমিল"",""""),IF(COUNTIF($B:$B,B5672)&gt;1,""ডুপ্লিকেট"",""""))"),"")</f>
        <v/>
      </c>
      <c r="Q5672" s="5" t="str">
        <f t="shared" si="1"/>
        <v>২ পরে</v>
      </c>
    </row>
    <row r="5673">
      <c r="A5673" s="4">
        <v>3546.0</v>
      </c>
      <c r="B5673" s="2" t="s">
        <v>23202</v>
      </c>
      <c r="C5673" s="2" t="s">
        <v>23203</v>
      </c>
      <c r="D5673" s="2" t="s">
        <v>23204</v>
      </c>
      <c r="E5673" s="2" t="s">
        <v>23205</v>
      </c>
      <c r="F5673" s="2" t="b">
        <v>1</v>
      </c>
      <c r="G5673" s="2" t="b">
        <v>0</v>
      </c>
      <c r="H5673" s="2" t="s">
        <v>756</v>
      </c>
      <c r="I5673" s="2" t="s">
        <v>22</v>
      </c>
      <c r="J5673" s="2" t="s">
        <v>1630</v>
      </c>
      <c r="K5673" s="2" t="s">
        <v>495</v>
      </c>
      <c r="L5673" s="13" t="s">
        <v>496</v>
      </c>
      <c r="M5673" s="2" t="s">
        <v>26</v>
      </c>
      <c r="N5673" s="29"/>
      <c r="O5673" s="29"/>
      <c r="P5673" s="5" t="str">
        <f>IFERROR(__xludf.DUMMYFUNCTION("TEXTJOIN("" | "",TRUE,IF(OR(D5673="""",E5673="""",I5673="""",J5673="""",H5673=""""),""ফাঁকা ঘর"",""""),IF(AND(C5673&lt;&gt;"""",D5673&lt;&gt;"""",C5673=D5673),""gloss=figurative"",""""),IF(LEN(D5673)&lt;15,""figurative ছোট"",""""),IF(AND(I5673=""Positive"",REGEXMATCH(H5"&amp;"673,""মূর্খ|ভণ্ড|প্রতার|অলস|লোভ|স্বার্থ|অক্ষম|অযোগ্য|বোকা|কৃপণ|হিংস"")),""valence-target অমিল"",""""),IF(COUNTIF($B:$B,B5673)&gt;1,""ডুপ্লিকেট"",""""))"),"")</f>
        <v/>
      </c>
      <c r="Q5673" s="5" t="str">
        <f t="shared" si="1"/>
        <v>২ পরে</v>
      </c>
    </row>
    <row r="5674">
      <c r="A5674" s="4">
        <v>3547.0</v>
      </c>
      <c r="B5674" s="2" t="s">
        <v>23206</v>
      </c>
      <c r="C5674" s="2" t="s">
        <v>23207</v>
      </c>
      <c r="D5674" s="2" t="s">
        <v>23208</v>
      </c>
      <c r="E5674" s="2" t="s">
        <v>23209</v>
      </c>
      <c r="F5674" s="2" t="b">
        <v>1</v>
      </c>
      <c r="G5674" s="2" t="b">
        <v>0</v>
      </c>
      <c r="H5674" s="2" t="s">
        <v>10681</v>
      </c>
      <c r="I5674" s="2" t="s">
        <v>22</v>
      </c>
      <c r="J5674" s="2" t="s">
        <v>1712</v>
      </c>
      <c r="K5674" s="2" t="s">
        <v>495</v>
      </c>
      <c r="L5674" s="13" t="s">
        <v>496</v>
      </c>
      <c r="M5674" s="2" t="s">
        <v>26</v>
      </c>
      <c r="N5674" s="29"/>
      <c r="O5674" s="29"/>
      <c r="P5674" s="5" t="str">
        <f>IFERROR(__xludf.DUMMYFUNCTION("TEXTJOIN("" | "",TRUE,IF(OR(D5674="""",E5674="""",I5674="""",J5674="""",H5674=""""),""ফাঁকা ঘর"",""""),IF(AND(C5674&lt;&gt;"""",D5674&lt;&gt;"""",C5674=D5674),""gloss=figurative"",""""),IF(LEN(D5674)&lt;15,""figurative ছোট"",""""),IF(AND(I5674=""Positive"",REGEXMATCH(H5"&amp;"674,""মূর্খ|ভণ্ড|প্রতার|অলস|লোভ|স্বার্থ|অক্ষম|অযোগ্য|বোকা|কৃপণ|হিংস"")),""valence-target অমিল"",""""),IF(COUNTIF($B:$B,B5674)&gt;1,""ডুপ্লিকেট"",""""))"),"")</f>
        <v/>
      </c>
      <c r="Q5674" s="5" t="str">
        <f t="shared" si="1"/>
        <v>২ পরে</v>
      </c>
    </row>
    <row r="5675">
      <c r="A5675" s="4">
        <v>3548.0</v>
      </c>
      <c r="B5675" s="2" t="s">
        <v>23210</v>
      </c>
      <c r="C5675" s="2" t="s">
        <v>23211</v>
      </c>
      <c r="D5675" s="2" t="s">
        <v>23212</v>
      </c>
      <c r="E5675" s="2" t="s">
        <v>23213</v>
      </c>
      <c r="F5675" s="2" t="b">
        <v>1</v>
      </c>
      <c r="G5675" s="2" t="b">
        <v>0</v>
      </c>
      <c r="H5675" s="2" t="s">
        <v>10681</v>
      </c>
      <c r="I5675" s="2" t="s">
        <v>22</v>
      </c>
      <c r="J5675" s="2" t="s">
        <v>1712</v>
      </c>
      <c r="K5675" s="2" t="s">
        <v>495</v>
      </c>
      <c r="L5675" s="13" t="s">
        <v>496</v>
      </c>
      <c r="M5675" s="2" t="s">
        <v>26</v>
      </c>
      <c r="N5675" s="29"/>
      <c r="O5675" s="29"/>
      <c r="P5675" s="5" t="str">
        <f>IFERROR(__xludf.DUMMYFUNCTION("TEXTJOIN("" | "",TRUE,IF(OR(D5675="""",E5675="""",I5675="""",J5675="""",H5675=""""),""ফাঁকা ঘর"",""""),IF(AND(C5675&lt;&gt;"""",D5675&lt;&gt;"""",C5675=D5675),""gloss=figurative"",""""),IF(LEN(D5675)&lt;15,""figurative ছোট"",""""),IF(AND(I5675=""Positive"",REGEXMATCH(H5"&amp;"675,""মূর্খ|ভণ্ড|প্রতার|অলস|লোভ|স্বার্থ|অক্ষম|অযোগ্য|বোকা|কৃপণ|হিংস"")),""valence-target অমিল"",""""),IF(COUNTIF($B:$B,B5675)&gt;1,""ডুপ্লিকেট"",""""))"),"")</f>
        <v/>
      </c>
      <c r="Q5675" s="5" t="str">
        <f t="shared" si="1"/>
        <v>২ পরে</v>
      </c>
    </row>
    <row r="5676">
      <c r="A5676" s="4">
        <v>3549.0</v>
      </c>
      <c r="B5676" s="2" t="s">
        <v>23214</v>
      </c>
      <c r="C5676" s="2" t="s">
        <v>23215</v>
      </c>
      <c r="D5676" s="2" t="s">
        <v>23216</v>
      </c>
      <c r="E5676" s="2" t="s">
        <v>23217</v>
      </c>
      <c r="F5676" s="2" t="b">
        <v>1</v>
      </c>
      <c r="G5676" s="2" t="b">
        <v>1</v>
      </c>
      <c r="H5676" s="2" t="s">
        <v>23218</v>
      </c>
      <c r="I5676" s="2" t="s">
        <v>22</v>
      </c>
      <c r="J5676" s="2" t="s">
        <v>23219</v>
      </c>
      <c r="K5676" s="2" t="s">
        <v>495</v>
      </c>
      <c r="L5676" s="13" t="s">
        <v>496</v>
      </c>
      <c r="M5676" s="2" t="s">
        <v>26</v>
      </c>
      <c r="N5676" s="29"/>
      <c r="O5676" s="29"/>
      <c r="P5676" s="5" t="str">
        <f>IFERROR(__xludf.DUMMYFUNCTION("TEXTJOIN("" | "",TRUE,IF(OR(D5676="""",E5676="""",I5676="""",J5676="""",H5676=""""),""ফাঁকা ঘর"",""""),IF(AND(C5676&lt;&gt;"""",D5676&lt;&gt;"""",C5676=D5676),""gloss=figurative"",""""),IF(LEN(D5676)&lt;15,""figurative ছোট"",""""),IF(AND(I5676=""Positive"",REGEXMATCH(H5"&amp;"676,""মূর্খ|ভণ্ড|প্রতার|অলস|লোভ|স্বার্থ|অক্ষম|অযোগ্য|বোকা|কৃপণ|হিংস"")),""valence-target অমিল"",""""),IF(COUNTIF($B:$B,B5676)&gt;1,""ডুপ্লিকেট"",""""))"),"")</f>
        <v/>
      </c>
      <c r="Q5676" s="5" t="str">
        <f t="shared" si="1"/>
        <v>২ পরে</v>
      </c>
    </row>
    <row r="5677">
      <c r="A5677" s="4">
        <v>3550.0</v>
      </c>
      <c r="B5677" s="2" t="s">
        <v>23220</v>
      </c>
      <c r="C5677" s="2" t="s">
        <v>23221</v>
      </c>
      <c r="D5677" s="2" t="s">
        <v>23222</v>
      </c>
      <c r="E5677" s="2" t="s">
        <v>23223</v>
      </c>
      <c r="F5677" s="2" t="b">
        <v>1</v>
      </c>
      <c r="G5677" s="2" t="b">
        <v>1</v>
      </c>
      <c r="H5677" s="2" t="s">
        <v>23224</v>
      </c>
      <c r="I5677" s="2" t="s">
        <v>22</v>
      </c>
      <c r="J5677" s="2" t="s">
        <v>1315</v>
      </c>
      <c r="K5677" s="2" t="s">
        <v>495</v>
      </c>
      <c r="L5677" s="13" t="s">
        <v>496</v>
      </c>
      <c r="M5677" s="2" t="s">
        <v>26</v>
      </c>
      <c r="N5677" s="29"/>
      <c r="O5677" s="29"/>
      <c r="P5677" s="5" t="str">
        <f>IFERROR(__xludf.DUMMYFUNCTION("TEXTJOIN("" | "",TRUE,IF(OR(D5677="""",E5677="""",I5677="""",J5677="""",H5677=""""),""ফাঁকা ঘর"",""""),IF(AND(C5677&lt;&gt;"""",D5677&lt;&gt;"""",C5677=D5677),""gloss=figurative"",""""),IF(LEN(D5677)&lt;15,""figurative ছোট"",""""),IF(AND(I5677=""Positive"",REGEXMATCH(H5"&amp;"677,""মূর্খ|ভণ্ড|প্রতার|অলস|লোভ|স্বার্থ|অক্ষম|অযোগ্য|বোকা|কৃপণ|হিংস"")),""valence-target অমিল"",""""),IF(COUNTIF($B:$B,B5677)&gt;1,""ডুপ্লিকেট"",""""))"),"")</f>
        <v/>
      </c>
      <c r="Q5677" s="5" t="str">
        <f t="shared" si="1"/>
        <v>২ পরে</v>
      </c>
    </row>
    <row r="5678">
      <c r="A5678" s="4">
        <v>3551.0</v>
      </c>
      <c r="B5678" s="2" t="s">
        <v>23225</v>
      </c>
      <c r="C5678" s="2" t="s">
        <v>23226</v>
      </c>
      <c r="D5678" s="2" t="s">
        <v>23227</v>
      </c>
      <c r="E5678" s="2" t="s">
        <v>23228</v>
      </c>
      <c r="F5678" s="2" t="b">
        <v>1</v>
      </c>
      <c r="G5678" s="2" t="b">
        <v>1</v>
      </c>
      <c r="H5678" s="2" t="s">
        <v>23229</v>
      </c>
      <c r="I5678" s="2" t="s">
        <v>22</v>
      </c>
      <c r="J5678" s="2" t="s">
        <v>23230</v>
      </c>
      <c r="K5678" s="2" t="s">
        <v>495</v>
      </c>
      <c r="L5678" s="13" t="s">
        <v>496</v>
      </c>
      <c r="M5678" s="2" t="s">
        <v>26</v>
      </c>
      <c r="N5678" s="29"/>
      <c r="O5678" s="29"/>
      <c r="P5678" s="5" t="str">
        <f>IFERROR(__xludf.DUMMYFUNCTION("TEXTJOIN("" | "",TRUE,IF(OR(D5678="""",E5678="""",I5678="""",J5678="""",H5678=""""),""ফাঁকা ঘর"",""""),IF(AND(C5678&lt;&gt;"""",D5678&lt;&gt;"""",C5678=D5678),""gloss=figurative"",""""),IF(LEN(D5678)&lt;15,""figurative ছোট"",""""),IF(AND(I5678=""Positive"",REGEXMATCH(H5"&amp;"678,""মূর্খ|ভণ্ড|প্রতার|অলস|লোভ|স্বার্থ|অক্ষম|অযোগ্য|বোকা|কৃপণ|হিংস"")),""valence-target অমিল"",""""),IF(COUNTIF($B:$B,B5678)&gt;1,""ডুপ্লিকেট"",""""))"),"")</f>
        <v/>
      </c>
      <c r="Q5678" s="5" t="str">
        <f t="shared" si="1"/>
        <v>২ পরে</v>
      </c>
    </row>
    <row r="5679">
      <c r="A5679" s="4">
        <v>3552.0</v>
      </c>
      <c r="B5679" s="2" t="s">
        <v>23231</v>
      </c>
      <c r="C5679" s="2" t="s">
        <v>23232</v>
      </c>
      <c r="D5679" s="2" t="s">
        <v>23233</v>
      </c>
      <c r="E5679" s="2" t="s">
        <v>23234</v>
      </c>
      <c r="F5679" s="2" t="b">
        <v>1</v>
      </c>
      <c r="G5679" s="2" t="b">
        <v>1</v>
      </c>
      <c r="H5679" s="2" t="s">
        <v>23235</v>
      </c>
      <c r="I5679" s="2" t="s">
        <v>22</v>
      </c>
      <c r="J5679" s="2" t="s">
        <v>22896</v>
      </c>
      <c r="K5679" s="2" t="s">
        <v>495</v>
      </c>
      <c r="L5679" s="13" t="s">
        <v>496</v>
      </c>
      <c r="M5679" s="2" t="s">
        <v>26</v>
      </c>
      <c r="N5679" s="29"/>
      <c r="O5679" s="29"/>
      <c r="P5679" s="5" t="str">
        <f>IFERROR(__xludf.DUMMYFUNCTION("TEXTJOIN("" | "",TRUE,IF(OR(D5679="""",E5679="""",I5679="""",J5679="""",H5679=""""),""ফাঁকা ঘর"",""""),IF(AND(C5679&lt;&gt;"""",D5679&lt;&gt;"""",C5679=D5679),""gloss=figurative"",""""),IF(LEN(D5679)&lt;15,""figurative ছোট"",""""),IF(AND(I5679=""Positive"",REGEXMATCH(H5"&amp;"679,""মূর্খ|ভণ্ড|প্রতার|অলস|লোভ|স্বার্থ|অক্ষম|অযোগ্য|বোকা|কৃপণ|হিংস"")),""valence-target অমিল"",""""),IF(COUNTIF($B:$B,B5679)&gt;1,""ডুপ্লিকেট"",""""))"),"")</f>
        <v/>
      </c>
      <c r="Q5679" s="5" t="str">
        <f t="shared" si="1"/>
        <v>২ পরে</v>
      </c>
    </row>
    <row r="5680">
      <c r="A5680" s="4">
        <v>3553.0</v>
      </c>
      <c r="B5680" s="2" t="s">
        <v>23236</v>
      </c>
      <c r="C5680" s="2" t="s">
        <v>23237</v>
      </c>
      <c r="D5680" s="2" t="s">
        <v>23238</v>
      </c>
      <c r="E5680" s="2" t="s">
        <v>23239</v>
      </c>
      <c r="F5680" s="2" t="b">
        <v>1</v>
      </c>
      <c r="G5680" s="2" t="b">
        <v>1</v>
      </c>
      <c r="H5680" s="2" t="s">
        <v>23240</v>
      </c>
      <c r="I5680" s="2" t="s">
        <v>22</v>
      </c>
      <c r="J5680" s="2" t="s">
        <v>23241</v>
      </c>
      <c r="K5680" s="2" t="s">
        <v>495</v>
      </c>
      <c r="L5680" s="13" t="s">
        <v>496</v>
      </c>
      <c r="M5680" s="2" t="s">
        <v>26</v>
      </c>
      <c r="N5680" s="29"/>
      <c r="O5680" s="29"/>
      <c r="P5680" s="5" t="str">
        <f>IFERROR(__xludf.DUMMYFUNCTION("TEXTJOIN("" | "",TRUE,IF(OR(D5680="""",E5680="""",I5680="""",J5680="""",H5680=""""),""ফাঁকা ঘর"",""""),IF(AND(C5680&lt;&gt;"""",D5680&lt;&gt;"""",C5680=D5680),""gloss=figurative"",""""),IF(LEN(D5680)&lt;15,""figurative ছোট"",""""),IF(AND(I5680=""Positive"",REGEXMATCH(H5"&amp;"680,""মূর্খ|ভণ্ড|প্রতার|অলস|লোভ|স্বার্থ|অক্ষম|অযোগ্য|বোকা|কৃপণ|হিংস"")),""valence-target অমিল"",""""),IF(COUNTIF($B:$B,B5680)&gt;1,""ডুপ্লিকেট"",""""))"),"")</f>
        <v/>
      </c>
      <c r="Q5680" s="5" t="str">
        <f t="shared" si="1"/>
        <v>২ পরে</v>
      </c>
    </row>
    <row r="5681">
      <c r="A5681" s="4">
        <v>3554.0</v>
      </c>
      <c r="B5681" s="2" t="s">
        <v>23242</v>
      </c>
      <c r="C5681" s="2" t="s">
        <v>23243</v>
      </c>
      <c r="D5681" s="2" t="s">
        <v>23244</v>
      </c>
      <c r="E5681" s="2" t="s">
        <v>23245</v>
      </c>
      <c r="F5681" s="2" t="b">
        <v>1</v>
      </c>
      <c r="G5681" s="2" t="b">
        <v>1</v>
      </c>
      <c r="H5681" s="2" t="s">
        <v>23246</v>
      </c>
      <c r="I5681" s="2" t="s">
        <v>32</v>
      </c>
      <c r="J5681" s="2" t="s">
        <v>19891</v>
      </c>
      <c r="K5681" s="2" t="s">
        <v>495</v>
      </c>
      <c r="L5681" s="13" t="s">
        <v>496</v>
      </c>
      <c r="M5681" s="2" t="s">
        <v>26</v>
      </c>
      <c r="N5681" s="29"/>
      <c r="O5681" s="29"/>
      <c r="P5681" s="5" t="str">
        <f>IFERROR(__xludf.DUMMYFUNCTION("TEXTJOIN("" | "",TRUE,IF(OR(D5681="""",E5681="""",I5681="""",J5681="""",H5681=""""),""ফাঁকা ঘর"",""""),IF(AND(C5681&lt;&gt;"""",D5681&lt;&gt;"""",C5681=D5681),""gloss=figurative"",""""),IF(LEN(D5681)&lt;15,""figurative ছোট"",""""),IF(AND(I5681=""Positive"",REGEXMATCH(H5"&amp;"681,""মূর্খ|ভণ্ড|প্রতার|অলস|লোভ|স্বার্থ|অক্ষম|অযোগ্য|বোকা|কৃপণ|হিংস"")),""valence-target অমিল"",""""),IF(COUNTIF($B:$B,B5681)&gt;1,""ডুপ্লিকেট"",""""))"),"")</f>
        <v/>
      </c>
      <c r="Q5681" s="5" t="str">
        <f t="shared" si="1"/>
        <v>২ পরে</v>
      </c>
    </row>
    <row r="5682">
      <c r="A5682" s="4">
        <v>3555.0</v>
      </c>
      <c r="B5682" s="2" t="s">
        <v>23247</v>
      </c>
      <c r="C5682" s="2" t="s">
        <v>23248</v>
      </c>
      <c r="D5682" s="2" t="s">
        <v>23249</v>
      </c>
      <c r="E5682" s="2" t="s">
        <v>23250</v>
      </c>
      <c r="F5682" s="2" t="b">
        <v>1</v>
      </c>
      <c r="G5682" s="2" t="b">
        <v>0</v>
      </c>
      <c r="H5682" s="2" t="s">
        <v>37</v>
      </c>
      <c r="I5682" s="2" t="s">
        <v>22</v>
      </c>
      <c r="J5682" s="2" t="s">
        <v>2255</v>
      </c>
      <c r="K5682" s="2" t="s">
        <v>495</v>
      </c>
      <c r="L5682" s="13" t="s">
        <v>496</v>
      </c>
      <c r="M5682" s="2" t="s">
        <v>26</v>
      </c>
      <c r="N5682" s="29"/>
      <c r="O5682" s="29"/>
      <c r="P5682" s="5" t="str">
        <f>IFERROR(__xludf.DUMMYFUNCTION("TEXTJOIN("" | "",TRUE,IF(OR(D5682="""",E5682="""",I5682="""",J5682="""",H5682=""""),""ফাঁকা ঘর"",""""),IF(AND(C5682&lt;&gt;"""",D5682&lt;&gt;"""",C5682=D5682),""gloss=figurative"",""""),IF(LEN(D5682)&lt;15,""figurative ছোট"",""""),IF(AND(I5682=""Positive"",REGEXMATCH(H5"&amp;"682,""মূর্খ|ভণ্ড|প্রতার|অলস|লোভ|স্বার্থ|অক্ষম|অযোগ্য|বোকা|কৃপণ|হিংস"")),""valence-target অমিল"",""""),IF(COUNTIF($B:$B,B5682)&gt;1,""ডুপ্লিকেট"",""""))"),"")</f>
        <v/>
      </c>
      <c r="Q5682" s="5" t="str">
        <f t="shared" si="1"/>
        <v>২ পরে</v>
      </c>
    </row>
    <row r="5683">
      <c r="A5683" s="4">
        <v>3556.0</v>
      </c>
      <c r="B5683" s="2" t="s">
        <v>23251</v>
      </c>
      <c r="C5683" s="2" t="s">
        <v>23252</v>
      </c>
      <c r="D5683" s="2" t="s">
        <v>23253</v>
      </c>
      <c r="E5683" s="2" t="s">
        <v>23254</v>
      </c>
      <c r="F5683" s="2" t="b">
        <v>1</v>
      </c>
      <c r="G5683" s="2" t="b">
        <v>0</v>
      </c>
      <c r="H5683" s="2" t="s">
        <v>37</v>
      </c>
      <c r="I5683" s="2" t="s">
        <v>22</v>
      </c>
      <c r="J5683" s="2" t="s">
        <v>2255</v>
      </c>
      <c r="K5683" s="2" t="s">
        <v>495</v>
      </c>
      <c r="L5683" s="13" t="s">
        <v>496</v>
      </c>
      <c r="M5683" s="2" t="s">
        <v>26</v>
      </c>
      <c r="N5683" s="29"/>
      <c r="O5683" s="29"/>
      <c r="P5683" s="5" t="str">
        <f>IFERROR(__xludf.DUMMYFUNCTION("TEXTJOIN("" | "",TRUE,IF(OR(D5683="""",E5683="""",I5683="""",J5683="""",H5683=""""),""ফাঁকা ঘর"",""""),IF(AND(C5683&lt;&gt;"""",D5683&lt;&gt;"""",C5683=D5683),""gloss=figurative"",""""),IF(LEN(D5683)&lt;15,""figurative ছোট"",""""),IF(AND(I5683=""Positive"",REGEXMATCH(H5"&amp;"683,""মূর্খ|ভণ্ড|প্রতার|অলস|লোভ|স্বার্থ|অক্ষম|অযোগ্য|বোকা|কৃপণ|হিংস"")),""valence-target অমিল"",""""),IF(COUNTIF($B:$B,B5683)&gt;1,""ডুপ্লিকেট"",""""))"),"")</f>
        <v/>
      </c>
      <c r="Q5683" s="5" t="str">
        <f t="shared" si="1"/>
        <v>২ পরে</v>
      </c>
    </row>
    <row r="5684">
      <c r="A5684" s="4">
        <v>3557.0</v>
      </c>
      <c r="B5684" s="2" t="s">
        <v>23255</v>
      </c>
      <c r="C5684" s="2" t="s">
        <v>23256</v>
      </c>
      <c r="D5684" s="2" t="s">
        <v>23257</v>
      </c>
      <c r="E5684" s="2" t="s">
        <v>23258</v>
      </c>
      <c r="F5684" s="2" t="b">
        <v>1</v>
      </c>
      <c r="G5684" s="2" t="b">
        <v>0</v>
      </c>
      <c r="H5684" s="2" t="s">
        <v>37</v>
      </c>
      <c r="I5684" s="2" t="s">
        <v>22</v>
      </c>
      <c r="J5684" s="2" t="s">
        <v>5173</v>
      </c>
      <c r="K5684" s="2" t="s">
        <v>495</v>
      </c>
      <c r="L5684" s="13" t="s">
        <v>496</v>
      </c>
      <c r="M5684" s="2" t="s">
        <v>26</v>
      </c>
      <c r="N5684" s="29"/>
      <c r="O5684" s="29"/>
      <c r="P5684" s="5" t="str">
        <f>IFERROR(__xludf.DUMMYFUNCTION("TEXTJOIN("" | "",TRUE,IF(OR(D5684="""",E5684="""",I5684="""",J5684="""",H5684=""""),""ফাঁকা ঘর"",""""),IF(AND(C5684&lt;&gt;"""",D5684&lt;&gt;"""",C5684=D5684),""gloss=figurative"",""""),IF(LEN(D5684)&lt;15,""figurative ছোট"",""""),IF(AND(I5684=""Positive"",REGEXMATCH(H5"&amp;"684,""মূর্খ|ভণ্ড|প্রতার|অলস|লোভ|স্বার্থ|অক্ষম|অযোগ্য|বোকা|কৃপণ|হিংস"")),""valence-target অমিল"",""""),IF(COUNTIF($B:$B,B5684)&gt;1,""ডুপ্লিকেট"",""""))"),"")</f>
        <v/>
      </c>
      <c r="Q5684" s="5" t="str">
        <f t="shared" si="1"/>
        <v>২ পরে</v>
      </c>
    </row>
    <row r="5685">
      <c r="A5685" s="4">
        <v>3558.0</v>
      </c>
      <c r="B5685" s="2" t="s">
        <v>23259</v>
      </c>
      <c r="C5685" s="2" t="s">
        <v>23260</v>
      </c>
      <c r="D5685" s="2" t="s">
        <v>23261</v>
      </c>
      <c r="E5685" s="2" t="s">
        <v>23262</v>
      </c>
      <c r="F5685" s="2" t="b">
        <v>1</v>
      </c>
      <c r="G5685" s="2" t="b">
        <v>0</v>
      </c>
      <c r="H5685" s="2" t="s">
        <v>978</v>
      </c>
      <c r="I5685" s="2" t="s">
        <v>22</v>
      </c>
      <c r="J5685" s="2" t="s">
        <v>1944</v>
      </c>
      <c r="K5685" s="2" t="s">
        <v>495</v>
      </c>
      <c r="L5685" s="13" t="s">
        <v>496</v>
      </c>
      <c r="M5685" s="2" t="s">
        <v>26</v>
      </c>
      <c r="N5685" s="29"/>
      <c r="O5685" s="29"/>
      <c r="P5685" s="5" t="str">
        <f>IFERROR(__xludf.DUMMYFUNCTION("TEXTJOIN("" | "",TRUE,IF(OR(D5685="""",E5685="""",I5685="""",J5685="""",H5685=""""),""ফাঁকা ঘর"",""""),IF(AND(C5685&lt;&gt;"""",D5685&lt;&gt;"""",C5685=D5685),""gloss=figurative"",""""),IF(LEN(D5685)&lt;15,""figurative ছোট"",""""),IF(AND(I5685=""Positive"",REGEXMATCH(H5"&amp;"685,""মূর্খ|ভণ্ড|প্রতার|অলস|লোভ|স্বার্থ|অক্ষম|অযোগ্য|বোকা|কৃপণ|হিংস"")),""valence-target অমিল"",""""),IF(COUNTIF($B:$B,B5685)&gt;1,""ডুপ্লিকেট"",""""))"),"")</f>
        <v/>
      </c>
      <c r="Q5685" s="5" t="str">
        <f t="shared" si="1"/>
        <v>২ পরে</v>
      </c>
    </row>
    <row r="5686">
      <c r="A5686" s="4">
        <v>3559.0</v>
      </c>
      <c r="B5686" s="2" t="s">
        <v>23263</v>
      </c>
      <c r="C5686" s="2" t="s">
        <v>23264</v>
      </c>
      <c r="D5686" s="2" t="s">
        <v>23265</v>
      </c>
      <c r="E5686" s="2" t="s">
        <v>23266</v>
      </c>
      <c r="F5686" s="2" t="b">
        <v>1</v>
      </c>
      <c r="G5686" s="2" t="b">
        <v>0</v>
      </c>
      <c r="H5686" s="2" t="s">
        <v>37</v>
      </c>
      <c r="I5686" s="2" t="s">
        <v>49</v>
      </c>
      <c r="J5686" s="2" t="s">
        <v>762</v>
      </c>
      <c r="K5686" s="2" t="s">
        <v>495</v>
      </c>
      <c r="L5686" s="13" t="s">
        <v>496</v>
      </c>
      <c r="M5686" s="2" t="s">
        <v>26</v>
      </c>
      <c r="N5686" s="29"/>
      <c r="O5686" s="29"/>
      <c r="P5686" s="5" t="str">
        <f>IFERROR(__xludf.DUMMYFUNCTION("TEXTJOIN("" | "",TRUE,IF(OR(D5686="""",E5686="""",I5686="""",J5686="""",H5686=""""),""ফাঁকা ঘর"",""""),IF(AND(C5686&lt;&gt;"""",D5686&lt;&gt;"""",C5686=D5686),""gloss=figurative"",""""),IF(LEN(D5686)&lt;15,""figurative ছোট"",""""),IF(AND(I5686=""Positive"",REGEXMATCH(H5"&amp;"686,""মূর্খ|ভণ্ড|প্রতার|অলস|লোভ|স্বার্থ|অক্ষম|অযোগ্য|বোকা|কৃপণ|হিংস"")),""valence-target অমিল"",""""),IF(COUNTIF($B:$B,B5686)&gt;1,""ডুপ্লিকেট"",""""))"),"")</f>
        <v/>
      </c>
      <c r="Q5686" s="5" t="str">
        <f t="shared" si="1"/>
        <v>২ পরে</v>
      </c>
    </row>
    <row r="5687">
      <c r="A5687" s="4">
        <v>3560.0</v>
      </c>
      <c r="B5687" s="2" t="s">
        <v>23267</v>
      </c>
      <c r="C5687" s="2" t="s">
        <v>23268</v>
      </c>
      <c r="D5687" s="2" t="s">
        <v>23269</v>
      </c>
      <c r="E5687" s="2" t="s">
        <v>23270</v>
      </c>
      <c r="F5687" s="2" t="b">
        <v>1</v>
      </c>
      <c r="G5687" s="2" t="b">
        <v>0</v>
      </c>
      <c r="H5687" s="2" t="s">
        <v>37</v>
      </c>
      <c r="I5687" s="2" t="s">
        <v>49</v>
      </c>
      <c r="J5687" s="2" t="s">
        <v>2140</v>
      </c>
      <c r="K5687" s="2" t="s">
        <v>495</v>
      </c>
      <c r="L5687" s="13" t="s">
        <v>496</v>
      </c>
      <c r="M5687" s="2" t="s">
        <v>26</v>
      </c>
      <c r="N5687" s="29"/>
      <c r="O5687" s="29"/>
      <c r="P5687" s="5" t="str">
        <f>IFERROR(__xludf.DUMMYFUNCTION("TEXTJOIN("" | "",TRUE,IF(OR(D5687="""",E5687="""",I5687="""",J5687="""",H5687=""""),""ফাঁকা ঘর"",""""),IF(AND(C5687&lt;&gt;"""",D5687&lt;&gt;"""",C5687=D5687),""gloss=figurative"",""""),IF(LEN(D5687)&lt;15,""figurative ছোট"",""""),IF(AND(I5687=""Positive"",REGEXMATCH(H5"&amp;"687,""মূর্খ|ভণ্ড|প্রতার|অলস|লোভ|স্বার্থ|অক্ষম|অযোগ্য|বোকা|কৃপণ|হিংস"")),""valence-target অমিল"",""""),IF(COUNTIF($B:$B,B5687)&gt;1,""ডুপ্লিকেট"",""""))"),"")</f>
        <v/>
      </c>
      <c r="Q5687" s="5" t="str">
        <f t="shared" si="1"/>
        <v>২ পরে</v>
      </c>
    </row>
    <row r="5688">
      <c r="A5688" s="4">
        <v>3561.0</v>
      </c>
      <c r="B5688" s="2" t="s">
        <v>23271</v>
      </c>
      <c r="C5688" s="2" t="s">
        <v>23272</v>
      </c>
      <c r="D5688" s="2" t="s">
        <v>23273</v>
      </c>
      <c r="E5688" s="2" t="s">
        <v>23274</v>
      </c>
      <c r="F5688" s="2" t="b">
        <v>1</v>
      </c>
      <c r="G5688" s="2" t="b">
        <v>0</v>
      </c>
      <c r="H5688" s="2" t="s">
        <v>37</v>
      </c>
      <c r="I5688" s="2" t="s">
        <v>32</v>
      </c>
      <c r="J5688" s="2" t="s">
        <v>891</v>
      </c>
      <c r="K5688" s="2" t="s">
        <v>495</v>
      </c>
      <c r="L5688" s="13" t="s">
        <v>496</v>
      </c>
      <c r="M5688" s="2" t="s">
        <v>26</v>
      </c>
      <c r="N5688" s="29"/>
      <c r="O5688" s="29"/>
      <c r="P5688" s="5" t="str">
        <f>IFERROR(__xludf.DUMMYFUNCTION("TEXTJOIN("" | "",TRUE,IF(OR(D5688="""",E5688="""",I5688="""",J5688="""",H5688=""""),""ফাঁকা ঘর"",""""),IF(AND(C5688&lt;&gt;"""",D5688&lt;&gt;"""",C5688=D5688),""gloss=figurative"",""""),IF(LEN(D5688)&lt;15,""figurative ছোট"",""""),IF(AND(I5688=""Positive"",REGEXMATCH(H5"&amp;"688,""মূর্খ|ভণ্ড|প্রতার|অলস|লোভ|স্বার্থ|অক্ষম|অযোগ্য|বোকা|কৃপণ|হিংস"")),""valence-target অমিল"",""""),IF(COUNTIF($B:$B,B5688)&gt;1,""ডুপ্লিকেট"",""""))"),"")</f>
        <v/>
      </c>
      <c r="Q5688" s="5" t="str">
        <f t="shared" si="1"/>
        <v>২ পরে</v>
      </c>
    </row>
    <row r="5689">
      <c r="A5689" s="4">
        <v>3562.0</v>
      </c>
      <c r="B5689" s="2" t="s">
        <v>23275</v>
      </c>
      <c r="C5689" s="2" t="s">
        <v>23276</v>
      </c>
      <c r="D5689" s="2" t="s">
        <v>23277</v>
      </c>
      <c r="E5689" s="2" t="s">
        <v>23278</v>
      </c>
      <c r="F5689" s="2" t="b">
        <v>1</v>
      </c>
      <c r="G5689" s="2" t="b">
        <v>0</v>
      </c>
      <c r="H5689" s="2" t="s">
        <v>37</v>
      </c>
      <c r="I5689" s="2" t="s">
        <v>32</v>
      </c>
      <c r="J5689" s="2" t="s">
        <v>891</v>
      </c>
      <c r="K5689" s="2" t="s">
        <v>495</v>
      </c>
      <c r="L5689" s="13" t="s">
        <v>496</v>
      </c>
      <c r="M5689" s="2" t="s">
        <v>26</v>
      </c>
      <c r="N5689" s="29"/>
      <c r="O5689" s="29"/>
      <c r="P5689" s="5" t="str">
        <f>IFERROR(__xludf.DUMMYFUNCTION("TEXTJOIN("" | "",TRUE,IF(OR(D5689="""",E5689="""",I5689="""",J5689="""",H5689=""""),""ফাঁকা ঘর"",""""),IF(AND(C5689&lt;&gt;"""",D5689&lt;&gt;"""",C5689=D5689),""gloss=figurative"",""""),IF(LEN(D5689)&lt;15,""figurative ছোট"",""""),IF(AND(I5689=""Positive"",REGEXMATCH(H5"&amp;"689,""মূর্খ|ভণ্ড|প্রতার|অলস|লোভ|স্বার্থ|অক্ষম|অযোগ্য|বোকা|কৃপণ|হিংস"")),""valence-target অমিল"",""""),IF(COUNTIF($B:$B,B5689)&gt;1,""ডুপ্লিকেট"",""""))"),"")</f>
        <v/>
      </c>
      <c r="Q5689" s="5" t="str">
        <f t="shared" si="1"/>
        <v>২ পরে</v>
      </c>
    </row>
    <row r="5690">
      <c r="A5690" s="4">
        <v>3563.0</v>
      </c>
      <c r="B5690" s="2" t="s">
        <v>23279</v>
      </c>
      <c r="C5690" s="2" t="s">
        <v>23280</v>
      </c>
      <c r="D5690" s="2" t="s">
        <v>23281</v>
      </c>
      <c r="E5690" s="2" t="s">
        <v>23282</v>
      </c>
      <c r="F5690" s="2" t="b">
        <v>1</v>
      </c>
      <c r="G5690" s="2" t="b">
        <v>0</v>
      </c>
      <c r="H5690" s="2" t="s">
        <v>37</v>
      </c>
      <c r="I5690" s="2" t="s">
        <v>49</v>
      </c>
      <c r="J5690" s="2" t="s">
        <v>762</v>
      </c>
      <c r="K5690" s="2" t="s">
        <v>495</v>
      </c>
      <c r="L5690" s="13" t="s">
        <v>496</v>
      </c>
      <c r="M5690" s="2" t="s">
        <v>26</v>
      </c>
      <c r="N5690" s="29"/>
      <c r="O5690" s="29"/>
      <c r="P5690" s="5" t="str">
        <f>IFERROR(__xludf.DUMMYFUNCTION("TEXTJOIN("" | "",TRUE,IF(OR(D5690="""",E5690="""",I5690="""",J5690="""",H5690=""""),""ফাঁকা ঘর"",""""),IF(AND(C5690&lt;&gt;"""",D5690&lt;&gt;"""",C5690=D5690),""gloss=figurative"",""""),IF(LEN(D5690)&lt;15,""figurative ছোট"",""""),IF(AND(I5690=""Positive"",REGEXMATCH(H5"&amp;"690,""মূর্খ|ভণ্ড|প্রতার|অলস|লোভ|স্বার্থ|অক্ষম|অযোগ্য|বোকা|কৃপণ|হিংস"")),""valence-target অমিল"",""""),IF(COUNTIF($B:$B,B5690)&gt;1,""ডুপ্লিকেট"",""""))"),"")</f>
        <v/>
      </c>
      <c r="Q5690" s="5" t="str">
        <f t="shared" si="1"/>
        <v>২ পরে</v>
      </c>
    </row>
    <row r="5691">
      <c r="A5691" s="4">
        <v>3564.0</v>
      </c>
      <c r="B5691" s="2" t="s">
        <v>23283</v>
      </c>
      <c r="C5691" s="2" t="s">
        <v>23283</v>
      </c>
      <c r="D5691" s="2" t="s">
        <v>23284</v>
      </c>
      <c r="E5691" s="2" t="s">
        <v>23285</v>
      </c>
      <c r="F5691" s="2" t="b">
        <v>1</v>
      </c>
      <c r="G5691" s="2" t="b">
        <v>0</v>
      </c>
      <c r="H5691" s="2" t="s">
        <v>37</v>
      </c>
      <c r="I5691" s="2" t="s">
        <v>49</v>
      </c>
      <c r="J5691" s="2" t="s">
        <v>762</v>
      </c>
      <c r="K5691" s="2" t="s">
        <v>495</v>
      </c>
      <c r="L5691" s="13" t="s">
        <v>496</v>
      </c>
      <c r="M5691" s="2" t="s">
        <v>26</v>
      </c>
      <c r="N5691" s="29"/>
      <c r="O5691" s="29"/>
      <c r="P5691" s="5" t="str">
        <f>IFERROR(__xludf.DUMMYFUNCTION("TEXTJOIN("" | "",TRUE,IF(OR(D5691="""",E5691="""",I5691="""",J5691="""",H5691=""""),""ফাঁকা ঘর"",""""),IF(AND(C5691&lt;&gt;"""",D5691&lt;&gt;"""",C5691=D5691),""gloss=figurative"",""""),IF(LEN(D5691)&lt;15,""figurative ছোট"",""""),IF(AND(I5691=""Positive"",REGEXMATCH(H5"&amp;"691,""মূর্খ|ভণ্ড|প্রতার|অলস|লোভ|স্বার্থ|অক্ষম|অযোগ্য|বোকা|কৃপণ|হিংস"")),""valence-target অমিল"",""""),IF(COUNTIF($B:$B,B5691)&gt;1,""ডুপ্লিকেট"",""""))"),"")</f>
        <v/>
      </c>
      <c r="Q5691" s="5" t="str">
        <f t="shared" si="1"/>
        <v>২ পরে</v>
      </c>
    </row>
    <row r="5692">
      <c r="A5692" s="4">
        <v>3565.0</v>
      </c>
      <c r="B5692" s="2" t="s">
        <v>23286</v>
      </c>
      <c r="C5692" s="2" t="s">
        <v>23287</v>
      </c>
      <c r="D5692" s="2" t="s">
        <v>23288</v>
      </c>
      <c r="E5692" s="2" t="s">
        <v>23289</v>
      </c>
      <c r="F5692" s="2" t="b">
        <v>1</v>
      </c>
      <c r="G5692" s="2" t="b">
        <v>0</v>
      </c>
      <c r="H5692" s="2" t="s">
        <v>37</v>
      </c>
      <c r="I5692" s="2" t="s">
        <v>49</v>
      </c>
      <c r="J5692" s="2" t="s">
        <v>2140</v>
      </c>
      <c r="K5692" s="2" t="s">
        <v>495</v>
      </c>
      <c r="L5692" s="13" t="s">
        <v>496</v>
      </c>
      <c r="M5692" s="2" t="s">
        <v>26</v>
      </c>
      <c r="N5692" s="29"/>
      <c r="O5692" s="29"/>
      <c r="P5692" s="5" t="str">
        <f>IFERROR(__xludf.DUMMYFUNCTION("TEXTJOIN("" | "",TRUE,IF(OR(D5692="""",E5692="""",I5692="""",J5692="""",H5692=""""),""ফাঁকা ঘর"",""""),IF(AND(C5692&lt;&gt;"""",D5692&lt;&gt;"""",C5692=D5692),""gloss=figurative"",""""),IF(LEN(D5692)&lt;15,""figurative ছোট"",""""),IF(AND(I5692=""Positive"",REGEXMATCH(H5"&amp;"692,""মূর্খ|ভণ্ড|প্রতার|অলস|লোভ|স্বার্থ|অক্ষম|অযোগ্য|বোকা|কৃপণ|হিংস"")),""valence-target অমিল"",""""),IF(COUNTIF($B:$B,B5692)&gt;1,""ডুপ্লিকেট"",""""))"),"")</f>
        <v/>
      </c>
      <c r="Q5692" s="5" t="str">
        <f t="shared" si="1"/>
        <v>২ পরে</v>
      </c>
    </row>
    <row r="5693">
      <c r="A5693" s="4">
        <v>3566.0</v>
      </c>
      <c r="B5693" s="2" t="s">
        <v>23290</v>
      </c>
      <c r="C5693" s="2" t="s">
        <v>23291</v>
      </c>
      <c r="D5693" s="2" t="s">
        <v>23292</v>
      </c>
      <c r="E5693" s="2" t="s">
        <v>23293</v>
      </c>
      <c r="F5693" s="2" t="b">
        <v>1</v>
      </c>
      <c r="G5693" s="2" t="b">
        <v>0</v>
      </c>
      <c r="H5693" s="2" t="s">
        <v>37</v>
      </c>
      <c r="I5693" s="2" t="s">
        <v>49</v>
      </c>
      <c r="J5693" s="2" t="s">
        <v>762</v>
      </c>
      <c r="K5693" s="2" t="s">
        <v>495</v>
      </c>
      <c r="L5693" s="13" t="s">
        <v>496</v>
      </c>
      <c r="M5693" s="2" t="s">
        <v>26</v>
      </c>
      <c r="N5693" s="29"/>
      <c r="O5693" s="29"/>
      <c r="P5693" s="5" t="str">
        <f>IFERROR(__xludf.DUMMYFUNCTION("TEXTJOIN("" | "",TRUE,IF(OR(D5693="""",E5693="""",I5693="""",J5693="""",H5693=""""),""ফাঁকা ঘর"",""""),IF(AND(C5693&lt;&gt;"""",D5693&lt;&gt;"""",C5693=D5693),""gloss=figurative"",""""),IF(LEN(D5693)&lt;15,""figurative ছোট"",""""),IF(AND(I5693=""Positive"",REGEXMATCH(H5"&amp;"693,""মূর্খ|ভণ্ড|প্রতার|অলস|লোভ|স্বার্থ|অক্ষম|অযোগ্য|বোকা|কৃপণ|হিংস"")),""valence-target অমিল"",""""),IF(COUNTIF($B:$B,B5693)&gt;1,""ডুপ্লিকেট"",""""))"),"")</f>
        <v/>
      </c>
      <c r="Q5693" s="5" t="str">
        <f t="shared" si="1"/>
        <v>২ পরে</v>
      </c>
    </row>
    <row r="5694">
      <c r="A5694" s="4">
        <v>3567.0</v>
      </c>
      <c r="B5694" s="2" t="s">
        <v>23294</v>
      </c>
      <c r="C5694" s="2" t="s">
        <v>23295</v>
      </c>
      <c r="D5694" s="2" t="s">
        <v>23296</v>
      </c>
      <c r="E5694" s="2" t="s">
        <v>23297</v>
      </c>
      <c r="F5694" s="2" t="b">
        <v>1</v>
      </c>
      <c r="G5694" s="2" t="b">
        <v>0</v>
      </c>
      <c r="H5694" s="2" t="s">
        <v>23298</v>
      </c>
      <c r="I5694" s="2" t="s">
        <v>22</v>
      </c>
      <c r="J5694" s="2" t="s">
        <v>300</v>
      </c>
      <c r="K5694" s="2" t="s">
        <v>495</v>
      </c>
      <c r="L5694" s="13" t="s">
        <v>496</v>
      </c>
      <c r="M5694" s="2" t="s">
        <v>26</v>
      </c>
      <c r="N5694" s="29"/>
      <c r="O5694" s="29"/>
      <c r="P5694" s="5" t="str">
        <f>IFERROR(__xludf.DUMMYFUNCTION("TEXTJOIN("" | "",TRUE,IF(OR(D5694="""",E5694="""",I5694="""",J5694="""",H5694=""""),""ফাঁকা ঘর"",""""),IF(AND(C5694&lt;&gt;"""",D5694&lt;&gt;"""",C5694=D5694),""gloss=figurative"",""""),IF(LEN(D5694)&lt;15,""figurative ছোট"",""""),IF(AND(I5694=""Positive"",REGEXMATCH(H5"&amp;"694,""মূর্খ|ভণ্ড|প্রতার|অলস|লোভ|স্বার্থ|অক্ষম|অযোগ্য|বোকা|কৃপণ|হিংস"")),""valence-target অমিল"",""""),IF(COUNTIF($B:$B,B5694)&gt;1,""ডুপ্লিকেট"",""""))"),"")</f>
        <v/>
      </c>
      <c r="Q5694" s="5" t="str">
        <f t="shared" si="1"/>
        <v>২ পরে</v>
      </c>
    </row>
    <row r="5695">
      <c r="A5695" s="4">
        <v>3568.0</v>
      </c>
      <c r="B5695" s="2" t="s">
        <v>23299</v>
      </c>
      <c r="C5695" s="2" t="s">
        <v>23300</v>
      </c>
      <c r="D5695" s="2" t="s">
        <v>23301</v>
      </c>
      <c r="E5695" s="2" t="s">
        <v>23302</v>
      </c>
      <c r="F5695" s="2" t="b">
        <v>1</v>
      </c>
      <c r="G5695" s="2" t="b">
        <v>0</v>
      </c>
      <c r="H5695" s="2" t="s">
        <v>23303</v>
      </c>
      <c r="I5695" s="2" t="s">
        <v>22</v>
      </c>
      <c r="J5695" s="2" t="s">
        <v>300</v>
      </c>
      <c r="K5695" s="2" t="s">
        <v>495</v>
      </c>
      <c r="L5695" s="13" t="s">
        <v>496</v>
      </c>
      <c r="M5695" s="2" t="s">
        <v>26</v>
      </c>
      <c r="N5695" s="29"/>
      <c r="O5695" s="29"/>
      <c r="P5695" s="5" t="str">
        <f>IFERROR(__xludf.DUMMYFUNCTION("TEXTJOIN("" | "",TRUE,IF(OR(D5695="""",E5695="""",I5695="""",J5695="""",H5695=""""),""ফাঁকা ঘর"",""""),IF(AND(C5695&lt;&gt;"""",D5695&lt;&gt;"""",C5695=D5695),""gloss=figurative"",""""),IF(LEN(D5695)&lt;15,""figurative ছোট"",""""),IF(AND(I5695=""Positive"",REGEXMATCH(H5"&amp;"695,""মূর্খ|ভণ্ড|প্রতার|অলস|লোভ|স্বার্থ|অক্ষম|অযোগ্য|বোকা|কৃপণ|হিংস"")),""valence-target অমিল"",""""),IF(COUNTIF($B:$B,B5695)&gt;1,""ডুপ্লিকেট"",""""))"),"")</f>
        <v/>
      </c>
      <c r="Q5695" s="5" t="str">
        <f t="shared" si="1"/>
        <v>২ পরে</v>
      </c>
    </row>
    <row r="5696">
      <c r="A5696" s="4">
        <v>3569.0</v>
      </c>
      <c r="B5696" s="2" t="s">
        <v>23304</v>
      </c>
      <c r="C5696" s="2" t="s">
        <v>23305</v>
      </c>
      <c r="D5696" s="2" t="s">
        <v>23306</v>
      </c>
      <c r="E5696" s="2" t="s">
        <v>23307</v>
      </c>
      <c r="F5696" s="2" t="b">
        <v>1</v>
      </c>
      <c r="G5696" s="2" t="b">
        <v>0</v>
      </c>
      <c r="H5696" s="2" t="s">
        <v>37</v>
      </c>
      <c r="I5696" s="2" t="s">
        <v>49</v>
      </c>
      <c r="J5696" s="2" t="s">
        <v>762</v>
      </c>
      <c r="K5696" s="2" t="s">
        <v>495</v>
      </c>
      <c r="L5696" s="13" t="s">
        <v>496</v>
      </c>
      <c r="M5696" s="2" t="s">
        <v>26</v>
      </c>
      <c r="N5696" s="29"/>
      <c r="O5696" s="29"/>
      <c r="P5696" s="5" t="str">
        <f>IFERROR(__xludf.DUMMYFUNCTION("TEXTJOIN("" | "",TRUE,IF(OR(D5696="""",E5696="""",I5696="""",J5696="""",H5696=""""),""ফাঁকা ঘর"",""""),IF(AND(C5696&lt;&gt;"""",D5696&lt;&gt;"""",C5696=D5696),""gloss=figurative"",""""),IF(LEN(D5696)&lt;15,""figurative ছোট"",""""),IF(AND(I5696=""Positive"",REGEXMATCH(H5"&amp;"696,""মূর্খ|ভণ্ড|প্রতার|অলস|লোভ|স্বার্থ|অক্ষম|অযোগ্য|বোকা|কৃপণ|হিংস"")),""valence-target অমিল"",""""),IF(COUNTIF($B:$B,B5696)&gt;1,""ডুপ্লিকেট"",""""))"),"")</f>
        <v/>
      </c>
      <c r="Q5696" s="5" t="str">
        <f t="shared" si="1"/>
        <v>২ পরে</v>
      </c>
    </row>
    <row r="5697">
      <c r="A5697" s="4">
        <v>3570.0</v>
      </c>
      <c r="B5697" s="2" t="s">
        <v>23308</v>
      </c>
      <c r="C5697" s="2" t="s">
        <v>23308</v>
      </c>
      <c r="D5697" s="2" t="s">
        <v>23309</v>
      </c>
      <c r="E5697" s="2" t="s">
        <v>23310</v>
      </c>
      <c r="F5697" s="2" t="b">
        <v>1</v>
      </c>
      <c r="G5697" s="2" t="b">
        <v>0</v>
      </c>
      <c r="H5697" s="2" t="s">
        <v>37</v>
      </c>
      <c r="I5697" s="2" t="s">
        <v>32</v>
      </c>
      <c r="J5697" s="2" t="s">
        <v>762</v>
      </c>
      <c r="K5697" s="2" t="s">
        <v>495</v>
      </c>
      <c r="L5697" s="13" t="s">
        <v>496</v>
      </c>
      <c r="M5697" s="2" t="s">
        <v>26</v>
      </c>
      <c r="N5697" s="29"/>
      <c r="O5697" s="29"/>
      <c r="P5697" s="5" t="str">
        <f>IFERROR(__xludf.DUMMYFUNCTION("TEXTJOIN("" | "",TRUE,IF(OR(D5697="""",E5697="""",I5697="""",J5697="""",H5697=""""),""ফাঁকা ঘর"",""""),IF(AND(C5697&lt;&gt;"""",D5697&lt;&gt;"""",C5697=D5697),""gloss=figurative"",""""),IF(LEN(D5697)&lt;15,""figurative ছোট"",""""),IF(AND(I5697=""Positive"",REGEXMATCH(H5"&amp;"697,""মূর্খ|ভণ্ড|প্রতার|অলস|লোভ|স্বার্থ|অক্ষম|অযোগ্য|বোকা|কৃপণ|হিংস"")),""valence-target অমিল"",""""),IF(COUNTIF($B:$B,B5697)&gt;1,""ডুপ্লিকেট"",""""))"),"")</f>
        <v/>
      </c>
      <c r="Q5697" s="5" t="str">
        <f t="shared" si="1"/>
        <v>২ পরে</v>
      </c>
    </row>
    <row r="5698">
      <c r="A5698" s="4">
        <v>3571.0</v>
      </c>
      <c r="B5698" s="2" t="s">
        <v>23311</v>
      </c>
      <c r="C5698" s="2" t="s">
        <v>23312</v>
      </c>
      <c r="D5698" s="2" t="s">
        <v>23313</v>
      </c>
      <c r="E5698" s="2" t="s">
        <v>23314</v>
      </c>
      <c r="F5698" s="2" t="b">
        <v>1</v>
      </c>
      <c r="G5698" s="2" t="b">
        <v>0</v>
      </c>
      <c r="H5698" s="2" t="s">
        <v>37</v>
      </c>
      <c r="I5698" s="2" t="s">
        <v>49</v>
      </c>
      <c r="J5698" s="2" t="s">
        <v>5652</v>
      </c>
      <c r="K5698" s="2" t="s">
        <v>495</v>
      </c>
      <c r="L5698" s="13" t="s">
        <v>496</v>
      </c>
      <c r="M5698" s="2" t="s">
        <v>26</v>
      </c>
      <c r="N5698" s="29"/>
      <c r="O5698" s="29"/>
      <c r="P5698" s="5" t="str">
        <f>IFERROR(__xludf.DUMMYFUNCTION("TEXTJOIN("" | "",TRUE,IF(OR(D5698="""",E5698="""",I5698="""",J5698="""",H5698=""""),""ফাঁকা ঘর"",""""),IF(AND(C5698&lt;&gt;"""",D5698&lt;&gt;"""",C5698=D5698),""gloss=figurative"",""""),IF(LEN(D5698)&lt;15,""figurative ছোট"",""""),IF(AND(I5698=""Positive"",REGEXMATCH(H5"&amp;"698,""মূর্খ|ভণ্ড|প্রতার|অলস|লোভ|স্বার্থ|অক্ষম|অযোগ্য|বোকা|কৃপণ|হিংস"")),""valence-target অমিল"",""""),IF(COUNTIF($B:$B,B5698)&gt;1,""ডুপ্লিকেট"",""""))"),"")</f>
        <v/>
      </c>
      <c r="Q5698" s="5" t="str">
        <f t="shared" si="1"/>
        <v>২ পরে</v>
      </c>
    </row>
    <row r="5699">
      <c r="A5699" s="4">
        <v>3572.0</v>
      </c>
      <c r="B5699" s="2" t="s">
        <v>23315</v>
      </c>
      <c r="C5699" s="2" t="s">
        <v>23316</v>
      </c>
      <c r="D5699" s="2" t="s">
        <v>23317</v>
      </c>
      <c r="E5699" s="2" t="s">
        <v>23318</v>
      </c>
      <c r="F5699" s="2" t="b">
        <v>1</v>
      </c>
      <c r="G5699" s="2" t="b">
        <v>0</v>
      </c>
      <c r="H5699" s="2" t="s">
        <v>37</v>
      </c>
      <c r="I5699" s="2" t="s">
        <v>49</v>
      </c>
      <c r="J5699" s="2" t="s">
        <v>762</v>
      </c>
      <c r="K5699" s="2" t="s">
        <v>495</v>
      </c>
      <c r="L5699" s="13" t="s">
        <v>496</v>
      </c>
      <c r="M5699" s="2" t="s">
        <v>26</v>
      </c>
      <c r="N5699" s="29"/>
      <c r="O5699" s="29"/>
      <c r="P5699" s="5" t="str">
        <f>IFERROR(__xludf.DUMMYFUNCTION("TEXTJOIN("" | "",TRUE,IF(OR(D5699="""",E5699="""",I5699="""",J5699="""",H5699=""""),""ফাঁকা ঘর"",""""),IF(AND(C5699&lt;&gt;"""",D5699&lt;&gt;"""",C5699=D5699),""gloss=figurative"",""""),IF(LEN(D5699)&lt;15,""figurative ছোট"",""""),IF(AND(I5699=""Positive"",REGEXMATCH(H5"&amp;"699,""মূর্খ|ভণ্ড|প্রতার|অলস|লোভ|স্বার্থ|অক্ষম|অযোগ্য|বোকা|কৃপণ|হিংস"")),""valence-target অমিল"",""""),IF(COUNTIF($B:$B,B5699)&gt;1,""ডুপ্লিকেট"",""""))"),"")</f>
        <v/>
      </c>
      <c r="Q5699" s="5" t="str">
        <f t="shared" si="1"/>
        <v>২ পরে</v>
      </c>
    </row>
    <row r="5700">
      <c r="A5700" s="4">
        <v>3574.0</v>
      </c>
      <c r="B5700" s="2" t="s">
        <v>23319</v>
      </c>
      <c r="C5700" s="2" t="s">
        <v>23319</v>
      </c>
      <c r="D5700" s="2" t="s">
        <v>23320</v>
      </c>
      <c r="E5700" s="2" t="s">
        <v>23321</v>
      </c>
      <c r="F5700" s="2" t="b">
        <v>1</v>
      </c>
      <c r="G5700" s="2" t="b">
        <v>0</v>
      </c>
      <c r="H5700" s="2" t="s">
        <v>37</v>
      </c>
      <c r="I5700" s="2" t="s">
        <v>22</v>
      </c>
      <c r="J5700" s="2" t="s">
        <v>2671</v>
      </c>
      <c r="K5700" s="2" t="s">
        <v>495</v>
      </c>
      <c r="L5700" s="13" t="s">
        <v>496</v>
      </c>
      <c r="M5700" s="2" t="s">
        <v>26</v>
      </c>
      <c r="N5700" s="29"/>
      <c r="O5700" s="29"/>
      <c r="P5700" s="5" t="str">
        <f>IFERROR(__xludf.DUMMYFUNCTION("TEXTJOIN("" | "",TRUE,IF(OR(D5700="""",E5700="""",I5700="""",J5700="""",H5700=""""),""ফাঁকা ঘর"",""""),IF(AND(C5700&lt;&gt;"""",D5700&lt;&gt;"""",C5700=D5700),""gloss=figurative"",""""),IF(LEN(D5700)&lt;15,""figurative ছোট"",""""),IF(AND(I5700=""Positive"",REGEXMATCH(H5"&amp;"700,""মূর্খ|ভণ্ড|প্রতার|অলস|লোভ|স্বার্থ|অক্ষম|অযোগ্য|বোকা|কৃপণ|হিংস"")),""valence-target অমিল"",""""),IF(COUNTIF($B:$B,B5700)&gt;1,""ডুপ্লিকেট"",""""))"),"")</f>
        <v/>
      </c>
      <c r="Q5700" s="5" t="str">
        <f t="shared" si="1"/>
        <v>২ পরে</v>
      </c>
    </row>
    <row r="5701">
      <c r="A5701" s="4">
        <v>3575.0</v>
      </c>
      <c r="B5701" s="2" t="s">
        <v>23322</v>
      </c>
      <c r="C5701" s="2" t="s">
        <v>23323</v>
      </c>
      <c r="D5701" s="2" t="s">
        <v>23324</v>
      </c>
      <c r="E5701" s="2" t="s">
        <v>23325</v>
      </c>
      <c r="F5701" s="2" t="b">
        <v>1</v>
      </c>
      <c r="G5701" s="2" t="b">
        <v>0</v>
      </c>
      <c r="H5701" s="2" t="s">
        <v>23326</v>
      </c>
      <c r="I5701" s="2" t="s">
        <v>22</v>
      </c>
      <c r="J5701" s="2" t="s">
        <v>762</v>
      </c>
      <c r="K5701" s="2" t="s">
        <v>495</v>
      </c>
      <c r="L5701" s="13" t="s">
        <v>496</v>
      </c>
      <c r="M5701" s="2" t="s">
        <v>26</v>
      </c>
      <c r="N5701" s="29"/>
      <c r="O5701" s="29"/>
      <c r="P5701" s="5" t="str">
        <f>IFERROR(__xludf.DUMMYFUNCTION("TEXTJOIN("" | "",TRUE,IF(OR(D5701="""",E5701="""",I5701="""",J5701="""",H5701=""""),""ফাঁকা ঘর"",""""),IF(AND(C5701&lt;&gt;"""",D5701&lt;&gt;"""",C5701=D5701),""gloss=figurative"",""""),IF(LEN(D5701)&lt;15,""figurative ছোট"",""""),IF(AND(I5701=""Positive"",REGEXMATCH(H5"&amp;"701,""মূর্খ|ভণ্ড|প্রতার|অলস|লোভ|স্বার্থ|অক্ষম|অযোগ্য|বোকা|কৃপণ|হিংস"")),""valence-target অমিল"",""""),IF(COUNTIF($B:$B,B5701)&gt;1,""ডুপ্লিকেট"",""""))"),"")</f>
        <v/>
      </c>
      <c r="Q5701" s="5" t="str">
        <f t="shared" si="1"/>
        <v>২ পরে</v>
      </c>
    </row>
    <row r="5702">
      <c r="A5702" s="4">
        <v>3576.0</v>
      </c>
      <c r="B5702" s="2" t="s">
        <v>23327</v>
      </c>
      <c r="C5702" s="2" t="s">
        <v>23328</v>
      </c>
      <c r="D5702" s="2" t="s">
        <v>23329</v>
      </c>
      <c r="E5702" s="2" t="s">
        <v>23330</v>
      </c>
      <c r="F5702" s="2" t="b">
        <v>1</v>
      </c>
      <c r="G5702" s="2" t="b">
        <v>1</v>
      </c>
      <c r="H5702" s="2" t="s">
        <v>23331</v>
      </c>
      <c r="I5702" s="2" t="s">
        <v>49</v>
      </c>
      <c r="J5702" s="2" t="s">
        <v>9755</v>
      </c>
      <c r="K5702" s="2" t="s">
        <v>495</v>
      </c>
      <c r="L5702" s="13" t="s">
        <v>496</v>
      </c>
      <c r="M5702" s="2" t="s">
        <v>26</v>
      </c>
      <c r="N5702" s="29"/>
      <c r="O5702" s="29"/>
      <c r="P5702" s="5" t="str">
        <f>IFERROR(__xludf.DUMMYFUNCTION("TEXTJOIN("" | "",TRUE,IF(OR(D5702="""",E5702="""",I5702="""",J5702="""",H5702=""""),""ফাঁকা ঘর"",""""),IF(AND(C5702&lt;&gt;"""",D5702&lt;&gt;"""",C5702=D5702),""gloss=figurative"",""""),IF(LEN(D5702)&lt;15,""figurative ছোট"",""""),IF(AND(I5702=""Positive"",REGEXMATCH(H5"&amp;"702,""মূর্খ|ভণ্ড|প্রতার|অলস|লোভ|স্বার্থ|অক্ষম|অযোগ্য|বোকা|কৃপণ|হিংস"")),""valence-target অমিল"",""""),IF(COUNTIF($B:$B,B5702)&gt;1,""ডুপ্লিকেট"",""""))"),"")</f>
        <v/>
      </c>
      <c r="Q5702" s="5" t="str">
        <f t="shared" si="1"/>
        <v>২ পরে</v>
      </c>
    </row>
    <row r="5703">
      <c r="A5703" s="4">
        <v>3577.0</v>
      </c>
      <c r="B5703" s="2" t="s">
        <v>23332</v>
      </c>
      <c r="C5703" s="2" t="s">
        <v>23333</v>
      </c>
      <c r="D5703" s="2" t="s">
        <v>23334</v>
      </c>
      <c r="E5703" s="2" t="s">
        <v>23335</v>
      </c>
      <c r="F5703" s="2" t="b">
        <v>1</v>
      </c>
      <c r="G5703" s="2" t="b">
        <v>0</v>
      </c>
      <c r="H5703" s="2" t="s">
        <v>23336</v>
      </c>
      <c r="I5703" s="2" t="s">
        <v>22</v>
      </c>
      <c r="J5703" s="2" t="s">
        <v>723</v>
      </c>
      <c r="K5703" s="2" t="s">
        <v>495</v>
      </c>
      <c r="L5703" s="13" t="s">
        <v>496</v>
      </c>
      <c r="M5703" s="2" t="s">
        <v>26</v>
      </c>
      <c r="N5703" s="29"/>
      <c r="O5703" s="29"/>
      <c r="P5703" s="5" t="str">
        <f>IFERROR(__xludf.DUMMYFUNCTION("TEXTJOIN("" | "",TRUE,IF(OR(D5703="""",E5703="""",I5703="""",J5703="""",H5703=""""),""ফাঁকা ঘর"",""""),IF(AND(C5703&lt;&gt;"""",D5703&lt;&gt;"""",C5703=D5703),""gloss=figurative"",""""),IF(LEN(D5703)&lt;15,""figurative ছোট"",""""),IF(AND(I5703=""Positive"",REGEXMATCH(H5"&amp;"703,""মূর্খ|ভণ্ড|প্রতার|অলস|লোভ|স্বার্থ|অক্ষম|অযোগ্য|বোকা|কৃপণ|হিংস"")),""valence-target অমিল"",""""),IF(COUNTIF($B:$B,B5703)&gt;1,""ডুপ্লিকেট"",""""))"),"")</f>
        <v/>
      </c>
      <c r="Q5703" s="5" t="str">
        <f t="shared" si="1"/>
        <v>২ পরে</v>
      </c>
    </row>
    <row r="5704">
      <c r="A5704" s="4">
        <v>3578.0</v>
      </c>
      <c r="B5704" s="2" t="s">
        <v>23337</v>
      </c>
      <c r="C5704" s="2" t="s">
        <v>23338</v>
      </c>
      <c r="D5704" s="2" t="s">
        <v>23339</v>
      </c>
      <c r="E5704" s="2" t="s">
        <v>23340</v>
      </c>
      <c r="F5704" s="2" t="b">
        <v>1</v>
      </c>
      <c r="G5704" s="2" t="b">
        <v>0</v>
      </c>
      <c r="H5704" s="2" t="s">
        <v>1612</v>
      </c>
      <c r="I5704" s="2" t="s">
        <v>22</v>
      </c>
      <c r="J5704" s="2" t="s">
        <v>836</v>
      </c>
      <c r="K5704" s="2" t="s">
        <v>495</v>
      </c>
      <c r="L5704" s="13" t="s">
        <v>496</v>
      </c>
      <c r="M5704" s="2" t="s">
        <v>26</v>
      </c>
      <c r="N5704" s="29"/>
      <c r="O5704" s="29"/>
      <c r="P5704" s="5" t="str">
        <f>IFERROR(__xludf.DUMMYFUNCTION("TEXTJOIN("" | "",TRUE,IF(OR(D5704="""",E5704="""",I5704="""",J5704="""",H5704=""""),""ফাঁকা ঘর"",""""),IF(AND(C5704&lt;&gt;"""",D5704&lt;&gt;"""",C5704=D5704),""gloss=figurative"",""""),IF(LEN(D5704)&lt;15,""figurative ছোট"",""""),IF(AND(I5704=""Positive"",REGEXMATCH(H5"&amp;"704,""মূর্খ|ভণ্ড|প্রতার|অলস|লোভ|স্বার্থ|অক্ষম|অযোগ্য|বোকা|কৃপণ|হিংস"")),""valence-target অমিল"",""""),IF(COUNTIF($B:$B,B5704)&gt;1,""ডুপ্লিকেট"",""""))"),"")</f>
        <v/>
      </c>
      <c r="Q5704" s="5" t="str">
        <f t="shared" si="1"/>
        <v>২ পরে</v>
      </c>
    </row>
    <row r="5705">
      <c r="A5705" s="4">
        <v>3579.0</v>
      </c>
      <c r="B5705" s="2" t="s">
        <v>23341</v>
      </c>
      <c r="C5705" s="2" t="s">
        <v>23342</v>
      </c>
      <c r="D5705" s="2" t="s">
        <v>23343</v>
      </c>
      <c r="E5705" s="2" t="s">
        <v>23344</v>
      </c>
      <c r="F5705" s="2" t="b">
        <v>1</v>
      </c>
      <c r="G5705" s="2" t="b">
        <v>0</v>
      </c>
      <c r="H5705" s="2" t="s">
        <v>37</v>
      </c>
      <c r="I5705" s="2" t="s">
        <v>22</v>
      </c>
      <c r="J5705" s="2" t="s">
        <v>1775</v>
      </c>
      <c r="K5705" s="2" t="s">
        <v>495</v>
      </c>
      <c r="L5705" s="13" t="s">
        <v>496</v>
      </c>
      <c r="M5705" s="2" t="s">
        <v>26</v>
      </c>
      <c r="N5705" s="29"/>
      <c r="O5705" s="29"/>
      <c r="P5705" s="5" t="str">
        <f>IFERROR(__xludf.DUMMYFUNCTION("TEXTJOIN("" | "",TRUE,IF(OR(D5705="""",E5705="""",I5705="""",J5705="""",H5705=""""),""ফাঁকা ঘর"",""""),IF(AND(C5705&lt;&gt;"""",D5705&lt;&gt;"""",C5705=D5705),""gloss=figurative"",""""),IF(LEN(D5705)&lt;15,""figurative ছোট"",""""),IF(AND(I5705=""Positive"",REGEXMATCH(H5"&amp;"705,""মূর্খ|ভণ্ড|প্রতার|অলস|লোভ|স্বার্থ|অক্ষম|অযোগ্য|বোকা|কৃপণ|হিংস"")),""valence-target অমিল"",""""),IF(COUNTIF($B:$B,B5705)&gt;1,""ডুপ্লিকেট"",""""))"),"")</f>
        <v/>
      </c>
      <c r="Q5705" s="5" t="str">
        <f t="shared" si="1"/>
        <v>২ পরে</v>
      </c>
    </row>
    <row r="5706">
      <c r="A5706" s="4">
        <v>3580.0</v>
      </c>
      <c r="B5706" s="2" t="s">
        <v>23345</v>
      </c>
      <c r="C5706" s="2" t="s">
        <v>23346</v>
      </c>
      <c r="D5706" s="2" t="s">
        <v>23347</v>
      </c>
      <c r="E5706" s="2" t="s">
        <v>23348</v>
      </c>
      <c r="F5706" s="2" t="b">
        <v>1</v>
      </c>
      <c r="G5706" s="2" t="b">
        <v>0</v>
      </c>
      <c r="H5706" s="2" t="s">
        <v>17038</v>
      </c>
      <c r="I5706" s="2" t="s">
        <v>22</v>
      </c>
      <c r="J5706" s="2" t="s">
        <v>820</v>
      </c>
      <c r="K5706" s="2" t="s">
        <v>495</v>
      </c>
      <c r="L5706" s="13" t="s">
        <v>496</v>
      </c>
      <c r="M5706" s="2" t="s">
        <v>26</v>
      </c>
      <c r="N5706" s="29"/>
      <c r="O5706" s="29"/>
      <c r="P5706" s="5" t="str">
        <f>IFERROR(__xludf.DUMMYFUNCTION("TEXTJOIN("" | "",TRUE,IF(OR(D5706="""",E5706="""",I5706="""",J5706="""",H5706=""""),""ফাঁকা ঘর"",""""),IF(AND(C5706&lt;&gt;"""",D5706&lt;&gt;"""",C5706=D5706),""gloss=figurative"",""""),IF(LEN(D5706)&lt;15,""figurative ছোট"",""""),IF(AND(I5706=""Positive"",REGEXMATCH(H5"&amp;"706,""মূর্খ|ভণ্ড|প্রতার|অলস|লোভ|স্বার্থ|অক্ষম|অযোগ্য|বোকা|কৃপণ|হিংস"")),""valence-target অমিল"",""""),IF(COUNTIF($B:$B,B5706)&gt;1,""ডুপ্লিকেট"",""""))"),"")</f>
        <v/>
      </c>
      <c r="Q5706" s="5" t="str">
        <f t="shared" si="1"/>
        <v>২ পরে</v>
      </c>
    </row>
    <row r="5707">
      <c r="A5707" s="4">
        <v>3581.0</v>
      </c>
      <c r="B5707" s="2" t="s">
        <v>23349</v>
      </c>
      <c r="C5707" s="2" t="s">
        <v>23350</v>
      </c>
      <c r="D5707" s="2" t="s">
        <v>23351</v>
      </c>
      <c r="E5707" s="2" t="s">
        <v>23352</v>
      </c>
      <c r="F5707" s="2" t="b">
        <v>1</v>
      </c>
      <c r="G5707" s="2" t="b">
        <v>0</v>
      </c>
      <c r="H5707" s="2" t="s">
        <v>23353</v>
      </c>
      <c r="I5707" s="2" t="s">
        <v>49</v>
      </c>
      <c r="J5707" s="2" t="s">
        <v>1060</v>
      </c>
      <c r="K5707" s="2" t="s">
        <v>495</v>
      </c>
      <c r="L5707" s="13" t="s">
        <v>496</v>
      </c>
      <c r="M5707" s="2" t="s">
        <v>26</v>
      </c>
      <c r="N5707" s="29"/>
      <c r="O5707" s="29"/>
      <c r="P5707" s="5" t="str">
        <f>IFERROR(__xludf.DUMMYFUNCTION("TEXTJOIN("" | "",TRUE,IF(OR(D5707="""",E5707="""",I5707="""",J5707="""",H5707=""""),""ফাঁকা ঘর"",""""),IF(AND(C5707&lt;&gt;"""",D5707&lt;&gt;"""",C5707=D5707),""gloss=figurative"",""""),IF(LEN(D5707)&lt;15,""figurative ছোট"",""""),IF(AND(I5707=""Positive"",REGEXMATCH(H5"&amp;"707,""মূর্খ|ভণ্ড|প্রতার|অলস|লোভ|স্বার্থ|অক্ষম|অযোগ্য|বোকা|কৃপণ|হিংস"")),""valence-target অমিল"",""""),IF(COUNTIF($B:$B,B5707)&gt;1,""ডুপ্লিকেট"",""""))"),"")</f>
        <v/>
      </c>
      <c r="Q5707" s="5" t="str">
        <f t="shared" si="1"/>
        <v>২ পরে</v>
      </c>
    </row>
    <row r="5708">
      <c r="A5708" s="4">
        <v>3582.0</v>
      </c>
      <c r="B5708" s="2" t="s">
        <v>23354</v>
      </c>
      <c r="C5708" s="2" t="s">
        <v>23355</v>
      </c>
      <c r="D5708" s="2" t="s">
        <v>23356</v>
      </c>
      <c r="E5708" s="2" t="s">
        <v>23357</v>
      </c>
      <c r="F5708" s="2" t="b">
        <v>1</v>
      </c>
      <c r="G5708" s="2" t="b">
        <v>0</v>
      </c>
      <c r="H5708" s="2" t="s">
        <v>23358</v>
      </c>
      <c r="I5708" s="2" t="s">
        <v>22</v>
      </c>
      <c r="J5708" s="2" t="s">
        <v>1621</v>
      </c>
      <c r="K5708" s="2" t="s">
        <v>495</v>
      </c>
      <c r="L5708" s="13" t="s">
        <v>496</v>
      </c>
      <c r="M5708" s="2" t="s">
        <v>26</v>
      </c>
      <c r="N5708" s="29"/>
      <c r="O5708" s="29"/>
      <c r="P5708" s="5" t="str">
        <f>IFERROR(__xludf.DUMMYFUNCTION("TEXTJOIN("" | "",TRUE,IF(OR(D5708="""",E5708="""",I5708="""",J5708="""",H5708=""""),""ফাঁকা ঘর"",""""),IF(AND(C5708&lt;&gt;"""",D5708&lt;&gt;"""",C5708=D5708),""gloss=figurative"",""""),IF(LEN(D5708)&lt;15,""figurative ছোট"",""""),IF(AND(I5708=""Positive"",REGEXMATCH(H5"&amp;"708,""মূর্খ|ভণ্ড|প্রতার|অলস|লোভ|স্বার্থ|অক্ষম|অযোগ্য|বোকা|কৃপণ|হিংস"")),""valence-target অমিল"",""""),IF(COUNTIF($B:$B,B5708)&gt;1,""ডুপ্লিকেট"",""""))"),"")</f>
        <v/>
      </c>
      <c r="Q5708" s="5" t="str">
        <f t="shared" si="1"/>
        <v>২ পরে</v>
      </c>
    </row>
    <row r="5709">
      <c r="A5709" s="4">
        <v>3583.0</v>
      </c>
      <c r="B5709" s="2" t="s">
        <v>23359</v>
      </c>
      <c r="C5709" s="2" t="s">
        <v>23360</v>
      </c>
      <c r="D5709" s="2" t="s">
        <v>23361</v>
      </c>
      <c r="E5709" s="2" t="s">
        <v>23362</v>
      </c>
      <c r="F5709" s="2" t="b">
        <v>1</v>
      </c>
      <c r="G5709" s="2" t="b">
        <v>0</v>
      </c>
      <c r="H5709" s="2" t="s">
        <v>23363</v>
      </c>
      <c r="I5709" s="2" t="s">
        <v>22</v>
      </c>
      <c r="J5709" s="2" t="s">
        <v>1572</v>
      </c>
      <c r="K5709" s="2" t="s">
        <v>495</v>
      </c>
      <c r="L5709" s="13" t="s">
        <v>496</v>
      </c>
      <c r="M5709" s="2" t="s">
        <v>26</v>
      </c>
      <c r="N5709" s="29"/>
      <c r="O5709" s="29"/>
      <c r="P5709" s="5" t="str">
        <f>IFERROR(__xludf.DUMMYFUNCTION("TEXTJOIN("" | "",TRUE,IF(OR(D5709="""",E5709="""",I5709="""",J5709="""",H5709=""""),""ফাঁকা ঘর"",""""),IF(AND(C5709&lt;&gt;"""",D5709&lt;&gt;"""",C5709=D5709),""gloss=figurative"",""""),IF(LEN(D5709)&lt;15,""figurative ছোট"",""""),IF(AND(I5709=""Positive"",REGEXMATCH(H5"&amp;"709,""মূর্খ|ভণ্ড|প্রতার|অলস|লোভ|স্বার্থ|অক্ষম|অযোগ্য|বোকা|কৃপণ|হিংস"")),""valence-target অমিল"",""""),IF(COUNTIF($B:$B,B5709)&gt;1,""ডুপ্লিকেট"",""""))"),"")</f>
        <v/>
      </c>
      <c r="Q5709" s="5" t="str">
        <f t="shared" si="1"/>
        <v>২ পরে</v>
      </c>
    </row>
    <row r="5710">
      <c r="A5710" s="4">
        <v>3584.0</v>
      </c>
      <c r="B5710" s="2" t="s">
        <v>23364</v>
      </c>
      <c r="C5710" s="2" t="s">
        <v>23365</v>
      </c>
      <c r="D5710" s="2" t="s">
        <v>23366</v>
      </c>
      <c r="E5710" s="2" t="s">
        <v>23367</v>
      </c>
      <c r="F5710" s="2" t="b">
        <v>1</v>
      </c>
      <c r="G5710" s="2" t="b">
        <v>0</v>
      </c>
      <c r="H5710" s="2" t="s">
        <v>23368</v>
      </c>
      <c r="I5710" s="2" t="s">
        <v>22</v>
      </c>
      <c r="J5710" s="2" t="s">
        <v>1572</v>
      </c>
      <c r="K5710" s="2" t="s">
        <v>495</v>
      </c>
      <c r="L5710" s="13" t="s">
        <v>496</v>
      </c>
      <c r="M5710" s="2" t="s">
        <v>26</v>
      </c>
      <c r="N5710" s="29"/>
      <c r="O5710" s="29"/>
      <c r="P5710" s="5" t="str">
        <f>IFERROR(__xludf.DUMMYFUNCTION("TEXTJOIN("" | "",TRUE,IF(OR(D5710="""",E5710="""",I5710="""",J5710="""",H5710=""""),""ফাঁকা ঘর"",""""),IF(AND(C5710&lt;&gt;"""",D5710&lt;&gt;"""",C5710=D5710),""gloss=figurative"",""""),IF(LEN(D5710)&lt;15,""figurative ছোট"",""""),IF(AND(I5710=""Positive"",REGEXMATCH(H5"&amp;"710,""মূর্খ|ভণ্ড|প্রতার|অলস|লোভ|স্বার্থ|অক্ষম|অযোগ্য|বোকা|কৃপণ|হিংস"")),""valence-target অমিল"",""""),IF(COUNTIF($B:$B,B5710)&gt;1,""ডুপ্লিকেট"",""""))"),"")</f>
        <v/>
      </c>
      <c r="Q5710" s="5" t="str">
        <f t="shared" si="1"/>
        <v>২ পরে</v>
      </c>
    </row>
    <row r="5711">
      <c r="A5711" s="4">
        <v>3585.0</v>
      </c>
      <c r="B5711" s="2" t="s">
        <v>23369</v>
      </c>
      <c r="C5711" s="2" t="s">
        <v>23370</v>
      </c>
      <c r="D5711" s="2" t="s">
        <v>23371</v>
      </c>
      <c r="E5711" s="2" t="s">
        <v>23372</v>
      </c>
      <c r="F5711" s="2" t="b">
        <v>1</v>
      </c>
      <c r="G5711" s="2" t="b">
        <v>0</v>
      </c>
      <c r="H5711" s="2" t="s">
        <v>37</v>
      </c>
      <c r="I5711" s="2" t="s">
        <v>22</v>
      </c>
      <c r="J5711" s="2" t="s">
        <v>3716</v>
      </c>
      <c r="K5711" s="2" t="s">
        <v>495</v>
      </c>
      <c r="L5711" s="13" t="s">
        <v>496</v>
      </c>
      <c r="M5711" s="2" t="s">
        <v>26</v>
      </c>
      <c r="N5711" s="29"/>
      <c r="O5711" s="29"/>
      <c r="P5711" s="5" t="str">
        <f>IFERROR(__xludf.DUMMYFUNCTION("TEXTJOIN("" | "",TRUE,IF(OR(D5711="""",E5711="""",I5711="""",J5711="""",H5711=""""),""ফাঁকা ঘর"",""""),IF(AND(C5711&lt;&gt;"""",D5711&lt;&gt;"""",C5711=D5711),""gloss=figurative"",""""),IF(LEN(D5711)&lt;15,""figurative ছোট"",""""),IF(AND(I5711=""Positive"",REGEXMATCH(H5"&amp;"711,""মূর্খ|ভণ্ড|প্রতার|অলস|লোভ|স্বার্থ|অক্ষম|অযোগ্য|বোকা|কৃপণ|হিংস"")),""valence-target অমিল"",""""),IF(COUNTIF($B:$B,B5711)&gt;1,""ডুপ্লিকেট"",""""))"),"")</f>
        <v/>
      </c>
      <c r="Q5711" s="5" t="str">
        <f t="shared" si="1"/>
        <v>২ পরে</v>
      </c>
    </row>
    <row r="5712">
      <c r="A5712" s="4">
        <v>3586.0</v>
      </c>
      <c r="B5712" s="2" t="s">
        <v>23373</v>
      </c>
      <c r="C5712" s="2" t="s">
        <v>23374</v>
      </c>
      <c r="D5712" s="2" t="s">
        <v>23375</v>
      </c>
      <c r="E5712" s="2" t="s">
        <v>23376</v>
      </c>
      <c r="F5712" s="2" t="b">
        <v>1</v>
      </c>
      <c r="G5712" s="2" t="b">
        <v>0</v>
      </c>
      <c r="H5712" s="2" t="s">
        <v>23377</v>
      </c>
      <c r="I5712" s="2" t="s">
        <v>22</v>
      </c>
      <c r="J5712" s="2" t="s">
        <v>1621</v>
      </c>
      <c r="K5712" s="2" t="s">
        <v>495</v>
      </c>
      <c r="L5712" s="13" t="s">
        <v>496</v>
      </c>
      <c r="M5712" s="2" t="s">
        <v>26</v>
      </c>
      <c r="N5712" s="29"/>
      <c r="O5712" s="29"/>
      <c r="P5712" s="5" t="str">
        <f>IFERROR(__xludf.DUMMYFUNCTION("TEXTJOIN("" | "",TRUE,IF(OR(D5712="""",E5712="""",I5712="""",J5712="""",H5712=""""),""ফাঁকা ঘর"",""""),IF(AND(C5712&lt;&gt;"""",D5712&lt;&gt;"""",C5712=D5712),""gloss=figurative"",""""),IF(LEN(D5712)&lt;15,""figurative ছোট"",""""),IF(AND(I5712=""Positive"",REGEXMATCH(H5"&amp;"712,""মূর্খ|ভণ্ড|প্রতার|অলস|লোভ|স্বার্থ|অক্ষম|অযোগ্য|বোকা|কৃপণ|হিংস"")),""valence-target অমিল"",""""),IF(COUNTIF($B:$B,B5712)&gt;1,""ডুপ্লিকেট"",""""))"),"")</f>
        <v/>
      </c>
      <c r="Q5712" s="5" t="str">
        <f t="shared" si="1"/>
        <v>২ পরে</v>
      </c>
    </row>
    <row r="5713">
      <c r="A5713" s="4">
        <v>3587.0</v>
      </c>
      <c r="B5713" s="2" t="s">
        <v>23378</v>
      </c>
      <c r="C5713" s="2" t="s">
        <v>23379</v>
      </c>
      <c r="D5713" s="2" t="s">
        <v>23380</v>
      </c>
      <c r="E5713" s="2" t="s">
        <v>23381</v>
      </c>
      <c r="F5713" s="2" t="b">
        <v>1</v>
      </c>
      <c r="G5713" s="2" t="b">
        <v>0</v>
      </c>
      <c r="H5713" s="2" t="s">
        <v>23382</v>
      </c>
      <c r="I5713" s="2" t="s">
        <v>49</v>
      </c>
      <c r="J5713" s="2" t="s">
        <v>7033</v>
      </c>
      <c r="K5713" s="2" t="s">
        <v>495</v>
      </c>
      <c r="L5713" s="13" t="s">
        <v>496</v>
      </c>
      <c r="M5713" s="2" t="s">
        <v>26</v>
      </c>
      <c r="N5713" s="29"/>
      <c r="O5713" s="29"/>
      <c r="P5713" s="5" t="str">
        <f>IFERROR(__xludf.DUMMYFUNCTION("TEXTJOIN("" | "",TRUE,IF(OR(D5713="""",E5713="""",I5713="""",J5713="""",H5713=""""),""ফাঁকা ঘর"",""""),IF(AND(C5713&lt;&gt;"""",D5713&lt;&gt;"""",C5713=D5713),""gloss=figurative"",""""),IF(LEN(D5713)&lt;15,""figurative ছোট"",""""),IF(AND(I5713=""Positive"",REGEXMATCH(H5"&amp;"713,""মূর্খ|ভণ্ড|প্রতার|অলস|লোভ|স্বার্থ|অক্ষম|অযোগ্য|বোকা|কৃপণ|হিংস"")),""valence-target অমিল"",""""),IF(COUNTIF($B:$B,B5713)&gt;1,""ডুপ্লিকেট"",""""))"),"")</f>
        <v/>
      </c>
      <c r="Q5713" s="5" t="str">
        <f t="shared" si="1"/>
        <v>২ পরে</v>
      </c>
    </row>
    <row r="5714">
      <c r="A5714" s="4">
        <v>3588.0</v>
      </c>
      <c r="B5714" s="2" t="s">
        <v>23383</v>
      </c>
      <c r="C5714" s="2" t="s">
        <v>23384</v>
      </c>
      <c r="D5714" s="2" t="s">
        <v>23385</v>
      </c>
      <c r="E5714" s="2" t="s">
        <v>23386</v>
      </c>
      <c r="F5714" s="2" t="b">
        <v>1</v>
      </c>
      <c r="G5714" s="2" t="b">
        <v>1</v>
      </c>
      <c r="H5714" s="2" t="s">
        <v>23387</v>
      </c>
      <c r="I5714" s="2" t="s">
        <v>32</v>
      </c>
      <c r="J5714" s="2" t="s">
        <v>3017</v>
      </c>
      <c r="K5714" s="2" t="s">
        <v>495</v>
      </c>
      <c r="L5714" s="13" t="s">
        <v>496</v>
      </c>
      <c r="M5714" s="2" t="s">
        <v>26</v>
      </c>
      <c r="N5714" s="29"/>
      <c r="O5714" s="29"/>
      <c r="P5714" s="5" t="str">
        <f>IFERROR(__xludf.DUMMYFUNCTION("TEXTJOIN("" | "",TRUE,IF(OR(D5714="""",E5714="""",I5714="""",J5714="""",H5714=""""),""ফাঁকা ঘর"",""""),IF(AND(C5714&lt;&gt;"""",D5714&lt;&gt;"""",C5714=D5714),""gloss=figurative"",""""),IF(LEN(D5714)&lt;15,""figurative ছোট"",""""),IF(AND(I5714=""Positive"",REGEXMATCH(H5"&amp;"714,""মূর্খ|ভণ্ড|প্রতার|অলস|লোভ|স্বার্থ|অক্ষম|অযোগ্য|বোকা|কৃপণ|হিংস"")),""valence-target অমিল"",""""),IF(COUNTIF($B:$B,B5714)&gt;1,""ডুপ্লিকেট"",""""))"),"")</f>
        <v/>
      </c>
      <c r="Q5714" s="5" t="str">
        <f t="shared" si="1"/>
        <v>২ পরে</v>
      </c>
    </row>
    <row r="5715">
      <c r="A5715" s="4">
        <v>3589.0</v>
      </c>
      <c r="B5715" s="2" t="s">
        <v>23388</v>
      </c>
      <c r="C5715" s="2" t="s">
        <v>23389</v>
      </c>
      <c r="D5715" s="2" t="s">
        <v>23390</v>
      </c>
      <c r="E5715" s="2" t="s">
        <v>23391</v>
      </c>
      <c r="F5715" s="2" t="b">
        <v>1</v>
      </c>
      <c r="G5715" s="2" t="b">
        <v>1</v>
      </c>
      <c r="H5715" s="2" t="s">
        <v>23392</v>
      </c>
      <c r="I5715" s="2" t="s">
        <v>49</v>
      </c>
      <c r="J5715" s="2" t="s">
        <v>23393</v>
      </c>
      <c r="K5715" s="2" t="s">
        <v>495</v>
      </c>
      <c r="L5715" s="13" t="s">
        <v>496</v>
      </c>
      <c r="M5715" s="2" t="s">
        <v>26</v>
      </c>
      <c r="N5715" s="29"/>
      <c r="O5715" s="29"/>
      <c r="P5715" s="5" t="str">
        <f>IFERROR(__xludf.DUMMYFUNCTION("TEXTJOIN("" | "",TRUE,IF(OR(D5715="""",E5715="""",I5715="""",J5715="""",H5715=""""),""ফাঁকা ঘর"",""""),IF(AND(C5715&lt;&gt;"""",D5715&lt;&gt;"""",C5715=D5715),""gloss=figurative"",""""),IF(LEN(D5715)&lt;15,""figurative ছোট"",""""),IF(AND(I5715=""Positive"",REGEXMATCH(H5"&amp;"715,""মূর্খ|ভণ্ড|প্রতার|অলস|লোভ|স্বার্থ|অক্ষম|অযোগ্য|বোকা|কৃপণ|হিংস"")),""valence-target অমিল"",""""),IF(COUNTIF($B:$B,B5715)&gt;1,""ডুপ্লিকেট"",""""))"),"")</f>
        <v/>
      </c>
      <c r="Q5715" s="5" t="str">
        <f t="shared" si="1"/>
        <v>২ পরে</v>
      </c>
    </row>
    <row r="5716">
      <c r="A5716" s="4">
        <v>3590.0</v>
      </c>
      <c r="B5716" s="2" t="s">
        <v>23394</v>
      </c>
      <c r="C5716" s="2" t="s">
        <v>23395</v>
      </c>
      <c r="D5716" s="2" t="s">
        <v>23396</v>
      </c>
      <c r="E5716" s="2" t="s">
        <v>23397</v>
      </c>
      <c r="F5716" s="2" t="b">
        <v>1</v>
      </c>
      <c r="G5716" s="2" t="b">
        <v>0</v>
      </c>
      <c r="H5716" s="2" t="s">
        <v>37</v>
      </c>
      <c r="I5716" s="2" t="s">
        <v>49</v>
      </c>
      <c r="J5716" s="2" t="s">
        <v>1060</v>
      </c>
      <c r="K5716" s="2" t="s">
        <v>495</v>
      </c>
      <c r="L5716" s="13" t="s">
        <v>496</v>
      </c>
      <c r="M5716" s="2" t="s">
        <v>26</v>
      </c>
      <c r="N5716" s="29"/>
      <c r="O5716" s="29"/>
      <c r="P5716" s="5" t="str">
        <f>IFERROR(__xludf.DUMMYFUNCTION("TEXTJOIN("" | "",TRUE,IF(OR(D5716="""",E5716="""",I5716="""",J5716="""",H5716=""""),""ফাঁকা ঘর"",""""),IF(AND(C5716&lt;&gt;"""",D5716&lt;&gt;"""",C5716=D5716),""gloss=figurative"",""""),IF(LEN(D5716)&lt;15,""figurative ছোট"",""""),IF(AND(I5716=""Positive"",REGEXMATCH(H5"&amp;"716,""মূর্খ|ভণ্ড|প্রতার|অলস|লোভ|স্বার্থ|অক্ষম|অযোগ্য|বোকা|কৃপণ|হিংস"")),""valence-target অমিল"",""""),IF(COUNTIF($B:$B,B5716)&gt;1,""ডুপ্লিকেট"",""""))"),"")</f>
        <v/>
      </c>
      <c r="Q5716" s="5" t="str">
        <f t="shared" si="1"/>
        <v>২ পরে</v>
      </c>
    </row>
    <row r="5717">
      <c r="A5717" s="4">
        <v>3591.0</v>
      </c>
      <c r="B5717" s="2" t="s">
        <v>23398</v>
      </c>
      <c r="C5717" s="2" t="s">
        <v>23399</v>
      </c>
      <c r="D5717" s="2" t="s">
        <v>23400</v>
      </c>
      <c r="E5717" s="2" t="s">
        <v>23401</v>
      </c>
      <c r="F5717" s="2" t="b">
        <v>1</v>
      </c>
      <c r="G5717" s="2" t="b">
        <v>0</v>
      </c>
      <c r="H5717" s="2" t="s">
        <v>23402</v>
      </c>
      <c r="I5717" s="2" t="s">
        <v>22</v>
      </c>
      <c r="J5717" s="2" t="s">
        <v>2255</v>
      </c>
      <c r="K5717" s="2" t="s">
        <v>495</v>
      </c>
      <c r="L5717" s="13" t="s">
        <v>496</v>
      </c>
      <c r="M5717" s="2" t="s">
        <v>26</v>
      </c>
      <c r="N5717" s="29"/>
      <c r="O5717" s="29"/>
      <c r="P5717" s="5" t="str">
        <f>IFERROR(__xludf.DUMMYFUNCTION("TEXTJOIN("" | "",TRUE,IF(OR(D5717="""",E5717="""",I5717="""",J5717="""",H5717=""""),""ফাঁকা ঘর"",""""),IF(AND(C5717&lt;&gt;"""",D5717&lt;&gt;"""",C5717=D5717),""gloss=figurative"",""""),IF(LEN(D5717)&lt;15,""figurative ছোট"",""""),IF(AND(I5717=""Positive"",REGEXMATCH(H5"&amp;"717,""মূর্খ|ভণ্ড|প্রতার|অলস|লোভ|স্বার্থ|অক্ষম|অযোগ্য|বোকা|কৃপণ|হিংস"")),""valence-target অমিল"",""""),IF(COUNTIF($B:$B,B5717)&gt;1,""ডুপ্লিকেট"",""""))"),"")</f>
        <v/>
      </c>
      <c r="Q5717" s="5" t="str">
        <f t="shared" si="1"/>
        <v>২ পরে</v>
      </c>
    </row>
    <row r="5718">
      <c r="A5718" s="4">
        <v>3592.0</v>
      </c>
      <c r="B5718" s="2" t="s">
        <v>23403</v>
      </c>
      <c r="C5718" s="2" t="s">
        <v>23404</v>
      </c>
      <c r="D5718" s="2" t="s">
        <v>23405</v>
      </c>
      <c r="E5718" s="2" t="s">
        <v>23406</v>
      </c>
      <c r="F5718" s="2" t="b">
        <v>1</v>
      </c>
      <c r="G5718" s="2" t="b">
        <v>0</v>
      </c>
      <c r="H5718" s="2" t="s">
        <v>23407</v>
      </c>
      <c r="I5718" s="2" t="s">
        <v>32</v>
      </c>
      <c r="J5718" s="2" t="s">
        <v>729</v>
      </c>
      <c r="K5718" s="2" t="s">
        <v>495</v>
      </c>
      <c r="L5718" s="13" t="s">
        <v>496</v>
      </c>
      <c r="M5718" s="2" t="s">
        <v>26</v>
      </c>
      <c r="N5718" s="29"/>
      <c r="O5718" s="29"/>
      <c r="P5718" s="5" t="str">
        <f>IFERROR(__xludf.DUMMYFUNCTION("TEXTJOIN("" | "",TRUE,IF(OR(D5718="""",E5718="""",I5718="""",J5718="""",H5718=""""),""ফাঁকা ঘর"",""""),IF(AND(C5718&lt;&gt;"""",D5718&lt;&gt;"""",C5718=D5718),""gloss=figurative"",""""),IF(LEN(D5718)&lt;15,""figurative ছোট"",""""),IF(AND(I5718=""Positive"",REGEXMATCH(H5"&amp;"718,""মূর্খ|ভণ্ড|প্রতার|অলস|লোভ|স্বার্থ|অক্ষম|অযোগ্য|বোকা|কৃপণ|হিংস"")),""valence-target অমিল"",""""),IF(COUNTIF($B:$B,B5718)&gt;1,""ডুপ্লিকেট"",""""))"),"")</f>
        <v/>
      </c>
      <c r="Q5718" s="5" t="str">
        <f t="shared" si="1"/>
        <v>২ পরে</v>
      </c>
    </row>
    <row r="5719">
      <c r="A5719" s="4">
        <v>3593.0</v>
      </c>
      <c r="B5719" s="2" t="s">
        <v>23408</v>
      </c>
      <c r="C5719" s="2" t="s">
        <v>23409</v>
      </c>
      <c r="D5719" s="2" t="s">
        <v>23410</v>
      </c>
      <c r="E5719" s="2" t="s">
        <v>23411</v>
      </c>
      <c r="F5719" s="2" t="b">
        <v>1</v>
      </c>
      <c r="G5719" s="2" t="b">
        <v>0</v>
      </c>
      <c r="H5719" s="2" t="s">
        <v>189</v>
      </c>
      <c r="I5719" s="2" t="s">
        <v>32</v>
      </c>
      <c r="J5719" s="2" t="s">
        <v>601</v>
      </c>
      <c r="K5719" s="2" t="s">
        <v>495</v>
      </c>
      <c r="L5719" s="13" t="s">
        <v>496</v>
      </c>
      <c r="M5719" s="2" t="s">
        <v>26</v>
      </c>
      <c r="N5719" s="29"/>
      <c r="O5719" s="29"/>
      <c r="P5719" s="5" t="str">
        <f>IFERROR(__xludf.DUMMYFUNCTION("TEXTJOIN("" | "",TRUE,IF(OR(D5719="""",E5719="""",I5719="""",J5719="""",H5719=""""),""ফাঁকা ঘর"",""""),IF(AND(C5719&lt;&gt;"""",D5719&lt;&gt;"""",C5719=D5719),""gloss=figurative"",""""),IF(LEN(D5719)&lt;15,""figurative ছোট"",""""),IF(AND(I5719=""Positive"",REGEXMATCH(H5"&amp;"719,""মূর্খ|ভণ্ড|প্রতার|অলস|লোভ|স্বার্থ|অক্ষম|অযোগ্য|বোকা|কৃপণ|হিংস"")),""valence-target অমিল"",""""),IF(COUNTIF($B:$B,B5719)&gt;1,""ডুপ্লিকেট"",""""))"),"")</f>
        <v/>
      </c>
      <c r="Q5719" s="5" t="str">
        <f t="shared" si="1"/>
        <v>২ পরে</v>
      </c>
    </row>
    <row r="5720">
      <c r="A5720" s="4">
        <v>3594.0</v>
      </c>
      <c r="B5720" s="2" t="s">
        <v>23412</v>
      </c>
      <c r="C5720" s="2" t="s">
        <v>23413</v>
      </c>
      <c r="D5720" s="2" t="s">
        <v>23414</v>
      </c>
      <c r="E5720" s="2" t="s">
        <v>23415</v>
      </c>
      <c r="F5720" s="2" t="b">
        <v>1</v>
      </c>
      <c r="G5720" s="2" t="b">
        <v>0</v>
      </c>
      <c r="H5720" s="2" t="s">
        <v>37</v>
      </c>
      <c r="I5720" s="2" t="s">
        <v>32</v>
      </c>
      <c r="J5720" s="2" t="s">
        <v>891</v>
      </c>
      <c r="K5720" s="2" t="s">
        <v>495</v>
      </c>
      <c r="L5720" s="13" t="s">
        <v>496</v>
      </c>
      <c r="M5720" s="2" t="s">
        <v>26</v>
      </c>
      <c r="N5720" s="29"/>
      <c r="O5720" s="29"/>
      <c r="P5720" s="5" t="str">
        <f>IFERROR(__xludf.DUMMYFUNCTION("TEXTJOIN("" | "",TRUE,IF(OR(D5720="""",E5720="""",I5720="""",J5720="""",H5720=""""),""ফাঁকা ঘর"",""""),IF(AND(C5720&lt;&gt;"""",D5720&lt;&gt;"""",C5720=D5720),""gloss=figurative"",""""),IF(LEN(D5720)&lt;15,""figurative ছোট"",""""),IF(AND(I5720=""Positive"",REGEXMATCH(H5"&amp;"720,""মূর্খ|ভণ্ড|প্রতার|অলস|লোভ|স্বার্থ|অক্ষম|অযোগ্য|বোকা|কৃপণ|হিংস"")),""valence-target অমিল"",""""),IF(COUNTIF($B:$B,B5720)&gt;1,""ডুপ্লিকেট"",""""))"),"")</f>
        <v/>
      </c>
      <c r="Q5720" s="5" t="str">
        <f t="shared" si="1"/>
        <v>২ পরে</v>
      </c>
    </row>
    <row r="5721">
      <c r="A5721" s="4">
        <v>3595.0</v>
      </c>
      <c r="B5721" s="2" t="s">
        <v>23416</v>
      </c>
      <c r="C5721" s="2" t="s">
        <v>23417</v>
      </c>
      <c r="D5721" s="2" t="s">
        <v>23418</v>
      </c>
      <c r="E5721" s="2" t="s">
        <v>23419</v>
      </c>
      <c r="F5721" s="2" t="b">
        <v>1</v>
      </c>
      <c r="G5721" s="2" t="b">
        <v>0</v>
      </c>
      <c r="H5721" s="2" t="s">
        <v>23420</v>
      </c>
      <c r="I5721" s="2" t="s">
        <v>32</v>
      </c>
      <c r="J5721" s="2" t="s">
        <v>23421</v>
      </c>
      <c r="K5721" s="2" t="s">
        <v>495</v>
      </c>
      <c r="L5721" s="13" t="s">
        <v>496</v>
      </c>
      <c r="M5721" s="2" t="s">
        <v>26</v>
      </c>
      <c r="N5721" s="29"/>
      <c r="O5721" s="29"/>
      <c r="P5721" s="5" t="str">
        <f>IFERROR(__xludf.DUMMYFUNCTION("TEXTJOIN("" | "",TRUE,IF(OR(D5721="""",E5721="""",I5721="""",J5721="""",H5721=""""),""ফাঁকা ঘর"",""""),IF(AND(C5721&lt;&gt;"""",D5721&lt;&gt;"""",C5721=D5721),""gloss=figurative"",""""),IF(LEN(D5721)&lt;15,""figurative ছোট"",""""),IF(AND(I5721=""Positive"",REGEXMATCH(H5"&amp;"721,""মূর্খ|ভণ্ড|প্রতার|অলস|লোভ|স্বার্থ|অক্ষম|অযোগ্য|বোকা|কৃপণ|হিংস"")),""valence-target অমিল"",""""),IF(COUNTIF($B:$B,B5721)&gt;1,""ডুপ্লিকেট"",""""))"),"")</f>
        <v/>
      </c>
      <c r="Q5721" s="5" t="str">
        <f t="shared" si="1"/>
        <v>২ পরে</v>
      </c>
    </row>
    <row r="5722">
      <c r="A5722" s="4">
        <v>3596.0</v>
      </c>
      <c r="B5722" s="2" t="s">
        <v>23422</v>
      </c>
      <c r="C5722" s="2" t="s">
        <v>23423</v>
      </c>
      <c r="D5722" s="2" t="s">
        <v>23424</v>
      </c>
      <c r="E5722" s="2" t="s">
        <v>23425</v>
      </c>
      <c r="F5722" s="2" t="b">
        <v>1</v>
      </c>
      <c r="G5722" s="2" t="b">
        <v>0</v>
      </c>
      <c r="H5722" s="2" t="s">
        <v>37</v>
      </c>
      <c r="I5722" s="2" t="s">
        <v>32</v>
      </c>
      <c r="J5722" s="2" t="s">
        <v>713</v>
      </c>
      <c r="K5722" s="2" t="s">
        <v>495</v>
      </c>
      <c r="L5722" s="13" t="s">
        <v>496</v>
      </c>
      <c r="M5722" s="2" t="s">
        <v>26</v>
      </c>
      <c r="N5722" s="29"/>
      <c r="O5722" s="29"/>
      <c r="P5722" s="5" t="str">
        <f>IFERROR(__xludf.DUMMYFUNCTION("TEXTJOIN("" | "",TRUE,IF(OR(D5722="""",E5722="""",I5722="""",J5722="""",H5722=""""),""ফাঁকা ঘর"",""""),IF(AND(C5722&lt;&gt;"""",D5722&lt;&gt;"""",C5722=D5722),""gloss=figurative"",""""),IF(LEN(D5722)&lt;15,""figurative ছোট"",""""),IF(AND(I5722=""Positive"",REGEXMATCH(H5"&amp;"722,""মূর্খ|ভণ্ড|প্রতার|অলস|লোভ|স্বার্থ|অক্ষম|অযোগ্য|বোকা|কৃপণ|হিংস"")),""valence-target অমিল"",""""),IF(COUNTIF($B:$B,B5722)&gt;1,""ডুপ্লিকেট"",""""))"),"")</f>
        <v/>
      </c>
      <c r="Q5722" s="5" t="str">
        <f t="shared" si="1"/>
        <v>২ পরে</v>
      </c>
    </row>
    <row r="5723">
      <c r="A5723" s="4">
        <v>3597.0</v>
      </c>
      <c r="B5723" s="2" t="s">
        <v>23426</v>
      </c>
      <c r="C5723" s="2" t="s">
        <v>23427</v>
      </c>
      <c r="D5723" s="2" t="s">
        <v>23428</v>
      </c>
      <c r="E5723" s="2" t="s">
        <v>23429</v>
      </c>
      <c r="F5723" s="2" t="b">
        <v>1</v>
      </c>
      <c r="G5723" s="2" t="b">
        <v>0</v>
      </c>
      <c r="H5723" s="2" t="s">
        <v>23430</v>
      </c>
      <c r="I5723" s="2" t="s">
        <v>22</v>
      </c>
      <c r="J5723" s="2" t="s">
        <v>2671</v>
      </c>
      <c r="K5723" s="2" t="s">
        <v>495</v>
      </c>
      <c r="L5723" s="13" t="s">
        <v>496</v>
      </c>
      <c r="M5723" s="2" t="s">
        <v>26</v>
      </c>
      <c r="N5723" s="29"/>
      <c r="O5723" s="29"/>
      <c r="P5723" s="5" t="str">
        <f>IFERROR(__xludf.DUMMYFUNCTION("TEXTJOIN("" | "",TRUE,IF(OR(D5723="""",E5723="""",I5723="""",J5723="""",H5723=""""),""ফাঁকা ঘর"",""""),IF(AND(C5723&lt;&gt;"""",D5723&lt;&gt;"""",C5723=D5723),""gloss=figurative"",""""),IF(LEN(D5723)&lt;15,""figurative ছোট"",""""),IF(AND(I5723=""Positive"",REGEXMATCH(H5"&amp;"723,""মূর্খ|ভণ্ড|প্রতার|অলস|লোভ|স্বার্থ|অক্ষম|অযোগ্য|বোকা|কৃপণ|হিংস"")),""valence-target অমিল"",""""),IF(COUNTIF($B:$B,B5723)&gt;1,""ডুপ্লিকেট"",""""))"),"")</f>
        <v/>
      </c>
      <c r="Q5723" s="5" t="str">
        <f t="shared" si="1"/>
        <v>২ পরে</v>
      </c>
    </row>
    <row r="5724">
      <c r="A5724" s="4">
        <v>3598.0</v>
      </c>
      <c r="B5724" s="2" t="s">
        <v>23431</v>
      </c>
      <c r="C5724" s="2" t="s">
        <v>23432</v>
      </c>
      <c r="D5724" s="2" t="s">
        <v>23433</v>
      </c>
      <c r="E5724" s="2" t="s">
        <v>23434</v>
      </c>
      <c r="F5724" s="2" t="b">
        <v>1</v>
      </c>
      <c r="G5724" s="2" t="b">
        <v>0</v>
      </c>
      <c r="H5724" s="2" t="s">
        <v>1368</v>
      </c>
      <c r="I5724" s="2" t="s">
        <v>22</v>
      </c>
      <c r="J5724" s="2" t="s">
        <v>669</v>
      </c>
      <c r="K5724" s="2" t="s">
        <v>495</v>
      </c>
      <c r="L5724" s="13" t="s">
        <v>496</v>
      </c>
      <c r="M5724" s="2" t="s">
        <v>26</v>
      </c>
      <c r="N5724" s="29"/>
      <c r="O5724" s="29"/>
      <c r="P5724" s="5" t="str">
        <f>IFERROR(__xludf.DUMMYFUNCTION("TEXTJOIN("" | "",TRUE,IF(OR(D5724="""",E5724="""",I5724="""",J5724="""",H5724=""""),""ফাঁকা ঘর"",""""),IF(AND(C5724&lt;&gt;"""",D5724&lt;&gt;"""",C5724=D5724),""gloss=figurative"",""""),IF(LEN(D5724)&lt;15,""figurative ছোট"",""""),IF(AND(I5724=""Positive"",REGEXMATCH(H5"&amp;"724,""মূর্খ|ভণ্ড|প্রতার|অলস|লোভ|স্বার্থ|অক্ষম|অযোগ্য|বোকা|কৃপণ|হিংস"")),""valence-target অমিল"",""""),IF(COUNTIF($B:$B,B5724)&gt;1,""ডুপ্লিকেট"",""""))"),"")</f>
        <v/>
      </c>
      <c r="Q5724" s="5" t="str">
        <f t="shared" si="1"/>
        <v>২ পরে</v>
      </c>
    </row>
    <row r="5725">
      <c r="A5725" s="4">
        <v>3599.0</v>
      </c>
      <c r="B5725" s="2" t="s">
        <v>23435</v>
      </c>
      <c r="C5725" s="2" t="s">
        <v>23435</v>
      </c>
      <c r="D5725" s="2" t="s">
        <v>23436</v>
      </c>
      <c r="E5725" s="2" t="s">
        <v>23437</v>
      </c>
      <c r="F5725" s="2" t="b">
        <v>1</v>
      </c>
      <c r="G5725" s="2" t="b">
        <v>0</v>
      </c>
      <c r="H5725" s="2" t="s">
        <v>23438</v>
      </c>
      <c r="I5725" s="2" t="s">
        <v>22</v>
      </c>
      <c r="J5725" s="2" t="s">
        <v>43</v>
      </c>
      <c r="K5725" s="2" t="s">
        <v>495</v>
      </c>
      <c r="L5725" s="13" t="s">
        <v>496</v>
      </c>
      <c r="M5725" s="2" t="s">
        <v>26</v>
      </c>
      <c r="N5725" s="29"/>
      <c r="O5725" s="29"/>
      <c r="P5725" s="5" t="str">
        <f>IFERROR(__xludf.DUMMYFUNCTION("TEXTJOIN("" | "",TRUE,IF(OR(D5725="""",E5725="""",I5725="""",J5725="""",H5725=""""),""ফাঁকা ঘর"",""""),IF(AND(C5725&lt;&gt;"""",D5725&lt;&gt;"""",C5725=D5725),""gloss=figurative"",""""),IF(LEN(D5725)&lt;15,""figurative ছোট"",""""),IF(AND(I5725=""Positive"",REGEXMATCH(H5"&amp;"725,""মূর্খ|ভণ্ড|প্রতার|অলস|লোভ|স্বার্থ|অক্ষম|অযোগ্য|বোকা|কৃপণ|হিংস"")),""valence-target অমিল"",""""),IF(COUNTIF($B:$B,B5725)&gt;1,""ডুপ্লিকেট"",""""))"),"")</f>
        <v/>
      </c>
      <c r="Q5725" s="5" t="str">
        <f t="shared" si="1"/>
        <v>২ পরে</v>
      </c>
    </row>
    <row r="5726">
      <c r="A5726" s="4">
        <v>3600.0</v>
      </c>
      <c r="B5726" s="2" t="s">
        <v>23439</v>
      </c>
      <c r="C5726" s="2" t="s">
        <v>23439</v>
      </c>
      <c r="D5726" s="2" t="s">
        <v>23440</v>
      </c>
      <c r="E5726" s="2" t="s">
        <v>23441</v>
      </c>
      <c r="F5726" s="2" t="b">
        <v>1</v>
      </c>
      <c r="G5726" s="2" t="b">
        <v>0</v>
      </c>
      <c r="H5726" s="2" t="s">
        <v>23442</v>
      </c>
      <c r="I5726" s="2" t="s">
        <v>22</v>
      </c>
      <c r="J5726" s="2" t="s">
        <v>15507</v>
      </c>
      <c r="K5726" s="2" t="s">
        <v>495</v>
      </c>
      <c r="L5726" s="13" t="s">
        <v>496</v>
      </c>
      <c r="M5726" s="2" t="s">
        <v>26</v>
      </c>
      <c r="N5726" s="29"/>
      <c r="O5726" s="29"/>
      <c r="P5726" s="5" t="str">
        <f>IFERROR(__xludf.DUMMYFUNCTION("TEXTJOIN("" | "",TRUE,IF(OR(D5726="""",E5726="""",I5726="""",J5726="""",H5726=""""),""ফাঁকা ঘর"",""""),IF(AND(C5726&lt;&gt;"""",D5726&lt;&gt;"""",C5726=D5726),""gloss=figurative"",""""),IF(LEN(D5726)&lt;15,""figurative ছোট"",""""),IF(AND(I5726=""Positive"",REGEXMATCH(H5"&amp;"726,""মূর্খ|ভণ্ড|প্রতার|অলস|লোভ|স্বার্থ|অক্ষম|অযোগ্য|বোকা|কৃপণ|হিংস"")),""valence-target অমিল"",""""),IF(COUNTIF($B:$B,B5726)&gt;1,""ডুপ্লিকেট"",""""))"),"")</f>
        <v/>
      </c>
      <c r="Q5726" s="5" t="str">
        <f t="shared" si="1"/>
        <v>২ পরে</v>
      </c>
    </row>
    <row r="5727">
      <c r="A5727" s="4">
        <v>3601.0</v>
      </c>
      <c r="B5727" s="2" t="s">
        <v>23443</v>
      </c>
      <c r="C5727" s="2" t="s">
        <v>23443</v>
      </c>
      <c r="D5727" s="2" t="s">
        <v>23444</v>
      </c>
      <c r="E5727" s="2" t="s">
        <v>23445</v>
      </c>
      <c r="F5727" s="2" t="b">
        <v>1</v>
      </c>
      <c r="G5727" s="2" t="b">
        <v>0</v>
      </c>
      <c r="H5727" s="2" t="s">
        <v>23446</v>
      </c>
      <c r="I5727" s="2" t="s">
        <v>49</v>
      </c>
      <c r="J5727" s="2" t="s">
        <v>22487</v>
      </c>
      <c r="K5727" s="2" t="s">
        <v>495</v>
      </c>
      <c r="L5727" s="13" t="s">
        <v>496</v>
      </c>
      <c r="M5727" s="2" t="s">
        <v>26</v>
      </c>
      <c r="N5727" s="29"/>
      <c r="O5727" s="29"/>
      <c r="P5727" s="5" t="str">
        <f>IFERROR(__xludf.DUMMYFUNCTION("TEXTJOIN("" | "",TRUE,IF(OR(D5727="""",E5727="""",I5727="""",J5727="""",H5727=""""),""ফাঁকা ঘর"",""""),IF(AND(C5727&lt;&gt;"""",D5727&lt;&gt;"""",C5727=D5727),""gloss=figurative"",""""),IF(LEN(D5727)&lt;15,""figurative ছোট"",""""),IF(AND(I5727=""Positive"",REGEXMATCH(H5"&amp;"727,""মূর্খ|ভণ্ড|প্রতার|অলস|লোভ|স্বার্থ|অক্ষম|অযোগ্য|বোকা|কৃপণ|হিংস"")),""valence-target অমিল"",""""),IF(COUNTIF($B:$B,B5727)&gt;1,""ডুপ্লিকেট"",""""))"),"")</f>
        <v/>
      </c>
      <c r="Q5727" s="5" t="str">
        <f t="shared" si="1"/>
        <v>২ পরে</v>
      </c>
    </row>
    <row r="5728">
      <c r="A5728" s="4">
        <v>3602.0</v>
      </c>
      <c r="B5728" s="2" t="s">
        <v>23447</v>
      </c>
      <c r="C5728" s="2" t="s">
        <v>10931</v>
      </c>
      <c r="D5728" s="2" t="s">
        <v>23448</v>
      </c>
      <c r="E5728" s="2" t="s">
        <v>23449</v>
      </c>
      <c r="F5728" s="2" t="b">
        <v>1</v>
      </c>
      <c r="G5728" s="2" t="b">
        <v>0</v>
      </c>
      <c r="H5728" s="2" t="s">
        <v>756</v>
      </c>
      <c r="I5728" s="2" t="s">
        <v>22</v>
      </c>
      <c r="J5728" s="2" t="s">
        <v>2732</v>
      </c>
      <c r="K5728" s="2" t="s">
        <v>495</v>
      </c>
      <c r="L5728" s="13" t="s">
        <v>496</v>
      </c>
      <c r="M5728" s="2" t="s">
        <v>26</v>
      </c>
      <c r="N5728" s="29"/>
      <c r="O5728" s="29"/>
      <c r="P5728" s="5" t="str">
        <f>IFERROR(__xludf.DUMMYFUNCTION("TEXTJOIN("" | "",TRUE,IF(OR(D5728="""",E5728="""",I5728="""",J5728="""",H5728=""""),""ফাঁকা ঘর"",""""),IF(AND(C5728&lt;&gt;"""",D5728&lt;&gt;"""",C5728=D5728),""gloss=figurative"",""""),IF(LEN(D5728)&lt;15,""figurative ছোট"",""""),IF(AND(I5728=""Positive"",REGEXMATCH(H5"&amp;"728,""মূর্খ|ভণ্ড|প্রতার|অলস|লোভ|স্বার্থ|অক্ষম|অযোগ্য|বোকা|কৃপণ|হিংস"")),""valence-target অমিল"",""""),IF(COUNTIF($B:$B,B5728)&gt;1,""ডুপ্লিকেট"",""""))"),"")</f>
        <v/>
      </c>
      <c r="Q5728" s="5" t="str">
        <f t="shared" si="1"/>
        <v>২ পরে</v>
      </c>
    </row>
    <row r="5729">
      <c r="A5729" s="4">
        <v>3603.0</v>
      </c>
      <c r="B5729" s="2" t="s">
        <v>23450</v>
      </c>
      <c r="C5729" s="2" t="s">
        <v>23451</v>
      </c>
      <c r="D5729" s="2" t="s">
        <v>23452</v>
      </c>
      <c r="E5729" s="2" t="s">
        <v>23453</v>
      </c>
      <c r="F5729" s="2" t="b">
        <v>1</v>
      </c>
      <c r="G5729" s="2" t="b">
        <v>0</v>
      </c>
      <c r="H5729" s="2" t="s">
        <v>756</v>
      </c>
      <c r="I5729" s="2" t="s">
        <v>22</v>
      </c>
      <c r="J5729" s="2" t="s">
        <v>2732</v>
      </c>
      <c r="K5729" s="2" t="s">
        <v>495</v>
      </c>
      <c r="L5729" s="13" t="s">
        <v>496</v>
      </c>
      <c r="M5729" s="2" t="s">
        <v>26</v>
      </c>
      <c r="N5729" s="29"/>
      <c r="O5729" s="29"/>
      <c r="P5729" s="5" t="str">
        <f>IFERROR(__xludf.DUMMYFUNCTION("TEXTJOIN("" | "",TRUE,IF(OR(D5729="""",E5729="""",I5729="""",J5729="""",H5729=""""),""ফাঁকা ঘর"",""""),IF(AND(C5729&lt;&gt;"""",D5729&lt;&gt;"""",C5729=D5729),""gloss=figurative"",""""),IF(LEN(D5729)&lt;15,""figurative ছোট"",""""),IF(AND(I5729=""Positive"",REGEXMATCH(H5"&amp;"729,""মূর্খ|ভণ্ড|প্রতার|অলস|লোভ|স্বার্থ|অক্ষম|অযোগ্য|বোকা|কৃপণ|হিংস"")),""valence-target অমিল"",""""),IF(COUNTIF($B:$B,B5729)&gt;1,""ডুপ্লিকেট"",""""))"),"")</f>
        <v/>
      </c>
      <c r="Q5729" s="5" t="str">
        <f t="shared" si="1"/>
        <v>২ পরে</v>
      </c>
    </row>
    <row r="5730">
      <c r="A5730" s="4">
        <v>3605.0</v>
      </c>
      <c r="B5730" s="2" t="s">
        <v>23454</v>
      </c>
      <c r="C5730" s="2" t="s">
        <v>23455</v>
      </c>
      <c r="D5730" s="2" t="s">
        <v>23456</v>
      </c>
      <c r="E5730" s="2" t="s">
        <v>23457</v>
      </c>
      <c r="F5730" s="2" t="b">
        <v>1</v>
      </c>
      <c r="G5730" s="2" t="b">
        <v>0</v>
      </c>
      <c r="H5730" s="2" t="s">
        <v>23458</v>
      </c>
      <c r="I5730" s="2" t="s">
        <v>22</v>
      </c>
      <c r="J5730" s="2" t="s">
        <v>23459</v>
      </c>
      <c r="K5730" s="2" t="s">
        <v>495</v>
      </c>
      <c r="L5730" s="13" t="s">
        <v>496</v>
      </c>
      <c r="M5730" s="2" t="s">
        <v>26</v>
      </c>
      <c r="N5730" s="29"/>
      <c r="O5730" s="29"/>
      <c r="P5730" s="5" t="str">
        <f>IFERROR(__xludf.DUMMYFUNCTION("TEXTJOIN("" | "",TRUE,IF(OR(D5730="""",E5730="""",I5730="""",J5730="""",H5730=""""),""ফাঁকা ঘর"",""""),IF(AND(C5730&lt;&gt;"""",D5730&lt;&gt;"""",C5730=D5730),""gloss=figurative"",""""),IF(LEN(D5730)&lt;15,""figurative ছোট"",""""),IF(AND(I5730=""Positive"",REGEXMATCH(H5"&amp;"730,""মূর্খ|ভণ্ড|প্রতার|অলস|লোভ|স্বার্থ|অক্ষম|অযোগ্য|বোকা|কৃপণ|হিংস"")),""valence-target অমিল"",""""),IF(COUNTIF($B:$B,B5730)&gt;1,""ডুপ্লিকেট"",""""))"),"")</f>
        <v/>
      </c>
      <c r="Q5730" s="5" t="str">
        <f t="shared" si="1"/>
        <v>২ পরে</v>
      </c>
    </row>
    <row r="5731">
      <c r="A5731" s="4">
        <v>3606.0</v>
      </c>
      <c r="B5731" s="2" t="s">
        <v>23460</v>
      </c>
      <c r="C5731" s="2" t="s">
        <v>23461</v>
      </c>
      <c r="D5731" s="2" t="s">
        <v>23462</v>
      </c>
      <c r="E5731" s="2" t="s">
        <v>23463</v>
      </c>
      <c r="F5731" s="2" t="b">
        <v>1</v>
      </c>
      <c r="G5731" s="2" t="b">
        <v>0</v>
      </c>
      <c r="H5731" s="2" t="s">
        <v>18462</v>
      </c>
      <c r="I5731" s="2" t="s">
        <v>22</v>
      </c>
      <c r="J5731" s="2" t="s">
        <v>2064</v>
      </c>
      <c r="K5731" s="2" t="s">
        <v>495</v>
      </c>
      <c r="L5731" s="13" t="s">
        <v>496</v>
      </c>
      <c r="M5731" s="2" t="s">
        <v>26</v>
      </c>
      <c r="N5731" s="29"/>
      <c r="O5731" s="29"/>
      <c r="P5731" s="5" t="str">
        <f>IFERROR(__xludf.DUMMYFUNCTION("TEXTJOIN("" | "",TRUE,IF(OR(D5731="""",E5731="""",I5731="""",J5731="""",H5731=""""),""ফাঁকা ঘর"",""""),IF(AND(C5731&lt;&gt;"""",D5731&lt;&gt;"""",C5731=D5731),""gloss=figurative"",""""),IF(LEN(D5731)&lt;15,""figurative ছোট"",""""),IF(AND(I5731=""Positive"",REGEXMATCH(H5"&amp;"731,""মূর্খ|ভণ্ড|প্রতার|অলস|লোভ|স্বার্থ|অক্ষম|অযোগ্য|বোকা|কৃপণ|হিংস"")),""valence-target অমিল"",""""),IF(COUNTIF($B:$B,B5731)&gt;1,""ডুপ্লিকেট"",""""))"),"")</f>
        <v/>
      </c>
      <c r="Q5731" s="5" t="str">
        <f t="shared" si="1"/>
        <v>২ পরে</v>
      </c>
    </row>
    <row r="5732">
      <c r="A5732" s="4">
        <v>3608.0</v>
      </c>
      <c r="B5732" s="2" t="s">
        <v>23464</v>
      </c>
      <c r="C5732" s="2" t="s">
        <v>23465</v>
      </c>
      <c r="D5732" s="2" t="s">
        <v>23466</v>
      </c>
      <c r="E5732" s="2" t="s">
        <v>23467</v>
      </c>
      <c r="F5732" s="2" t="b">
        <v>1</v>
      </c>
      <c r="G5732" s="2" t="b">
        <v>0</v>
      </c>
      <c r="H5732" s="2" t="s">
        <v>1025</v>
      </c>
      <c r="I5732" s="2" t="s">
        <v>22</v>
      </c>
      <c r="J5732" s="2" t="s">
        <v>1438</v>
      </c>
      <c r="K5732" s="2" t="s">
        <v>495</v>
      </c>
      <c r="L5732" s="13" t="s">
        <v>496</v>
      </c>
      <c r="M5732" s="2" t="s">
        <v>26</v>
      </c>
      <c r="N5732" s="29"/>
      <c r="O5732" s="29"/>
      <c r="P5732" s="5" t="str">
        <f>IFERROR(__xludf.DUMMYFUNCTION("TEXTJOIN("" | "",TRUE,IF(OR(D5732="""",E5732="""",I5732="""",J5732="""",H5732=""""),""ফাঁকা ঘর"",""""),IF(AND(C5732&lt;&gt;"""",D5732&lt;&gt;"""",C5732=D5732),""gloss=figurative"",""""),IF(LEN(D5732)&lt;15,""figurative ছোট"",""""),IF(AND(I5732=""Positive"",REGEXMATCH(H5"&amp;"732,""মূর্খ|ভণ্ড|প্রতার|অলস|লোভ|স্বার্থ|অক্ষম|অযোগ্য|বোকা|কৃপণ|হিংস"")),""valence-target অমিল"",""""),IF(COUNTIF($B:$B,B5732)&gt;1,""ডুপ্লিকেট"",""""))"),"")</f>
        <v/>
      </c>
      <c r="Q5732" s="5" t="str">
        <f t="shared" si="1"/>
        <v>২ পরে</v>
      </c>
    </row>
    <row r="5733">
      <c r="A5733" s="4">
        <v>3609.0</v>
      </c>
      <c r="B5733" s="2" t="s">
        <v>23468</v>
      </c>
      <c r="C5733" s="2" t="s">
        <v>23468</v>
      </c>
      <c r="D5733" s="2" t="s">
        <v>23469</v>
      </c>
      <c r="E5733" s="2" t="s">
        <v>23470</v>
      </c>
      <c r="F5733" s="2" t="b">
        <v>1</v>
      </c>
      <c r="G5733" s="2" t="b">
        <v>0</v>
      </c>
      <c r="H5733" s="2" t="s">
        <v>2078</v>
      </c>
      <c r="I5733" s="2" t="s">
        <v>22</v>
      </c>
      <c r="J5733" s="2" t="s">
        <v>4026</v>
      </c>
      <c r="K5733" s="2" t="s">
        <v>495</v>
      </c>
      <c r="L5733" s="13" t="s">
        <v>496</v>
      </c>
      <c r="M5733" s="2" t="s">
        <v>26</v>
      </c>
      <c r="N5733" s="29"/>
      <c r="O5733" s="29"/>
      <c r="P5733" s="5" t="str">
        <f>IFERROR(__xludf.DUMMYFUNCTION("TEXTJOIN("" | "",TRUE,IF(OR(D5733="""",E5733="""",I5733="""",J5733="""",H5733=""""),""ফাঁকা ঘর"",""""),IF(AND(C5733&lt;&gt;"""",D5733&lt;&gt;"""",C5733=D5733),""gloss=figurative"",""""),IF(LEN(D5733)&lt;15,""figurative ছোট"",""""),IF(AND(I5733=""Positive"",REGEXMATCH(H5"&amp;"733,""মূর্খ|ভণ্ড|প্রতার|অলস|লোভ|স্বার্থ|অক্ষম|অযোগ্য|বোকা|কৃপণ|হিংস"")),""valence-target অমিল"",""""),IF(COUNTIF($B:$B,B5733)&gt;1,""ডুপ্লিকেট"",""""))"),"")</f>
        <v/>
      </c>
      <c r="Q5733" s="5" t="str">
        <f t="shared" si="1"/>
        <v>২ পরে</v>
      </c>
    </row>
    <row r="5734">
      <c r="A5734" s="4">
        <v>3610.0</v>
      </c>
      <c r="B5734" s="2" t="s">
        <v>23471</v>
      </c>
      <c r="C5734" s="2" t="s">
        <v>23472</v>
      </c>
      <c r="D5734" s="2" t="s">
        <v>23473</v>
      </c>
      <c r="E5734" s="2" t="s">
        <v>23474</v>
      </c>
      <c r="F5734" s="2" t="b">
        <v>1</v>
      </c>
      <c r="G5734" s="2" t="b">
        <v>0</v>
      </c>
      <c r="H5734" s="2" t="s">
        <v>37</v>
      </c>
      <c r="I5734" s="2" t="s">
        <v>49</v>
      </c>
      <c r="J5734" s="2" t="s">
        <v>8633</v>
      </c>
      <c r="K5734" s="2" t="s">
        <v>495</v>
      </c>
      <c r="L5734" s="13" t="s">
        <v>496</v>
      </c>
      <c r="M5734" s="2" t="s">
        <v>26</v>
      </c>
      <c r="N5734" s="29"/>
      <c r="O5734" s="29"/>
      <c r="P5734" s="5" t="str">
        <f>IFERROR(__xludf.DUMMYFUNCTION("TEXTJOIN("" | "",TRUE,IF(OR(D5734="""",E5734="""",I5734="""",J5734="""",H5734=""""),""ফাঁকা ঘর"",""""),IF(AND(C5734&lt;&gt;"""",D5734&lt;&gt;"""",C5734=D5734),""gloss=figurative"",""""),IF(LEN(D5734)&lt;15,""figurative ছোট"",""""),IF(AND(I5734=""Positive"",REGEXMATCH(H5"&amp;"734,""মূর্খ|ভণ্ড|প্রতার|অলস|লোভ|স্বার্থ|অক্ষম|অযোগ্য|বোকা|কৃপণ|হিংস"")),""valence-target অমিল"",""""),IF(COUNTIF($B:$B,B5734)&gt;1,""ডুপ্লিকেট"",""""))"),"")</f>
        <v/>
      </c>
      <c r="Q5734" s="5" t="str">
        <f t="shared" si="1"/>
        <v>২ পরে</v>
      </c>
    </row>
    <row r="5735">
      <c r="A5735" s="4">
        <v>3611.0</v>
      </c>
      <c r="B5735" s="2" t="s">
        <v>23475</v>
      </c>
      <c r="C5735" s="2" t="s">
        <v>23475</v>
      </c>
      <c r="D5735" s="2" t="s">
        <v>23476</v>
      </c>
      <c r="E5735" s="2" t="s">
        <v>23477</v>
      </c>
      <c r="F5735" s="2" t="b">
        <v>1</v>
      </c>
      <c r="G5735" s="2" t="b">
        <v>0</v>
      </c>
      <c r="H5735" s="2" t="s">
        <v>37</v>
      </c>
      <c r="I5735" s="2" t="s">
        <v>22</v>
      </c>
      <c r="J5735" s="2" t="s">
        <v>10509</v>
      </c>
      <c r="K5735" s="2" t="s">
        <v>495</v>
      </c>
      <c r="L5735" s="13" t="s">
        <v>496</v>
      </c>
      <c r="M5735" s="2" t="s">
        <v>26</v>
      </c>
      <c r="N5735" s="29"/>
      <c r="O5735" s="29"/>
      <c r="P5735" s="5" t="str">
        <f>IFERROR(__xludf.DUMMYFUNCTION("TEXTJOIN("" | "",TRUE,IF(OR(D5735="""",E5735="""",I5735="""",J5735="""",H5735=""""),""ফাঁকা ঘর"",""""),IF(AND(C5735&lt;&gt;"""",D5735&lt;&gt;"""",C5735=D5735),""gloss=figurative"",""""),IF(LEN(D5735)&lt;15,""figurative ছোট"",""""),IF(AND(I5735=""Positive"",REGEXMATCH(H5"&amp;"735,""মূর্খ|ভণ্ড|প্রতার|অলস|লোভ|স্বার্থ|অক্ষম|অযোগ্য|বোকা|কৃপণ|হিংস"")),""valence-target অমিল"",""""),IF(COUNTIF($B:$B,B5735)&gt;1,""ডুপ্লিকেট"",""""))"),"")</f>
        <v/>
      </c>
      <c r="Q5735" s="5" t="str">
        <f t="shared" si="1"/>
        <v>২ পরে</v>
      </c>
    </row>
    <row r="5736">
      <c r="A5736" s="4">
        <v>3612.0</v>
      </c>
      <c r="B5736" s="2" t="s">
        <v>23478</v>
      </c>
      <c r="C5736" s="2" t="s">
        <v>23479</v>
      </c>
      <c r="D5736" s="2" t="s">
        <v>23480</v>
      </c>
      <c r="E5736" s="2" t="s">
        <v>23481</v>
      </c>
      <c r="F5736" s="2" t="b">
        <v>1</v>
      </c>
      <c r="G5736" s="2" t="b">
        <v>0</v>
      </c>
      <c r="H5736" s="2" t="s">
        <v>37</v>
      </c>
      <c r="I5736" s="2" t="s">
        <v>32</v>
      </c>
      <c r="J5736" s="2" t="s">
        <v>10509</v>
      </c>
      <c r="K5736" s="2" t="s">
        <v>495</v>
      </c>
      <c r="L5736" s="13" t="s">
        <v>496</v>
      </c>
      <c r="M5736" s="2" t="s">
        <v>26</v>
      </c>
      <c r="N5736" s="29"/>
      <c r="O5736" s="29"/>
      <c r="P5736" s="5" t="str">
        <f>IFERROR(__xludf.DUMMYFUNCTION("TEXTJOIN("" | "",TRUE,IF(OR(D5736="""",E5736="""",I5736="""",J5736="""",H5736=""""),""ফাঁকা ঘর"",""""),IF(AND(C5736&lt;&gt;"""",D5736&lt;&gt;"""",C5736=D5736),""gloss=figurative"",""""),IF(LEN(D5736)&lt;15,""figurative ছোট"",""""),IF(AND(I5736=""Positive"",REGEXMATCH(H5"&amp;"736,""মূর্খ|ভণ্ড|প্রতার|অলস|লোভ|স্বার্থ|অক্ষম|অযোগ্য|বোকা|কৃপণ|হিংস"")),""valence-target অমিল"",""""),IF(COUNTIF($B:$B,B5736)&gt;1,""ডুপ্লিকেট"",""""))"),"")</f>
        <v/>
      </c>
      <c r="Q5736" s="5" t="str">
        <f t="shared" si="1"/>
        <v>২ পরে</v>
      </c>
    </row>
    <row r="5737">
      <c r="A5737" s="4">
        <v>3613.0</v>
      </c>
      <c r="B5737" s="2" t="s">
        <v>23482</v>
      </c>
      <c r="C5737" s="2" t="s">
        <v>23483</v>
      </c>
      <c r="D5737" s="2" t="s">
        <v>23484</v>
      </c>
      <c r="E5737" s="2" t="s">
        <v>23485</v>
      </c>
      <c r="F5737" s="2" t="b">
        <v>1</v>
      </c>
      <c r="G5737" s="2" t="b">
        <v>0</v>
      </c>
      <c r="H5737" s="2" t="s">
        <v>680</v>
      </c>
      <c r="I5737" s="2" t="s">
        <v>22</v>
      </c>
      <c r="J5737" s="2" t="s">
        <v>2316</v>
      </c>
      <c r="K5737" s="2" t="s">
        <v>495</v>
      </c>
      <c r="L5737" s="13" t="s">
        <v>496</v>
      </c>
      <c r="M5737" s="2" t="s">
        <v>26</v>
      </c>
      <c r="N5737" s="29"/>
      <c r="O5737" s="29"/>
      <c r="P5737" s="5" t="str">
        <f>IFERROR(__xludf.DUMMYFUNCTION("TEXTJOIN("" | "",TRUE,IF(OR(D5737="""",E5737="""",I5737="""",J5737="""",H5737=""""),""ফাঁকা ঘর"",""""),IF(AND(C5737&lt;&gt;"""",D5737&lt;&gt;"""",C5737=D5737),""gloss=figurative"",""""),IF(LEN(D5737)&lt;15,""figurative ছোট"",""""),IF(AND(I5737=""Positive"",REGEXMATCH(H5"&amp;"737,""মূর্খ|ভণ্ড|প্রতার|অলস|লোভ|স্বার্থ|অক্ষম|অযোগ্য|বোকা|কৃপণ|হিংস"")),""valence-target অমিল"",""""),IF(COUNTIF($B:$B,B5737)&gt;1,""ডুপ্লিকেট"",""""))"),"")</f>
        <v/>
      </c>
      <c r="Q5737" s="5" t="str">
        <f t="shared" si="1"/>
        <v>২ পরে</v>
      </c>
    </row>
    <row r="5738">
      <c r="A5738" s="4">
        <v>3614.0</v>
      </c>
      <c r="B5738" s="2" t="s">
        <v>9304</v>
      </c>
      <c r="C5738" s="2" t="s">
        <v>9304</v>
      </c>
      <c r="D5738" s="2" t="s">
        <v>23486</v>
      </c>
      <c r="E5738" s="2" t="s">
        <v>23487</v>
      </c>
      <c r="F5738" s="2" t="b">
        <v>1</v>
      </c>
      <c r="G5738" s="2" t="b">
        <v>0</v>
      </c>
      <c r="H5738" s="2" t="s">
        <v>37</v>
      </c>
      <c r="I5738" s="2" t="s">
        <v>49</v>
      </c>
      <c r="J5738" s="2" t="s">
        <v>1175</v>
      </c>
      <c r="K5738" s="2" t="s">
        <v>495</v>
      </c>
      <c r="L5738" s="13" t="s">
        <v>496</v>
      </c>
      <c r="M5738" s="2" t="s">
        <v>26</v>
      </c>
      <c r="N5738" s="29"/>
      <c r="O5738" s="29"/>
      <c r="P5738" s="5" t="str">
        <f>IFERROR(__xludf.DUMMYFUNCTION("TEXTJOIN("" | "",TRUE,IF(OR(D5738="""",E5738="""",I5738="""",J5738="""",H5738=""""),""ফাঁকা ঘর"",""""),IF(AND(C5738&lt;&gt;"""",D5738&lt;&gt;"""",C5738=D5738),""gloss=figurative"",""""),IF(LEN(D5738)&lt;15,""figurative ছোট"",""""),IF(AND(I5738=""Positive"",REGEXMATCH(H5"&amp;"738,""মূর্খ|ভণ্ড|প্রতার|অলস|লোভ|স্বার্থ|অক্ষম|অযোগ্য|বোকা|কৃপণ|হিংস"")),""valence-target অমিল"",""""),IF(COUNTIF($B:$B,B5738)&gt;1,""ডুপ্লিকেট"",""""))"),"")</f>
        <v/>
      </c>
      <c r="Q5738" s="5" t="str">
        <f t="shared" si="1"/>
        <v>২ পরে</v>
      </c>
    </row>
    <row r="5739">
      <c r="A5739" s="4">
        <v>3615.0</v>
      </c>
      <c r="B5739" s="2" t="s">
        <v>23488</v>
      </c>
      <c r="C5739" s="2" t="s">
        <v>23488</v>
      </c>
      <c r="D5739" s="2" t="s">
        <v>23489</v>
      </c>
      <c r="E5739" s="2" t="s">
        <v>23490</v>
      </c>
      <c r="F5739" s="2" t="b">
        <v>1</v>
      </c>
      <c r="G5739" s="2" t="b">
        <v>0</v>
      </c>
      <c r="H5739" s="2" t="s">
        <v>37</v>
      </c>
      <c r="I5739" s="2" t="s">
        <v>22</v>
      </c>
      <c r="J5739" s="2" t="s">
        <v>21197</v>
      </c>
      <c r="K5739" s="2" t="s">
        <v>495</v>
      </c>
      <c r="L5739" s="13" t="s">
        <v>496</v>
      </c>
      <c r="M5739" s="2" t="s">
        <v>26</v>
      </c>
      <c r="N5739" s="29"/>
      <c r="O5739" s="29"/>
      <c r="P5739" s="5" t="str">
        <f>IFERROR(__xludf.DUMMYFUNCTION("TEXTJOIN("" | "",TRUE,IF(OR(D5739="""",E5739="""",I5739="""",J5739="""",H5739=""""),""ফাঁকা ঘর"",""""),IF(AND(C5739&lt;&gt;"""",D5739&lt;&gt;"""",C5739=D5739),""gloss=figurative"",""""),IF(LEN(D5739)&lt;15,""figurative ছোট"",""""),IF(AND(I5739=""Positive"",REGEXMATCH(H5"&amp;"739,""মূর্খ|ভণ্ড|প্রতার|অলস|লোভ|স্বার্থ|অক্ষম|অযোগ্য|বোকা|কৃপণ|হিংস"")),""valence-target অমিল"",""""),IF(COUNTIF($B:$B,B5739)&gt;1,""ডুপ্লিকেট"",""""))"),"")</f>
        <v/>
      </c>
      <c r="Q5739" s="5" t="str">
        <f t="shared" si="1"/>
        <v>২ পরে</v>
      </c>
    </row>
    <row r="5740">
      <c r="A5740" s="4">
        <v>3616.0</v>
      </c>
      <c r="B5740" s="2" t="s">
        <v>23333</v>
      </c>
      <c r="C5740" s="2" t="s">
        <v>23333</v>
      </c>
      <c r="D5740" s="2" t="s">
        <v>23491</v>
      </c>
      <c r="E5740" s="2" t="s">
        <v>23492</v>
      </c>
      <c r="F5740" s="2" t="b">
        <v>1</v>
      </c>
      <c r="G5740" s="2" t="b">
        <v>0</v>
      </c>
      <c r="H5740" s="2" t="s">
        <v>23336</v>
      </c>
      <c r="I5740" s="2" t="s">
        <v>22</v>
      </c>
      <c r="J5740" s="2" t="s">
        <v>723</v>
      </c>
      <c r="K5740" s="2" t="s">
        <v>495</v>
      </c>
      <c r="L5740" s="13" t="s">
        <v>496</v>
      </c>
      <c r="M5740" s="2" t="s">
        <v>26</v>
      </c>
      <c r="N5740" s="29"/>
      <c r="O5740" s="29"/>
      <c r="P5740" s="5" t="str">
        <f>IFERROR(__xludf.DUMMYFUNCTION("TEXTJOIN("" | "",TRUE,IF(OR(D5740="""",E5740="""",I5740="""",J5740="""",H5740=""""),""ফাঁকা ঘর"",""""),IF(AND(C5740&lt;&gt;"""",D5740&lt;&gt;"""",C5740=D5740),""gloss=figurative"",""""),IF(LEN(D5740)&lt;15,""figurative ছোট"",""""),IF(AND(I5740=""Positive"",REGEXMATCH(H5"&amp;"740,""মূর্খ|ভণ্ড|প্রতার|অলস|লোভ|স্বার্থ|অক্ষম|অযোগ্য|বোকা|কৃপণ|হিংস"")),""valence-target অমিল"",""""),IF(COUNTIF($B:$B,B5740)&gt;1,""ডুপ্লিকেট"",""""))"),"")</f>
        <v/>
      </c>
      <c r="Q5740" s="5" t="str">
        <f t="shared" si="1"/>
        <v>২ পরে</v>
      </c>
    </row>
    <row r="5741">
      <c r="A5741" s="4">
        <v>3617.0</v>
      </c>
      <c r="B5741" s="2" t="s">
        <v>23493</v>
      </c>
      <c r="C5741" s="2" t="s">
        <v>23494</v>
      </c>
      <c r="D5741" s="2" t="s">
        <v>23495</v>
      </c>
      <c r="E5741" s="2" t="s">
        <v>23496</v>
      </c>
      <c r="F5741" s="2" t="b">
        <v>1</v>
      </c>
      <c r="G5741" s="2" t="b">
        <v>0</v>
      </c>
      <c r="H5741" s="2" t="s">
        <v>19439</v>
      </c>
      <c r="I5741" s="2" t="s">
        <v>22</v>
      </c>
      <c r="J5741" s="2" t="s">
        <v>739</v>
      </c>
      <c r="K5741" s="2" t="s">
        <v>495</v>
      </c>
      <c r="L5741" s="13" t="s">
        <v>496</v>
      </c>
      <c r="M5741" s="2" t="s">
        <v>26</v>
      </c>
      <c r="N5741" s="29"/>
      <c r="O5741" s="29"/>
      <c r="P5741" s="5" t="str">
        <f>IFERROR(__xludf.DUMMYFUNCTION("TEXTJOIN("" | "",TRUE,IF(OR(D5741="""",E5741="""",I5741="""",J5741="""",H5741=""""),""ফাঁকা ঘর"",""""),IF(AND(C5741&lt;&gt;"""",D5741&lt;&gt;"""",C5741=D5741),""gloss=figurative"",""""),IF(LEN(D5741)&lt;15,""figurative ছোট"",""""),IF(AND(I5741=""Positive"",REGEXMATCH(H5"&amp;"741,""মূর্খ|ভণ্ড|প্রতার|অলস|লোভ|স্বার্থ|অক্ষম|অযোগ্য|বোকা|কৃপণ|হিংস"")),""valence-target অমিল"",""""),IF(COUNTIF($B:$B,B5741)&gt;1,""ডুপ্লিকেট"",""""))"),"")</f>
        <v/>
      </c>
      <c r="Q5741" s="5" t="str">
        <f t="shared" si="1"/>
        <v>২ পরে</v>
      </c>
    </row>
    <row r="5742">
      <c r="A5742" s="4">
        <v>3618.0</v>
      </c>
      <c r="B5742" s="2" t="s">
        <v>23497</v>
      </c>
      <c r="C5742" s="2" t="s">
        <v>23498</v>
      </c>
      <c r="D5742" s="2" t="s">
        <v>23499</v>
      </c>
      <c r="E5742" s="2" t="s">
        <v>23500</v>
      </c>
      <c r="F5742" s="2" t="b">
        <v>1</v>
      </c>
      <c r="G5742" s="2" t="b">
        <v>0</v>
      </c>
      <c r="H5742" s="2" t="s">
        <v>23501</v>
      </c>
      <c r="I5742" s="2" t="s">
        <v>22</v>
      </c>
      <c r="J5742" s="2" t="s">
        <v>1438</v>
      </c>
      <c r="K5742" s="2" t="s">
        <v>495</v>
      </c>
      <c r="L5742" s="13" t="s">
        <v>496</v>
      </c>
      <c r="M5742" s="2" t="s">
        <v>26</v>
      </c>
      <c r="N5742" s="29"/>
      <c r="O5742" s="29"/>
      <c r="P5742" s="5" t="str">
        <f>IFERROR(__xludf.DUMMYFUNCTION("TEXTJOIN("" | "",TRUE,IF(OR(D5742="""",E5742="""",I5742="""",J5742="""",H5742=""""),""ফাঁকা ঘর"",""""),IF(AND(C5742&lt;&gt;"""",D5742&lt;&gt;"""",C5742=D5742),""gloss=figurative"",""""),IF(LEN(D5742)&lt;15,""figurative ছোট"",""""),IF(AND(I5742=""Positive"",REGEXMATCH(H5"&amp;"742,""মূর্খ|ভণ্ড|প্রতার|অলস|লোভ|স্বার্থ|অক্ষম|অযোগ্য|বোকা|কৃপণ|হিংস"")),""valence-target অমিল"",""""),IF(COUNTIF($B:$B,B5742)&gt;1,""ডুপ্লিকেট"",""""))"),"")</f>
        <v/>
      </c>
      <c r="Q5742" s="5" t="str">
        <f t="shared" si="1"/>
        <v>২ পরে</v>
      </c>
    </row>
    <row r="5743">
      <c r="A5743" s="4">
        <v>3619.0</v>
      </c>
      <c r="B5743" s="2" t="s">
        <v>23502</v>
      </c>
      <c r="C5743" s="2" t="s">
        <v>23503</v>
      </c>
      <c r="D5743" s="2" t="s">
        <v>23504</v>
      </c>
      <c r="E5743" s="2" t="s">
        <v>23505</v>
      </c>
      <c r="F5743" s="2" t="b">
        <v>1</v>
      </c>
      <c r="G5743" s="2" t="b">
        <v>0</v>
      </c>
      <c r="H5743" s="2" t="s">
        <v>2054</v>
      </c>
      <c r="I5743" s="2" t="s">
        <v>22</v>
      </c>
      <c r="J5743" s="2" t="s">
        <v>820</v>
      </c>
      <c r="K5743" s="2" t="s">
        <v>495</v>
      </c>
      <c r="L5743" s="13" t="s">
        <v>496</v>
      </c>
      <c r="M5743" s="2" t="s">
        <v>26</v>
      </c>
      <c r="N5743" s="29"/>
      <c r="O5743" s="29"/>
      <c r="P5743" s="5" t="str">
        <f>IFERROR(__xludf.DUMMYFUNCTION("TEXTJOIN("" | "",TRUE,IF(OR(D5743="""",E5743="""",I5743="""",J5743="""",H5743=""""),""ফাঁকা ঘর"",""""),IF(AND(C5743&lt;&gt;"""",D5743&lt;&gt;"""",C5743=D5743),""gloss=figurative"",""""),IF(LEN(D5743)&lt;15,""figurative ছোট"",""""),IF(AND(I5743=""Positive"",REGEXMATCH(H5"&amp;"743,""মূর্খ|ভণ্ড|প্রতার|অলস|লোভ|স্বার্থ|অক্ষম|অযোগ্য|বোকা|কৃপণ|হিংস"")),""valence-target অমিল"",""""),IF(COUNTIF($B:$B,B5743)&gt;1,""ডুপ্লিকেট"",""""))"),"")</f>
        <v/>
      </c>
      <c r="Q5743" s="5" t="str">
        <f t="shared" si="1"/>
        <v>২ পরে</v>
      </c>
    </row>
    <row r="5744">
      <c r="A5744" s="4">
        <v>3620.0</v>
      </c>
      <c r="B5744" s="2" t="s">
        <v>23506</v>
      </c>
      <c r="C5744" s="2" t="s">
        <v>23506</v>
      </c>
      <c r="D5744" s="2" t="s">
        <v>23507</v>
      </c>
      <c r="E5744" s="2" t="s">
        <v>23508</v>
      </c>
      <c r="F5744" s="2" t="b">
        <v>1</v>
      </c>
      <c r="G5744" s="2" t="b">
        <v>0</v>
      </c>
      <c r="H5744" s="2" t="s">
        <v>37</v>
      </c>
      <c r="I5744" s="2" t="s">
        <v>22</v>
      </c>
      <c r="J5744" s="2" t="s">
        <v>655</v>
      </c>
      <c r="K5744" s="2" t="s">
        <v>495</v>
      </c>
      <c r="L5744" s="13" t="s">
        <v>496</v>
      </c>
      <c r="M5744" s="2" t="s">
        <v>26</v>
      </c>
      <c r="N5744" s="29"/>
      <c r="O5744" s="29"/>
      <c r="P5744" s="5" t="str">
        <f>IFERROR(__xludf.DUMMYFUNCTION("TEXTJOIN("" | "",TRUE,IF(OR(D5744="""",E5744="""",I5744="""",J5744="""",H5744=""""),""ফাঁকা ঘর"",""""),IF(AND(C5744&lt;&gt;"""",D5744&lt;&gt;"""",C5744=D5744),""gloss=figurative"",""""),IF(LEN(D5744)&lt;15,""figurative ছোট"",""""),IF(AND(I5744=""Positive"",REGEXMATCH(H5"&amp;"744,""মূর্খ|ভণ্ড|প্রতার|অলস|লোভ|স্বার্থ|অক্ষম|অযোগ্য|বোকা|কৃপণ|হিংস"")),""valence-target অমিল"",""""),IF(COUNTIF($B:$B,B5744)&gt;1,""ডুপ্লিকেট"",""""))"),"")</f>
        <v/>
      </c>
      <c r="Q5744" s="5" t="str">
        <f t="shared" si="1"/>
        <v>২ পরে</v>
      </c>
    </row>
    <row r="5745">
      <c r="A5745" s="4">
        <v>3621.0</v>
      </c>
      <c r="B5745" s="2" t="s">
        <v>23509</v>
      </c>
      <c r="C5745" s="2" t="s">
        <v>23510</v>
      </c>
      <c r="D5745" s="2" t="s">
        <v>23511</v>
      </c>
      <c r="E5745" s="2" t="s">
        <v>23512</v>
      </c>
      <c r="F5745" s="2" t="b">
        <v>1</v>
      </c>
      <c r="G5745" s="2" t="b">
        <v>0</v>
      </c>
      <c r="H5745" s="2" t="s">
        <v>37</v>
      </c>
      <c r="I5745" s="2" t="s">
        <v>32</v>
      </c>
      <c r="J5745" s="2" t="s">
        <v>1387</v>
      </c>
      <c r="K5745" s="2" t="s">
        <v>495</v>
      </c>
      <c r="L5745" s="13" t="s">
        <v>496</v>
      </c>
      <c r="M5745" s="2" t="s">
        <v>26</v>
      </c>
      <c r="N5745" s="29"/>
      <c r="O5745" s="29"/>
      <c r="P5745" s="5" t="str">
        <f>IFERROR(__xludf.DUMMYFUNCTION("TEXTJOIN("" | "",TRUE,IF(OR(D5745="""",E5745="""",I5745="""",J5745="""",H5745=""""),""ফাঁকা ঘর"",""""),IF(AND(C5745&lt;&gt;"""",D5745&lt;&gt;"""",C5745=D5745),""gloss=figurative"",""""),IF(LEN(D5745)&lt;15,""figurative ছোট"",""""),IF(AND(I5745=""Positive"",REGEXMATCH(H5"&amp;"745,""মূর্খ|ভণ্ড|প্রতার|অলস|লোভ|স্বার্থ|অক্ষম|অযোগ্য|বোকা|কৃপণ|হিংস"")),""valence-target অমিল"",""""),IF(COUNTIF($B:$B,B5745)&gt;1,""ডুপ্লিকেট"",""""))"),"")</f>
        <v/>
      </c>
      <c r="Q5745" s="5" t="str">
        <f t="shared" si="1"/>
        <v>২ পরে</v>
      </c>
    </row>
    <row r="5746">
      <c r="A5746" s="4">
        <v>3622.0</v>
      </c>
      <c r="B5746" s="2" t="s">
        <v>23513</v>
      </c>
      <c r="C5746" s="2" t="s">
        <v>23514</v>
      </c>
      <c r="D5746" s="2" t="s">
        <v>23515</v>
      </c>
      <c r="E5746" s="2" t="s">
        <v>23516</v>
      </c>
      <c r="F5746" s="2" t="b">
        <v>1</v>
      </c>
      <c r="G5746" s="2" t="b">
        <v>0</v>
      </c>
      <c r="H5746" s="2" t="s">
        <v>37</v>
      </c>
      <c r="I5746" s="2" t="s">
        <v>32</v>
      </c>
      <c r="J5746" s="2" t="s">
        <v>1843</v>
      </c>
      <c r="K5746" s="2" t="s">
        <v>495</v>
      </c>
      <c r="L5746" s="13" t="s">
        <v>496</v>
      </c>
      <c r="M5746" s="2" t="s">
        <v>26</v>
      </c>
      <c r="N5746" s="29"/>
      <c r="O5746" s="29"/>
      <c r="P5746" s="5" t="str">
        <f>IFERROR(__xludf.DUMMYFUNCTION("TEXTJOIN("" | "",TRUE,IF(OR(D5746="""",E5746="""",I5746="""",J5746="""",H5746=""""),""ফাঁকা ঘর"",""""),IF(AND(C5746&lt;&gt;"""",D5746&lt;&gt;"""",C5746=D5746),""gloss=figurative"",""""),IF(LEN(D5746)&lt;15,""figurative ছোট"",""""),IF(AND(I5746=""Positive"",REGEXMATCH(H5"&amp;"746,""মূর্খ|ভণ্ড|প্রতার|অলস|লোভ|স্বার্থ|অক্ষম|অযোগ্য|বোকা|কৃপণ|হিংস"")),""valence-target অমিল"",""""),IF(COUNTIF($B:$B,B5746)&gt;1,""ডুপ্লিকেট"",""""))"),"")</f>
        <v/>
      </c>
      <c r="Q5746" s="5" t="str">
        <f t="shared" si="1"/>
        <v>২ পরে</v>
      </c>
    </row>
    <row r="5747">
      <c r="A5747" s="4">
        <v>3623.0</v>
      </c>
      <c r="B5747" s="2" t="s">
        <v>23517</v>
      </c>
      <c r="C5747" s="2" t="s">
        <v>23518</v>
      </c>
      <c r="D5747" s="2" t="s">
        <v>23519</v>
      </c>
      <c r="E5747" s="2" t="s">
        <v>23520</v>
      </c>
      <c r="F5747" s="2" t="b">
        <v>1</v>
      </c>
      <c r="G5747" s="2" t="b">
        <v>0</v>
      </c>
      <c r="H5747" s="2" t="s">
        <v>37</v>
      </c>
      <c r="I5747" s="2" t="s">
        <v>49</v>
      </c>
      <c r="J5747" s="2" t="s">
        <v>762</v>
      </c>
      <c r="K5747" s="2" t="s">
        <v>495</v>
      </c>
      <c r="L5747" s="13" t="s">
        <v>496</v>
      </c>
      <c r="M5747" s="2" t="s">
        <v>26</v>
      </c>
      <c r="N5747" s="29"/>
      <c r="O5747" s="29"/>
      <c r="P5747" s="5" t="str">
        <f>IFERROR(__xludf.DUMMYFUNCTION("TEXTJOIN("" | "",TRUE,IF(OR(D5747="""",E5747="""",I5747="""",J5747="""",H5747=""""),""ফাঁকা ঘর"",""""),IF(AND(C5747&lt;&gt;"""",D5747&lt;&gt;"""",C5747=D5747),""gloss=figurative"",""""),IF(LEN(D5747)&lt;15,""figurative ছোট"",""""),IF(AND(I5747=""Positive"",REGEXMATCH(H5"&amp;"747,""মূর্খ|ভণ্ড|প্রতার|অলস|লোভ|স্বার্থ|অক্ষম|অযোগ্য|বোকা|কৃপণ|হিংস"")),""valence-target অমিল"",""""),IF(COUNTIF($B:$B,B5747)&gt;1,""ডুপ্লিকেট"",""""))"),"")</f>
        <v/>
      </c>
      <c r="Q5747" s="5" t="str">
        <f t="shared" si="1"/>
        <v>২ পরে</v>
      </c>
    </row>
    <row r="5748">
      <c r="A5748" s="4">
        <v>3624.0</v>
      </c>
      <c r="B5748" s="2" t="s">
        <v>23521</v>
      </c>
      <c r="C5748" s="2" t="s">
        <v>23522</v>
      </c>
      <c r="D5748" s="2" t="s">
        <v>23523</v>
      </c>
      <c r="E5748" s="2" t="s">
        <v>23524</v>
      </c>
      <c r="F5748" s="2" t="b">
        <v>1</v>
      </c>
      <c r="G5748" s="2" t="b">
        <v>0</v>
      </c>
      <c r="H5748" s="2" t="s">
        <v>37</v>
      </c>
      <c r="I5748" s="2" t="s">
        <v>22</v>
      </c>
      <c r="J5748" s="2" t="s">
        <v>1644</v>
      </c>
      <c r="K5748" s="2" t="s">
        <v>495</v>
      </c>
      <c r="L5748" s="13" t="s">
        <v>496</v>
      </c>
      <c r="M5748" s="2" t="s">
        <v>26</v>
      </c>
      <c r="N5748" s="29"/>
      <c r="O5748" s="29"/>
      <c r="P5748" s="5" t="str">
        <f>IFERROR(__xludf.DUMMYFUNCTION("TEXTJOIN("" | "",TRUE,IF(OR(D5748="""",E5748="""",I5748="""",J5748="""",H5748=""""),""ফাঁকা ঘর"",""""),IF(AND(C5748&lt;&gt;"""",D5748&lt;&gt;"""",C5748=D5748),""gloss=figurative"",""""),IF(LEN(D5748)&lt;15,""figurative ছোট"",""""),IF(AND(I5748=""Positive"",REGEXMATCH(H5"&amp;"748,""মূর্খ|ভণ্ড|প্রতার|অলস|লোভ|স্বার্থ|অক্ষম|অযোগ্য|বোকা|কৃপণ|হিংস"")),""valence-target অমিল"",""""),IF(COUNTIF($B:$B,B5748)&gt;1,""ডুপ্লিকেট"",""""))"),"")</f>
        <v/>
      </c>
      <c r="Q5748" s="5" t="str">
        <f t="shared" si="1"/>
        <v>২ পরে</v>
      </c>
    </row>
    <row r="5749">
      <c r="A5749" s="4">
        <v>3625.0</v>
      </c>
      <c r="B5749" s="2" t="s">
        <v>23525</v>
      </c>
      <c r="C5749" s="2" t="s">
        <v>23526</v>
      </c>
      <c r="D5749" s="2" t="s">
        <v>23527</v>
      </c>
      <c r="E5749" s="2" t="s">
        <v>23528</v>
      </c>
      <c r="F5749" s="2" t="b">
        <v>1</v>
      </c>
      <c r="G5749" s="2" t="b">
        <v>0</v>
      </c>
      <c r="H5749" s="2" t="s">
        <v>37</v>
      </c>
      <c r="I5749" s="2" t="s">
        <v>22</v>
      </c>
      <c r="J5749" s="2" t="s">
        <v>8241</v>
      </c>
      <c r="K5749" s="2" t="s">
        <v>495</v>
      </c>
      <c r="L5749" s="13" t="s">
        <v>496</v>
      </c>
      <c r="M5749" s="2" t="s">
        <v>26</v>
      </c>
      <c r="N5749" s="29"/>
      <c r="O5749" s="29"/>
      <c r="P5749" s="5" t="str">
        <f>IFERROR(__xludf.DUMMYFUNCTION("TEXTJOIN("" | "",TRUE,IF(OR(D5749="""",E5749="""",I5749="""",J5749="""",H5749=""""),""ফাঁকা ঘর"",""""),IF(AND(C5749&lt;&gt;"""",D5749&lt;&gt;"""",C5749=D5749),""gloss=figurative"",""""),IF(LEN(D5749)&lt;15,""figurative ছোট"",""""),IF(AND(I5749=""Positive"",REGEXMATCH(H5"&amp;"749,""মূর্খ|ভণ্ড|প্রতার|অলস|লোভ|স্বার্থ|অক্ষম|অযোগ্য|বোকা|কৃপণ|হিংস"")),""valence-target অমিল"",""""),IF(COUNTIF($B:$B,B5749)&gt;1,""ডুপ্লিকেট"",""""))"),"")</f>
        <v/>
      </c>
      <c r="Q5749" s="5" t="str">
        <f t="shared" si="1"/>
        <v>২ পরে</v>
      </c>
    </row>
    <row r="5750">
      <c r="A5750" s="4">
        <v>3626.0</v>
      </c>
      <c r="B5750" s="2" t="s">
        <v>23529</v>
      </c>
      <c r="C5750" s="2" t="s">
        <v>23530</v>
      </c>
      <c r="D5750" s="2" t="s">
        <v>23531</v>
      </c>
      <c r="E5750" s="2" t="s">
        <v>23532</v>
      </c>
      <c r="F5750" s="2" t="b">
        <v>1</v>
      </c>
      <c r="G5750" s="2" t="b">
        <v>0</v>
      </c>
      <c r="H5750" s="2" t="s">
        <v>37</v>
      </c>
      <c r="I5750" s="2" t="s">
        <v>22</v>
      </c>
      <c r="J5750" s="2" t="s">
        <v>646</v>
      </c>
      <c r="K5750" s="2" t="s">
        <v>495</v>
      </c>
      <c r="L5750" s="13" t="s">
        <v>496</v>
      </c>
      <c r="M5750" s="2" t="s">
        <v>26</v>
      </c>
      <c r="N5750" s="29"/>
      <c r="O5750" s="29"/>
      <c r="P5750" s="5" t="str">
        <f>IFERROR(__xludf.DUMMYFUNCTION("TEXTJOIN("" | "",TRUE,IF(OR(D5750="""",E5750="""",I5750="""",J5750="""",H5750=""""),""ফাঁকা ঘর"",""""),IF(AND(C5750&lt;&gt;"""",D5750&lt;&gt;"""",C5750=D5750),""gloss=figurative"",""""),IF(LEN(D5750)&lt;15,""figurative ছোট"",""""),IF(AND(I5750=""Positive"",REGEXMATCH(H5"&amp;"750,""মূর্খ|ভণ্ড|প্রতার|অলস|লোভ|স্বার্থ|অক্ষম|অযোগ্য|বোকা|কৃপণ|হিংস"")),""valence-target অমিল"",""""),IF(COUNTIF($B:$B,B5750)&gt;1,""ডুপ্লিকেট"",""""))"),"")</f>
        <v/>
      </c>
      <c r="Q5750" s="5" t="str">
        <f t="shared" si="1"/>
        <v>২ পরে</v>
      </c>
    </row>
    <row r="5751">
      <c r="A5751" s="4">
        <v>3627.0</v>
      </c>
      <c r="B5751" s="2" t="s">
        <v>23533</v>
      </c>
      <c r="C5751" s="2" t="s">
        <v>23533</v>
      </c>
      <c r="D5751" s="2" t="s">
        <v>23534</v>
      </c>
      <c r="E5751" s="2" t="s">
        <v>23535</v>
      </c>
      <c r="F5751" s="2" t="b">
        <v>1</v>
      </c>
      <c r="G5751" s="2" t="b">
        <v>0</v>
      </c>
      <c r="H5751" s="2" t="s">
        <v>37</v>
      </c>
      <c r="I5751" s="2" t="s">
        <v>32</v>
      </c>
      <c r="J5751" s="2" t="s">
        <v>4137</v>
      </c>
      <c r="K5751" s="2" t="s">
        <v>495</v>
      </c>
      <c r="L5751" s="13" t="s">
        <v>496</v>
      </c>
      <c r="M5751" s="2" t="s">
        <v>26</v>
      </c>
      <c r="N5751" s="29"/>
      <c r="O5751" s="29"/>
      <c r="P5751" s="5" t="str">
        <f>IFERROR(__xludf.DUMMYFUNCTION("TEXTJOIN("" | "",TRUE,IF(OR(D5751="""",E5751="""",I5751="""",J5751="""",H5751=""""),""ফাঁকা ঘর"",""""),IF(AND(C5751&lt;&gt;"""",D5751&lt;&gt;"""",C5751=D5751),""gloss=figurative"",""""),IF(LEN(D5751)&lt;15,""figurative ছোট"",""""),IF(AND(I5751=""Positive"",REGEXMATCH(H5"&amp;"751,""মূর্খ|ভণ্ড|প্রতার|অলস|লোভ|স্বার্থ|অক্ষম|অযোগ্য|বোকা|কৃপণ|হিংস"")),""valence-target অমিল"",""""),IF(COUNTIF($B:$B,B5751)&gt;1,""ডুপ্লিকেট"",""""))"),"")</f>
        <v/>
      </c>
      <c r="Q5751" s="5" t="str">
        <f t="shared" si="1"/>
        <v>২ পরে</v>
      </c>
    </row>
    <row r="5752">
      <c r="A5752" s="4">
        <v>3628.0</v>
      </c>
      <c r="B5752" s="2" t="s">
        <v>23536</v>
      </c>
      <c r="C5752" s="2" t="s">
        <v>23536</v>
      </c>
      <c r="D5752" s="2" t="s">
        <v>23537</v>
      </c>
      <c r="E5752" s="2" t="s">
        <v>23538</v>
      </c>
      <c r="F5752" s="2" t="b">
        <v>1</v>
      </c>
      <c r="G5752" s="2" t="b">
        <v>0</v>
      </c>
      <c r="H5752" s="2" t="s">
        <v>37</v>
      </c>
      <c r="I5752" s="2" t="s">
        <v>22</v>
      </c>
      <c r="J5752" s="2" t="s">
        <v>4308</v>
      </c>
      <c r="K5752" s="2" t="s">
        <v>495</v>
      </c>
      <c r="L5752" s="13" t="s">
        <v>496</v>
      </c>
      <c r="M5752" s="2" t="s">
        <v>26</v>
      </c>
      <c r="N5752" s="29"/>
      <c r="O5752" s="29"/>
      <c r="P5752" s="5" t="str">
        <f>IFERROR(__xludf.DUMMYFUNCTION("TEXTJOIN("" | "",TRUE,IF(OR(D5752="""",E5752="""",I5752="""",J5752="""",H5752=""""),""ফাঁকা ঘর"",""""),IF(AND(C5752&lt;&gt;"""",D5752&lt;&gt;"""",C5752=D5752),""gloss=figurative"",""""),IF(LEN(D5752)&lt;15,""figurative ছোট"",""""),IF(AND(I5752=""Positive"",REGEXMATCH(H5"&amp;"752,""মূর্খ|ভণ্ড|প্রতার|অলস|লোভ|স্বার্থ|অক্ষম|অযোগ্য|বোকা|কৃপণ|হিংস"")),""valence-target অমিল"",""""),IF(COUNTIF($B:$B,B5752)&gt;1,""ডুপ্লিকেট"",""""))"),"")</f>
        <v/>
      </c>
      <c r="Q5752" s="5" t="str">
        <f t="shared" si="1"/>
        <v>২ পরে</v>
      </c>
    </row>
    <row r="5753">
      <c r="A5753" s="4">
        <v>3629.0</v>
      </c>
      <c r="B5753" s="2" t="s">
        <v>23539</v>
      </c>
      <c r="C5753" s="2" t="s">
        <v>23540</v>
      </c>
      <c r="D5753" s="2" t="s">
        <v>23541</v>
      </c>
      <c r="E5753" s="2" t="s">
        <v>23542</v>
      </c>
      <c r="F5753" s="2" t="b">
        <v>1</v>
      </c>
      <c r="G5753" s="2" t="b">
        <v>0</v>
      </c>
      <c r="H5753" s="2" t="s">
        <v>37</v>
      </c>
      <c r="I5753" s="2" t="s">
        <v>22</v>
      </c>
      <c r="J5753" s="2" t="s">
        <v>16089</v>
      </c>
      <c r="K5753" s="2" t="s">
        <v>495</v>
      </c>
      <c r="L5753" s="13" t="s">
        <v>496</v>
      </c>
      <c r="M5753" s="2" t="s">
        <v>26</v>
      </c>
      <c r="N5753" s="29"/>
      <c r="O5753" s="29"/>
      <c r="P5753" s="5" t="str">
        <f>IFERROR(__xludf.DUMMYFUNCTION("TEXTJOIN("" | "",TRUE,IF(OR(D5753="""",E5753="""",I5753="""",J5753="""",H5753=""""),""ফাঁকা ঘর"",""""),IF(AND(C5753&lt;&gt;"""",D5753&lt;&gt;"""",C5753=D5753),""gloss=figurative"",""""),IF(LEN(D5753)&lt;15,""figurative ছোট"",""""),IF(AND(I5753=""Positive"",REGEXMATCH(H5"&amp;"753,""মূর্খ|ভণ্ড|প্রতার|অলস|লোভ|স্বার্থ|অক্ষম|অযোগ্য|বোকা|কৃপণ|হিংস"")),""valence-target অমিল"",""""),IF(COUNTIF($B:$B,B5753)&gt;1,""ডুপ্লিকেট"",""""))"),"")</f>
        <v/>
      </c>
      <c r="Q5753" s="5" t="str">
        <f t="shared" si="1"/>
        <v>২ পরে</v>
      </c>
    </row>
    <row r="5754">
      <c r="A5754" s="4">
        <v>3630.0</v>
      </c>
      <c r="B5754" s="2" t="s">
        <v>23543</v>
      </c>
      <c r="C5754" s="2" t="s">
        <v>23543</v>
      </c>
      <c r="D5754" s="2" t="s">
        <v>23544</v>
      </c>
      <c r="E5754" s="2" t="s">
        <v>23545</v>
      </c>
      <c r="F5754" s="2" t="b">
        <v>1</v>
      </c>
      <c r="G5754" s="2" t="b">
        <v>0</v>
      </c>
      <c r="H5754" s="2" t="s">
        <v>37</v>
      </c>
      <c r="I5754" s="2" t="s">
        <v>22</v>
      </c>
      <c r="J5754" s="2" t="s">
        <v>2671</v>
      </c>
      <c r="K5754" s="2" t="s">
        <v>495</v>
      </c>
      <c r="L5754" s="13" t="s">
        <v>496</v>
      </c>
      <c r="M5754" s="2" t="s">
        <v>26</v>
      </c>
      <c r="N5754" s="29"/>
      <c r="O5754" s="29"/>
      <c r="P5754" s="5" t="str">
        <f>IFERROR(__xludf.DUMMYFUNCTION("TEXTJOIN("" | "",TRUE,IF(OR(D5754="""",E5754="""",I5754="""",J5754="""",H5754=""""),""ফাঁকা ঘর"",""""),IF(AND(C5754&lt;&gt;"""",D5754&lt;&gt;"""",C5754=D5754),""gloss=figurative"",""""),IF(LEN(D5754)&lt;15,""figurative ছোট"",""""),IF(AND(I5754=""Positive"",REGEXMATCH(H5"&amp;"754,""মূর্খ|ভণ্ড|প্রতার|অলস|লোভ|স্বার্থ|অক্ষম|অযোগ্য|বোকা|কৃপণ|হিংস"")),""valence-target অমিল"",""""),IF(COUNTIF($B:$B,B5754)&gt;1,""ডুপ্লিকেট"",""""))"),"")</f>
        <v/>
      </c>
      <c r="Q5754" s="5" t="str">
        <f t="shared" si="1"/>
        <v>২ পরে</v>
      </c>
    </row>
    <row r="5755">
      <c r="A5755" s="4">
        <v>3631.0</v>
      </c>
      <c r="B5755" s="2" t="s">
        <v>23020</v>
      </c>
      <c r="C5755" s="2" t="s">
        <v>23546</v>
      </c>
      <c r="D5755" s="2" t="s">
        <v>23547</v>
      </c>
      <c r="E5755" s="2" t="s">
        <v>23548</v>
      </c>
      <c r="F5755" s="2" t="b">
        <v>1</v>
      </c>
      <c r="G5755" s="2" t="b">
        <v>0</v>
      </c>
      <c r="H5755" s="2" t="s">
        <v>37</v>
      </c>
      <c r="I5755" s="2" t="s">
        <v>22</v>
      </c>
      <c r="J5755" s="2" t="s">
        <v>1859</v>
      </c>
      <c r="K5755" s="2" t="s">
        <v>495</v>
      </c>
      <c r="L5755" s="13" t="s">
        <v>496</v>
      </c>
      <c r="M5755" s="2" t="s">
        <v>26</v>
      </c>
      <c r="N5755" s="29"/>
      <c r="O5755" s="29"/>
      <c r="P5755" s="5" t="str">
        <f>IFERROR(__xludf.DUMMYFUNCTION("TEXTJOIN("" | "",TRUE,IF(OR(D5755="""",E5755="""",I5755="""",J5755="""",H5755=""""),""ফাঁকা ঘর"",""""),IF(AND(C5755&lt;&gt;"""",D5755&lt;&gt;"""",C5755=D5755),""gloss=figurative"",""""),IF(LEN(D5755)&lt;15,""figurative ছোট"",""""),IF(AND(I5755=""Positive"",REGEXMATCH(H5"&amp;"755,""মূর্খ|ভণ্ড|প্রতার|অলস|লোভ|স্বার্থ|অক্ষম|অযোগ্য|বোকা|কৃপণ|হিংস"")),""valence-target অমিল"",""""),IF(COUNTIF($B:$B,B5755)&gt;1,""ডুপ্লিকেট"",""""))"),"")</f>
        <v/>
      </c>
      <c r="Q5755" s="5" t="str">
        <f t="shared" si="1"/>
        <v>২ পরে</v>
      </c>
    </row>
    <row r="5756">
      <c r="A5756" s="4">
        <v>3632.0</v>
      </c>
      <c r="B5756" s="2" t="s">
        <v>23549</v>
      </c>
      <c r="C5756" s="2" t="s">
        <v>23550</v>
      </c>
      <c r="D5756" s="2" t="s">
        <v>23551</v>
      </c>
      <c r="E5756" s="2" t="s">
        <v>23552</v>
      </c>
      <c r="F5756" s="2" t="b">
        <v>1</v>
      </c>
      <c r="G5756" s="2" t="b">
        <v>0</v>
      </c>
      <c r="H5756" s="2" t="s">
        <v>23553</v>
      </c>
      <c r="I5756" s="2" t="s">
        <v>32</v>
      </c>
      <c r="J5756" s="2" t="s">
        <v>1944</v>
      </c>
      <c r="K5756" s="2" t="s">
        <v>495</v>
      </c>
      <c r="L5756" s="13" t="s">
        <v>496</v>
      </c>
      <c r="M5756" s="2" t="s">
        <v>26</v>
      </c>
      <c r="N5756" s="29"/>
      <c r="O5756" s="29"/>
      <c r="P5756" s="5" t="str">
        <f>IFERROR(__xludf.DUMMYFUNCTION("TEXTJOIN("" | "",TRUE,IF(OR(D5756="""",E5756="""",I5756="""",J5756="""",H5756=""""),""ফাঁকা ঘর"",""""),IF(AND(C5756&lt;&gt;"""",D5756&lt;&gt;"""",C5756=D5756),""gloss=figurative"",""""),IF(LEN(D5756)&lt;15,""figurative ছোট"",""""),IF(AND(I5756=""Positive"",REGEXMATCH(H5"&amp;"756,""মূর্খ|ভণ্ড|প্রতার|অলস|লোভ|স্বার্থ|অক্ষম|অযোগ্য|বোকা|কৃপণ|হিংস"")),""valence-target অমিল"",""""),IF(COUNTIF($B:$B,B5756)&gt;1,""ডুপ্লিকেট"",""""))"),"")</f>
        <v/>
      </c>
      <c r="Q5756" s="5" t="str">
        <f t="shared" si="1"/>
        <v>২ পরে</v>
      </c>
    </row>
    <row r="5757">
      <c r="A5757" s="4">
        <v>3633.0</v>
      </c>
      <c r="B5757" s="2" t="s">
        <v>23554</v>
      </c>
      <c r="C5757" s="2" t="s">
        <v>23555</v>
      </c>
      <c r="D5757" s="2" t="s">
        <v>23556</v>
      </c>
      <c r="E5757" s="2" t="s">
        <v>23557</v>
      </c>
      <c r="F5757" s="2" t="b">
        <v>1</v>
      </c>
      <c r="G5757" s="2" t="b">
        <v>0</v>
      </c>
      <c r="H5757" s="2" t="s">
        <v>23558</v>
      </c>
      <c r="I5757" s="2" t="s">
        <v>32</v>
      </c>
      <c r="J5757" s="2" t="s">
        <v>1944</v>
      </c>
      <c r="K5757" s="2" t="s">
        <v>495</v>
      </c>
      <c r="L5757" s="13" t="s">
        <v>496</v>
      </c>
      <c r="M5757" s="2" t="s">
        <v>26</v>
      </c>
      <c r="N5757" s="29"/>
      <c r="O5757" s="29"/>
      <c r="P5757" s="5" t="str">
        <f>IFERROR(__xludf.DUMMYFUNCTION("TEXTJOIN("" | "",TRUE,IF(OR(D5757="""",E5757="""",I5757="""",J5757="""",H5757=""""),""ফাঁকা ঘর"",""""),IF(AND(C5757&lt;&gt;"""",D5757&lt;&gt;"""",C5757=D5757),""gloss=figurative"",""""),IF(LEN(D5757)&lt;15,""figurative ছোট"",""""),IF(AND(I5757=""Positive"",REGEXMATCH(H5"&amp;"757,""মূর্খ|ভণ্ড|প্রতার|অলস|লোভ|স্বার্থ|অক্ষম|অযোগ্য|বোকা|কৃপণ|হিংস"")),""valence-target অমিল"",""""),IF(COUNTIF($B:$B,B5757)&gt;1,""ডুপ্লিকেট"",""""))"),"")</f>
        <v/>
      </c>
      <c r="Q5757" s="5" t="str">
        <f t="shared" si="1"/>
        <v>২ পরে</v>
      </c>
    </row>
    <row r="5758">
      <c r="A5758" s="4">
        <v>3634.0</v>
      </c>
      <c r="B5758" s="2" t="s">
        <v>23559</v>
      </c>
      <c r="C5758" s="2" t="s">
        <v>23560</v>
      </c>
      <c r="D5758" s="2" t="s">
        <v>23561</v>
      </c>
      <c r="E5758" s="2" t="s">
        <v>23562</v>
      </c>
      <c r="F5758" s="2" t="b">
        <v>1</v>
      </c>
      <c r="G5758" s="2" t="b">
        <v>0</v>
      </c>
      <c r="H5758" s="2" t="s">
        <v>23563</v>
      </c>
      <c r="I5758" s="2" t="s">
        <v>22</v>
      </c>
      <c r="J5758" s="2" t="s">
        <v>990</v>
      </c>
      <c r="K5758" s="2" t="s">
        <v>495</v>
      </c>
      <c r="L5758" s="13" t="s">
        <v>496</v>
      </c>
      <c r="M5758" s="2" t="s">
        <v>26</v>
      </c>
      <c r="N5758" s="29"/>
      <c r="O5758" s="29"/>
      <c r="P5758" s="5" t="str">
        <f>IFERROR(__xludf.DUMMYFUNCTION("TEXTJOIN("" | "",TRUE,IF(OR(D5758="""",E5758="""",I5758="""",J5758="""",H5758=""""),""ফাঁকা ঘর"",""""),IF(AND(C5758&lt;&gt;"""",D5758&lt;&gt;"""",C5758=D5758),""gloss=figurative"",""""),IF(LEN(D5758)&lt;15,""figurative ছোট"",""""),IF(AND(I5758=""Positive"",REGEXMATCH(H5"&amp;"758,""মূর্খ|ভণ্ড|প্রতার|অলস|লোভ|স্বার্থ|অক্ষম|অযোগ্য|বোকা|কৃপণ|হিংস"")),""valence-target অমিল"",""""),IF(COUNTIF($B:$B,B5758)&gt;1,""ডুপ্লিকেট"",""""))"),"")</f>
        <v/>
      </c>
      <c r="Q5758" s="5" t="str">
        <f t="shared" si="1"/>
        <v>২ পরে</v>
      </c>
    </row>
    <row r="5759">
      <c r="A5759" s="4">
        <v>3635.0</v>
      </c>
      <c r="B5759" s="2" t="s">
        <v>23564</v>
      </c>
      <c r="C5759" s="2" t="s">
        <v>23565</v>
      </c>
      <c r="D5759" s="2" t="s">
        <v>23566</v>
      </c>
      <c r="E5759" s="2" t="s">
        <v>23567</v>
      </c>
      <c r="F5759" s="2" t="b">
        <v>1</v>
      </c>
      <c r="G5759" s="2" t="b">
        <v>0</v>
      </c>
      <c r="H5759" s="2" t="s">
        <v>989</v>
      </c>
      <c r="I5759" s="2" t="s">
        <v>22</v>
      </c>
      <c r="J5759" s="2" t="s">
        <v>990</v>
      </c>
      <c r="K5759" s="2" t="s">
        <v>495</v>
      </c>
      <c r="L5759" s="13" t="s">
        <v>496</v>
      </c>
      <c r="M5759" s="2" t="s">
        <v>26</v>
      </c>
      <c r="N5759" s="29"/>
      <c r="O5759" s="29"/>
      <c r="P5759" s="5" t="str">
        <f>IFERROR(__xludf.DUMMYFUNCTION("TEXTJOIN("" | "",TRUE,IF(OR(D5759="""",E5759="""",I5759="""",J5759="""",H5759=""""),""ফাঁকা ঘর"",""""),IF(AND(C5759&lt;&gt;"""",D5759&lt;&gt;"""",C5759=D5759),""gloss=figurative"",""""),IF(LEN(D5759)&lt;15,""figurative ছোট"",""""),IF(AND(I5759=""Positive"",REGEXMATCH(H5"&amp;"759,""মূর্খ|ভণ্ড|প্রতার|অলস|লোভ|স্বার্থ|অক্ষম|অযোগ্য|বোকা|কৃপণ|হিংস"")),""valence-target অমিল"",""""),IF(COUNTIF($B:$B,B5759)&gt;1,""ডুপ্লিকেট"",""""))"),"")</f>
        <v/>
      </c>
      <c r="Q5759" s="5" t="str">
        <f t="shared" si="1"/>
        <v>২ পরে</v>
      </c>
    </row>
    <row r="5760">
      <c r="A5760" s="4">
        <v>3636.0</v>
      </c>
      <c r="B5760" s="2" t="s">
        <v>23568</v>
      </c>
      <c r="C5760" s="2" t="s">
        <v>23568</v>
      </c>
      <c r="D5760" s="2" t="s">
        <v>23569</v>
      </c>
      <c r="E5760" s="2" t="s">
        <v>23570</v>
      </c>
      <c r="F5760" s="2" t="b">
        <v>1</v>
      </c>
      <c r="G5760" s="2" t="b">
        <v>0</v>
      </c>
      <c r="H5760" s="2" t="s">
        <v>37</v>
      </c>
      <c r="I5760" s="2" t="s">
        <v>49</v>
      </c>
      <c r="J5760" s="2" t="s">
        <v>924</v>
      </c>
      <c r="K5760" s="2" t="s">
        <v>495</v>
      </c>
      <c r="L5760" s="13" t="s">
        <v>496</v>
      </c>
      <c r="M5760" s="2" t="s">
        <v>26</v>
      </c>
      <c r="N5760" s="29"/>
      <c r="O5760" s="29"/>
      <c r="P5760" s="5" t="str">
        <f>IFERROR(__xludf.DUMMYFUNCTION("TEXTJOIN("" | "",TRUE,IF(OR(D5760="""",E5760="""",I5760="""",J5760="""",H5760=""""),""ফাঁকা ঘর"",""""),IF(AND(C5760&lt;&gt;"""",D5760&lt;&gt;"""",C5760=D5760),""gloss=figurative"",""""),IF(LEN(D5760)&lt;15,""figurative ছোট"",""""),IF(AND(I5760=""Positive"",REGEXMATCH(H5"&amp;"760,""মূর্খ|ভণ্ড|প্রতার|অলস|লোভ|স্বার্থ|অক্ষম|অযোগ্য|বোকা|কৃপণ|হিংস"")),""valence-target অমিল"",""""),IF(COUNTIF($B:$B,B5760)&gt;1,""ডুপ্লিকেট"",""""))"),"")</f>
        <v/>
      </c>
      <c r="Q5760" s="5" t="str">
        <f t="shared" si="1"/>
        <v>২ পরে</v>
      </c>
    </row>
    <row r="5761">
      <c r="A5761" s="4">
        <v>3637.0</v>
      </c>
      <c r="B5761" s="2" t="s">
        <v>23571</v>
      </c>
      <c r="C5761" s="2" t="s">
        <v>23571</v>
      </c>
      <c r="D5761" s="2" t="s">
        <v>23572</v>
      </c>
      <c r="E5761" s="2" t="s">
        <v>23573</v>
      </c>
      <c r="F5761" s="2" t="b">
        <v>1</v>
      </c>
      <c r="G5761" s="2" t="b">
        <v>0</v>
      </c>
      <c r="H5761" s="2" t="s">
        <v>37</v>
      </c>
      <c r="I5761" s="2" t="s">
        <v>22</v>
      </c>
      <c r="J5761" s="2" t="s">
        <v>1962</v>
      </c>
      <c r="K5761" s="2" t="s">
        <v>495</v>
      </c>
      <c r="L5761" s="13" t="s">
        <v>496</v>
      </c>
      <c r="M5761" s="2" t="s">
        <v>26</v>
      </c>
      <c r="N5761" s="29"/>
      <c r="O5761" s="29"/>
      <c r="P5761" s="5" t="str">
        <f>IFERROR(__xludf.DUMMYFUNCTION("TEXTJOIN("" | "",TRUE,IF(OR(D5761="""",E5761="""",I5761="""",J5761="""",H5761=""""),""ফাঁকা ঘর"",""""),IF(AND(C5761&lt;&gt;"""",D5761&lt;&gt;"""",C5761=D5761),""gloss=figurative"",""""),IF(LEN(D5761)&lt;15,""figurative ছোট"",""""),IF(AND(I5761=""Positive"",REGEXMATCH(H5"&amp;"761,""মূর্খ|ভণ্ড|প্রতার|অলস|লোভ|স্বার্থ|অক্ষম|অযোগ্য|বোকা|কৃপণ|হিংস"")),""valence-target অমিল"",""""),IF(COUNTIF($B:$B,B5761)&gt;1,""ডুপ্লিকেট"",""""))"),"")</f>
        <v/>
      </c>
      <c r="Q5761" s="5" t="str">
        <f t="shared" si="1"/>
        <v>২ পরে</v>
      </c>
    </row>
    <row r="5762">
      <c r="A5762" s="4">
        <v>3638.0</v>
      </c>
      <c r="B5762" s="2" t="s">
        <v>23574</v>
      </c>
      <c r="C5762" s="2" t="s">
        <v>23575</v>
      </c>
      <c r="D5762" s="2" t="s">
        <v>23576</v>
      </c>
      <c r="E5762" s="2" t="s">
        <v>23577</v>
      </c>
      <c r="F5762" s="2" t="b">
        <v>1</v>
      </c>
      <c r="G5762" s="2" t="b">
        <v>0</v>
      </c>
      <c r="H5762" s="2" t="s">
        <v>37</v>
      </c>
      <c r="I5762" s="2" t="s">
        <v>22</v>
      </c>
      <c r="J5762" s="2" t="s">
        <v>23578</v>
      </c>
      <c r="K5762" s="2" t="s">
        <v>495</v>
      </c>
      <c r="L5762" s="13" t="s">
        <v>496</v>
      </c>
      <c r="M5762" s="2" t="s">
        <v>26</v>
      </c>
      <c r="N5762" s="29"/>
      <c r="O5762" s="29"/>
      <c r="P5762" s="5" t="str">
        <f>IFERROR(__xludf.DUMMYFUNCTION("TEXTJOIN("" | "",TRUE,IF(OR(D5762="""",E5762="""",I5762="""",J5762="""",H5762=""""),""ফাঁকা ঘর"",""""),IF(AND(C5762&lt;&gt;"""",D5762&lt;&gt;"""",C5762=D5762),""gloss=figurative"",""""),IF(LEN(D5762)&lt;15,""figurative ছোট"",""""),IF(AND(I5762=""Positive"",REGEXMATCH(H5"&amp;"762,""মূর্খ|ভণ্ড|প্রতার|অলস|লোভ|স্বার্থ|অক্ষম|অযোগ্য|বোকা|কৃপণ|হিংস"")),""valence-target অমিল"",""""),IF(COUNTIF($B:$B,B5762)&gt;1,""ডুপ্লিকেট"",""""))"),"")</f>
        <v/>
      </c>
      <c r="Q5762" s="5" t="str">
        <f t="shared" si="1"/>
        <v>২ পরে</v>
      </c>
    </row>
    <row r="5763">
      <c r="A5763" s="4">
        <v>3639.0</v>
      </c>
      <c r="B5763" s="2" t="s">
        <v>23579</v>
      </c>
      <c r="C5763" s="2" t="s">
        <v>23579</v>
      </c>
      <c r="D5763" s="2" t="s">
        <v>23580</v>
      </c>
      <c r="E5763" s="2" t="s">
        <v>23581</v>
      </c>
      <c r="F5763" s="2" t="b">
        <v>1</v>
      </c>
      <c r="G5763" s="2" t="b">
        <v>0</v>
      </c>
      <c r="H5763" s="2" t="s">
        <v>23582</v>
      </c>
      <c r="I5763" s="2" t="s">
        <v>22</v>
      </c>
      <c r="J5763" s="2" t="s">
        <v>23583</v>
      </c>
      <c r="K5763" s="2" t="s">
        <v>495</v>
      </c>
      <c r="L5763" s="13" t="s">
        <v>496</v>
      </c>
      <c r="M5763" s="2" t="s">
        <v>26</v>
      </c>
      <c r="N5763" s="29"/>
      <c r="O5763" s="29"/>
      <c r="P5763" s="5" t="str">
        <f>IFERROR(__xludf.DUMMYFUNCTION("TEXTJOIN("" | "",TRUE,IF(OR(D5763="""",E5763="""",I5763="""",J5763="""",H5763=""""),""ফাঁকা ঘর"",""""),IF(AND(C5763&lt;&gt;"""",D5763&lt;&gt;"""",C5763=D5763),""gloss=figurative"",""""),IF(LEN(D5763)&lt;15,""figurative ছোট"",""""),IF(AND(I5763=""Positive"",REGEXMATCH(H5"&amp;"763,""মূর্খ|ভণ্ড|প্রতার|অলস|লোভ|স্বার্থ|অক্ষম|অযোগ্য|বোকা|কৃপণ|হিংস"")),""valence-target অমিল"",""""),IF(COUNTIF($B:$B,B5763)&gt;1,""ডুপ্লিকেট"",""""))"),"")</f>
        <v/>
      </c>
      <c r="Q5763" s="5" t="str">
        <f t="shared" si="1"/>
        <v>২ পরে</v>
      </c>
    </row>
    <row r="5764">
      <c r="A5764" s="4">
        <v>3640.0</v>
      </c>
      <c r="B5764" s="2" t="s">
        <v>23584</v>
      </c>
      <c r="C5764" s="2" t="s">
        <v>23585</v>
      </c>
      <c r="D5764" s="2" t="s">
        <v>23586</v>
      </c>
      <c r="E5764" s="2" t="s">
        <v>23587</v>
      </c>
      <c r="F5764" s="2" t="b">
        <v>1</v>
      </c>
      <c r="G5764" s="2" t="b">
        <v>0</v>
      </c>
      <c r="H5764" s="2" t="s">
        <v>756</v>
      </c>
      <c r="I5764" s="2" t="s">
        <v>22</v>
      </c>
      <c r="J5764" s="2" t="s">
        <v>2732</v>
      </c>
      <c r="K5764" s="2" t="s">
        <v>495</v>
      </c>
      <c r="L5764" s="13" t="s">
        <v>496</v>
      </c>
      <c r="M5764" s="2" t="s">
        <v>26</v>
      </c>
      <c r="N5764" s="29"/>
      <c r="O5764" s="29"/>
      <c r="P5764" s="5" t="str">
        <f>IFERROR(__xludf.DUMMYFUNCTION("TEXTJOIN("" | "",TRUE,IF(OR(D5764="""",E5764="""",I5764="""",J5764="""",H5764=""""),""ফাঁকা ঘর"",""""),IF(AND(C5764&lt;&gt;"""",D5764&lt;&gt;"""",C5764=D5764),""gloss=figurative"",""""),IF(LEN(D5764)&lt;15,""figurative ছোট"",""""),IF(AND(I5764=""Positive"",REGEXMATCH(H5"&amp;"764,""মূর্খ|ভণ্ড|প্রতার|অলস|লোভ|স্বার্থ|অক্ষম|অযোগ্য|বোকা|কৃপণ|হিংস"")),""valence-target অমিল"",""""),IF(COUNTIF($B:$B,B5764)&gt;1,""ডুপ্লিকেট"",""""))"),"")</f>
        <v/>
      </c>
      <c r="Q5764" s="5" t="str">
        <f t="shared" si="1"/>
        <v>২ পরে</v>
      </c>
    </row>
    <row r="5765">
      <c r="A5765" s="4">
        <v>3641.0</v>
      </c>
      <c r="B5765" s="2" t="s">
        <v>23588</v>
      </c>
      <c r="C5765" s="2" t="s">
        <v>23589</v>
      </c>
      <c r="D5765" s="2" t="s">
        <v>23590</v>
      </c>
      <c r="E5765" s="2" t="s">
        <v>23591</v>
      </c>
      <c r="F5765" s="2" t="b">
        <v>1</v>
      </c>
      <c r="G5765" s="2" t="b">
        <v>0</v>
      </c>
      <c r="H5765" s="2" t="s">
        <v>37</v>
      </c>
      <c r="I5765" s="2" t="s">
        <v>32</v>
      </c>
      <c r="J5765" s="2" t="s">
        <v>190</v>
      </c>
      <c r="K5765" s="2" t="s">
        <v>495</v>
      </c>
      <c r="L5765" s="13" t="s">
        <v>496</v>
      </c>
      <c r="M5765" s="2" t="s">
        <v>26</v>
      </c>
      <c r="N5765" s="29"/>
      <c r="O5765" s="29"/>
      <c r="P5765" s="5" t="str">
        <f>IFERROR(__xludf.DUMMYFUNCTION("TEXTJOIN("" | "",TRUE,IF(OR(D5765="""",E5765="""",I5765="""",J5765="""",H5765=""""),""ফাঁকা ঘর"",""""),IF(AND(C5765&lt;&gt;"""",D5765&lt;&gt;"""",C5765=D5765),""gloss=figurative"",""""),IF(LEN(D5765)&lt;15,""figurative ছোট"",""""),IF(AND(I5765=""Positive"",REGEXMATCH(H5"&amp;"765,""মূর্খ|ভণ্ড|প্রতার|অলস|লোভ|স্বার্থ|অক্ষম|অযোগ্য|বোকা|কৃপণ|হিংস"")),""valence-target অমিল"",""""),IF(COUNTIF($B:$B,B5765)&gt;1,""ডুপ্লিকেট"",""""))"),"")</f>
        <v/>
      </c>
      <c r="Q5765" s="5" t="str">
        <f t="shared" si="1"/>
        <v>২ পরে</v>
      </c>
    </row>
    <row r="5766">
      <c r="A5766" s="4">
        <v>3643.0</v>
      </c>
      <c r="B5766" s="2" t="s">
        <v>23592</v>
      </c>
      <c r="C5766" s="2" t="s">
        <v>23593</v>
      </c>
      <c r="D5766" s="2" t="s">
        <v>23594</v>
      </c>
      <c r="E5766" s="2" t="s">
        <v>23595</v>
      </c>
      <c r="F5766" s="2" t="b">
        <v>1</v>
      </c>
      <c r="G5766" s="2" t="b">
        <v>0</v>
      </c>
      <c r="H5766" s="2" t="s">
        <v>23596</v>
      </c>
      <c r="I5766" s="2" t="s">
        <v>32</v>
      </c>
      <c r="J5766" s="2" t="s">
        <v>202</v>
      </c>
      <c r="K5766" s="2" t="s">
        <v>495</v>
      </c>
      <c r="L5766" s="13" t="s">
        <v>496</v>
      </c>
      <c r="M5766" s="2" t="s">
        <v>26</v>
      </c>
      <c r="N5766" s="29"/>
      <c r="O5766" s="29"/>
      <c r="P5766" s="5" t="str">
        <f>IFERROR(__xludf.DUMMYFUNCTION("TEXTJOIN("" | "",TRUE,IF(OR(D5766="""",E5766="""",I5766="""",J5766="""",H5766=""""),""ফাঁকা ঘর"",""""),IF(AND(C5766&lt;&gt;"""",D5766&lt;&gt;"""",C5766=D5766),""gloss=figurative"",""""),IF(LEN(D5766)&lt;15,""figurative ছোট"",""""),IF(AND(I5766=""Positive"",REGEXMATCH(H5"&amp;"766,""মূর্খ|ভণ্ড|প্রতার|অলস|লোভ|স্বার্থ|অক্ষম|অযোগ্য|বোকা|কৃপণ|হিংস"")),""valence-target অমিল"",""""),IF(COUNTIF($B:$B,B5766)&gt;1,""ডুপ্লিকেট"",""""))"),"")</f>
        <v/>
      </c>
      <c r="Q5766" s="5" t="str">
        <f t="shared" si="1"/>
        <v>২ পরে</v>
      </c>
    </row>
    <row r="5767">
      <c r="A5767" s="4">
        <v>3644.0</v>
      </c>
      <c r="B5767" s="2" t="s">
        <v>23597</v>
      </c>
      <c r="C5767" s="2" t="s">
        <v>23598</v>
      </c>
      <c r="D5767" s="2" t="s">
        <v>23599</v>
      </c>
      <c r="E5767" s="2" t="s">
        <v>23600</v>
      </c>
      <c r="F5767" s="2" t="b">
        <v>1</v>
      </c>
      <c r="G5767" s="2" t="b">
        <v>0</v>
      </c>
      <c r="H5767" s="2" t="s">
        <v>16047</v>
      </c>
      <c r="I5767" s="2" t="s">
        <v>32</v>
      </c>
      <c r="J5767" s="2" t="s">
        <v>202</v>
      </c>
      <c r="K5767" s="2" t="s">
        <v>495</v>
      </c>
      <c r="L5767" s="13" t="s">
        <v>496</v>
      </c>
      <c r="M5767" s="2" t="s">
        <v>26</v>
      </c>
      <c r="N5767" s="29"/>
      <c r="O5767" s="29"/>
      <c r="P5767" s="5" t="str">
        <f>IFERROR(__xludf.DUMMYFUNCTION("TEXTJOIN("" | "",TRUE,IF(OR(D5767="""",E5767="""",I5767="""",J5767="""",H5767=""""),""ফাঁকা ঘর"",""""),IF(AND(C5767&lt;&gt;"""",D5767&lt;&gt;"""",C5767=D5767),""gloss=figurative"",""""),IF(LEN(D5767)&lt;15,""figurative ছোট"",""""),IF(AND(I5767=""Positive"",REGEXMATCH(H5"&amp;"767,""মূর্খ|ভণ্ড|প্রতার|অলস|লোভ|স্বার্থ|অক্ষম|অযোগ্য|বোকা|কৃপণ|হিংস"")),""valence-target অমিল"",""""),IF(COUNTIF($B:$B,B5767)&gt;1,""ডুপ্লিকেট"",""""))"),"")</f>
        <v/>
      </c>
      <c r="Q5767" s="5" t="str">
        <f t="shared" si="1"/>
        <v>২ পরে</v>
      </c>
    </row>
    <row r="5768">
      <c r="A5768" s="4">
        <v>3645.0</v>
      </c>
      <c r="B5768" s="2" t="s">
        <v>23601</v>
      </c>
      <c r="C5768" s="2" t="s">
        <v>23601</v>
      </c>
      <c r="D5768" s="2" t="s">
        <v>23602</v>
      </c>
      <c r="E5768" s="2" t="s">
        <v>23603</v>
      </c>
      <c r="F5768" s="2" t="b">
        <v>1</v>
      </c>
      <c r="G5768" s="2" t="b">
        <v>0</v>
      </c>
      <c r="H5768" s="2" t="s">
        <v>37</v>
      </c>
      <c r="I5768" s="2" t="s">
        <v>22</v>
      </c>
      <c r="J5768" s="2" t="s">
        <v>1686</v>
      </c>
      <c r="K5768" s="2" t="s">
        <v>495</v>
      </c>
      <c r="L5768" s="13" t="s">
        <v>496</v>
      </c>
      <c r="M5768" s="2" t="s">
        <v>26</v>
      </c>
      <c r="N5768" s="29"/>
      <c r="O5768" s="29"/>
      <c r="P5768" s="5" t="str">
        <f>IFERROR(__xludf.DUMMYFUNCTION("TEXTJOIN("" | "",TRUE,IF(OR(D5768="""",E5768="""",I5768="""",J5768="""",H5768=""""),""ফাঁকা ঘর"",""""),IF(AND(C5768&lt;&gt;"""",D5768&lt;&gt;"""",C5768=D5768),""gloss=figurative"",""""),IF(LEN(D5768)&lt;15,""figurative ছোট"",""""),IF(AND(I5768=""Positive"",REGEXMATCH(H5"&amp;"768,""মূর্খ|ভণ্ড|প্রতার|অলস|লোভ|স্বার্থ|অক্ষম|অযোগ্য|বোকা|কৃপণ|হিংস"")),""valence-target অমিল"",""""),IF(COUNTIF($B:$B,B5768)&gt;1,""ডুপ্লিকেট"",""""))"),"")</f>
        <v/>
      </c>
      <c r="Q5768" s="5" t="str">
        <f t="shared" si="1"/>
        <v>২ পরে</v>
      </c>
    </row>
    <row r="5769">
      <c r="A5769" s="4">
        <v>3646.0</v>
      </c>
      <c r="B5769" s="2" t="s">
        <v>23604</v>
      </c>
      <c r="C5769" s="2" t="s">
        <v>23605</v>
      </c>
      <c r="D5769" s="2" t="s">
        <v>23606</v>
      </c>
      <c r="E5769" s="2" t="s">
        <v>23607</v>
      </c>
      <c r="F5769" s="2" t="b">
        <v>1</v>
      </c>
      <c r="G5769" s="2" t="b">
        <v>0</v>
      </c>
      <c r="H5769" s="2" t="s">
        <v>37</v>
      </c>
      <c r="I5769" s="2" t="s">
        <v>32</v>
      </c>
      <c r="J5769" s="2" t="s">
        <v>766</v>
      </c>
      <c r="K5769" s="2" t="s">
        <v>495</v>
      </c>
      <c r="L5769" s="13" t="s">
        <v>496</v>
      </c>
      <c r="M5769" s="2" t="s">
        <v>26</v>
      </c>
      <c r="N5769" s="29"/>
      <c r="O5769" s="29"/>
      <c r="P5769" s="5" t="str">
        <f>IFERROR(__xludf.DUMMYFUNCTION("TEXTJOIN("" | "",TRUE,IF(OR(D5769="""",E5769="""",I5769="""",J5769="""",H5769=""""),""ফাঁকা ঘর"",""""),IF(AND(C5769&lt;&gt;"""",D5769&lt;&gt;"""",C5769=D5769),""gloss=figurative"",""""),IF(LEN(D5769)&lt;15,""figurative ছোট"",""""),IF(AND(I5769=""Positive"",REGEXMATCH(H5"&amp;"769,""মূর্খ|ভণ্ড|প্রতার|অলস|লোভ|স্বার্থ|অক্ষম|অযোগ্য|বোকা|কৃপণ|হিংস"")),""valence-target অমিল"",""""),IF(COUNTIF($B:$B,B5769)&gt;1,""ডুপ্লিকেট"",""""))"),"")</f>
        <v/>
      </c>
      <c r="Q5769" s="5" t="str">
        <f t="shared" si="1"/>
        <v>২ পরে</v>
      </c>
    </row>
    <row r="5770">
      <c r="A5770" s="4">
        <v>3647.0</v>
      </c>
      <c r="B5770" s="2" t="s">
        <v>23608</v>
      </c>
      <c r="C5770" s="2" t="s">
        <v>23609</v>
      </c>
      <c r="D5770" s="2" t="s">
        <v>23610</v>
      </c>
      <c r="E5770" s="2" t="s">
        <v>23611</v>
      </c>
      <c r="F5770" s="2" t="b">
        <v>1</v>
      </c>
      <c r="G5770" s="2" t="b">
        <v>0</v>
      </c>
      <c r="H5770" s="2" t="s">
        <v>23612</v>
      </c>
      <c r="I5770" s="2" t="s">
        <v>22</v>
      </c>
      <c r="J5770" s="2" t="s">
        <v>1895</v>
      </c>
      <c r="K5770" s="2" t="s">
        <v>495</v>
      </c>
      <c r="L5770" s="13" t="s">
        <v>496</v>
      </c>
      <c r="M5770" s="2" t="s">
        <v>26</v>
      </c>
      <c r="N5770" s="29"/>
      <c r="O5770" s="29"/>
      <c r="P5770" s="5" t="str">
        <f>IFERROR(__xludf.DUMMYFUNCTION("TEXTJOIN("" | "",TRUE,IF(OR(D5770="""",E5770="""",I5770="""",J5770="""",H5770=""""),""ফাঁকা ঘর"",""""),IF(AND(C5770&lt;&gt;"""",D5770&lt;&gt;"""",C5770=D5770),""gloss=figurative"",""""),IF(LEN(D5770)&lt;15,""figurative ছোট"",""""),IF(AND(I5770=""Positive"",REGEXMATCH(H5"&amp;"770,""মূর্খ|ভণ্ড|প্রতার|অলস|লোভ|স্বার্থ|অক্ষম|অযোগ্য|বোকা|কৃপণ|হিংস"")),""valence-target অমিল"",""""),IF(COUNTIF($B:$B,B5770)&gt;1,""ডুপ্লিকেট"",""""))"),"")</f>
        <v/>
      </c>
      <c r="Q5770" s="5" t="str">
        <f t="shared" si="1"/>
        <v>২ পরে</v>
      </c>
    </row>
    <row r="5771">
      <c r="A5771" s="4">
        <v>3648.0</v>
      </c>
      <c r="B5771" s="2" t="s">
        <v>23613</v>
      </c>
      <c r="C5771" s="2" t="s">
        <v>23614</v>
      </c>
      <c r="D5771" s="2" t="s">
        <v>23615</v>
      </c>
      <c r="E5771" s="2" t="s">
        <v>23616</v>
      </c>
      <c r="F5771" s="2" t="b">
        <v>1</v>
      </c>
      <c r="G5771" s="2" t="b">
        <v>0</v>
      </c>
      <c r="H5771" s="2" t="s">
        <v>37</v>
      </c>
      <c r="I5771" s="2" t="s">
        <v>32</v>
      </c>
      <c r="J5771" s="2" t="s">
        <v>3017</v>
      </c>
      <c r="K5771" s="2" t="s">
        <v>495</v>
      </c>
      <c r="L5771" s="13" t="s">
        <v>496</v>
      </c>
      <c r="M5771" s="2" t="s">
        <v>26</v>
      </c>
      <c r="N5771" s="29"/>
      <c r="O5771" s="29"/>
      <c r="P5771" s="5" t="str">
        <f>IFERROR(__xludf.DUMMYFUNCTION("TEXTJOIN("" | "",TRUE,IF(OR(D5771="""",E5771="""",I5771="""",J5771="""",H5771=""""),""ফাঁকা ঘর"",""""),IF(AND(C5771&lt;&gt;"""",D5771&lt;&gt;"""",C5771=D5771),""gloss=figurative"",""""),IF(LEN(D5771)&lt;15,""figurative ছোট"",""""),IF(AND(I5771=""Positive"",REGEXMATCH(H5"&amp;"771,""মূর্খ|ভণ্ড|প্রতার|অলস|লোভ|স্বার্থ|অক্ষম|অযোগ্য|বোকা|কৃপণ|হিংস"")),""valence-target অমিল"",""""),IF(COUNTIF($B:$B,B5771)&gt;1,""ডুপ্লিকেট"",""""))"),"")</f>
        <v/>
      </c>
      <c r="Q5771" s="5" t="str">
        <f t="shared" si="1"/>
        <v>২ পরে</v>
      </c>
    </row>
    <row r="5772">
      <c r="A5772" s="4">
        <v>3649.0</v>
      </c>
      <c r="B5772" s="2" t="s">
        <v>23617</v>
      </c>
      <c r="C5772" s="2" t="s">
        <v>23618</v>
      </c>
      <c r="D5772" s="2" t="s">
        <v>23619</v>
      </c>
      <c r="E5772" s="2" t="s">
        <v>23620</v>
      </c>
      <c r="F5772" s="2" t="b">
        <v>1</v>
      </c>
      <c r="G5772" s="2" t="b">
        <v>0</v>
      </c>
      <c r="H5772" s="2" t="s">
        <v>23621</v>
      </c>
      <c r="I5772" s="2" t="s">
        <v>22</v>
      </c>
      <c r="J5772" s="2" t="s">
        <v>1621</v>
      </c>
      <c r="K5772" s="2" t="s">
        <v>495</v>
      </c>
      <c r="L5772" s="13" t="s">
        <v>496</v>
      </c>
      <c r="M5772" s="2" t="s">
        <v>26</v>
      </c>
      <c r="N5772" s="29"/>
      <c r="O5772" s="29"/>
      <c r="P5772" s="5" t="str">
        <f>IFERROR(__xludf.DUMMYFUNCTION("TEXTJOIN("" | "",TRUE,IF(OR(D5772="""",E5772="""",I5772="""",J5772="""",H5772=""""),""ফাঁকা ঘর"",""""),IF(AND(C5772&lt;&gt;"""",D5772&lt;&gt;"""",C5772=D5772),""gloss=figurative"",""""),IF(LEN(D5772)&lt;15,""figurative ছোট"",""""),IF(AND(I5772=""Positive"",REGEXMATCH(H5"&amp;"772,""মূর্খ|ভণ্ড|প্রতার|অলস|লোভ|স্বার্থ|অক্ষম|অযোগ্য|বোকা|কৃপণ|হিংস"")),""valence-target অমিল"",""""),IF(COUNTIF($B:$B,B5772)&gt;1,""ডুপ্লিকেট"",""""))"),"")</f>
        <v/>
      </c>
      <c r="Q5772" s="5" t="str">
        <f t="shared" si="1"/>
        <v>২ পরে</v>
      </c>
    </row>
    <row r="5773">
      <c r="A5773" s="4">
        <v>3650.0</v>
      </c>
      <c r="B5773" s="2" t="s">
        <v>23622</v>
      </c>
      <c r="C5773" s="2" t="s">
        <v>23623</v>
      </c>
      <c r="D5773" s="2" t="s">
        <v>23624</v>
      </c>
      <c r="E5773" s="2" t="s">
        <v>23625</v>
      </c>
      <c r="F5773" s="2" t="b">
        <v>1</v>
      </c>
      <c r="G5773" s="2" t="b">
        <v>0</v>
      </c>
      <c r="H5773" s="2" t="s">
        <v>5571</v>
      </c>
      <c r="I5773" s="2" t="s">
        <v>22</v>
      </c>
      <c r="J5773" s="2" t="s">
        <v>2629</v>
      </c>
      <c r="K5773" s="2" t="s">
        <v>495</v>
      </c>
      <c r="L5773" s="13" t="s">
        <v>496</v>
      </c>
      <c r="M5773" s="2" t="s">
        <v>26</v>
      </c>
      <c r="N5773" s="29"/>
      <c r="O5773" s="29"/>
      <c r="P5773" s="5" t="str">
        <f>IFERROR(__xludf.DUMMYFUNCTION("TEXTJOIN("" | "",TRUE,IF(OR(D5773="""",E5773="""",I5773="""",J5773="""",H5773=""""),""ফাঁকা ঘর"",""""),IF(AND(C5773&lt;&gt;"""",D5773&lt;&gt;"""",C5773=D5773),""gloss=figurative"",""""),IF(LEN(D5773)&lt;15,""figurative ছোট"",""""),IF(AND(I5773=""Positive"",REGEXMATCH(H5"&amp;"773,""মূর্খ|ভণ্ড|প্রতার|অলস|লোভ|স্বার্থ|অক্ষম|অযোগ্য|বোকা|কৃপণ|হিংস"")),""valence-target অমিল"",""""),IF(COUNTIF($B:$B,B5773)&gt;1,""ডুপ্লিকেট"",""""))"),"")</f>
        <v/>
      </c>
      <c r="Q5773" s="5" t="str">
        <f t="shared" si="1"/>
        <v>২ পরে</v>
      </c>
    </row>
    <row r="5774">
      <c r="A5774" s="4">
        <v>3651.0</v>
      </c>
      <c r="B5774" s="2" t="s">
        <v>23626</v>
      </c>
      <c r="C5774" s="2" t="s">
        <v>23627</v>
      </c>
      <c r="D5774" s="2" t="s">
        <v>23628</v>
      </c>
      <c r="E5774" s="2" t="s">
        <v>23629</v>
      </c>
      <c r="F5774" s="2" t="b">
        <v>1</v>
      </c>
      <c r="G5774" s="2" t="b">
        <v>0</v>
      </c>
      <c r="H5774" s="2" t="s">
        <v>37</v>
      </c>
      <c r="I5774" s="2" t="s">
        <v>32</v>
      </c>
      <c r="J5774" s="2" t="s">
        <v>2255</v>
      </c>
      <c r="K5774" s="2" t="s">
        <v>495</v>
      </c>
      <c r="L5774" s="13" t="s">
        <v>496</v>
      </c>
      <c r="M5774" s="2" t="s">
        <v>26</v>
      </c>
      <c r="N5774" s="29"/>
      <c r="O5774" s="29"/>
      <c r="P5774" s="5" t="str">
        <f>IFERROR(__xludf.DUMMYFUNCTION("TEXTJOIN("" | "",TRUE,IF(OR(D5774="""",E5774="""",I5774="""",J5774="""",H5774=""""),""ফাঁকা ঘর"",""""),IF(AND(C5774&lt;&gt;"""",D5774&lt;&gt;"""",C5774=D5774),""gloss=figurative"",""""),IF(LEN(D5774)&lt;15,""figurative ছোট"",""""),IF(AND(I5774=""Positive"",REGEXMATCH(H5"&amp;"774,""মূর্খ|ভণ্ড|প্রতার|অলস|লোভ|স্বার্থ|অক্ষম|অযোগ্য|বোকা|কৃপণ|হিংস"")),""valence-target অমিল"",""""),IF(COUNTIF($B:$B,B5774)&gt;1,""ডুপ্লিকেট"",""""))"),"")</f>
        <v/>
      </c>
      <c r="Q5774" s="5" t="str">
        <f t="shared" si="1"/>
        <v>২ পরে</v>
      </c>
    </row>
    <row r="5775">
      <c r="A5775" s="4">
        <v>3652.0</v>
      </c>
      <c r="B5775" s="2" t="s">
        <v>23630</v>
      </c>
      <c r="C5775" s="2" t="s">
        <v>23631</v>
      </c>
      <c r="D5775" s="2" t="s">
        <v>23632</v>
      </c>
      <c r="E5775" s="2" t="s">
        <v>23633</v>
      </c>
      <c r="F5775" s="2" t="b">
        <v>1</v>
      </c>
      <c r="G5775" s="2" t="b">
        <v>0</v>
      </c>
      <c r="H5775" s="2" t="s">
        <v>23634</v>
      </c>
      <c r="I5775" s="2" t="s">
        <v>22</v>
      </c>
      <c r="J5775" s="2" t="s">
        <v>665</v>
      </c>
      <c r="K5775" s="2" t="s">
        <v>495</v>
      </c>
      <c r="L5775" s="13" t="s">
        <v>496</v>
      </c>
      <c r="M5775" s="2" t="s">
        <v>26</v>
      </c>
      <c r="N5775" s="29"/>
      <c r="O5775" s="29"/>
      <c r="P5775" s="5" t="str">
        <f>IFERROR(__xludf.DUMMYFUNCTION("TEXTJOIN("" | "",TRUE,IF(OR(D5775="""",E5775="""",I5775="""",J5775="""",H5775=""""),""ফাঁকা ঘর"",""""),IF(AND(C5775&lt;&gt;"""",D5775&lt;&gt;"""",C5775=D5775),""gloss=figurative"",""""),IF(LEN(D5775)&lt;15,""figurative ছোট"",""""),IF(AND(I5775=""Positive"",REGEXMATCH(H5"&amp;"775,""মূর্খ|ভণ্ড|প্রতার|অলস|লোভ|স্বার্থ|অক্ষম|অযোগ্য|বোকা|কৃপণ|হিংস"")),""valence-target অমিল"",""""),IF(COUNTIF($B:$B,B5775)&gt;1,""ডুপ্লিকেট"",""""))"),"")</f>
        <v/>
      </c>
      <c r="Q5775" s="5" t="str">
        <f t="shared" si="1"/>
        <v>২ পরে</v>
      </c>
    </row>
    <row r="5776">
      <c r="A5776" s="4">
        <v>3653.0</v>
      </c>
      <c r="B5776" s="2" t="s">
        <v>23635</v>
      </c>
      <c r="C5776" s="2" t="s">
        <v>23636</v>
      </c>
      <c r="D5776" s="2" t="s">
        <v>23637</v>
      </c>
      <c r="E5776" s="2" t="s">
        <v>23638</v>
      </c>
      <c r="F5776" s="2" t="b">
        <v>1</v>
      </c>
      <c r="G5776" s="2" t="b">
        <v>0</v>
      </c>
      <c r="H5776" s="2" t="s">
        <v>23639</v>
      </c>
      <c r="I5776" s="2" t="s">
        <v>22</v>
      </c>
      <c r="J5776" s="2" t="s">
        <v>225</v>
      </c>
      <c r="K5776" s="2" t="s">
        <v>495</v>
      </c>
      <c r="L5776" s="13" t="s">
        <v>496</v>
      </c>
      <c r="M5776" s="2" t="s">
        <v>26</v>
      </c>
      <c r="N5776" s="29"/>
      <c r="O5776" s="29"/>
      <c r="P5776" s="5" t="str">
        <f>IFERROR(__xludf.DUMMYFUNCTION("TEXTJOIN("" | "",TRUE,IF(OR(D5776="""",E5776="""",I5776="""",J5776="""",H5776=""""),""ফাঁকা ঘর"",""""),IF(AND(C5776&lt;&gt;"""",D5776&lt;&gt;"""",C5776=D5776),""gloss=figurative"",""""),IF(LEN(D5776)&lt;15,""figurative ছোট"",""""),IF(AND(I5776=""Positive"",REGEXMATCH(H5"&amp;"776,""মূর্খ|ভণ্ড|প্রতার|অলস|লোভ|স্বার্থ|অক্ষম|অযোগ্য|বোকা|কৃপণ|হিংস"")),""valence-target অমিল"",""""),IF(COUNTIF($B:$B,B5776)&gt;1,""ডুপ্লিকেট"",""""))"),"")</f>
        <v/>
      </c>
      <c r="Q5776" s="5" t="str">
        <f t="shared" si="1"/>
        <v>২ পরে</v>
      </c>
    </row>
    <row r="5777">
      <c r="A5777" s="4">
        <v>3654.0</v>
      </c>
      <c r="B5777" s="2" t="s">
        <v>23640</v>
      </c>
      <c r="C5777" s="2" t="s">
        <v>23641</v>
      </c>
      <c r="D5777" s="2" t="s">
        <v>23642</v>
      </c>
      <c r="E5777" s="2" t="s">
        <v>23643</v>
      </c>
      <c r="F5777" s="2" t="b">
        <v>1</v>
      </c>
      <c r="G5777" s="2" t="b">
        <v>1</v>
      </c>
      <c r="H5777" s="2" t="s">
        <v>23644</v>
      </c>
      <c r="I5777" s="2" t="s">
        <v>22</v>
      </c>
      <c r="J5777" s="2" t="s">
        <v>15837</v>
      </c>
      <c r="K5777" s="2" t="s">
        <v>495</v>
      </c>
      <c r="L5777" s="13" t="s">
        <v>496</v>
      </c>
      <c r="M5777" s="2" t="s">
        <v>26</v>
      </c>
      <c r="N5777" s="29"/>
      <c r="O5777" s="29"/>
      <c r="P5777" s="5" t="str">
        <f>IFERROR(__xludf.DUMMYFUNCTION("TEXTJOIN("" | "",TRUE,IF(OR(D5777="""",E5777="""",I5777="""",J5777="""",H5777=""""),""ফাঁকা ঘর"",""""),IF(AND(C5777&lt;&gt;"""",D5777&lt;&gt;"""",C5777=D5777),""gloss=figurative"",""""),IF(LEN(D5777)&lt;15,""figurative ছোট"",""""),IF(AND(I5777=""Positive"",REGEXMATCH(H5"&amp;"777,""মূর্খ|ভণ্ড|প্রতার|অলস|লোভ|স্বার্থ|অক্ষম|অযোগ্য|বোকা|কৃপণ|হিংস"")),""valence-target অমিল"",""""),IF(COUNTIF($B:$B,B5777)&gt;1,""ডুপ্লিকেট"",""""))"),"")</f>
        <v/>
      </c>
      <c r="Q5777" s="5" t="str">
        <f t="shared" si="1"/>
        <v>২ পরে</v>
      </c>
    </row>
    <row r="5778">
      <c r="A5778" s="4">
        <v>3655.0</v>
      </c>
      <c r="B5778" s="2" t="s">
        <v>23645</v>
      </c>
      <c r="C5778" s="2" t="s">
        <v>23646</v>
      </c>
      <c r="D5778" s="2" t="s">
        <v>23647</v>
      </c>
      <c r="E5778" s="2" t="s">
        <v>23648</v>
      </c>
      <c r="F5778" s="2" t="b">
        <v>1</v>
      </c>
      <c r="G5778" s="2" t="b">
        <v>0</v>
      </c>
      <c r="H5778" s="2" t="s">
        <v>23649</v>
      </c>
      <c r="I5778" s="2" t="s">
        <v>22</v>
      </c>
      <c r="J5778" s="2" t="s">
        <v>1630</v>
      </c>
      <c r="K5778" s="2" t="s">
        <v>495</v>
      </c>
      <c r="L5778" s="13" t="s">
        <v>496</v>
      </c>
      <c r="M5778" s="2" t="s">
        <v>26</v>
      </c>
      <c r="N5778" s="29"/>
      <c r="O5778" s="29"/>
      <c r="P5778" s="5" t="str">
        <f>IFERROR(__xludf.DUMMYFUNCTION("TEXTJOIN("" | "",TRUE,IF(OR(D5778="""",E5778="""",I5778="""",J5778="""",H5778=""""),""ফাঁকা ঘর"",""""),IF(AND(C5778&lt;&gt;"""",D5778&lt;&gt;"""",C5778=D5778),""gloss=figurative"",""""),IF(LEN(D5778)&lt;15,""figurative ছোট"",""""),IF(AND(I5778=""Positive"",REGEXMATCH(H5"&amp;"778,""মূর্খ|ভণ্ড|প্রতার|অলস|লোভ|স্বার্থ|অক্ষম|অযোগ্য|বোকা|কৃপণ|হিংস"")),""valence-target অমিল"",""""),IF(COUNTIF($B:$B,B5778)&gt;1,""ডুপ্লিকেট"",""""))"),"")</f>
        <v/>
      </c>
      <c r="Q5778" s="5" t="str">
        <f t="shared" si="1"/>
        <v>২ পরে</v>
      </c>
    </row>
    <row r="5779">
      <c r="A5779" s="4">
        <v>3656.0</v>
      </c>
      <c r="B5779" s="2" t="s">
        <v>23650</v>
      </c>
      <c r="C5779" s="2" t="s">
        <v>23651</v>
      </c>
      <c r="D5779" s="2" t="s">
        <v>23652</v>
      </c>
      <c r="E5779" s="2" t="s">
        <v>23653</v>
      </c>
      <c r="F5779" s="2" t="b">
        <v>1</v>
      </c>
      <c r="G5779" s="2" t="b">
        <v>1</v>
      </c>
      <c r="H5779" s="2" t="s">
        <v>1136</v>
      </c>
      <c r="I5779" s="2" t="s">
        <v>32</v>
      </c>
      <c r="J5779" s="2" t="s">
        <v>23654</v>
      </c>
      <c r="K5779" s="2" t="s">
        <v>495</v>
      </c>
      <c r="L5779" s="13" t="s">
        <v>496</v>
      </c>
      <c r="M5779" s="2" t="s">
        <v>26</v>
      </c>
      <c r="N5779" s="29"/>
      <c r="O5779" s="29"/>
      <c r="P5779" s="5" t="str">
        <f>IFERROR(__xludf.DUMMYFUNCTION("TEXTJOIN("" | "",TRUE,IF(OR(D5779="""",E5779="""",I5779="""",J5779="""",H5779=""""),""ফাঁকা ঘর"",""""),IF(AND(C5779&lt;&gt;"""",D5779&lt;&gt;"""",C5779=D5779),""gloss=figurative"",""""),IF(LEN(D5779)&lt;15,""figurative ছোট"",""""),IF(AND(I5779=""Positive"",REGEXMATCH(H5"&amp;"779,""মূর্খ|ভণ্ড|প্রতার|অলস|লোভ|স্বার্থ|অক্ষম|অযোগ্য|বোকা|কৃপণ|হিংস"")),""valence-target অমিল"",""""),IF(COUNTIF($B:$B,B5779)&gt;1,""ডুপ্লিকেট"",""""))"),"")</f>
        <v/>
      </c>
      <c r="Q5779" s="5" t="str">
        <f t="shared" si="1"/>
        <v>২ পরে</v>
      </c>
    </row>
    <row r="5780">
      <c r="A5780" s="4">
        <v>3657.0</v>
      </c>
      <c r="B5780" s="2" t="s">
        <v>23655</v>
      </c>
      <c r="C5780" s="2" t="s">
        <v>23656</v>
      </c>
      <c r="D5780" s="2" t="s">
        <v>23657</v>
      </c>
      <c r="E5780" s="2" t="s">
        <v>23658</v>
      </c>
      <c r="F5780" s="2" t="b">
        <v>1</v>
      </c>
      <c r="G5780" s="2" t="b">
        <v>0</v>
      </c>
      <c r="H5780" s="2" t="s">
        <v>756</v>
      </c>
      <c r="I5780" s="2" t="s">
        <v>22</v>
      </c>
      <c r="J5780" s="2" t="s">
        <v>1630</v>
      </c>
      <c r="K5780" s="2" t="s">
        <v>495</v>
      </c>
      <c r="L5780" s="13" t="s">
        <v>496</v>
      </c>
      <c r="M5780" s="2" t="s">
        <v>26</v>
      </c>
      <c r="N5780" s="29"/>
      <c r="O5780" s="29"/>
      <c r="P5780" s="5" t="str">
        <f>IFERROR(__xludf.DUMMYFUNCTION("TEXTJOIN("" | "",TRUE,IF(OR(D5780="""",E5780="""",I5780="""",J5780="""",H5780=""""),""ফাঁকা ঘর"",""""),IF(AND(C5780&lt;&gt;"""",D5780&lt;&gt;"""",C5780=D5780),""gloss=figurative"",""""),IF(LEN(D5780)&lt;15,""figurative ছোট"",""""),IF(AND(I5780=""Positive"",REGEXMATCH(H5"&amp;"780,""মূর্খ|ভণ্ড|প্রতার|অলস|লোভ|স্বার্থ|অক্ষম|অযোগ্য|বোকা|কৃপণ|হিংস"")),""valence-target অমিল"",""""),IF(COUNTIF($B:$B,B5780)&gt;1,""ডুপ্লিকেট"",""""))"),"")</f>
        <v/>
      </c>
      <c r="Q5780" s="5" t="str">
        <f t="shared" si="1"/>
        <v>২ পরে</v>
      </c>
    </row>
    <row r="5781">
      <c r="A5781" s="4">
        <v>3658.0</v>
      </c>
      <c r="B5781" s="2" t="s">
        <v>23659</v>
      </c>
      <c r="C5781" s="2" t="s">
        <v>23660</v>
      </c>
      <c r="D5781" s="2" t="s">
        <v>23661</v>
      </c>
      <c r="E5781" s="2" t="s">
        <v>23662</v>
      </c>
      <c r="F5781" s="2" t="b">
        <v>1</v>
      </c>
      <c r="G5781" s="2" t="b">
        <v>0</v>
      </c>
      <c r="H5781" s="2" t="s">
        <v>23663</v>
      </c>
      <c r="I5781" s="2" t="s">
        <v>32</v>
      </c>
      <c r="J5781" s="2" t="s">
        <v>3783</v>
      </c>
      <c r="K5781" s="2" t="s">
        <v>495</v>
      </c>
      <c r="L5781" s="13" t="s">
        <v>496</v>
      </c>
      <c r="M5781" s="2" t="s">
        <v>26</v>
      </c>
      <c r="N5781" s="29"/>
      <c r="O5781" s="29"/>
      <c r="P5781" s="5" t="str">
        <f>IFERROR(__xludf.DUMMYFUNCTION("TEXTJOIN("" | "",TRUE,IF(OR(D5781="""",E5781="""",I5781="""",J5781="""",H5781=""""),""ফাঁকা ঘর"",""""),IF(AND(C5781&lt;&gt;"""",D5781&lt;&gt;"""",C5781=D5781),""gloss=figurative"",""""),IF(LEN(D5781)&lt;15,""figurative ছোট"",""""),IF(AND(I5781=""Positive"",REGEXMATCH(H5"&amp;"781,""মূর্খ|ভণ্ড|প্রতার|অলস|লোভ|স্বার্থ|অক্ষম|অযোগ্য|বোকা|কৃপণ|হিংস"")),""valence-target অমিল"",""""),IF(COUNTIF($B:$B,B5781)&gt;1,""ডুপ্লিকেট"",""""))"),"")</f>
        <v/>
      </c>
      <c r="Q5781" s="5" t="str">
        <f t="shared" si="1"/>
        <v>২ পরে</v>
      </c>
    </row>
    <row r="5782">
      <c r="A5782" s="4">
        <v>3659.0</v>
      </c>
      <c r="B5782" s="2" t="s">
        <v>23664</v>
      </c>
      <c r="C5782" s="2" t="s">
        <v>23665</v>
      </c>
      <c r="D5782" s="2" t="s">
        <v>23666</v>
      </c>
      <c r="E5782" s="2" t="s">
        <v>23667</v>
      </c>
      <c r="F5782" s="2" t="b">
        <v>1</v>
      </c>
      <c r="G5782" s="2" t="b">
        <v>0</v>
      </c>
      <c r="H5782" s="2" t="s">
        <v>756</v>
      </c>
      <c r="I5782" s="2" t="s">
        <v>22</v>
      </c>
      <c r="J5782" s="2" t="s">
        <v>1630</v>
      </c>
      <c r="K5782" s="2" t="s">
        <v>495</v>
      </c>
      <c r="L5782" s="13" t="s">
        <v>496</v>
      </c>
      <c r="M5782" s="2" t="s">
        <v>26</v>
      </c>
      <c r="N5782" s="29"/>
      <c r="O5782" s="29"/>
      <c r="P5782" s="5" t="str">
        <f>IFERROR(__xludf.DUMMYFUNCTION("TEXTJOIN("" | "",TRUE,IF(OR(D5782="""",E5782="""",I5782="""",J5782="""",H5782=""""),""ফাঁকা ঘর"",""""),IF(AND(C5782&lt;&gt;"""",D5782&lt;&gt;"""",C5782=D5782),""gloss=figurative"",""""),IF(LEN(D5782)&lt;15,""figurative ছোট"",""""),IF(AND(I5782=""Positive"",REGEXMATCH(H5"&amp;"782,""মূর্খ|ভণ্ড|প্রতার|অলস|লোভ|স্বার্থ|অক্ষম|অযোগ্য|বোকা|কৃপণ|হিংস"")),""valence-target অমিল"",""""),IF(COUNTIF($B:$B,B5782)&gt;1,""ডুপ্লিকেট"",""""))"),"")</f>
        <v/>
      </c>
      <c r="Q5782" s="5" t="str">
        <f t="shared" si="1"/>
        <v>২ পরে</v>
      </c>
    </row>
    <row r="5783">
      <c r="A5783" s="4">
        <v>3660.0</v>
      </c>
      <c r="B5783" s="2" t="s">
        <v>23668</v>
      </c>
      <c r="C5783" s="2" t="s">
        <v>23668</v>
      </c>
      <c r="D5783" s="2" t="s">
        <v>23669</v>
      </c>
      <c r="E5783" s="2" t="s">
        <v>23670</v>
      </c>
      <c r="F5783" s="2" t="b">
        <v>1</v>
      </c>
      <c r="G5783" s="2" t="b">
        <v>0</v>
      </c>
      <c r="H5783" s="2" t="s">
        <v>23671</v>
      </c>
      <c r="I5783" s="2" t="s">
        <v>32</v>
      </c>
      <c r="J5783" s="2" t="s">
        <v>1895</v>
      </c>
      <c r="K5783" s="2" t="s">
        <v>495</v>
      </c>
      <c r="L5783" s="13" t="s">
        <v>496</v>
      </c>
      <c r="M5783" s="2" t="s">
        <v>26</v>
      </c>
      <c r="N5783" s="29"/>
      <c r="O5783" s="29"/>
      <c r="P5783" s="5" t="str">
        <f>IFERROR(__xludf.DUMMYFUNCTION("TEXTJOIN("" | "",TRUE,IF(OR(D5783="""",E5783="""",I5783="""",J5783="""",H5783=""""),""ফাঁকা ঘর"",""""),IF(AND(C5783&lt;&gt;"""",D5783&lt;&gt;"""",C5783=D5783),""gloss=figurative"",""""),IF(LEN(D5783)&lt;15,""figurative ছোট"",""""),IF(AND(I5783=""Positive"",REGEXMATCH(H5"&amp;"783,""মূর্খ|ভণ্ড|প্রতার|অলস|লোভ|স্বার্থ|অক্ষম|অযোগ্য|বোকা|কৃপণ|হিংস"")),""valence-target অমিল"",""""),IF(COUNTIF($B:$B,B5783)&gt;1,""ডুপ্লিকেট"",""""))"),"")</f>
        <v/>
      </c>
      <c r="Q5783" s="5" t="str">
        <f t="shared" si="1"/>
        <v>২ পরে</v>
      </c>
    </row>
    <row r="5784">
      <c r="A5784" s="4">
        <v>3661.0</v>
      </c>
      <c r="B5784" s="2" t="s">
        <v>23672</v>
      </c>
      <c r="C5784" s="2" t="s">
        <v>23672</v>
      </c>
      <c r="D5784" s="2" t="s">
        <v>23673</v>
      </c>
      <c r="E5784" s="2" t="s">
        <v>23674</v>
      </c>
      <c r="F5784" s="2" t="b">
        <v>1</v>
      </c>
      <c r="G5784" s="2" t="b">
        <v>0</v>
      </c>
      <c r="H5784" s="2" t="s">
        <v>23675</v>
      </c>
      <c r="I5784" s="2" t="s">
        <v>22</v>
      </c>
      <c r="J5784" s="2" t="s">
        <v>669</v>
      </c>
      <c r="K5784" s="2" t="s">
        <v>495</v>
      </c>
      <c r="L5784" s="13" t="s">
        <v>496</v>
      </c>
      <c r="M5784" s="2" t="s">
        <v>26</v>
      </c>
      <c r="N5784" s="29"/>
      <c r="O5784" s="29"/>
      <c r="P5784" s="5" t="str">
        <f>IFERROR(__xludf.DUMMYFUNCTION("TEXTJOIN("" | "",TRUE,IF(OR(D5784="""",E5784="""",I5784="""",J5784="""",H5784=""""),""ফাঁকা ঘর"",""""),IF(AND(C5784&lt;&gt;"""",D5784&lt;&gt;"""",C5784=D5784),""gloss=figurative"",""""),IF(LEN(D5784)&lt;15,""figurative ছোট"",""""),IF(AND(I5784=""Positive"",REGEXMATCH(H5"&amp;"784,""মূর্খ|ভণ্ড|প্রতার|অলস|লোভ|স্বার্থ|অক্ষম|অযোগ্য|বোকা|কৃপণ|হিংস"")),""valence-target অমিল"",""""),IF(COUNTIF($B:$B,B5784)&gt;1,""ডুপ্লিকেট"",""""))"),"")</f>
        <v/>
      </c>
      <c r="Q5784" s="5" t="str">
        <f t="shared" si="1"/>
        <v>২ পরে</v>
      </c>
    </row>
    <row r="5785">
      <c r="A5785" s="4">
        <v>3662.0</v>
      </c>
      <c r="B5785" s="2" t="s">
        <v>23676</v>
      </c>
      <c r="C5785" s="2" t="s">
        <v>23677</v>
      </c>
      <c r="D5785" s="2" t="s">
        <v>23678</v>
      </c>
      <c r="E5785" s="2" t="s">
        <v>23679</v>
      </c>
      <c r="F5785" s="2" t="b">
        <v>1</v>
      </c>
      <c r="G5785" s="2" t="b">
        <v>0</v>
      </c>
      <c r="H5785" s="2" t="s">
        <v>37</v>
      </c>
      <c r="I5785" s="2" t="s">
        <v>22</v>
      </c>
      <c r="J5785" s="2" t="s">
        <v>3245</v>
      </c>
      <c r="K5785" s="2" t="s">
        <v>495</v>
      </c>
      <c r="L5785" s="13" t="s">
        <v>496</v>
      </c>
      <c r="M5785" s="2" t="s">
        <v>26</v>
      </c>
      <c r="N5785" s="29"/>
      <c r="O5785" s="29"/>
      <c r="P5785" s="5" t="str">
        <f>IFERROR(__xludf.DUMMYFUNCTION("TEXTJOIN("" | "",TRUE,IF(OR(D5785="""",E5785="""",I5785="""",J5785="""",H5785=""""),""ফাঁকা ঘর"",""""),IF(AND(C5785&lt;&gt;"""",D5785&lt;&gt;"""",C5785=D5785),""gloss=figurative"",""""),IF(LEN(D5785)&lt;15,""figurative ছোট"",""""),IF(AND(I5785=""Positive"",REGEXMATCH(H5"&amp;"785,""মূর্খ|ভণ্ড|প্রতার|অলস|লোভ|স্বার্থ|অক্ষম|অযোগ্য|বোকা|কৃপণ|হিংস"")),""valence-target অমিল"",""""),IF(COUNTIF($B:$B,B5785)&gt;1,""ডুপ্লিকেট"",""""))"),"")</f>
        <v/>
      </c>
      <c r="Q5785" s="5" t="str">
        <f t="shared" si="1"/>
        <v>২ পরে</v>
      </c>
    </row>
    <row r="5786">
      <c r="A5786" s="4">
        <v>3663.0</v>
      </c>
      <c r="B5786" s="2" t="s">
        <v>23680</v>
      </c>
      <c r="C5786" s="2" t="s">
        <v>23681</v>
      </c>
      <c r="D5786" s="2" t="s">
        <v>23682</v>
      </c>
      <c r="E5786" s="2" t="s">
        <v>23683</v>
      </c>
      <c r="F5786" s="2" t="b">
        <v>1</v>
      </c>
      <c r="G5786" s="2" t="b">
        <v>0</v>
      </c>
      <c r="H5786" s="2" t="s">
        <v>37</v>
      </c>
      <c r="I5786" s="2" t="s">
        <v>22</v>
      </c>
      <c r="J5786" s="2" t="s">
        <v>3501</v>
      </c>
      <c r="K5786" s="2" t="s">
        <v>495</v>
      </c>
      <c r="L5786" s="13" t="s">
        <v>496</v>
      </c>
      <c r="M5786" s="2" t="s">
        <v>26</v>
      </c>
      <c r="N5786" s="29"/>
      <c r="O5786" s="29"/>
      <c r="P5786" s="5" t="str">
        <f>IFERROR(__xludf.DUMMYFUNCTION("TEXTJOIN("" | "",TRUE,IF(OR(D5786="""",E5786="""",I5786="""",J5786="""",H5786=""""),""ফাঁকা ঘর"",""""),IF(AND(C5786&lt;&gt;"""",D5786&lt;&gt;"""",C5786=D5786),""gloss=figurative"",""""),IF(LEN(D5786)&lt;15,""figurative ছোট"",""""),IF(AND(I5786=""Positive"",REGEXMATCH(H5"&amp;"786,""মূর্খ|ভণ্ড|প্রতার|অলস|লোভ|স্বার্থ|অক্ষম|অযোগ্য|বোকা|কৃপণ|হিংস"")),""valence-target অমিল"",""""),IF(COUNTIF($B:$B,B5786)&gt;1,""ডুপ্লিকেট"",""""))"),"")</f>
        <v/>
      </c>
      <c r="Q5786" s="5" t="str">
        <f t="shared" si="1"/>
        <v>২ পরে</v>
      </c>
    </row>
    <row r="5787">
      <c r="A5787" s="4">
        <v>3664.0</v>
      </c>
      <c r="B5787" s="2" t="s">
        <v>23684</v>
      </c>
      <c r="C5787" s="2" t="s">
        <v>23685</v>
      </c>
      <c r="D5787" s="2" t="s">
        <v>23686</v>
      </c>
      <c r="E5787" s="2" t="s">
        <v>23687</v>
      </c>
      <c r="F5787" s="2" t="b">
        <v>1</v>
      </c>
      <c r="G5787" s="2" t="b">
        <v>0</v>
      </c>
      <c r="H5787" s="2" t="s">
        <v>5571</v>
      </c>
      <c r="I5787" s="2" t="s">
        <v>22</v>
      </c>
      <c r="J5787" s="2" t="s">
        <v>2602</v>
      </c>
      <c r="K5787" s="2" t="s">
        <v>495</v>
      </c>
      <c r="L5787" s="13" t="s">
        <v>496</v>
      </c>
      <c r="M5787" s="2" t="s">
        <v>26</v>
      </c>
      <c r="N5787" s="29"/>
      <c r="O5787" s="29"/>
      <c r="P5787" s="5" t="str">
        <f>IFERROR(__xludf.DUMMYFUNCTION("TEXTJOIN("" | "",TRUE,IF(OR(D5787="""",E5787="""",I5787="""",J5787="""",H5787=""""),""ফাঁকা ঘর"",""""),IF(AND(C5787&lt;&gt;"""",D5787&lt;&gt;"""",C5787=D5787),""gloss=figurative"",""""),IF(LEN(D5787)&lt;15,""figurative ছোট"",""""),IF(AND(I5787=""Positive"",REGEXMATCH(H5"&amp;"787,""মূর্খ|ভণ্ড|প্রতার|অলস|লোভ|স্বার্থ|অক্ষম|অযোগ্য|বোকা|কৃপণ|হিংস"")),""valence-target অমিল"",""""),IF(COUNTIF($B:$B,B5787)&gt;1,""ডুপ্লিকেট"",""""))"),"")</f>
        <v/>
      </c>
      <c r="Q5787" s="5" t="str">
        <f t="shared" si="1"/>
        <v>২ পরে</v>
      </c>
    </row>
    <row r="5788">
      <c r="A5788" s="4">
        <v>3665.0</v>
      </c>
      <c r="B5788" s="2" t="s">
        <v>23688</v>
      </c>
      <c r="C5788" s="2" t="s">
        <v>23689</v>
      </c>
      <c r="D5788" s="2" t="s">
        <v>23690</v>
      </c>
      <c r="E5788" s="2" t="s">
        <v>23691</v>
      </c>
      <c r="F5788" s="2" t="b">
        <v>1</v>
      </c>
      <c r="G5788" s="2" t="b">
        <v>0</v>
      </c>
      <c r="H5788" s="2" t="s">
        <v>23692</v>
      </c>
      <c r="I5788" s="2" t="s">
        <v>32</v>
      </c>
      <c r="J5788" s="2" t="s">
        <v>669</v>
      </c>
      <c r="K5788" s="2" t="s">
        <v>495</v>
      </c>
      <c r="L5788" s="13" t="s">
        <v>496</v>
      </c>
      <c r="M5788" s="2" t="s">
        <v>26</v>
      </c>
      <c r="N5788" s="29"/>
      <c r="O5788" s="29"/>
      <c r="P5788" s="5" t="str">
        <f>IFERROR(__xludf.DUMMYFUNCTION("TEXTJOIN("" | "",TRUE,IF(OR(D5788="""",E5788="""",I5788="""",J5788="""",H5788=""""),""ফাঁকা ঘর"",""""),IF(AND(C5788&lt;&gt;"""",D5788&lt;&gt;"""",C5788=D5788),""gloss=figurative"",""""),IF(LEN(D5788)&lt;15,""figurative ছোট"",""""),IF(AND(I5788=""Positive"",REGEXMATCH(H5"&amp;"788,""মূর্খ|ভণ্ড|প্রতার|অলস|লোভ|স্বার্থ|অক্ষম|অযোগ্য|বোকা|কৃপণ|হিংস"")),""valence-target অমিল"",""""),IF(COUNTIF($B:$B,B5788)&gt;1,""ডুপ্লিকেট"",""""))"),"")</f>
        <v/>
      </c>
      <c r="Q5788" s="5" t="str">
        <f t="shared" si="1"/>
        <v>২ পরে</v>
      </c>
    </row>
    <row r="5789">
      <c r="A5789" s="4">
        <v>3666.0</v>
      </c>
      <c r="B5789" s="2" t="s">
        <v>23693</v>
      </c>
      <c r="C5789" s="2" t="s">
        <v>23694</v>
      </c>
      <c r="D5789" s="2" t="s">
        <v>23695</v>
      </c>
      <c r="E5789" s="2" t="s">
        <v>23696</v>
      </c>
      <c r="F5789" s="2" t="b">
        <v>1</v>
      </c>
      <c r="G5789" s="2" t="b">
        <v>0</v>
      </c>
      <c r="H5789" s="2" t="s">
        <v>23697</v>
      </c>
      <c r="I5789" s="2" t="s">
        <v>22</v>
      </c>
      <c r="J5789" s="2" t="s">
        <v>2255</v>
      </c>
      <c r="K5789" s="2" t="s">
        <v>495</v>
      </c>
      <c r="L5789" s="13" t="s">
        <v>496</v>
      </c>
      <c r="M5789" s="2" t="s">
        <v>26</v>
      </c>
      <c r="N5789" s="29"/>
      <c r="O5789" s="29"/>
      <c r="P5789" s="5" t="str">
        <f>IFERROR(__xludf.DUMMYFUNCTION("TEXTJOIN("" | "",TRUE,IF(OR(D5789="""",E5789="""",I5789="""",J5789="""",H5789=""""),""ফাঁকা ঘর"",""""),IF(AND(C5789&lt;&gt;"""",D5789&lt;&gt;"""",C5789=D5789),""gloss=figurative"",""""),IF(LEN(D5789)&lt;15,""figurative ছোট"",""""),IF(AND(I5789=""Positive"",REGEXMATCH(H5"&amp;"789,""মূর্খ|ভণ্ড|প্রতার|অলস|লোভ|স্বার্থ|অক্ষম|অযোগ্য|বোকা|কৃপণ|হিংস"")),""valence-target অমিল"",""""),IF(COUNTIF($B:$B,B5789)&gt;1,""ডুপ্লিকেট"",""""))"),"")</f>
        <v/>
      </c>
      <c r="Q5789" s="5" t="str">
        <f t="shared" si="1"/>
        <v>২ পরে</v>
      </c>
    </row>
    <row r="5790">
      <c r="A5790" s="4">
        <v>3667.0</v>
      </c>
      <c r="B5790" s="2" t="s">
        <v>23698</v>
      </c>
      <c r="C5790" s="2" t="s">
        <v>23699</v>
      </c>
      <c r="D5790" s="2" t="s">
        <v>23700</v>
      </c>
      <c r="E5790" s="2" t="s">
        <v>23701</v>
      </c>
      <c r="F5790" s="2" t="b">
        <v>1</v>
      </c>
      <c r="G5790" s="2" t="b">
        <v>0</v>
      </c>
      <c r="H5790" s="2" t="s">
        <v>37</v>
      </c>
      <c r="I5790" s="2" t="s">
        <v>32</v>
      </c>
      <c r="J5790" s="2" t="s">
        <v>565</v>
      </c>
      <c r="K5790" s="2" t="s">
        <v>495</v>
      </c>
      <c r="L5790" s="13" t="s">
        <v>496</v>
      </c>
      <c r="M5790" s="2" t="s">
        <v>26</v>
      </c>
      <c r="N5790" s="29"/>
      <c r="O5790" s="29"/>
      <c r="P5790" s="5" t="str">
        <f>IFERROR(__xludf.DUMMYFUNCTION("TEXTJOIN("" | "",TRUE,IF(OR(D5790="""",E5790="""",I5790="""",J5790="""",H5790=""""),""ফাঁকা ঘর"",""""),IF(AND(C5790&lt;&gt;"""",D5790&lt;&gt;"""",C5790=D5790),""gloss=figurative"",""""),IF(LEN(D5790)&lt;15,""figurative ছোট"",""""),IF(AND(I5790=""Positive"",REGEXMATCH(H5"&amp;"790,""মূর্খ|ভণ্ড|প্রতার|অলস|লোভ|স্বার্থ|অক্ষম|অযোগ্য|বোকা|কৃপণ|হিংস"")),""valence-target অমিল"",""""),IF(COUNTIF($B:$B,B5790)&gt;1,""ডুপ্লিকেট"",""""))"),"")</f>
        <v/>
      </c>
      <c r="Q5790" s="5" t="str">
        <f t="shared" si="1"/>
        <v>২ পরে</v>
      </c>
    </row>
    <row r="5791">
      <c r="A5791" s="4">
        <v>3668.0</v>
      </c>
      <c r="B5791" s="2" t="s">
        <v>23702</v>
      </c>
      <c r="C5791" s="2" t="s">
        <v>23703</v>
      </c>
      <c r="D5791" s="2" t="s">
        <v>23704</v>
      </c>
      <c r="E5791" s="2" t="s">
        <v>23705</v>
      </c>
      <c r="F5791" s="2" t="b">
        <v>1</v>
      </c>
      <c r="G5791" s="2" t="b">
        <v>0</v>
      </c>
      <c r="H5791" s="2" t="s">
        <v>23706</v>
      </c>
      <c r="I5791" s="2" t="s">
        <v>22</v>
      </c>
      <c r="J5791" s="2" t="s">
        <v>23707</v>
      </c>
      <c r="K5791" s="2" t="s">
        <v>495</v>
      </c>
      <c r="L5791" s="13" t="s">
        <v>496</v>
      </c>
      <c r="M5791" s="2" t="s">
        <v>26</v>
      </c>
      <c r="N5791" s="29"/>
      <c r="O5791" s="29"/>
      <c r="P5791" s="5" t="str">
        <f>IFERROR(__xludf.DUMMYFUNCTION("TEXTJOIN("" | "",TRUE,IF(OR(D5791="""",E5791="""",I5791="""",J5791="""",H5791=""""),""ফাঁকা ঘর"",""""),IF(AND(C5791&lt;&gt;"""",D5791&lt;&gt;"""",C5791=D5791),""gloss=figurative"",""""),IF(LEN(D5791)&lt;15,""figurative ছোট"",""""),IF(AND(I5791=""Positive"",REGEXMATCH(H5"&amp;"791,""মূর্খ|ভণ্ড|প্রতার|অলস|লোভ|স্বার্থ|অক্ষম|অযোগ্য|বোকা|কৃপণ|হিংস"")),""valence-target অমিল"",""""),IF(COUNTIF($B:$B,B5791)&gt;1,""ডুপ্লিকেট"",""""))"),"")</f>
        <v/>
      </c>
      <c r="Q5791" s="5" t="str">
        <f t="shared" si="1"/>
        <v>২ পরে</v>
      </c>
    </row>
    <row r="5792">
      <c r="A5792" s="4">
        <v>3669.0</v>
      </c>
      <c r="B5792" s="2" t="s">
        <v>23708</v>
      </c>
      <c r="C5792" s="2" t="s">
        <v>23709</v>
      </c>
      <c r="D5792" s="2" t="s">
        <v>23710</v>
      </c>
      <c r="E5792" s="2" t="s">
        <v>23711</v>
      </c>
      <c r="F5792" s="2" t="b">
        <v>1</v>
      </c>
      <c r="G5792" s="2" t="b">
        <v>0</v>
      </c>
      <c r="H5792" s="2" t="s">
        <v>1334</v>
      </c>
      <c r="I5792" s="2" t="s">
        <v>22</v>
      </c>
      <c r="J5792" s="2" t="s">
        <v>820</v>
      </c>
      <c r="K5792" s="2" t="s">
        <v>495</v>
      </c>
      <c r="L5792" s="13" t="s">
        <v>496</v>
      </c>
      <c r="M5792" s="2" t="s">
        <v>26</v>
      </c>
      <c r="N5792" s="29"/>
      <c r="O5792" s="29"/>
      <c r="P5792" s="5" t="str">
        <f>IFERROR(__xludf.DUMMYFUNCTION("TEXTJOIN("" | "",TRUE,IF(OR(D5792="""",E5792="""",I5792="""",J5792="""",H5792=""""),""ফাঁকা ঘর"",""""),IF(AND(C5792&lt;&gt;"""",D5792&lt;&gt;"""",C5792=D5792),""gloss=figurative"",""""),IF(LEN(D5792)&lt;15,""figurative ছোট"",""""),IF(AND(I5792=""Positive"",REGEXMATCH(H5"&amp;"792,""মূর্খ|ভণ্ড|প্রতার|অলস|লোভ|স্বার্থ|অক্ষম|অযোগ্য|বোকা|কৃপণ|হিংস"")),""valence-target অমিল"",""""),IF(COUNTIF($B:$B,B5792)&gt;1,""ডুপ্লিকেট"",""""))"),"")</f>
        <v/>
      </c>
      <c r="Q5792" s="5" t="str">
        <f t="shared" si="1"/>
        <v>২ পরে</v>
      </c>
    </row>
    <row r="5793">
      <c r="A5793" s="4">
        <v>3670.0</v>
      </c>
      <c r="B5793" s="2" t="s">
        <v>23712</v>
      </c>
      <c r="C5793" s="2" t="s">
        <v>23713</v>
      </c>
      <c r="D5793" s="2" t="s">
        <v>23714</v>
      </c>
      <c r="E5793" s="2" t="s">
        <v>23715</v>
      </c>
      <c r="F5793" s="2" t="b">
        <v>1</v>
      </c>
      <c r="G5793" s="2" t="b">
        <v>0</v>
      </c>
      <c r="H5793" s="2" t="s">
        <v>23716</v>
      </c>
      <c r="I5793" s="2" t="s">
        <v>22</v>
      </c>
      <c r="J5793" s="2" t="s">
        <v>43</v>
      </c>
      <c r="K5793" s="2" t="s">
        <v>495</v>
      </c>
      <c r="L5793" s="13" t="s">
        <v>496</v>
      </c>
      <c r="M5793" s="2" t="s">
        <v>26</v>
      </c>
      <c r="N5793" s="29"/>
      <c r="O5793" s="29"/>
      <c r="P5793" s="5" t="str">
        <f>IFERROR(__xludf.DUMMYFUNCTION("TEXTJOIN("" | "",TRUE,IF(OR(D5793="""",E5793="""",I5793="""",J5793="""",H5793=""""),""ফাঁকা ঘর"",""""),IF(AND(C5793&lt;&gt;"""",D5793&lt;&gt;"""",C5793=D5793),""gloss=figurative"",""""),IF(LEN(D5793)&lt;15,""figurative ছোট"",""""),IF(AND(I5793=""Positive"",REGEXMATCH(H5"&amp;"793,""মূর্খ|ভণ্ড|প্রতার|অলস|লোভ|স্বার্থ|অক্ষম|অযোগ্য|বোকা|কৃপণ|হিংস"")),""valence-target অমিল"",""""),IF(COUNTIF($B:$B,B5793)&gt;1,""ডুপ্লিকেট"",""""))"),"")</f>
        <v/>
      </c>
      <c r="Q5793" s="5" t="str">
        <f t="shared" si="1"/>
        <v>২ পরে</v>
      </c>
    </row>
    <row r="5794">
      <c r="A5794" s="4">
        <v>3672.0</v>
      </c>
      <c r="B5794" s="2" t="s">
        <v>23717</v>
      </c>
      <c r="C5794" s="2" t="s">
        <v>23718</v>
      </c>
      <c r="D5794" s="2" t="s">
        <v>23719</v>
      </c>
      <c r="E5794" s="2" t="s">
        <v>23720</v>
      </c>
      <c r="F5794" s="2" t="b">
        <v>1</v>
      </c>
      <c r="G5794" s="2" t="b">
        <v>0</v>
      </c>
      <c r="H5794" s="2" t="s">
        <v>2957</v>
      </c>
      <c r="I5794" s="2" t="s">
        <v>22</v>
      </c>
      <c r="J5794" s="2" t="s">
        <v>820</v>
      </c>
      <c r="K5794" s="2" t="s">
        <v>495</v>
      </c>
      <c r="L5794" s="13" t="s">
        <v>496</v>
      </c>
      <c r="M5794" s="2" t="s">
        <v>26</v>
      </c>
      <c r="N5794" s="29"/>
      <c r="O5794" s="29"/>
      <c r="P5794" s="5" t="str">
        <f>IFERROR(__xludf.DUMMYFUNCTION("TEXTJOIN("" | "",TRUE,IF(OR(D5794="""",E5794="""",I5794="""",J5794="""",H5794=""""),""ফাঁকা ঘর"",""""),IF(AND(C5794&lt;&gt;"""",D5794&lt;&gt;"""",C5794=D5794),""gloss=figurative"",""""),IF(LEN(D5794)&lt;15,""figurative ছোট"",""""),IF(AND(I5794=""Positive"",REGEXMATCH(H5"&amp;"794,""মূর্খ|ভণ্ড|প্রতার|অলস|লোভ|স্বার্থ|অক্ষম|অযোগ্য|বোকা|কৃপণ|হিংস"")),""valence-target অমিল"",""""),IF(COUNTIF($B:$B,B5794)&gt;1,""ডুপ্লিকেট"",""""))"),"")</f>
        <v/>
      </c>
      <c r="Q5794" s="5" t="str">
        <f t="shared" si="1"/>
        <v>২ পরে</v>
      </c>
    </row>
    <row r="5795">
      <c r="A5795" s="4">
        <v>3673.0</v>
      </c>
      <c r="B5795" s="2" t="s">
        <v>23721</v>
      </c>
      <c r="C5795" s="2" t="s">
        <v>23722</v>
      </c>
      <c r="D5795" s="2" t="s">
        <v>23723</v>
      </c>
      <c r="E5795" s="2" t="s">
        <v>23724</v>
      </c>
      <c r="F5795" s="2" t="b">
        <v>1</v>
      </c>
      <c r="G5795" s="2" t="b">
        <v>1</v>
      </c>
      <c r="H5795" s="2" t="s">
        <v>23725</v>
      </c>
      <c r="I5795" s="2" t="s">
        <v>22</v>
      </c>
      <c r="J5795" s="2" t="s">
        <v>3327</v>
      </c>
      <c r="K5795" s="2" t="s">
        <v>495</v>
      </c>
      <c r="L5795" s="13" t="s">
        <v>496</v>
      </c>
      <c r="M5795" s="2" t="s">
        <v>26</v>
      </c>
      <c r="N5795" s="29"/>
      <c r="O5795" s="29"/>
      <c r="P5795" s="5" t="str">
        <f>IFERROR(__xludf.DUMMYFUNCTION("TEXTJOIN("" | "",TRUE,IF(OR(D5795="""",E5795="""",I5795="""",J5795="""",H5795=""""),""ফাঁকা ঘর"",""""),IF(AND(C5795&lt;&gt;"""",D5795&lt;&gt;"""",C5795=D5795),""gloss=figurative"",""""),IF(LEN(D5795)&lt;15,""figurative ছোট"",""""),IF(AND(I5795=""Positive"",REGEXMATCH(H5"&amp;"795,""মূর্খ|ভণ্ড|প্রতার|অলস|লোভ|স্বার্থ|অক্ষম|অযোগ্য|বোকা|কৃপণ|হিংস"")),""valence-target অমিল"",""""),IF(COUNTIF($B:$B,B5795)&gt;1,""ডুপ্লিকেট"",""""))"),"")</f>
        <v/>
      </c>
      <c r="Q5795" s="5" t="str">
        <f t="shared" si="1"/>
        <v>২ পরে</v>
      </c>
    </row>
    <row r="5796">
      <c r="A5796" s="4">
        <v>3674.0</v>
      </c>
      <c r="B5796" s="2" t="s">
        <v>23726</v>
      </c>
      <c r="C5796" s="2" t="s">
        <v>23727</v>
      </c>
      <c r="D5796" s="2" t="s">
        <v>23728</v>
      </c>
      <c r="E5796" s="2" t="s">
        <v>23729</v>
      </c>
      <c r="F5796" s="2" t="b">
        <v>1</v>
      </c>
      <c r="G5796" s="2" t="b">
        <v>0</v>
      </c>
      <c r="H5796" s="2" t="s">
        <v>23730</v>
      </c>
      <c r="I5796" s="2" t="s">
        <v>22</v>
      </c>
      <c r="J5796" s="2" t="s">
        <v>43</v>
      </c>
      <c r="K5796" s="2" t="s">
        <v>495</v>
      </c>
      <c r="L5796" s="13" t="s">
        <v>496</v>
      </c>
      <c r="M5796" s="2" t="s">
        <v>26</v>
      </c>
      <c r="N5796" s="29"/>
      <c r="O5796" s="29"/>
      <c r="P5796" s="5" t="str">
        <f>IFERROR(__xludf.DUMMYFUNCTION("TEXTJOIN("" | "",TRUE,IF(OR(D5796="""",E5796="""",I5796="""",J5796="""",H5796=""""),""ফাঁকা ঘর"",""""),IF(AND(C5796&lt;&gt;"""",D5796&lt;&gt;"""",C5796=D5796),""gloss=figurative"",""""),IF(LEN(D5796)&lt;15,""figurative ছোট"",""""),IF(AND(I5796=""Positive"",REGEXMATCH(H5"&amp;"796,""মূর্খ|ভণ্ড|প্রতার|অলস|লোভ|স্বার্থ|অক্ষম|অযোগ্য|বোকা|কৃপণ|হিংস"")),""valence-target অমিল"",""""),IF(COUNTIF($B:$B,B5796)&gt;1,""ডুপ্লিকেট"",""""))"),"")</f>
        <v/>
      </c>
      <c r="Q5796" s="5" t="str">
        <f t="shared" si="1"/>
        <v>২ পরে</v>
      </c>
    </row>
    <row r="5797">
      <c r="A5797" s="4">
        <v>3675.0</v>
      </c>
      <c r="B5797" s="2" t="s">
        <v>23731</v>
      </c>
      <c r="C5797" s="2" t="s">
        <v>23732</v>
      </c>
      <c r="D5797" s="2" t="s">
        <v>23733</v>
      </c>
      <c r="E5797" s="2" t="s">
        <v>23734</v>
      </c>
      <c r="F5797" s="2" t="b">
        <v>1</v>
      </c>
      <c r="G5797" s="2" t="b">
        <v>0</v>
      </c>
      <c r="H5797" s="2" t="s">
        <v>3161</v>
      </c>
      <c r="I5797" s="2" t="s">
        <v>22</v>
      </c>
      <c r="J5797" s="2" t="s">
        <v>601</v>
      </c>
      <c r="K5797" s="2" t="s">
        <v>495</v>
      </c>
      <c r="L5797" s="13" t="s">
        <v>496</v>
      </c>
      <c r="M5797" s="2" t="s">
        <v>26</v>
      </c>
      <c r="N5797" s="29"/>
      <c r="O5797" s="29"/>
      <c r="P5797" s="5" t="str">
        <f>IFERROR(__xludf.DUMMYFUNCTION("TEXTJOIN("" | "",TRUE,IF(OR(D5797="""",E5797="""",I5797="""",J5797="""",H5797=""""),""ফাঁকা ঘর"",""""),IF(AND(C5797&lt;&gt;"""",D5797&lt;&gt;"""",C5797=D5797),""gloss=figurative"",""""),IF(LEN(D5797)&lt;15,""figurative ছোট"",""""),IF(AND(I5797=""Positive"",REGEXMATCH(H5"&amp;"797,""মূর্খ|ভণ্ড|প্রতার|অলস|লোভ|স্বার্থ|অক্ষম|অযোগ্য|বোকা|কৃপণ|হিংস"")),""valence-target অমিল"",""""),IF(COUNTIF($B:$B,B5797)&gt;1,""ডুপ্লিকেট"",""""))"),"")</f>
        <v/>
      </c>
      <c r="Q5797" s="5" t="str">
        <f t="shared" si="1"/>
        <v>২ পরে</v>
      </c>
    </row>
    <row r="5798">
      <c r="A5798" s="4">
        <v>3676.0</v>
      </c>
      <c r="B5798" s="2" t="s">
        <v>23727</v>
      </c>
      <c r="C5798" s="2" t="s">
        <v>23735</v>
      </c>
      <c r="D5798" s="2" t="s">
        <v>23736</v>
      </c>
      <c r="E5798" s="2" t="s">
        <v>23737</v>
      </c>
      <c r="F5798" s="2" t="b">
        <v>1</v>
      </c>
      <c r="G5798" s="2" t="b">
        <v>0</v>
      </c>
      <c r="H5798" s="2" t="s">
        <v>3161</v>
      </c>
      <c r="I5798" s="2" t="s">
        <v>22</v>
      </c>
      <c r="J5798" s="2" t="s">
        <v>43</v>
      </c>
      <c r="K5798" s="2" t="s">
        <v>495</v>
      </c>
      <c r="L5798" s="13" t="s">
        <v>496</v>
      </c>
      <c r="M5798" s="2" t="s">
        <v>26</v>
      </c>
      <c r="N5798" s="29"/>
      <c r="O5798" s="29"/>
      <c r="P5798" s="5" t="str">
        <f>IFERROR(__xludf.DUMMYFUNCTION("TEXTJOIN("" | "",TRUE,IF(OR(D5798="""",E5798="""",I5798="""",J5798="""",H5798=""""),""ফাঁকা ঘর"",""""),IF(AND(C5798&lt;&gt;"""",D5798&lt;&gt;"""",C5798=D5798),""gloss=figurative"",""""),IF(LEN(D5798)&lt;15,""figurative ছোট"",""""),IF(AND(I5798=""Positive"",REGEXMATCH(H5"&amp;"798,""মূর্খ|ভণ্ড|প্রতার|অলস|লোভ|স্বার্থ|অক্ষম|অযোগ্য|বোকা|কৃপণ|হিংস"")),""valence-target অমিল"",""""),IF(COUNTIF($B:$B,B5798)&gt;1,""ডুপ্লিকেট"",""""))"),"")</f>
        <v/>
      </c>
      <c r="Q5798" s="5" t="str">
        <f t="shared" si="1"/>
        <v>২ পরে</v>
      </c>
    </row>
    <row r="5799">
      <c r="A5799" s="4">
        <v>3677.0</v>
      </c>
      <c r="B5799" s="2" t="s">
        <v>23738</v>
      </c>
      <c r="C5799" s="2" t="s">
        <v>23739</v>
      </c>
      <c r="D5799" s="2" t="s">
        <v>23740</v>
      </c>
      <c r="E5799" s="2" t="s">
        <v>23741</v>
      </c>
      <c r="F5799" s="2" t="b">
        <v>1</v>
      </c>
      <c r="G5799" s="2" t="b">
        <v>0</v>
      </c>
      <c r="H5799" s="2" t="s">
        <v>23742</v>
      </c>
      <c r="I5799" s="2" t="s">
        <v>22</v>
      </c>
      <c r="J5799" s="2" t="s">
        <v>43</v>
      </c>
      <c r="K5799" s="2" t="s">
        <v>495</v>
      </c>
      <c r="L5799" s="13" t="s">
        <v>496</v>
      </c>
      <c r="M5799" s="2" t="s">
        <v>26</v>
      </c>
      <c r="N5799" s="29"/>
      <c r="O5799" s="29"/>
      <c r="P5799" s="5" t="str">
        <f>IFERROR(__xludf.DUMMYFUNCTION("TEXTJOIN("" | "",TRUE,IF(OR(D5799="""",E5799="""",I5799="""",J5799="""",H5799=""""),""ফাঁকা ঘর"",""""),IF(AND(C5799&lt;&gt;"""",D5799&lt;&gt;"""",C5799=D5799),""gloss=figurative"",""""),IF(LEN(D5799)&lt;15,""figurative ছোট"",""""),IF(AND(I5799=""Positive"",REGEXMATCH(H5"&amp;"799,""মূর্খ|ভণ্ড|প্রতার|অলস|লোভ|স্বার্থ|অক্ষম|অযোগ্য|বোকা|কৃপণ|হিংস"")),""valence-target অমিল"",""""),IF(COUNTIF($B:$B,B5799)&gt;1,""ডুপ্লিকেট"",""""))"),"")</f>
        <v/>
      </c>
      <c r="Q5799" s="5" t="str">
        <f t="shared" si="1"/>
        <v>২ পরে</v>
      </c>
    </row>
    <row r="5800">
      <c r="A5800" s="4">
        <v>3678.0</v>
      </c>
      <c r="B5800" s="2" t="s">
        <v>23743</v>
      </c>
      <c r="C5800" s="2" t="s">
        <v>23744</v>
      </c>
      <c r="D5800" s="2" t="s">
        <v>23745</v>
      </c>
      <c r="E5800" s="2" t="s">
        <v>23746</v>
      </c>
      <c r="F5800" s="2" t="b">
        <v>1</v>
      </c>
      <c r="G5800" s="2" t="b">
        <v>0</v>
      </c>
      <c r="H5800" s="2" t="s">
        <v>23747</v>
      </c>
      <c r="I5800" s="2" t="s">
        <v>22</v>
      </c>
      <c r="J5800" s="2" t="s">
        <v>784</v>
      </c>
      <c r="K5800" s="2" t="s">
        <v>495</v>
      </c>
      <c r="L5800" s="13" t="s">
        <v>496</v>
      </c>
      <c r="M5800" s="2" t="s">
        <v>26</v>
      </c>
      <c r="N5800" s="29"/>
      <c r="O5800" s="29"/>
      <c r="P5800" s="5" t="str">
        <f>IFERROR(__xludf.DUMMYFUNCTION("TEXTJOIN("" | "",TRUE,IF(OR(D5800="""",E5800="""",I5800="""",J5800="""",H5800=""""),""ফাঁকা ঘর"",""""),IF(AND(C5800&lt;&gt;"""",D5800&lt;&gt;"""",C5800=D5800),""gloss=figurative"",""""),IF(LEN(D5800)&lt;15,""figurative ছোট"",""""),IF(AND(I5800=""Positive"",REGEXMATCH(H5"&amp;"800,""মূর্খ|ভণ্ড|প্রতার|অলস|লোভ|স্বার্থ|অক্ষম|অযোগ্য|বোকা|কৃপণ|হিংস"")),""valence-target অমিল"",""""),IF(COUNTIF($B:$B,B5800)&gt;1,""ডুপ্লিকেট"",""""))"),"")</f>
        <v/>
      </c>
      <c r="Q5800" s="5" t="str">
        <f t="shared" si="1"/>
        <v>২ পরে</v>
      </c>
    </row>
    <row r="5801">
      <c r="A5801" s="4">
        <v>3679.0</v>
      </c>
      <c r="B5801" s="2" t="s">
        <v>23748</v>
      </c>
      <c r="C5801" s="2" t="s">
        <v>23749</v>
      </c>
      <c r="D5801" s="2" t="s">
        <v>23750</v>
      </c>
      <c r="E5801" s="2" t="s">
        <v>23751</v>
      </c>
      <c r="F5801" s="2" t="b">
        <v>1</v>
      </c>
      <c r="G5801" s="2" t="b">
        <v>0</v>
      </c>
      <c r="H5801" s="2" t="s">
        <v>1284</v>
      </c>
      <c r="I5801" s="2" t="s">
        <v>22</v>
      </c>
      <c r="J5801" s="2" t="s">
        <v>3105</v>
      </c>
      <c r="K5801" s="2" t="s">
        <v>495</v>
      </c>
      <c r="L5801" s="13" t="s">
        <v>496</v>
      </c>
      <c r="M5801" s="2" t="s">
        <v>26</v>
      </c>
      <c r="N5801" s="29"/>
      <c r="O5801" s="29"/>
      <c r="P5801" s="5" t="str">
        <f>IFERROR(__xludf.DUMMYFUNCTION("TEXTJOIN("" | "",TRUE,IF(OR(D5801="""",E5801="""",I5801="""",J5801="""",H5801=""""),""ফাঁকা ঘর"",""""),IF(AND(C5801&lt;&gt;"""",D5801&lt;&gt;"""",C5801=D5801),""gloss=figurative"",""""),IF(LEN(D5801)&lt;15,""figurative ছোট"",""""),IF(AND(I5801=""Positive"",REGEXMATCH(H5"&amp;"801,""মূর্খ|ভণ্ড|প্রতার|অলস|লোভ|স্বার্থ|অক্ষম|অযোগ্য|বোকা|কৃপণ|হিংস"")),""valence-target অমিল"",""""),IF(COUNTIF($B:$B,B5801)&gt;1,""ডুপ্লিকেট"",""""))"),"")</f>
        <v/>
      </c>
      <c r="Q5801" s="5" t="str">
        <f t="shared" si="1"/>
        <v>২ পরে</v>
      </c>
    </row>
    <row r="5802">
      <c r="A5802" s="4">
        <v>3680.0</v>
      </c>
      <c r="B5802" s="2" t="s">
        <v>23752</v>
      </c>
      <c r="C5802" s="2" t="s">
        <v>23753</v>
      </c>
      <c r="D5802" s="2" t="s">
        <v>23754</v>
      </c>
      <c r="E5802" s="2" t="s">
        <v>23755</v>
      </c>
      <c r="F5802" s="2" t="b">
        <v>1</v>
      </c>
      <c r="G5802" s="2" t="b">
        <v>0</v>
      </c>
      <c r="H5802" s="2" t="s">
        <v>23634</v>
      </c>
      <c r="I5802" s="2" t="s">
        <v>22</v>
      </c>
      <c r="J5802" s="2" t="s">
        <v>1117</v>
      </c>
      <c r="K5802" s="2" t="s">
        <v>495</v>
      </c>
      <c r="L5802" s="13" t="s">
        <v>496</v>
      </c>
      <c r="M5802" s="2" t="s">
        <v>26</v>
      </c>
      <c r="N5802" s="29"/>
      <c r="O5802" s="29"/>
      <c r="P5802" s="5" t="str">
        <f>IFERROR(__xludf.DUMMYFUNCTION("TEXTJOIN("" | "",TRUE,IF(OR(D5802="""",E5802="""",I5802="""",J5802="""",H5802=""""),""ফাঁকা ঘর"",""""),IF(AND(C5802&lt;&gt;"""",D5802&lt;&gt;"""",C5802=D5802),""gloss=figurative"",""""),IF(LEN(D5802)&lt;15,""figurative ছোট"",""""),IF(AND(I5802=""Positive"",REGEXMATCH(H5"&amp;"802,""মূর্খ|ভণ্ড|প্রতার|অলস|লোভ|স্বার্থ|অক্ষম|অযোগ্য|বোকা|কৃপণ|হিংস"")),""valence-target অমিল"",""""),IF(COUNTIF($B:$B,B5802)&gt;1,""ডুপ্লিকেট"",""""))"),"")</f>
        <v/>
      </c>
      <c r="Q5802" s="5" t="str">
        <f t="shared" si="1"/>
        <v>২ পরে</v>
      </c>
    </row>
    <row r="5803">
      <c r="A5803" s="4">
        <v>3681.0</v>
      </c>
      <c r="B5803" s="2" t="s">
        <v>23756</v>
      </c>
      <c r="C5803" s="2" t="s">
        <v>23756</v>
      </c>
      <c r="D5803" s="2" t="s">
        <v>23757</v>
      </c>
      <c r="E5803" s="2" t="s">
        <v>23758</v>
      </c>
      <c r="F5803" s="2" t="b">
        <v>1</v>
      </c>
      <c r="G5803" s="2" t="b">
        <v>0</v>
      </c>
      <c r="H5803" s="2" t="s">
        <v>23759</v>
      </c>
      <c r="I5803" s="2" t="s">
        <v>32</v>
      </c>
      <c r="J5803" s="2" t="s">
        <v>669</v>
      </c>
      <c r="K5803" s="2" t="s">
        <v>495</v>
      </c>
      <c r="L5803" s="13" t="s">
        <v>496</v>
      </c>
      <c r="M5803" s="2" t="s">
        <v>26</v>
      </c>
      <c r="N5803" s="29"/>
      <c r="O5803" s="29"/>
      <c r="P5803" s="5" t="str">
        <f>IFERROR(__xludf.DUMMYFUNCTION("TEXTJOIN("" | "",TRUE,IF(OR(D5803="""",E5803="""",I5803="""",J5803="""",H5803=""""),""ফাঁকা ঘর"",""""),IF(AND(C5803&lt;&gt;"""",D5803&lt;&gt;"""",C5803=D5803),""gloss=figurative"",""""),IF(LEN(D5803)&lt;15,""figurative ছোট"",""""),IF(AND(I5803=""Positive"",REGEXMATCH(H5"&amp;"803,""মূর্খ|ভণ্ড|প্রতার|অলস|লোভ|স্বার্থ|অক্ষম|অযোগ্য|বোকা|কৃপণ|হিংস"")),""valence-target অমিল"",""""),IF(COUNTIF($B:$B,B5803)&gt;1,""ডুপ্লিকেট"",""""))"),"")</f>
        <v/>
      </c>
      <c r="Q5803" s="5" t="str">
        <f t="shared" si="1"/>
        <v>২ পরে</v>
      </c>
    </row>
    <row r="5804">
      <c r="A5804" s="4">
        <v>3682.0</v>
      </c>
      <c r="B5804" s="2" t="s">
        <v>23760</v>
      </c>
      <c r="C5804" s="2" t="s">
        <v>23760</v>
      </c>
      <c r="D5804" s="2" t="s">
        <v>23761</v>
      </c>
      <c r="E5804" s="2" t="s">
        <v>23762</v>
      </c>
      <c r="F5804" s="2" t="b">
        <v>1</v>
      </c>
      <c r="G5804" s="2" t="b">
        <v>0</v>
      </c>
      <c r="H5804" s="2" t="s">
        <v>37</v>
      </c>
      <c r="I5804" s="2" t="s">
        <v>22</v>
      </c>
      <c r="J5804" s="2" t="s">
        <v>964</v>
      </c>
      <c r="K5804" s="2" t="s">
        <v>495</v>
      </c>
      <c r="L5804" s="13" t="s">
        <v>496</v>
      </c>
      <c r="M5804" s="2" t="s">
        <v>26</v>
      </c>
      <c r="N5804" s="29"/>
      <c r="O5804" s="29"/>
      <c r="P5804" s="5" t="str">
        <f>IFERROR(__xludf.DUMMYFUNCTION("TEXTJOIN("" | "",TRUE,IF(OR(D5804="""",E5804="""",I5804="""",J5804="""",H5804=""""),""ফাঁকা ঘর"",""""),IF(AND(C5804&lt;&gt;"""",D5804&lt;&gt;"""",C5804=D5804),""gloss=figurative"",""""),IF(LEN(D5804)&lt;15,""figurative ছোট"",""""),IF(AND(I5804=""Positive"",REGEXMATCH(H5"&amp;"804,""মূর্খ|ভণ্ড|প্রতার|অলস|লোভ|স্বার্থ|অক্ষম|অযোগ্য|বোকা|কৃপণ|হিংস"")),""valence-target অমিল"",""""),IF(COUNTIF($B:$B,B5804)&gt;1,""ডুপ্লিকেট"",""""))"),"")</f>
        <v/>
      </c>
      <c r="Q5804" s="5" t="str">
        <f t="shared" si="1"/>
        <v>২ পরে</v>
      </c>
    </row>
    <row r="5805">
      <c r="A5805" s="4">
        <v>3683.0</v>
      </c>
      <c r="B5805" s="2" t="s">
        <v>23763</v>
      </c>
      <c r="C5805" s="2" t="s">
        <v>23763</v>
      </c>
      <c r="D5805" s="2" t="s">
        <v>23764</v>
      </c>
      <c r="E5805" s="2" t="s">
        <v>23765</v>
      </c>
      <c r="F5805" s="2" t="b">
        <v>1</v>
      </c>
      <c r="G5805" s="2" t="b">
        <v>0</v>
      </c>
      <c r="H5805" s="2" t="s">
        <v>23766</v>
      </c>
      <c r="I5805" s="2" t="s">
        <v>22</v>
      </c>
      <c r="J5805" s="2" t="s">
        <v>43</v>
      </c>
      <c r="K5805" s="2" t="s">
        <v>495</v>
      </c>
      <c r="L5805" s="13" t="s">
        <v>496</v>
      </c>
      <c r="M5805" s="2" t="s">
        <v>26</v>
      </c>
      <c r="N5805" s="29"/>
      <c r="O5805" s="29"/>
      <c r="P5805" s="5" t="str">
        <f>IFERROR(__xludf.DUMMYFUNCTION("TEXTJOIN("" | "",TRUE,IF(OR(D5805="""",E5805="""",I5805="""",J5805="""",H5805=""""),""ফাঁকা ঘর"",""""),IF(AND(C5805&lt;&gt;"""",D5805&lt;&gt;"""",C5805=D5805),""gloss=figurative"",""""),IF(LEN(D5805)&lt;15,""figurative ছোট"",""""),IF(AND(I5805=""Positive"",REGEXMATCH(H5"&amp;"805,""মূর্খ|ভণ্ড|প্রতার|অলস|লোভ|স্বার্থ|অক্ষম|অযোগ্য|বোকা|কৃপণ|হিংস"")),""valence-target অমিল"",""""),IF(COUNTIF($B:$B,B5805)&gt;1,""ডুপ্লিকেট"",""""))"),"")</f>
        <v/>
      </c>
      <c r="Q5805" s="5" t="str">
        <f t="shared" si="1"/>
        <v>২ পরে</v>
      </c>
    </row>
    <row r="5806">
      <c r="A5806" s="4">
        <v>3684.0</v>
      </c>
      <c r="B5806" s="2" t="s">
        <v>23767</v>
      </c>
      <c r="C5806" s="2" t="s">
        <v>23768</v>
      </c>
      <c r="D5806" s="2" t="s">
        <v>23769</v>
      </c>
      <c r="E5806" s="2" t="s">
        <v>23770</v>
      </c>
      <c r="F5806" s="2" t="b">
        <v>1</v>
      </c>
      <c r="G5806" s="2" t="b">
        <v>0</v>
      </c>
      <c r="H5806" s="2" t="s">
        <v>23771</v>
      </c>
      <c r="I5806" s="2" t="s">
        <v>22</v>
      </c>
      <c r="J5806" s="2" t="s">
        <v>848</v>
      </c>
      <c r="K5806" s="2" t="s">
        <v>495</v>
      </c>
      <c r="L5806" s="13" t="s">
        <v>496</v>
      </c>
      <c r="M5806" s="2" t="s">
        <v>26</v>
      </c>
      <c r="N5806" s="29"/>
      <c r="O5806" s="29"/>
      <c r="P5806" s="5" t="str">
        <f>IFERROR(__xludf.DUMMYFUNCTION("TEXTJOIN("" | "",TRUE,IF(OR(D5806="""",E5806="""",I5806="""",J5806="""",H5806=""""),""ফাঁকা ঘর"",""""),IF(AND(C5806&lt;&gt;"""",D5806&lt;&gt;"""",C5806=D5806),""gloss=figurative"",""""),IF(LEN(D5806)&lt;15,""figurative ছোট"",""""),IF(AND(I5806=""Positive"",REGEXMATCH(H5"&amp;"806,""মূর্খ|ভণ্ড|প্রতার|অলস|লোভ|স্বার্থ|অক্ষম|অযোগ্য|বোকা|কৃপণ|হিংস"")),""valence-target অমিল"",""""),IF(COUNTIF($B:$B,B5806)&gt;1,""ডুপ্লিকেট"",""""))"),"")</f>
        <v/>
      </c>
      <c r="Q5806" s="5" t="str">
        <f t="shared" si="1"/>
        <v>২ পরে</v>
      </c>
    </row>
    <row r="5807">
      <c r="A5807" s="4">
        <v>3685.0</v>
      </c>
      <c r="B5807" s="2" t="s">
        <v>23772</v>
      </c>
      <c r="C5807" s="2" t="s">
        <v>23772</v>
      </c>
      <c r="D5807" s="2" t="s">
        <v>23773</v>
      </c>
      <c r="E5807" s="2" t="s">
        <v>23774</v>
      </c>
      <c r="F5807" s="2" t="b">
        <v>1</v>
      </c>
      <c r="G5807" s="2" t="b">
        <v>1</v>
      </c>
      <c r="H5807" s="2" t="s">
        <v>21069</v>
      </c>
      <c r="I5807" s="2" t="s">
        <v>22</v>
      </c>
      <c r="J5807" s="2" t="s">
        <v>4475</v>
      </c>
      <c r="K5807" s="2" t="s">
        <v>495</v>
      </c>
      <c r="L5807" s="13" t="s">
        <v>496</v>
      </c>
      <c r="M5807" s="2" t="s">
        <v>26</v>
      </c>
      <c r="N5807" s="29"/>
      <c r="O5807" s="29"/>
      <c r="P5807" s="5" t="str">
        <f>IFERROR(__xludf.DUMMYFUNCTION("TEXTJOIN("" | "",TRUE,IF(OR(D5807="""",E5807="""",I5807="""",J5807="""",H5807=""""),""ফাঁকা ঘর"",""""),IF(AND(C5807&lt;&gt;"""",D5807&lt;&gt;"""",C5807=D5807),""gloss=figurative"",""""),IF(LEN(D5807)&lt;15,""figurative ছোট"",""""),IF(AND(I5807=""Positive"",REGEXMATCH(H5"&amp;"807,""মূর্খ|ভণ্ড|প্রতার|অলস|লোভ|স্বার্থ|অক্ষম|অযোগ্য|বোকা|কৃপণ|হিংস"")),""valence-target অমিল"",""""),IF(COUNTIF($B:$B,B5807)&gt;1,""ডুপ্লিকেট"",""""))"),"")</f>
        <v/>
      </c>
      <c r="Q5807" s="5" t="str">
        <f t="shared" si="1"/>
        <v>২ পরে</v>
      </c>
    </row>
    <row r="5808">
      <c r="A5808" s="4">
        <v>3686.0</v>
      </c>
      <c r="B5808" s="2" t="s">
        <v>23775</v>
      </c>
      <c r="C5808" s="2" t="s">
        <v>23776</v>
      </c>
      <c r="D5808" s="2" t="s">
        <v>23777</v>
      </c>
      <c r="E5808" s="2" t="s">
        <v>23778</v>
      </c>
      <c r="F5808" s="2" t="b">
        <v>1</v>
      </c>
      <c r="G5808" s="2" t="b">
        <v>1</v>
      </c>
      <c r="H5808" s="2" t="s">
        <v>23779</v>
      </c>
      <c r="I5808" s="2" t="s">
        <v>22</v>
      </c>
      <c r="J5808" s="2" t="s">
        <v>15837</v>
      </c>
      <c r="K5808" s="2" t="s">
        <v>495</v>
      </c>
      <c r="L5808" s="13" t="s">
        <v>496</v>
      </c>
      <c r="M5808" s="2" t="s">
        <v>26</v>
      </c>
      <c r="N5808" s="29"/>
      <c r="O5808" s="29"/>
      <c r="P5808" s="5" t="str">
        <f>IFERROR(__xludf.DUMMYFUNCTION("TEXTJOIN("" | "",TRUE,IF(OR(D5808="""",E5808="""",I5808="""",J5808="""",H5808=""""),""ফাঁকা ঘর"",""""),IF(AND(C5808&lt;&gt;"""",D5808&lt;&gt;"""",C5808=D5808),""gloss=figurative"",""""),IF(LEN(D5808)&lt;15,""figurative ছোট"",""""),IF(AND(I5808=""Positive"",REGEXMATCH(H5"&amp;"808,""মূর্খ|ভণ্ড|প্রতার|অলস|লোভ|স্বার্থ|অক্ষম|অযোগ্য|বোকা|কৃপণ|হিংস"")),""valence-target অমিল"",""""),IF(COUNTIF($B:$B,B5808)&gt;1,""ডুপ্লিকেট"",""""))"),"")</f>
        <v/>
      </c>
      <c r="Q5808" s="5" t="str">
        <f t="shared" si="1"/>
        <v>২ পরে</v>
      </c>
    </row>
    <row r="5809">
      <c r="A5809" s="4">
        <v>3687.0</v>
      </c>
      <c r="B5809" s="2" t="s">
        <v>23780</v>
      </c>
      <c r="C5809" s="2" t="s">
        <v>23781</v>
      </c>
      <c r="D5809" s="2" t="s">
        <v>23782</v>
      </c>
      <c r="E5809" s="2" t="s">
        <v>23783</v>
      </c>
      <c r="F5809" s="2" t="b">
        <v>1</v>
      </c>
      <c r="G5809" s="2" t="b">
        <v>0</v>
      </c>
      <c r="H5809" s="2" t="s">
        <v>14590</v>
      </c>
      <c r="I5809" s="2" t="s">
        <v>22</v>
      </c>
      <c r="J5809" s="2" t="s">
        <v>15237</v>
      </c>
      <c r="K5809" s="2" t="s">
        <v>495</v>
      </c>
      <c r="L5809" s="13" t="s">
        <v>496</v>
      </c>
      <c r="M5809" s="2" t="s">
        <v>26</v>
      </c>
      <c r="N5809" s="29"/>
      <c r="O5809" s="29"/>
      <c r="P5809" s="5" t="str">
        <f>IFERROR(__xludf.DUMMYFUNCTION("TEXTJOIN("" | "",TRUE,IF(OR(D5809="""",E5809="""",I5809="""",J5809="""",H5809=""""),""ফাঁকা ঘর"",""""),IF(AND(C5809&lt;&gt;"""",D5809&lt;&gt;"""",C5809=D5809),""gloss=figurative"",""""),IF(LEN(D5809)&lt;15,""figurative ছোট"",""""),IF(AND(I5809=""Positive"",REGEXMATCH(H5"&amp;"809,""মূর্খ|ভণ্ড|প্রতার|অলস|লোভ|স্বার্থ|অক্ষম|অযোগ্য|বোকা|কৃপণ|হিংস"")),""valence-target অমিল"",""""),IF(COUNTIF($B:$B,B5809)&gt;1,""ডুপ্লিকেট"",""""))"),"")</f>
        <v/>
      </c>
      <c r="Q5809" s="5" t="str">
        <f t="shared" si="1"/>
        <v>২ পরে</v>
      </c>
    </row>
    <row r="5810">
      <c r="A5810" s="4">
        <v>3688.0</v>
      </c>
      <c r="B5810" s="2" t="s">
        <v>23784</v>
      </c>
      <c r="C5810" s="2" t="s">
        <v>23784</v>
      </c>
      <c r="D5810" s="2" t="s">
        <v>23785</v>
      </c>
      <c r="E5810" s="2" t="s">
        <v>23786</v>
      </c>
      <c r="F5810" s="2" t="b">
        <v>1</v>
      </c>
      <c r="G5810" s="2" t="b">
        <v>0</v>
      </c>
      <c r="H5810" s="2" t="s">
        <v>23787</v>
      </c>
      <c r="I5810" s="2" t="s">
        <v>22</v>
      </c>
      <c r="J5810" s="2" t="s">
        <v>1117</v>
      </c>
      <c r="K5810" s="2" t="s">
        <v>495</v>
      </c>
      <c r="L5810" s="13" t="s">
        <v>496</v>
      </c>
      <c r="M5810" s="2" t="s">
        <v>26</v>
      </c>
      <c r="N5810" s="29"/>
      <c r="O5810" s="29"/>
      <c r="P5810" s="5" t="str">
        <f>IFERROR(__xludf.DUMMYFUNCTION("TEXTJOIN("" | "",TRUE,IF(OR(D5810="""",E5810="""",I5810="""",J5810="""",H5810=""""),""ফাঁকা ঘর"",""""),IF(AND(C5810&lt;&gt;"""",D5810&lt;&gt;"""",C5810=D5810),""gloss=figurative"",""""),IF(LEN(D5810)&lt;15,""figurative ছোট"",""""),IF(AND(I5810=""Positive"",REGEXMATCH(H5"&amp;"810,""মূর্খ|ভণ্ড|প্রতার|অলস|লোভ|স্বার্থ|অক্ষম|অযোগ্য|বোকা|কৃপণ|হিংস"")),""valence-target অমিল"",""""),IF(COUNTIF($B:$B,B5810)&gt;1,""ডুপ্লিকেট"",""""))"),"")</f>
        <v/>
      </c>
      <c r="Q5810" s="5" t="str">
        <f t="shared" si="1"/>
        <v>২ পরে</v>
      </c>
    </row>
    <row r="5811">
      <c r="A5811" s="4">
        <v>3689.0</v>
      </c>
      <c r="B5811" s="2" t="s">
        <v>23788</v>
      </c>
      <c r="C5811" s="2" t="s">
        <v>23789</v>
      </c>
      <c r="D5811" s="2" t="s">
        <v>23790</v>
      </c>
      <c r="E5811" s="2" t="s">
        <v>23791</v>
      </c>
      <c r="F5811" s="2" t="b">
        <v>1</v>
      </c>
      <c r="G5811" s="2" t="b">
        <v>0</v>
      </c>
      <c r="H5811" s="2" t="s">
        <v>37</v>
      </c>
      <c r="I5811" s="2" t="s">
        <v>49</v>
      </c>
      <c r="J5811" s="2" t="s">
        <v>1621</v>
      </c>
      <c r="K5811" s="2" t="s">
        <v>495</v>
      </c>
      <c r="L5811" s="13" t="s">
        <v>496</v>
      </c>
      <c r="M5811" s="2" t="s">
        <v>26</v>
      </c>
      <c r="N5811" s="29"/>
      <c r="O5811" s="29"/>
      <c r="P5811" s="5" t="str">
        <f>IFERROR(__xludf.DUMMYFUNCTION("TEXTJOIN("" | "",TRUE,IF(OR(D5811="""",E5811="""",I5811="""",J5811="""",H5811=""""),""ফাঁকা ঘর"",""""),IF(AND(C5811&lt;&gt;"""",D5811&lt;&gt;"""",C5811=D5811),""gloss=figurative"",""""),IF(LEN(D5811)&lt;15,""figurative ছোট"",""""),IF(AND(I5811=""Positive"",REGEXMATCH(H5"&amp;"811,""মূর্খ|ভণ্ড|প্রতার|অলস|লোভ|স্বার্থ|অক্ষম|অযোগ্য|বোকা|কৃপণ|হিংস"")),""valence-target অমিল"",""""),IF(COUNTIF($B:$B,B5811)&gt;1,""ডুপ্লিকেট"",""""))"),"")</f>
        <v/>
      </c>
      <c r="Q5811" s="5" t="str">
        <f t="shared" si="1"/>
        <v>২ পরে</v>
      </c>
    </row>
    <row r="5812">
      <c r="A5812" s="4">
        <v>3690.0</v>
      </c>
      <c r="B5812" s="2" t="s">
        <v>23792</v>
      </c>
      <c r="C5812" s="2" t="s">
        <v>23792</v>
      </c>
      <c r="D5812" s="2" t="s">
        <v>23793</v>
      </c>
      <c r="E5812" s="2" t="s">
        <v>23794</v>
      </c>
      <c r="F5812" s="2" t="b">
        <v>1</v>
      </c>
      <c r="G5812" s="2" t="b">
        <v>0</v>
      </c>
      <c r="H5812" s="2" t="s">
        <v>37</v>
      </c>
      <c r="I5812" s="2" t="s">
        <v>49</v>
      </c>
      <c r="J5812" s="2" t="s">
        <v>23795</v>
      </c>
      <c r="K5812" s="2" t="s">
        <v>495</v>
      </c>
      <c r="L5812" s="13" t="s">
        <v>496</v>
      </c>
      <c r="M5812" s="2" t="s">
        <v>26</v>
      </c>
      <c r="N5812" s="29"/>
      <c r="O5812" s="29"/>
      <c r="P5812" s="5" t="str">
        <f>IFERROR(__xludf.DUMMYFUNCTION("TEXTJOIN("" | "",TRUE,IF(OR(D5812="""",E5812="""",I5812="""",J5812="""",H5812=""""),""ফাঁকা ঘর"",""""),IF(AND(C5812&lt;&gt;"""",D5812&lt;&gt;"""",C5812=D5812),""gloss=figurative"",""""),IF(LEN(D5812)&lt;15,""figurative ছোট"",""""),IF(AND(I5812=""Positive"",REGEXMATCH(H5"&amp;"812,""মূর্খ|ভণ্ড|প্রতার|অলস|লোভ|স্বার্থ|অক্ষম|অযোগ্য|বোকা|কৃপণ|হিংস"")),""valence-target অমিল"",""""),IF(COUNTIF($B:$B,B5812)&gt;1,""ডুপ্লিকেট"",""""))"),"")</f>
        <v/>
      </c>
      <c r="Q5812" s="5" t="str">
        <f t="shared" si="1"/>
        <v>২ পরে</v>
      </c>
    </row>
    <row r="5813">
      <c r="A5813" s="4">
        <v>3691.0</v>
      </c>
      <c r="B5813" s="2" t="s">
        <v>23796</v>
      </c>
      <c r="C5813" s="2" t="s">
        <v>23797</v>
      </c>
      <c r="D5813" s="2" t="s">
        <v>23798</v>
      </c>
      <c r="E5813" s="2" t="s">
        <v>23799</v>
      </c>
      <c r="F5813" s="2" t="b">
        <v>1</v>
      </c>
      <c r="G5813" s="2" t="b">
        <v>0</v>
      </c>
      <c r="H5813" s="2" t="s">
        <v>37</v>
      </c>
      <c r="I5813" s="2" t="s">
        <v>49</v>
      </c>
      <c r="J5813" s="2" t="s">
        <v>4743</v>
      </c>
      <c r="K5813" s="2" t="s">
        <v>495</v>
      </c>
      <c r="L5813" s="13" t="s">
        <v>496</v>
      </c>
      <c r="M5813" s="2" t="s">
        <v>26</v>
      </c>
      <c r="N5813" s="29"/>
      <c r="O5813" s="29"/>
      <c r="P5813" s="5" t="str">
        <f>IFERROR(__xludf.DUMMYFUNCTION("TEXTJOIN("" | "",TRUE,IF(OR(D5813="""",E5813="""",I5813="""",J5813="""",H5813=""""),""ফাঁকা ঘর"",""""),IF(AND(C5813&lt;&gt;"""",D5813&lt;&gt;"""",C5813=D5813),""gloss=figurative"",""""),IF(LEN(D5813)&lt;15,""figurative ছোট"",""""),IF(AND(I5813=""Positive"",REGEXMATCH(H5"&amp;"813,""মূর্খ|ভণ্ড|প্রতার|অলস|লোভ|স্বার্থ|অক্ষম|অযোগ্য|বোকা|কৃপণ|হিংস"")),""valence-target অমিল"",""""),IF(COUNTIF($B:$B,B5813)&gt;1,""ডুপ্লিকেট"",""""))"),"")</f>
        <v/>
      </c>
      <c r="Q5813" s="5" t="str">
        <f t="shared" si="1"/>
        <v>২ পরে</v>
      </c>
    </row>
    <row r="5814">
      <c r="A5814" s="4">
        <v>3692.0</v>
      </c>
      <c r="B5814" s="2" t="s">
        <v>23800</v>
      </c>
      <c r="C5814" s="2" t="s">
        <v>23801</v>
      </c>
      <c r="D5814" s="2" t="s">
        <v>23802</v>
      </c>
      <c r="E5814" s="2" t="s">
        <v>23803</v>
      </c>
      <c r="F5814" s="2" t="b">
        <v>1</v>
      </c>
      <c r="G5814" s="2" t="b">
        <v>0</v>
      </c>
      <c r="H5814" s="2" t="s">
        <v>1571</v>
      </c>
      <c r="I5814" s="2" t="s">
        <v>22</v>
      </c>
      <c r="J5814" s="2" t="s">
        <v>1572</v>
      </c>
      <c r="K5814" s="2" t="s">
        <v>495</v>
      </c>
      <c r="L5814" s="13" t="s">
        <v>496</v>
      </c>
      <c r="M5814" s="2" t="s">
        <v>26</v>
      </c>
      <c r="N5814" s="29"/>
      <c r="O5814" s="29"/>
      <c r="P5814" s="5" t="str">
        <f>IFERROR(__xludf.DUMMYFUNCTION("TEXTJOIN("" | "",TRUE,IF(OR(D5814="""",E5814="""",I5814="""",J5814="""",H5814=""""),""ফাঁকা ঘর"",""""),IF(AND(C5814&lt;&gt;"""",D5814&lt;&gt;"""",C5814=D5814),""gloss=figurative"",""""),IF(LEN(D5814)&lt;15,""figurative ছোট"",""""),IF(AND(I5814=""Positive"",REGEXMATCH(H5"&amp;"814,""মূর্খ|ভণ্ড|প্রতার|অলস|লোভ|স্বার্থ|অক্ষম|অযোগ্য|বোকা|কৃপণ|হিংস"")),""valence-target অমিল"",""""),IF(COUNTIF($B:$B,B5814)&gt;1,""ডুপ্লিকেট"",""""))"),"")</f>
        <v/>
      </c>
      <c r="Q5814" s="5" t="str">
        <f t="shared" si="1"/>
        <v>২ পরে</v>
      </c>
    </row>
    <row r="5815">
      <c r="A5815" s="4">
        <v>3693.0</v>
      </c>
      <c r="B5815" s="2" t="s">
        <v>23804</v>
      </c>
      <c r="C5815" s="2" t="s">
        <v>23804</v>
      </c>
      <c r="D5815" s="2" t="s">
        <v>23805</v>
      </c>
      <c r="E5815" s="2" t="s">
        <v>23806</v>
      </c>
      <c r="F5815" s="2" t="b">
        <v>1</v>
      </c>
      <c r="G5815" s="2" t="b">
        <v>0</v>
      </c>
      <c r="H5815" s="2" t="s">
        <v>23807</v>
      </c>
      <c r="I5815" s="2" t="s">
        <v>22</v>
      </c>
      <c r="J5815" s="2" t="s">
        <v>669</v>
      </c>
      <c r="K5815" s="2" t="s">
        <v>495</v>
      </c>
      <c r="L5815" s="13" t="s">
        <v>496</v>
      </c>
      <c r="M5815" s="2" t="s">
        <v>26</v>
      </c>
      <c r="N5815" s="29"/>
      <c r="O5815" s="29"/>
      <c r="P5815" s="5" t="str">
        <f>IFERROR(__xludf.DUMMYFUNCTION("TEXTJOIN("" | "",TRUE,IF(OR(D5815="""",E5815="""",I5815="""",J5815="""",H5815=""""),""ফাঁকা ঘর"",""""),IF(AND(C5815&lt;&gt;"""",D5815&lt;&gt;"""",C5815=D5815),""gloss=figurative"",""""),IF(LEN(D5815)&lt;15,""figurative ছোট"",""""),IF(AND(I5815=""Positive"",REGEXMATCH(H5"&amp;"815,""মূর্খ|ভণ্ড|প্রতার|অলস|লোভ|স্বার্থ|অক্ষম|অযোগ্য|বোকা|কৃপণ|হিংস"")),""valence-target অমিল"",""""),IF(COUNTIF($B:$B,B5815)&gt;1,""ডুপ্লিকেট"",""""))"),"")</f>
        <v/>
      </c>
      <c r="Q5815" s="5" t="str">
        <f t="shared" si="1"/>
        <v>২ পরে</v>
      </c>
    </row>
    <row r="5816">
      <c r="A5816" s="4">
        <v>3694.0</v>
      </c>
      <c r="B5816" s="2" t="s">
        <v>23808</v>
      </c>
      <c r="C5816" s="2" t="s">
        <v>23808</v>
      </c>
      <c r="D5816" s="2" t="s">
        <v>23809</v>
      </c>
      <c r="E5816" s="2" t="s">
        <v>23810</v>
      </c>
      <c r="F5816" s="2" t="b">
        <v>1</v>
      </c>
      <c r="G5816" s="2" t="b">
        <v>0</v>
      </c>
      <c r="H5816" s="2" t="s">
        <v>37</v>
      </c>
      <c r="I5816" s="2" t="s">
        <v>49</v>
      </c>
      <c r="J5816" s="2" t="s">
        <v>1008</v>
      </c>
      <c r="K5816" s="2" t="s">
        <v>495</v>
      </c>
      <c r="L5816" s="13" t="s">
        <v>496</v>
      </c>
      <c r="M5816" s="2" t="s">
        <v>26</v>
      </c>
      <c r="N5816" s="29"/>
      <c r="O5816" s="29"/>
      <c r="P5816" s="5" t="str">
        <f>IFERROR(__xludf.DUMMYFUNCTION("TEXTJOIN("" | "",TRUE,IF(OR(D5816="""",E5816="""",I5816="""",J5816="""",H5816=""""),""ফাঁকা ঘর"",""""),IF(AND(C5816&lt;&gt;"""",D5816&lt;&gt;"""",C5816=D5816),""gloss=figurative"",""""),IF(LEN(D5816)&lt;15,""figurative ছোট"",""""),IF(AND(I5816=""Positive"",REGEXMATCH(H5"&amp;"816,""মূর্খ|ভণ্ড|প্রতার|অলস|লোভ|স্বার্থ|অক্ষম|অযোগ্য|বোকা|কৃপণ|হিংস"")),""valence-target অমিল"",""""),IF(COUNTIF($B:$B,B5816)&gt;1,""ডুপ্লিকেট"",""""))"),"")</f>
        <v/>
      </c>
      <c r="Q5816" s="5" t="str">
        <f t="shared" si="1"/>
        <v>২ পরে</v>
      </c>
    </row>
    <row r="5817">
      <c r="A5817" s="4">
        <v>3695.0</v>
      </c>
      <c r="B5817" s="2" t="s">
        <v>23811</v>
      </c>
      <c r="C5817" s="2" t="s">
        <v>23812</v>
      </c>
      <c r="D5817" s="2" t="s">
        <v>23813</v>
      </c>
      <c r="E5817" s="2" t="s">
        <v>23814</v>
      </c>
      <c r="F5817" s="2" t="b">
        <v>1</v>
      </c>
      <c r="G5817" s="2" t="b">
        <v>0</v>
      </c>
      <c r="H5817" s="2" t="s">
        <v>37</v>
      </c>
      <c r="I5817" s="2" t="s">
        <v>32</v>
      </c>
      <c r="J5817" s="2" t="s">
        <v>8124</v>
      </c>
      <c r="K5817" s="2" t="s">
        <v>495</v>
      </c>
      <c r="L5817" s="13" t="s">
        <v>496</v>
      </c>
      <c r="M5817" s="2" t="s">
        <v>26</v>
      </c>
      <c r="N5817" s="29"/>
      <c r="O5817" s="29"/>
      <c r="P5817" s="5" t="str">
        <f>IFERROR(__xludf.DUMMYFUNCTION("TEXTJOIN("" | "",TRUE,IF(OR(D5817="""",E5817="""",I5817="""",J5817="""",H5817=""""),""ফাঁকা ঘর"",""""),IF(AND(C5817&lt;&gt;"""",D5817&lt;&gt;"""",C5817=D5817),""gloss=figurative"",""""),IF(LEN(D5817)&lt;15,""figurative ছোট"",""""),IF(AND(I5817=""Positive"",REGEXMATCH(H5"&amp;"817,""মূর্খ|ভণ্ড|প্রতার|অলস|লোভ|স্বার্থ|অক্ষম|অযোগ্য|বোকা|কৃপণ|হিংস"")),""valence-target অমিল"",""""),IF(COUNTIF($B:$B,B5817)&gt;1,""ডুপ্লিকেট"",""""))"),"")</f>
        <v/>
      </c>
      <c r="Q5817" s="5" t="str">
        <f t="shared" si="1"/>
        <v>২ পরে</v>
      </c>
    </row>
    <row r="5818">
      <c r="A5818" s="4">
        <v>3696.0</v>
      </c>
      <c r="B5818" s="2" t="s">
        <v>23815</v>
      </c>
      <c r="C5818" s="2" t="s">
        <v>23816</v>
      </c>
      <c r="D5818" s="2" t="s">
        <v>23817</v>
      </c>
      <c r="E5818" s="2" t="s">
        <v>23818</v>
      </c>
      <c r="F5818" s="2" t="b">
        <v>1</v>
      </c>
      <c r="G5818" s="2" t="b">
        <v>0</v>
      </c>
      <c r="H5818" s="2" t="s">
        <v>37</v>
      </c>
      <c r="I5818" s="2" t="s">
        <v>22</v>
      </c>
      <c r="J5818" s="2" t="s">
        <v>947</v>
      </c>
      <c r="K5818" s="2" t="s">
        <v>495</v>
      </c>
      <c r="L5818" s="13" t="s">
        <v>496</v>
      </c>
      <c r="M5818" s="2" t="s">
        <v>26</v>
      </c>
      <c r="N5818" s="29"/>
      <c r="O5818" s="29"/>
      <c r="P5818" s="5" t="str">
        <f>IFERROR(__xludf.DUMMYFUNCTION("TEXTJOIN("" | "",TRUE,IF(OR(D5818="""",E5818="""",I5818="""",J5818="""",H5818=""""),""ফাঁকা ঘর"",""""),IF(AND(C5818&lt;&gt;"""",D5818&lt;&gt;"""",C5818=D5818),""gloss=figurative"",""""),IF(LEN(D5818)&lt;15,""figurative ছোট"",""""),IF(AND(I5818=""Positive"",REGEXMATCH(H5"&amp;"818,""মূর্খ|ভণ্ড|প্রতার|অলস|লোভ|স্বার্থ|অক্ষম|অযোগ্য|বোকা|কৃপণ|হিংস"")),""valence-target অমিল"",""""),IF(COUNTIF($B:$B,B5818)&gt;1,""ডুপ্লিকেট"",""""))"),"")</f>
        <v/>
      </c>
      <c r="Q5818" s="5" t="str">
        <f t="shared" si="1"/>
        <v>২ পরে</v>
      </c>
    </row>
    <row r="5819">
      <c r="A5819" s="4">
        <v>3697.0</v>
      </c>
      <c r="B5819" s="2" t="s">
        <v>23819</v>
      </c>
      <c r="C5819" s="2" t="s">
        <v>23820</v>
      </c>
      <c r="D5819" s="2" t="s">
        <v>23821</v>
      </c>
      <c r="E5819" s="2" t="s">
        <v>23822</v>
      </c>
      <c r="F5819" s="2" t="b">
        <v>1</v>
      </c>
      <c r="G5819" s="2" t="b">
        <v>0</v>
      </c>
      <c r="H5819" s="2" t="s">
        <v>37</v>
      </c>
      <c r="I5819" s="2" t="s">
        <v>32</v>
      </c>
      <c r="J5819" s="2" t="s">
        <v>830</v>
      </c>
      <c r="K5819" s="2" t="s">
        <v>495</v>
      </c>
      <c r="L5819" s="13" t="s">
        <v>496</v>
      </c>
      <c r="M5819" s="2" t="s">
        <v>26</v>
      </c>
      <c r="N5819" s="29"/>
      <c r="O5819" s="29"/>
      <c r="P5819" s="5" t="str">
        <f>IFERROR(__xludf.DUMMYFUNCTION("TEXTJOIN("" | "",TRUE,IF(OR(D5819="""",E5819="""",I5819="""",J5819="""",H5819=""""),""ফাঁকা ঘর"",""""),IF(AND(C5819&lt;&gt;"""",D5819&lt;&gt;"""",C5819=D5819),""gloss=figurative"",""""),IF(LEN(D5819)&lt;15,""figurative ছোট"",""""),IF(AND(I5819=""Positive"",REGEXMATCH(H5"&amp;"819,""মূর্খ|ভণ্ড|প্রতার|অলস|লোভ|স্বার্থ|অক্ষম|অযোগ্য|বোকা|কৃপণ|হিংস"")),""valence-target অমিল"",""""),IF(COUNTIF($B:$B,B5819)&gt;1,""ডুপ্লিকেট"",""""))"),"")</f>
        <v/>
      </c>
      <c r="Q5819" s="5" t="str">
        <f t="shared" si="1"/>
        <v>২ পরে</v>
      </c>
    </row>
    <row r="5820">
      <c r="A5820" s="4">
        <v>3698.0</v>
      </c>
      <c r="B5820" s="2" t="s">
        <v>23823</v>
      </c>
      <c r="C5820" s="2" t="s">
        <v>23824</v>
      </c>
      <c r="D5820" s="2" t="s">
        <v>23825</v>
      </c>
      <c r="E5820" s="2" t="s">
        <v>23826</v>
      </c>
      <c r="F5820" s="2" t="b">
        <v>1</v>
      </c>
      <c r="G5820" s="2" t="b">
        <v>0</v>
      </c>
      <c r="H5820" s="2" t="s">
        <v>23827</v>
      </c>
      <c r="I5820" s="2" t="s">
        <v>22</v>
      </c>
      <c r="J5820" s="2" t="s">
        <v>669</v>
      </c>
      <c r="K5820" s="2" t="s">
        <v>495</v>
      </c>
      <c r="L5820" s="13" t="s">
        <v>496</v>
      </c>
      <c r="M5820" s="2" t="s">
        <v>26</v>
      </c>
      <c r="N5820" s="29"/>
      <c r="O5820" s="29"/>
      <c r="P5820" s="5" t="str">
        <f>IFERROR(__xludf.DUMMYFUNCTION("TEXTJOIN("" | "",TRUE,IF(OR(D5820="""",E5820="""",I5820="""",J5820="""",H5820=""""),""ফাঁকা ঘর"",""""),IF(AND(C5820&lt;&gt;"""",D5820&lt;&gt;"""",C5820=D5820),""gloss=figurative"",""""),IF(LEN(D5820)&lt;15,""figurative ছোট"",""""),IF(AND(I5820=""Positive"",REGEXMATCH(H5"&amp;"820,""মূর্খ|ভণ্ড|প্রতার|অলস|লোভ|স্বার্থ|অক্ষম|অযোগ্য|বোকা|কৃপণ|হিংস"")),""valence-target অমিল"",""""),IF(COUNTIF($B:$B,B5820)&gt;1,""ডুপ্লিকেট"",""""))"),"")</f>
        <v/>
      </c>
      <c r="Q5820" s="5" t="str">
        <f t="shared" si="1"/>
        <v>২ পরে</v>
      </c>
    </row>
    <row r="5821">
      <c r="A5821" s="4">
        <v>3699.0</v>
      </c>
      <c r="B5821" s="2" t="s">
        <v>23828</v>
      </c>
      <c r="C5821" s="2" t="s">
        <v>23829</v>
      </c>
      <c r="D5821" s="2" t="s">
        <v>23830</v>
      </c>
      <c r="E5821" s="2" t="s">
        <v>23831</v>
      </c>
      <c r="F5821" s="2" t="b">
        <v>1</v>
      </c>
      <c r="G5821" s="2" t="b">
        <v>0</v>
      </c>
      <c r="H5821" s="2" t="s">
        <v>37</v>
      </c>
      <c r="I5821" s="2" t="s">
        <v>22</v>
      </c>
      <c r="J5821" s="2" t="s">
        <v>669</v>
      </c>
      <c r="K5821" s="2" t="s">
        <v>495</v>
      </c>
      <c r="L5821" s="13" t="s">
        <v>496</v>
      </c>
      <c r="M5821" s="2" t="s">
        <v>26</v>
      </c>
      <c r="N5821" s="29"/>
      <c r="O5821" s="29"/>
      <c r="P5821" s="5" t="str">
        <f>IFERROR(__xludf.DUMMYFUNCTION("TEXTJOIN("" | "",TRUE,IF(OR(D5821="""",E5821="""",I5821="""",J5821="""",H5821=""""),""ফাঁকা ঘর"",""""),IF(AND(C5821&lt;&gt;"""",D5821&lt;&gt;"""",C5821=D5821),""gloss=figurative"",""""),IF(LEN(D5821)&lt;15,""figurative ছোট"",""""),IF(AND(I5821=""Positive"",REGEXMATCH(H5"&amp;"821,""মূর্খ|ভণ্ড|প্রতার|অলস|লোভ|স্বার্থ|অক্ষম|অযোগ্য|বোকা|কৃপণ|হিংস"")),""valence-target অমিল"",""""),IF(COUNTIF($B:$B,B5821)&gt;1,""ডুপ্লিকেট"",""""))"),"")</f>
        <v/>
      </c>
      <c r="Q5821" s="5" t="str">
        <f t="shared" si="1"/>
        <v>২ পরে</v>
      </c>
    </row>
    <row r="5822">
      <c r="A5822" s="4">
        <v>3700.0</v>
      </c>
      <c r="B5822" s="2" t="s">
        <v>23832</v>
      </c>
      <c r="C5822" s="2" t="s">
        <v>23833</v>
      </c>
      <c r="D5822" s="2" t="s">
        <v>23834</v>
      </c>
      <c r="E5822" s="2" t="s">
        <v>23835</v>
      </c>
      <c r="F5822" s="2" t="b">
        <v>1</v>
      </c>
      <c r="G5822" s="2" t="b">
        <v>0</v>
      </c>
      <c r="H5822" s="2" t="s">
        <v>37</v>
      </c>
      <c r="I5822" s="2" t="s">
        <v>22</v>
      </c>
      <c r="J5822" s="2" t="s">
        <v>565</v>
      </c>
      <c r="K5822" s="2" t="s">
        <v>495</v>
      </c>
      <c r="L5822" s="13" t="s">
        <v>496</v>
      </c>
      <c r="M5822" s="2" t="s">
        <v>26</v>
      </c>
      <c r="N5822" s="29"/>
      <c r="O5822" s="29"/>
      <c r="P5822" s="5" t="str">
        <f>IFERROR(__xludf.DUMMYFUNCTION("TEXTJOIN("" | "",TRUE,IF(OR(D5822="""",E5822="""",I5822="""",J5822="""",H5822=""""),""ফাঁকা ঘর"",""""),IF(AND(C5822&lt;&gt;"""",D5822&lt;&gt;"""",C5822=D5822),""gloss=figurative"",""""),IF(LEN(D5822)&lt;15,""figurative ছোট"",""""),IF(AND(I5822=""Positive"",REGEXMATCH(H5"&amp;"822,""মূর্খ|ভণ্ড|প্রতার|অলস|লোভ|স্বার্থ|অক্ষম|অযোগ্য|বোকা|কৃপণ|হিংস"")),""valence-target অমিল"",""""),IF(COUNTIF($B:$B,B5822)&gt;1,""ডুপ্লিকেট"",""""))"),"")</f>
        <v/>
      </c>
      <c r="Q5822" s="5" t="str">
        <f t="shared" si="1"/>
        <v>২ পরে</v>
      </c>
    </row>
    <row r="5823">
      <c r="A5823" s="4">
        <v>3701.0</v>
      </c>
      <c r="B5823" s="2" t="s">
        <v>23836</v>
      </c>
      <c r="C5823" s="2" t="s">
        <v>23837</v>
      </c>
      <c r="D5823" s="2" t="s">
        <v>23838</v>
      </c>
      <c r="E5823" s="2" t="s">
        <v>23839</v>
      </c>
      <c r="F5823" s="2" t="b">
        <v>1</v>
      </c>
      <c r="G5823" s="2" t="b">
        <v>1</v>
      </c>
      <c r="H5823" s="2" t="s">
        <v>21788</v>
      </c>
      <c r="I5823" s="2" t="s">
        <v>22</v>
      </c>
      <c r="J5823" s="2" t="s">
        <v>15507</v>
      </c>
      <c r="K5823" s="2" t="s">
        <v>495</v>
      </c>
      <c r="L5823" s="13" t="s">
        <v>496</v>
      </c>
      <c r="M5823" s="2" t="s">
        <v>26</v>
      </c>
      <c r="N5823" s="29"/>
      <c r="O5823" s="29"/>
      <c r="P5823" s="5" t="str">
        <f>IFERROR(__xludf.DUMMYFUNCTION("TEXTJOIN("" | "",TRUE,IF(OR(D5823="""",E5823="""",I5823="""",J5823="""",H5823=""""),""ফাঁকা ঘর"",""""),IF(AND(C5823&lt;&gt;"""",D5823&lt;&gt;"""",C5823=D5823),""gloss=figurative"",""""),IF(LEN(D5823)&lt;15,""figurative ছোট"",""""),IF(AND(I5823=""Positive"",REGEXMATCH(H5"&amp;"823,""মূর্খ|ভণ্ড|প্রতার|অলস|লোভ|স্বার্থ|অক্ষম|অযোগ্য|বোকা|কৃপণ|হিংস"")),""valence-target অমিল"",""""),IF(COUNTIF($B:$B,B5823)&gt;1,""ডুপ্লিকেট"",""""))"),"")</f>
        <v/>
      </c>
      <c r="Q5823" s="5" t="str">
        <f t="shared" si="1"/>
        <v>২ পরে</v>
      </c>
    </row>
    <row r="5824">
      <c r="A5824" s="4">
        <v>3702.0</v>
      </c>
      <c r="B5824" s="2" t="s">
        <v>23840</v>
      </c>
      <c r="C5824" s="2" t="s">
        <v>23841</v>
      </c>
      <c r="D5824" s="2" t="s">
        <v>23842</v>
      </c>
      <c r="E5824" s="2" t="s">
        <v>23843</v>
      </c>
      <c r="F5824" s="2" t="b">
        <v>1</v>
      </c>
      <c r="G5824" s="2" t="b">
        <v>0</v>
      </c>
      <c r="H5824" s="2" t="s">
        <v>37</v>
      </c>
      <c r="I5824" s="2" t="s">
        <v>32</v>
      </c>
      <c r="J5824" s="2" t="s">
        <v>1944</v>
      </c>
      <c r="K5824" s="2" t="s">
        <v>495</v>
      </c>
      <c r="L5824" s="13" t="s">
        <v>496</v>
      </c>
      <c r="M5824" s="2" t="s">
        <v>26</v>
      </c>
      <c r="N5824" s="29"/>
      <c r="O5824" s="29"/>
      <c r="P5824" s="5" t="str">
        <f>IFERROR(__xludf.DUMMYFUNCTION("TEXTJOIN("" | "",TRUE,IF(OR(D5824="""",E5824="""",I5824="""",J5824="""",H5824=""""),""ফাঁকা ঘর"",""""),IF(AND(C5824&lt;&gt;"""",D5824&lt;&gt;"""",C5824=D5824),""gloss=figurative"",""""),IF(LEN(D5824)&lt;15,""figurative ছোট"",""""),IF(AND(I5824=""Positive"",REGEXMATCH(H5"&amp;"824,""মূর্খ|ভণ্ড|প্রতার|অলস|লোভ|স্বার্থ|অক্ষম|অযোগ্য|বোকা|কৃপণ|হিংস"")),""valence-target অমিল"",""""),IF(COUNTIF($B:$B,B5824)&gt;1,""ডুপ্লিকেট"",""""))"),"")</f>
        <v/>
      </c>
      <c r="Q5824" s="5" t="str">
        <f t="shared" si="1"/>
        <v>২ পরে</v>
      </c>
    </row>
    <row r="5825">
      <c r="A5825" s="4">
        <v>3703.0</v>
      </c>
      <c r="B5825" s="2" t="s">
        <v>23844</v>
      </c>
      <c r="C5825" s="2" t="s">
        <v>23845</v>
      </c>
      <c r="D5825" s="2" t="s">
        <v>23846</v>
      </c>
      <c r="E5825" s="2" t="s">
        <v>23847</v>
      </c>
      <c r="F5825" s="2" t="b">
        <v>1</v>
      </c>
      <c r="G5825" s="2" t="b">
        <v>0</v>
      </c>
      <c r="H5825" s="2" t="s">
        <v>795</v>
      </c>
      <c r="I5825" s="2" t="s">
        <v>22</v>
      </c>
      <c r="J5825" s="2" t="s">
        <v>23848</v>
      </c>
      <c r="K5825" s="2" t="s">
        <v>495</v>
      </c>
      <c r="L5825" s="13" t="s">
        <v>496</v>
      </c>
      <c r="M5825" s="2" t="s">
        <v>26</v>
      </c>
      <c r="N5825" s="29"/>
      <c r="O5825" s="29"/>
      <c r="P5825" s="5" t="str">
        <f>IFERROR(__xludf.DUMMYFUNCTION("TEXTJOIN("" | "",TRUE,IF(OR(D5825="""",E5825="""",I5825="""",J5825="""",H5825=""""),""ফাঁকা ঘর"",""""),IF(AND(C5825&lt;&gt;"""",D5825&lt;&gt;"""",C5825=D5825),""gloss=figurative"",""""),IF(LEN(D5825)&lt;15,""figurative ছোট"",""""),IF(AND(I5825=""Positive"",REGEXMATCH(H5"&amp;"825,""মূর্খ|ভণ্ড|প্রতার|অলস|লোভ|স্বার্থ|অক্ষম|অযোগ্য|বোকা|কৃপণ|হিংস"")),""valence-target অমিল"",""""),IF(COUNTIF($B:$B,B5825)&gt;1,""ডুপ্লিকেট"",""""))"),"")</f>
        <v/>
      </c>
      <c r="Q5825" s="5" t="str">
        <f t="shared" si="1"/>
        <v>২ পরে</v>
      </c>
    </row>
    <row r="5826">
      <c r="A5826" s="4">
        <v>3704.0</v>
      </c>
      <c r="B5826" s="2" t="s">
        <v>23849</v>
      </c>
      <c r="C5826" s="2" t="s">
        <v>23850</v>
      </c>
      <c r="D5826" s="2" t="s">
        <v>23851</v>
      </c>
      <c r="E5826" s="2" t="s">
        <v>23852</v>
      </c>
      <c r="F5826" s="2" t="b">
        <v>1</v>
      </c>
      <c r="G5826" s="2" t="b">
        <v>0</v>
      </c>
      <c r="H5826" s="2" t="s">
        <v>749</v>
      </c>
      <c r="I5826" s="2" t="s">
        <v>22</v>
      </c>
      <c r="J5826" s="2" t="s">
        <v>565</v>
      </c>
      <c r="K5826" s="2" t="s">
        <v>495</v>
      </c>
      <c r="L5826" s="13" t="s">
        <v>496</v>
      </c>
      <c r="M5826" s="2" t="s">
        <v>26</v>
      </c>
      <c r="N5826" s="29"/>
      <c r="O5826" s="29"/>
      <c r="P5826" s="5" t="str">
        <f>IFERROR(__xludf.DUMMYFUNCTION("TEXTJOIN("" | "",TRUE,IF(OR(D5826="""",E5826="""",I5826="""",J5826="""",H5826=""""),""ফাঁকা ঘর"",""""),IF(AND(C5826&lt;&gt;"""",D5826&lt;&gt;"""",C5826=D5826),""gloss=figurative"",""""),IF(LEN(D5826)&lt;15,""figurative ছোট"",""""),IF(AND(I5826=""Positive"",REGEXMATCH(H5"&amp;"826,""মূর্খ|ভণ্ড|প্রতার|অলস|লোভ|স্বার্থ|অক্ষম|অযোগ্য|বোকা|কৃপণ|হিংস"")),""valence-target অমিল"",""""),IF(COUNTIF($B:$B,B5826)&gt;1,""ডুপ্লিকেট"",""""))"),"")</f>
        <v/>
      </c>
      <c r="Q5826" s="5" t="str">
        <f t="shared" si="1"/>
        <v>২ পরে</v>
      </c>
    </row>
    <row r="5827">
      <c r="A5827" s="4">
        <v>3705.0</v>
      </c>
      <c r="B5827" s="2" t="s">
        <v>23853</v>
      </c>
      <c r="C5827" s="2" t="s">
        <v>23854</v>
      </c>
      <c r="D5827" s="2" t="s">
        <v>23855</v>
      </c>
      <c r="E5827" s="2" t="s">
        <v>23856</v>
      </c>
      <c r="F5827" s="2" t="b">
        <v>1</v>
      </c>
      <c r="G5827" s="2" t="b">
        <v>0</v>
      </c>
      <c r="H5827" s="2" t="s">
        <v>795</v>
      </c>
      <c r="I5827" s="2" t="s">
        <v>22</v>
      </c>
      <c r="J5827" s="2" t="s">
        <v>565</v>
      </c>
      <c r="K5827" s="2" t="s">
        <v>495</v>
      </c>
      <c r="L5827" s="13" t="s">
        <v>496</v>
      </c>
      <c r="M5827" s="2" t="s">
        <v>26</v>
      </c>
      <c r="N5827" s="29"/>
      <c r="O5827" s="29"/>
      <c r="P5827" s="5" t="str">
        <f>IFERROR(__xludf.DUMMYFUNCTION("TEXTJOIN("" | "",TRUE,IF(OR(D5827="""",E5827="""",I5827="""",J5827="""",H5827=""""),""ফাঁকা ঘর"",""""),IF(AND(C5827&lt;&gt;"""",D5827&lt;&gt;"""",C5827=D5827),""gloss=figurative"",""""),IF(LEN(D5827)&lt;15,""figurative ছোট"",""""),IF(AND(I5827=""Positive"",REGEXMATCH(H5"&amp;"827,""মূর্খ|ভণ্ড|প্রতার|অলস|লোভ|স্বার্থ|অক্ষম|অযোগ্য|বোকা|কৃপণ|হিংস"")),""valence-target অমিল"",""""),IF(COUNTIF($B:$B,B5827)&gt;1,""ডুপ্লিকেট"",""""))"),"")</f>
        <v/>
      </c>
      <c r="Q5827" s="5" t="str">
        <f t="shared" si="1"/>
        <v>২ পরে</v>
      </c>
    </row>
    <row r="5828">
      <c r="A5828" s="4">
        <v>3708.0</v>
      </c>
      <c r="B5828" s="2" t="s">
        <v>23857</v>
      </c>
      <c r="C5828" s="2" t="s">
        <v>23858</v>
      </c>
      <c r="D5828" s="2" t="s">
        <v>23859</v>
      </c>
      <c r="E5828" s="2" t="s">
        <v>23860</v>
      </c>
      <c r="F5828" s="2" t="b">
        <v>1</v>
      </c>
      <c r="G5828" s="2" t="b">
        <v>0</v>
      </c>
      <c r="H5828" s="2" t="s">
        <v>23861</v>
      </c>
      <c r="I5828" s="2" t="s">
        <v>32</v>
      </c>
      <c r="J5828" s="2" t="s">
        <v>1644</v>
      </c>
      <c r="K5828" s="2" t="s">
        <v>495</v>
      </c>
      <c r="L5828" s="13" t="s">
        <v>496</v>
      </c>
      <c r="M5828" s="2" t="s">
        <v>26</v>
      </c>
      <c r="N5828" s="29"/>
      <c r="O5828" s="29"/>
      <c r="P5828" s="5" t="str">
        <f>IFERROR(__xludf.DUMMYFUNCTION("TEXTJOIN("" | "",TRUE,IF(OR(D5828="""",E5828="""",I5828="""",J5828="""",H5828=""""),""ফাঁকা ঘর"",""""),IF(AND(C5828&lt;&gt;"""",D5828&lt;&gt;"""",C5828=D5828),""gloss=figurative"",""""),IF(LEN(D5828)&lt;15,""figurative ছোট"",""""),IF(AND(I5828=""Positive"",REGEXMATCH(H5"&amp;"828,""মূর্খ|ভণ্ড|প্রতার|অলস|লোভ|স্বার্থ|অক্ষম|অযোগ্য|বোকা|কৃপণ|হিংস"")),""valence-target অমিল"",""""),IF(COUNTIF($B:$B,B5828)&gt;1,""ডুপ্লিকেট"",""""))"),"")</f>
        <v/>
      </c>
      <c r="Q5828" s="5" t="str">
        <f t="shared" si="1"/>
        <v>২ পরে</v>
      </c>
    </row>
    <row r="5829">
      <c r="A5829" s="4">
        <v>3709.0</v>
      </c>
      <c r="B5829" s="2" t="s">
        <v>23862</v>
      </c>
      <c r="C5829" s="2" t="s">
        <v>23862</v>
      </c>
      <c r="D5829" s="2" t="s">
        <v>23863</v>
      </c>
      <c r="E5829" s="2" t="s">
        <v>23864</v>
      </c>
      <c r="F5829" s="2" t="b">
        <v>1</v>
      </c>
      <c r="G5829" s="2" t="b">
        <v>0</v>
      </c>
      <c r="H5829" s="2" t="s">
        <v>37</v>
      </c>
      <c r="I5829" s="2" t="s">
        <v>49</v>
      </c>
      <c r="J5829" s="2" t="s">
        <v>565</v>
      </c>
      <c r="K5829" s="2" t="s">
        <v>495</v>
      </c>
      <c r="L5829" s="13" t="s">
        <v>496</v>
      </c>
      <c r="M5829" s="2" t="s">
        <v>26</v>
      </c>
      <c r="N5829" s="29"/>
      <c r="O5829" s="29"/>
      <c r="P5829" s="5" t="str">
        <f>IFERROR(__xludf.DUMMYFUNCTION("TEXTJOIN("" | "",TRUE,IF(OR(D5829="""",E5829="""",I5829="""",J5829="""",H5829=""""),""ফাঁকা ঘর"",""""),IF(AND(C5829&lt;&gt;"""",D5829&lt;&gt;"""",C5829=D5829),""gloss=figurative"",""""),IF(LEN(D5829)&lt;15,""figurative ছোট"",""""),IF(AND(I5829=""Positive"",REGEXMATCH(H5"&amp;"829,""মূর্খ|ভণ্ড|প্রতার|অলস|লোভ|স্বার্থ|অক্ষম|অযোগ্য|বোকা|কৃপণ|হিংস"")),""valence-target অমিল"",""""),IF(COUNTIF($B:$B,B5829)&gt;1,""ডুপ্লিকেট"",""""))"),"")</f>
        <v/>
      </c>
      <c r="Q5829" s="5" t="str">
        <f t="shared" si="1"/>
        <v>২ পরে</v>
      </c>
    </row>
    <row r="5830">
      <c r="A5830" s="4">
        <v>3710.0</v>
      </c>
      <c r="B5830" s="2" t="s">
        <v>23865</v>
      </c>
      <c r="C5830" s="2" t="s">
        <v>23865</v>
      </c>
      <c r="D5830" s="2" t="s">
        <v>23866</v>
      </c>
      <c r="E5830" s="2" t="s">
        <v>23867</v>
      </c>
      <c r="F5830" s="2" t="b">
        <v>1</v>
      </c>
      <c r="G5830" s="2" t="b">
        <v>0</v>
      </c>
      <c r="H5830" s="2" t="s">
        <v>3161</v>
      </c>
      <c r="I5830" s="2" t="s">
        <v>22</v>
      </c>
      <c r="J5830" s="2" t="s">
        <v>708</v>
      </c>
      <c r="K5830" s="2" t="s">
        <v>495</v>
      </c>
      <c r="L5830" s="13" t="s">
        <v>496</v>
      </c>
      <c r="M5830" s="2" t="s">
        <v>26</v>
      </c>
      <c r="N5830" s="29"/>
      <c r="O5830" s="29"/>
      <c r="P5830" s="5" t="str">
        <f>IFERROR(__xludf.DUMMYFUNCTION("TEXTJOIN("" | "",TRUE,IF(OR(D5830="""",E5830="""",I5830="""",J5830="""",H5830=""""),""ফাঁকা ঘর"",""""),IF(AND(C5830&lt;&gt;"""",D5830&lt;&gt;"""",C5830=D5830),""gloss=figurative"",""""),IF(LEN(D5830)&lt;15,""figurative ছোট"",""""),IF(AND(I5830=""Positive"",REGEXMATCH(H5"&amp;"830,""মূর্খ|ভণ্ড|প্রতার|অলস|লোভ|স্বার্থ|অক্ষম|অযোগ্য|বোকা|কৃপণ|হিংস"")),""valence-target অমিল"",""""),IF(COUNTIF($B:$B,B5830)&gt;1,""ডুপ্লিকেট"",""""))"),"")</f>
        <v/>
      </c>
      <c r="Q5830" s="5" t="str">
        <f t="shared" si="1"/>
        <v>২ পরে</v>
      </c>
    </row>
    <row r="5831">
      <c r="A5831" s="4">
        <v>3711.0</v>
      </c>
      <c r="B5831" s="2" t="s">
        <v>23868</v>
      </c>
      <c r="C5831" s="2" t="s">
        <v>23869</v>
      </c>
      <c r="D5831" s="2" t="s">
        <v>23870</v>
      </c>
      <c r="E5831" s="2" t="s">
        <v>23871</v>
      </c>
      <c r="F5831" s="2" t="b">
        <v>1</v>
      </c>
      <c r="G5831" s="2" t="b">
        <v>1</v>
      </c>
      <c r="H5831" s="2" t="s">
        <v>23872</v>
      </c>
      <c r="I5831" s="2" t="s">
        <v>32</v>
      </c>
      <c r="J5831" s="2" t="s">
        <v>3327</v>
      </c>
      <c r="K5831" s="2" t="s">
        <v>495</v>
      </c>
      <c r="L5831" s="13" t="s">
        <v>496</v>
      </c>
      <c r="M5831" s="2" t="s">
        <v>26</v>
      </c>
      <c r="N5831" s="29"/>
      <c r="O5831" s="29"/>
      <c r="P5831" s="5" t="str">
        <f>IFERROR(__xludf.DUMMYFUNCTION("TEXTJOIN("" | "",TRUE,IF(OR(D5831="""",E5831="""",I5831="""",J5831="""",H5831=""""),""ফাঁকা ঘর"",""""),IF(AND(C5831&lt;&gt;"""",D5831&lt;&gt;"""",C5831=D5831),""gloss=figurative"",""""),IF(LEN(D5831)&lt;15,""figurative ছোট"",""""),IF(AND(I5831=""Positive"",REGEXMATCH(H5"&amp;"831,""মূর্খ|ভণ্ড|প্রতার|অলস|লোভ|স্বার্থ|অক্ষম|অযোগ্য|বোকা|কৃপণ|হিংস"")),""valence-target অমিল"",""""),IF(COUNTIF($B:$B,B5831)&gt;1,""ডুপ্লিকেট"",""""))"),"")</f>
        <v/>
      </c>
      <c r="Q5831" s="5" t="str">
        <f t="shared" si="1"/>
        <v>২ পরে</v>
      </c>
    </row>
    <row r="5832">
      <c r="A5832" s="4">
        <v>3712.0</v>
      </c>
      <c r="B5832" s="2" t="s">
        <v>23873</v>
      </c>
      <c r="C5832" s="2" t="s">
        <v>23874</v>
      </c>
      <c r="D5832" s="2" t="s">
        <v>23875</v>
      </c>
      <c r="E5832" s="2" t="s">
        <v>23876</v>
      </c>
      <c r="F5832" s="2" t="b">
        <v>1</v>
      </c>
      <c r="G5832" s="2" t="b">
        <v>0</v>
      </c>
      <c r="H5832" s="2" t="s">
        <v>23877</v>
      </c>
      <c r="I5832" s="2" t="s">
        <v>22</v>
      </c>
      <c r="J5832" s="2" t="s">
        <v>23878</v>
      </c>
      <c r="K5832" s="2" t="s">
        <v>495</v>
      </c>
      <c r="L5832" s="13" t="s">
        <v>496</v>
      </c>
      <c r="M5832" s="2" t="s">
        <v>26</v>
      </c>
      <c r="N5832" s="29"/>
      <c r="O5832" s="29"/>
      <c r="P5832" s="5" t="str">
        <f>IFERROR(__xludf.DUMMYFUNCTION("TEXTJOIN("" | "",TRUE,IF(OR(D5832="""",E5832="""",I5832="""",J5832="""",H5832=""""),""ফাঁকা ঘর"",""""),IF(AND(C5832&lt;&gt;"""",D5832&lt;&gt;"""",C5832=D5832),""gloss=figurative"",""""),IF(LEN(D5832)&lt;15,""figurative ছোট"",""""),IF(AND(I5832=""Positive"",REGEXMATCH(H5"&amp;"832,""মূর্খ|ভণ্ড|প্রতার|অলস|লোভ|স্বার্থ|অক্ষম|অযোগ্য|বোকা|কৃপণ|হিংস"")),""valence-target অমিল"",""""),IF(COUNTIF($B:$B,B5832)&gt;1,""ডুপ্লিকেট"",""""))"),"")</f>
        <v/>
      </c>
      <c r="Q5832" s="5" t="str">
        <f t="shared" si="1"/>
        <v>২ পরে</v>
      </c>
    </row>
    <row r="5833">
      <c r="A5833" s="4">
        <v>3713.0</v>
      </c>
      <c r="B5833" s="2" t="s">
        <v>23879</v>
      </c>
      <c r="C5833" s="2" t="s">
        <v>23879</v>
      </c>
      <c r="D5833" s="2" t="s">
        <v>23880</v>
      </c>
      <c r="E5833" s="2" t="s">
        <v>23881</v>
      </c>
      <c r="F5833" s="2" t="b">
        <v>1</v>
      </c>
      <c r="G5833" s="2" t="b">
        <v>0</v>
      </c>
      <c r="H5833" s="2" t="s">
        <v>37</v>
      </c>
      <c r="I5833" s="2" t="s">
        <v>22</v>
      </c>
      <c r="J5833" s="2" t="s">
        <v>814</v>
      </c>
      <c r="K5833" s="2" t="s">
        <v>495</v>
      </c>
      <c r="L5833" s="13" t="s">
        <v>496</v>
      </c>
      <c r="M5833" s="2" t="s">
        <v>26</v>
      </c>
      <c r="N5833" s="29"/>
      <c r="O5833" s="29"/>
      <c r="P5833" s="5" t="str">
        <f>IFERROR(__xludf.DUMMYFUNCTION("TEXTJOIN("" | "",TRUE,IF(OR(D5833="""",E5833="""",I5833="""",J5833="""",H5833=""""),""ফাঁকা ঘর"",""""),IF(AND(C5833&lt;&gt;"""",D5833&lt;&gt;"""",C5833=D5833),""gloss=figurative"",""""),IF(LEN(D5833)&lt;15,""figurative ছোট"",""""),IF(AND(I5833=""Positive"",REGEXMATCH(H5"&amp;"833,""মূর্খ|ভণ্ড|প্রতার|অলস|লোভ|স্বার্থ|অক্ষম|অযোগ্য|বোকা|কৃপণ|হিংস"")),""valence-target অমিল"",""""),IF(COUNTIF($B:$B,B5833)&gt;1,""ডুপ্লিকেট"",""""))"),"")</f>
        <v/>
      </c>
      <c r="Q5833" s="5" t="str">
        <f t="shared" si="1"/>
        <v>২ পরে</v>
      </c>
    </row>
    <row r="5834">
      <c r="A5834" s="4">
        <v>3714.0</v>
      </c>
      <c r="B5834" s="2" t="s">
        <v>23882</v>
      </c>
      <c r="C5834" s="2" t="s">
        <v>23883</v>
      </c>
      <c r="D5834" s="2" t="s">
        <v>23884</v>
      </c>
      <c r="E5834" s="2" t="s">
        <v>23885</v>
      </c>
      <c r="F5834" s="2" t="b">
        <v>1</v>
      </c>
      <c r="G5834" s="2" t="b">
        <v>1</v>
      </c>
      <c r="H5834" s="2" t="s">
        <v>800</v>
      </c>
      <c r="I5834" s="2" t="s">
        <v>32</v>
      </c>
      <c r="J5834" s="2" t="s">
        <v>1315</v>
      </c>
      <c r="K5834" s="2" t="s">
        <v>495</v>
      </c>
      <c r="L5834" s="13" t="s">
        <v>496</v>
      </c>
      <c r="M5834" s="2" t="s">
        <v>26</v>
      </c>
      <c r="N5834" s="29"/>
      <c r="O5834" s="29"/>
      <c r="P5834" s="5" t="str">
        <f>IFERROR(__xludf.DUMMYFUNCTION("TEXTJOIN("" | "",TRUE,IF(OR(D5834="""",E5834="""",I5834="""",J5834="""",H5834=""""),""ফাঁকা ঘর"",""""),IF(AND(C5834&lt;&gt;"""",D5834&lt;&gt;"""",C5834=D5834),""gloss=figurative"",""""),IF(LEN(D5834)&lt;15,""figurative ছোট"",""""),IF(AND(I5834=""Positive"",REGEXMATCH(H5"&amp;"834,""মূর্খ|ভণ্ড|প্রতার|অলস|লোভ|স্বার্থ|অক্ষম|অযোগ্য|বোকা|কৃপণ|হিংস"")),""valence-target অমিল"",""""),IF(COUNTIF($B:$B,B5834)&gt;1,""ডুপ্লিকেট"",""""))"),"")</f>
        <v/>
      </c>
      <c r="Q5834" s="5" t="str">
        <f t="shared" si="1"/>
        <v>২ পরে</v>
      </c>
    </row>
    <row r="5835">
      <c r="A5835" s="4">
        <v>3715.0</v>
      </c>
      <c r="B5835" s="2" t="s">
        <v>23886</v>
      </c>
      <c r="C5835" s="2" t="s">
        <v>23887</v>
      </c>
      <c r="D5835" s="2" t="s">
        <v>23888</v>
      </c>
      <c r="E5835" s="2" t="s">
        <v>23889</v>
      </c>
      <c r="F5835" s="2" t="b">
        <v>1</v>
      </c>
      <c r="G5835" s="2" t="b">
        <v>0</v>
      </c>
      <c r="H5835" s="2" t="s">
        <v>4349</v>
      </c>
      <c r="I5835" s="2" t="s">
        <v>22</v>
      </c>
      <c r="J5835" s="2" t="s">
        <v>43</v>
      </c>
      <c r="K5835" s="2" t="s">
        <v>495</v>
      </c>
      <c r="L5835" s="13" t="s">
        <v>496</v>
      </c>
      <c r="M5835" s="2" t="s">
        <v>26</v>
      </c>
      <c r="N5835" s="29"/>
      <c r="O5835" s="29"/>
      <c r="P5835" s="5" t="str">
        <f>IFERROR(__xludf.DUMMYFUNCTION("TEXTJOIN("" | "",TRUE,IF(OR(D5835="""",E5835="""",I5835="""",J5835="""",H5835=""""),""ফাঁকা ঘর"",""""),IF(AND(C5835&lt;&gt;"""",D5835&lt;&gt;"""",C5835=D5835),""gloss=figurative"",""""),IF(LEN(D5835)&lt;15,""figurative ছোট"",""""),IF(AND(I5835=""Positive"",REGEXMATCH(H5"&amp;"835,""মূর্খ|ভণ্ড|প্রতার|অলস|লোভ|স্বার্থ|অক্ষম|অযোগ্য|বোকা|কৃপণ|হিংস"")),""valence-target অমিল"",""""),IF(COUNTIF($B:$B,B5835)&gt;1,""ডুপ্লিকেট"",""""))"),"")</f>
        <v/>
      </c>
      <c r="Q5835" s="5" t="str">
        <f t="shared" si="1"/>
        <v>২ পরে</v>
      </c>
    </row>
    <row r="5836">
      <c r="A5836" s="4">
        <v>3716.0</v>
      </c>
      <c r="B5836" s="2" t="s">
        <v>23890</v>
      </c>
      <c r="C5836" s="2" t="s">
        <v>23891</v>
      </c>
      <c r="D5836" s="2" t="s">
        <v>23892</v>
      </c>
      <c r="E5836" s="2" t="s">
        <v>23893</v>
      </c>
      <c r="F5836" s="2" t="b">
        <v>1</v>
      </c>
      <c r="G5836" s="2" t="b">
        <v>0</v>
      </c>
      <c r="H5836" s="2" t="s">
        <v>37</v>
      </c>
      <c r="I5836" s="2" t="s">
        <v>32</v>
      </c>
      <c r="J5836" s="2" t="s">
        <v>23894</v>
      </c>
      <c r="K5836" s="2" t="s">
        <v>495</v>
      </c>
      <c r="L5836" s="13" t="s">
        <v>496</v>
      </c>
      <c r="M5836" s="2" t="s">
        <v>26</v>
      </c>
      <c r="N5836" s="29"/>
      <c r="O5836" s="29"/>
      <c r="P5836" s="5" t="str">
        <f>IFERROR(__xludf.DUMMYFUNCTION("TEXTJOIN("" | "",TRUE,IF(OR(D5836="""",E5836="""",I5836="""",J5836="""",H5836=""""),""ফাঁকা ঘর"",""""),IF(AND(C5836&lt;&gt;"""",D5836&lt;&gt;"""",C5836=D5836),""gloss=figurative"",""""),IF(LEN(D5836)&lt;15,""figurative ছোট"",""""),IF(AND(I5836=""Positive"",REGEXMATCH(H5"&amp;"836,""মূর্খ|ভণ্ড|প্রতার|অলস|লোভ|স্বার্থ|অক্ষম|অযোগ্য|বোকা|কৃপণ|হিংস"")),""valence-target অমিল"",""""),IF(COUNTIF($B:$B,B5836)&gt;1,""ডুপ্লিকেট"",""""))"),"")</f>
        <v/>
      </c>
      <c r="Q5836" s="5" t="str">
        <f t="shared" si="1"/>
        <v>২ পরে</v>
      </c>
    </row>
    <row r="5837">
      <c r="A5837" s="4">
        <v>3717.0</v>
      </c>
      <c r="B5837" s="2" t="s">
        <v>23895</v>
      </c>
      <c r="C5837" s="2" t="s">
        <v>23896</v>
      </c>
      <c r="D5837" s="2" t="s">
        <v>23897</v>
      </c>
      <c r="E5837" s="2" t="s">
        <v>23898</v>
      </c>
      <c r="F5837" s="2" t="b">
        <v>1</v>
      </c>
      <c r="G5837" s="2" t="b">
        <v>0</v>
      </c>
      <c r="H5837" s="2" t="s">
        <v>37</v>
      </c>
      <c r="I5837" s="2" t="s">
        <v>49</v>
      </c>
      <c r="J5837" s="2" t="s">
        <v>436</v>
      </c>
      <c r="K5837" s="2" t="s">
        <v>495</v>
      </c>
      <c r="L5837" s="13" t="s">
        <v>496</v>
      </c>
      <c r="M5837" s="2" t="s">
        <v>26</v>
      </c>
      <c r="N5837" s="29"/>
      <c r="O5837" s="29"/>
      <c r="P5837" s="5" t="str">
        <f>IFERROR(__xludf.DUMMYFUNCTION("TEXTJOIN("" | "",TRUE,IF(OR(D5837="""",E5837="""",I5837="""",J5837="""",H5837=""""),""ফাঁকা ঘর"",""""),IF(AND(C5837&lt;&gt;"""",D5837&lt;&gt;"""",C5837=D5837),""gloss=figurative"",""""),IF(LEN(D5837)&lt;15,""figurative ছোট"",""""),IF(AND(I5837=""Positive"",REGEXMATCH(H5"&amp;"837,""মূর্খ|ভণ্ড|প্রতার|অলস|লোভ|স্বার্থ|অক্ষম|অযোগ্য|বোকা|কৃপণ|হিংস"")),""valence-target অমিল"",""""),IF(COUNTIF($B:$B,B5837)&gt;1,""ডুপ্লিকেট"",""""))"),"")</f>
        <v/>
      </c>
      <c r="Q5837" s="5" t="str">
        <f t="shared" si="1"/>
        <v>২ পরে</v>
      </c>
    </row>
    <row r="5838">
      <c r="A5838" s="4">
        <v>3718.0</v>
      </c>
      <c r="B5838" s="2" t="s">
        <v>23899</v>
      </c>
      <c r="C5838" s="2" t="s">
        <v>23900</v>
      </c>
      <c r="D5838" s="2" t="s">
        <v>23901</v>
      </c>
      <c r="E5838" s="2" t="s">
        <v>23902</v>
      </c>
      <c r="F5838" s="2" t="b">
        <v>1</v>
      </c>
      <c r="G5838" s="2" t="b">
        <v>0</v>
      </c>
      <c r="H5838" s="2" t="s">
        <v>37</v>
      </c>
      <c r="I5838" s="2" t="s">
        <v>49</v>
      </c>
      <c r="J5838" s="2" t="s">
        <v>436</v>
      </c>
      <c r="K5838" s="2" t="s">
        <v>495</v>
      </c>
      <c r="L5838" s="13" t="s">
        <v>496</v>
      </c>
      <c r="M5838" s="2" t="s">
        <v>26</v>
      </c>
      <c r="N5838" s="29"/>
      <c r="O5838" s="29"/>
      <c r="P5838" s="5" t="str">
        <f>IFERROR(__xludf.DUMMYFUNCTION("TEXTJOIN("" | "",TRUE,IF(OR(D5838="""",E5838="""",I5838="""",J5838="""",H5838=""""),""ফাঁকা ঘর"",""""),IF(AND(C5838&lt;&gt;"""",D5838&lt;&gt;"""",C5838=D5838),""gloss=figurative"",""""),IF(LEN(D5838)&lt;15,""figurative ছোট"",""""),IF(AND(I5838=""Positive"",REGEXMATCH(H5"&amp;"838,""মূর্খ|ভণ্ড|প্রতার|অলস|লোভ|স্বার্থ|অক্ষম|অযোগ্য|বোকা|কৃপণ|হিংস"")),""valence-target অমিল"",""""),IF(COUNTIF($B:$B,B5838)&gt;1,""ডুপ্লিকেট"",""""))"),"")</f>
        <v/>
      </c>
      <c r="Q5838" s="5" t="str">
        <f t="shared" si="1"/>
        <v>২ পরে</v>
      </c>
    </row>
    <row r="5839">
      <c r="A5839" s="4">
        <v>3720.0</v>
      </c>
      <c r="B5839" s="2" t="s">
        <v>23903</v>
      </c>
      <c r="C5839" s="2" t="s">
        <v>23903</v>
      </c>
      <c r="D5839" s="2" t="s">
        <v>23904</v>
      </c>
      <c r="E5839" s="2" t="s">
        <v>23905</v>
      </c>
      <c r="F5839" s="2" t="b">
        <v>1</v>
      </c>
      <c r="G5839" s="2" t="b">
        <v>0</v>
      </c>
      <c r="H5839" s="2" t="s">
        <v>37</v>
      </c>
      <c r="I5839" s="2" t="s">
        <v>22</v>
      </c>
      <c r="J5839" s="2" t="s">
        <v>23906</v>
      </c>
      <c r="K5839" s="2" t="s">
        <v>495</v>
      </c>
      <c r="L5839" s="13" t="s">
        <v>496</v>
      </c>
      <c r="M5839" s="2" t="s">
        <v>26</v>
      </c>
      <c r="N5839" s="29"/>
      <c r="O5839" s="29"/>
      <c r="P5839" s="5" t="str">
        <f>IFERROR(__xludf.DUMMYFUNCTION("TEXTJOIN("" | "",TRUE,IF(OR(D5839="""",E5839="""",I5839="""",J5839="""",H5839=""""),""ফাঁকা ঘর"",""""),IF(AND(C5839&lt;&gt;"""",D5839&lt;&gt;"""",C5839=D5839),""gloss=figurative"",""""),IF(LEN(D5839)&lt;15,""figurative ছোট"",""""),IF(AND(I5839=""Positive"",REGEXMATCH(H5"&amp;"839,""মূর্খ|ভণ্ড|প্রতার|অলস|লোভ|স্বার্থ|অক্ষম|অযোগ্য|বোকা|কৃপণ|হিংস"")),""valence-target অমিল"",""""),IF(COUNTIF($B:$B,B5839)&gt;1,""ডুপ্লিকেট"",""""))"),"")</f>
        <v/>
      </c>
      <c r="Q5839" s="5" t="str">
        <f t="shared" si="1"/>
        <v>২ পরে</v>
      </c>
    </row>
    <row r="5840">
      <c r="A5840" s="4">
        <v>3721.0</v>
      </c>
      <c r="B5840" s="2" t="s">
        <v>23907</v>
      </c>
      <c r="C5840" s="2" t="s">
        <v>23908</v>
      </c>
      <c r="D5840" s="2" t="s">
        <v>23909</v>
      </c>
      <c r="E5840" s="2" t="s">
        <v>23910</v>
      </c>
      <c r="F5840" s="2" t="b">
        <v>1</v>
      </c>
      <c r="G5840" s="2" t="b">
        <v>0</v>
      </c>
      <c r="H5840" s="2" t="s">
        <v>37</v>
      </c>
      <c r="I5840" s="2" t="s">
        <v>32</v>
      </c>
      <c r="J5840" s="2" t="s">
        <v>3245</v>
      </c>
      <c r="K5840" s="2" t="s">
        <v>495</v>
      </c>
      <c r="L5840" s="13" t="s">
        <v>496</v>
      </c>
      <c r="M5840" s="2" t="s">
        <v>26</v>
      </c>
      <c r="N5840" s="29"/>
      <c r="O5840" s="29"/>
      <c r="P5840" s="5" t="str">
        <f>IFERROR(__xludf.DUMMYFUNCTION("TEXTJOIN("" | "",TRUE,IF(OR(D5840="""",E5840="""",I5840="""",J5840="""",H5840=""""),""ফাঁকা ঘর"",""""),IF(AND(C5840&lt;&gt;"""",D5840&lt;&gt;"""",C5840=D5840),""gloss=figurative"",""""),IF(LEN(D5840)&lt;15,""figurative ছোট"",""""),IF(AND(I5840=""Positive"",REGEXMATCH(H5"&amp;"840,""মূর্খ|ভণ্ড|প্রতার|অলস|লোভ|স্বার্থ|অক্ষম|অযোগ্য|বোকা|কৃপণ|হিংস"")),""valence-target অমিল"",""""),IF(COUNTIF($B:$B,B5840)&gt;1,""ডুপ্লিকেট"",""""))"),"")</f>
        <v/>
      </c>
      <c r="Q5840" s="5" t="str">
        <f t="shared" si="1"/>
        <v>২ পরে</v>
      </c>
    </row>
    <row r="5841">
      <c r="A5841" s="4">
        <v>3722.0</v>
      </c>
      <c r="B5841" s="2" t="s">
        <v>23911</v>
      </c>
      <c r="C5841" s="2" t="s">
        <v>23912</v>
      </c>
      <c r="D5841" s="2" t="s">
        <v>23913</v>
      </c>
      <c r="E5841" s="2" t="s">
        <v>23914</v>
      </c>
      <c r="F5841" s="2" t="b">
        <v>1</v>
      </c>
      <c r="G5841" s="2" t="b">
        <v>0</v>
      </c>
      <c r="H5841" s="2" t="s">
        <v>23915</v>
      </c>
      <c r="I5841" s="2" t="s">
        <v>22</v>
      </c>
      <c r="J5841" s="2" t="s">
        <v>814</v>
      </c>
      <c r="K5841" s="2" t="s">
        <v>495</v>
      </c>
      <c r="L5841" s="13" t="s">
        <v>496</v>
      </c>
      <c r="M5841" s="2" t="s">
        <v>26</v>
      </c>
      <c r="N5841" s="29"/>
      <c r="O5841" s="29"/>
      <c r="P5841" s="5" t="str">
        <f>IFERROR(__xludf.DUMMYFUNCTION("TEXTJOIN("" | "",TRUE,IF(OR(D5841="""",E5841="""",I5841="""",J5841="""",H5841=""""),""ফাঁকা ঘর"",""""),IF(AND(C5841&lt;&gt;"""",D5841&lt;&gt;"""",C5841=D5841),""gloss=figurative"",""""),IF(LEN(D5841)&lt;15,""figurative ছোট"",""""),IF(AND(I5841=""Positive"",REGEXMATCH(H5"&amp;"841,""মূর্খ|ভণ্ড|প্রতার|অলস|লোভ|স্বার্থ|অক্ষম|অযোগ্য|বোকা|কৃপণ|হিংস"")),""valence-target অমিল"",""""),IF(COUNTIF($B:$B,B5841)&gt;1,""ডুপ্লিকেট"",""""))"),"")</f>
        <v/>
      </c>
      <c r="Q5841" s="5" t="str">
        <f t="shared" si="1"/>
        <v>২ পরে</v>
      </c>
    </row>
    <row r="5842">
      <c r="A5842" s="4">
        <v>3723.0</v>
      </c>
      <c r="B5842" s="2" t="s">
        <v>23916</v>
      </c>
      <c r="C5842" s="2" t="s">
        <v>23917</v>
      </c>
      <c r="D5842" s="2" t="s">
        <v>20718</v>
      </c>
      <c r="E5842" s="2" t="s">
        <v>23918</v>
      </c>
      <c r="F5842" s="2" t="b">
        <v>1</v>
      </c>
      <c r="G5842" s="2" t="b">
        <v>0</v>
      </c>
      <c r="H5842" s="2" t="s">
        <v>37</v>
      </c>
      <c r="I5842" s="2" t="s">
        <v>22</v>
      </c>
      <c r="J5842" s="2" t="s">
        <v>621</v>
      </c>
      <c r="K5842" s="2" t="s">
        <v>495</v>
      </c>
      <c r="L5842" s="13" t="s">
        <v>496</v>
      </c>
      <c r="M5842" s="2" t="s">
        <v>26</v>
      </c>
      <c r="N5842" s="29"/>
      <c r="O5842" s="29"/>
      <c r="P5842" s="5" t="str">
        <f>IFERROR(__xludf.DUMMYFUNCTION("TEXTJOIN("" | "",TRUE,IF(OR(D5842="""",E5842="""",I5842="""",J5842="""",H5842=""""),""ফাঁকা ঘর"",""""),IF(AND(C5842&lt;&gt;"""",D5842&lt;&gt;"""",C5842=D5842),""gloss=figurative"",""""),IF(LEN(D5842)&lt;15,""figurative ছোট"",""""),IF(AND(I5842=""Positive"",REGEXMATCH(H5"&amp;"842,""মূর্খ|ভণ্ড|প্রতার|অলস|লোভ|স্বার্থ|অক্ষম|অযোগ্য|বোকা|কৃপণ|হিংস"")),""valence-target অমিল"",""""),IF(COUNTIF($B:$B,B5842)&gt;1,""ডুপ্লিকেট"",""""))"),"")</f>
        <v/>
      </c>
      <c r="Q5842" s="5" t="str">
        <f t="shared" si="1"/>
        <v>২ পরে</v>
      </c>
    </row>
    <row r="5843">
      <c r="A5843" s="4">
        <v>3724.0</v>
      </c>
      <c r="B5843" s="2" t="s">
        <v>23919</v>
      </c>
      <c r="C5843" s="2" t="s">
        <v>23920</v>
      </c>
      <c r="D5843" s="2" t="s">
        <v>23921</v>
      </c>
      <c r="E5843" s="2" t="s">
        <v>23922</v>
      </c>
      <c r="F5843" s="2" t="b">
        <v>1</v>
      </c>
      <c r="G5843" s="2" t="b">
        <v>0</v>
      </c>
      <c r="H5843" s="2" t="s">
        <v>756</v>
      </c>
      <c r="I5843" s="2" t="s">
        <v>22</v>
      </c>
      <c r="J5843" s="2" t="s">
        <v>2732</v>
      </c>
      <c r="K5843" s="2" t="s">
        <v>495</v>
      </c>
      <c r="L5843" s="13" t="s">
        <v>496</v>
      </c>
      <c r="M5843" s="2" t="s">
        <v>26</v>
      </c>
      <c r="N5843" s="29"/>
      <c r="O5843" s="29"/>
      <c r="P5843" s="5" t="str">
        <f>IFERROR(__xludf.DUMMYFUNCTION("TEXTJOIN("" | "",TRUE,IF(OR(D5843="""",E5843="""",I5843="""",J5843="""",H5843=""""),""ফাঁকা ঘর"",""""),IF(AND(C5843&lt;&gt;"""",D5843&lt;&gt;"""",C5843=D5843),""gloss=figurative"",""""),IF(LEN(D5843)&lt;15,""figurative ছোট"",""""),IF(AND(I5843=""Positive"",REGEXMATCH(H5"&amp;"843,""মূর্খ|ভণ্ড|প্রতার|অলস|লোভ|স্বার্থ|অক্ষম|অযোগ্য|বোকা|কৃপণ|হিংস"")),""valence-target অমিল"",""""),IF(COUNTIF($B:$B,B5843)&gt;1,""ডুপ্লিকেট"",""""))"),"")</f>
        <v/>
      </c>
      <c r="Q5843" s="5" t="str">
        <f t="shared" si="1"/>
        <v>২ পরে</v>
      </c>
    </row>
    <row r="5844">
      <c r="A5844" s="4">
        <v>3725.0</v>
      </c>
      <c r="B5844" s="2" t="s">
        <v>23923</v>
      </c>
      <c r="C5844" s="2" t="s">
        <v>23923</v>
      </c>
      <c r="D5844" s="2" t="s">
        <v>23924</v>
      </c>
      <c r="E5844" s="2" t="s">
        <v>23925</v>
      </c>
      <c r="F5844" s="2" t="b">
        <v>1</v>
      </c>
      <c r="G5844" s="2" t="b">
        <v>0</v>
      </c>
      <c r="H5844" s="2" t="s">
        <v>37</v>
      </c>
      <c r="I5844" s="2" t="s">
        <v>22</v>
      </c>
      <c r="J5844" s="2" t="s">
        <v>23926</v>
      </c>
      <c r="K5844" s="2" t="s">
        <v>495</v>
      </c>
      <c r="L5844" s="13" t="s">
        <v>496</v>
      </c>
      <c r="M5844" s="2" t="s">
        <v>26</v>
      </c>
      <c r="N5844" s="29"/>
      <c r="O5844" s="29"/>
      <c r="P5844" s="5" t="str">
        <f>IFERROR(__xludf.DUMMYFUNCTION("TEXTJOIN("" | "",TRUE,IF(OR(D5844="""",E5844="""",I5844="""",J5844="""",H5844=""""),""ফাঁকা ঘর"",""""),IF(AND(C5844&lt;&gt;"""",D5844&lt;&gt;"""",C5844=D5844),""gloss=figurative"",""""),IF(LEN(D5844)&lt;15,""figurative ছোট"",""""),IF(AND(I5844=""Positive"",REGEXMATCH(H5"&amp;"844,""মূর্খ|ভণ্ড|প্রতার|অলস|লোভ|স্বার্থ|অক্ষম|অযোগ্য|বোকা|কৃপণ|হিংস"")),""valence-target অমিল"",""""),IF(COUNTIF($B:$B,B5844)&gt;1,""ডুপ্লিকেট"",""""))"),"")</f>
        <v/>
      </c>
      <c r="Q5844" s="5" t="str">
        <f t="shared" si="1"/>
        <v>২ পরে</v>
      </c>
    </row>
    <row r="5845">
      <c r="A5845" s="4">
        <v>3726.0</v>
      </c>
      <c r="B5845" s="2" t="s">
        <v>23927</v>
      </c>
      <c r="C5845" s="2" t="s">
        <v>23927</v>
      </c>
      <c r="D5845" s="2" t="s">
        <v>23928</v>
      </c>
      <c r="E5845" s="2" t="s">
        <v>23929</v>
      </c>
      <c r="F5845" s="2" t="b">
        <v>1</v>
      </c>
      <c r="G5845" s="2" t="b">
        <v>0</v>
      </c>
      <c r="H5845" s="2" t="s">
        <v>37</v>
      </c>
      <c r="I5845" s="2" t="s">
        <v>22</v>
      </c>
      <c r="J5845" s="2" t="s">
        <v>16089</v>
      </c>
      <c r="K5845" s="2" t="s">
        <v>495</v>
      </c>
      <c r="L5845" s="13" t="s">
        <v>496</v>
      </c>
      <c r="M5845" s="2" t="s">
        <v>26</v>
      </c>
      <c r="N5845" s="29"/>
      <c r="O5845" s="29"/>
      <c r="P5845" s="5" t="str">
        <f>IFERROR(__xludf.DUMMYFUNCTION("TEXTJOIN("" | "",TRUE,IF(OR(D5845="""",E5845="""",I5845="""",J5845="""",H5845=""""),""ফাঁকা ঘর"",""""),IF(AND(C5845&lt;&gt;"""",D5845&lt;&gt;"""",C5845=D5845),""gloss=figurative"",""""),IF(LEN(D5845)&lt;15,""figurative ছোট"",""""),IF(AND(I5845=""Positive"",REGEXMATCH(H5"&amp;"845,""মূর্খ|ভণ্ড|প্রতার|অলস|লোভ|স্বার্থ|অক্ষম|অযোগ্য|বোকা|কৃপণ|হিংস"")),""valence-target অমিল"",""""),IF(COUNTIF($B:$B,B5845)&gt;1,""ডুপ্লিকেট"",""""))"),"")</f>
        <v/>
      </c>
      <c r="Q5845" s="5" t="str">
        <f t="shared" si="1"/>
        <v>২ পরে</v>
      </c>
    </row>
    <row r="5846">
      <c r="A5846" s="4">
        <v>3728.0</v>
      </c>
      <c r="B5846" s="2" t="s">
        <v>23930</v>
      </c>
      <c r="C5846" s="2" t="s">
        <v>23931</v>
      </c>
      <c r="D5846" s="2" t="s">
        <v>23932</v>
      </c>
      <c r="E5846" s="2" t="s">
        <v>23933</v>
      </c>
      <c r="F5846" s="2" t="b">
        <v>1</v>
      </c>
      <c r="G5846" s="2" t="b">
        <v>0</v>
      </c>
      <c r="H5846" s="2" t="s">
        <v>5591</v>
      </c>
      <c r="I5846" s="2" t="s">
        <v>49</v>
      </c>
      <c r="J5846" s="2" t="s">
        <v>1553</v>
      </c>
      <c r="K5846" s="2" t="s">
        <v>495</v>
      </c>
      <c r="L5846" s="13" t="s">
        <v>496</v>
      </c>
      <c r="M5846" s="2" t="s">
        <v>26</v>
      </c>
      <c r="N5846" s="29"/>
      <c r="O5846" s="29"/>
      <c r="P5846" s="5" t="str">
        <f>IFERROR(__xludf.DUMMYFUNCTION("TEXTJOIN("" | "",TRUE,IF(OR(D5846="""",E5846="""",I5846="""",J5846="""",H5846=""""),""ফাঁকা ঘর"",""""),IF(AND(C5846&lt;&gt;"""",D5846&lt;&gt;"""",C5846=D5846),""gloss=figurative"",""""),IF(LEN(D5846)&lt;15,""figurative ছোট"",""""),IF(AND(I5846=""Positive"",REGEXMATCH(H5"&amp;"846,""মূর্খ|ভণ্ড|প্রতার|অলস|লোভ|স্বার্থ|অক্ষম|অযোগ্য|বোকা|কৃপণ|হিংস"")),""valence-target অমিল"",""""),IF(COUNTIF($B:$B,B5846)&gt;1,""ডুপ্লিকেট"",""""))"),"")</f>
        <v/>
      </c>
      <c r="Q5846" s="5" t="str">
        <f t="shared" si="1"/>
        <v>২ পরে</v>
      </c>
    </row>
    <row r="5847">
      <c r="A5847" s="4">
        <v>3730.0</v>
      </c>
      <c r="B5847" s="2" t="s">
        <v>23934</v>
      </c>
      <c r="C5847" s="2" t="s">
        <v>23935</v>
      </c>
      <c r="D5847" s="2" t="s">
        <v>23936</v>
      </c>
      <c r="E5847" s="2" t="s">
        <v>23937</v>
      </c>
      <c r="F5847" s="2" t="b">
        <v>1</v>
      </c>
      <c r="G5847" s="2" t="b">
        <v>1</v>
      </c>
      <c r="H5847" s="2" t="s">
        <v>23938</v>
      </c>
      <c r="I5847" s="2" t="s">
        <v>22</v>
      </c>
      <c r="J5847" s="2" t="s">
        <v>820</v>
      </c>
      <c r="K5847" s="2" t="s">
        <v>495</v>
      </c>
      <c r="L5847" s="13" t="s">
        <v>496</v>
      </c>
      <c r="M5847" s="2" t="s">
        <v>26</v>
      </c>
      <c r="N5847" s="29"/>
      <c r="O5847" s="29"/>
      <c r="P5847" s="5" t="str">
        <f>IFERROR(__xludf.DUMMYFUNCTION("TEXTJOIN("" | "",TRUE,IF(OR(D5847="""",E5847="""",I5847="""",J5847="""",H5847=""""),""ফাঁকা ঘর"",""""),IF(AND(C5847&lt;&gt;"""",D5847&lt;&gt;"""",C5847=D5847),""gloss=figurative"",""""),IF(LEN(D5847)&lt;15,""figurative ছোট"",""""),IF(AND(I5847=""Positive"",REGEXMATCH(H5"&amp;"847,""মূর্খ|ভণ্ড|প্রতার|অলস|লোভ|স্বার্থ|অক্ষম|অযোগ্য|বোকা|কৃপণ|হিংস"")),""valence-target অমিল"",""""),IF(COUNTIF($B:$B,B5847)&gt;1,""ডুপ্লিকেট"",""""))"),"")</f>
        <v/>
      </c>
      <c r="Q5847" s="5" t="str">
        <f t="shared" si="1"/>
        <v>২ পরে</v>
      </c>
    </row>
    <row r="5848">
      <c r="A5848" s="4">
        <v>3731.0</v>
      </c>
      <c r="B5848" s="2" t="s">
        <v>23939</v>
      </c>
      <c r="C5848" s="2" t="s">
        <v>23940</v>
      </c>
      <c r="D5848" s="2" t="s">
        <v>23941</v>
      </c>
      <c r="E5848" s="2" t="s">
        <v>23942</v>
      </c>
      <c r="F5848" s="2" t="b">
        <v>1</v>
      </c>
      <c r="G5848" s="2" t="b">
        <v>1</v>
      </c>
      <c r="H5848" s="2" t="s">
        <v>1106</v>
      </c>
      <c r="I5848" s="2" t="s">
        <v>22</v>
      </c>
      <c r="J5848" s="2" t="s">
        <v>820</v>
      </c>
      <c r="K5848" s="2" t="s">
        <v>495</v>
      </c>
      <c r="L5848" s="13" t="s">
        <v>496</v>
      </c>
      <c r="M5848" s="2" t="s">
        <v>26</v>
      </c>
      <c r="N5848" s="29"/>
      <c r="O5848" s="29"/>
      <c r="P5848" s="5" t="str">
        <f>IFERROR(__xludf.DUMMYFUNCTION("TEXTJOIN("" | "",TRUE,IF(OR(D5848="""",E5848="""",I5848="""",J5848="""",H5848=""""),""ফাঁকা ঘর"",""""),IF(AND(C5848&lt;&gt;"""",D5848&lt;&gt;"""",C5848=D5848),""gloss=figurative"",""""),IF(LEN(D5848)&lt;15,""figurative ছোট"",""""),IF(AND(I5848=""Positive"",REGEXMATCH(H5"&amp;"848,""মূর্খ|ভণ্ড|প্রতার|অলস|লোভ|স্বার্থ|অক্ষম|অযোগ্য|বোকা|কৃপণ|হিংস"")),""valence-target অমিল"",""""),IF(COUNTIF($B:$B,B5848)&gt;1,""ডুপ্লিকেট"",""""))"),"")</f>
        <v/>
      </c>
      <c r="Q5848" s="5" t="str">
        <f t="shared" si="1"/>
        <v>২ পরে</v>
      </c>
    </row>
    <row r="5849">
      <c r="A5849" s="4">
        <v>3732.0</v>
      </c>
      <c r="B5849" s="2" t="s">
        <v>23943</v>
      </c>
      <c r="C5849" s="2" t="s">
        <v>23944</v>
      </c>
      <c r="D5849" s="2" t="s">
        <v>23945</v>
      </c>
      <c r="E5849" s="2" t="s">
        <v>23946</v>
      </c>
      <c r="F5849" s="2" t="b">
        <v>1</v>
      </c>
      <c r="G5849" s="2" t="b">
        <v>0</v>
      </c>
      <c r="H5849" s="2" t="s">
        <v>37</v>
      </c>
      <c r="I5849" s="2" t="s">
        <v>22</v>
      </c>
      <c r="J5849" s="2" t="s">
        <v>7349</v>
      </c>
      <c r="K5849" s="2" t="s">
        <v>495</v>
      </c>
      <c r="L5849" s="13" t="s">
        <v>496</v>
      </c>
      <c r="M5849" s="2" t="s">
        <v>26</v>
      </c>
      <c r="N5849" s="29"/>
      <c r="O5849" s="29"/>
      <c r="P5849" s="5" t="str">
        <f>IFERROR(__xludf.DUMMYFUNCTION("TEXTJOIN("" | "",TRUE,IF(OR(D5849="""",E5849="""",I5849="""",J5849="""",H5849=""""),""ফাঁকা ঘর"",""""),IF(AND(C5849&lt;&gt;"""",D5849&lt;&gt;"""",C5849=D5849),""gloss=figurative"",""""),IF(LEN(D5849)&lt;15,""figurative ছোট"",""""),IF(AND(I5849=""Positive"",REGEXMATCH(H5"&amp;"849,""মূর্খ|ভণ্ড|প্রতার|অলস|লোভ|স্বার্থ|অক্ষম|অযোগ্য|বোকা|কৃপণ|হিংস"")),""valence-target অমিল"",""""),IF(COUNTIF($B:$B,B5849)&gt;1,""ডুপ্লিকেট"",""""))"),"")</f>
        <v/>
      </c>
      <c r="Q5849" s="5" t="str">
        <f t="shared" si="1"/>
        <v>২ পরে</v>
      </c>
    </row>
    <row r="5850">
      <c r="A5850" s="4">
        <v>3733.0</v>
      </c>
      <c r="B5850" s="2" t="s">
        <v>23947</v>
      </c>
      <c r="C5850" s="2" t="s">
        <v>23948</v>
      </c>
      <c r="D5850" s="2" t="s">
        <v>23949</v>
      </c>
      <c r="E5850" s="2" t="s">
        <v>23950</v>
      </c>
      <c r="F5850" s="2" t="b">
        <v>1</v>
      </c>
      <c r="G5850" s="2" t="b">
        <v>0</v>
      </c>
      <c r="H5850" s="2" t="s">
        <v>37</v>
      </c>
      <c r="I5850" s="2" t="s">
        <v>22</v>
      </c>
      <c r="J5850" s="2" t="s">
        <v>1008</v>
      </c>
      <c r="K5850" s="2" t="s">
        <v>495</v>
      </c>
      <c r="L5850" s="13" t="s">
        <v>496</v>
      </c>
      <c r="M5850" s="2" t="s">
        <v>26</v>
      </c>
      <c r="N5850" s="29"/>
      <c r="O5850" s="29"/>
      <c r="P5850" s="5" t="str">
        <f>IFERROR(__xludf.DUMMYFUNCTION("TEXTJOIN("" | "",TRUE,IF(OR(D5850="""",E5850="""",I5850="""",J5850="""",H5850=""""),""ফাঁকা ঘর"",""""),IF(AND(C5850&lt;&gt;"""",D5850&lt;&gt;"""",C5850=D5850),""gloss=figurative"",""""),IF(LEN(D5850)&lt;15,""figurative ছোট"",""""),IF(AND(I5850=""Positive"",REGEXMATCH(H5"&amp;"850,""মূর্খ|ভণ্ড|প্রতার|অলস|লোভ|স্বার্থ|অক্ষম|অযোগ্য|বোকা|কৃপণ|হিংস"")),""valence-target অমিল"",""""),IF(COUNTIF($B:$B,B5850)&gt;1,""ডুপ্লিকেট"",""""))"),"")</f>
        <v/>
      </c>
      <c r="Q5850" s="5" t="str">
        <f t="shared" si="1"/>
        <v>২ পরে</v>
      </c>
    </row>
    <row r="5851">
      <c r="A5851" s="4">
        <v>3734.0</v>
      </c>
      <c r="B5851" s="2" t="s">
        <v>23951</v>
      </c>
      <c r="C5851" s="2" t="s">
        <v>23952</v>
      </c>
      <c r="D5851" s="2" t="s">
        <v>23953</v>
      </c>
      <c r="E5851" s="2" t="s">
        <v>23954</v>
      </c>
      <c r="F5851" s="2" t="b">
        <v>1</v>
      </c>
      <c r="G5851" s="2" t="b">
        <v>0</v>
      </c>
      <c r="H5851" s="2" t="s">
        <v>1686</v>
      </c>
      <c r="I5851" s="2" t="s">
        <v>22</v>
      </c>
      <c r="J5851" s="2" t="s">
        <v>20727</v>
      </c>
      <c r="K5851" s="2" t="s">
        <v>495</v>
      </c>
      <c r="L5851" s="13" t="s">
        <v>496</v>
      </c>
      <c r="M5851" s="2" t="s">
        <v>26</v>
      </c>
      <c r="N5851" s="29"/>
      <c r="O5851" s="29"/>
      <c r="P5851" s="5" t="str">
        <f>IFERROR(__xludf.DUMMYFUNCTION("TEXTJOIN("" | "",TRUE,IF(OR(D5851="""",E5851="""",I5851="""",J5851="""",H5851=""""),""ফাঁকা ঘর"",""""),IF(AND(C5851&lt;&gt;"""",D5851&lt;&gt;"""",C5851=D5851),""gloss=figurative"",""""),IF(LEN(D5851)&lt;15,""figurative ছোট"",""""),IF(AND(I5851=""Positive"",REGEXMATCH(H5"&amp;"851,""মূর্খ|ভণ্ড|প্রতার|অলস|লোভ|স্বার্থ|অক্ষম|অযোগ্য|বোকা|কৃপণ|হিংস"")),""valence-target অমিল"",""""),IF(COUNTIF($B:$B,B5851)&gt;1,""ডুপ্লিকেট"",""""))"),"")</f>
        <v/>
      </c>
      <c r="Q5851" s="5" t="str">
        <f t="shared" si="1"/>
        <v>২ পরে</v>
      </c>
    </row>
    <row r="5852">
      <c r="A5852" s="4">
        <v>3735.0</v>
      </c>
      <c r="B5852" s="2" t="s">
        <v>23955</v>
      </c>
      <c r="C5852" s="2" t="s">
        <v>23956</v>
      </c>
      <c r="D5852" s="2" t="s">
        <v>23957</v>
      </c>
      <c r="E5852" s="2" t="s">
        <v>23958</v>
      </c>
      <c r="F5852" s="2" t="b">
        <v>1</v>
      </c>
      <c r="G5852" s="2" t="b">
        <v>0</v>
      </c>
      <c r="H5852" s="2" t="s">
        <v>2078</v>
      </c>
      <c r="I5852" s="2" t="s">
        <v>22</v>
      </c>
      <c r="J5852" s="2" t="s">
        <v>1117</v>
      </c>
      <c r="K5852" s="2" t="s">
        <v>495</v>
      </c>
      <c r="L5852" s="13" t="s">
        <v>496</v>
      </c>
      <c r="M5852" s="2" t="s">
        <v>26</v>
      </c>
      <c r="N5852" s="29"/>
      <c r="O5852" s="29"/>
      <c r="P5852" s="5" t="str">
        <f>IFERROR(__xludf.DUMMYFUNCTION("TEXTJOIN("" | "",TRUE,IF(OR(D5852="""",E5852="""",I5852="""",J5852="""",H5852=""""),""ফাঁকা ঘর"",""""),IF(AND(C5852&lt;&gt;"""",D5852&lt;&gt;"""",C5852=D5852),""gloss=figurative"",""""),IF(LEN(D5852)&lt;15,""figurative ছোট"",""""),IF(AND(I5852=""Positive"",REGEXMATCH(H5"&amp;"852,""মূর্খ|ভণ্ড|প্রতার|অলস|লোভ|স্বার্থ|অক্ষম|অযোগ্য|বোকা|কৃপণ|হিংস"")),""valence-target অমিল"",""""),IF(COUNTIF($B:$B,B5852)&gt;1,""ডুপ্লিকেট"",""""))"),"")</f>
        <v/>
      </c>
      <c r="Q5852" s="5" t="str">
        <f t="shared" si="1"/>
        <v>২ পরে</v>
      </c>
    </row>
    <row r="5853">
      <c r="A5853" s="4">
        <v>3736.0</v>
      </c>
      <c r="B5853" s="2" t="s">
        <v>23959</v>
      </c>
      <c r="C5853" s="2" t="s">
        <v>23959</v>
      </c>
      <c r="D5853" s="2" t="s">
        <v>23960</v>
      </c>
      <c r="E5853" s="2" t="s">
        <v>23961</v>
      </c>
      <c r="F5853" s="2" t="b">
        <v>1</v>
      </c>
      <c r="G5853" s="2" t="b">
        <v>0</v>
      </c>
      <c r="H5853" s="2" t="s">
        <v>1025</v>
      </c>
      <c r="I5853" s="2" t="s">
        <v>22</v>
      </c>
      <c r="J5853" s="2" t="s">
        <v>964</v>
      </c>
      <c r="K5853" s="2" t="s">
        <v>495</v>
      </c>
      <c r="L5853" s="13" t="s">
        <v>496</v>
      </c>
      <c r="M5853" s="2" t="s">
        <v>26</v>
      </c>
      <c r="N5853" s="29"/>
      <c r="O5853" s="29"/>
      <c r="P5853" s="5" t="str">
        <f>IFERROR(__xludf.DUMMYFUNCTION("TEXTJOIN("" | "",TRUE,IF(OR(D5853="""",E5853="""",I5853="""",J5853="""",H5853=""""),""ফাঁকা ঘর"",""""),IF(AND(C5853&lt;&gt;"""",D5853&lt;&gt;"""",C5853=D5853),""gloss=figurative"",""""),IF(LEN(D5853)&lt;15,""figurative ছোট"",""""),IF(AND(I5853=""Positive"",REGEXMATCH(H5"&amp;"853,""মূর্খ|ভণ্ড|প্রতার|অলস|লোভ|স্বার্থ|অক্ষম|অযোগ্য|বোকা|কৃপণ|হিংস"")),""valence-target অমিল"",""""),IF(COUNTIF($B:$B,B5853)&gt;1,""ডুপ্লিকেট"",""""))"),"")</f>
        <v/>
      </c>
      <c r="Q5853" s="5" t="str">
        <f t="shared" si="1"/>
        <v>২ পরে</v>
      </c>
    </row>
    <row r="5854">
      <c r="A5854" s="4">
        <v>3737.0</v>
      </c>
      <c r="B5854" s="2" t="s">
        <v>23962</v>
      </c>
      <c r="C5854" s="2" t="s">
        <v>23963</v>
      </c>
      <c r="D5854" s="2" t="s">
        <v>23964</v>
      </c>
      <c r="E5854" s="2" t="s">
        <v>23965</v>
      </c>
      <c r="F5854" s="2" t="b">
        <v>1</v>
      </c>
      <c r="G5854" s="2" t="b">
        <v>0</v>
      </c>
      <c r="H5854" s="2" t="s">
        <v>23966</v>
      </c>
      <c r="I5854" s="2" t="s">
        <v>22</v>
      </c>
      <c r="J5854" s="2" t="s">
        <v>225</v>
      </c>
      <c r="K5854" s="2" t="s">
        <v>495</v>
      </c>
      <c r="L5854" s="13" t="s">
        <v>496</v>
      </c>
      <c r="M5854" s="2" t="s">
        <v>26</v>
      </c>
      <c r="N5854" s="29"/>
      <c r="O5854" s="29"/>
      <c r="P5854" s="5" t="str">
        <f>IFERROR(__xludf.DUMMYFUNCTION("TEXTJOIN("" | "",TRUE,IF(OR(D5854="""",E5854="""",I5854="""",J5854="""",H5854=""""),""ফাঁকা ঘর"",""""),IF(AND(C5854&lt;&gt;"""",D5854&lt;&gt;"""",C5854=D5854),""gloss=figurative"",""""),IF(LEN(D5854)&lt;15,""figurative ছোট"",""""),IF(AND(I5854=""Positive"",REGEXMATCH(H5"&amp;"854,""মূর্খ|ভণ্ড|প্রতার|অলস|লোভ|স্বার্থ|অক্ষম|অযোগ্য|বোকা|কৃপণ|হিংস"")),""valence-target অমিল"",""""),IF(COUNTIF($B:$B,B5854)&gt;1,""ডুপ্লিকেট"",""""))"),"")</f>
        <v/>
      </c>
      <c r="Q5854" s="5" t="str">
        <f t="shared" si="1"/>
        <v>২ পরে</v>
      </c>
    </row>
    <row r="5855">
      <c r="A5855" s="4">
        <v>3738.0</v>
      </c>
      <c r="B5855" s="2" t="s">
        <v>9086</v>
      </c>
      <c r="C5855" s="2" t="s">
        <v>9086</v>
      </c>
      <c r="D5855" s="2" t="s">
        <v>23967</v>
      </c>
      <c r="E5855" s="2" t="s">
        <v>5049</v>
      </c>
      <c r="F5855" s="2" t="b">
        <v>1</v>
      </c>
      <c r="G5855" s="2" t="b">
        <v>0</v>
      </c>
      <c r="H5855" s="2" t="s">
        <v>37</v>
      </c>
      <c r="I5855" s="2" t="s">
        <v>32</v>
      </c>
      <c r="J5855" s="2" t="s">
        <v>565</v>
      </c>
      <c r="K5855" s="2" t="s">
        <v>495</v>
      </c>
      <c r="L5855" s="13" t="s">
        <v>496</v>
      </c>
      <c r="M5855" s="2" t="s">
        <v>26</v>
      </c>
      <c r="N5855" s="29"/>
      <c r="O5855" s="29"/>
      <c r="P5855" s="5" t="str">
        <f>IFERROR(__xludf.DUMMYFUNCTION("TEXTJOIN("" | "",TRUE,IF(OR(D5855="""",E5855="""",I5855="""",J5855="""",H5855=""""),""ফাঁকা ঘর"",""""),IF(AND(C5855&lt;&gt;"""",D5855&lt;&gt;"""",C5855=D5855),""gloss=figurative"",""""),IF(LEN(D5855)&lt;15,""figurative ছোট"",""""),IF(AND(I5855=""Positive"",REGEXMATCH(H5"&amp;"855,""মূর্খ|ভণ্ড|প্রতার|অলস|লোভ|স্বার্থ|অক্ষম|অযোগ্য|বোকা|কৃপণ|হিংস"")),""valence-target অমিল"",""""),IF(COUNTIF($B:$B,B5855)&gt;1,""ডুপ্লিকেট"",""""))"),"")</f>
        <v/>
      </c>
      <c r="Q5855" s="5" t="str">
        <f t="shared" si="1"/>
        <v>২ পরে</v>
      </c>
    </row>
    <row r="5856">
      <c r="A5856" s="4">
        <v>3739.0</v>
      </c>
      <c r="B5856" s="2" t="s">
        <v>23968</v>
      </c>
      <c r="C5856" s="2" t="s">
        <v>23969</v>
      </c>
      <c r="D5856" s="2" t="s">
        <v>23970</v>
      </c>
      <c r="E5856" s="2" t="s">
        <v>23971</v>
      </c>
      <c r="F5856" s="2" t="b">
        <v>1</v>
      </c>
      <c r="G5856" s="2" t="b">
        <v>0</v>
      </c>
      <c r="H5856" s="2" t="s">
        <v>37</v>
      </c>
      <c r="I5856" s="2" t="s">
        <v>32</v>
      </c>
      <c r="J5856" s="2" t="s">
        <v>1244</v>
      </c>
      <c r="K5856" s="2" t="s">
        <v>495</v>
      </c>
      <c r="L5856" s="13" t="s">
        <v>496</v>
      </c>
      <c r="M5856" s="2" t="s">
        <v>26</v>
      </c>
      <c r="N5856" s="29"/>
      <c r="O5856" s="29"/>
      <c r="P5856" s="5" t="str">
        <f>IFERROR(__xludf.DUMMYFUNCTION("TEXTJOIN("" | "",TRUE,IF(OR(D5856="""",E5856="""",I5856="""",J5856="""",H5856=""""),""ফাঁকা ঘর"",""""),IF(AND(C5856&lt;&gt;"""",D5856&lt;&gt;"""",C5856=D5856),""gloss=figurative"",""""),IF(LEN(D5856)&lt;15,""figurative ছোট"",""""),IF(AND(I5856=""Positive"",REGEXMATCH(H5"&amp;"856,""মূর্খ|ভণ্ড|প্রতার|অলস|লোভ|স্বার্থ|অক্ষম|অযোগ্য|বোকা|কৃপণ|হিংস"")),""valence-target অমিল"",""""),IF(COUNTIF($B:$B,B5856)&gt;1,""ডুপ্লিকেট"",""""))"),"")</f>
        <v/>
      </c>
      <c r="Q5856" s="5" t="str">
        <f t="shared" si="1"/>
        <v>২ পরে</v>
      </c>
    </row>
    <row r="5857">
      <c r="A5857" s="4">
        <v>3740.0</v>
      </c>
      <c r="B5857" s="2" t="s">
        <v>23972</v>
      </c>
      <c r="C5857" s="2" t="s">
        <v>23973</v>
      </c>
      <c r="D5857" s="2" t="s">
        <v>23974</v>
      </c>
      <c r="E5857" s="2" t="s">
        <v>23975</v>
      </c>
      <c r="F5857" s="2" t="b">
        <v>1</v>
      </c>
      <c r="G5857" s="2" t="b">
        <v>0</v>
      </c>
      <c r="H5857" s="2" t="s">
        <v>37</v>
      </c>
      <c r="I5857" s="2" t="s">
        <v>32</v>
      </c>
      <c r="J5857" s="2" t="s">
        <v>176</v>
      </c>
      <c r="K5857" s="2" t="s">
        <v>495</v>
      </c>
      <c r="L5857" s="13" t="s">
        <v>496</v>
      </c>
      <c r="M5857" s="2" t="s">
        <v>26</v>
      </c>
      <c r="N5857" s="29"/>
      <c r="O5857" s="29"/>
      <c r="P5857" s="5" t="str">
        <f>IFERROR(__xludf.DUMMYFUNCTION("TEXTJOIN("" | "",TRUE,IF(OR(D5857="""",E5857="""",I5857="""",J5857="""",H5857=""""),""ফাঁকা ঘর"",""""),IF(AND(C5857&lt;&gt;"""",D5857&lt;&gt;"""",C5857=D5857),""gloss=figurative"",""""),IF(LEN(D5857)&lt;15,""figurative ছোট"",""""),IF(AND(I5857=""Positive"",REGEXMATCH(H5"&amp;"857,""মূর্খ|ভণ্ড|প্রতার|অলস|লোভ|স্বার্থ|অক্ষম|অযোগ্য|বোকা|কৃপণ|হিংস"")),""valence-target অমিল"",""""),IF(COUNTIF($B:$B,B5857)&gt;1,""ডুপ্লিকেট"",""""))"),"")</f>
        <v/>
      </c>
      <c r="Q5857" s="5" t="str">
        <f t="shared" si="1"/>
        <v>২ পরে</v>
      </c>
    </row>
    <row r="5858">
      <c r="A5858" s="4">
        <v>3741.0</v>
      </c>
      <c r="B5858" s="2" t="s">
        <v>23976</v>
      </c>
      <c r="C5858" s="2" t="s">
        <v>23977</v>
      </c>
      <c r="D5858" s="2" t="s">
        <v>23978</v>
      </c>
      <c r="E5858" s="2" t="s">
        <v>23979</v>
      </c>
      <c r="F5858" s="2" t="b">
        <v>1</v>
      </c>
      <c r="G5858" s="2" t="b">
        <v>0</v>
      </c>
      <c r="H5858" s="2" t="s">
        <v>246</v>
      </c>
      <c r="I5858" s="2" t="s">
        <v>22</v>
      </c>
      <c r="J5858" s="2" t="s">
        <v>43</v>
      </c>
      <c r="K5858" s="2" t="s">
        <v>495</v>
      </c>
      <c r="L5858" s="13" t="s">
        <v>496</v>
      </c>
      <c r="M5858" s="2" t="s">
        <v>26</v>
      </c>
      <c r="N5858" s="29"/>
      <c r="O5858" s="29"/>
      <c r="P5858" s="5" t="str">
        <f>IFERROR(__xludf.DUMMYFUNCTION("TEXTJOIN("" | "",TRUE,IF(OR(D5858="""",E5858="""",I5858="""",J5858="""",H5858=""""),""ফাঁকা ঘর"",""""),IF(AND(C5858&lt;&gt;"""",D5858&lt;&gt;"""",C5858=D5858),""gloss=figurative"",""""),IF(LEN(D5858)&lt;15,""figurative ছোট"",""""),IF(AND(I5858=""Positive"",REGEXMATCH(H5"&amp;"858,""মূর্খ|ভণ্ড|প্রতার|অলস|লোভ|স্বার্থ|অক্ষম|অযোগ্য|বোকা|কৃপণ|হিংস"")),""valence-target অমিল"",""""),IF(COUNTIF($B:$B,B5858)&gt;1,""ডুপ্লিকেট"",""""))"),"")</f>
        <v/>
      </c>
      <c r="Q5858" s="5" t="str">
        <f t="shared" si="1"/>
        <v>২ পরে</v>
      </c>
    </row>
    <row r="5859">
      <c r="A5859" s="4">
        <v>3742.0</v>
      </c>
      <c r="B5859" s="2" t="s">
        <v>23980</v>
      </c>
      <c r="C5859" s="2" t="s">
        <v>23981</v>
      </c>
      <c r="D5859" s="2" t="s">
        <v>23982</v>
      </c>
      <c r="E5859" s="2" t="s">
        <v>23983</v>
      </c>
      <c r="F5859" s="2" t="b">
        <v>1</v>
      </c>
      <c r="G5859" s="2" t="b">
        <v>0</v>
      </c>
      <c r="H5859" s="2" t="s">
        <v>17597</v>
      </c>
      <c r="I5859" s="2" t="s">
        <v>22</v>
      </c>
      <c r="J5859" s="2" t="s">
        <v>3710</v>
      </c>
      <c r="K5859" s="2" t="s">
        <v>495</v>
      </c>
      <c r="L5859" s="13" t="s">
        <v>496</v>
      </c>
      <c r="M5859" s="2" t="s">
        <v>26</v>
      </c>
      <c r="N5859" s="29"/>
      <c r="O5859" s="29"/>
      <c r="P5859" s="5" t="str">
        <f>IFERROR(__xludf.DUMMYFUNCTION("TEXTJOIN("" | "",TRUE,IF(OR(D5859="""",E5859="""",I5859="""",J5859="""",H5859=""""),""ফাঁকা ঘর"",""""),IF(AND(C5859&lt;&gt;"""",D5859&lt;&gt;"""",C5859=D5859),""gloss=figurative"",""""),IF(LEN(D5859)&lt;15,""figurative ছোট"",""""),IF(AND(I5859=""Positive"",REGEXMATCH(H5"&amp;"859,""মূর্খ|ভণ্ড|প্রতার|অলস|লোভ|স্বার্থ|অক্ষম|অযোগ্য|বোকা|কৃপণ|হিংস"")),""valence-target অমিল"",""""),IF(COUNTIF($B:$B,B5859)&gt;1,""ডুপ্লিকেট"",""""))"),"")</f>
        <v/>
      </c>
      <c r="Q5859" s="5" t="str">
        <f t="shared" si="1"/>
        <v>২ পরে</v>
      </c>
    </row>
    <row r="5860">
      <c r="A5860" s="4">
        <v>3743.0</v>
      </c>
      <c r="B5860" s="2" t="s">
        <v>23984</v>
      </c>
      <c r="C5860" s="2" t="s">
        <v>23985</v>
      </c>
      <c r="D5860" s="2" t="s">
        <v>23986</v>
      </c>
      <c r="E5860" s="2" t="s">
        <v>23987</v>
      </c>
      <c r="F5860" s="2" t="b">
        <v>1</v>
      </c>
      <c r="G5860" s="2" t="b">
        <v>0</v>
      </c>
      <c r="H5860" s="2" t="s">
        <v>37</v>
      </c>
      <c r="I5860" s="2" t="s">
        <v>32</v>
      </c>
      <c r="J5860" s="2" t="s">
        <v>17749</v>
      </c>
      <c r="K5860" s="2" t="s">
        <v>495</v>
      </c>
      <c r="L5860" s="13" t="s">
        <v>496</v>
      </c>
      <c r="M5860" s="2" t="s">
        <v>26</v>
      </c>
      <c r="N5860" s="29"/>
      <c r="O5860" s="29"/>
      <c r="P5860" s="5" t="str">
        <f>IFERROR(__xludf.DUMMYFUNCTION("TEXTJOIN("" | "",TRUE,IF(OR(D5860="""",E5860="""",I5860="""",J5860="""",H5860=""""),""ফাঁকা ঘর"",""""),IF(AND(C5860&lt;&gt;"""",D5860&lt;&gt;"""",C5860=D5860),""gloss=figurative"",""""),IF(LEN(D5860)&lt;15,""figurative ছোট"",""""),IF(AND(I5860=""Positive"",REGEXMATCH(H5"&amp;"860,""মূর্খ|ভণ্ড|প্রতার|অলস|লোভ|স্বার্থ|অক্ষম|অযোগ্য|বোকা|কৃপণ|হিংস"")),""valence-target অমিল"",""""),IF(COUNTIF($B:$B,B5860)&gt;1,""ডুপ্লিকেট"",""""))"),"")</f>
        <v/>
      </c>
      <c r="Q5860" s="5" t="str">
        <f t="shared" si="1"/>
        <v>২ পরে</v>
      </c>
    </row>
    <row r="5861">
      <c r="A5861" s="4">
        <v>3744.0</v>
      </c>
      <c r="B5861" s="2" t="s">
        <v>23988</v>
      </c>
      <c r="C5861" s="2" t="s">
        <v>23989</v>
      </c>
      <c r="D5861" s="2" t="s">
        <v>23990</v>
      </c>
      <c r="E5861" s="2" t="s">
        <v>23991</v>
      </c>
      <c r="F5861" s="2" t="b">
        <v>1</v>
      </c>
      <c r="G5861" s="2" t="b">
        <v>0</v>
      </c>
      <c r="H5861" s="2" t="s">
        <v>37</v>
      </c>
      <c r="I5861" s="2" t="s">
        <v>22</v>
      </c>
      <c r="J5861" s="2" t="s">
        <v>17749</v>
      </c>
      <c r="K5861" s="2" t="s">
        <v>495</v>
      </c>
      <c r="L5861" s="13" t="s">
        <v>496</v>
      </c>
      <c r="M5861" s="2" t="s">
        <v>26</v>
      </c>
      <c r="N5861" s="29"/>
      <c r="O5861" s="29"/>
      <c r="P5861" s="5" t="str">
        <f>IFERROR(__xludf.DUMMYFUNCTION("TEXTJOIN("" | "",TRUE,IF(OR(D5861="""",E5861="""",I5861="""",J5861="""",H5861=""""),""ফাঁকা ঘর"",""""),IF(AND(C5861&lt;&gt;"""",D5861&lt;&gt;"""",C5861=D5861),""gloss=figurative"",""""),IF(LEN(D5861)&lt;15,""figurative ছোট"",""""),IF(AND(I5861=""Positive"",REGEXMATCH(H5"&amp;"861,""মূর্খ|ভণ্ড|প্রতার|অলস|লোভ|স্বার্থ|অক্ষম|অযোগ্য|বোকা|কৃপণ|হিংস"")),""valence-target অমিল"",""""),IF(COUNTIF($B:$B,B5861)&gt;1,""ডুপ্লিকেট"",""""))"),"")</f>
        <v/>
      </c>
      <c r="Q5861" s="5" t="str">
        <f t="shared" si="1"/>
        <v>২ পরে</v>
      </c>
    </row>
    <row r="5862">
      <c r="A5862" s="4">
        <v>3745.0</v>
      </c>
      <c r="B5862" s="2" t="s">
        <v>23992</v>
      </c>
      <c r="C5862" s="2" t="s">
        <v>23993</v>
      </c>
      <c r="D5862" s="2" t="s">
        <v>23994</v>
      </c>
      <c r="E5862" s="2" t="s">
        <v>23995</v>
      </c>
      <c r="F5862" s="2" t="b">
        <v>1</v>
      </c>
      <c r="G5862" s="2" t="b">
        <v>0</v>
      </c>
      <c r="H5862" s="2" t="s">
        <v>37</v>
      </c>
      <c r="I5862" s="2" t="s">
        <v>22</v>
      </c>
      <c r="J5862" s="2" t="s">
        <v>17749</v>
      </c>
      <c r="K5862" s="2" t="s">
        <v>495</v>
      </c>
      <c r="L5862" s="13" t="s">
        <v>496</v>
      </c>
      <c r="M5862" s="2" t="s">
        <v>26</v>
      </c>
      <c r="N5862" s="29"/>
      <c r="O5862" s="29"/>
      <c r="P5862" s="5" t="str">
        <f>IFERROR(__xludf.DUMMYFUNCTION("TEXTJOIN("" | "",TRUE,IF(OR(D5862="""",E5862="""",I5862="""",J5862="""",H5862=""""),""ফাঁকা ঘর"",""""),IF(AND(C5862&lt;&gt;"""",D5862&lt;&gt;"""",C5862=D5862),""gloss=figurative"",""""),IF(LEN(D5862)&lt;15,""figurative ছোট"",""""),IF(AND(I5862=""Positive"",REGEXMATCH(H5"&amp;"862,""মূর্খ|ভণ্ড|প্রতার|অলস|লোভ|স্বার্থ|অক্ষম|অযোগ্য|বোকা|কৃপণ|হিংস"")),""valence-target অমিল"",""""),IF(COUNTIF($B:$B,B5862)&gt;1,""ডুপ্লিকেট"",""""))"),"")</f>
        <v/>
      </c>
      <c r="Q5862" s="5" t="str">
        <f t="shared" si="1"/>
        <v>২ পরে</v>
      </c>
    </row>
    <row r="5863">
      <c r="A5863" s="4">
        <v>3746.0</v>
      </c>
      <c r="B5863" s="2" t="s">
        <v>23996</v>
      </c>
      <c r="C5863" s="2" t="s">
        <v>23997</v>
      </c>
      <c r="D5863" s="2" t="s">
        <v>23998</v>
      </c>
      <c r="E5863" s="2" t="s">
        <v>23999</v>
      </c>
      <c r="F5863" s="2" t="b">
        <v>1</v>
      </c>
      <c r="G5863" s="2" t="b">
        <v>0</v>
      </c>
      <c r="H5863" s="2" t="s">
        <v>21013</v>
      </c>
      <c r="I5863" s="2" t="s">
        <v>22</v>
      </c>
      <c r="J5863" s="2" t="s">
        <v>447</v>
      </c>
      <c r="K5863" s="2" t="s">
        <v>495</v>
      </c>
      <c r="L5863" s="13" t="s">
        <v>496</v>
      </c>
      <c r="M5863" s="2" t="s">
        <v>26</v>
      </c>
      <c r="N5863" s="29"/>
      <c r="O5863" s="29"/>
      <c r="P5863" s="5" t="str">
        <f>IFERROR(__xludf.DUMMYFUNCTION("TEXTJOIN("" | "",TRUE,IF(OR(D5863="""",E5863="""",I5863="""",J5863="""",H5863=""""),""ফাঁকা ঘর"",""""),IF(AND(C5863&lt;&gt;"""",D5863&lt;&gt;"""",C5863=D5863),""gloss=figurative"",""""),IF(LEN(D5863)&lt;15,""figurative ছোট"",""""),IF(AND(I5863=""Positive"",REGEXMATCH(H5"&amp;"863,""মূর্খ|ভণ্ড|প্রতার|অলস|লোভ|স্বার্থ|অক্ষম|অযোগ্য|বোকা|কৃপণ|হিংস"")),""valence-target অমিল"",""""),IF(COUNTIF($B:$B,B5863)&gt;1,""ডুপ্লিকেট"",""""))"),"")</f>
        <v/>
      </c>
      <c r="Q5863" s="5" t="str">
        <f t="shared" si="1"/>
        <v>২ পরে</v>
      </c>
    </row>
    <row r="5864">
      <c r="A5864" s="4">
        <v>3747.0</v>
      </c>
      <c r="B5864" s="2" t="s">
        <v>24000</v>
      </c>
      <c r="C5864" s="2" t="s">
        <v>24001</v>
      </c>
      <c r="D5864" s="2" t="s">
        <v>24002</v>
      </c>
      <c r="E5864" s="2" t="s">
        <v>24003</v>
      </c>
      <c r="F5864" s="2" t="b">
        <v>1</v>
      </c>
      <c r="G5864" s="2" t="b">
        <v>0</v>
      </c>
      <c r="H5864" s="2" t="s">
        <v>37</v>
      </c>
      <c r="I5864" s="2" t="s">
        <v>32</v>
      </c>
      <c r="J5864" s="2" t="s">
        <v>1414</v>
      </c>
      <c r="K5864" s="2" t="s">
        <v>495</v>
      </c>
      <c r="L5864" s="13" t="s">
        <v>496</v>
      </c>
      <c r="M5864" s="2" t="s">
        <v>26</v>
      </c>
      <c r="N5864" s="29"/>
      <c r="O5864" s="29"/>
      <c r="P5864" s="5" t="str">
        <f>IFERROR(__xludf.DUMMYFUNCTION("TEXTJOIN("" | "",TRUE,IF(OR(D5864="""",E5864="""",I5864="""",J5864="""",H5864=""""),""ফাঁকা ঘর"",""""),IF(AND(C5864&lt;&gt;"""",D5864&lt;&gt;"""",C5864=D5864),""gloss=figurative"",""""),IF(LEN(D5864)&lt;15,""figurative ছোট"",""""),IF(AND(I5864=""Positive"",REGEXMATCH(H5"&amp;"864,""মূর্খ|ভণ্ড|প্রতার|অলস|লোভ|স্বার্থ|অক্ষম|অযোগ্য|বোকা|কৃপণ|হিংস"")),""valence-target অমিল"",""""),IF(COUNTIF($B:$B,B5864)&gt;1,""ডুপ্লিকেট"",""""))"),"")</f>
        <v/>
      </c>
      <c r="Q5864" s="5" t="str">
        <f t="shared" si="1"/>
        <v>২ পরে</v>
      </c>
    </row>
    <row r="5865">
      <c r="A5865" s="4">
        <v>3748.0</v>
      </c>
      <c r="B5865" s="2" t="s">
        <v>24004</v>
      </c>
      <c r="C5865" s="2" t="s">
        <v>24005</v>
      </c>
      <c r="D5865" s="2" t="s">
        <v>24006</v>
      </c>
      <c r="E5865" s="2" t="s">
        <v>24007</v>
      </c>
      <c r="F5865" s="2" t="b">
        <v>1</v>
      </c>
      <c r="G5865" s="2" t="b">
        <v>0</v>
      </c>
      <c r="H5865" s="2" t="s">
        <v>37</v>
      </c>
      <c r="I5865" s="2" t="s">
        <v>32</v>
      </c>
      <c r="J5865" s="2" t="s">
        <v>1414</v>
      </c>
      <c r="K5865" s="2" t="s">
        <v>495</v>
      </c>
      <c r="L5865" s="13" t="s">
        <v>496</v>
      </c>
      <c r="M5865" s="2" t="s">
        <v>26</v>
      </c>
      <c r="N5865" s="29"/>
      <c r="O5865" s="29"/>
      <c r="P5865" s="5" t="str">
        <f>IFERROR(__xludf.DUMMYFUNCTION("TEXTJOIN("" | "",TRUE,IF(OR(D5865="""",E5865="""",I5865="""",J5865="""",H5865=""""),""ফাঁকা ঘর"",""""),IF(AND(C5865&lt;&gt;"""",D5865&lt;&gt;"""",C5865=D5865),""gloss=figurative"",""""),IF(LEN(D5865)&lt;15,""figurative ছোট"",""""),IF(AND(I5865=""Positive"",REGEXMATCH(H5"&amp;"865,""মূর্খ|ভণ্ড|প্রতার|অলস|লোভ|স্বার্থ|অক্ষম|অযোগ্য|বোকা|কৃপণ|হিংস"")),""valence-target অমিল"",""""),IF(COUNTIF($B:$B,B5865)&gt;1,""ডুপ্লিকেট"",""""))"),"")</f>
        <v/>
      </c>
      <c r="Q5865" s="5" t="str">
        <f t="shared" si="1"/>
        <v>২ পরে</v>
      </c>
    </row>
    <row r="5866">
      <c r="A5866" s="4">
        <v>3749.0</v>
      </c>
      <c r="B5866" s="2" t="s">
        <v>24008</v>
      </c>
      <c r="C5866" s="2" t="s">
        <v>24009</v>
      </c>
      <c r="D5866" s="2" t="s">
        <v>24010</v>
      </c>
      <c r="E5866" s="2" t="s">
        <v>24011</v>
      </c>
      <c r="F5866" s="2" t="b">
        <v>1</v>
      </c>
      <c r="G5866" s="2" t="b">
        <v>0</v>
      </c>
      <c r="H5866" s="2" t="s">
        <v>813</v>
      </c>
      <c r="I5866" s="2" t="s">
        <v>32</v>
      </c>
      <c r="J5866" s="2" t="s">
        <v>814</v>
      </c>
      <c r="K5866" s="2" t="s">
        <v>495</v>
      </c>
      <c r="L5866" s="13" t="s">
        <v>496</v>
      </c>
      <c r="M5866" s="2" t="s">
        <v>26</v>
      </c>
      <c r="N5866" s="29"/>
      <c r="O5866" s="29"/>
      <c r="P5866" s="5" t="str">
        <f>IFERROR(__xludf.DUMMYFUNCTION("TEXTJOIN("" | "",TRUE,IF(OR(D5866="""",E5866="""",I5866="""",J5866="""",H5866=""""),""ফাঁকা ঘর"",""""),IF(AND(C5866&lt;&gt;"""",D5866&lt;&gt;"""",C5866=D5866),""gloss=figurative"",""""),IF(LEN(D5866)&lt;15,""figurative ছোট"",""""),IF(AND(I5866=""Positive"",REGEXMATCH(H5"&amp;"866,""মূর্খ|ভণ্ড|প্রতার|অলস|লোভ|স্বার্থ|অক্ষম|অযোগ্য|বোকা|কৃপণ|হিংস"")),""valence-target অমিল"",""""),IF(COUNTIF($B:$B,B5866)&gt;1,""ডুপ্লিকেট"",""""))"),"")</f>
        <v/>
      </c>
      <c r="Q5866" s="5" t="str">
        <f t="shared" si="1"/>
        <v>২ পরে</v>
      </c>
    </row>
    <row r="5867">
      <c r="A5867" s="4">
        <v>3750.0</v>
      </c>
      <c r="B5867" s="2" t="s">
        <v>24012</v>
      </c>
      <c r="C5867" s="2" t="s">
        <v>24013</v>
      </c>
      <c r="D5867" s="2" t="s">
        <v>24014</v>
      </c>
      <c r="E5867" s="2" t="s">
        <v>24015</v>
      </c>
      <c r="F5867" s="2" t="b">
        <v>1</v>
      </c>
      <c r="G5867" s="2" t="b">
        <v>0</v>
      </c>
      <c r="H5867" s="2" t="s">
        <v>756</v>
      </c>
      <c r="I5867" s="2" t="s">
        <v>22</v>
      </c>
      <c r="J5867" s="2" t="s">
        <v>2732</v>
      </c>
      <c r="K5867" s="2" t="s">
        <v>495</v>
      </c>
      <c r="L5867" s="13" t="s">
        <v>496</v>
      </c>
      <c r="M5867" s="2" t="s">
        <v>26</v>
      </c>
      <c r="N5867" s="29"/>
      <c r="O5867" s="29"/>
      <c r="P5867" s="5" t="str">
        <f>IFERROR(__xludf.DUMMYFUNCTION("TEXTJOIN("" | "",TRUE,IF(OR(D5867="""",E5867="""",I5867="""",J5867="""",H5867=""""),""ফাঁকা ঘর"",""""),IF(AND(C5867&lt;&gt;"""",D5867&lt;&gt;"""",C5867=D5867),""gloss=figurative"",""""),IF(LEN(D5867)&lt;15,""figurative ছোট"",""""),IF(AND(I5867=""Positive"",REGEXMATCH(H5"&amp;"867,""মূর্খ|ভণ্ড|প্রতার|অলস|লোভ|স্বার্থ|অক্ষম|অযোগ্য|বোকা|কৃপণ|হিংস"")),""valence-target অমিল"",""""),IF(COUNTIF($B:$B,B5867)&gt;1,""ডুপ্লিকেট"",""""))"),"")</f>
        <v/>
      </c>
      <c r="Q5867" s="5" t="str">
        <f t="shared" si="1"/>
        <v>২ পরে</v>
      </c>
    </row>
    <row r="5868">
      <c r="A5868" s="4">
        <v>3751.0</v>
      </c>
      <c r="B5868" s="2" t="s">
        <v>24016</v>
      </c>
      <c r="C5868" s="2" t="s">
        <v>24017</v>
      </c>
      <c r="D5868" s="2" t="s">
        <v>24018</v>
      </c>
      <c r="E5868" s="2" t="s">
        <v>24019</v>
      </c>
      <c r="F5868" s="2" t="b">
        <v>1</v>
      </c>
      <c r="G5868" s="2" t="b">
        <v>0</v>
      </c>
      <c r="H5868" s="2" t="s">
        <v>37</v>
      </c>
      <c r="I5868" s="2" t="s">
        <v>22</v>
      </c>
      <c r="J5868" s="2" t="s">
        <v>24020</v>
      </c>
      <c r="K5868" s="2" t="s">
        <v>495</v>
      </c>
      <c r="L5868" s="13" t="s">
        <v>496</v>
      </c>
      <c r="M5868" s="2" t="s">
        <v>26</v>
      </c>
      <c r="N5868" s="29"/>
      <c r="O5868" s="29"/>
      <c r="P5868" s="5" t="str">
        <f>IFERROR(__xludf.DUMMYFUNCTION("TEXTJOIN("" | "",TRUE,IF(OR(D5868="""",E5868="""",I5868="""",J5868="""",H5868=""""),""ফাঁকা ঘর"",""""),IF(AND(C5868&lt;&gt;"""",D5868&lt;&gt;"""",C5868=D5868),""gloss=figurative"",""""),IF(LEN(D5868)&lt;15,""figurative ছোট"",""""),IF(AND(I5868=""Positive"",REGEXMATCH(H5"&amp;"868,""মূর্খ|ভণ্ড|প্রতার|অলস|লোভ|স্বার্থ|অক্ষম|অযোগ্য|বোকা|কৃপণ|হিংস"")),""valence-target অমিল"",""""),IF(COUNTIF($B:$B,B5868)&gt;1,""ডুপ্লিকেট"",""""))"),"")</f>
        <v/>
      </c>
      <c r="Q5868" s="5" t="str">
        <f t="shared" si="1"/>
        <v>২ পরে</v>
      </c>
    </row>
    <row r="5869">
      <c r="A5869" s="4">
        <v>3752.0</v>
      </c>
      <c r="B5869" s="2" t="s">
        <v>24021</v>
      </c>
      <c r="C5869" s="2" t="s">
        <v>24022</v>
      </c>
      <c r="D5869" s="2" t="s">
        <v>24023</v>
      </c>
      <c r="E5869" s="2" t="s">
        <v>24024</v>
      </c>
      <c r="F5869" s="2" t="b">
        <v>1</v>
      </c>
      <c r="G5869" s="2" t="b">
        <v>0</v>
      </c>
      <c r="H5869" s="2" t="s">
        <v>37</v>
      </c>
      <c r="I5869" s="2" t="s">
        <v>22</v>
      </c>
      <c r="J5869" s="2" t="s">
        <v>674</v>
      </c>
      <c r="K5869" s="2" t="s">
        <v>495</v>
      </c>
      <c r="L5869" s="13" t="s">
        <v>496</v>
      </c>
      <c r="M5869" s="2" t="s">
        <v>26</v>
      </c>
      <c r="N5869" s="29"/>
      <c r="O5869" s="29"/>
      <c r="P5869" s="5" t="str">
        <f>IFERROR(__xludf.DUMMYFUNCTION("TEXTJOIN("" | "",TRUE,IF(OR(D5869="""",E5869="""",I5869="""",J5869="""",H5869=""""),""ফাঁকা ঘর"",""""),IF(AND(C5869&lt;&gt;"""",D5869&lt;&gt;"""",C5869=D5869),""gloss=figurative"",""""),IF(LEN(D5869)&lt;15,""figurative ছোট"",""""),IF(AND(I5869=""Positive"",REGEXMATCH(H5"&amp;"869,""মূর্খ|ভণ্ড|প্রতার|অলস|লোভ|স্বার্থ|অক্ষম|অযোগ্য|বোকা|কৃপণ|হিংস"")),""valence-target অমিল"",""""),IF(COUNTIF($B:$B,B5869)&gt;1,""ডুপ্লিকেট"",""""))"),"")</f>
        <v/>
      </c>
      <c r="Q5869" s="5" t="str">
        <f t="shared" si="1"/>
        <v>২ পরে</v>
      </c>
    </row>
    <row r="5870">
      <c r="A5870" s="4">
        <v>3753.0</v>
      </c>
      <c r="B5870" s="2" t="s">
        <v>24025</v>
      </c>
      <c r="C5870" s="2" t="s">
        <v>24025</v>
      </c>
      <c r="D5870" s="2" t="s">
        <v>24026</v>
      </c>
      <c r="E5870" s="2" t="s">
        <v>24027</v>
      </c>
      <c r="F5870" s="2" t="b">
        <v>1</v>
      </c>
      <c r="G5870" s="2" t="b">
        <v>0</v>
      </c>
      <c r="H5870" s="2" t="s">
        <v>37</v>
      </c>
      <c r="I5870" s="2" t="s">
        <v>32</v>
      </c>
      <c r="J5870" s="2" t="s">
        <v>1603</v>
      </c>
      <c r="K5870" s="2" t="s">
        <v>495</v>
      </c>
      <c r="L5870" s="13" t="s">
        <v>496</v>
      </c>
      <c r="M5870" s="2" t="s">
        <v>26</v>
      </c>
      <c r="N5870" s="29"/>
      <c r="O5870" s="29"/>
      <c r="P5870" s="5" t="str">
        <f>IFERROR(__xludf.DUMMYFUNCTION("TEXTJOIN("" | "",TRUE,IF(OR(D5870="""",E5870="""",I5870="""",J5870="""",H5870=""""),""ফাঁকা ঘর"",""""),IF(AND(C5870&lt;&gt;"""",D5870&lt;&gt;"""",C5870=D5870),""gloss=figurative"",""""),IF(LEN(D5870)&lt;15,""figurative ছোট"",""""),IF(AND(I5870=""Positive"",REGEXMATCH(H5"&amp;"870,""মূর্খ|ভণ্ড|প্রতার|অলস|লোভ|স্বার্থ|অক্ষম|অযোগ্য|বোকা|কৃপণ|হিংস"")),""valence-target অমিল"",""""),IF(COUNTIF($B:$B,B5870)&gt;1,""ডুপ্লিকেট"",""""))"),"")</f>
        <v/>
      </c>
      <c r="Q5870" s="5" t="str">
        <f t="shared" si="1"/>
        <v>২ পরে</v>
      </c>
    </row>
    <row r="5871">
      <c r="A5871" s="4">
        <v>3754.0</v>
      </c>
      <c r="B5871" s="2" t="s">
        <v>24028</v>
      </c>
      <c r="C5871" s="2" t="s">
        <v>24028</v>
      </c>
      <c r="D5871" s="2" t="s">
        <v>24029</v>
      </c>
      <c r="E5871" s="2" t="s">
        <v>24030</v>
      </c>
      <c r="F5871" s="2" t="b">
        <v>1</v>
      </c>
      <c r="G5871" s="2" t="b">
        <v>0</v>
      </c>
      <c r="H5871" s="2" t="s">
        <v>37</v>
      </c>
      <c r="I5871" s="2" t="s">
        <v>32</v>
      </c>
      <c r="J5871" s="2" t="s">
        <v>1603</v>
      </c>
      <c r="K5871" s="2" t="s">
        <v>495</v>
      </c>
      <c r="L5871" s="13" t="s">
        <v>496</v>
      </c>
      <c r="M5871" s="2" t="s">
        <v>26</v>
      </c>
      <c r="N5871" s="29"/>
      <c r="O5871" s="29"/>
      <c r="P5871" s="5" t="str">
        <f>IFERROR(__xludf.DUMMYFUNCTION("TEXTJOIN("" | "",TRUE,IF(OR(D5871="""",E5871="""",I5871="""",J5871="""",H5871=""""),""ফাঁকা ঘর"",""""),IF(AND(C5871&lt;&gt;"""",D5871&lt;&gt;"""",C5871=D5871),""gloss=figurative"",""""),IF(LEN(D5871)&lt;15,""figurative ছোট"",""""),IF(AND(I5871=""Positive"",REGEXMATCH(H5"&amp;"871,""মূর্খ|ভণ্ড|প্রতার|অলস|লোভ|স্বার্থ|অক্ষম|অযোগ্য|বোকা|কৃপণ|হিংস"")),""valence-target অমিল"",""""),IF(COUNTIF($B:$B,B5871)&gt;1,""ডুপ্লিকেট"",""""))"),"")</f>
        <v/>
      </c>
      <c r="Q5871" s="5" t="str">
        <f t="shared" si="1"/>
        <v>২ পরে</v>
      </c>
    </row>
    <row r="5872">
      <c r="A5872" s="4">
        <v>3755.0</v>
      </c>
      <c r="B5872" s="2" t="s">
        <v>24031</v>
      </c>
      <c r="C5872" s="2" t="s">
        <v>24032</v>
      </c>
      <c r="D5872" s="2" t="s">
        <v>24033</v>
      </c>
      <c r="E5872" s="2" t="s">
        <v>24034</v>
      </c>
      <c r="F5872" s="2" t="b">
        <v>1</v>
      </c>
      <c r="G5872" s="2" t="b">
        <v>0</v>
      </c>
      <c r="H5872" s="2" t="s">
        <v>1334</v>
      </c>
      <c r="I5872" s="2" t="s">
        <v>22</v>
      </c>
      <c r="J5872" s="2" t="s">
        <v>820</v>
      </c>
      <c r="K5872" s="2" t="s">
        <v>495</v>
      </c>
      <c r="L5872" s="13" t="s">
        <v>496</v>
      </c>
      <c r="M5872" s="2" t="s">
        <v>26</v>
      </c>
      <c r="N5872" s="29"/>
      <c r="O5872" s="29"/>
      <c r="P5872" s="5" t="str">
        <f>IFERROR(__xludf.DUMMYFUNCTION("TEXTJOIN("" | "",TRUE,IF(OR(D5872="""",E5872="""",I5872="""",J5872="""",H5872=""""),""ফাঁকা ঘর"",""""),IF(AND(C5872&lt;&gt;"""",D5872&lt;&gt;"""",C5872=D5872),""gloss=figurative"",""""),IF(LEN(D5872)&lt;15,""figurative ছোট"",""""),IF(AND(I5872=""Positive"",REGEXMATCH(H5"&amp;"872,""মূর্খ|ভণ্ড|প্রতার|অলস|লোভ|স্বার্থ|অক্ষম|অযোগ্য|বোকা|কৃপণ|হিংস"")),""valence-target অমিল"",""""),IF(COUNTIF($B:$B,B5872)&gt;1,""ডুপ্লিকেট"",""""))"),"")</f>
        <v/>
      </c>
      <c r="Q5872" s="5" t="str">
        <f t="shared" si="1"/>
        <v>২ পরে</v>
      </c>
    </row>
    <row r="5873">
      <c r="A5873" s="4">
        <v>3756.0</v>
      </c>
      <c r="B5873" s="2" t="s">
        <v>24035</v>
      </c>
      <c r="C5873" s="2" t="s">
        <v>24036</v>
      </c>
      <c r="D5873" s="2" t="s">
        <v>24037</v>
      </c>
      <c r="E5873" s="2" t="s">
        <v>24038</v>
      </c>
      <c r="F5873" s="2" t="b">
        <v>1</v>
      </c>
      <c r="G5873" s="2" t="b">
        <v>0</v>
      </c>
      <c r="H5873" s="2" t="s">
        <v>37</v>
      </c>
      <c r="I5873" s="2" t="s">
        <v>22</v>
      </c>
      <c r="J5873" s="2" t="s">
        <v>24039</v>
      </c>
      <c r="K5873" s="2" t="s">
        <v>495</v>
      </c>
      <c r="L5873" s="13" t="s">
        <v>496</v>
      </c>
      <c r="M5873" s="2" t="s">
        <v>26</v>
      </c>
      <c r="N5873" s="29"/>
      <c r="O5873" s="29"/>
      <c r="P5873" s="5" t="str">
        <f>IFERROR(__xludf.DUMMYFUNCTION("TEXTJOIN("" | "",TRUE,IF(OR(D5873="""",E5873="""",I5873="""",J5873="""",H5873=""""),""ফাঁকা ঘর"",""""),IF(AND(C5873&lt;&gt;"""",D5873&lt;&gt;"""",C5873=D5873),""gloss=figurative"",""""),IF(LEN(D5873)&lt;15,""figurative ছোট"",""""),IF(AND(I5873=""Positive"",REGEXMATCH(H5"&amp;"873,""মূর্খ|ভণ্ড|প্রতার|অলস|লোভ|স্বার্থ|অক্ষম|অযোগ্য|বোকা|কৃপণ|হিংস"")),""valence-target অমিল"",""""),IF(COUNTIF($B:$B,B5873)&gt;1,""ডুপ্লিকেট"",""""))"),"")</f>
        <v/>
      </c>
      <c r="Q5873" s="5" t="str">
        <f t="shared" si="1"/>
        <v>২ পরে</v>
      </c>
    </row>
    <row r="5874">
      <c r="A5874" s="4">
        <v>3757.0</v>
      </c>
      <c r="B5874" s="2" t="s">
        <v>24040</v>
      </c>
      <c r="C5874" s="2" t="s">
        <v>24041</v>
      </c>
      <c r="D5874" s="2" t="s">
        <v>24042</v>
      </c>
      <c r="E5874" s="2" t="s">
        <v>24043</v>
      </c>
      <c r="F5874" s="2" t="b">
        <v>1</v>
      </c>
      <c r="G5874" s="2" t="b">
        <v>0</v>
      </c>
      <c r="H5874" s="2" t="s">
        <v>37</v>
      </c>
      <c r="I5874" s="2" t="s">
        <v>22</v>
      </c>
      <c r="J5874" s="2" t="s">
        <v>814</v>
      </c>
      <c r="K5874" s="2" t="s">
        <v>495</v>
      </c>
      <c r="L5874" s="13" t="s">
        <v>496</v>
      </c>
      <c r="M5874" s="2" t="s">
        <v>26</v>
      </c>
      <c r="N5874" s="29"/>
      <c r="O5874" s="29"/>
      <c r="P5874" s="5" t="str">
        <f>IFERROR(__xludf.DUMMYFUNCTION("TEXTJOIN("" | "",TRUE,IF(OR(D5874="""",E5874="""",I5874="""",J5874="""",H5874=""""),""ফাঁকা ঘর"",""""),IF(AND(C5874&lt;&gt;"""",D5874&lt;&gt;"""",C5874=D5874),""gloss=figurative"",""""),IF(LEN(D5874)&lt;15,""figurative ছোট"",""""),IF(AND(I5874=""Positive"",REGEXMATCH(H5"&amp;"874,""মূর্খ|ভণ্ড|প্রতার|অলস|লোভ|স্বার্থ|অক্ষম|অযোগ্য|বোকা|কৃপণ|হিংস"")),""valence-target অমিল"",""""),IF(COUNTIF($B:$B,B5874)&gt;1,""ডুপ্লিকেট"",""""))"),"")</f>
        <v/>
      </c>
      <c r="Q5874" s="5" t="str">
        <f t="shared" si="1"/>
        <v>২ পরে</v>
      </c>
    </row>
    <row r="5875">
      <c r="A5875" s="4">
        <v>3758.0</v>
      </c>
      <c r="B5875" s="2" t="s">
        <v>24044</v>
      </c>
      <c r="C5875" s="2" t="s">
        <v>24044</v>
      </c>
      <c r="D5875" s="2" t="s">
        <v>24045</v>
      </c>
      <c r="E5875" s="2" t="s">
        <v>24046</v>
      </c>
      <c r="F5875" s="2" t="b">
        <v>1</v>
      </c>
      <c r="G5875" s="2" t="b">
        <v>0</v>
      </c>
      <c r="H5875" s="2" t="s">
        <v>37</v>
      </c>
      <c r="I5875" s="2" t="s">
        <v>32</v>
      </c>
      <c r="J5875" s="2" t="s">
        <v>4922</v>
      </c>
      <c r="K5875" s="2" t="s">
        <v>495</v>
      </c>
      <c r="L5875" s="13" t="s">
        <v>496</v>
      </c>
      <c r="M5875" s="2" t="s">
        <v>26</v>
      </c>
      <c r="N5875" s="29"/>
      <c r="O5875" s="29"/>
      <c r="P5875" s="5" t="str">
        <f>IFERROR(__xludf.DUMMYFUNCTION("TEXTJOIN("" | "",TRUE,IF(OR(D5875="""",E5875="""",I5875="""",J5875="""",H5875=""""),""ফাঁকা ঘর"",""""),IF(AND(C5875&lt;&gt;"""",D5875&lt;&gt;"""",C5875=D5875),""gloss=figurative"",""""),IF(LEN(D5875)&lt;15,""figurative ছোট"",""""),IF(AND(I5875=""Positive"",REGEXMATCH(H5"&amp;"875,""মূর্খ|ভণ্ড|প্রতার|অলস|লোভ|স্বার্থ|অক্ষম|অযোগ্য|বোকা|কৃপণ|হিংস"")),""valence-target অমিল"",""""),IF(COUNTIF($B:$B,B5875)&gt;1,""ডুপ্লিকেট"",""""))"),"")</f>
        <v/>
      </c>
      <c r="Q5875" s="5" t="str">
        <f t="shared" si="1"/>
        <v>২ পরে</v>
      </c>
    </row>
    <row r="5876">
      <c r="A5876" s="4">
        <v>3759.0</v>
      </c>
      <c r="B5876" s="2" t="s">
        <v>24047</v>
      </c>
      <c r="C5876" s="2" t="s">
        <v>24048</v>
      </c>
      <c r="D5876" s="2" t="s">
        <v>24049</v>
      </c>
      <c r="E5876" s="2" t="s">
        <v>24050</v>
      </c>
      <c r="F5876" s="2" t="b">
        <v>1</v>
      </c>
      <c r="G5876" s="2" t="b">
        <v>0</v>
      </c>
      <c r="H5876" s="2" t="s">
        <v>1188</v>
      </c>
      <c r="I5876" s="2" t="s">
        <v>22</v>
      </c>
      <c r="J5876" s="2" t="s">
        <v>729</v>
      </c>
      <c r="K5876" s="2" t="s">
        <v>495</v>
      </c>
      <c r="L5876" s="13" t="s">
        <v>496</v>
      </c>
      <c r="M5876" s="2" t="s">
        <v>26</v>
      </c>
      <c r="N5876" s="29"/>
      <c r="O5876" s="29"/>
      <c r="P5876" s="5" t="str">
        <f>IFERROR(__xludf.DUMMYFUNCTION("TEXTJOIN("" | "",TRUE,IF(OR(D5876="""",E5876="""",I5876="""",J5876="""",H5876=""""),""ফাঁকা ঘর"",""""),IF(AND(C5876&lt;&gt;"""",D5876&lt;&gt;"""",C5876=D5876),""gloss=figurative"",""""),IF(LEN(D5876)&lt;15,""figurative ছোট"",""""),IF(AND(I5876=""Positive"",REGEXMATCH(H5"&amp;"876,""মূর্খ|ভণ্ড|প্রতার|অলস|লোভ|স্বার্থ|অক্ষম|অযোগ্য|বোকা|কৃপণ|হিংস"")),""valence-target অমিল"",""""),IF(COUNTIF($B:$B,B5876)&gt;1,""ডুপ্লিকেট"",""""))"),"")</f>
        <v/>
      </c>
      <c r="Q5876" s="5" t="str">
        <f t="shared" si="1"/>
        <v>২ পরে</v>
      </c>
    </row>
    <row r="5877">
      <c r="A5877" s="4">
        <v>3760.0</v>
      </c>
      <c r="B5877" s="2" t="s">
        <v>24051</v>
      </c>
      <c r="C5877" s="2" t="s">
        <v>24052</v>
      </c>
      <c r="D5877" s="2" t="s">
        <v>24053</v>
      </c>
      <c r="E5877" s="2" t="s">
        <v>24054</v>
      </c>
      <c r="F5877" s="2" t="b">
        <v>1</v>
      </c>
      <c r="G5877" s="2" t="b">
        <v>1</v>
      </c>
      <c r="H5877" s="2" t="s">
        <v>24055</v>
      </c>
      <c r="I5877" s="2" t="s">
        <v>22</v>
      </c>
      <c r="J5877" s="2" t="s">
        <v>15818</v>
      </c>
      <c r="K5877" s="2" t="s">
        <v>495</v>
      </c>
      <c r="L5877" s="13" t="s">
        <v>496</v>
      </c>
      <c r="M5877" s="2" t="s">
        <v>26</v>
      </c>
      <c r="N5877" s="29"/>
      <c r="O5877" s="29"/>
      <c r="P5877" s="5" t="str">
        <f>IFERROR(__xludf.DUMMYFUNCTION("TEXTJOIN("" | "",TRUE,IF(OR(D5877="""",E5877="""",I5877="""",J5877="""",H5877=""""),""ফাঁকা ঘর"",""""),IF(AND(C5877&lt;&gt;"""",D5877&lt;&gt;"""",C5877=D5877),""gloss=figurative"",""""),IF(LEN(D5877)&lt;15,""figurative ছোট"",""""),IF(AND(I5877=""Positive"",REGEXMATCH(H5"&amp;"877,""মূর্খ|ভণ্ড|প্রতার|অলস|লোভ|স্বার্থ|অক্ষম|অযোগ্য|বোকা|কৃপণ|হিংস"")),""valence-target অমিল"",""""),IF(COUNTIF($B:$B,B5877)&gt;1,""ডুপ্লিকেট"",""""))"),"")</f>
        <v/>
      </c>
      <c r="Q5877" s="5" t="str">
        <f t="shared" si="1"/>
        <v>২ পরে</v>
      </c>
    </row>
    <row r="5878">
      <c r="A5878" s="4">
        <v>3761.0</v>
      </c>
      <c r="B5878" s="2" t="s">
        <v>24056</v>
      </c>
      <c r="C5878" s="2" t="s">
        <v>24057</v>
      </c>
      <c r="D5878" s="2" t="s">
        <v>24058</v>
      </c>
      <c r="E5878" s="2" t="s">
        <v>24059</v>
      </c>
      <c r="F5878" s="2" t="b">
        <v>1</v>
      </c>
      <c r="G5878" s="2" t="b">
        <v>0</v>
      </c>
      <c r="H5878" s="2" t="s">
        <v>37</v>
      </c>
      <c r="I5878" s="2" t="s">
        <v>32</v>
      </c>
      <c r="J5878" s="2" t="s">
        <v>708</v>
      </c>
      <c r="K5878" s="2" t="s">
        <v>495</v>
      </c>
      <c r="L5878" s="13" t="s">
        <v>496</v>
      </c>
      <c r="M5878" s="2" t="s">
        <v>26</v>
      </c>
      <c r="N5878" s="29"/>
      <c r="O5878" s="29"/>
      <c r="P5878" s="5" t="str">
        <f>IFERROR(__xludf.DUMMYFUNCTION("TEXTJOIN("" | "",TRUE,IF(OR(D5878="""",E5878="""",I5878="""",J5878="""",H5878=""""),""ফাঁকা ঘর"",""""),IF(AND(C5878&lt;&gt;"""",D5878&lt;&gt;"""",C5878=D5878),""gloss=figurative"",""""),IF(LEN(D5878)&lt;15,""figurative ছোট"",""""),IF(AND(I5878=""Positive"",REGEXMATCH(H5"&amp;"878,""মূর্খ|ভণ্ড|প্রতার|অলস|লোভ|স্বার্থ|অক্ষম|অযোগ্য|বোকা|কৃপণ|হিংস"")),""valence-target অমিল"",""""),IF(COUNTIF($B:$B,B5878)&gt;1,""ডুপ্লিকেট"",""""))"),"")</f>
        <v/>
      </c>
      <c r="Q5878" s="5" t="str">
        <f t="shared" si="1"/>
        <v>২ পরে</v>
      </c>
    </row>
    <row r="5879">
      <c r="A5879" s="4">
        <v>3762.0</v>
      </c>
      <c r="B5879" s="2" t="s">
        <v>24060</v>
      </c>
      <c r="C5879" s="2" t="s">
        <v>24060</v>
      </c>
      <c r="D5879" s="2" t="s">
        <v>24061</v>
      </c>
      <c r="E5879" s="2" t="s">
        <v>24062</v>
      </c>
      <c r="F5879" s="2" t="b">
        <v>1</v>
      </c>
      <c r="G5879" s="2" t="b">
        <v>0</v>
      </c>
      <c r="H5879" s="2" t="s">
        <v>16180</v>
      </c>
      <c r="I5879" s="2" t="s">
        <v>22</v>
      </c>
      <c r="J5879" s="2" t="s">
        <v>669</v>
      </c>
      <c r="K5879" s="2" t="s">
        <v>495</v>
      </c>
      <c r="L5879" s="13" t="s">
        <v>496</v>
      </c>
      <c r="M5879" s="2" t="s">
        <v>26</v>
      </c>
      <c r="N5879" s="29"/>
      <c r="O5879" s="29"/>
      <c r="P5879" s="5" t="str">
        <f>IFERROR(__xludf.DUMMYFUNCTION("TEXTJOIN("" | "",TRUE,IF(OR(D5879="""",E5879="""",I5879="""",J5879="""",H5879=""""),""ফাঁকা ঘর"",""""),IF(AND(C5879&lt;&gt;"""",D5879&lt;&gt;"""",C5879=D5879),""gloss=figurative"",""""),IF(LEN(D5879)&lt;15,""figurative ছোট"",""""),IF(AND(I5879=""Positive"",REGEXMATCH(H5"&amp;"879,""মূর্খ|ভণ্ড|প্রতার|অলস|লোভ|স্বার্থ|অক্ষম|অযোগ্য|বোকা|কৃপণ|হিংস"")),""valence-target অমিল"",""""),IF(COUNTIF($B:$B,B5879)&gt;1,""ডুপ্লিকেট"",""""))"),"")</f>
        <v/>
      </c>
      <c r="Q5879" s="5" t="str">
        <f t="shared" si="1"/>
        <v>২ পরে</v>
      </c>
    </row>
    <row r="5880">
      <c r="A5880" s="4">
        <v>3763.0</v>
      </c>
      <c r="B5880" s="2" t="s">
        <v>24063</v>
      </c>
      <c r="C5880" s="2" t="s">
        <v>24064</v>
      </c>
      <c r="D5880" s="2" t="s">
        <v>24065</v>
      </c>
      <c r="E5880" s="2" t="s">
        <v>24066</v>
      </c>
      <c r="F5880" s="2" t="b">
        <v>1</v>
      </c>
      <c r="G5880" s="2" t="b">
        <v>0</v>
      </c>
      <c r="H5880" s="2" t="s">
        <v>4703</v>
      </c>
      <c r="I5880" s="2" t="s">
        <v>22</v>
      </c>
      <c r="J5880" s="2" t="s">
        <v>1944</v>
      </c>
      <c r="K5880" s="2" t="s">
        <v>495</v>
      </c>
      <c r="L5880" s="13" t="s">
        <v>496</v>
      </c>
      <c r="M5880" s="2" t="s">
        <v>26</v>
      </c>
      <c r="N5880" s="29"/>
      <c r="O5880" s="29"/>
      <c r="P5880" s="5" t="str">
        <f>IFERROR(__xludf.DUMMYFUNCTION("TEXTJOIN("" | "",TRUE,IF(OR(D5880="""",E5880="""",I5880="""",J5880="""",H5880=""""),""ফাঁকা ঘর"",""""),IF(AND(C5880&lt;&gt;"""",D5880&lt;&gt;"""",C5880=D5880),""gloss=figurative"",""""),IF(LEN(D5880)&lt;15,""figurative ছোট"",""""),IF(AND(I5880=""Positive"",REGEXMATCH(H5"&amp;"880,""মূর্খ|ভণ্ড|প্রতার|অলস|লোভ|স্বার্থ|অক্ষম|অযোগ্য|বোকা|কৃপণ|হিংস"")),""valence-target অমিল"",""""),IF(COUNTIF($B:$B,B5880)&gt;1,""ডুপ্লিকেট"",""""))"),"")</f>
        <v/>
      </c>
      <c r="Q5880" s="5" t="str">
        <f t="shared" si="1"/>
        <v>২ পরে</v>
      </c>
    </row>
    <row r="5881">
      <c r="A5881" s="4">
        <v>3764.0</v>
      </c>
      <c r="B5881" s="2" t="s">
        <v>24067</v>
      </c>
      <c r="C5881" s="2" t="s">
        <v>24068</v>
      </c>
      <c r="D5881" s="2" t="s">
        <v>24069</v>
      </c>
      <c r="E5881" s="2" t="s">
        <v>24070</v>
      </c>
      <c r="F5881" s="2" t="b">
        <v>1</v>
      </c>
      <c r="G5881" s="2" t="b">
        <v>0</v>
      </c>
      <c r="H5881" s="2" t="s">
        <v>37</v>
      </c>
      <c r="I5881" s="2" t="s">
        <v>32</v>
      </c>
      <c r="J5881" s="2" t="s">
        <v>2857</v>
      </c>
      <c r="K5881" s="2" t="s">
        <v>495</v>
      </c>
      <c r="L5881" s="13" t="s">
        <v>496</v>
      </c>
      <c r="M5881" s="2" t="s">
        <v>26</v>
      </c>
      <c r="N5881" s="29"/>
      <c r="O5881" s="29"/>
      <c r="P5881" s="5" t="str">
        <f>IFERROR(__xludf.DUMMYFUNCTION("TEXTJOIN("" | "",TRUE,IF(OR(D5881="""",E5881="""",I5881="""",J5881="""",H5881=""""),""ফাঁকা ঘর"",""""),IF(AND(C5881&lt;&gt;"""",D5881&lt;&gt;"""",C5881=D5881),""gloss=figurative"",""""),IF(LEN(D5881)&lt;15,""figurative ছোট"",""""),IF(AND(I5881=""Positive"",REGEXMATCH(H5"&amp;"881,""মূর্খ|ভণ্ড|প্রতার|অলস|লোভ|স্বার্থ|অক্ষম|অযোগ্য|বোকা|কৃপণ|হিংস"")),""valence-target অমিল"",""""),IF(COUNTIF($B:$B,B5881)&gt;1,""ডুপ্লিকেট"",""""))"),"")</f>
        <v/>
      </c>
      <c r="Q5881" s="5" t="str">
        <f t="shared" si="1"/>
        <v>২ পরে</v>
      </c>
    </row>
    <row r="5882">
      <c r="A5882" s="4">
        <v>3765.0</v>
      </c>
      <c r="B5882" s="15" t="s">
        <v>24071</v>
      </c>
      <c r="C5882" s="2" t="s">
        <v>24072</v>
      </c>
      <c r="D5882" s="2" t="s">
        <v>24073</v>
      </c>
      <c r="E5882" s="2" t="s">
        <v>24074</v>
      </c>
      <c r="F5882" s="2" t="b">
        <v>1</v>
      </c>
      <c r="G5882" s="2" t="b">
        <v>0</v>
      </c>
      <c r="H5882" s="2" t="s">
        <v>24075</v>
      </c>
      <c r="I5882" s="2" t="s">
        <v>22</v>
      </c>
      <c r="J5882" s="2" t="s">
        <v>1621</v>
      </c>
      <c r="K5882" s="2" t="s">
        <v>495</v>
      </c>
      <c r="L5882" s="13" t="s">
        <v>496</v>
      </c>
      <c r="M5882" s="2" t="s">
        <v>26</v>
      </c>
      <c r="N5882" s="29"/>
      <c r="O5882" s="29"/>
      <c r="P5882" s="5" t="str">
        <f>IFERROR(__xludf.DUMMYFUNCTION("TEXTJOIN("" | "",TRUE,IF(OR(D5882="""",E5882="""",I5882="""",J5882="""",H5882=""""),""ফাঁকা ঘর"",""""),IF(AND(C5882&lt;&gt;"""",D5882&lt;&gt;"""",C5882=D5882),""gloss=figurative"",""""),IF(LEN(D5882)&lt;15,""figurative ছোট"",""""),IF(AND(I5882=""Positive"",REGEXMATCH(H5"&amp;"882,""মূর্খ|ভণ্ড|প্রতার|অলস|লোভ|স্বার্থ|অক্ষম|অযোগ্য|বোকা|কৃপণ|হিংস"")),""valence-target অমিল"",""""),IF(COUNTIF($B:$B,B5882)&gt;1,""ডুপ্লিকেট"",""""))"),"")</f>
        <v/>
      </c>
      <c r="Q5882" s="5" t="str">
        <f t="shared" si="1"/>
        <v>২ পরে</v>
      </c>
    </row>
    <row r="5883">
      <c r="A5883" s="4">
        <v>3766.0</v>
      </c>
      <c r="B5883" s="2" t="s">
        <v>24076</v>
      </c>
      <c r="C5883" s="2" t="s">
        <v>24077</v>
      </c>
      <c r="D5883" s="2" t="s">
        <v>24078</v>
      </c>
      <c r="E5883" s="2" t="s">
        <v>24079</v>
      </c>
      <c r="F5883" s="2" t="b">
        <v>1</v>
      </c>
      <c r="G5883" s="2" t="b">
        <v>0</v>
      </c>
      <c r="H5883" s="2" t="s">
        <v>37</v>
      </c>
      <c r="I5883" s="2" t="s">
        <v>49</v>
      </c>
      <c r="J5883" s="2" t="s">
        <v>762</v>
      </c>
      <c r="K5883" s="2" t="s">
        <v>495</v>
      </c>
      <c r="L5883" s="13" t="s">
        <v>496</v>
      </c>
      <c r="M5883" s="2" t="s">
        <v>26</v>
      </c>
      <c r="N5883" s="29"/>
      <c r="O5883" s="29"/>
      <c r="P5883" s="5" t="str">
        <f>IFERROR(__xludf.DUMMYFUNCTION("TEXTJOIN("" | "",TRUE,IF(OR(D5883="""",E5883="""",I5883="""",J5883="""",H5883=""""),""ফাঁকা ঘর"",""""),IF(AND(C5883&lt;&gt;"""",D5883&lt;&gt;"""",C5883=D5883),""gloss=figurative"",""""),IF(LEN(D5883)&lt;15,""figurative ছোট"",""""),IF(AND(I5883=""Positive"",REGEXMATCH(H5"&amp;"883,""মূর্খ|ভণ্ড|প্রতার|অলস|লোভ|স্বার্থ|অক্ষম|অযোগ্য|বোকা|কৃপণ|হিংস"")),""valence-target অমিল"",""""),IF(COUNTIF($B:$B,B5883)&gt;1,""ডুপ্লিকেট"",""""))"),"")</f>
        <v/>
      </c>
      <c r="Q5883" s="5" t="str">
        <f t="shared" si="1"/>
        <v>২ পরে</v>
      </c>
    </row>
    <row r="5884">
      <c r="A5884" s="4">
        <v>3767.0</v>
      </c>
      <c r="B5884" s="2" t="s">
        <v>24080</v>
      </c>
      <c r="C5884" s="2" t="s">
        <v>24081</v>
      </c>
      <c r="D5884" s="2" t="s">
        <v>24082</v>
      </c>
      <c r="E5884" s="2" t="s">
        <v>24083</v>
      </c>
      <c r="F5884" s="2" t="b">
        <v>1</v>
      </c>
      <c r="G5884" s="2" t="b">
        <v>0</v>
      </c>
      <c r="H5884" s="2" t="s">
        <v>24084</v>
      </c>
      <c r="I5884" s="2" t="s">
        <v>22</v>
      </c>
      <c r="J5884" s="2" t="s">
        <v>669</v>
      </c>
      <c r="K5884" s="2" t="s">
        <v>495</v>
      </c>
      <c r="L5884" s="13" t="s">
        <v>496</v>
      </c>
      <c r="M5884" s="2" t="s">
        <v>26</v>
      </c>
      <c r="N5884" s="29"/>
      <c r="O5884" s="29"/>
      <c r="P5884" s="5" t="str">
        <f>IFERROR(__xludf.DUMMYFUNCTION("TEXTJOIN("" | "",TRUE,IF(OR(D5884="""",E5884="""",I5884="""",J5884="""",H5884=""""),""ফাঁকা ঘর"",""""),IF(AND(C5884&lt;&gt;"""",D5884&lt;&gt;"""",C5884=D5884),""gloss=figurative"",""""),IF(LEN(D5884)&lt;15,""figurative ছোট"",""""),IF(AND(I5884=""Positive"",REGEXMATCH(H5"&amp;"884,""মূর্খ|ভণ্ড|প্রতার|অলস|লোভ|স্বার্থ|অক্ষম|অযোগ্য|বোকা|কৃপণ|হিংস"")),""valence-target অমিল"",""""),IF(COUNTIF($B:$B,B5884)&gt;1,""ডুপ্লিকেট"",""""))"),"")</f>
        <v/>
      </c>
      <c r="Q5884" s="5" t="str">
        <f t="shared" si="1"/>
        <v>২ পরে</v>
      </c>
    </row>
    <row r="5885">
      <c r="A5885" s="4">
        <v>3768.0</v>
      </c>
      <c r="B5885" s="2" t="s">
        <v>24085</v>
      </c>
      <c r="C5885" s="2" t="s">
        <v>24086</v>
      </c>
      <c r="D5885" s="2" t="s">
        <v>24087</v>
      </c>
      <c r="E5885" s="2" t="s">
        <v>24088</v>
      </c>
      <c r="F5885" s="2" t="b">
        <v>1</v>
      </c>
      <c r="G5885" s="2" t="b">
        <v>0</v>
      </c>
      <c r="H5885" s="2" t="s">
        <v>24089</v>
      </c>
      <c r="I5885" s="2" t="s">
        <v>22</v>
      </c>
      <c r="J5885" s="2" t="s">
        <v>669</v>
      </c>
      <c r="K5885" s="2" t="s">
        <v>495</v>
      </c>
      <c r="L5885" s="13" t="s">
        <v>496</v>
      </c>
      <c r="M5885" s="2" t="s">
        <v>26</v>
      </c>
      <c r="N5885" s="29"/>
      <c r="O5885" s="29"/>
      <c r="P5885" s="5" t="str">
        <f>IFERROR(__xludf.DUMMYFUNCTION("TEXTJOIN("" | "",TRUE,IF(OR(D5885="""",E5885="""",I5885="""",J5885="""",H5885=""""),""ফাঁকা ঘর"",""""),IF(AND(C5885&lt;&gt;"""",D5885&lt;&gt;"""",C5885=D5885),""gloss=figurative"",""""),IF(LEN(D5885)&lt;15,""figurative ছোট"",""""),IF(AND(I5885=""Positive"",REGEXMATCH(H5"&amp;"885,""মূর্খ|ভণ্ড|প্রতার|অলস|লোভ|স্বার্থ|অক্ষম|অযোগ্য|বোকা|কৃপণ|হিংস"")),""valence-target অমিল"",""""),IF(COUNTIF($B:$B,B5885)&gt;1,""ডুপ্লিকেট"",""""))"),"")</f>
        <v/>
      </c>
      <c r="Q5885" s="5" t="str">
        <f t="shared" si="1"/>
        <v>২ পরে</v>
      </c>
    </row>
    <row r="5886">
      <c r="A5886" s="4">
        <v>3769.0</v>
      </c>
      <c r="B5886" s="2" t="s">
        <v>24090</v>
      </c>
      <c r="C5886" s="2" t="s">
        <v>24091</v>
      </c>
      <c r="D5886" s="2" t="s">
        <v>24092</v>
      </c>
      <c r="E5886" s="2" t="s">
        <v>24093</v>
      </c>
      <c r="F5886" s="2" t="b">
        <v>1</v>
      </c>
      <c r="G5886" s="2" t="b">
        <v>0</v>
      </c>
      <c r="H5886" s="2" t="s">
        <v>37</v>
      </c>
      <c r="I5886" s="2" t="s">
        <v>49</v>
      </c>
      <c r="J5886" s="2" t="s">
        <v>2140</v>
      </c>
      <c r="K5886" s="2" t="s">
        <v>495</v>
      </c>
      <c r="L5886" s="13" t="s">
        <v>496</v>
      </c>
      <c r="M5886" s="2" t="s">
        <v>26</v>
      </c>
      <c r="N5886" s="29"/>
      <c r="O5886" s="29"/>
      <c r="P5886" s="5" t="str">
        <f>IFERROR(__xludf.DUMMYFUNCTION("TEXTJOIN("" | "",TRUE,IF(OR(D5886="""",E5886="""",I5886="""",J5886="""",H5886=""""),""ফাঁকা ঘর"",""""),IF(AND(C5886&lt;&gt;"""",D5886&lt;&gt;"""",C5886=D5886),""gloss=figurative"",""""),IF(LEN(D5886)&lt;15,""figurative ছোট"",""""),IF(AND(I5886=""Positive"",REGEXMATCH(H5"&amp;"886,""মূর্খ|ভণ্ড|প্রতার|অলস|লোভ|স্বার্থ|অক্ষম|অযোগ্য|বোকা|কৃপণ|হিংস"")),""valence-target অমিল"",""""),IF(COUNTIF($B:$B,B5886)&gt;1,""ডুপ্লিকেট"",""""))"),"")</f>
        <v/>
      </c>
      <c r="Q5886" s="5" t="str">
        <f t="shared" si="1"/>
        <v>২ পরে</v>
      </c>
    </row>
    <row r="5887">
      <c r="A5887" s="4">
        <v>3770.0</v>
      </c>
      <c r="B5887" s="2" t="s">
        <v>24094</v>
      </c>
      <c r="C5887" s="2" t="s">
        <v>1196</v>
      </c>
      <c r="D5887" s="2" t="s">
        <v>24095</v>
      </c>
      <c r="E5887" s="2" t="s">
        <v>24096</v>
      </c>
      <c r="F5887" s="2" t="b">
        <v>1</v>
      </c>
      <c r="G5887" s="2" t="b">
        <v>0</v>
      </c>
      <c r="H5887" s="2" t="s">
        <v>37</v>
      </c>
      <c r="I5887" s="2" t="s">
        <v>32</v>
      </c>
      <c r="J5887" s="2" t="s">
        <v>762</v>
      </c>
      <c r="K5887" s="2" t="s">
        <v>495</v>
      </c>
      <c r="L5887" s="13" t="s">
        <v>496</v>
      </c>
      <c r="M5887" s="2" t="s">
        <v>26</v>
      </c>
      <c r="N5887" s="29"/>
      <c r="O5887" s="29"/>
      <c r="P5887" s="5" t="str">
        <f>IFERROR(__xludf.DUMMYFUNCTION("TEXTJOIN("" | "",TRUE,IF(OR(D5887="""",E5887="""",I5887="""",J5887="""",H5887=""""),""ফাঁকা ঘর"",""""),IF(AND(C5887&lt;&gt;"""",D5887&lt;&gt;"""",C5887=D5887),""gloss=figurative"",""""),IF(LEN(D5887)&lt;15,""figurative ছোট"",""""),IF(AND(I5887=""Positive"",REGEXMATCH(H5"&amp;"887,""মূর্খ|ভণ্ড|প্রতার|অলস|লোভ|স্বার্থ|অক্ষম|অযোগ্য|বোকা|কৃপণ|হিংস"")),""valence-target অমিল"",""""),IF(COUNTIF($B:$B,B5887)&gt;1,""ডুপ্লিকেট"",""""))"),"")</f>
        <v/>
      </c>
      <c r="Q5887" s="5" t="str">
        <f t="shared" si="1"/>
        <v>২ পরে</v>
      </c>
    </row>
    <row r="5888">
      <c r="A5888" s="4">
        <v>3771.0</v>
      </c>
      <c r="B5888" s="2" t="s">
        <v>24097</v>
      </c>
      <c r="C5888" s="2" t="s">
        <v>24098</v>
      </c>
      <c r="D5888" s="2" t="s">
        <v>24099</v>
      </c>
      <c r="E5888" s="2" t="s">
        <v>24100</v>
      </c>
      <c r="F5888" s="2" t="b">
        <v>1</v>
      </c>
      <c r="G5888" s="2" t="b">
        <v>0</v>
      </c>
      <c r="H5888" s="2" t="s">
        <v>37</v>
      </c>
      <c r="I5888" s="2" t="s">
        <v>22</v>
      </c>
      <c r="J5888" s="2" t="s">
        <v>1859</v>
      </c>
      <c r="K5888" s="2" t="s">
        <v>495</v>
      </c>
      <c r="L5888" s="13" t="s">
        <v>496</v>
      </c>
      <c r="M5888" s="2" t="s">
        <v>26</v>
      </c>
      <c r="N5888" s="29"/>
      <c r="O5888" s="29"/>
      <c r="P5888" s="5" t="str">
        <f>IFERROR(__xludf.DUMMYFUNCTION("TEXTJOIN("" | "",TRUE,IF(OR(D5888="""",E5888="""",I5888="""",J5888="""",H5888=""""),""ফাঁকা ঘর"",""""),IF(AND(C5888&lt;&gt;"""",D5888&lt;&gt;"""",C5888=D5888),""gloss=figurative"",""""),IF(LEN(D5888)&lt;15,""figurative ছোট"",""""),IF(AND(I5888=""Positive"",REGEXMATCH(H5"&amp;"888,""মূর্খ|ভণ্ড|প্রতার|অলস|লোভ|স্বার্থ|অক্ষম|অযোগ্য|বোকা|কৃপণ|হিংস"")),""valence-target অমিল"",""""),IF(COUNTIF($B:$B,B5888)&gt;1,""ডুপ্লিকেট"",""""))"),"")</f>
        <v/>
      </c>
      <c r="Q5888" s="5" t="str">
        <f t="shared" si="1"/>
        <v>২ পরে</v>
      </c>
    </row>
    <row r="5889">
      <c r="A5889" s="4">
        <v>3772.0</v>
      </c>
      <c r="B5889" s="2" t="s">
        <v>24101</v>
      </c>
      <c r="C5889" s="2" t="s">
        <v>24102</v>
      </c>
      <c r="D5889" s="2" t="s">
        <v>24103</v>
      </c>
      <c r="E5889" s="2" t="s">
        <v>24104</v>
      </c>
      <c r="F5889" s="2" t="b">
        <v>1</v>
      </c>
      <c r="G5889" s="2" t="b">
        <v>0</v>
      </c>
      <c r="H5889" s="2" t="s">
        <v>1985</v>
      </c>
      <c r="I5889" s="2" t="s">
        <v>22</v>
      </c>
      <c r="J5889" s="2" t="s">
        <v>750</v>
      </c>
      <c r="K5889" s="2" t="s">
        <v>495</v>
      </c>
      <c r="L5889" s="13" t="s">
        <v>496</v>
      </c>
      <c r="M5889" s="2" t="s">
        <v>26</v>
      </c>
      <c r="N5889" s="29"/>
      <c r="O5889" s="29"/>
      <c r="P5889" s="5" t="str">
        <f>IFERROR(__xludf.DUMMYFUNCTION("TEXTJOIN("" | "",TRUE,IF(OR(D5889="""",E5889="""",I5889="""",J5889="""",H5889=""""),""ফাঁকা ঘর"",""""),IF(AND(C5889&lt;&gt;"""",D5889&lt;&gt;"""",C5889=D5889),""gloss=figurative"",""""),IF(LEN(D5889)&lt;15,""figurative ছোট"",""""),IF(AND(I5889=""Positive"",REGEXMATCH(H5"&amp;"889,""মূর্খ|ভণ্ড|প্রতার|অলস|লোভ|স্বার্থ|অক্ষম|অযোগ্য|বোকা|কৃপণ|হিংস"")),""valence-target অমিল"",""""),IF(COUNTIF($B:$B,B5889)&gt;1,""ডুপ্লিকেট"",""""))"),"")</f>
        <v/>
      </c>
      <c r="Q5889" s="5" t="str">
        <f t="shared" si="1"/>
        <v>২ পরে</v>
      </c>
    </row>
    <row r="5890">
      <c r="A5890" s="4">
        <v>3773.0</v>
      </c>
      <c r="B5890" s="2" t="s">
        <v>24105</v>
      </c>
      <c r="C5890" s="2" t="s">
        <v>24106</v>
      </c>
      <c r="D5890" s="2" t="s">
        <v>24107</v>
      </c>
      <c r="E5890" s="2" t="s">
        <v>24108</v>
      </c>
      <c r="F5890" s="2" t="b">
        <v>1</v>
      </c>
      <c r="G5890" s="2" t="b">
        <v>0</v>
      </c>
      <c r="H5890" s="2" t="s">
        <v>37</v>
      </c>
      <c r="I5890" s="2" t="s">
        <v>32</v>
      </c>
      <c r="J5890" s="2" t="s">
        <v>3165</v>
      </c>
      <c r="K5890" s="2" t="s">
        <v>495</v>
      </c>
      <c r="L5890" s="13" t="s">
        <v>496</v>
      </c>
      <c r="M5890" s="2" t="s">
        <v>26</v>
      </c>
      <c r="N5890" s="29"/>
      <c r="O5890" s="29"/>
      <c r="P5890" s="5" t="str">
        <f>IFERROR(__xludf.DUMMYFUNCTION("TEXTJOIN("" | "",TRUE,IF(OR(D5890="""",E5890="""",I5890="""",J5890="""",H5890=""""),""ফাঁকা ঘর"",""""),IF(AND(C5890&lt;&gt;"""",D5890&lt;&gt;"""",C5890=D5890),""gloss=figurative"",""""),IF(LEN(D5890)&lt;15,""figurative ছোট"",""""),IF(AND(I5890=""Positive"",REGEXMATCH(H5"&amp;"890,""মূর্খ|ভণ্ড|প্রতার|অলস|লোভ|স্বার্থ|অক্ষম|অযোগ্য|বোকা|কৃপণ|হিংস"")),""valence-target অমিল"",""""),IF(COUNTIF($B:$B,B5890)&gt;1,""ডুপ্লিকেট"",""""))"),"")</f>
        <v/>
      </c>
      <c r="Q5890" s="5" t="str">
        <f t="shared" si="1"/>
        <v>২ পরে</v>
      </c>
    </row>
    <row r="5891">
      <c r="A5891" s="4">
        <v>3774.0</v>
      </c>
      <c r="B5891" s="2" t="s">
        <v>24109</v>
      </c>
      <c r="C5891" s="2" t="s">
        <v>24110</v>
      </c>
      <c r="D5891" s="2" t="s">
        <v>24111</v>
      </c>
      <c r="E5891" s="2" t="s">
        <v>24112</v>
      </c>
      <c r="F5891" s="2" t="b">
        <v>1</v>
      </c>
      <c r="G5891" s="2" t="b">
        <v>0</v>
      </c>
      <c r="H5891" s="2" t="s">
        <v>37</v>
      </c>
      <c r="I5891" s="2" t="s">
        <v>22</v>
      </c>
      <c r="J5891" s="2" t="s">
        <v>3165</v>
      </c>
      <c r="K5891" s="2" t="s">
        <v>495</v>
      </c>
      <c r="L5891" s="13" t="s">
        <v>496</v>
      </c>
      <c r="M5891" s="2" t="s">
        <v>26</v>
      </c>
      <c r="N5891" s="29"/>
      <c r="O5891" s="29"/>
      <c r="P5891" s="5" t="str">
        <f>IFERROR(__xludf.DUMMYFUNCTION("TEXTJOIN("" | "",TRUE,IF(OR(D5891="""",E5891="""",I5891="""",J5891="""",H5891=""""),""ফাঁকা ঘর"",""""),IF(AND(C5891&lt;&gt;"""",D5891&lt;&gt;"""",C5891=D5891),""gloss=figurative"",""""),IF(LEN(D5891)&lt;15,""figurative ছোট"",""""),IF(AND(I5891=""Positive"",REGEXMATCH(H5"&amp;"891,""মূর্খ|ভণ্ড|প্রতার|অলস|লোভ|স্বার্থ|অক্ষম|অযোগ্য|বোকা|কৃপণ|হিংস"")),""valence-target অমিল"",""""),IF(COUNTIF($B:$B,B5891)&gt;1,""ডুপ্লিকেট"",""""))"),"")</f>
        <v/>
      </c>
      <c r="Q5891" s="5" t="str">
        <f t="shared" si="1"/>
        <v>২ পরে</v>
      </c>
    </row>
    <row r="5892">
      <c r="A5892" s="4">
        <v>3775.0</v>
      </c>
      <c r="B5892" s="2" t="s">
        <v>24113</v>
      </c>
      <c r="C5892" s="2" t="s">
        <v>24114</v>
      </c>
      <c r="D5892" s="2" t="s">
        <v>24115</v>
      </c>
      <c r="E5892" s="2" t="s">
        <v>24116</v>
      </c>
      <c r="F5892" s="2" t="b">
        <v>1</v>
      </c>
      <c r="G5892" s="2" t="b">
        <v>0</v>
      </c>
      <c r="H5892" s="2" t="s">
        <v>37</v>
      </c>
      <c r="I5892" s="2" t="s">
        <v>49</v>
      </c>
      <c r="J5892" s="2" t="s">
        <v>447</v>
      </c>
      <c r="K5892" s="2" t="s">
        <v>495</v>
      </c>
      <c r="L5892" s="13" t="s">
        <v>496</v>
      </c>
      <c r="M5892" s="2" t="s">
        <v>26</v>
      </c>
      <c r="N5892" s="29"/>
      <c r="O5892" s="29"/>
      <c r="P5892" s="5" t="str">
        <f>IFERROR(__xludf.DUMMYFUNCTION("TEXTJOIN("" | "",TRUE,IF(OR(D5892="""",E5892="""",I5892="""",J5892="""",H5892=""""),""ফাঁকা ঘর"",""""),IF(AND(C5892&lt;&gt;"""",D5892&lt;&gt;"""",C5892=D5892),""gloss=figurative"",""""),IF(LEN(D5892)&lt;15,""figurative ছোট"",""""),IF(AND(I5892=""Positive"",REGEXMATCH(H5"&amp;"892,""মূর্খ|ভণ্ড|প্রতার|অলস|লোভ|স্বার্থ|অক্ষম|অযোগ্য|বোকা|কৃপণ|হিংস"")),""valence-target অমিল"",""""),IF(COUNTIF($B:$B,B5892)&gt;1,""ডুপ্লিকেট"",""""))"),"")</f>
        <v/>
      </c>
      <c r="Q5892" s="5" t="str">
        <f t="shared" si="1"/>
        <v>২ পরে</v>
      </c>
    </row>
    <row r="5893">
      <c r="A5893" s="4">
        <v>3776.0</v>
      </c>
      <c r="B5893" s="2" t="s">
        <v>24117</v>
      </c>
      <c r="C5893" s="2" t="s">
        <v>24118</v>
      </c>
      <c r="D5893" s="2" t="s">
        <v>24119</v>
      </c>
      <c r="E5893" s="2" t="s">
        <v>24120</v>
      </c>
      <c r="F5893" s="2" t="b">
        <v>1</v>
      </c>
      <c r="G5893" s="2" t="b">
        <v>0</v>
      </c>
      <c r="H5893" s="2" t="s">
        <v>24121</v>
      </c>
      <c r="I5893" s="2" t="s">
        <v>49</v>
      </c>
      <c r="J5893" s="2" t="s">
        <v>447</v>
      </c>
      <c r="K5893" s="2" t="s">
        <v>495</v>
      </c>
      <c r="L5893" s="13" t="s">
        <v>496</v>
      </c>
      <c r="M5893" s="2" t="s">
        <v>26</v>
      </c>
      <c r="N5893" s="29"/>
      <c r="O5893" s="29"/>
      <c r="P5893" s="5" t="str">
        <f>IFERROR(__xludf.DUMMYFUNCTION("TEXTJOIN("" | "",TRUE,IF(OR(D5893="""",E5893="""",I5893="""",J5893="""",H5893=""""),""ফাঁকা ঘর"",""""),IF(AND(C5893&lt;&gt;"""",D5893&lt;&gt;"""",C5893=D5893),""gloss=figurative"",""""),IF(LEN(D5893)&lt;15,""figurative ছোট"",""""),IF(AND(I5893=""Positive"",REGEXMATCH(H5"&amp;"893,""মূর্খ|ভণ্ড|প্রতার|অলস|লোভ|স্বার্থ|অক্ষম|অযোগ্য|বোকা|কৃপণ|হিংস"")),""valence-target অমিল"",""""),IF(COUNTIF($B:$B,B5893)&gt;1,""ডুপ্লিকেট"",""""))"),"")</f>
        <v/>
      </c>
      <c r="Q5893" s="5" t="str">
        <f t="shared" si="1"/>
        <v>২ পরে</v>
      </c>
    </row>
    <row r="5894">
      <c r="A5894" s="4">
        <v>3777.0</v>
      </c>
      <c r="B5894" s="2" t="s">
        <v>24122</v>
      </c>
      <c r="C5894" s="2" t="s">
        <v>24123</v>
      </c>
      <c r="D5894" s="2" t="s">
        <v>24124</v>
      </c>
      <c r="E5894" s="2" t="s">
        <v>24125</v>
      </c>
      <c r="F5894" s="2" t="b">
        <v>1</v>
      </c>
      <c r="G5894" s="2" t="b">
        <v>0</v>
      </c>
      <c r="H5894" s="2" t="s">
        <v>37</v>
      </c>
      <c r="I5894" s="2" t="s">
        <v>49</v>
      </c>
      <c r="J5894" s="2" t="s">
        <v>1666</v>
      </c>
      <c r="K5894" s="2" t="s">
        <v>495</v>
      </c>
      <c r="L5894" s="13" t="s">
        <v>496</v>
      </c>
      <c r="M5894" s="2" t="s">
        <v>26</v>
      </c>
      <c r="N5894" s="29"/>
      <c r="O5894" s="29"/>
      <c r="P5894" s="5" t="str">
        <f>IFERROR(__xludf.DUMMYFUNCTION("TEXTJOIN("" | "",TRUE,IF(OR(D5894="""",E5894="""",I5894="""",J5894="""",H5894=""""),""ফাঁকা ঘর"",""""),IF(AND(C5894&lt;&gt;"""",D5894&lt;&gt;"""",C5894=D5894),""gloss=figurative"",""""),IF(LEN(D5894)&lt;15,""figurative ছোট"",""""),IF(AND(I5894=""Positive"",REGEXMATCH(H5"&amp;"894,""মূর্খ|ভণ্ড|প্রতার|অলস|লোভ|স্বার্থ|অক্ষম|অযোগ্য|বোকা|কৃপণ|হিংস"")),""valence-target অমিল"",""""),IF(COUNTIF($B:$B,B5894)&gt;1,""ডুপ্লিকেট"",""""))"),"")</f>
        <v/>
      </c>
      <c r="Q5894" s="5" t="str">
        <f t="shared" si="1"/>
        <v>২ পরে</v>
      </c>
    </row>
    <row r="5895">
      <c r="A5895" s="4">
        <v>3778.0</v>
      </c>
      <c r="B5895" s="2" t="s">
        <v>24126</v>
      </c>
      <c r="C5895" s="2" t="s">
        <v>24127</v>
      </c>
      <c r="D5895" s="2" t="s">
        <v>24128</v>
      </c>
      <c r="E5895" s="2" t="s">
        <v>24129</v>
      </c>
      <c r="F5895" s="2" t="b">
        <v>1</v>
      </c>
      <c r="G5895" s="2" t="b">
        <v>0</v>
      </c>
      <c r="H5895" s="2" t="s">
        <v>37</v>
      </c>
      <c r="I5895" s="2" t="s">
        <v>49</v>
      </c>
      <c r="J5895" s="2" t="s">
        <v>24130</v>
      </c>
      <c r="K5895" s="2" t="s">
        <v>495</v>
      </c>
      <c r="L5895" s="13" t="s">
        <v>496</v>
      </c>
      <c r="M5895" s="2" t="s">
        <v>26</v>
      </c>
      <c r="N5895" s="29"/>
      <c r="O5895" s="29"/>
      <c r="P5895" s="5" t="str">
        <f>IFERROR(__xludf.DUMMYFUNCTION("TEXTJOIN("" | "",TRUE,IF(OR(D5895="""",E5895="""",I5895="""",J5895="""",H5895=""""),""ফাঁকা ঘর"",""""),IF(AND(C5895&lt;&gt;"""",D5895&lt;&gt;"""",C5895=D5895),""gloss=figurative"",""""),IF(LEN(D5895)&lt;15,""figurative ছোট"",""""),IF(AND(I5895=""Positive"",REGEXMATCH(H5"&amp;"895,""মূর্খ|ভণ্ড|প্রতার|অলস|লোভ|স্বার্থ|অক্ষম|অযোগ্য|বোকা|কৃপণ|হিংস"")),""valence-target অমিল"",""""),IF(COUNTIF($B:$B,B5895)&gt;1,""ডুপ্লিকেট"",""""))"),"")</f>
        <v/>
      </c>
      <c r="Q5895" s="5" t="str">
        <f t="shared" si="1"/>
        <v>২ পরে</v>
      </c>
    </row>
    <row r="5896">
      <c r="A5896" s="4">
        <v>3779.0</v>
      </c>
      <c r="B5896" s="2" t="s">
        <v>24131</v>
      </c>
      <c r="C5896" s="2" t="s">
        <v>24132</v>
      </c>
      <c r="D5896" s="2" t="s">
        <v>24133</v>
      </c>
      <c r="E5896" s="2" t="s">
        <v>24134</v>
      </c>
      <c r="F5896" s="2" t="b">
        <v>1</v>
      </c>
      <c r="G5896" s="2" t="b">
        <v>0</v>
      </c>
      <c r="H5896" s="2" t="s">
        <v>37</v>
      </c>
      <c r="I5896" s="2" t="s">
        <v>32</v>
      </c>
      <c r="J5896" s="2" t="s">
        <v>1244</v>
      </c>
      <c r="K5896" s="2" t="s">
        <v>495</v>
      </c>
      <c r="L5896" s="13" t="s">
        <v>496</v>
      </c>
      <c r="M5896" s="2" t="s">
        <v>26</v>
      </c>
      <c r="N5896" s="29"/>
      <c r="O5896" s="29"/>
      <c r="P5896" s="5" t="str">
        <f>IFERROR(__xludf.DUMMYFUNCTION("TEXTJOIN("" | "",TRUE,IF(OR(D5896="""",E5896="""",I5896="""",J5896="""",H5896=""""),""ফাঁকা ঘর"",""""),IF(AND(C5896&lt;&gt;"""",D5896&lt;&gt;"""",C5896=D5896),""gloss=figurative"",""""),IF(LEN(D5896)&lt;15,""figurative ছোট"",""""),IF(AND(I5896=""Positive"",REGEXMATCH(H5"&amp;"896,""মূর্খ|ভণ্ড|প্রতার|অলস|লোভ|স্বার্থ|অক্ষম|অযোগ্য|বোকা|কৃপণ|হিংস"")),""valence-target অমিল"",""""),IF(COUNTIF($B:$B,B5896)&gt;1,""ডুপ্লিকেট"",""""))"),"")</f>
        <v/>
      </c>
      <c r="Q5896" s="5" t="str">
        <f t="shared" si="1"/>
        <v>২ পরে</v>
      </c>
    </row>
    <row r="5897">
      <c r="A5897" s="4">
        <v>3780.0</v>
      </c>
      <c r="B5897" s="2" t="s">
        <v>24135</v>
      </c>
      <c r="C5897" s="2" t="s">
        <v>24136</v>
      </c>
      <c r="D5897" s="2" t="s">
        <v>24137</v>
      </c>
      <c r="E5897" s="2" t="s">
        <v>24138</v>
      </c>
      <c r="F5897" s="2" t="b">
        <v>1</v>
      </c>
      <c r="G5897" s="2" t="b">
        <v>0</v>
      </c>
      <c r="H5897" s="2" t="s">
        <v>37</v>
      </c>
      <c r="I5897" s="2" t="s">
        <v>32</v>
      </c>
      <c r="J5897" s="2" t="s">
        <v>739</v>
      </c>
      <c r="K5897" s="2" t="s">
        <v>495</v>
      </c>
      <c r="L5897" s="13" t="s">
        <v>496</v>
      </c>
      <c r="M5897" s="2" t="s">
        <v>26</v>
      </c>
      <c r="N5897" s="29"/>
      <c r="O5897" s="29"/>
      <c r="P5897" s="5" t="str">
        <f>IFERROR(__xludf.DUMMYFUNCTION("TEXTJOIN("" | "",TRUE,IF(OR(D5897="""",E5897="""",I5897="""",J5897="""",H5897=""""),""ফাঁকা ঘর"",""""),IF(AND(C5897&lt;&gt;"""",D5897&lt;&gt;"""",C5897=D5897),""gloss=figurative"",""""),IF(LEN(D5897)&lt;15,""figurative ছোট"",""""),IF(AND(I5897=""Positive"",REGEXMATCH(H5"&amp;"897,""মূর্খ|ভণ্ড|প্রতার|অলস|লোভ|স্বার্থ|অক্ষম|অযোগ্য|বোকা|কৃপণ|হিংস"")),""valence-target অমিল"",""""),IF(COUNTIF($B:$B,B5897)&gt;1,""ডুপ্লিকেট"",""""))"),"")</f>
        <v/>
      </c>
      <c r="Q5897" s="5" t="str">
        <f t="shared" si="1"/>
        <v>২ পরে</v>
      </c>
    </row>
    <row r="5898">
      <c r="A5898" s="4">
        <v>3781.0</v>
      </c>
      <c r="B5898" s="2" t="s">
        <v>24139</v>
      </c>
      <c r="C5898" s="2" t="s">
        <v>24140</v>
      </c>
      <c r="D5898" s="2" t="s">
        <v>24141</v>
      </c>
      <c r="E5898" s="2" t="s">
        <v>24142</v>
      </c>
      <c r="F5898" s="2" t="b">
        <v>1</v>
      </c>
      <c r="G5898" s="2" t="b">
        <v>0</v>
      </c>
      <c r="H5898" s="2" t="s">
        <v>37</v>
      </c>
      <c r="I5898" s="2" t="s">
        <v>49</v>
      </c>
      <c r="J5898" s="2" t="s">
        <v>1621</v>
      </c>
      <c r="K5898" s="2" t="s">
        <v>495</v>
      </c>
      <c r="L5898" s="13" t="s">
        <v>496</v>
      </c>
      <c r="M5898" s="2" t="s">
        <v>26</v>
      </c>
      <c r="N5898" s="29"/>
      <c r="O5898" s="29"/>
      <c r="P5898" s="5" t="str">
        <f>IFERROR(__xludf.DUMMYFUNCTION("TEXTJOIN("" | "",TRUE,IF(OR(D5898="""",E5898="""",I5898="""",J5898="""",H5898=""""),""ফাঁকা ঘর"",""""),IF(AND(C5898&lt;&gt;"""",D5898&lt;&gt;"""",C5898=D5898),""gloss=figurative"",""""),IF(LEN(D5898)&lt;15,""figurative ছোট"",""""),IF(AND(I5898=""Positive"",REGEXMATCH(H5"&amp;"898,""মূর্খ|ভণ্ড|প্রতার|অলস|লোভ|স্বার্থ|অক্ষম|অযোগ্য|বোকা|কৃপণ|হিংস"")),""valence-target অমিল"",""""),IF(COUNTIF($B:$B,B5898)&gt;1,""ডুপ্লিকেট"",""""))"),"")</f>
        <v/>
      </c>
      <c r="Q5898" s="5" t="str">
        <f t="shared" si="1"/>
        <v>২ পরে</v>
      </c>
    </row>
    <row r="5899">
      <c r="A5899" s="4">
        <v>3782.0</v>
      </c>
      <c r="B5899" s="2" t="s">
        <v>24143</v>
      </c>
      <c r="C5899" s="2" t="s">
        <v>24144</v>
      </c>
      <c r="D5899" s="2" t="s">
        <v>24145</v>
      </c>
      <c r="E5899" s="2" t="s">
        <v>24146</v>
      </c>
      <c r="F5899" s="2" t="b">
        <v>1</v>
      </c>
      <c r="G5899" s="2" t="b">
        <v>0</v>
      </c>
      <c r="H5899" s="2" t="s">
        <v>989</v>
      </c>
      <c r="I5899" s="2" t="s">
        <v>22</v>
      </c>
      <c r="J5899" s="2" t="s">
        <v>1305</v>
      </c>
      <c r="K5899" s="2" t="s">
        <v>495</v>
      </c>
      <c r="L5899" s="13" t="s">
        <v>496</v>
      </c>
      <c r="M5899" s="2" t="s">
        <v>26</v>
      </c>
      <c r="N5899" s="29"/>
      <c r="O5899" s="29"/>
      <c r="P5899" s="5" t="str">
        <f>IFERROR(__xludf.DUMMYFUNCTION("TEXTJOIN("" | "",TRUE,IF(OR(D5899="""",E5899="""",I5899="""",J5899="""",H5899=""""),""ফাঁকা ঘর"",""""),IF(AND(C5899&lt;&gt;"""",D5899&lt;&gt;"""",C5899=D5899),""gloss=figurative"",""""),IF(LEN(D5899)&lt;15,""figurative ছোট"",""""),IF(AND(I5899=""Positive"",REGEXMATCH(H5"&amp;"899,""মূর্খ|ভণ্ড|প্রতার|অলস|লোভ|স্বার্থ|অক্ষম|অযোগ্য|বোকা|কৃপণ|হিংস"")),""valence-target অমিল"",""""),IF(COUNTIF($B:$B,B5899)&gt;1,""ডুপ্লিকেট"",""""))"),"")</f>
        <v/>
      </c>
      <c r="Q5899" s="5" t="str">
        <f t="shared" si="1"/>
        <v>২ পরে</v>
      </c>
    </row>
    <row r="5900">
      <c r="A5900" s="4">
        <v>3783.0</v>
      </c>
      <c r="B5900" s="2" t="s">
        <v>24147</v>
      </c>
      <c r="C5900" s="2" t="s">
        <v>24148</v>
      </c>
      <c r="D5900" s="2" t="s">
        <v>24149</v>
      </c>
      <c r="E5900" s="2" t="s">
        <v>24150</v>
      </c>
      <c r="F5900" s="2" t="b">
        <v>1</v>
      </c>
      <c r="G5900" s="2" t="b">
        <v>0</v>
      </c>
      <c r="H5900" s="2" t="s">
        <v>989</v>
      </c>
      <c r="I5900" s="2" t="s">
        <v>22</v>
      </c>
      <c r="J5900" s="2" t="s">
        <v>1397</v>
      </c>
      <c r="K5900" s="2" t="s">
        <v>495</v>
      </c>
      <c r="L5900" s="13" t="s">
        <v>496</v>
      </c>
      <c r="M5900" s="2" t="s">
        <v>26</v>
      </c>
      <c r="N5900" s="29"/>
      <c r="O5900" s="29"/>
      <c r="P5900" s="5" t="str">
        <f>IFERROR(__xludf.DUMMYFUNCTION("TEXTJOIN("" | "",TRUE,IF(OR(D5900="""",E5900="""",I5900="""",J5900="""",H5900=""""),""ফাঁকা ঘর"",""""),IF(AND(C5900&lt;&gt;"""",D5900&lt;&gt;"""",C5900=D5900),""gloss=figurative"",""""),IF(LEN(D5900)&lt;15,""figurative ছোট"",""""),IF(AND(I5900=""Positive"",REGEXMATCH(H5"&amp;"900,""মূর্খ|ভণ্ড|প্রতার|অলস|লোভ|স্বার্থ|অক্ষম|অযোগ্য|বোকা|কৃপণ|হিংস"")),""valence-target অমিল"",""""),IF(COUNTIF($B:$B,B5900)&gt;1,""ডুপ্লিকেট"",""""))"),"")</f>
        <v/>
      </c>
      <c r="Q5900" s="5" t="str">
        <f t="shared" si="1"/>
        <v>২ পরে</v>
      </c>
    </row>
    <row r="5901">
      <c r="A5901" s="4">
        <v>3784.0</v>
      </c>
      <c r="B5901" s="2" t="s">
        <v>24151</v>
      </c>
      <c r="C5901" s="2" t="s">
        <v>24152</v>
      </c>
      <c r="D5901" s="2" t="s">
        <v>24153</v>
      </c>
      <c r="E5901" s="2" t="s">
        <v>24154</v>
      </c>
      <c r="F5901" s="2" t="b">
        <v>1</v>
      </c>
      <c r="G5901" s="2" t="b">
        <v>0</v>
      </c>
      <c r="H5901" s="2" t="s">
        <v>37</v>
      </c>
      <c r="I5901" s="2" t="s">
        <v>49</v>
      </c>
      <c r="J5901" s="2" t="s">
        <v>5524</v>
      </c>
      <c r="K5901" s="2" t="s">
        <v>495</v>
      </c>
      <c r="L5901" s="13" t="s">
        <v>496</v>
      </c>
      <c r="M5901" s="2" t="s">
        <v>26</v>
      </c>
      <c r="N5901" s="29"/>
      <c r="O5901" s="29"/>
      <c r="P5901" s="5" t="str">
        <f>IFERROR(__xludf.DUMMYFUNCTION("TEXTJOIN("" | "",TRUE,IF(OR(D5901="""",E5901="""",I5901="""",J5901="""",H5901=""""),""ফাঁকা ঘর"",""""),IF(AND(C5901&lt;&gt;"""",D5901&lt;&gt;"""",C5901=D5901),""gloss=figurative"",""""),IF(LEN(D5901)&lt;15,""figurative ছোট"",""""),IF(AND(I5901=""Positive"",REGEXMATCH(H5"&amp;"901,""মূর্খ|ভণ্ড|প্রতার|অলস|লোভ|স্বার্থ|অক্ষম|অযোগ্য|বোকা|কৃপণ|হিংস"")),""valence-target অমিল"",""""),IF(COUNTIF($B:$B,B5901)&gt;1,""ডুপ্লিকেট"",""""))"),"")</f>
        <v/>
      </c>
      <c r="Q5901" s="5" t="str">
        <f t="shared" si="1"/>
        <v>২ পরে</v>
      </c>
    </row>
    <row r="5902">
      <c r="A5902" s="4">
        <v>3785.0</v>
      </c>
      <c r="B5902" s="2" t="s">
        <v>24155</v>
      </c>
      <c r="C5902" s="2" t="s">
        <v>24156</v>
      </c>
      <c r="D5902" s="2" t="s">
        <v>24157</v>
      </c>
      <c r="E5902" s="2" t="s">
        <v>24158</v>
      </c>
      <c r="F5902" s="2" t="b">
        <v>1</v>
      </c>
      <c r="G5902" s="2" t="b">
        <v>0</v>
      </c>
      <c r="H5902" s="2" t="s">
        <v>37</v>
      </c>
      <c r="I5902" s="2" t="s">
        <v>49</v>
      </c>
      <c r="J5902" s="2" t="s">
        <v>16048</v>
      </c>
      <c r="K5902" s="2" t="s">
        <v>495</v>
      </c>
      <c r="L5902" s="13" t="s">
        <v>496</v>
      </c>
      <c r="M5902" s="2" t="s">
        <v>26</v>
      </c>
      <c r="N5902" s="29"/>
      <c r="O5902" s="29"/>
      <c r="P5902" s="5" t="str">
        <f>IFERROR(__xludf.DUMMYFUNCTION("TEXTJOIN("" | "",TRUE,IF(OR(D5902="""",E5902="""",I5902="""",J5902="""",H5902=""""),""ফাঁকা ঘর"",""""),IF(AND(C5902&lt;&gt;"""",D5902&lt;&gt;"""",C5902=D5902),""gloss=figurative"",""""),IF(LEN(D5902)&lt;15,""figurative ছোট"",""""),IF(AND(I5902=""Positive"",REGEXMATCH(H5"&amp;"902,""মূর্খ|ভণ্ড|প্রতার|অলস|লোভ|স্বার্থ|অক্ষম|অযোগ্য|বোকা|কৃপণ|হিংস"")),""valence-target অমিল"",""""),IF(COUNTIF($B:$B,B5902)&gt;1,""ডুপ্লিকেট"",""""))"),"")</f>
        <v/>
      </c>
      <c r="Q5902" s="5" t="str">
        <f t="shared" si="1"/>
        <v>২ পরে</v>
      </c>
    </row>
    <row r="5903">
      <c r="A5903" s="4">
        <v>3786.0</v>
      </c>
      <c r="B5903" s="2" t="s">
        <v>24159</v>
      </c>
      <c r="C5903" s="2" t="s">
        <v>24160</v>
      </c>
      <c r="D5903" s="2" t="s">
        <v>24161</v>
      </c>
      <c r="E5903" s="2" t="s">
        <v>24162</v>
      </c>
      <c r="F5903" s="2" t="b">
        <v>1</v>
      </c>
      <c r="G5903" s="2" t="b">
        <v>0</v>
      </c>
      <c r="H5903" s="2" t="s">
        <v>37</v>
      </c>
      <c r="I5903" s="2" t="s">
        <v>32</v>
      </c>
      <c r="J5903" s="2" t="s">
        <v>11358</v>
      </c>
      <c r="K5903" s="2" t="s">
        <v>495</v>
      </c>
      <c r="L5903" s="13" t="s">
        <v>496</v>
      </c>
      <c r="M5903" s="2" t="s">
        <v>26</v>
      </c>
      <c r="N5903" s="29"/>
      <c r="O5903" s="29"/>
      <c r="P5903" s="5" t="str">
        <f>IFERROR(__xludf.DUMMYFUNCTION("TEXTJOIN("" | "",TRUE,IF(OR(D5903="""",E5903="""",I5903="""",J5903="""",H5903=""""),""ফাঁকা ঘর"",""""),IF(AND(C5903&lt;&gt;"""",D5903&lt;&gt;"""",C5903=D5903),""gloss=figurative"",""""),IF(LEN(D5903)&lt;15,""figurative ছোট"",""""),IF(AND(I5903=""Positive"",REGEXMATCH(H5"&amp;"903,""মূর্খ|ভণ্ড|প্রতার|অলস|লোভ|স্বার্থ|অক্ষম|অযোগ্য|বোকা|কৃপণ|হিংস"")),""valence-target অমিল"",""""),IF(COUNTIF($B:$B,B5903)&gt;1,""ডুপ্লিকেট"",""""))"),"")</f>
        <v/>
      </c>
      <c r="Q5903" s="5" t="str">
        <f t="shared" si="1"/>
        <v>২ পরে</v>
      </c>
    </row>
    <row r="5904">
      <c r="A5904" s="4">
        <v>3787.0</v>
      </c>
      <c r="B5904" s="2" t="s">
        <v>12222</v>
      </c>
      <c r="C5904" s="2" t="s">
        <v>24163</v>
      </c>
      <c r="D5904" s="2" t="s">
        <v>24164</v>
      </c>
      <c r="E5904" s="2" t="s">
        <v>24165</v>
      </c>
      <c r="F5904" s="2" t="b">
        <v>1</v>
      </c>
      <c r="G5904" s="2" t="b">
        <v>0</v>
      </c>
      <c r="H5904" s="2" t="s">
        <v>37</v>
      </c>
      <c r="I5904" s="2" t="s">
        <v>49</v>
      </c>
      <c r="J5904" s="2" t="s">
        <v>708</v>
      </c>
      <c r="K5904" s="2" t="s">
        <v>495</v>
      </c>
      <c r="L5904" s="13" t="s">
        <v>496</v>
      </c>
      <c r="M5904" s="2" t="s">
        <v>26</v>
      </c>
      <c r="N5904" s="29"/>
      <c r="O5904" s="29"/>
      <c r="P5904" s="5" t="str">
        <f>IFERROR(__xludf.DUMMYFUNCTION("TEXTJOIN("" | "",TRUE,IF(OR(D5904="""",E5904="""",I5904="""",J5904="""",H5904=""""),""ফাঁকা ঘর"",""""),IF(AND(C5904&lt;&gt;"""",D5904&lt;&gt;"""",C5904=D5904),""gloss=figurative"",""""),IF(LEN(D5904)&lt;15,""figurative ছোট"",""""),IF(AND(I5904=""Positive"",REGEXMATCH(H5"&amp;"904,""মূর্খ|ভণ্ড|প্রতার|অলস|লোভ|স্বার্থ|অক্ষম|অযোগ্য|বোকা|কৃপণ|হিংস"")),""valence-target অমিল"",""""),IF(COUNTIF($B:$B,B5904)&gt;1,""ডুপ্লিকেট"",""""))"),"")</f>
        <v/>
      </c>
      <c r="Q5904" s="5" t="str">
        <f t="shared" si="1"/>
        <v>২ পরে</v>
      </c>
    </row>
    <row r="5905">
      <c r="A5905" s="4">
        <v>3788.0</v>
      </c>
      <c r="B5905" s="2" t="s">
        <v>24166</v>
      </c>
      <c r="C5905" s="2" t="s">
        <v>24167</v>
      </c>
      <c r="D5905" s="2" t="s">
        <v>24168</v>
      </c>
      <c r="E5905" s="2" t="s">
        <v>24169</v>
      </c>
      <c r="F5905" s="2" t="b">
        <v>1</v>
      </c>
      <c r="G5905" s="2" t="b">
        <v>0</v>
      </c>
      <c r="H5905" s="2" t="s">
        <v>37</v>
      </c>
      <c r="I5905" s="2" t="s">
        <v>32</v>
      </c>
      <c r="J5905" s="2" t="s">
        <v>1264</v>
      </c>
      <c r="K5905" s="2" t="s">
        <v>495</v>
      </c>
      <c r="L5905" s="13" t="s">
        <v>496</v>
      </c>
      <c r="M5905" s="2" t="s">
        <v>26</v>
      </c>
      <c r="N5905" s="29"/>
      <c r="O5905" s="29"/>
      <c r="P5905" s="5" t="str">
        <f>IFERROR(__xludf.DUMMYFUNCTION("TEXTJOIN("" | "",TRUE,IF(OR(D5905="""",E5905="""",I5905="""",J5905="""",H5905=""""),""ফাঁকা ঘর"",""""),IF(AND(C5905&lt;&gt;"""",D5905&lt;&gt;"""",C5905=D5905),""gloss=figurative"",""""),IF(LEN(D5905)&lt;15,""figurative ছোট"",""""),IF(AND(I5905=""Positive"",REGEXMATCH(H5"&amp;"905,""মূর্খ|ভণ্ড|প্রতার|অলস|লোভ|স্বার্থ|অক্ষম|অযোগ্য|বোকা|কৃপণ|হিংস"")),""valence-target অমিল"",""""),IF(COUNTIF($B:$B,B5905)&gt;1,""ডুপ্লিকেট"",""""))"),"")</f>
        <v/>
      </c>
      <c r="Q5905" s="5" t="str">
        <f t="shared" si="1"/>
        <v>২ পরে</v>
      </c>
    </row>
    <row r="5906">
      <c r="A5906" s="4">
        <v>3789.0</v>
      </c>
      <c r="B5906" s="2" t="s">
        <v>24170</v>
      </c>
      <c r="C5906" s="2" t="s">
        <v>24171</v>
      </c>
      <c r="D5906" s="2" t="s">
        <v>24172</v>
      </c>
      <c r="E5906" s="2" t="s">
        <v>24173</v>
      </c>
      <c r="F5906" s="2" t="b">
        <v>1</v>
      </c>
      <c r="G5906" s="2" t="b">
        <v>0</v>
      </c>
      <c r="H5906" s="2" t="s">
        <v>37</v>
      </c>
      <c r="I5906" s="2" t="s">
        <v>22</v>
      </c>
      <c r="J5906" s="2" t="s">
        <v>3710</v>
      </c>
      <c r="K5906" s="2" t="s">
        <v>495</v>
      </c>
      <c r="L5906" s="13" t="s">
        <v>496</v>
      </c>
      <c r="M5906" s="2" t="s">
        <v>26</v>
      </c>
      <c r="N5906" s="29"/>
      <c r="O5906" s="29"/>
      <c r="P5906" s="5" t="str">
        <f>IFERROR(__xludf.DUMMYFUNCTION("TEXTJOIN("" | "",TRUE,IF(OR(D5906="""",E5906="""",I5906="""",J5906="""",H5906=""""),""ফাঁকা ঘর"",""""),IF(AND(C5906&lt;&gt;"""",D5906&lt;&gt;"""",C5906=D5906),""gloss=figurative"",""""),IF(LEN(D5906)&lt;15,""figurative ছোট"",""""),IF(AND(I5906=""Positive"",REGEXMATCH(H5"&amp;"906,""মূর্খ|ভণ্ড|প্রতার|অলস|লোভ|স্বার্থ|অক্ষম|অযোগ্য|বোকা|কৃপণ|হিংস"")),""valence-target অমিল"",""""),IF(COUNTIF($B:$B,B5906)&gt;1,""ডুপ্লিকেট"",""""))"),"")</f>
        <v/>
      </c>
      <c r="Q5906" s="5" t="str">
        <f t="shared" si="1"/>
        <v>২ পরে</v>
      </c>
    </row>
    <row r="5907">
      <c r="A5907" s="4">
        <v>3790.0</v>
      </c>
      <c r="B5907" s="2" t="s">
        <v>24174</v>
      </c>
      <c r="C5907" s="2" t="s">
        <v>24175</v>
      </c>
      <c r="D5907" s="2" t="s">
        <v>23515</v>
      </c>
      <c r="E5907" s="2" t="s">
        <v>24176</v>
      </c>
      <c r="F5907" s="2" t="b">
        <v>1</v>
      </c>
      <c r="G5907" s="2" t="b">
        <v>0</v>
      </c>
      <c r="H5907" s="2" t="s">
        <v>37</v>
      </c>
      <c r="I5907" s="2" t="s">
        <v>32</v>
      </c>
      <c r="J5907" s="2" t="s">
        <v>1843</v>
      </c>
      <c r="K5907" s="2" t="s">
        <v>495</v>
      </c>
      <c r="L5907" s="13" t="s">
        <v>496</v>
      </c>
      <c r="M5907" s="2" t="s">
        <v>26</v>
      </c>
      <c r="N5907" s="29"/>
      <c r="O5907" s="29"/>
      <c r="P5907" s="5" t="str">
        <f>IFERROR(__xludf.DUMMYFUNCTION("TEXTJOIN("" | "",TRUE,IF(OR(D5907="""",E5907="""",I5907="""",J5907="""",H5907=""""),""ফাঁকা ঘর"",""""),IF(AND(C5907&lt;&gt;"""",D5907&lt;&gt;"""",C5907=D5907),""gloss=figurative"",""""),IF(LEN(D5907)&lt;15,""figurative ছোট"",""""),IF(AND(I5907=""Positive"",REGEXMATCH(H5"&amp;"907,""মূর্খ|ভণ্ড|প্রতার|অলস|লোভ|স্বার্থ|অক্ষম|অযোগ্য|বোকা|কৃপণ|হিংস"")),""valence-target অমিল"",""""),IF(COUNTIF($B:$B,B5907)&gt;1,""ডুপ্লিকেট"",""""))"),"")</f>
        <v/>
      </c>
      <c r="Q5907" s="5" t="str">
        <f t="shared" si="1"/>
        <v>২ পরে</v>
      </c>
    </row>
    <row r="5908">
      <c r="A5908" s="4">
        <v>3791.0</v>
      </c>
      <c r="B5908" s="2" t="s">
        <v>24177</v>
      </c>
      <c r="C5908" s="2" t="s">
        <v>24178</v>
      </c>
      <c r="D5908" s="2" t="s">
        <v>24179</v>
      </c>
      <c r="E5908" s="2" t="s">
        <v>24180</v>
      </c>
      <c r="F5908" s="2" t="b">
        <v>1</v>
      </c>
      <c r="G5908" s="2" t="b">
        <v>0</v>
      </c>
      <c r="H5908" s="2" t="s">
        <v>37</v>
      </c>
      <c r="I5908" s="2" t="s">
        <v>32</v>
      </c>
      <c r="J5908" s="2" t="s">
        <v>1775</v>
      </c>
      <c r="K5908" s="2" t="s">
        <v>495</v>
      </c>
      <c r="L5908" s="13" t="s">
        <v>496</v>
      </c>
      <c r="M5908" s="2" t="s">
        <v>26</v>
      </c>
      <c r="N5908" s="29"/>
      <c r="O5908" s="29"/>
      <c r="P5908" s="5" t="str">
        <f>IFERROR(__xludf.DUMMYFUNCTION("TEXTJOIN("" | "",TRUE,IF(OR(D5908="""",E5908="""",I5908="""",J5908="""",H5908=""""),""ফাঁকা ঘর"",""""),IF(AND(C5908&lt;&gt;"""",D5908&lt;&gt;"""",C5908=D5908),""gloss=figurative"",""""),IF(LEN(D5908)&lt;15,""figurative ছোট"",""""),IF(AND(I5908=""Positive"",REGEXMATCH(H5"&amp;"908,""মূর্খ|ভণ্ড|প্রতার|অলস|লোভ|স্বার্থ|অক্ষম|অযোগ্য|বোকা|কৃপণ|হিংস"")),""valence-target অমিল"",""""),IF(COUNTIF($B:$B,B5908)&gt;1,""ডুপ্লিকেট"",""""))"),"")</f>
        <v/>
      </c>
      <c r="Q5908" s="5" t="str">
        <f t="shared" si="1"/>
        <v>২ পরে</v>
      </c>
    </row>
    <row r="5909">
      <c r="A5909" s="4">
        <v>3792.0</v>
      </c>
      <c r="B5909" s="2" t="s">
        <v>24181</v>
      </c>
      <c r="C5909" s="2" t="s">
        <v>24182</v>
      </c>
      <c r="D5909" s="2" t="s">
        <v>24183</v>
      </c>
      <c r="E5909" s="2" t="s">
        <v>24184</v>
      </c>
      <c r="F5909" s="2" t="b">
        <v>1</v>
      </c>
      <c r="G5909" s="2" t="b">
        <v>0</v>
      </c>
      <c r="H5909" s="2" t="s">
        <v>37</v>
      </c>
      <c r="I5909" s="2" t="s">
        <v>32</v>
      </c>
      <c r="J5909" s="2" t="s">
        <v>23072</v>
      </c>
      <c r="K5909" s="2" t="s">
        <v>495</v>
      </c>
      <c r="L5909" s="13" t="s">
        <v>496</v>
      </c>
      <c r="M5909" s="2" t="s">
        <v>26</v>
      </c>
      <c r="N5909" s="29"/>
      <c r="O5909" s="29"/>
      <c r="P5909" s="5" t="str">
        <f>IFERROR(__xludf.DUMMYFUNCTION("TEXTJOIN("" | "",TRUE,IF(OR(D5909="""",E5909="""",I5909="""",J5909="""",H5909=""""),""ফাঁকা ঘর"",""""),IF(AND(C5909&lt;&gt;"""",D5909&lt;&gt;"""",C5909=D5909),""gloss=figurative"",""""),IF(LEN(D5909)&lt;15,""figurative ছোট"",""""),IF(AND(I5909=""Positive"",REGEXMATCH(H5"&amp;"909,""মূর্খ|ভণ্ড|প্রতার|অলস|লোভ|স্বার্থ|অক্ষম|অযোগ্য|বোকা|কৃপণ|হিংস"")),""valence-target অমিল"",""""),IF(COUNTIF($B:$B,B5909)&gt;1,""ডুপ্লিকেট"",""""))"),"")</f>
        <v/>
      </c>
      <c r="Q5909" s="5" t="str">
        <f t="shared" si="1"/>
        <v>২ পরে</v>
      </c>
    </row>
    <row r="5910">
      <c r="A5910" s="4">
        <v>3793.0</v>
      </c>
      <c r="B5910" s="2" t="s">
        <v>24185</v>
      </c>
      <c r="C5910" s="2" t="s">
        <v>24186</v>
      </c>
      <c r="D5910" s="2" t="s">
        <v>24187</v>
      </c>
      <c r="E5910" s="2" t="s">
        <v>24188</v>
      </c>
      <c r="F5910" s="2" t="b">
        <v>1</v>
      </c>
      <c r="G5910" s="2" t="b">
        <v>0</v>
      </c>
      <c r="H5910" s="2" t="s">
        <v>37</v>
      </c>
      <c r="I5910" s="2" t="s">
        <v>49</v>
      </c>
      <c r="J5910" s="2" t="s">
        <v>739</v>
      </c>
      <c r="K5910" s="2" t="s">
        <v>495</v>
      </c>
      <c r="L5910" s="13" t="s">
        <v>496</v>
      </c>
      <c r="M5910" s="2" t="s">
        <v>26</v>
      </c>
      <c r="N5910" s="29"/>
      <c r="O5910" s="29"/>
      <c r="P5910" s="5" t="str">
        <f>IFERROR(__xludf.DUMMYFUNCTION("TEXTJOIN("" | "",TRUE,IF(OR(D5910="""",E5910="""",I5910="""",J5910="""",H5910=""""),""ফাঁকা ঘর"",""""),IF(AND(C5910&lt;&gt;"""",D5910&lt;&gt;"""",C5910=D5910),""gloss=figurative"",""""),IF(LEN(D5910)&lt;15,""figurative ছোট"",""""),IF(AND(I5910=""Positive"",REGEXMATCH(H5"&amp;"910,""মূর্খ|ভণ্ড|প্রতার|অলস|লোভ|স্বার্থ|অক্ষম|অযোগ্য|বোকা|কৃপণ|হিংস"")),""valence-target অমিল"",""""),IF(COUNTIF($B:$B,B5910)&gt;1,""ডুপ্লিকেট"",""""))"),"")</f>
        <v/>
      </c>
      <c r="Q5910" s="5" t="str">
        <f t="shared" si="1"/>
        <v>২ পরে</v>
      </c>
    </row>
    <row r="5911">
      <c r="A5911" s="4">
        <v>3794.0</v>
      </c>
      <c r="B5911" s="2" t="s">
        <v>24189</v>
      </c>
      <c r="C5911" s="2" t="s">
        <v>24190</v>
      </c>
      <c r="D5911" s="2" t="s">
        <v>24191</v>
      </c>
      <c r="E5911" s="2" t="s">
        <v>24192</v>
      </c>
      <c r="F5911" s="2" t="b">
        <v>1</v>
      </c>
      <c r="G5911" s="2" t="b">
        <v>0</v>
      </c>
      <c r="H5911" s="2" t="s">
        <v>37</v>
      </c>
      <c r="I5911" s="2" t="s">
        <v>22</v>
      </c>
      <c r="J5911" s="2" t="s">
        <v>24193</v>
      </c>
      <c r="K5911" s="2" t="s">
        <v>495</v>
      </c>
      <c r="L5911" s="13" t="s">
        <v>496</v>
      </c>
      <c r="M5911" s="2" t="s">
        <v>26</v>
      </c>
      <c r="N5911" s="29"/>
      <c r="O5911" s="29"/>
      <c r="P5911" s="5" t="str">
        <f>IFERROR(__xludf.DUMMYFUNCTION("TEXTJOIN("" | "",TRUE,IF(OR(D5911="""",E5911="""",I5911="""",J5911="""",H5911=""""),""ফাঁকা ঘর"",""""),IF(AND(C5911&lt;&gt;"""",D5911&lt;&gt;"""",C5911=D5911),""gloss=figurative"",""""),IF(LEN(D5911)&lt;15,""figurative ছোট"",""""),IF(AND(I5911=""Positive"",REGEXMATCH(H5"&amp;"911,""মূর্খ|ভণ্ড|প্রতার|অলস|লোভ|স্বার্থ|অক্ষম|অযোগ্য|বোকা|কৃপণ|হিংস"")),""valence-target অমিল"",""""),IF(COUNTIF($B:$B,B5911)&gt;1,""ডুপ্লিকেট"",""""))"),"")</f>
        <v/>
      </c>
      <c r="Q5911" s="5" t="str">
        <f t="shared" si="1"/>
        <v>২ পরে</v>
      </c>
    </row>
    <row r="5912">
      <c r="A5912" s="4">
        <v>3795.0</v>
      </c>
      <c r="B5912" s="2" t="s">
        <v>24194</v>
      </c>
      <c r="C5912" s="2" t="s">
        <v>24195</v>
      </c>
      <c r="D5912" s="2" t="s">
        <v>24196</v>
      </c>
      <c r="E5912" s="2" t="s">
        <v>24197</v>
      </c>
      <c r="F5912" s="2" t="b">
        <v>1</v>
      </c>
      <c r="G5912" s="2" t="b">
        <v>1</v>
      </c>
      <c r="H5912" s="2" t="s">
        <v>24198</v>
      </c>
      <c r="I5912" s="2" t="s">
        <v>32</v>
      </c>
      <c r="J5912" s="2" t="s">
        <v>3327</v>
      </c>
      <c r="K5912" s="2" t="s">
        <v>495</v>
      </c>
      <c r="L5912" s="13" t="s">
        <v>496</v>
      </c>
      <c r="M5912" s="2" t="s">
        <v>26</v>
      </c>
      <c r="N5912" s="29"/>
      <c r="O5912" s="29"/>
      <c r="P5912" s="5" t="str">
        <f>IFERROR(__xludf.DUMMYFUNCTION("TEXTJOIN("" | "",TRUE,IF(OR(D5912="""",E5912="""",I5912="""",J5912="""",H5912=""""),""ফাঁকা ঘর"",""""),IF(AND(C5912&lt;&gt;"""",D5912&lt;&gt;"""",C5912=D5912),""gloss=figurative"",""""),IF(LEN(D5912)&lt;15,""figurative ছোট"",""""),IF(AND(I5912=""Positive"",REGEXMATCH(H5"&amp;"912,""মূর্খ|ভণ্ড|প্রতার|অলস|লোভ|স্বার্থ|অক্ষম|অযোগ্য|বোকা|কৃপণ|হিংস"")),""valence-target অমিল"",""""),IF(COUNTIF($B:$B,B5912)&gt;1,""ডুপ্লিকেট"",""""))"),"")</f>
        <v/>
      </c>
      <c r="Q5912" s="5" t="str">
        <f t="shared" si="1"/>
        <v>২ পরে</v>
      </c>
    </row>
    <row r="5913">
      <c r="A5913" s="4">
        <v>3796.0</v>
      </c>
      <c r="B5913" s="2" t="s">
        <v>24199</v>
      </c>
      <c r="C5913" s="2" t="s">
        <v>24200</v>
      </c>
      <c r="D5913" s="2" t="s">
        <v>24201</v>
      </c>
      <c r="E5913" s="2" t="s">
        <v>24202</v>
      </c>
      <c r="F5913" s="2" t="b">
        <v>1</v>
      </c>
      <c r="G5913" s="2" t="b">
        <v>0</v>
      </c>
      <c r="H5913" s="2" t="s">
        <v>37</v>
      </c>
      <c r="I5913" s="2" t="s">
        <v>32</v>
      </c>
      <c r="J5913" s="2" t="s">
        <v>1438</v>
      </c>
      <c r="K5913" s="2" t="s">
        <v>495</v>
      </c>
      <c r="L5913" s="13" t="s">
        <v>496</v>
      </c>
      <c r="M5913" s="2" t="s">
        <v>26</v>
      </c>
      <c r="N5913" s="29"/>
      <c r="O5913" s="29"/>
      <c r="P5913" s="5" t="str">
        <f>IFERROR(__xludf.DUMMYFUNCTION("TEXTJOIN("" | "",TRUE,IF(OR(D5913="""",E5913="""",I5913="""",J5913="""",H5913=""""),""ফাঁকা ঘর"",""""),IF(AND(C5913&lt;&gt;"""",D5913&lt;&gt;"""",C5913=D5913),""gloss=figurative"",""""),IF(LEN(D5913)&lt;15,""figurative ছোট"",""""),IF(AND(I5913=""Positive"",REGEXMATCH(H5"&amp;"913,""মূর্খ|ভণ্ড|প্রতার|অলস|লোভ|স্বার্থ|অক্ষম|অযোগ্য|বোকা|কৃপণ|হিংস"")),""valence-target অমিল"",""""),IF(COUNTIF($B:$B,B5913)&gt;1,""ডুপ্লিকেট"",""""))"),"")</f>
        <v/>
      </c>
      <c r="Q5913" s="5" t="str">
        <f t="shared" si="1"/>
        <v>২ পরে</v>
      </c>
    </row>
    <row r="5914">
      <c r="A5914" s="4">
        <v>3797.0</v>
      </c>
      <c r="B5914" s="2" t="s">
        <v>24203</v>
      </c>
      <c r="C5914" s="2" t="s">
        <v>24204</v>
      </c>
      <c r="D5914" s="2" t="s">
        <v>24205</v>
      </c>
      <c r="E5914" s="2" t="s">
        <v>24206</v>
      </c>
      <c r="F5914" s="2" t="b">
        <v>1</v>
      </c>
      <c r="G5914" s="2" t="b">
        <v>0</v>
      </c>
      <c r="H5914" s="2" t="s">
        <v>37</v>
      </c>
      <c r="I5914" s="2" t="s">
        <v>32</v>
      </c>
      <c r="J5914" s="2" t="s">
        <v>1859</v>
      </c>
      <c r="K5914" s="2" t="s">
        <v>495</v>
      </c>
      <c r="L5914" s="13" t="s">
        <v>496</v>
      </c>
      <c r="M5914" s="2" t="s">
        <v>26</v>
      </c>
      <c r="N5914" s="29"/>
      <c r="O5914" s="29"/>
      <c r="P5914" s="5" t="str">
        <f>IFERROR(__xludf.DUMMYFUNCTION("TEXTJOIN("" | "",TRUE,IF(OR(D5914="""",E5914="""",I5914="""",J5914="""",H5914=""""),""ফাঁকা ঘর"",""""),IF(AND(C5914&lt;&gt;"""",D5914&lt;&gt;"""",C5914=D5914),""gloss=figurative"",""""),IF(LEN(D5914)&lt;15,""figurative ছোট"",""""),IF(AND(I5914=""Positive"",REGEXMATCH(H5"&amp;"914,""মূর্খ|ভণ্ড|প্রতার|অলস|লোভ|স্বার্থ|অক্ষম|অযোগ্য|বোকা|কৃপণ|হিংস"")),""valence-target অমিল"",""""),IF(COUNTIF($B:$B,B5914)&gt;1,""ডুপ্লিকেট"",""""))"),"")</f>
        <v/>
      </c>
      <c r="Q5914" s="5" t="str">
        <f t="shared" si="1"/>
        <v>২ পরে</v>
      </c>
    </row>
    <row r="5915">
      <c r="A5915" s="4">
        <v>3798.0</v>
      </c>
      <c r="B5915" s="2" t="s">
        <v>24207</v>
      </c>
      <c r="C5915" s="2" t="s">
        <v>24208</v>
      </c>
      <c r="D5915" s="2" t="s">
        <v>24209</v>
      </c>
      <c r="E5915" s="2" t="s">
        <v>24210</v>
      </c>
      <c r="F5915" s="2" t="b">
        <v>1</v>
      </c>
      <c r="G5915" s="2" t="b">
        <v>0</v>
      </c>
      <c r="H5915" s="2" t="s">
        <v>1284</v>
      </c>
      <c r="I5915" s="2" t="s">
        <v>22</v>
      </c>
      <c r="J5915" s="2" t="s">
        <v>723</v>
      </c>
      <c r="K5915" s="2" t="s">
        <v>495</v>
      </c>
      <c r="L5915" s="13" t="s">
        <v>496</v>
      </c>
      <c r="M5915" s="2" t="s">
        <v>26</v>
      </c>
      <c r="N5915" s="29"/>
      <c r="O5915" s="29"/>
      <c r="P5915" s="5" t="str">
        <f>IFERROR(__xludf.DUMMYFUNCTION("TEXTJOIN("" | "",TRUE,IF(OR(D5915="""",E5915="""",I5915="""",J5915="""",H5915=""""),""ফাঁকা ঘর"",""""),IF(AND(C5915&lt;&gt;"""",D5915&lt;&gt;"""",C5915=D5915),""gloss=figurative"",""""),IF(LEN(D5915)&lt;15,""figurative ছোট"",""""),IF(AND(I5915=""Positive"",REGEXMATCH(H5"&amp;"915,""মূর্খ|ভণ্ড|প্রতার|অলস|লোভ|স্বার্থ|অক্ষম|অযোগ্য|বোকা|কৃপণ|হিংস"")),""valence-target অমিল"",""""),IF(COUNTIF($B:$B,B5915)&gt;1,""ডুপ্লিকেট"",""""))"),"")</f>
        <v/>
      </c>
      <c r="Q5915" s="5" t="str">
        <f t="shared" si="1"/>
        <v>২ পরে</v>
      </c>
    </row>
    <row r="5916">
      <c r="A5916" s="4">
        <v>3799.0</v>
      </c>
      <c r="B5916" s="2" t="s">
        <v>24211</v>
      </c>
      <c r="C5916" s="2" t="s">
        <v>24212</v>
      </c>
      <c r="D5916" s="2" t="s">
        <v>24213</v>
      </c>
      <c r="E5916" s="2" t="s">
        <v>24214</v>
      </c>
      <c r="F5916" s="2" t="b">
        <v>1</v>
      </c>
      <c r="G5916" s="2" t="b">
        <v>0</v>
      </c>
      <c r="H5916" s="2" t="s">
        <v>37</v>
      </c>
      <c r="I5916" s="2" t="s">
        <v>32</v>
      </c>
      <c r="J5916" s="2" t="s">
        <v>1454</v>
      </c>
      <c r="K5916" s="2" t="s">
        <v>495</v>
      </c>
      <c r="L5916" s="13" t="s">
        <v>496</v>
      </c>
      <c r="M5916" s="2" t="s">
        <v>26</v>
      </c>
      <c r="N5916" s="29"/>
      <c r="O5916" s="29"/>
      <c r="P5916" s="5" t="str">
        <f>IFERROR(__xludf.DUMMYFUNCTION("TEXTJOIN("" | "",TRUE,IF(OR(D5916="""",E5916="""",I5916="""",J5916="""",H5916=""""),""ফাঁকা ঘর"",""""),IF(AND(C5916&lt;&gt;"""",D5916&lt;&gt;"""",C5916=D5916),""gloss=figurative"",""""),IF(LEN(D5916)&lt;15,""figurative ছোট"",""""),IF(AND(I5916=""Positive"",REGEXMATCH(H5"&amp;"916,""মূর্খ|ভণ্ড|প্রতার|অলস|লোভ|স্বার্থ|অক্ষম|অযোগ্য|বোকা|কৃপণ|হিংস"")),""valence-target অমিল"",""""),IF(COUNTIF($B:$B,B5916)&gt;1,""ডুপ্লিকেট"",""""))"),"")</f>
        <v/>
      </c>
      <c r="Q5916" s="5" t="str">
        <f t="shared" si="1"/>
        <v>২ পরে</v>
      </c>
    </row>
    <row r="5917">
      <c r="A5917" s="4">
        <v>3800.0</v>
      </c>
      <c r="B5917" s="2" t="s">
        <v>24215</v>
      </c>
      <c r="C5917" s="2" t="s">
        <v>24216</v>
      </c>
      <c r="D5917" s="2" t="s">
        <v>24217</v>
      </c>
      <c r="E5917" s="2" t="s">
        <v>24218</v>
      </c>
      <c r="F5917" s="2" t="b">
        <v>1</v>
      </c>
      <c r="G5917" s="2" t="b">
        <v>0</v>
      </c>
      <c r="H5917" s="2" t="s">
        <v>37</v>
      </c>
      <c r="I5917" s="2" t="s">
        <v>49</v>
      </c>
      <c r="J5917" s="2" t="s">
        <v>3288</v>
      </c>
      <c r="K5917" s="2" t="s">
        <v>495</v>
      </c>
      <c r="L5917" s="13" t="s">
        <v>496</v>
      </c>
      <c r="M5917" s="2" t="s">
        <v>26</v>
      </c>
      <c r="N5917" s="29"/>
      <c r="O5917" s="29"/>
      <c r="P5917" s="5" t="str">
        <f>IFERROR(__xludf.DUMMYFUNCTION("TEXTJOIN("" | "",TRUE,IF(OR(D5917="""",E5917="""",I5917="""",J5917="""",H5917=""""),""ফাঁকা ঘর"",""""),IF(AND(C5917&lt;&gt;"""",D5917&lt;&gt;"""",C5917=D5917),""gloss=figurative"",""""),IF(LEN(D5917)&lt;15,""figurative ছোট"",""""),IF(AND(I5917=""Positive"",REGEXMATCH(H5"&amp;"917,""মূর্খ|ভণ্ড|প্রতার|অলস|লোভ|স্বার্থ|অক্ষম|অযোগ্য|বোকা|কৃপণ|হিংস"")),""valence-target অমিল"",""""),IF(COUNTIF($B:$B,B5917)&gt;1,""ডুপ্লিকেট"",""""))"),"")</f>
        <v/>
      </c>
      <c r="Q5917" s="5" t="str">
        <f t="shared" si="1"/>
        <v>২ পরে</v>
      </c>
    </row>
    <row r="5918">
      <c r="A5918" s="4">
        <v>3801.0</v>
      </c>
      <c r="B5918" s="2" t="s">
        <v>24219</v>
      </c>
      <c r="C5918" s="2" t="s">
        <v>24220</v>
      </c>
      <c r="D5918" s="2" t="s">
        <v>24221</v>
      </c>
      <c r="E5918" s="2" t="s">
        <v>24222</v>
      </c>
      <c r="F5918" s="2" t="b">
        <v>1</v>
      </c>
      <c r="G5918" s="2" t="b">
        <v>0</v>
      </c>
      <c r="H5918" s="2" t="s">
        <v>1025</v>
      </c>
      <c r="I5918" s="2" t="s">
        <v>22</v>
      </c>
      <c r="J5918" s="2" t="s">
        <v>43</v>
      </c>
      <c r="K5918" s="2" t="s">
        <v>495</v>
      </c>
      <c r="L5918" s="13" t="s">
        <v>496</v>
      </c>
      <c r="M5918" s="2" t="s">
        <v>26</v>
      </c>
      <c r="N5918" s="29"/>
      <c r="O5918" s="29"/>
      <c r="P5918" s="5" t="str">
        <f>IFERROR(__xludf.DUMMYFUNCTION("TEXTJOIN("" | "",TRUE,IF(OR(D5918="""",E5918="""",I5918="""",J5918="""",H5918=""""),""ফাঁকা ঘর"",""""),IF(AND(C5918&lt;&gt;"""",D5918&lt;&gt;"""",C5918=D5918),""gloss=figurative"",""""),IF(LEN(D5918)&lt;15,""figurative ছোট"",""""),IF(AND(I5918=""Positive"",REGEXMATCH(H5"&amp;"918,""মূর্খ|ভণ্ড|প্রতার|অলস|লোভ|স্বার্থ|অক্ষম|অযোগ্য|বোকা|কৃপণ|হিংস"")),""valence-target অমিল"",""""),IF(COUNTIF($B:$B,B5918)&gt;1,""ডুপ্লিকেট"",""""))"),"")</f>
        <v/>
      </c>
      <c r="Q5918" s="5" t="str">
        <f t="shared" si="1"/>
        <v>২ পরে</v>
      </c>
    </row>
    <row r="5919">
      <c r="A5919" s="4">
        <v>3802.0</v>
      </c>
      <c r="B5919" s="2" t="s">
        <v>24223</v>
      </c>
      <c r="C5919" s="2" t="s">
        <v>24224</v>
      </c>
      <c r="D5919" s="2" t="s">
        <v>24225</v>
      </c>
      <c r="E5919" s="2" t="s">
        <v>24226</v>
      </c>
      <c r="F5919" s="2" t="b">
        <v>1</v>
      </c>
      <c r="G5919" s="2" t="b">
        <v>0</v>
      </c>
      <c r="H5919" s="2" t="s">
        <v>37</v>
      </c>
      <c r="I5919" s="2" t="s">
        <v>32</v>
      </c>
      <c r="J5919" s="2" t="s">
        <v>15657</v>
      </c>
      <c r="K5919" s="2" t="s">
        <v>495</v>
      </c>
      <c r="L5919" s="13" t="s">
        <v>496</v>
      </c>
      <c r="M5919" s="2" t="s">
        <v>26</v>
      </c>
      <c r="N5919" s="29"/>
      <c r="O5919" s="29"/>
      <c r="P5919" s="5" t="str">
        <f>IFERROR(__xludf.DUMMYFUNCTION("TEXTJOIN("" | "",TRUE,IF(OR(D5919="""",E5919="""",I5919="""",J5919="""",H5919=""""),""ফাঁকা ঘর"",""""),IF(AND(C5919&lt;&gt;"""",D5919&lt;&gt;"""",C5919=D5919),""gloss=figurative"",""""),IF(LEN(D5919)&lt;15,""figurative ছোট"",""""),IF(AND(I5919=""Positive"",REGEXMATCH(H5"&amp;"919,""মূর্খ|ভণ্ড|প্রতার|অলস|লোভ|স্বার্থ|অক্ষম|অযোগ্য|বোকা|কৃপণ|হিংস"")),""valence-target অমিল"",""""),IF(COUNTIF($B:$B,B5919)&gt;1,""ডুপ্লিকেট"",""""))"),"")</f>
        <v/>
      </c>
      <c r="Q5919" s="5" t="str">
        <f t="shared" si="1"/>
        <v>২ পরে</v>
      </c>
    </row>
    <row r="5920">
      <c r="A5920" s="4">
        <v>3803.0</v>
      </c>
      <c r="B5920" s="2" t="s">
        <v>24227</v>
      </c>
      <c r="C5920" s="2" t="s">
        <v>24228</v>
      </c>
      <c r="D5920" s="2" t="s">
        <v>24229</v>
      </c>
      <c r="E5920" s="2" t="s">
        <v>24230</v>
      </c>
      <c r="F5920" s="2" t="b">
        <v>1</v>
      </c>
      <c r="G5920" s="2" t="b">
        <v>0</v>
      </c>
      <c r="H5920" s="2" t="s">
        <v>37</v>
      </c>
      <c r="I5920" s="2" t="s">
        <v>22</v>
      </c>
      <c r="J5920" s="2" t="s">
        <v>3165</v>
      </c>
      <c r="K5920" s="2" t="s">
        <v>495</v>
      </c>
      <c r="L5920" s="13" t="s">
        <v>496</v>
      </c>
      <c r="M5920" s="2" t="s">
        <v>26</v>
      </c>
      <c r="N5920" s="29"/>
      <c r="O5920" s="29"/>
      <c r="P5920" s="5" t="str">
        <f>IFERROR(__xludf.DUMMYFUNCTION("TEXTJOIN("" | "",TRUE,IF(OR(D5920="""",E5920="""",I5920="""",J5920="""",H5920=""""),""ফাঁকা ঘর"",""""),IF(AND(C5920&lt;&gt;"""",D5920&lt;&gt;"""",C5920=D5920),""gloss=figurative"",""""),IF(LEN(D5920)&lt;15,""figurative ছোট"",""""),IF(AND(I5920=""Positive"",REGEXMATCH(H5"&amp;"920,""মূর্খ|ভণ্ড|প্রতার|অলস|লোভ|স্বার্থ|অক্ষম|অযোগ্য|বোকা|কৃপণ|হিংস"")),""valence-target অমিল"",""""),IF(COUNTIF($B:$B,B5920)&gt;1,""ডুপ্লিকেট"",""""))"),"")</f>
        <v/>
      </c>
      <c r="Q5920" s="5" t="str">
        <f t="shared" si="1"/>
        <v>২ পরে</v>
      </c>
    </row>
    <row r="5921">
      <c r="A5921" s="4">
        <v>3804.0</v>
      </c>
      <c r="B5921" s="2" t="s">
        <v>24231</v>
      </c>
      <c r="C5921" s="2" t="s">
        <v>24231</v>
      </c>
      <c r="D5921" s="2" t="s">
        <v>24232</v>
      </c>
      <c r="E5921" s="2" t="s">
        <v>24233</v>
      </c>
      <c r="F5921" s="2" t="b">
        <v>1</v>
      </c>
      <c r="G5921" s="2" t="b">
        <v>0</v>
      </c>
      <c r="H5921" s="2" t="s">
        <v>24234</v>
      </c>
      <c r="I5921" s="2" t="s">
        <v>32</v>
      </c>
      <c r="J5921" s="2" t="s">
        <v>6917</v>
      </c>
      <c r="K5921" s="2" t="s">
        <v>495</v>
      </c>
      <c r="L5921" s="13" t="s">
        <v>496</v>
      </c>
      <c r="M5921" s="2" t="s">
        <v>26</v>
      </c>
      <c r="N5921" s="29"/>
      <c r="O5921" s="29"/>
      <c r="P5921" s="5" t="str">
        <f>IFERROR(__xludf.DUMMYFUNCTION("TEXTJOIN("" | "",TRUE,IF(OR(D5921="""",E5921="""",I5921="""",J5921="""",H5921=""""),""ফাঁকা ঘর"",""""),IF(AND(C5921&lt;&gt;"""",D5921&lt;&gt;"""",C5921=D5921),""gloss=figurative"",""""),IF(LEN(D5921)&lt;15,""figurative ছোট"",""""),IF(AND(I5921=""Positive"",REGEXMATCH(H5"&amp;"921,""মূর্খ|ভণ্ড|প্রতার|অলস|লোভ|স্বার্থ|অক্ষম|অযোগ্য|বোকা|কৃপণ|হিংস"")),""valence-target অমিল"",""""),IF(COUNTIF($B:$B,B5921)&gt;1,""ডুপ্লিকেট"",""""))"),"")</f>
        <v/>
      </c>
      <c r="Q5921" s="5" t="str">
        <f t="shared" si="1"/>
        <v>২ পরে</v>
      </c>
    </row>
    <row r="5922">
      <c r="A5922" s="4">
        <v>3805.0</v>
      </c>
      <c r="B5922" s="2" t="s">
        <v>24235</v>
      </c>
      <c r="C5922" s="2" t="s">
        <v>24235</v>
      </c>
      <c r="D5922" s="2" t="s">
        <v>24236</v>
      </c>
      <c r="E5922" s="2" t="s">
        <v>24237</v>
      </c>
      <c r="F5922" s="2" t="b">
        <v>1</v>
      </c>
      <c r="G5922" s="2" t="b">
        <v>0</v>
      </c>
      <c r="H5922" s="2" t="s">
        <v>37</v>
      </c>
      <c r="I5922" s="2" t="s">
        <v>32</v>
      </c>
      <c r="J5922" s="2" t="s">
        <v>4946</v>
      </c>
      <c r="K5922" s="2" t="s">
        <v>495</v>
      </c>
      <c r="L5922" s="13" t="s">
        <v>496</v>
      </c>
      <c r="M5922" s="2" t="s">
        <v>26</v>
      </c>
      <c r="N5922" s="29"/>
      <c r="O5922" s="29"/>
      <c r="P5922" s="5" t="str">
        <f>IFERROR(__xludf.DUMMYFUNCTION("TEXTJOIN("" | "",TRUE,IF(OR(D5922="""",E5922="""",I5922="""",J5922="""",H5922=""""),""ফাঁকা ঘর"",""""),IF(AND(C5922&lt;&gt;"""",D5922&lt;&gt;"""",C5922=D5922),""gloss=figurative"",""""),IF(LEN(D5922)&lt;15,""figurative ছোট"",""""),IF(AND(I5922=""Positive"",REGEXMATCH(H5"&amp;"922,""মূর্খ|ভণ্ড|প্রতার|অলস|লোভ|স্বার্থ|অক্ষম|অযোগ্য|বোকা|কৃপণ|হিংস"")),""valence-target অমিল"",""""),IF(COUNTIF($B:$B,B5922)&gt;1,""ডুপ্লিকেট"",""""))"),"")</f>
        <v/>
      </c>
      <c r="Q5922" s="5" t="str">
        <f t="shared" si="1"/>
        <v>২ পরে</v>
      </c>
    </row>
    <row r="5923">
      <c r="A5923" s="4">
        <v>3806.0</v>
      </c>
      <c r="B5923" s="2" t="s">
        <v>24238</v>
      </c>
      <c r="C5923" s="2" t="s">
        <v>24239</v>
      </c>
      <c r="D5923" s="2" t="s">
        <v>24240</v>
      </c>
      <c r="E5923" s="2" t="s">
        <v>24241</v>
      </c>
      <c r="F5923" s="2" t="b">
        <v>1</v>
      </c>
      <c r="G5923" s="2" t="b">
        <v>0</v>
      </c>
      <c r="H5923" s="2" t="s">
        <v>37</v>
      </c>
      <c r="I5923" s="2" t="s">
        <v>22</v>
      </c>
      <c r="J5923" s="2" t="s">
        <v>16089</v>
      </c>
      <c r="K5923" s="2" t="s">
        <v>495</v>
      </c>
      <c r="L5923" s="13" t="s">
        <v>496</v>
      </c>
      <c r="M5923" s="2" t="s">
        <v>26</v>
      </c>
      <c r="N5923" s="29"/>
      <c r="O5923" s="29"/>
      <c r="P5923" s="5" t="str">
        <f>IFERROR(__xludf.DUMMYFUNCTION("TEXTJOIN("" | "",TRUE,IF(OR(D5923="""",E5923="""",I5923="""",J5923="""",H5923=""""),""ফাঁকা ঘর"",""""),IF(AND(C5923&lt;&gt;"""",D5923&lt;&gt;"""",C5923=D5923),""gloss=figurative"",""""),IF(LEN(D5923)&lt;15,""figurative ছোট"",""""),IF(AND(I5923=""Positive"",REGEXMATCH(H5"&amp;"923,""মূর্খ|ভণ্ড|প্রতার|অলস|লোভ|স্বার্থ|অক্ষম|অযোগ্য|বোকা|কৃপণ|হিংস"")),""valence-target অমিল"",""""),IF(COUNTIF($B:$B,B5923)&gt;1,""ডুপ্লিকেট"",""""))"),"")</f>
        <v/>
      </c>
      <c r="Q5923" s="5" t="str">
        <f t="shared" si="1"/>
        <v>২ পরে</v>
      </c>
    </row>
    <row r="5924">
      <c r="A5924" s="4">
        <v>3807.0</v>
      </c>
      <c r="B5924" s="2" t="s">
        <v>24242</v>
      </c>
      <c r="C5924" s="2" t="s">
        <v>24243</v>
      </c>
      <c r="D5924" s="2" t="s">
        <v>24244</v>
      </c>
      <c r="E5924" s="2" t="s">
        <v>24245</v>
      </c>
      <c r="F5924" s="2" t="b">
        <v>1</v>
      </c>
      <c r="G5924" s="2" t="b">
        <v>0</v>
      </c>
      <c r="H5924" s="2" t="s">
        <v>37</v>
      </c>
      <c r="I5924" s="2" t="s">
        <v>22</v>
      </c>
      <c r="J5924" s="2" t="s">
        <v>1607</v>
      </c>
      <c r="K5924" s="2" t="s">
        <v>495</v>
      </c>
      <c r="L5924" s="13" t="s">
        <v>496</v>
      </c>
      <c r="M5924" s="2" t="s">
        <v>26</v>
      </c>
      <c r="N5924" s="29"/>
      <c r="O5924" s="29"/>
      <c r="P5924" s="5" t="str">
        <f>IFERROR(__xludf.DUMMYFUNCTION("TEXTJOIN("" | "",TRUE,IF(OR(D5924="""",E5924="""",I5924="""",J5924="""",H5924=""""),""ফাঁকা ঘর"",""""),IF(AND(C5924&lt;&gt;"""",D5924&lt;&gt;"""",C5924=D5924),""gloss=figurative"",""""),IF(LEN(D5924)&lt;15,""figurative ছোট"",""""),IF(AND(I5924=""Positive"",REGEXMATCH(H5"&amp;"924,""মূর্খ|ভণ্ড|প্রতার|অলস|লোভ|স্বার্থ|অক্ষম|অযোগ্য|বোকা|কৃপণ|হিংস"")),""valence-target অমিল"",""""),IF(COUNTIF($B:$B,B5924)&gt;1,""ডুপ্লিকেট"",""""))"),"")</f>
        <v/>
      </c>
      <c r="Q5924" s="5" t="str">
        <f t="shared" si="1"/>
        <v>২ পরে</v>
      </c>
    </row>
    <row r="5925">
      <c r="A5925" s="4">
        <v>3808.0</v>
      </c>
      <c r="B5925" s="2" t="s">
        <v>24246</v>
      </c>
      <c r="C5925" s="2" t="s">
        <v>24247</v>
      </c>
      <c r="D5925" s="2" t="s">
        <v>24248</v>
      </c>
      <c r="E5925" s="2" t="s">
        <v>24249</v>
      </c>
      <c r="F5925" s="2" t="b">
        <v>1</v>
      </c>
      <c r="G5925" s="2" t="b">
        <v>0</v>
      </c>
      <c r="H5925" s="2" t="s">
        <v>37</v>
      </c>
      <c r="I5925" s="2" t="s">
        <v>22</v>
      </c>
      <c r="J5925" s="2" t="s">
        <v>24193</v>
      </c>
      <c r="K5925" s="2" t="s">
        <v>495</v>
      </c>
      <c r="L5925" s="13" t="s">
        <v>496</v>
      </c>
      <c r="M5925" s="2" t="s">
        <v>26</v>
      </c>
      <c r="N5925" s="29"/>
      <c r="O5925" s="29"/>
      <c r="P5925" s="5" t="str">
        <f>IFERROR(__xludf.DUMMYFUNCTION("TEXTJOIN("" | "",TRUE,IF(OR(D5925="""",E5925="""",I5925="""",J5925="""",H5925=""""),""ফাঁকা ঘর"",""""),IF(AND(C5925&lt;&gt;"""",D5925&lt;&gt;"""",C5925=D5925),""gloss=figurative"",""""),IF(LEN(D5925)&lt;15,""figurative ছোট"",""""),IF(AND(I5925=""Positive"",REGEXMATCH(H5"&amp;"925,""মূর্খ|ভণ্ড|প্রতার|অলস|লোভ|স্বার্থ|অক্ষম|অযোগ্য|বোকা|কৃপণ|হিংস"")),""valence-target অমিল"",""""),IF(COUNTIF($B:$B,B5925)&gt;1,""ডুপ্লিকেট"",""""))"),"")</f>
        <v/>
      </c>
      <c r="Q5925" s="5" t="str">
        <f t="shared" si="1"/>
        <v>২ পরে</v>
      </c>
    </row>
    <row r="5926">
      <c r="A5926" s="4">
        <v>3809.0</v>
      </c>
      <c r="B5926" s="2" t="s">
        <v>24250</v>
      </c>
      <c r="C5926" s="2" t="s">
        <v>24251</v>
      </c>
      <c r="D5926" s="2" t="s">
        <v>24252</v>
      </c>
      <c r="E5926" s="2" t="s">
        <v>24253</v>
      </c>
      <c r="F5926" s="2" t="b">
        <v>1</v>
      </c>
      <c r="G5926" s="2" t="b">
        <v>0</v>
      </c>
      <c r="H5926" s="2" t="s">
        <v>1284</v>
      </c>
      <c r="I5926" s="2" t="s">
        <v>22</v>
      </c>
      <c r="J5926" s="2" t="s">
        <v>739</v>
      </c>
      <c r="K5926" s="2" t="s">
        <v>495</v>
      </c>
      <c r="L5926" s="13" t="s">
        <v>496</v>
      </c>
      <c r="M5926" s="2" t="s">
        <v>26</v>
      </c>
      <c r="N5926" s="29"/>
      <c r="O5926" s="29"/>
      <c r="P5926" s="5" t="str">
        <f>IFERROR(__xludf.DUMMYFUNCTION("TEXTJOIN("" | "",TRUE,IF(OR(D5926="""",E5926="""",I5926="""",J5926="""",H5926=""""),""ফাঁকা ঘর"",""""),IF(AND(C5926&lt;&gt;"""",D5926&lt;&gt;"""",C5926=D5926),""gloss=figurative"",""""),IF(LEN(D5926)&lt;15,""figurative ছোট"",""""),IF(AND(I5926=""Positive"",REGEXMATCH(H5"&amp;"926,""মূর্খ|ভণ্ড|প্রতার|অলস|লোভ|স্বার্থ|অক্ষম|অযোগ্য|বোকা|কৃপণ|হিংস"")),""valence-target অমিল"",""""),IF(COUNTIF($B:$B,B5926)&gt;1,""ডুপ্লিকেট"",""""))"),"")</f>
        <v/>
      </c>
      <c r="Q5926" s="5" t="str">
        <f t="shared" si="1"/>
        <v>২ পরে</v>
      </c>
    </row>
    <row r="5927">
      <c r="A5927" s="4">
        <v>3810.0</v>
      </c>
      <c r="B5927" s="2" t="s">
        <v>24254</v>
      </c>
      <c r="C5927" s="2" t="s">
        <v>24255</v>
      </c>
      <c r="D5927" s="2" t="s">
        <v>24256</v>
      </c>
      <c r="E5927" s="2" t="s">
        <v>24257</v>
      </c>
      <c r="F5927" s="2" t="b">
        <v>1</v>
      </c>
      <c r="G5927" s="2" t="b">
        <v>0</v>
      </c>
      <c r="H5927" s="2" t="s">
        <v>37</v>
      </c>
      <c r="I5927" s="2" t="s">
        <v>22</v>
      </c>
      <c r="J5927" s="2" t="s">
        <v>621</v>
      </c>
      <c r="K5927" s="2" t="s">
        <v>495</v>
      </c>
      <c r="L5927" s="13" t="s">
        <v>496</v>
      </c>
      <c r="M5927" s="2" t="s">
        <v>26</v>
      </c>
      <c r="N5927" s="29"/>
      <c r="O5927" s="29"/>
      <c r="P5927" s="5" t="str">
        <f>IFERROR(__xludf.DUMMYFUNCTION("TEXTJOIN("" | "",TRUE,IF(OR(D5927="""",E5927="""",I5927="""",J5927="""",H5927=""""),""ফাঁকা ঘর"",""""),IF(AND(C5927&lt;&gt;"""",D5927&lt;&gt;"""",C5927=D5927),""gloss=figurative"",""""),IF(LEN(D5927)&lt;15,""figurative ছোট"",""""),IF(AND(I5927=""Positive"",REGEXMATCH(H5"&amp;"927,""মূর্খ|ভণ্ড|প্রতার|অলস|লোভ|স্বার্থ|অক্ষম|অযোগ্য|বোকা|কৃপণ|হিংস"")),""valence-target অমিল"",""""),IF(COUNTIF($B:$B,B5927)&gt;1,""ডুপ্লিকেট"",""""))"),"")</f>
        <v/>
      </c>
      <c r="Q5927" s="5" t="str">
        <f t="shared" si="1"/>
        <v>২ পরে</v>
      </c>
    </row>
    <row r="5928">
      <c r="A5928" s="4">
        <v>3811.0</v>
      </c>
      <c r="B5928" s="2" t="s">
        <v>24258</v>
      </c>
      <c r="C5928" s="2" t="s">
        <v>24259</v>
      </c>
      <c r="D5928" s="2" t="s">
        <v>24260</v>
      </c>
      <c r="E5928" s="2" t="s">
        <v>24261</v>
      </c>
      <c r="F5928" s="2" t="b">
        <v>1</v>
      </c>
      <c r="G5928" s="2" t="b">
        <v>0</v>
      </c>
      <c r="H5928" s="2" t="s">
        <v>24262</v>
      </c>
      <c r="I5928" s="2" t="s">
        <v>22</v>
      </c>
      <c r="J5928" s="2" t="s">
        <v>1630</v>
      </c>
      <c r="K5928" s="2" t="s">
        <v>495</v>
      </c>
      <c r="L5928" s="13" t="s">
        <v>496</v>
      </c>
      <c r="M5928" s="2" t="s">
        <v>26</v>
      </c>
      <c r="N5928" s="29"/>
      <c r="O5928" s="29"/>
      <c r="P5928" s="5" t="str">
        <f>IFERROR(__xludf.DUMMYFUNCTION("TEXTJOIN("" | "",TRUE,IF(OR(D5928="""",E5928="""",I5928="""",J5928="""",H5928=""""),""ফাঁকা ঘর"",""""),IF(AND(C5928&lt;&gt;"""",D5928&lt;&gt;"""",C5928=D5928),""gloss=figurative"",""""),IF(LEN(D5928)&lt;15,""figurative ছোট"",""""),IF(AND(I5928=""Positive"",REGEXMATCH(H5"&amp;"928,""মূর্খ|ভণ্ড|প্রতার|অলস|লোভ|স্বার্থ|অক্ষম|অযোগ্য|বোকা|কৃপণ|হিংস"")),""valence-target অমিল"",""""),IF(COUNTIF($B:$B,B5928)&gt;1,""ডুপ্লিকেট"",""""))"),"")</f>
        <v/>
      </c>
      <c r="Q5928" s="5" t="str">
        <f t="shared" si="1"/>
        <v>২ পরে</v>
      </c>
    </row>
    <row r="5929">
      <c r="A5929" s="4">
        <v>3812.0</v>
      </c>
      <c r="B5929" s="2" t="s">
        <v>24263</v>
      </c>
      <c r="C5929" s="2" t="s">
        <v>24264</v>
      </c>
      <c r="D5929" s="2" t="s">
        <v>24265</v>
      </c>
      <c r="E5929" s="2" t="s">
        <v>24266</v>
      </c>
      <c r="F5929" s="2" t="b">
        <v>1</v>
      </c>
      <c r="G5929" s="2" t="b">
        <v>0</v>
      </c>
      <c r="H5929" s="2" t="s">
        <v>37</v>
      </c>
      <c r="I5929" s="2" t="s">
        <v>22</v>
      </c>
      <c r="J5929" s="2" t="s">
        <v>16089</v>
      </c>
      <c r="K5929" s="2" t="s">
        <v>495</v>
      </c>
      <c r="L5929" s="13" t="s">
        <v>496</v>
      </c>
      <c r="M5929" s="2" t="s">
        <v>26</v>
      </c>
      <c r="N5929" s="29"/>
      <c r="O5929" s="29"/>
      <c r="P5929" s="5" t="str">
        <f>IFERROR(__xludf.DUMMYFUNCTION("TEXTJOIN("" | "",TRUE,IF(OR(D5929="""",E5929="""",I5929="""",J5929="""",H5929=""""),""ফাঁকা ঘর"",""""),IF(AND(C5929&lt;&gt;"""",D5929&lt;&gt;"""",C5929=D5929),""gloss=figurative"",""""),IF(LEN(D5929)&lt;15,""figurative ছোট"",""""),IF(AND(I5929=""Positive"",REGEXMATCH(H5"&amp;"929,""মূর্খ|ভণ্ড|প্রতার|অলস|লোভ|স্বার্থ|অক্ষম|অযোগ্য|বোকা|কৃপণ|হিংস"")),""valence-target অমিল"",""""),IF(COUNTIF($B:$B,B5929)&gt;1,""ডুপ্লিকেট"",""""))"),"")</f>
        <v/>
      </c>
      <c r="Q5929" s="5" t="str">
        <f t="shared" si="1"/>
        <v>২ পরে</v>
      </c>
    </row>
    <row r="5930">
      <c r="A5930" s="4">
        <v>3813.0</v>
      </c>
      <c r="B5930" s="2" t="s">
        <v>24267</v>
      </c>
      <c r="C5930" s="2" t="s">
        <v>24268</v>
      </c>
      <c r="D5930" s="2" t="s">
        <v>24269</v>
      </c>
      <c r="E5930" s="2" t="s">
        <v>24270</v>
      </c>
      <c r="F5930" s="2" t="b">
        <v>1</v>
      </c>
      <c r="G5930" s="2" t="b">
        <v>0</v>
      </c>
      <c r="H5930" s="2" t="s">
        <v>37</v>
      </c>
      <c r="I5930" s="2" t="s">
        <v>49</v>
      </c>
      <c r="J5930" s="2" t="s">
        <v>565</v>
      </c>
      <c r="K5930" s="2" t="s">
        <v>495</v>
      </c>
      <c r="L5930" s="13" t="s">
        <v>496</v>
      </c>
      <c r="M5930" s="2" t="s">
        <v>26</v>
      </c>
      <c r="N5930" s="29"/>
      <c r="O5930" s="29"/>
      <c r="P5930" s="5" t="str">
        <f>IFERROR(__xludf.DUMMYFUNCTION("TEXTJOIN("" | "",TRUE,IF(OR(D5930="""",E5930="""",I5930="""",J5930="""",H5930=""""),""ফাঁকা ঘর"",""""),IF(AND(C5930&lt;&gt;"""",D5930&lt;&gt;"""",C5930=D5930),""gloss=figurative"",""""),IF(LEN(D5930)&lt;15,""figurative ছোট"",""""),IF(AND(I5930=""Positive"",REGEXMATCH(H5"&amp;"930,""মূর্খ|ভণ্ড|প্রতার|অলস|লোভ|স্বার্থ|অক্ষম|অযোগ্য|বোকা|কৃপণ|হিংস"")),""valence-target অমিল"",""""),IF(COUNTIF($B:$B,B5930)&gt;1,""ডুপ্লিকেট"",""""))"),"")</f>
        <v/>
      </c>
      <c r="Q5930" s="5" t="str">
        <f t="shared" si="1"/>
        <v>২ পরে</v>
      </c>
    </row>
    <row r="5931">
      <c r="A5931" s="4">
        <v>3814.0</v>
      </c>
      <c r="B5931" s="2" t="s">
        <v>24271</v>
      </c>
      <c r="C5931" s="2" t="s">
        <v>24272</v>
      </c>
      <c r="D5931" s="2" t="s">
        <v>24273</v>
      </c>
      <c r="E5931" s="2" t="s">
        <v>24274</v>
      </c>
      <c r="F5931" s="2" t="b">
        <v>1</v>
      </c>
      <c r="G5931" s="2" t="b">
        <v>0</v>
      </c>
      <c r="H5931" s="2" t="s">
        <v>37</v>
      </c>
      <c r="I5931" s="2" t="s">
        <v>49</v>
      </c>
      <c r="J5931" s="2" t="s">
        <v>225</v>
      </c>
      <c r="K5931" s="2" t="s">
        <v>495</v>
      </c>
      <c r="L5931" s="13" t="s">
        <v>496</v>
      </c>
      <c r="M5931" s="2" t="s">
        <v>26</v>
      </c>
      <c r="N5931" s="29"/>
      <c r="O5931" s="29"/>
      <c r="P5931" s="5" t="str">
        <f>IFERROR(__xludf.DUMMYFUNCTION("TEXTJOIN("" | "",TRUE,IF(OR(D5931="""",E5931="""",I5931="""",J5931="""",H5931=""""),""ফাঁকা ঘর"",""""),IF(AND(C5931&lt;&gt;"""",D5931&lt;&gt;"""",C5931=D5931),""gloss=figurative"",""""),IF(LEN(D5931)&lt;15,""figurative ছোট"",""""),IF(AND(I5931=""Positive"",REGEXMATCH(H5"&amp;"931,""মূর্খ|ভণ্ড|প্রতার|অলস|লোভ|স্বার্থ|অক্ষম|অযোগ্য|বোকা|কৃপণ|হিংস"")),""valence-target অমিল"",""""),IF(COUNTIF($B:$B,B5931)&gt;1,""ডুপ্লিকেট"",""""))"),"")</f>
        <v/>
      </c>
      <c r="Q5931" s="5" t="str">
        <f t="shared" si="1"/>
        <v>২ পরে</v>
      </c>
    </row>
    <row r="5932">
      <c r="A5932" s="4">
        <v>3815.0</v>
      </c>
      <c r="B5932" s="2" t="s">
        <v>24275</v>
      </c>
      <c r="C5932" s="2" t="s">
        <v>24275</v>
      </c>
      <c r="D5932" s="2" t="s">
        <v>24276</v>
      </c>
      <c r="E5932" s="2" t="s">
        <v>24277</v>
      </c>
      <c r="F5932" s="2" t="b">
        <v>1</v>
      </c>
      <c r="G5932" s="2" t="b">
        <v>0</v>
      </c>
      <c r="H5932" s="2" t="s">
        <v>11950</v>
      </c>
      <c r="I5932" s="2" t="s">
        <v>49</v>
      </c>
      <c r="J5932" s="2" t="s">
        <v>2732</v>
      </c>
      <c r="K5932" s="2" t="s">
        <v>495</v>
      </c>
      <c r="L5932" s="13" t="s">
        <v>496</v>
      </c>
      <c r="M5932" s="2" t="s">
        <v>26</v>
      </c>
      <c r="N5932" s="29"/>
      <c r="O5932" s="29"/>
      <c r="P5932" s="5" t="str">
        <f>IFERROR(__xludf.DUMMYFUNCTION("TEXTJOIN("" | "",TRUE,IF(OR(D5932="""",E5932="""",I5932="""",J5932="""",H5932=""""),""ফাঁকা ঘর"",""""),IF(AND(C5932&lt;&gt;"""",D5932&lt;&gt;"""",C5932=D5932),""gloss=figurative"",""""),IF(LEN(D5932)&lt;15,""figurative ছোট"",""""),IF(AND(I5932=""Positive"",REGEXMATCH(H5"&amp;"932,""মূর্খ|ভণ্ড|প্রতার|অলস|লোভ|স্বার্থ|অক্ষম|অযোগ্য|বোকা|কৃপণ|হিংস"")),""valence-target অমিল"",""""),IF(COUNTIF($B:$B,B5932)&gt;1,""ডুপ্লিকেট"",""""))"),"")</f>
        <v/>
      </c>
      <c r="Q5932" s="5" t="str">
        <f t="shared" si="1"/>
        <v>২ পরে</v>
      </c>
    </row>
    <row r="5933">
      <c r="A5933" s="4">
        <v>3816.0</v>
      </c>
      <c r="B5933" s="2" t="s">
        <v>24278</v>
      </c>
      <c r="C5933" s="2" t="s">
        <v>24279</v>
      </c>
      <c r="D5933" s="2" t="s">
        <v>24280</v>
      </c>
      <c r="E5933" s="2" t="s">
        <v>24281</v>
      </c>
      <c r="F5933" s="2" t="b">
        <v>1</v>
      </c>
      <c r="G5933" s="2" t="b">
        <v>0</v>
      </c>
      <c r="H5933" s="2" t="s">
        <v>756</v>
      </c>
      <c r="I5933" s="2" t="s">
        <v>22</v>
      </c>
      <c r="J5933" s="2" t="s">
        <v>1630</v>
      </c>
      <c r="K5933" s="2" t="s">
        <v>495</v>
      </c>
      <c r="L5933" s="13" t="s">
        <v>496</v>
      </c>
      <c r="M5933" s="2" t="s">
        <v>26</v>
      </c>
      <c r="N5933" s="29"/>
      <c r="O5933" s="29"/>
      <c r="P5933" s="5" t="str">
        <f>IFERROR(__xludf.DUMMYFUNCTION("TEXTJOIN("" | "",TRUE,IF(OR(D5933="""",E5933="""",I5933="""",J5933="""",H5933=""""),""ফাঁকা ঘর"",""""),IF(AND(C5933&lt;&gt;"""",D5933&lt;&gt;"""",C5933=D5933),""gloss=figurative"",""""),IF(LEN(D5933)&lt;15,""figurative ছোট"",""""),IF(AND(I5933=""Positive"",REGEXMATCH(H5"&amp;"933,""মূর্খ|ভণ্ড|প্রতার|অলস|লোভ|স্বার্থ|অক্ষম|অযোগ্য|বোকা|কৃপণ|হিংস"")),""valence-target অমিল"",""""),IF(COUNTIF($B:$B,B5933)&gt;1,""ডুপ্লিকেট"",""""))"),"")</f>
        <v/>
      </c>
      <c r="Q5933" s="5" t="str">
        <f t="shared" si="1"/>
        <v>২ পরে</v>
      </c>
    </row>
    <row r="5934">
      <c r="A5934" s="4">
        <v>3817.0</v>
      </c>
      <c r="B5934" s="2" t="s">
        <v>24282</v>
      </c>
      <c r="C5934" s="2" t="s">
        <v>24283</v>
      </c>
      <c r="D5934" s="2" t="s">
        <v>24284</v>
      </c>
      <c r="E5934" s="2" t="s">
        <v>24285</v>
      </c>
      <c r="F5934" s="2" t="b">
        <v>1</v>
      </c>
      <c r="G5934" s="2" t="b">
        <v>0</v>
      </c>
      <c r="H5934" s="2" t="s">
        <v>37</v>
      </c>
      <c r="I5934" s="2" t="s">
        <v>22</v>
      </c>
      <c r="J5934" s="2" t="s">
        <v>16089</v>
      </c>
      <c r="K5934" s="2" t="s">
        <v>495</v>
      </c>
      <c r="L5934" s="13" t="s">
        <v>496</v>
      </c>
      <c r="M5934" s="2" t="s">
        <v>26</v>
      </c>
      <c r="N5934" s="29"/>
      <c r="O5934" s="29"/>
      <c r="P5934" s="5" t="str">
        <f>IFERROR(__xludf.DUMMYFUNCTION("TEXTJOIN("" | "",TRUE,IF(OR(D5934="""",E5934="""",I5934="""",J5934="""",H5934=""""),""ফাঁকা ঘর"",""""),IF(AND(C5934&lt;&gt;"""",D5934&lt;&gt;"""",C5934=D5934),""gloss=figurative"",""""),IF(LEN(D5934)&lt;15,""figurative ছোট"",""""),IF(AND(I5934=""Positive"",REGEXMATCH(H5"&amp;"934,""মূর্খ|ভণ্ড|প্রতার|অলস|লোভ|স্বার্থ|অক্ষম|অযোগ্য|বোকা|কৃপণ|হিংস"")),""valence-target অমিল"",""""),IF(COUNTIF($B:$B,B5934)&gt;1,""ডুপ্লিকেট"",""""))"),"")</f>
        <v/>
      </c>
      <c r="Q5934" s="5" t="str">
        <f t="shared" si="1"/>
        <v>২ পরে</v>
      </c>
    </row>
    <row r="5935">
      <c r="A5935" s="4">
        <v>3818.0</v>
      </c>
      <c r="B5935" s="2" t="s">
        <v>24286</v>
      </c>
      <c r="C5935" s="2" t="s">
        <v>24287</v>
      </c>
      <c r="D5935" s="2" t="s">
        <v>24288</v>
      </c>
      <c r="E5935" s="2" t="s">
        <v>24289</v>
      </c>
      <c r="F5935" s="2" t="b">
        <v>1</v>
      </c>
      <c r="G5935" s="2" t="b">
        <v>0</v>
      </c>
      <c r="H5935" s="2" t="s">
        <v>23747</v>
      </c>
      <c r="I5935" s="2" t="s">
        <v>22</v>
      </c>
      <c r="J5935" s="2" t="s">
        <v>784</v>
      </c>
      <c r="K5935" s="2" t="s">
        <v>495</v>
      </c>
      <c r="L5935" s="13" t="s">
        <v>496</v>
      </c>
      <c r="M5935" s="2" t="s">
        <v>26</v>
      </c>
      <c r="N5935" s="29"/>
      <c r="O5935" s="29"/>
      <c r="P5935" s="5" t="str">
        <f>IFERROR(__xludf.DUMMYFUNCTION("TEXTJOIN("" | "",TRUE,IF(OR(D5935="""",E5935="""",I5935="""",J5935="""",H5935=""""),""ফাঁকা ঘর"",""""),IF(AND(C5935&lt;&gt;"""",D5935&lt;&gt;"""",C5935=D5935),""gloss=figurative"",""""),IF(LEN(D5935)&lt;15,""figurative ছোট"",""""),IF(AND(I5935=""Positive"",REGEXMATCH(H5"&amp;"935,""মূর্খ|ভণ্ড|প্রতার|অলস|লোভ|স্বার্থ|অক্ষম|অযোগ্য|বোকা|কৃপণ|হিংস"")),""valence-target অমিল"",""""),IF(COUNTIF($B:$B,B5935)&gt;1,""ডুপ্লিকেট"",""""))"),"")</f>
        <v/>
      </c>
      <c r="Q5935" s="5" t="str">
        <f t="shared" si="1"/>
        <v>২ পরে</v>
      </c>
    </row>
    <row r="5936">
      <c r="A5936" s="4">
        <v>3819.0</v>
      </c>
      <c r="B5936" s="2" t="s">
        <v>24290</v>
      </c>
      <c r="C5936" s="2" t="s">
        <v>24291</v>
      </c>
      <c r="D5936" s="2" t="s">
        <v>24292</v>
      </c>
      <c r="E5936" s="2" t="s">
        <v>24293</v>
      </c>
      <c r="F5936" s="2" t="b">
        <v>1</v>
      </c>
      <c r="G5936" s="2" t="b">
        <v>0</v>
      </c>
      <c r="H5936" s="2" t="s">
        <v>8384</v>
      </c>
      <c r="I5936" s="2" t="s">
        <v>22</v>
      </c>
      <c r="J5936" s="2" t="s">
        <v>636</v>
      </c>
      <c r="K5936" s="2" t="s">
        <v>495</v>
      </c>
      <c r="L5936" s="13" t="s">
        <v>496</v>
      </c>
      <c r="M5936" s="2" t="s">
        <v>26</v>
      </c>
      <c r="N5936" s="29"/>
      <c r="O5936" s="29"/>
      <c r="P5936" s="5" t="str">
        <f>IFERROR(__xludf.DUMMYFUNCTION("TEXTJOIN("" | "",TRUE,IF(OR(D5936="""",E5936="""",I5936="""",J5936="""",H5936=""""),""ফাঁকা ঘর"",""""),IF(AND(C5936&lt;&gt;"""",D5936&lt;&gt;"""",C5936=D5936),""gloss=figurative"",""""),IF(LEN(D5936)&lt;15,""figurative ছোট"",""""),IF(AND(I5936=""Positive"",REGEXMATCH(H5"&amp;"936,""মূর্খ|ভণ্ড|প্রতার|অলস|লোভ|স্বার্থ|অক্ষম|অযোগ্য|বোকা|কৃপণ|হিংস"")),""valence-target অমিল"",""""),IF(COUNTIF($B:$B,B5936)&gt;1,""ডুপ্লিকেট"",""""))"),"")</f>
        <v/>
      </c>
      <c r="Q5936" s="5" t="str">
        <f t="shared" si="1"/>
        <v>২ পরে</v>
      </c>
    </row>
    <row r="5937">
      <c r="A5937" s="4">
        <v>3820.0</v>
      </c>
      <c r="B5937" s="2" t="s">
        <v>24294</v>
      </c>
      <c r="C5937" s="2" t="s">
        <v>24295</v>
      </c>
      <c r="D5937" s="2" t="s">
        <v>24296</v>
      </c>
      <c r="E5937" s="2" t="s">
        <v>24297</v>
      </c>
      <c r="F5937" s="2" t="b">
        <v>1</v>
      </c>
      <c r="G5937" s="2" t="b">
        <v>0</v>
      </c>
      <c r="H5937" s="2" t="s">
        <v>756</v>
      </c>
      <c r="I5937" s="2" t="s">
        <v>22</v>
      </c>
      <c r="J5937" s="2" t="s">
        <v>2732</v>
      </c>
      <c r="K5937" s="2" t="s">
        <v>495</v>
      </c>
      <c r="L5937" s="13" t="s">
        <v>496</v>
      </c>
      <c r="M5937" s="2" t="s">
        <v>26</v>
      </c>
      <c r="N5937" s="29"/>
      <c r="O5937" s="29"/>
      <c r="P5937" s="5" t="str">
        <f>IFERROR(__xludf.DUMMYFUNCTION("TEXTJOIN("" | "",TRUE,IF(OR(D5937="""",E5937="""",I5937="""",J5937="""",H5937=""""),""ফাঁকা ঘর"",""""),IF(AND(C5937&lt;&gt;"""",D5937&lt;&gt;"""",C5937=D5937),""gloss=figurative"",""""),IF(LEN(D5937)&lt;15,""figurative ছোট"",""""),IF(AND(I5937=""Positive"",REGEXMATCH(H5"&amp;"937,""মূর্খ|ভণ্ড|প্রতার|অলস|লোভ|স্বার্থ|অক্ষম|অযোগ্য|বোকা|কৃপণ|হিংস"")),""valence-target অমিল"",""""),IF(COUNTIF($B:$B,B5937)&gt;1,""ডুপ্লিকেট"",""""))"),"")</f>
        <v/>
      </c>
      <c r="Q5937" s="5" t="str">
        <f t="shared" si="1"/>
        <v>২ পরে</v>
      </c>
    </row>
    <row r="5938">
      <c r="A5938" s="4">
        <v>3821.0</v>
      </c>
      <c r="B5938" s="2" t="s">
        <v>24298</v>
      </c>
      <c r="C5938" s="2" t="s">
        <v>24299</v>
      </c>
      <c r="D5938" s="2" t="s">
        <v>24300</v>
      </c>
      <c r="E5938" s="2" t="s">
        <v>24301</v>
      </c>
      <c r="F5938" s="2" t="b">
        <v>1</v>
      </c>
      <c r="G5938" s="2" t="b">
        <v>0</v>
      </c>
      <c r="H5938" s="2" t="s">
        <v>24302</v>
      </c>
      <c r="I5938" s="2" t="s">
        <v>22</v>
      </c>
      <c r="J5938" s="2" t="s">
        <v>24303</v>
      </c>
      <c r="K5938" s="2" t="s">
        <v>495</v>
      </c>
      <c r="L5938" s="13" t="s">
        <v>496</v>
      </c>
      <c r="M5938" s="2" t="s">
        <v>26</v>
      </c>
      <c r="N5938" s="29"/>
      <c r="O5938" s="29"/>
      <c r="P5938" s="5" t="str">
        <f>IFERROR(__xludf.DUMMYFUNCTION("TEXTJOIN("" | "",TRUE,IF(OR(D5938="""",E5938="""",I5938="""",J5938="""",H5938=""""),""ফাঁকা ঘর"",""""),IF(AND(C5938&lt;&gt;"""",D5938&lt;&gt;"""",C5938=D5938),""gloss=figurative"",""""),IF(LEN(D5938)&lt;15,""figurative ছোট"",""""),IF(AND(I5938=""Positive"",REGEXMATCH(H5"&amp;"938,""মূর্খ|ভণ্ড|প্রতার|অলস|লোভ|স্বার্থ|অক্ষম|অযোগ্য|বোকা|কৃপণ|হিংস"")),""valence-target অমিল"",""""),IF(COUNTIF($B:$B,B5938)&gt;1,""ডুপ্লিকেট"",""""))"),"")</f>
        <v/>
      </c>
      <c r="Q5938" s="5" t="str">
        <f t="shared" si="1"/>
        <v>২ পরে</v>
      </c>
    </row>
    <row r="5939">
      <c r="A5939" s="4">
        <v>3822.0</v>
      </c>
      <c r="B5939" s="2" t="s">
        <v>24304</v>
      </c>
      <c r="C5939" s="2" t="s">
        <v>24305</v>
      </c>
      <c r="D5939" s="2" t="s">
        <v>24306</v>
      </c>
      <c r="E5939" s="2" t="s">
        <v>24307</v>
      </c>
      <c r="F5939" s="2" t="b">
        <v>1</v>
      </c>
      <c r="G5939" s="2" t="b">
        <v>0</v>
      </c>
      <c r="H5939" s="2" t="s">
        <v>24308</v>
      </c>
      <c r="I5939" s="2" t="s">
        <v>49</v>
      </c>
      <c r="J5939" s="2" t="s">
        <v>10356</v>
      </c>
      <c r="K5939" s="2" t="s">
        <v>495</v>
      </c>
      <c r="L5939" s="13" t="s">
        <v>496</v>
      </c>
      <c r="M5939" s="2" t="s">
        <v>26</v>
      </c>
      <c r="N5939" s="29"/>
      <c r="O5939" s="29"/>
      <c r="P5939" s="5" t="str">
        <f>IFERROR(__xludf.DUMMYFUNCTION("TEXTJOIN("" | "",TRUE,IF(OR(D5939="""",E5939="""",I5939="""",J5939="""",H5939=""""),""ফাঁকা ঘর"",""""),IF(AND(C5939&lt;&gt;"""",D5939&lt;&gt;"""",C5939=D5939),""gloss=figurative"",""""),IF(LEN(D5939)&lt;15,""figurative ছোট"",""""),IF(AND(I5939=""Positive"",REGEXMATCH(H5"&amp;"939,""মূর্খ|ভণ্ড|প্রতার|অলস|লোভ|স্বার্থ|অক্ষম|অযোগ্য|বোকা|কৃপণ|হিংস"")),""valence-target অমিল"",""""),IF(COUNTIF($B:$B,B5939)&gt;1,""ডুপ্লিকেট"",""""))"),"")</f>
        <v/>
      </c>
      <c r="Q5939" s="5" t="str">
        <f t="shared" si="1"/>
        <v>২ পরে</v>
      </c>
    </row>
    <row r="5940">
      <c r="A5940" s="4">
        <v>3823.0</v>
      </c>
      <c r="B5940" s="2" t="s">
        <v>24309</v>
      </c>
      <c r="C5940" s="2" t="s">
        <v>24310</v>
      </c>
      <c r="D5940" s="2" t="s">
        <v>24311</v>
      </c>
      <c r="E5940" s="2" t="s">
        <v>24312</v>
      </c>
      <c r="F5940" s="2" t="b">
        <v>1</v>
      </c>
      <c r="G5940" s="2" t="b">
        <v>0</v>
      </c>
      <c r="H5940" s="2" t="s">
        <v>24313</v>
      </c>
      <c r="I5940" s="2" t="s">
        <v>49</v>
      </c>
      <c r="J5940" s="2" t="s">
        <v>3259</v>
      </c>
      <c r="K5940" s="2" t="s">
        <v>495</v>
      </c>
      <c r="L5940" s="13" t="s">
        <v>496</v>
      </c>
      <c r="M5940" s="2" t="s">
        <v>26</v>
      </c>
      <c r="N5940" s="29"/>
      <c r="O5940" s="29"/>
      <c r="P5940" s="5" t="str">
        <f>IFERROR(__xludf.DUMMYFUNCTION("TEXTJOIN("" | "",TRUE,IF(OR(D5940="""",E5940="""",I5940="""",J5940="""",H5940=""""),""ফাঁকা ঘর"",""""),IF(AND(C5940&lt;&gt;"""",D5940&lt;&gt;"""",C5940=D5940),""gloss=figurative"",""""),IF(LEN(D5940)&lt;15,""figurative ছোট"",""""),IF(AND(I5940=""Positive"",REGEXMATCH(H5"&amp;"940,""মূর্খ|ভণ্ড|প্রতার|অলস|লোভ|স্বার্থ|অক্ষম|অযোগ্য|বোকা|কৃপণ|হিংস"")),""valence-target অমিল"",""""),IF(COUNTIF($B:$B,B5940)&gt;1,""ডুপ্লিকেট"",""""))"),"")</f>
        <v/>
      </c>
      <c r="Q5940" s="5" t="str">
        <f t="shared" si="1"/>
        <v>২ পরে</v>
      </c>
    </row>
    <row r="5941">
      <c r="A5941" s="4">
        <v>3824.0</v>
      </c>
      <c r="B5941" s="2" t="s">
        <v>24314</v>
      </c>
      <c r="C5941" s="2" t="s">
        <v>24315</v>
      </c>
      <c r="D5941" s="2" t="s">
        <v>24316</v>
      </c>
      <c r="E5941" s="2" t="s">
        <v>24317</v>
      </c>
      <c r="F5941" s="2" t="b">
        <v>1</v>
      </c>
      <c r="G5941" s="2" t="b">
        <v>0</v>
      </c>
      <c r="H5941" s="2" t="s">
        <v>24318</v>
      </c>
      <c r="I5941" s="2" t="s">
        <v>22</v>
      </c>
      <c r="J5941" s="2" t="s">
        <v>5829</v>
      </c>
      <c r="K5941" s="2" t="s">
        <v>495</v>
      </c>
      <c r="L5941" s="13" t="s">
        <v>496</v>
      </c>
      <c r="M5941" s="2" t="s">
        <v>26</v>
      </c>
      <c r="N5941" s="29"/>
      <c r="O5941" s="29"/>
      <c r="P5941" s="5" t="str">
        <f>IFERROR(__xludf.DUMMYFUNCTION("TEXTJOIN("" | "",TRUE,IF(OR(D5941="""",E5941="""",I5941="""",J5941="""",H5941=""""),""ফাঁকা ঘর"",""""),IF(AND(C5941&lt;&gt;"""",D5941&lt;&gt;"""",C5941=D5941),""gloss=figurative"",""""),IF(LEN(D5941)&lt;15,""figurative ছোট"",""""),IF(AND(I5941=""Positive"",REGEXMATCH(H5"&amp;"941,""মূর্খ|ভণ্ড|প্রতার|অলস|লোভ|স্বার্থ|অক্ষম|অযোগ্য|বোকা|কৃপণ|হিংস"")),""valence-target অমিল"",""""),IF(COUNTIF($B:$B,B5941)&gt;1,""ডুপ্লিকেট"",""""))"),"")</f>
        <v/>
      </c>
      <c r="Q5941" s="5" t="str">
        <f t="shared" si="1"/>
        <v>২ পরে</v>
      </c>
    </row>
    <row r="5942">
      <c r="A5942" s="4">
        <v>3825.0</v>
      </c>
      <c r="B5942" s="2" t="s">
        <v>24319</v>
      </c>
      <c r="C5942" s="2" t="s">
        <v>24319</v>
      </c>
      <c r="D5942" s="2" t="s">
        <v>24320</v>
      </c>
      <c r="E5942" s="2" t="s">
        <v>24321</v>
      </c>
      <c r="F5942" s="2" t="b">
        <v>1</v>
      </c>
      <c r="G5942" s="2" t="b">
        <v>0</v>
      </c>
      <c r="H5942" s="2" t="s">
        <v>3161</v>
      </c>
      <c r="I5942" s="2" t="s">
        <v>22</v>
      </c>
      <c r="J5942" s="2" t="s">
        <v>601</v>
      </c>
      <c r="K5942" s="2" t="s">
        <v>495</v>
      </c>
      <c r="L5942" s="13" t="s">
        <v>496</v>
      </c>
      <c r="M5942" s="2" t="s">
        <v>26</v>
      </c>
      <c r="N5942" s="29"/>
      <c r="O5942" s="29"/>
      <c r="P5942" s="5" t="str">
        <f>IFERROR(__xludf.DUMMYFUNCTION("TEXTJOIN("" | "",TRUE,IF(OR(D5942="""",E5942="""",I5942="""",J5942="""",H5942=""""),""ফাঁকা ঘর"",""""),IF(AND(C5942&lt;&gt;"""",D5942&lt;&gt;"""",C5942=D5942),""gloss=figurative"",""""),IF(LEN(D5942)&lt;15,""figurative ছোট"",""""),IF(AND(I5942=""Positive"",REGEXMATCH(H5"&amp;"942,""মূর্খ|ভণ্ড|প্রতার|অলস|লোভ|স্বার্থ|অক্ষম|অযোগ্য|বোকা|কৃপণ|হিংস"")),""valence-target অমিল"",""""),IF(COUNTIF($B:$B,B5942)&gt;1,""ডুপ্লিকেট"",""""))"),"")</f>
        <v/>
      </c>
      <c r="Q5942" s="5" t="str">
        <f t="shared" si="1"/>
        <v>২ পরে</v>
      </c>
    </row>
    <row r="5943">
      <c r="A5943" s="4">
        <v>3826.0</v>
      </c>
      <c r="B5943" s="2" t="s">
        <v>24322</v>
      </c>
      <c r="C5943" s="2" t="s">
        <v>24323</v>
      </c>
      <c r="D5943" s="2" t="s">
        <v>24324</v>
      </c>
      <c r="E5943" s="2" t="s">
        <v>24325</v>
      </c>
      <c r="F5943" s="2" t="b">
        <v>1</v>
      </c>
      <c r="G5943" s="2" t="b">
        <v>0</v>
      </c>
      <c r="H5943" s="2" t="s">
        <v>19744</v>
      </c>
      <c r="I5943" s="2" t="s">
        <v>22</v>
      </c>
      <c r="J5943" s="2" t="s">
        <v>1630</v>
      </c>
      <c r="K5943" s="2" t="s">
        <v>495</v>
      </c>
      <c r="L5943" s="13" t="s">
        <v>496</v>
      </c>
      <c r="M5943" s="2" t="s">
        <v>26</v>
      </c>
      <c r="N5943" s="29"/>
      <c r="O5943" s="29"/>
      <c r="P5943" s="5" t="str">
        <f>IFERROR(__xludf.DUMMYFUNCTION("TEXTJOIN("" | "",TRUE,IF(OR(D5943="""",E5943="""",I5943="""",J5943="""",H5943=""""),""ফাঁকা ঘর"",""""),IF(AND(C5943&lt;&gt;"""",D5943&lt;&gt;"""",C5943=D5943),""gloss=figurative"",""""),IF(LEN(D5943)&lt;15,""figurative ছোট"",""""),IF(AND(I5943=""Positive"",REGEXMATCH(H5"&amp;"943,""মূর্খ|ভণ্ড|প্রতার|অলস|লোভ|স্বার্থ|অক্ষম|অযোগ্য|বোকা|কৃপণ|হিংস"")),""valence-target অমিল"",""""),IF(COUNTIF($B:$B,B5943)&gt;1,""ডুপ্লিকেট"",""""))"),"")</f>
        <v/>
      </c>
      <c r="Q5943" s="5" t="str">
        <f t="shared" si="1"/>
        <v>২ পরে</v>
      </c>
    </row>
    <row r="5944">
      <c r="A5944" s="4">
        <v>3827.0</v>
      </c>
      <c r="B5944" s="2" t="s">
        <v>24326</v>
      </c>
      <c r="C5944" s="2" t="s">
        <v>24327</v>
      </c>
      <c r="D5944" s="2" t="s">
        <v>24328</v>
      </c>
      <c r="E5944" s="2" t="s">
        <v>24329</v>
      </c>
      <c r="F5944" s="2" t="b">
        <v>1</v>
      </c>
      <c r="G5944" s="2" t="b">
        <v>0</v>
      </c>
      <c r="H5944" s="2" t="s">
        <v>37</v>
      </c>
      <c r="I5944" s="2" t="s">
        <v>49</v>
      </c>
      <c r="J5944" s="2" t="s">
        <v>739</v>
      </c>
      <c r="K5944" s="2" t="s">
        <v>495</v>
      </c>
      <c r="L5944" s="13" t="s">
        <v>496</v>
      </c>
      <c r="M5944" s="2" t="s">
        <v>26</v>
      </c>
      <c r="N5944" s="29"/>
      <c r="O5944" s="29"/>
      <c r="P5944" s="5" t="str">
        <f>IFERROR(__xludf.DUMMYFUNCTION("TEXTJOIN("" | "",TRUE,IF(OR(D5944="""",E5944="""",I5944="""",J5944="""",H5944=""""),""ফাঁকা ঘর"",""""),IF(AND(C5944&lt;&gt;"""",D5944&lt;&gt;"""",C5944=D5944),""gloss=figurative"",""""),IF(LEN(D5944)&lt;15,""figurative ছোট"",""""),IF(AND(I5944=""Positive"",REGEXMATCH(H5"&amp;"944,""মূর্খ|ভণ্ড|প্রতার|অলস|লোভ|স্বার্থ|অক্ষম|অযোগ্য|বোকা|কৃপণ|হিংস"")),""valence-target অমিল"",""""),IF(COUNTIF($B:$B,B5944)&gt;1,""ডুপ্লিকেট"",""""))"),"")</f>
        <v/>
      </c>
      <c r="Q5944" s="5" t="str">
        <f t="shared" si="1"/>
        <v>২ পরে</v>
      </c>
    </row>
    <row r="5945">
      <c r="A5945" s="4">
        <v>3828.0</v>
      </c>
      <c r="B5945" s="2" t="s">
        <v>24330</v>
      </c>
      <c r="C5945" s="2" t="s">
        <v>24331</v>
      </c>
      <c r="D5945" s="2" t="s">
        <v>24332</v>
      </c>
      <c r="E5945" s="2" t="s">
        <v>24333</v>
      </c>
      <c r="F5945" s="2" t="b">
        <v>1</v>
      </c>
      <c r="G5945" s="2" t="b">
        <v>0</v>
      </c>
      <c r="H5945" s="2" t="s">
        <v>37</v>
      </c>
      <c r="I5945" s="2" t="s">
        <v>22</v>
      </c>
      <c r="J5945" s="2" t="s">
        <v>655</v>
      </c>
      <c r="K5945" s="2" t="s">
        <v>495</v>
      </c>
      <c r="L5945" s="13" t="s">
        <v>496</v>
      </c>
      <c r="M5945" s="2" t="s">
        <v>26</v>
      </c>
      <c r="N5945" s="29"/>
      <c r="O5945" s="29"/>
      <c r="P5945" s="5" t="str">
        <f>IFERROR(__xludf.DUMMYFUNCTION("TEXTJOIN("" | "",TRUE,IF(OR(D5945="""",E5945="""",I5945="""",J5945="""",H5945=""""),""ফাঁকা ঘর"",""""),IF(AND(C5945&lt;&gt;"""",D5945&lt;&gt;"""",C5945=D5945),""gloss=figurative"",""""),IF(LEN(D5945)&lt;15,""figurative ছোট"",""""),IF(AND(I5945=""Positive"",REGEXMATCH(H5"&amp;"945,""মূর্খ|ভণ্ড|প্রতার|অলস|লোভ|স্বার্থ|অক্ষম|অযোগ্য|বোকা|কৃপণ|হিংস"")),""valence-target অমিল"",""""),IF(COUNTIF($B:$B,B5945)&gt;1,""ডুপ্লিকেট"",""""))"),"")</f>
        <v/>
      </c>
      <c r="Q5945" s="5" t="str">
        <f t="shared" si="1"/>
        <v>২ পরে</v>
      </c>
    </row>
    <row r="5946">
      <c r="A5946" s="4">
        <v>3829.0</v>
      </c>
      <c r="B5946" s="2" t="s">
        <v>24334</v>
      </c>
      <c r="C5946" s="2" t="s">
        <v>24335</v>
      </c>
      <c r="D5946" s="2" t="s">
        <v>24336</v>
      </c>
      <c r="E5946" s="2" t="s">
        <v>24337</v>
      </c>
      <c r="F5946" s="2" t="b">
        <v>1</v>
      </c>
      <c r="G5946" s="2" t="b">
        <v>0</v>
      </c>
      <c r="H5946" s="2" t="s">
        <v>37</v>
      </c>
      <c r="I5946" s="2" t="s">
        <v>22</v>
      </c>
      <c r="J5946" s="2" t="s">
        <v>2624</v>
      </c>
      <c r="K5946" s="2" t="s">
        <v>495</v>
      </c>
      <c r="L5946" s="13" t="s">
        <v>496</v>
      </c>
      <c r="M5946" s="2" t="s">
        <v>26</v>
      </c>
      <c r="N5946" s="29"/>
      <c r="O5946" s="29"/>
      <c r="P5946" s="5" t="str">
        <f>IFERROR(__xludf.DUMMYFUNCTION("TEXTJOIN("" | "",TRUE,IF(OR(D5946="""",E5946="""",I5946="""",J5946="""",H5946=""""),""ফাঁকা ঘর"",""""),IF(AND(C5946&lt;&gt;"""",D5946&lt;&gt;"""",C5946=D5946),""gloss=figurative"",""""),IF(LEN(D5946)&lt;15,""figurative ছোট"",""""),IF(AND(I5946=""Positive"",REGEXMATCH(H5"&amp;"946,""মূর্খ|ভণ্ড|প্রতার|অলস|লোভ|স্বার্থ|অক্ষম|অযোগ্য|বোকা|কৃপণ|হিংস"")),""valence-target অমিল"",""""),IF(COUNTIF($B:$B,B5946)&gt;1,""ডুপ্লিকেট"",""""))"),"")</f>
        <v/>
      </c>
      <c r="Q5946" s="5" t="str">
        <f t="shared" si="1"/>
        <v>২ পরে</v>
      </c>
    </row>
    <row r="5947">
      <c r="A5947" s="4">
        <v>3830.0</v>
      </c>
      <c r="B5947" s="2" t="s">
        <v>24338</v>
      </c>
      <c r="C5947" s="2" t="s">
        <v>24339</v>
      </c>
      <c r="D5947" s="2" t="s">
        <v>24340</v>
      </c>
      <c r="E5947" s="2" t="s">
        <v>10388</v>
      </c>
      <c r="F5947" s="2" t="b">
        <v>1</v>
      </c>
      <c r="G5947" s="2" t="b">
        <v>0</v>
      </c>
      <c r="H5947" s="2" t="s">
        <v>37</v>
      </c>
      <c r="I5947" s="2" t="s">
        <v>49</v>
      </c>
      <c r="J5947" s="2" t="s">
        <v>1008</v>
      </c>
      <c r="K5947" s="2" t="s">
        <v>495</v>
      </c>
      <c r="L5947" s="13" t="s">
        <v>496</v>
      </c>
      <c r="M5947" s="2" t="s">
        <v>26</v>
      </c>
      <c r="N5947" s="29"/>
      <c r="O5947" s="29"/>
      <c r="P5947" s="5" t="str">
        <f>IFERROR(__xludf.DUMMYFUNCTION("TEXTJOIN("" | "",TRUE,IF(OR(D5947="""",E5947="""",I5947="""",J5947="""",H5947=""""),""ফাঁকা ঘর"",""""),IF(AND(C5947&lt;&gt;"""",D5947&lt;&gt;"""",C5947=D5947),""gloss=figurative"",""""),IF(LEN(D5947)&lt;15,""figurative ছোট"",""""),IF(AND(I5947=""Positive"",REGEXMATCH(H5"&amp;"947,""মূর্খ|ভণ্ড|প্রতার|অলস|লোভ|স্বার্থ|অক্ষম|অযোগ্য|বোকা|কৃপণ|হিংস"")),""valence-target অমিল"",""""),IF(COUNTIF($B:$B,B5947)&gt;1,""ডুপ্লিকেট"",""""))"),"")</f>
        <v/>
      </c>
      <c r="Q5947" s="5" t="str">
        <f t="shared" si="1"/>
        <v>২ পরে</v>
      </c>
    </row>
    <row r="5948">
      <c r="A5948" s="4">
        <v>3831.0</v>
      </c>
      <c r="B5948" s="2" t="s">
        <v>24341</v>
      </c>
      <c r="C5948" s="2" t="s">
        <v>24342</v>
      </c>
      <c r="D5948" s="2" t="s">
        <v>24343</v>
      </c>
      <c r="E5948" s="2" t="s">
        <v>24344</v>
      </c>
      <c r="F5948" s="2" t="b">
        <v>1</v>
      </c>
      <c r="G5948" s="2" t="b">
        <v>0</v>
      </c>
      <c r="H5948" s="2" t="s">
        <v>37</v>
      </c>
      <c r="I5948" s="2" t="s">
        <v>32</v>
      </c>
      <c r="J5948" s="2" t="s">
        <v>1859</v>
      </c>
      <c r="K5948" s="2" t="s">
        <v>495</v>
      </c>
      <c r="L5948" s="13" t="s">
        <v>496</v>
      </c>
      <c r="M5948" s="2" t="s">
        <v>26</v>
      </c>
      <c r="N5948" s="29"/>
      <c r="O5948" s="29"/>
      <c r="P5948" s="5" t="str">
        <f>IFERROR(__xludf.DUMMYFUNCTION("TEXTJOIN("" | "",TRUE,IF(OR(D5948="""",E5948="""",I5948="""",J5948="""",H5948=""""),""ফাঁকা ঘর"",""""),IF(AND(C5948&lt;&gt;"""",D5948&lt;&gt;"""",C5948=D5948),""gloss=figurative"",""""),IF(LEN(D5948)&lt;15,""figurative ছোট"",""""),IF(AND(I5948=""Positive"",REGEXMATCH(H5"&amp;"948,""মূর্খ|ভণ্ড|প্রতার|অলস|লোভ|স্বার্থ|অক্ষম|অযোগ্য|বোকা|কৃপণ|হিংস"")),""valence-target অমিল"",""""),IF(COUNTIF($B:$B,B5948)&gt;1,""ডুপ্লিকেট"",""""))"),"")</f>
        <v/>
      </c>
      <c r="Q5948" s="5" t="str">
        <f t="shared" si="1"/>
        <v>২ পরে</v>
      </c>
    </row>
    <row r="5949">
      <c r="A5949" s="4">
        <v>3832.0</v>
      </c>
      <c r="B5949" s="2" t="s">
        <v>24345</v>
      </c>
      <c r="C5949" s="2" t="s">
        <v>24346</v>
      </c>
      <c r="D5949" s="2" t="s">
        <v>24347</v>
      </c>
      <c r="E5949" s="2" t="s">
        <v>24348</v>
      </c>
      <c r="F5949" s="2" t="b">
        <v>1</v>
      </c>
      <c r="G5949" s="2" t="b">
        <v>0</v>
      </c>
      <c r="H5949" s="2" t="s">
        <v>37</v>
      </c>
      <c r="I5949" s="2" t="s">
        <v>22</v>
      </c>
      <c r="J5949" s="2" t="s">
        <v>729</v>
      </c>
      <c r="K5949" s="2" t="s">
        <v>495</v>
      </c>
      <c r="L5949" s="13" t="s">
        <v>496</v>
      </c>
      <c r="M5949" s="2" t="s">
        <v>26</v>
      </c>
      <c r="N5949" s="29"/>
      <c r="O5949" s="29"/>
      <c r="P5949" s="5" t="str">
        <f>IFERROR(__xludf.DUMMYFUNCTION("TEXTJOIN("" | "",TRUE,IF(OR(D5949="""",E5949="""",I5949="""",J5949="""",H5949=""""),""ফাঁকা ঘর"",""""),IF(AND(C5949&lt;&gt;"""",D5949&lt;&gt;"""",C5949=D5949),""gloss=figurative"",""""),IF(LEN(D5949)&lt;15,""figurative ছোট"",""""),IF(AND(I5949=""Positive"",REGEXMATCH(H5"&amp;"949,""মূর্খ|ভণ্ড|প্রতার|অলস|লোভ|স্বার্থ|অক্ষম|অযোগ্য|বোকা|কৃপণ|হিংস"")),""valence-target অমিল"",""""),IF(COUNTIF($B:$B,B5949)&gt;1,""ডুপ্লিকেট"",""""))"),"")</f>
        <v/>
      </c>
      <c r="Q5949" s="5" t="str">
        <f t="shared" si="1"/>
        <v>২ পরে</v>
      </c>
    </row>
    <row r="5950">
      <c r="A5950" s="4">
        <v>3833.0</v>
      </c>
      <c r="B5950" s="2" t="s">
        <v>24349</v>
      </c>
      <c r="C5950" s="2" t="s">
        <v>24350</v>
      </c>
      <c r="D5950" s="2" t="s">
        <v>24351</v>
      </c>
      <c r="E5950" s="2" t="s">
        <v>24352</v>
      </c>
      <c r="F5950" s="2" t="b">
        <v>1</v>
      </c>
      <c r="G5950" s="2" t="b">
        <v>0</v>
      </c>
      <c r="H5950" s="2" t="s">
        <v>37</v>
      </c>
      <c r="I5950" s="2" t="s">
        <v>49</v>
      </c>
      <c r="J5950" s="2" t="s">
        <v>447</v>
      </c>
      <c r="K5950" s="2" t="s">
        <v>495</v>
      </c>
      <c r="L5950" s="13" t="s">
        <v>496</v>
      </c>
      <c r="M5950" s="2" t="s">
        <v>26</v>
      </c>
      <c r="N5950" s="29"/>
      <c r="O5950" s="29"/>
      <c r="P5950" s="5" t="str">
        <f>IFERROR(__xludf.DUMMYFUNCTION("TEXTJOIN("" | "",TRUE,IF(OR(D5950="""",E5950="""",I5950="""",J5950="""",H5950=""""),""ফাঁকা ঘর"",""""),IF(AND(C5950&lt;&gt;"""",D5950&lt;&gt;"""",C5950=D5950),""gloss=figurative"",""""),IF(LEN(D5950)&lt;15,""figurative ছোট"",""""),IF(AND(I5950=""Positive"",REGEXMATCH(H5"&amp;"950,""মূর্খ|ভণ্ড|প্রতার|অলস|লোভ|স্বার্থ|অক্ষম|অযোগ্য|বোকা|কৃপণ|হিংস"")),""valence-target অমিল"",""""),IF(COUNTIF($B:$B,B5950)&gt;1,""ডুপ্লিকেট"",""""))"),"")</f>
        <v/>
      </c>
      <c r="Q5950" s="5" t="str">
        <f t="shared" si="1"/>
        <v>২ পরে</v>
      </c>
    </row>
    <row r="5951">
      <c r="A5951" s="4">
        <v>3834.0</v>
      </c>
      <c r="B5951" s="2" t="s">
        <v>24353</v>
      </c>
      <c r="C5951" s="2" t="s">
        <v>24354</v>
      </c>
      <c r="D5951" s="2" t="s">
        <v>24355</v>
      </c>
      <c r="E5951" s="2" t="s">
        <v>24356</v>
      </c>
      <c r="F5951" s="2" t="b">
        <v>1</v>
      </c>
      <c r="G5951" s="2" t="b">
        <v>1</v>
      </c>
      <c r="H5951" s="2" t="s">
        <v>6691</v>
      </c>
      <c r="I5951" s="2" t="s">
        <v>49</v>
      </c>
      <c r="J5951" s="2" t="s">
        <v>3327</v>
      </c>
      <c r="K5951" s="2" t="s">
        <v>495</v>
      </c>
      <c r="L5951" s="13" t="s">
        <v>496</v>
      </c>
      <c r="M5951" s="2" t="s">
        <v>26</v>
      </c>
      <c r="N5951" s="29"/>
      <c r="O5951" s="29"/>
      <c r="P5951" s="5" t="str">
        <f>IFERROR(__xludf.DUMMYFUNCTION("TEXTJOIN("" | "",TRUE,IF(OR(D5951="""",E5951="""",I5951="""",J5951="""",H5951=""""),""ফাঁকা ঘর"",""""),IF(AND(C5951&lt;&gt;"""",D5951&lt;&gt;"""",C5951=D5951),""gloss=figurative"",""""),IF(LEN(D5951)&lt;15,""figurative ছোট"",""""),IF(AND(I5951=""Positive"",REGEXMATCH(H5"&amp;"951,""মূর্খ|ভণ্ড|প্রতার|অলস|লোভ|স্বার্থ|অক্ষম|অযোগ্য|বোকা|কৃপণ|হিংস"")),""valence-target অমিল"",""""),IF(COUNTIF($B:$B,B5951)&gt;1,""ডুপ্লিকেট"",""""))"),"")</f>
        <v/>
      </c>
      <c r="Q5951" s="5" t="str">
        <f t="shared" si="1"/>
        <v>২ পরে</v>
      </c>
    </row>
    <row r="5952">
      <c r="A5952" s="4">
        <v>3835.0</v>
      </c>
      <c r="B5952" s="2" t="s">
        <v>24357</v>
      </c>
      <c r="C5952" s="2" t="s">
        <v>24357</v>
      </c>
      <c r="D5952" s="2" t="s">
        <v>24358</v>
      </c>
      <c r="E5952" s="2" t="s">
        <v>24359</v>
      </c>
      <c r="F5952" s="2" t="b">
        <v>1</v>
      </c>
      <c r="G5952" s="2" t="b">
        <v>0</v>
      </c>
      <c r="H5952" s="2" t="s">
        <v>37</v>
      </c>
      <c r="I5952" s="2" t="s">
        <v>32</v>
      </c>
      <c r="J5952" s="2" t="s">
        <v>1175</v>
      </c>
      <c r="K5952" s="2" t="s">
        <v>495</v>
      </c>
      <c r="L5952" s="13" t="s">
        <v>496</v>
      </c>
      <c r="M5952" s="2" t="s">
        <v>26</v>
      </c>
      <c r="N5952" s="29"/>
      <c r="O5952" s="29"/>
      <c r="P5952" s="5" t="str">
        <f>IFERROR(__xludf.DUMMYFUNCTION("TEXTJOIN("" | "",TRUE,IF(OR(D5952="""",E5952="""",I5952="""",J5952="""",H5952=""""),""ফাঁকা ঘর"",""""),IF(AND(C5952&lt;&gt;"""",D5952&lt;&gt;"""",C5952=D5952),""gloss=figurative"",""""),IF(LEN(D5952)&lt;15,""figurative ছোট"",""""),IF(AND(I5952=""Positive"",REGEXMATCH(H5"&amp;"952,""মূর্খ|ভণ্ড|প্রতার|অলস|লোভ|স্বার্থ|অক্ষম|অযোগ্য|বোকা|কৃপণ|হিংস"")),""valence-target অমিল"",""""),IF(COUNTIF($B:$B,B5952)&gt;1,""ডুপ্লিকেট"",""""))"),"")</f>
        <v/>
      </c>
      <c r="Q5952" s="5" t="str">
        <f t="shared" si="1"/>
        <v>২ পরে</v>
      </c>
    </row>
    <row r="5953">
      <c r="A5953" s="4">
        <v>3836.0</v>
      </c>
      <c r="B5953" s="2" t="s">
        <v>24360</v>
      </c>
      <c r="C5953" s="2" t="s">
        <v>24361</v>
      </c>
      <c r="D5953" s="2" t="s">
        <v>24362</v>
      </c>
      <c r="E5953" s="2" t="s">
        <v>24363</v>
      </c>
      <c r="F5953" s="2" t="b">
        <v>1</v>
      </c>
      <c r="G5953" s="2" t="b">
        <v>0</v>
      </c>
      <c r="H5953" s="2" t="s">
        <v>14574</v>
      </c>
      <c r="I5953" s="2" t="s">
        <v>22</v>
      </c>
      <c r="J5953" s="2" t="s">
        <v>43</v>
      </c>
      <c r="K5953" s="2" t="s">
        <v>495</v>
      </c>
      <c r="L5953" s="13" t="s">
        <v>496</v>
      </c>
      <c r="M5953" s="2" t="s">
        <v>26</v>
      </c>
      <c r="N5953" s="29"/>
      <c r="O5953" s="29"/>
      <c r="P5953" s="5" t="str">
        <f>IFERROR(__xludf.DUMMYFUNCTION("TEXTJOIN("" | "",TRUE,IF(OR(D5953="""",E5953="""",I5953="""",J5953="""",H5953=""""),""ফাঁকা ঘর"",""""),IF(AND(C5953&lt;&gt;"""",D5953&lt;&gt;"""",C5953=D5953),""gloss=figurative"",""""),IF(LEN(D5953)&lt;15,""figurative ছোট"",""""),IF(AND(I5953=""Positive"",REGEXMATCH(H5"&amp;"953,""মূর্খ|ভণ্ড|প্রতার|অলস|লোভ|স্বার্থ|অক্ষম|অযোগ্য|বোকা|কৃপণ|হিংস"")),""valence-target অমিল"",""""),IF(COUNTIF($B:$B,B5953)&gt;1,""ডুপ্লিকেট"",""""))"),"")</f>
        <v/>
      </c>
      <c r="Q5953" s="5" t="str">
        <f t="shared" si="1"/>
        <v>২ পরে</v>
      </c>
    </row>
    <row r="5954">
      <c r="A5954" s="4">
        <v>3837.0</v>
      </c>
      <c r="B5954" s="2" t="s">
        <v>24364</v>
      </c>
      <c r="C5954" s="2" t="s">
        <v>24365</v>
      </c>
      <c r="D5954" s="2" t="s">
        <v>24366</v>
      </c>
      <c r="E5954" s="2" t="s">
        <v>24367</v>
      </c>
      <c r="F5954" s="2" t="b">
        <v>1</v>
      </c>
      <c r="G5954" s="2" t="b">
        <v>0</v>
      </c>
      <c r="H5954" s="2" t="s">
        <v>37</v>
      </c>
      <c r="I5954" s="2" t="s">
        <v>49</v>
      </c>
      <c r="J5954" s="2" t="s">
        <v>762</v>
      </c>
      <c r="K5954" s="2" t="s">
        <v>495</v>
      </c>
      <c r="L5954" s="13" t="s">
        <v>496</v>
      </c>
      <c r="M5954" s="2" t="s">
        <v>26</v>
      </c>
      <c r="N5954" s="29"/>
      <c r="O5954" s="29"/>
      <c r="P5954" s="5" t="str">
        <f>IFERROR(__xludf.DUMMYFUNCTION("TEXTJOIN("" | "",TRUE,IF(OR(D5954="""",E5954="""",I5954="""",J5954="""",H5954=""""),""ফাঁকা ঘর"",""""),IF(AND(C5954&lt;&gt;"""",D5954&lt;&gt;"""",C5954=D5954),""gloss=figurative"",""""),IF(LEN(D5954)&lt;15,""figurative ছোট"",""""),IF(AND(I5954=""Positive"",REGEXMATCH(H5"&amp;"954,""মূর্খ|ভণ্ড|প্রতার|অলস|লোভ|স্বার্থ|অক্ষম|অযোগ্য|বোকা|কৃপণ|হিংস"")),""valence-target অমিল"",""""),IF(COUNTIF($B:$B,B5954)&gt;1,""ডুপ্লিকেট"",""""))"),"")</f>
        <v/>
      </c>
      <c r="Q5954" s="5" t="str">
        <f t="shared" si="1"/>
        <v>২ পরে</v>
      </c>
    </row>
    <row r="5955">
      <c r="A5955" s="4">
        <v>3838.0</v>
      </c>
      <c r="B5955" s="2" t="s">
        <v>24368</v>
      </c>
      <c r="C5955" s="2" t="s">
        <v>24369</v>
      </c>
      <c r="D5955" s="2" t="s">
        <v>24370</v>
      </c>
      <c r="E5955" s="2" t="s">
        <v>24371</v>
      </c>
      <c r="F5955" s="2" t="b">
        <v>1</v>
      </c>
      <c r="G5955" s="2" t="b">
        <v>0</v>
      </c>
      <c r="H5955" s="2" t="s">
        <v>37</v>
      </c>
      <c r="I5955" s="2" t="s">
        <v>22</v>
      </c>
      <c r="J5955" s="2" t="s">
        <v>357</v>
      </c>
      <c r="K5955" s="2" t="s">
        <v>495</v>
      </c>
      <c r="L5955" s="13" t="s">
        <v>496</v>
      </c>
      <c r="M5955" s="2" t="s">
        <v>26</v>
      </c>
      <c r="N5955" s="29"/>
      <c r="O5955" s="29"/>
      <c r="P5955" s="5" t="str">
        <f>IFERROR(__xludf.DUMMYFUNCTION("TEXTJOIN("" | "",TRUE,IF(OR(D5955="""",E5955="""",I5955="""",J5955="""",H5955=""""),""ফাঁকা ঘর"",""""),IF(AND(C5955&lt;&gt;"""",D5955&lt;&gt;"""",C5955=D5955),""gloss=figurative"",""""),IF(LEN(D5955)&lt;15,""figurative ছোট"",""""),IF(AND(I5955=""Positive"",REGEXMATCH(H5"&amp;"955,""মূর্খ|ভণ্ড|প্রতার|অলস|লোভ|স্বার্থ|অক্ষম|অযোগ্য|বোকা|কৃপণ|হিংস"")),""valence-target অমিল"",""""),IF(COUNTIF($B:$B,B5955)&gt;1,""ডুপ্লিকেট"",""""))"),"")</f>
        <v/>
      </c>
      <c r="Q5955" s="5" t="str">
        <f t="shared" si="1"/>
        <v>২ পরে</v>
      </c>
    </row>
    <row r="5956">
      <c r="A5956" s="4">
        <v>3839.0</v>
      </c>
      <c r="B5956" s="2" t="s">
        <v>24372</v>
      </c>
      <c r="C5956" s="2" t="s">
        <v>24373</v>
      </c>
      <c r="D5956" s="2" t="s">
        <v>24374</v>
      </c>
      <c r="E5956" s="2" t="s">
        <v>24375</v>
      </c>
      <c r="F5956" s="2" t="b">
        <v>1</v>
      </c>
      <c r="G5956" s="2" t="b">
        <v>0</v>
      </c>
      <c r="H5956" s="2" t="s">
        <v>24376</v>
      </c>
      <c r="I5956" s="2" t="s">
        <v>22</v>
      </c>
      <c r="J5956" s="2" t="s">
        <v>2629</v>
      </c>
      <c r="K5956" s="2" t="s">
        <v>495</v>
      </c>
      <c r="L5956" s="13" t="s">
        <v>496</v>
      </c>
      <c r="M5956" s="2" t="s">
        <v>26</v>
      </c>
      <c r="N5956" s="29"/>
      <c r="O5956" s="29"/>
      <c r="P5956" s="5" t="str">
        <f>IFERROR(__xludf.DUMMYFUNCTION("TEXTJOIN("" | "",TRUE,IF(OR(D5956="""",E5956="""",I5956="""",J5956="""",H5956=""""),""ফাঁকা ঘর"",""""),IF(AND(C5956&lt;&gt;"""",D5956&lt;&gt;"""",C5956=D5956),""gloss=figurative"",""""),IF(LEN(D5956)&lt;15,""figurative ছোট"",""""),IF(AND(I5956=""Positive"",REGEXMATCH(H5"&amp;"956,""মূর্খ|ভণ্ড|প্রতার|অলস|লোভ|স্বার্থ|অক্ষম|অযোগ্য|বোকা|কৃপণ|হিংস"")),""valence-target অমিল"",""""),IF(COUNTIF($B:$B,B5956)&gt;1,""ডুপ্লিকেট"",""""))"),"")</f>
        <v/>
      </c>
      <c r="Q5956" s="5" t="str">
        <f t="shared" si="1"/>
        <v>২ পরে</v>
      </c>
    </row>
    <row r="5957">
      <c r="A5957" s="4">
        <v>3840.0</v>
      </c>
      <c r="B5957" s="2" t="s">
        <v>24377</v>
      </c>
      <c r="C5957" s="2" t="s">
        <v>24377</v>
      </c>
      <c r="D5957" s="2" t="s">
        <v>24378</v>
      </c>
      <c r="E5957" s="2" t="s">
        <v>24379</v>
      </c>
      <c r="F5957" s="2" t="b">
        <v>1</v>
      </c>
      <c r="G5957" s="2" t="b">
        <v>0</v>
      </c>
      <c r="H5957" s="2" t="s">
        <v>37</v>
      </c>
      <c r="I5957" s="2" t="s">
        <v>22</v>
      </c>
      <c r="J5957" s="2" t="s">
        <v>357</v>
      </c>
      <c r="K5957" s="2" t="s">
        <v>495</v>
      </c>
      <c r="L5957" s="13" t="s">
        <v>496</v>
      </c>
      <c r="M5957" s="2" t="s">
        <v>26</v>
      </c>
      <c r="N5957" s="29"/>
      <c r="O5957" s="29"/>
      <c r="P5957" s="5" t="str">
        <f>IFERROR(__xludf.DUMMYFUNCTION("TEXTJOIN("" | "",TRUE,IF(OR(D5957="""",E5957="""",I5957="""",J5957="""",H5957=""""),""ফাঁকা ঘর"",""""),IF(AND(C5957&lt;&gt;"""",D5957&lt;&gt;"""",C5957=D5957),""gloss=figurative"",""""),IF(LEN(D5957)&lt;15,""figurative ছোট"",""""),IF(AND(I5957=""Positive"",REGEXMATCH(H5"&amp;"957,""মূর্খ|ভণ্ড|প্রতার|অলস|লোভ|স্বার্থ|অক্ষম|অযোগ্য|বোকা|কৃপণ|হিংস"")),""valence-target অমিল"",""""),IF(COUNTIF($B:$B,B5957)&gt;1,""ডুপ্লিকেট"",""""))"),"")</f>
        <v/>
      </c>
      <c r="Q5957" s="5" t="str">
        <f t="shared" si="1"/>
        <v>২ পরে</v>
      </c>
    </row>
    <row r="5958">
      <c r="A5958" s="4">
        <v>3841.0</v>
      </c>
      <c r="B5958" s="2" t="s">
        <v>24380</v>
      </c>
      <c r="C5958" s="2" t="s">
        <v>24381</v>
      </c>
      <c r="D5958" s="2" t="s">
        <v>24382</v>
      </c>
      <c r="E5958" s="2" t="s">
        <v>24383</v>
      </c>
      <c r="F5958" s="2" t="b">
        <v>1</v>
      </c>
      <c r="G5958" s="2" t="b">
        <v>0</v>
      </c>
      <c r="H5958" s="2" t="s">
        <v>37</v>
      </c>
      <c r="I5958" s="2" t="s">
        <v>22</v>
      </c>
      <c r="J5958" s="2" t="s">
        <v>2675</v>
      </c>
      <c r="K5958" s="2" t="s">
        <v>495</v>
      </c>
      <c r="L5958" s="13" t="s">
        <v>496</v>
      </c>
      <c r="M5958" s="2" t="s">
        <v>26</v>
      </c>
      <c r="N5958" s="29"/>
      <c r="O5958" s="29"/>
      <c r="P5958" s="5" t="str">
        <f>IFERROR(__xludf.DUMMYFUNCTION("TEXTJOIN("" | "",TRUE,IF(OR(D5958="""",E5958="""",I5958="""",J5958="""",H5958=""""),""ফাঁকা ঘর"",""""),IF(AND(C5958&lt;&gt;"""",D5958&lt;&gt;"""",C5958=D5958),""gloss=figurative"",""""),IF(LEN(D5958)&lt;15,""figurative ছোট"",""""),IF(AND(I5958=""Positive"",REGEXMATCH(H5"&amp;"958,""মূর্খ|ভণ্ড|প্রতার|অলস|লোভ|স্বার্থ|অক্ষম|অযোগ্য|বোকা|কৃপণ|হিংস"")),""valence-target অমিল"",""""),IF(COUNTIF($B:$B,B5958)&gt;1,""ডুপ্লিকেট"",""""))"),"")</f>
        <v/>
      </c>
      <c r="Q5958" s="5" t="str">
        <f t="shared" si="1"/>
        <v>২ পরে</v>
      </c>
    </row>
    <row r="5959">
      <c r="A5959" s="4">
        <v>3842.0</v>
      </c>
      <c r="B5959" s="2" t="s">
        <v>24384</v>
      </c>
      <c r="C5959" s="2" t="s">
        <v>24385</v>
      </c>
      <c r="D5959" s="2" t="s">
        <v>24386</v>
      </c>
      <c r="E5959" s="2" t="s">
        <v>24387</v>
      </c>
      <c r="F5959" s="2" t="b">
        <v>1</v>
      </c>
      <c r="G5959" s="2" t="b">
        <v>0</v>
      </c>
      <c r="H5959" s="2" t="s">
        <v>24388</v>
      </c>
      <c r="I5959" s="2" t="s">
        <v>22</v>
      </c>
      <c r="J5959" s="2" t="s">
        <v>3111</v>
      </c>
      <c r="K5959" s="2" t="s">
        <v>495</v>
      </c>
      <c r="L5959" s="13" t="s">
        <v>496</v>
      </c>
      <c r="M5959" s="2" t="s">
        <v>26</v>
      </c>
      <c r="N5959" s="29"/>
      <c r="O5959" s="29"/>
      <c r="P5959" s="5" t="str">
        <f>IFERROR(__xludf.DUMMYFUNCTION("TEXTJOIN("" | "",TRUE,IF(OR(D5959="""",E5959="""",I5959="""",J5959="""",H5959=""""),""ফাঁকা ঘর"",""""),IF(AND(C5959&lt;&gt;"""",D5959&lt;&gt;"""",C5959=D5959),""gloss=figurative"",""""),IF(LEN(D5959)&lt;15,""figurative ছোট"",""""),IF(AND(I5959=""Positive"",REGEXMATCH(H5"&amp;"959,""মূর্খ|ভণ্ড|প্রতার|অলস|লোভ|স্বার্থ|অক্ষম|অযোগ্য|বোকা|কৃপণ|হিংস"")),""valence-target অমিল"",""""),IF(COUNTIF($B:$B,B5959)&gt;1,""ডুপ্লিকেট"",""""))"),"")</f>
        <v/>
      </c>
      <c r="Q5959" s="5" t="str">
        <f t="shared" si="1"/>
        <v>২ পরে</v>
      </c>
    </row>
    <row r="5960">
      <c r="A5960" s="4">
        <v>3843.0</v>
      </c>
      <c r="B5960" s="2" t="s">
        <v>24389</v>
      </c>
      <c r="C5960" s="2" t="s">
        <v>24389</v>
      </c>
      <c r="D5960" s="2" t="s">
        <v>24390</v>
      </c>
      <c r="E5960" s="2" t="s">
        <v>24391</v>
      </c>
      <c r="F5960" s="2" t="b">
        <v>1</v>
      </c>
      <c r="G5960" s="2" t="b">
        <v>0</v>
      </c>
      <c r="H5960" s="2" t="s">
        <v>37</v>
      </c>
      <c r="I5960" s="2" t="s">
        <v>49</v>
      </c>
      <c r="J5960" s="2" t="s">
        <v>1621</v>
      </c>
      <c r="K5960" s="2" t="s">
        <v>495</v>
      </c>
      <c r="L5960" s="13" t="s">
        <v>496</v>
      </c>
      <c r="M5960" s="2" t="s">
        <v>26</v>
      </c>
      <c r="N5960" s="29"/>
      <c r="O5960" s="29"/>
      <c r="P5960" s="5" t="str">
        <f>IFERROR(__xludf.DUMMYFUNCTION("TEXTJOIN("" | "",TRUE,IF(OR(D5960="""",E5960="""",I5960="""",J5960="""",H5960=""""),""ফাঁকা ঘর"",""""),IF(AND(C5960&lt;&gt;"""",D5960&lt;&gt;"""",C5960=D5960),""gloss=figurative"",""""),IF(LEN(D5960)&lt;15,""figurative ছোট"",""""),IF(AND(I5960=""Positive"",REGEXMATCH(H5"&amp;"960,""মূর্খ|ভণ্ড|প্রতার|অলস|লোভ|স্বার্থ|অক্ষম|অযোগ্য|বোকা|কৃপণ|হিংস"")),""valence-target অমিল"",""""),IF(COUNTIF($B:$B,B5960)&gt;1,""ডুপ্লিকেট"",""""))"),"")</f>
        <v/>
      </c>
      <c r="Q5960" s="5" t="str">
        <f t="shared" si="1"/>
        <v>২ পরে</v>
      </c>
    </row>
    <row r="5961">
      <c r="A5961" s="4">
        <v>3844.0</v>
      </c>
      <c r="B5961" s="2" t="s">
        <v>24392</v>
      </c>
      <c r="C5961" s="2" t="s">
        <v>24393</v>
      </c>
      <c r="D5961" s="2" t="s">
        <v>24394</v>
      </c>
      <c r="E5961" s="2" t="s">
        <v>24395</v>
      </c>
      <c r="F5961" s="2" t="b">
        <v>1</v>
      </c>
      <c r="G5961" s="2" t="b">
        <v>0</v>
      </c>
      <c r="H5961" s="2" t="s">
        <v>37</v>
      </c>
      <c r="I5961" s="2" t="s">
        <v>32</v>
      </c>
      <c r="J5961" s="2" t="s">
        <v>1244</v>
      </c>
      <c r="K5961" s="2" t="s">
        <v>495</v>
      </c>
      <c r="L5961" s="13" t="s">
        <v>496</v>
      </c>
      <c r="M5961" s="2" t="s">
        <v>26</v>
      </c>
      <c r="N5961" s="29"/>
      <c r="O5961" s="29"/>
      <c r="P5961" s="5" t="str">
        <f>IFERROR(__xludf.DUMMYFUNCTION("TEXTJOIN("" | "",TRUE,IF(OR(D5961="""",E5961="""",I5961="""",J5961="""",H5961=""""),""ফাঁকা ঘর"",""""),IF(AND(C5961&lt;&gt;"""",D5961&lt;&gt;"""",C5961=D5961),""gloss=figurative"",""""),IF(LEN(D5961)&lt;15,""figurative ছোট"",""""),IF(AND(I5961=""Positive"",REGEXMATCH(H5"&amp;"961,""মূর্খ|ভণ্ড|প্রতার|অলস|লোভ|স্বার্থ|অক্ষম|অযোগ্য|বোকা|কৃপণ|হিংস"")),""valence-target অমিল"",""""),IF(COUNTIF($B:$B,B5961)&gt;1,""ডুপ্লিকেট"",""""))"),"")</f>
        <v/>
      </c>
      <c r="Q5961" s="5" t="str">
        <f t="shared" si="1"/>
        <v>২ পরে</v>
      </c>
    </row>
    <row r="5962">
      <c r="A5962" s="4">
        <v>3845.0</v>
      </c>
      <c r="B5962" s="2" t="s">
        <v>24396</v>
      </c>
      <c r="C5962" s="2" t="s">
        <v>24397</v>
      </c>
      <c r="D5962" s="2" t="s">
        <v>24398</v>
      </c>
      <c r="E5962" s="2" t="s">
        <v>24399</v>
      </c>
      <c r="F5962" s="2" t="b">
        <v>1</v>
      </c>
      <c r="G5962" s="2" t="b">
        <v>0</v>
      </c>
      <c r="H5962" s="2" t="s">
        <v>14652</v>
      </c>
      <c r="I5962" s="2" t="s">
        <v>32</v>
      </c>
      <c r="J5962" s="2" t="s">
        <v>1770</v>
      </c>
      <c r="K5962" s="2" t="s">
        <v>495</v>
      </c>
      <c r="L5962" s="13" t="s">
        <v>496</v>
      </c>
      <c r="M5962" s="2" t="s">
        <v>26</v>
      </c>
      <c r="N5962" s="29"/>
      <c r="O5962" s="29"/>
      <c r="P5962" s="5" t="str">
        <f>IFERROR(__xludf.DUMMYFUNCTION("TEXTJOIN("" | "",TRUE,IF(OR(D5962="""",E5962="""",I5962="""",J5962="""",H5962=""""),""ফাঁকা ঘর"",""""),IF(AND(C5962&lt;&gt;"""",D5962&lt;&gt;"""",C5962=D5962),""gloss=figurative"",""""),IF(LEN(D5962)&lt;15,""figurative ছোট"",""""),IF(AND(I5962=""Positive"",REGEXMATCH(H5"&amp;"962,""মূর্খ|ভণ্ড|প্রতার|অলস|লোভ|স্বার্থ|অক্ষম|অযোগ্য|বোকা|কৃপণ|হিংস"")),""valence-target অমিল"",""""),IF(COUNTIF($B:$B,B5962)&gt;1,""ডুপ্লিকেট"",""""))"),"")</f>
        <v/>
      </c>
      <c r="Q5962" s="5" t="str">
        <f t="shared" si="1"/>
        <v>২ পরে</v>
      </c>
    </row>
    <row r="5963">
      <c r="A5963" s="4">
        <v>3846.0</v>
      </c>
      <c r="B5963" s="2" t="s">
        <v>24400</v>
      </c>
      <c r="C5963" s="2" t="s">
        <v>24401</v>
      </c>
      <c r="D5963" s="2" t="s">
        <v>24402</v>
      </c>
      <c r="E5963" s="2" t="s">
        <v>24403</v>
      </c>
      <c r="F5963" s="2" t="b">
        <v>1</v>
      </c>
      <c r="G5963" s="2" t="b">
        <v>0</v>
      </c>
      <c r="H5963" s="2" t="s">
        <v>37</v>
      </c>
      <c r="I5963" s="2" t="s">
        <v>22</v>
      </c>
      <c r="J5963" s="2" t="s">
        <v>2255</v>
      </c>
      <c r="K5963" s="2" t="s">
        <v>495</v>
      </c>
      <c r="L5963" s="13" t="s">
        <v>496</v>
      </c>
      <c r="M5963" s="2" t="s">
        <v>26</v>
      </c>
      <c r="N5963" s="29"/>
      <c r="O5963" s="29"/>
      <c r="P5963" s="5" t="str">
        <f>IFERROR(__xludf.DUMMYFUNCTION("TEXTJOIN("" | "",TRUE,IF(OR(D5963="""",E5963="""",I5963="""",J5963="""",H5963=""""),""ফাঁকা ঘর"",""""),IF(AND(C5963&lt;&gt;"""",D5963&lt;&gt;"""",C5963=D5963),""gloss=figurative"",""""),IF(LEN(D5963)&lt;15,""figurative ছোট"",""""),IF(AND(I5963=""Positive"",REGEXMATCH(H5"&amp;"963,""মূর্খ|ভণ্ড|প্রতার|অলস|লোভ|স্বার্থ|অক্ষম|অযোগ্য|বোকা|কৃপণ|হিংস"")),""valence-target অমিল"",""""),IF(COUNTIF($B:$B,B5963)&gt;1,""ডুপ্লিকেট"",""""))"),"")</f>
        <v/>
      </c>
      <c r="Q5963" s="5" t="str">
        <f t="shared" si="1"/>
        <v>২ পরে</v>
      </c>
    </row>
    <row r="5964">
      <c r="A5964" s="4">
        <v>3847.0</v>
      </c>
      <c r="B5964" s="2" t="s">
        <v>24404</v>
      </c>
      <c r="C5964" s="2" t="s">
        <v>24405</v>
      </c>
      <c r="D5964" s="2" t="s">
        <v>24406</v>
      </c>
      <c r="E5964" s="2" t="s">
        <v>24407</v>
      </c>
      <c r="F5964" s="2" t="b">
        <v>1</v>
      </c>
      <c r="G5964" s="2" t="b">
        <v>0</v>
      </c>
      <c r="H5964" s="2" t="s">
        <v>37</v>
      </c>
      <c r="I5964" s="2" t="s">
        <v>22</v>
      </c>
      <c r="J5964" s="2" t="s">
        <v>10509</v>
      </c>
      <c r="K5964" s="2" t="s">
        <v>495</v>
      </c>
      <c r="L5964" s="13" t="s">
        <v>496</v>
      </c>
      <c r="M5964" s="2" t="s">
        <v>26</v>
      </c>
      <c r="N5964" s="29"/>
      <c r="O5964" s="29"/>
      <c r="P5964" s="5" t="str">
        <f>IFERROR(__xludf.DUMMYFUNCTION("TEXTJOIN("" | "",TRUE,IF(OR(D5964="""",E5964="""",I5964="""",J5964="""",H5964=""""),""ফাঁকা ঘর"",""""),IF(AND(C5964&lt;&gt;"""",D5964&lt;&gt;"""",C5964=D5964),""gloss=figurative"",""""),IF(LEN(D5964)&lt;15,""figurative ছোট"",""""),IF(AND(I5964=""Positive"",REGEXMATCH(H5"&amp;"964,""মূর্খ|ভণ্ড|প্রতার|অলস|লোভ|স্বার্থ|অক্ষম|অযোগ্য|বোকা|কৃপণ|হিংস"")),""valence-target অমিল"",""""),IF(COUNTIF($B:$B,B5964)&gt;1,""ডুপ্লিকেট"",""""))"),"")</f>
        <v/>
      </c>
      <c r="Q5964" s="5" t="str">
        <f t="shared" si="1"/>
        <v>২ পরে</v>
      </c>
    </row>
    <row r="5965">
      <c r="A5965" s="4">
        <v>3848.0</v>
      </c>
      <c r="B5965" s="2" t="s">
        <v>24408</v>
      </c>
      <c r="C5965" s="2" t="s">
        <v>24409</v>
      </c>
      <c r="D5965" s="2" t="s">
        <v>24410</v>
      </c>
      <c r="E5965" s="2" t="s">
        <v>24411</v>
      </c>
      <c r="F5965" s="2" t="b">
        <v>1</v>
      </c>
      <c r="G5965" s="2" t="b">
        <v>0</v>
      </c>
      <c r="H5965" s="2" t="s">
        <v>37</v>
      </c>
      <c r="I5965" s="2" t="s">
        <v>49</v>
      </c>
      <c r="J5965" s="2" t="s">
        <v>669</v>
      </c>
      <c r="K5965" s="2" t="s">
        <v>495</v>
      </c>
      <c r="L5965" s="13" t="s">
        <v>496</v>
      </c>
      <c r="M5965" s="2" t="s">
        <v>26</v>
      </c>
      <c r="N5965" s="29"/>
      <c r="O5965" s="29"/>
      <c r="P5965" s="5" t="str">
        <f>IFERROR(__xludf.DUMMYFUNCTION("TEXTJOIN("" | "",TRUE,IF(OR(D5965="""",E5965="""",I5965="""",J5965="""",H5965=""""),""ফাঁকা ঘর"",""""),IF(AND(C5965&lt;&gt;"""",D5965&lt;&gt;"""",C5965=D5965),""gloss=figurative"",""""),IF(LEN(D5965)&lt;15,""figurative ছোট"",""""),IF(AND(I5965=""Positive"",REGEXMATCH(H5"&amp;"965,""মূর্খ|ভণ্ড|প্রতার|অলস|লোভ|স্বার্থ|অক্ষম|অযোগ্য|বোকা|কৃপণ|হিংস"")),""valence-target অমিল"",""""),IF(COUNTIF($B:$B,B5965)&gt;1,""ডুপ্লিকেট"",""""))"),"")</f>
        <v/>
      </c>
      <c r="Q5965" s="5" t="str">
        <f t="shared" si="1"/>
        <v>২ পরে</v>
      </c>
    </row>
    <row r="5966">
      <c r="A5966" s="4">
        <v>3849.0</v>
      </c>
      <c r="B5966" s="2" t="s">
        <v>24412</v>
      </c>
      <c r="C5966" s="2" t="s">
        <v>24413</v>
      </c>
      <c r="D5966" s="2" t="s">
        <v>24414</v>
      </c>
      <c r="E5966" s="2" t="s">
        <v>24415</v>
      </c>
      <c r="F5966" s="2" t="b">
        <v>1</v>
      </c>
      <c r="G5966" s="2" t="b">
        <v>0</v>
      </c>
      <c r="H5966" s="2" t="s">
        <v>1025</v>
      </c>
      <c r="I5966" s="2" t="s">
        <v>22</v>
      </c>
      <c r="J5966" s="2" t="s">
        <v>43</v>
      </c>
      <c r="K5966" s="2" t="s">
        <v>495</v>
      </c>
      <c r="L5966" s="13" t="s">
        <v>496</v>
      </c>
      <c r="M5966" s="2" t="s">
        <v>26</v>
      </c>
      <c r="N5966" s="29"/>
      <c r="O5966" s="29"/>
      <c r="P5966" s="5" t="str">
        <f>IFERROR(__xludf.DUMMYFUNCTION("TEXTJOIN("" | "",TRUE,IF(OR(D5966="""",E5966="""",I5966="""",J5966="""",H5966=""""),""ফাঁকা ঘর"",""""),IF(AND(C5966&lt;&gt;"""",D5966&lt;&gt;"""",C5966=D5966),""gloss=figurative"",""""),IF(LEN(D5966)&lt;15,""figurative ছোট"",""""),IF(AND(I5966=""Positive"",REGEXMATCH(H5"&amp;"966,""মূর্খ|ভণ্ড|প্রতার|অলস|লোভ|স্বার্থ|অক্ষম|অযোগ্য|বোকা|কৃপণ|হিংস"")),""valence-target অমিল"",""""),IF(COUNTIF($B:$B,B5966)&gt;1,""ডুপ্লিকেট"",""""))"),"")</f>
        <v/>
      </c>
      <c r="Q5966" s="5" t="str">
        <f t="shared" si="1"/>
        <v>২ পরে</v>
      </c>
    </row>
    <row r="5967">
      <c r="A5967" s="4">
        <v>3850.0</v>
      </c>
      <c r="B5967" s="2" t="s">
        <v>24416</v>
      </c>
      <c r="C5967" s="2" t="s">
        <v>24417</v>
      </c>
      <c r="D5967" s="2" t="s">
        <v>24418</v>
      </c>
      <c r="E5967" s="2" t="s">
        <v>24419</v>
      </c>
      <c r="F5967" s="2" t="b">
        <v>1</v>
      </c>
      <c r="G5967" s="2" t="b">
        <v>0</v>
      </c>
      <c r="H5967" s="2" t="s">
        <v>1025</v>
      </c>
      <c r="I5967" s="2" t="s">
        <v>22</v>
      </c>
      <c r="J5967" s="2" t="s">
        <v>43</v>
      </c>
      <c r="K5967" s="2" t="s">
        <v>495</v>
      </c>
      <c r="L5967" s="13" t="s">
        <v>496</v>
      </c>
      <c r="M5967" s="2" t="s">
        <v>26</v>
      </c>
      <c r="N5967" s="29"/>
      <c r="O5967" s="29"/>
      <c r="P5967" s="5" t="str">
        <f>IFERROR(__xludf.DUMMYFUNCTION("TEXTJOIN("" | "",TRUE,IF(OR(D5967="""",E5967="""",I5967="""",J5967="""",H5967=""""),""ফাঁকা ঘর"",""""),IF(AND(C5967&lt;&gt;"""",D5967&lt;&gt;"""",C5967=D5967),""gloss=figurative"",""""),IF(LEN(D5967)&lt;15,""figurative ছোট"",""""),IF(AND(I5967=""Positive"",REGEXMATCH(H5"&amp;"967,""মূর্খ|ভণ্ড|প্রতার|অলস|লোভ|স্বার্থ|অক্ষম|অযোগ্য|বোকা|কৃপণ|হিংস"")),""valence-target অমিল"",""""),IF(COUNTIF($B:$B,B5967)&gt;1,""ডুপ্লিকেট"",""""))"),"")</f>
        <v/>
      </c>
      <c r="Q5967" s="5" t="str">
        <f t="shared" si="1"/>
        <v>২ পরে</v>
      </c>
    </row>
    <row r="5968">
      <c r="A5968" s="4">
        <v>3851.0</v>
      </c>
      <c r="B5968" s="2" t="s">
        <v>24420</v>
      </c>
      <c r="C5968" s="2" t="s">
        <v>24421</v>
      </c>
      <c r="D5968" s="2" t="s">
        <v>24422</v>
      </c>
      <c r="E5968" s="2" t="s">
        <v>24423</v>
      </c>
      <c r="F5968" s="2" t="b">
        <v>1</v>
      </c>
      <c r="G5968" s="2" t="b">
        <v>0</v>
      </c>
      <c r="H5968" s="2" t="s">
        <v>37</v>
      </c>
      <c r="I5968" s="2" t="s">
        <v>22</v>
      </c>
      <c r="J5968" s="2" t="s">
        <v>16089</v>
      </c>
      <c r="K5968" s="2" t="s">
        <v>495</v>
      </c>
      <c r="L5968" s="13" t="s">
        <v>496</v>
      </c>
      <c r="M5968" s="2" t="s">
        <v>26</v>
      </c>
      <c r="N5968" s="29"/>
      <c r="O5968" s="29"/>
      <c r="P5968" s="5" t="str">
        <f>IFERROR(__xludf.DUMMYFUNCTION("TEXTJOIN("" | "",TRUE,IF(OR(D5968="""",E5968="""",I5968="""",J5968="""",H5968=""""),""ফাঁকা ঘর"",""""),IF(AND(C5968&lt;&gt;"""",D5968&lt;&gt;"""",C5968=D5968),""gloss=figurative"",""""),IF(LEN(D5968)&lt;15,""figurative ছোট"",""""),IF(AND(I5968=""Positive"",REGEXMATCH(H5"&amp;"968,""মূর্খ|ভণ্ড|প্রতার|অলস|লোভ|স্বার্থ|অক্ষম|অযোগ্য|বোকা|কৃপণ|হিংস"")),""valence-target অমিল"",""""),IF(COUNTIF($B:$B,B5968)&gt;1,""ডুপ্লিকেট"",""""))"),"")</f>
        <v/>
      </c>
      <c r="Q5968" s="5" t="str">
        <f t="shared" si="1"/>
        <v>২ পরে</v>
      </c>
    </row>
    <row r="5969">
      <c r="A5969" s="4">
        <v>3852.0</v>
      </c>
      <c r="B5969" s="2" t="s">
        <v>24424</v>
      </c>
      <c r="C5969" s="2" t="s">
        <v>24425</v>
      </c>
      <c r="D5969" s="2" t="s">
        <v>24426</v>
      </c>
      <c r="E5969" s="2" t="s">
        <v>24427</v>
      </c>
      <c r="F5969" s="2" t="b">
        <v>1</v>
      </c>
      <c r="G5969" s="2" t="b">
        <v>0</v>
      </c>
      <c r="H5969" s="2" t="s">
        <v>37</v>
      </c>
      <c r="I5969" s="2" t="s">
        <v>22</v>
      </c>
      <c r="J5969" s="2" t="s">
        <v>1117</v>
      </c>
      <c r="K5969" s="2" t="s">
        <v>495</v>
      </c>
      <c r="L5969" s="13" t="s">
        <v>496</v>
      </c>
      <c r="M5969" s="2" t="s">
        <v>26</v>
      </c>
      <c r="N5969" s="29"/>
      <c r="O5969" s="29"/>
      <c r="P5969" s="5" t="str">
        <f>IFERROR(__xludf.DUMMYFUNCTION("TEXTJOIN("" | "",TRUE,IF(OR(D5969="""",E5969="""",I5969="""",J5969="""",H5969=""""),""ফাঁকা ঘর"",""""),IF(AND(C5969&lt;&gt;"""",D5969&lt;&gt;"""",C5969=D5969),""gloss=figurative"",""""),IF(LEN(D5969)&lt;15,""figurative ছোট"",""""),IF(AND(I5969=""Positive"",REGEXMATCH(H5"&amp;"969,""মূর্খ|ভণ্ড|প্রতার|অলস|লোভ|স্বার্থ|অক্ষম|অযোগ্য|বোকা|কৃপণ|হিংস"")),""valence-target অমিল"",""""),IF(COUNTIF($B:$B,B5969)&gt;1,""ডুপ্লিকেট"",""""))"),"")</f>
        <v/>
      </c>
      <c r="Q5969" s="5" t="str">
        <f t="shared" si="1"/>
        <v>২ পরে</v>
      </c>
    </row>
    <row r="5970">
      <c r="A5970" s="4">
        <v>3853.0</v>
      </c>
      <c r="B5970" s="2" t="s">
        <v>24428</v>
      </c>
      <c r="C5970" s="2" t="s">
        <v>24429</v>
      </c>
      <c r="D5970" s="2" t="s">
        <v>24430</v>
      </c>
      <c r="E5970" s="2" t="s">
        <v>23889</v>
      </c>
      <c r="F5970" s="2" t="b">
        <v>1</v>
      </c>
      <c r="G5970" s="2" t="b">
        <v>0</v>
      </c>
      <c r="H5970" s="2" t="s">
        <v>4349</v>
      </c>
      <c r="I5970" s="2" t="s">
        <v>22</v>
      </c>
      <c r="J5970" s="2" t="s">
        <v>43</v>
      </c>
      <c r="K5970" s="2" t="s">
        <v>495</v>
      </c>
      <c r="L5970" s="13" t="s">
        <v>496</v>
      </c>
      <c r="M5970" s="2" t="s">
        <v>26</v>
      </c>
      <c r="N5970" s="29"/>
      <c r="O5970" s="29"/>
      <c r="P5970" s="5" t="str">
        <f>IFERROR(__xludf.DUMMYFUNCTION("TEXTJOIN("" | "",TRUE,IF(OR(D5970="""",E5970="""",I5970="""",J5970="""",H5970=""""),""ফাঁকা ঘর"",""""),IF(AND(C5970&lt;&gt;"""",D5970&lt;&gt;"""",C5970=D5970),""gloss=figurative"",""""),IF(LEN(D5970)&lt;15,""figurative ছোট"",""""),IF(AND(I5970=""Positive"",REGEXMATCH(H5"&amp;"970,""মূর্খ|ভণ্ড|প্রতার|অলস|লোভ|স্বার্থ|অক্ষম|অযোগ্য|বোকা|কৃপণ|হিংস"")),""valence-target অমিল"",""""),IF(COUNTIF($B:$B,B5970)&gt;1,""ডুপ্লিকেট"",""""))"),"")</f>
        <v/>
      </c>
      <c r="Q5970" s="5" t="str">
        <f t="shared" si="1"/>
        <v>২ পরে</v>
      </c>
    </row>
    <row r="5971">
      <c r="A5971" s="4">
        <v>3854.0</v>
      </c>
      <c r="B5971" s="2" t="s">
        <v>24431</v>
      </c>
      <c r="C5971" s="2" t="s">
        <v>24432</v>
      </c>
      <c r="D5971" s="2" t="s">
        <v>24433</v>
      </c>
      <c r="E5971" s="2" t="s">
        <v>24434</v>
      </c>
      <c r="F5971" s="2" t="b">
        <v>1</v>
      </c>
      <c r="G5971" s="2" t="b">
        <v>0</v>
      </c>
      <c r="H5971" s="2" t="s">
        <v>9380</v>
      </c>
      <c r="I5971" s="2" t="s">
        <v>22</v>
      </c>
      <c r="J5971" s="2" t="s">
        <v>225</v>
      </c>
      <c r="K5971" s="2" t="s">
        <v>495</v>
      </c>
      <c r="L5971" s="13" t="s">
        <v>496</v>
      </c>
      <c r="M5971" s="2" t="s">
        <v>26</v>
      </c>
      <c r="N5971" s="29"/>
      <c r="O5971" s="29"/>
      <c r="P5971" s="5" t="str">
        <f>IFERROR(__xludf.DUMMYFUNCTION("TEXTJOIN("" | "",TRUE,IF(OR(D5971="""",E5971="""",I5971="""",J5971="""",H5971=""""),""ফাঁকা ঘর"",""""),IF(AND(C5971&lt;&gt;"""",D5971&lt;&gt;"""",C5971=D5971),""gloss=figurative"",""""),IF(LEN(D5971)&lt;15,""figurative ছোট"",""""),IF(AND(I5971=""Positive"",REGEXMATCH(H5"&amp;"971,""মূর্খ|ভণ্ড|প্রতার|অলস|লোভ|স্বার্থ|অক্ষম|অযোগ্য|বোকা|কৃপণ|হিংস"")),""valence-target অমিল"",""""),IF(COUNTIF($B:$B,B5971)&gt;1,""ডুপ্লিকেট"",""""))"),"")</f>
        <v/>
      </c>
      <c r="Q5971" s="5" t="str">
        <f t="shared" si="1"/>
        <v>২ পরে</v>
      </c>
    </row>
    <row r="5972">
      <c r="A5972" s="4">
        <v>3855.0</v>
      </c>
      <c r="B5972" s="2" t="s">
        <v>24435</v>
      </c>
      <c r="C5972" s="2" t="s">
        <v>24436</v>
      </c>
      <c r="D5972" s="2" t="s">
        <v>24437</v>
      </c>
      <c r="E5972" s="2" t="s">
        <v>24438</v>
      </c>
      <c r="F5972" s="2" t="b">
        <v>1</v>
      </c>
      <c r="G5972" s="2" t="b">
        <v>0</v>
      </c>
      <c r="H5972" s="2" t="s">
        <v>37</v>
      </c>
      <c r="I5972" s="2" t="s">
        <v>32</v>
      </c>
      <c r="J5972" s="2" t="s">
        <v>4103</v>
      </c>
      <c r="K5972" s="2" t="s">
        <v>495</v>
      </c>
      <c r="L5972" s="13" t="s">
        <v>496</v>
      </c>
      <c r="M5972" s="2" t="s">
        <v>26</v>
      </c>
      <c r="N5972" s="29"/>
      <c r="O5972" s="29"/>
      <c r="P5972" s="5" t="str">
        <f>IFERROR(__xludf.DUMMYFUNCTION("TEXTJOIN("" | "",TRUE,IF(OR(D5972="""",E5972="""",I5972="""",J5972="""",H5972=""""),""ফাঁকা ঘর"",""""),IF(AND(C5972&lt;&gt;"""",D5972&lt;&gt;"""",C5972=D5972),""gloss=figurative"",""""),IF(LEN(D5972)&lt;15,""figurative ছোট"",""""),IF(AND(I5972=""Positive"",REGEXMATCH(H5"&amp;"972,""মূর্খ|ভণ্ড|প্রতার|অলস|লোভ|স্বার্থ|অক্ষম|অযোগ্য|বোকা|কৃপণ|হিংস"")),""valence-target অমিল"",""""),IF(COUNTIF($B:$B,B5972)&gt;1,""ডুপ্লিকেট"",""""))"),"")</f>
        <v/>
      </c>
      <c r="Q5972" s="5" t="str">
        <f t="shared" si="1"/>
        <v>২ পরে</v>
      </c>
    </row>
    <row r="5973">
      <c r="A5973" s="4">
        <v>3856.0</v>
      </c>
      <c r="B5973" s="2" t="s">
        <v>24439</v>
      </c>
      <c r="C5973" s="2" t="s">
        <v>24439</v>
      </c>
      <c r="D5973" s="2" t="s">
        <v>24440</v>
      </c>
      <c r="E5973" s="2" t="s">
        <v>24441</v>
      </c>
      <c r="F5973" s="2" t="b">
        <v>1</v>
      </c>
      <c r="G5973" s="2" t="b">
        <v>0</v>
      </c>
      <c r="H5973" s="2" t="s">
        <v>37</v>
      </c>
      <c r="I5973" s="2" t="s">
        <v>22</v>
      </c>
      <c r="J5973" s="2" t="s">
        <v>1607</v>
      </c>
      <c r="K5973" s="2" t="s">
        <v>495</v>
      </c>
      <c r="L5973" s="13" t="s">
        <v>496</v>
      </c>
      <c r="M5973" s="2" t="s">
        <v>26</v>
      </c>
      <c r="N5973" s="29"/>
      <c r="O5973" s="29"/>
      <c r="P5973" s="5" t="str">
        <f>IFERROR(__xludf.DUMMYFUNCTION("TEXTJOIN("" | "",TRUE,IF(OR(D5973="""",E5973="""",I5973="""",J5973="""",H5973=""""),""ফাঁকা ঘর"",""""),IF(AND(C5973&lt;&gt;"""",D5973&lt;&gt;"""",C5973=D5973),""gloss=figurative"",""""),IF(LEN(D5973)&lt;15,""figurative ছোট"",""""),IF(AND(I5973=""Positive"",REGEXMATCH(H5"&amp;"973,""মূর্খ|ভণ্ড|প্রতার|অলস|লোভ|স্বার্থ|অক্ষম|অযোগ্য|বোকা|কৃপণ|হিংস"")),""valence-target অমিল"",""""),IF(COUNTIF($B:$B,B5973)&gt;1,""ডুপ্লিকেট"",""""))"),"")</f>
        <v/>
      </c>
      <c r="Q5973" s="5" t="str">
        <f t="shared" si="1"/>
        <v>২ পরে</v>
      </c>
    </row>
    <row r="5974">
      <c r="A5974" s="4">
        <v>3857.0</v>
      </c>
      <c r="B5974" s="2" t="s">
        <v>24442</v>
      </c>
      <c r="C5974" s="2" t="s">
        <v>24443</v>
      </c>
      <c r="D5974" s="2" t="s">
        <v>24444</v>
      </c>
      <c r="E5974" s="2" t="s">
        <v>24445</v>
      </c>
      <c r="F5974" s="2" t="b">
        <v>1</v>
      </c>
      <c r="G5974" s="2" t="b">
        <v>0</v>
      </c>
      <c r="H5974" s="2" t="s">
        <v>37</v>
      </c>
      <c r="I5974" s="2" t="s">
        <v>22</v>
      </c>
      <c r="J5974" s="2" t="s">
        <v>5696</v>
      </c>
      <c r="K5974" s="2" t="s">
        <v>495</v>
      </c>
      <c r="L5974" s="13" t="s">
        <v>496</v>
      </c>
      <c r="M5974" s="2" t="s">
        <v>26</v>
      </c>
      <c r="N5974" s="29"/>
      <c r="O5974" s="29"/>
      <c r="P5974" s="5" t="str">
        <f>IFERROR(__xludf.DUMMYFUNCTION("TEXTJOIN("" | "",TRUE,IF(OR(D5974="""",E5974="""",I5974="""",J5974="""",H5974=""""),""ফাঁকা ঘর"",""""),IF(AND(C5974&lt;&gt;"""",D5974&lt;&gt;"""",C5974=D5974),""gloss=figurative"",""""),IF(LEN(D5974)&lt;15,""figurative ছোট"",""""),IF(AND(I5974=""Positive"",REGEXMATCH(H5"&amp;"974,""মূর্খ|ভণ্ড|প্রতার|অলস|লোভ|স্বার্থ|অক্ষম|অযোগ্য|বোকা|কৃপণ|হিংস"")),""valence-target অমিল"",""""),IF(COUNTIF($B:$B,B5974)&gt;1,""ডুপ্লিকেট"",""""))"),"")</f>
        <v/>
      </c>
      <c r="Q5974" s="5" t="str">
        <f t="shared" si="1"/>
        <v>২ পরে</v>
      </c>
    </row>
    <row r="5975">
      <c r="A5975" s="4">
        <v>3858.0</v>
      </c>
      <c r="B5975" s="2" t="s">
        <v>24446</v>
      </c>
      <c r="C5975" s="2" t="s">
        <v>24447</v>
      </c>
      <c r="D5975" s="2" t="s">
        <v>24448</v>
      </c>
      <c r="E5975" s="2" t="s">
        <v>24449</v>
      </c>
      <c r="F5975" s="2" t="b">
        <v>1</v>
      </c>
      <c r="G5975" s="2" t="b">
        <v>0</v>
      </c>
      <c r="H5975" s="2" t="s">
        <v>37</v>
      </c>
      <c r="I5975" s="2" t="s">
        <v>32</v>
      </c>
      <c r="J5975" s="2" t="s">
        <v>814</v>
      </c>
      <c r="K5975" s="2" t="s">
        <v>495</v>
      </c>
      <c r="L5975" s="13" t="s">
        <v>496</v>
      </c>
      <c r="M5975" s="2" t="s">
        <v>26</v>
      </c>
      <c r="N5975" s="29"/>
      <c r="O5975" s="29"/>
      <c r="P5975" s="5" t="str">
        <f>IFERROR(__xludf.DUMMYFUNCTION("TEXTJOIN("" | "",TRUE,IF(OR(D5975="""",E5975="""",I5975="""",J5975="""",H5975=""""),""ফাঁকা ঘর"",""""),IF(AND(C5975&lt;&gt;"""",D5975&lt;&gt;"""",C5975=D5975),""gloss=figurative"",""""),IF(LEN(D5975)&lt;15,""figurative ছোট"",""""),IF(AND(I5975=""Positive"",REGEXMATCH(H5"&amp;"975,""মূর্খ|ভণ্ড|প্রতার|অলস|লোভ|স্বার্থ|অক্ষম|অযোগ্য|বোকা|কৃপণ|হিংস"")),""valence-target অমিল"",""""),IF(COUNTIF($B:$B,B5975)&gt;1,""ডুপ্লিকেট"",""""))"),"")</f>
        <v/>
      </c>
      <c r="Q5975" s="5" t="str">
        <f t="shared" si="1"/>
        <v>২ পরে</v>
      </c>
    </row>
    <row r="5976">
      <c r="A5976" s="4">
        <v>3859.0</v>
      </c>
      <c r="B5976" s="2" t="s">
        <v>24450</v>
      </c>
      <c r="C5976" s="2" t="s">
        <v>24450</v>
      </c>
      <c r="D5976" s="2" t="s">
        <v>24451</v>
      </c>
      <c r="E5976" s="2" t="s">
        <v>24452</v>
      </c>
      <c r="F5976" s="2" t="b">
        <v>1</v>
      </c>
      <c r="G5976" s="2" t="b">
        <v>0</v>
      </c>
      <c r="H5976" s="2" t="s">
        <v>37</v>
      </c>
      <c r="I5976" s="2" t="s">
        <v>49</v>
      </c>
      <c r="J5976" s="2" t="s">
        <v>24453</v>
      </c>
      <c r="K5976" s="2" t="s">
        <v>495</v>
      </c>
      <c r="L5976" s="13" t="s">
        <v>496</v>
      </c>
      <c r="M5976" s="2" t="s">
        <v>26</v>
      </c>
      <c r="N5976" s="29"/>
      <c r="O5976" s="29"/>
      <c r="P5976" s="5" t="str">
        <f>IFERROR(__xludf.DUMMYFUNCTION("TEXTJOIN("" | "",TRUE,IF(OR(D5976="""",E5976="""",I5976="""",J5976="""",H5976=""""),""ফাঁকা ঘর"",""""),IF(AND(C5976&lt;&gt;"""",D5976&lt;&gt;"""",C5976=D5976),""gloss=figurative"",""""),IF(LEN(D5976)&lt;15,""figurative ছোট"",""""),IF(AND(I5976=""Positive"",REGEXMATCH(H5"&amp;"976,""মূর্খ|ভণ্ড|প্রতার|অলস|লোভ|স্বার্থ|অক্ষম|অযোগ্য|বোকা|কৃপণ|হিংস"")),""valence-target অমিল"",""""),IF(COUNTIF($B:$B,B5976)&gt;1,""ডুপ্লিকেট"",""""))"),"")</f>
        <v/>
      </c>
      <c r="Q5976" s="5" t="str">
        <f t="shared" si="1"/>
        <v>২ পরে</v>
      </c>
    </row>
    <row r="5977">
      <c r="A5977" s="4">
        <v>3860.0</v>
      </c>
      <c r="B5977" s="2" t="s">
        <v>24454</v>
      </c>
      <c r="C5977" s="2" t="s">
        <v>24455</v>
      </c>
      <c r="D5977" s="2" t="s">
        <v>24456</v>
      </c>
      <c r="E5977" s="2" t="s">
        <v>24457</v>
      </c>
      <c r="F5977" s="2" t="b">
        <v>1</v>
      </c>
      <c r="G5977" s="2" t="b">
        <v>0</v>
      </c>
      <c r="H5977" s="2" t="s">
        <v>4862</v>
      </c>
      <c r="I5977" s="2" t="s">
        <v>32</v>
      </c>
      <c r="J5977" s="2" t="s">
        <v>1679</v>
      </c>
      <c r="K5977" s="2" t="s">
        <v>495</v>
      </c>
      <c r="L5977" s="13" t="s">
        <v>496</v>
      </c>
      <c r="M5977" s="2" t="s">
        <v>26</v>
      </c>
      <c r="N5977" s="29"/>
      <c r="O5977" s="29"/>
      <c r="P5977" s="5" t="str">
        <f>IFERROR(__xludf.DUMMYFUNCTION("TEXTJOIN("" | "",TRUE,IF(OR(D5977="""",E5977="""",I5977="""",J5977="""",H5977=""""),""ফাঁকা ঘর"",""""),IF(AND(C5977&lt;&gt;"""",D5977&lt;&gt;"""",C5977=D5977),""gloss=figurative"",""""),IF(LEN(D5977)&lt;15,""figurative ছোট"",""""),IF(AND(I5977=""Positive"",REGEXMATCH(H5"&amp;"977,""মূর্খ|ভণ্ড|প্রতার|অলস|লোভ|স্বার্থ|অক্ষম|অযোগ্য|বোকা|কৃপণ|হিংস"")),""valence-target অমিল"",""""),IF(COUNTIF($B:$B,B5977)&gt;1,""ডুপ্লিকেট"",""""))"),"")</f>
        <v/>
      </c>
      <c r="Q5977" s="5" t="str">
        <f t="shared" si="1"/>
        <v>২ পরে</v>
      </c>
    </row>
    <row r="5978">
      <c r="A5978" s="4">
        <v>3861.0</v>
      </c>
      <c r="B5978" s="2" t="s">
        <v>24458</v>
      </c>
      <c r="C5978" s="2" t="s">
        <v>24459</v>
      </c>
      <c r="D5978" s="2" t="s">
        <v>24460</v>
      </c>
      <c r="E5978" s="2" t="s">
        <v>24461</v>
      </c>
      <c r="F5978" s="2" t="b">
        <v>1</v>
      </c>
      <c r="G5978" s="2" t="b">
        <v>0</v>
      </c>
      <c r="H5978" s="2" t="s">
        <v>37</v>
      </c>
      <c r="I5978" s="2" t="s">
        <v>22</v>
      </c>
      <c r="J5978" s="2" t="s">
        <v>3615</v>
      </c>
      <c r="K5978" s="2" t="s">
        <v>495</v>
      </c>
      <c r="L5978" s="13" t="s">
        <v>496</v>
      </c>
      <c r="M5978" s="2" t="s">
        <v>26</v>
      </c>
      <c r="N5978" s="29"/>
      <c r="O5978" s="29"/>
      <c r="P5978" s="5" t="str">
        <f>IFERROR(__xludf.DUMMYFUNCTION("TEXTJOIN("" | "",TRUE,IF(OR(D5978="""",E5978="""",I5978="""",J5978="""",H5978=""""),""ফাঁকা ঘর"",""""),IF(AND(C5978&lt;&gt;"""",D5978&lt;&gt;"""",C5978=D5978),""gloss=figurative"",""""),IF(LEN(D5978)&lt;15,""figurative ছোট"",""""),IF(AND(I5978=""Positive"",REGEXMATCH(H5"&amp;"978,""মূর্খ|ভণ্ড|প্রতার|অলস|লোভ|স্বার্থ|অক্ষম|অযোগ্য|বোকা|কৃপণ|হিংস"")),""valence-target অমিল"",""""),IF(COUNTIF($B:$B,B5978)&gt;1,""ডুপ্লিকেট"",""""))"),"")</f>
        <v/>
      </c>
      <c r="Q5978" s="5" t="str">
        <f t="shared" si="1"/>
        <v>২ পরে</v>
      </c>
    </row>
    <row r="5979">
      <c r="A5979" s="4">
        <v>3862.0</v>
      </c>
      <c r="B5979" s="2" t="s">
        <v>24462</v>
      </c>
      <c r="C5979" s="2" t="s">
        <v>24463</v>
      </c>
      <c r="D5979" s="2" t="s">
        <v>24464</v>
      </c>
      <c r="E5979" s="2" t="s">
        <v>24465</v>
      </c>
      <c r="F5979" s="2" t="b">
        <v>1</v>
      </c>
      <c r="G5979" s="2" t="b">
        <v>0</v>
      </c>
      <c r="H5979" s="2" t="s">
        <v>37</v>
      </c>
      <c r="I5979" s="2" t="s">
        <v>22</v>
      </c>
      <c r="J5979" s="2" t="s">
        <v>8648</v>
      </c>
      <c r="K5979" s="2" t="s">
        <v>495</v>
      </c>
      <c r="L5979" s="13" t="s">
        <v>496</v>
      </c>
      <c r="M5979" s="2" t="s">
        <v>26</v>
      </c>
      <c r="N5979" s="29"/>
      <c r="O5979" s="29"/>
      <c r="P5979" s="5" t="str">
        <f>IFERROR(__xludf.DUMMYFUNCTION("TEXTJOIN("" | "",TRUE,IF(OR(D5979="""",E5979="""",I5979="""",J5979="""",H5979=""""),""ফাঁকা ঘর"",""""),IF(AND(C5979&lt;&gt;"""",D5979&lt;&gt;"""",C5979=D5979),""gloss=figurative"",""""),IF(LEN(D5979)&lt;15,""figurative ছোট"",""""),IF(AND(I5979=""Positive"",REGEXMATCH(H5"&amp;"979,""মূর্খ|ভণ্ড|প্রতার|অলস|লোভ|স্বার্থ|অক্ষম|অযোগ্য|বোকা|কৃপণ|হিংস"")),""valence-target অমিল"",""""),IF(COUNTIF($B:$B,B5979)&gt;1,""ডুপ্লিকেট"",""""))"),"")</f>
        <v/>
      </c>
      <c r="Q5979" s="5" t="str">
        <f t="shared" si="1"/>
        <v>২ পরে</v>
      </c>
    </row>
    <row r="5980">
      <c r="A5980" s="4">
        <v>3863.0</v>
      </c>
      <c r="B5980" s="2" t="s">
        <v>24466</v>
      </c>
      <c r="C5980" s="2" t="s">
        <v>24467</v>
      </c>
      <c r="D5980" s="2" t="s">
        <v>24468</v>
      </c>
      <c r="E5980" s="2" t="s">
        <v>24469</v>
      </c>
      <c r="F5980" s="2" t="b">
        <v>1</v>
      </c>
      <c r="G5980" s="2" t="b">
        <v>0</v>
      </c>
      <c r="H5980" s="2" t="s">
        <v>37</v>
      </c>
      <c r="I5980" s="2" t="s">
        <v>32</v>
      </c>
      <c r="J5980" s="2" t="s">
        <v>436</v>
      </c>
      <c r="K5980" s="2" t="s">
        <v>495</v>
      </c>
      <c r="L5980" s="13" t="s">
        <v>496</v>
      </c>
      <c r="M5980" s="2" t="s">
        <v>26</v>
      </c>
      <c r="N5980" s="29"/>
      <c r="O5980" s="29"/>
      <c r="P5980" s="5" t="str">
        <f>IFERROR(__xludf.DUMMYFUNCTION("TEXTJOIN("" | "",TRUE,IF(OR(D5980="""",E5980="""",I5980="""",J5980="""",H5980=""""),""ফাঁকা ঘর"",""""),IF(AND(C5980&lt;&gt;"""",D5980&lt;&gt;"""",C5980=D5980),""gloss=figurative"",""""),IF(LEN(D5980)&lt;15,""figurative ছোট"",""""),IF(AND(I5980=""Positive"",REGEXMATCH(H5"&amp;"980,""মূর্খ|ভণ্ড|প্রতার|অলস|লোভ|স্বার্থ|অক্ষম|অযোগ্য|বোকা|কৃপণ|হিংস"")),""valence-target অমিল"",""""),IF(COUNTIF($B:$B,B5980)&gt;1,""ডুপ্লিকেট"",""""))"),"")</f>
        <v/>
      </c>
      <c r="Q5980" s="5" t="str">
        <f t="shared" si="1"/>
        <v>২ পরে</v>
      </c>
    </row>
    <row r="5981">
      <c r="A5981" s="4">
        <v>3864.0</v>
      </c>
      <c r="B5981" s="2" t="s">
        <v>24470</v>
      </c>
      <c r="C5981" s="2" t="s">
        <v>24471</v>
      </c>
      <c r="D5981" s="2" t="s">
        <v>24472</v>
      </c>
      <c r="E5981" s="2" t="s">
        <v>24473</v>
      </c>
      <c r="F5981" s="2" t="b">
        <v>1</v>
      </c>
      <c r="G5981" s="2" t="b">
        <v>0</v>
      </c>
      <c r="H5981" s="2" t="s">
        <v>37</v>
      </c>
      <c r="I5981" s="2" t="s">
        <v>22</v>
      </c>
      <c r="J5981" s="2" t="s">
        <v>2255</v>
      </c>
      <c r="K5981" s="2" t="s">
        <v>495</v>
      </c>
      <c r="L5981" s="13" t="s">
        <v>496</v>
      </c>
      <c r="M5981" s="2" t="s">
        <v>26</v>
      </c>
      <c r="N5981" s="29"/>
      <c r="O5981" s="29"/>
      <c r="P5981" s="5" t="str">
        <f>IFERROR(__xludf.DUMMYFUNCTION("TEXTJOIN("" | "",TRUE,IF(OR(D5981="""",E5981="""",I5981="""",J5981="""",H5981=""""),""ফাঁকা ঘর"",""""),IF(AND(C5981&lt;&gt;"""",D5981&lt;&gt;"""",C5981=D5981),""gloss=figurative"",""""),IF(LEN(D5981)&lt;15,""figurative ছোট"",""""),IF(AND(I5981=""Positive"",REGEXMATCH(H5"&amp;"981,""মূর্খ|ভণ্ড|প্রতার|অলস|লোভ|স্বার্থ|অক্ষম|অযোগ্য|বোকা|কৃপণ|হিংস"")),""valence-target অমিল"",""""),IF(COUNTIF($B:$B,B5981)&gt;1,""ডুপ্লিকেট"",""""))"),"")</f>
        <v/>
      </c>
      <c r="Q5981" s="5" t="str">
        <f t="shared" si="1"/>
        <v>২ পরে</v>
      </c>
    </row>
    <row r="5982">
      <c r="A5982" s="4">
        <v>3865.0</v>
      </c>
      <c r="B5982" s="2" t="s">
        <v>24474</v>
      </c>
      <c r="C5982" s="2" t="s">
        <v>24475</v>
      </c>
      <c r="D5982" s="2" t="s">
        <v>24476</v>
      </c>
      <c r="E5982" s="2" t="s">
        <v>24477</v>
      </c>
      <c r="F5982" s="2" t="b">
        <v>1</v>
      </c>
      <c r="G5982" s="2" t="b">
        <v>0</v>
      </c>
      <c r="H5982" s="2" t="s">
        <v>24478</v>
      </c>
      <c r="I5982" s="2" t="s">
        <v>22</v>
      </c>
      <c r="J5982" s="2" t="s">
        <v>24479</v>
      </c>
      <c r="K5982" s="2" t="s">
        <v>495</v>
      </c>
      <c r="L5982" s="13" t="s">
        <v>496</v>
      </c>
      <c r="M5982" s="2" t="s">
        <v>26</v>
      </c>
      <c r="N5982" s="29"/>
      <c r="O5982" s="29"/>
      <c r="P5982" s="5" t="str">
        <f>IFERROR(__xludf.DUMMYFUNCTION("TEXTJOIN("" | "",TRUE,IF(OR(D5982="""",E5982="""",I5982="""",J5982="""",H5982=""""),""ফাঁকা ঘর"",""""),IF(AND(C5982&lt;&gt;"""",D5982&lt;&gt;"""",C5982=D5982),""gloss=figurative"",""""),IF(LEN(D5982)&lt;15,""figurative ছোট"",""""),IF(AND(I5982=""Positive"",REGEXMATCH(H5"&amp;"982,""মূর্খ|ভণ্ড|প্রতার|অলস|লোভ|স্বার্থ|অক্ষম|অযোগ্য|বোকা|কৃপণ|হিংস"")),""valence-target অমিল"",""""),IF(COUNTIF($B:$B,B5982)&gt;1,""ডুপ্লিকেট"",""""))"),"")</f>
        <v/>
      </c>
      <c r="Q5982" s="5" t="str">
        <f t="shared" si="1"/>
        <v>২ পরে</v>
      </c>
    </row>
    <row r="5983">
      <c r="A5983" s="4">
        <v>3866.0</v>
      </c>
      <c r="B5983" s="2" t="s">
        <v>24480</v>
      </c>
      <c r="C5983" s="2" t="s">
        <v>24481</v>
      </c>
      <c r="D5983" s="2" t="s">
        <v>24482</v>
      </c>
      <c r="E5983" s="2" t="s">
        <v>24483</v>
      </c>
      <c r="F5983" s="2" t="b">
        <v>1</v>
      </c>
      <c r="G5983" s="2" t="b">
        <v>0</v>
      </c>
      <c r="H5983" s="2" t="s">
        <v>23382</v>
      </c>
      <c r="I5983" s="2" t="s">
        <v>22</v>
      </c>
      <c r="J5983" s="2" t="s">
        <v>3716</v>
      </c>
      <c r="K5983" s="2" t="s">
        <v>495</v>
      </c>
      <c r="L5983" s="13" t="s">
        <v>496</v>
      </c>
      <c r="M5983" s="2" t="s">
        <v>26</v>
      </c>
      <c r="N5983" s="29"/>
      <c r="O5983" s="29"/>
      <c r="P5983" s="5" t="str">
        <f>IFERROR(__xludf.DUMMYFUNCTION("TEXTJOIN("" | "",TRUE,IF(OR(D5983="""",E5983="""",I5983="""",J5983="""",H5983=""""),""ফাঁকা ঘর"",""""),IF(AND(C5983&lt;&gt;"""",D5983&lt;&gt;"""",C5983=D5983),""gloss=figurative"",""""),IF(LEN(D5983)&lt;15,""figurative ছোট"",""""),IF(AND(I5983=""Positive"",REGEXMATCH(H5"&amp;"983,""মূর্খ|ভণ্ড|প্রতার|অলস|লোভ|স্বার্থ|অক্ষম|অযোগ্য|বোকা|কৃপণ|হিংস"")),""valence-target অমিল"",""""),IF(COUNTIF($B:$B,B5983)&gt;1,""ডুপ্লিকেট"",""""))"),"")</f>
        <v/>
      </c>
      <c r="Q5983" s="5" t="str">
        <f t="shared" si="1"/>
        <v>২ পরে</v>
      </c>
    </row>
    <row r="5984">
      <c r="A5984" s="4">
        <v>3867.0</v>
      </c>
      <c r="B5984" s="2" t="s">
        <v>24484</v>
      </c>
      <c r="C5984" s="2" t="s">
        <v>24485</v>
      </c>
      <c r="D5984" s="2" t="s">
        <v>24486</v>
      </c>
      <c r="E5984" s="2" t="s">
        <v>24487</v>
      </c>
      <c r="F5984" s="2" t="b">
        <v>1</v>
      </c>
      <c r="G5984" s="2" t="b">
        <v>0</v>
      </c>
      <c r="H5984" s="2" t="s">
        <v>37</v>
      </c>
      <c r="I5984" s="2" t="s">
        <v>49</v>
      </c>
      <c r="J5984" s="2" t="s">
        <v>708</v>
      </c>
      <c r="K5984" s="2" t="s">
        <v>495</v>
      </c>
      <c r="L5984" s="13" t="s">
        <v>496</v>
      </c>
      <c r="M5984" s="2" t="s">
        <v>26</v>
      </c>
      <c r="N5984" s="29"/>
      <c r="O5984" s="29"/>
      <c r="P5984" s="5" t="str">
        <f>IFERROR(__xludf.DUMMYFUNCTION("TEXTJOIN("" | "",TRUE,IF(OR(D5984="""",E5984="""",I5984="""",J5984="""",H5984=""""),""ফাঁকা ঘর"",""""),IF(AND(C5984&lt;&gt;"""",D5984&lt;&gt;"""",C5984=D5984),""gloss=figurative"",""""),IF(LEN(D5984)&lt;15,""figurative ছোট"",""""),IF(AND(I5984=""Positive"",REGEXMATCH(H5"&amp;"984,""মূর্খ|ভণ্ড|প্রতার|অলস|লোভ|স্বার্থ|অক্ষম|অযোগ্য|বোকা|কৃপণ|হিংস"")),""valence-target অমিল"",""""),IF(COUNTIF($B:$B,B5984)&gt;1,""ডুপ্লিকেট"",""""))"),"")</f>
        <v/>
      </c>
      <c r="Q5984" s="5" t="str">
        <f t="shared" si="1"/>
        <v>২ পরে</v>
      </c>
    </row>
    <row r="5985">
      <c r="A5985" s="4">
        <v>3868.0</v>
      </c>
      <c r="B5985" s="2" t="s">
        <v>24488</v>
      </c>
      <c r="C5985" s="2" t="s">
        <v>24489</v>
      </c>
      <c r="D5985" s="2" t="s">
        <v>24490</v>
      </c>
      <c r="E5985" s="2" t="s">
        <v>24491</v>
      </c>
      <c r="F5985" s="2" t="b">
        <v>1</v>
      </c>
      <c r="G5985" s="2" t="b">
        <v>0</v>
      </c>
      <c r="H5985" s="2" t="s">
        <v>37</v>
      </c>
      <c r="I5985" s="2" t="s">
        <v>49</v>
      </c>
      <c r="J5985" s="2" t="s">
        <v>708</v>
      </c>
      <c r="K5985" s="2" t="s">
        <v>495</v>
      </c>
      <c r="L5985" s="13" t="s">
        <v>496</v>
      </c>
      <c r="M5985" s="2" t="s">
        <v>26</v>
      </c>
      <c r="N5985" s="29"/>
      <c r="O5985" s="29"/>
      <c r="P5985" s="5" t="str">
        <f>IFERROR(__xludf.DUMMYFUNCTION("TEXTJOIN("" | "",TRUE,IF(OR(D5985="""",E5985="""",I5985="""",J5985="""",H5985=""""),""ফাঁকা ঘর"",""""),IF(AND(C5985&lt;&gt;"""",D5985&lt;&gt;"""",C5985=D5985),""gloss=figurative"",""""),IF(LEN(D5985)&lt;15,""figurative ছোট"",""""),IF(AND(I5985=""Positive"",REGEXMATCH(H5"&amp;"985,""মূর্খ|ভণ্ড|প্রতার|অলস|লোভ|স্বার্থ|অক্ষম|অযোগ্য|বোকা|কৃপণ|হিংস"")),""valence-target অমিল"",""""),IF(COUNTIF($B:$B,B5985)&gt;1,""ডুপ্লিকেট"",""""))"),"")</f>
        <v/>
      </c>
      <c r="Q5985" s="5" t="str">
        <f t="shared" si="1"/>
        <v>২ পরে</v>
      </c>
    </row>
    <row r="5986">
      <c r="A5986" s="4">
        <v>3869.0</v>
      </c>
      <c r="B5986" s="2" t="s">
        <v>24492</v>
      </c>
      <c r="C5986" s="2" t="s">
        <v>24492</v>
      </c>
      <c r="D5986" s="2" t="s">
        <v>24493</v>
      </c>
      <c r="E5986" s="2" t="s">
        <v>24494</v>
      </c>
      <c r="F5986" s="2" t="b">
        <v>1</v>
      </c>
      <c r="G5986" s="2" t="b">
        <v>0</v>
      </c>
      <c r="H5986" s="2" t="s">
        <v>37</v>
      </c>
      <c r="I5986" s="2" t="s">
        <v>32</v>
      </c>
      <c r="J5986" s="2" t="s">
        <v>708</v>
      </c>
      <c r="K5986" s="2" t="s">
        <v>495</v>
      </c>
      <c r="L5986" s="13" t="s">
        <v>496</v>
      </c>
      <c r="M5986" s="2" t="s">
        <v>26</v>
      </c>
      <c r="N5986" s="29"/>
      <c r="O5986" s="29"/>
      <c r="P5986" s="5" t="str">
        <f>IFERROR(__xludf.DUMMYFUNCTION("TEXTJOIN("" | "",TRUE,IF(OR(D5986="""",E5986="""",I5986="""",J5986="""",H5986=""""),""ফাঁকা ঘর"",""""),IF(AND(C5986&lt;&gt;"""",D5986&lt;&gt;"""",C5986=D5986),""gloss=figurative"",""""),IF(LEN(D5986)&lt;15,""figurative ছোট"",""""),IF(AND(I5986=""Positive"",REGEXMATCH(H5"&amp;"986,""মূর্খ|ভণ্ড|প্রতার|অলস|লোভ|স্বার্থ|অক্ষম|অযোগ্য|বোকা|কৃপণ|হিংস"")),""valence-target অমিল"",""""),IF(COUNTIF($B:$B,B5986)&gt;1,""ডুপ্লিকেট"",""""))"),"")</f>
        <v/>
      </c>
      <c r="Q5986" s="5" t="str">
        <f t="shared" si="1"/>
        <v>২ পরে</v>
      </c>
    </row>
    <row r="5987">
      <c r="A5987" s="4">
        <v>3870.0</v>
      </c>
      <c r="B5987" s="2" t="s">
        <v>24495</v>
      </c>
      <c r="C5987" s="2" t="s">
        <v>24495</v>
      </c>
      <c r="D5987" s="2" t="s">
        <v>24496</v>
      </c>
      <c r="E5987" s="2" t="s">
        <v>24497</v>
      </c>
      <c r="F5987" s="2" t="b">
        <v>1</v>
      </c>
      <c r="G5987" s="2" t="b">
        <v>0</v>
      </c>
      <c r="H5987" s="2" t="s">
        <v>37</v>
      </c>
      <c r="I5987" s="2" t="s">
        <v>32</v>
      </c>
      <c r="J5987" s="2" t="s">
        <v>176</v>
      </c>
      <c r="K5987" s="2" t="s">
        <v>495</v>
      </c>
      <c r="L5987" s="13" t="s">
        <v>496</v>
      </c>
      <c r="M5987" s="2" t="s">
        <v>26</v>
      </c>
      <c r="N5987" s="29"/>
      <c r="O5987" s="29"/>
      <c r="P5987" s="5" t="str">
        <f>IFERROR(__xludf.DUMMYFUNCTION("TEXTJOIN("" | "",TRUE,IF(OR(D5987="""",E5987="""",I5987="""",J5987="""",H5987=""""),""ফাঁকা ঘর"",""""),IF(AND(C5987&lt;&gt;"""",D5987&lt;&gt;"""",C5987=D5987),""gloss=figurative"",""""),IF(LEN(D5987)&lt;15,""figurative ছোট"",""""),IF(AND(I5987=""Positive"",REGEXMATCH(H5"&amp;"987,""মূর্খ|ভণ্ড|প্রতার|অলস|লোভ|স্বার্থ|অক্ষম|অযোগ্য|বোকা|কৃপণ|হিংস"")),""valence-target অমিল"",""""),IF(COUNTIF($B:$B,B5987)&gt;1,""ডুপ্লিকেট"",""""))"),"")</f>
        <v/>
      </c>
      <c r="Q5987" s="5" t="str">
        <f t="shared" si="1"/>
        <v>২ পরে</v>
      </c>
    </row>
    <row r="5988">
      <c r="A5988" s="4">
        <v>3871.0</v>
      </c>
      <c r="B5988" s="2" t="s">
        <v>24498</v>
      </c>
      <c r="C5988" s="2" t="s">
        <v>24499</v>
      </c>
      <c r="D5988" s="2" t="s">
        <v>24500</v>
      </c>
      <c r="E5988" s="2" t="s">
        <v>24501</v>
      </c>
      <c r="F5988" s="2" t="b">
        <v>1</v>
      </c>
      <c r="G5988" s="2" t="b">
        <v>0</v>
      </c>
      <c r="H5988" s="2" t="s">
        <v>37</v>
      </c>
      <c r="I5988" s="2" t="s">
        <v>22</v>
      </c>
      <c r="J5988" s="2" t="s">
        <v>913</v>
      </c>
      <c r="K5988" s="2" t="s">
        <v>495</v>
      </c>
      <c r="L5988" s="13" t="s">
        <v>496</v>
      </c>
      <c r="M5988" s="2" t="s">
        <v>26</v>
      </c>
      <c r="N5988" s="29"/>
      <c r="O5988" s="29"/>
      <c r="P5988" s="5" t="str">
        <f>IFERROR(__xludf.DUMMYFUNCTION("TEXTJOIN("" | "",TRUE,IF(OR(D5988="""",E5988="""",I5988="""",J5988="""",H5988=""""),""ফাঁকা ঘর"",""""),IF(AND(C5988&lt;&gt;"""",D5988&lt;&gt;"""",C5988=D5988),""gloss=figurative"",""""),IF(LEN(D5988)&lt;15,""figurative ছোট"",""""),IF(AND(I5988=""Positive"",REGEXMATCH(H5"&amp;"988,""মূর্খ|ভণ্ড|প্রতার|অলস|লোভ|স্বার্থ|অক্ষম|অযোগ্য|বোকা|কৃপণ|হিংস"")),""valence-target অমিল"",""""),IF(COUNTIF($B:$B,B5988)&gt;1,""ডুপ্লিকেট"",""""))"),"")</f>
        <v/>
      </c>
      <c r="Q5988" s="5" t="str">
        <f t="shared" si="1"/>
        <v>২ পরে</v>
      </c>
    </row>
    <row r="5989">
      <c r="A5989" s="4">
        <v>3872.0</v>
      </c>
      <c r="B5989" s="2" t="s">
        <v>24502</v>
      </c>
      <c r="C5989" s="2" t="s">
        <v>24503</v>
      </c>
      <c r="D5989" s="2" t="s">
        <v>24504</v>
      </c>
      <c r="E5989" s="2" t="s">
        <v>24505</v>
      </c>
      <c r="F5989" s="2" t="b">
        <v>1</v>
      </c>
      <c r="G5989" s="2" t="b">
        <v>0</v>
      </c>
      <c r="H5989" s="2" t="s">
        <v>37</v>
      </c>
      <c r="I5989" s="2" t="s">
        <v>22</v>
      </c>
      <c r="J5989" s="2" t="s">
        <v>23072</v>
      </c>
      <c r="K5989" s="2" t="s">
        <v>495</v>
      </c>
      <c r="L5989" s="13" t="s">
        <v>496</v>
      </c>
      <c r="M5989" s="2" t="s">
        <v>26</v>
      </c>
      <c r="N5989" s="29"/>
      <c r="O5989" s="29"/>
      <c r="P5989" s="5" t="str">
        <f>IFERROR(__xludf.DUMMYFUNCTION("TEXTJOIN("" | "",TRUE,IF(OR(D5989="""",E5989="""",I5989="""",J5989="""",H5989=""""),""ফাঁকা ঘর"",""""),IF(AND(C5989&lt;&gt;"""",D5989&lt;&gt;"""",C5989=D5989),""gloss=figurative"",""""),IF(LEN(D5989)&lt;15,""figurative ছোট"",""""),IF(AND(I5989=""Positive"",REGEXMATCH(H5"&amp;"989,""মূর্খ|ভণ্ড|প্রতার|অলস|লোভ|স্বার্থ|অক্ষম|অযোগ্য|বোকা|কৃপণ|হিংস"")),""valence-target অমিল"",""""),IF(COUNTIF($B:$B,B5989)&gt;1,""ডুপ্লিকেট"",""""))"),"")</f>
        <v/>
      </c>
      <c r="Q5989" s="5" t="str">
        <f t="shared" si="1"/>
        <v>২ পরে</v>
      </c>
    </row>
    <row r="5990">
      <c r="A5990" s="4">
        <v>3873.0</v>
      </c>
      <c r="B5990" s="2" t="s">
        <v>24506</v>
      </c>
      <c r="C5990" s="2" t="s">
        <v>24507</v>
      </c>
      <c r="D5990" s="2" t="s">
        <v>24508</v>
      </c>
      <c r="E5990" s="2" t="s">
        <v>24509</v>
      </c>
      <c r="F5990" s="2" t="b">
        <v>1</v>
      </c>
      <c r="G5990" s="2" t="b">
        <v>0</v>
      </c>
      <c r="H5990" s="2" t="s">
        <v>37</v>
      </c>
      <c r="I5990" s="2" t="s">
        <v>22</v>
      </c>
      <c r="J5990" s="2" t="s">
        <v>1320</v>
      </c>
      <c r="K5990" s="2" t="s">
        <v>495</v>
      </c>
      <c r="L5990" s="13" t="s">
        <v>496</v>
      </c>
      <c r="M5990" s="2" t="s">
        <v>26</v>
      </c>
      <c r="N5990" s="29"/>
      <c r="O5990" s="29"/>
      <c r="P5990" s="5" t="str">
        <f>IFERROR(__xludf.DUMMYFUNCTION("TEXTJOIN("" | "",TRUE,IF(OR(D5990="""",E5990="""",I5990="""",J5990="""",H5990=""""),""ফাঁকা ঘর"",""""),IF(AND(C5990&lt;&gt;"""",D5990&lt;&gt;"""",C5990=D5990),""gloss=figurative"",""""),IF(LEN(D5990)&lt;15,""figurative ছোট"",""""),IF(AND(I5990=""Positive"",REGEXMATCH(H5"&amp;"990,""মূর্খ|ভণ্ড|প্রতার|অলস|লোভ|স্বার্থ|অক্ষম|অযোগ্য|বোকা|কৃপণ|হিংস"")),""valence-target অমিল"",""""),IF(COUNTIF($B:$B,B5990)&gt;1,""ডুপ্লিকেট"",""""))"),"")</f>
        <v/>
      </c>
      <c r="Q5990" s="5" t="str">
        <f t="shared" si="1"/>
        <v>২ পরে</v>
      </c>
    </row>
    <row r="5991">
      <c r="A5991" s="4">
        <v>3874.0</v>
      </c>
      <c r="B5991" s="2" t="s">
        <v>24510</v>
      </c>
      <c r="C5991" s="2" t="s">
        <v>24511</v>
      </c>
      <c r="D5991" s="2" t="s">
        <v>24512</v>
      </c>
      <c r="E5991" s="2" t="s">
        <v>24513</v>
      </c>
      <c r="F5991" s="2" t="b">
        <v>1</v>
      </c>
      <c r="G5991" s="2" t="b">
        <v>0</v>
      </c>
      <c r="H5991" s="2" t="s">
        <v>37</v>
      </c>
      <c r="I5991" s="2" t="s">
        <v>32</v>
      </c>
      <c r="J5991" s="2" t="s">
        <v>23072</v>
      </c>
      <c r="K5991" s="2" t="s">
        <v>495</v>
      </c>
      <c r="L5991" s="13" t="s">
        <v>496</v>
      </c>
      <c r="M5991" s="2" t="s">
        <v>26</v>
      </c>
      <c r="N5991" s="29"/>
      <c r="O5991" s="29"/>
      <c r="P5991" s="5" t="str">
        <f>IFERROR(__xludf.DUMMYFUNCTION("TEXTJOIN("" | "",TRUE,IF(OR(D5991="""",E5991="""",I5991="""",J5991="""",H5991=""""),""ফাঁকা ঘর"",""""),IF(AND(C5991&lt;&gt;"""",D5991&lt;&gt;"""",C5991=D5991),""gloss=figurative"",""""),IF(LEN(D5991)&lt;15,""figurative ছোট"",""""),IF(AND(I5991=""Positive"",REGEXMATCH(H5"&amp;"991,""মূর্খ|ভণ্ড|প্রতার|অলস|লোভ|স্বার্থ|অক্ষম|অযোগ্য|বোকা|কৃপণ|হিংস"")),""valence-target অমিল"",""""),IF(COUNTIF($B:$B,B5991)&gt;1,""ডুপ্লিকেট"",""""))"),"")</f>
        <v/>
      </c>
      <c r="Q5991" s="5" t="str">
        <f t="shared" si="1"/>
        <v>২ পরে</v>
      </c>
    </row>
    <row r="5992">
      <c r="A5992" s="4">
        <v>3875.0</v>
      </c>
      <c r="B5992" s="2" t="s">
        <v>24514</v>
      </c>
      <c r="C5992" s="2" t="s">
        <v>24515</v>
      </c>
      <c r="D5992" s="2" t="s">
        <v>24516</v>
      </c>
      <c r="E5992" s="2" t="s">
        <v>24517</v>
      </c>
      <c r="F5992" s="2" t="b">
        <v>1</v>
      </c>
      <c r="G5992" s="2" t="b">
        <v>0</v>
      </c>
      <c r="H5992" s="2" t="s">
        <v>37</v>
      </c>
      <c r="I5992" s="2" t="s">
        <v>32</v>
      </c>
      <c r="J5992" s="2" t="s">
        <v>17749</v>
      </c>
      <c r="K5992" s="2" t="s">
        <v>495</v>
      </c>
      <c r="L5992" s="13" t="s">
        <v>496</v>
      </c>
      <c r="M5992" s="2" t="s">
        <v>26</v>
      </c>
      <c r="N5992" s="29"/>
      <c r="O5992" s="29"/>
      <c r="P5992" s="5" t="str">
        <f>IFERROR(__xludf.DUMMYFUNCTION("TEXTJOIN("" | "",TRUE,IF(OR(D5992="""",E5992="""",I5992="""",J5992="""",H5992=""""),""ফাঁকা ঘর"",""""),IF(AND(C5992&lt;&gt;"""",D5992&lt;&gt;"""",C5992=D5992),""gloss=figurative"",""""),IF(LEN(D5992)&lt;15,""figurative ছোট"",""""),IF(AND(I5992=""Positive"",REGEXMATCH(H5"&amp;"992,""মূর্খ|ভণ্ড|প্রতার|অলস|লোভ|স্বার্থ|অক্ষম|অযোগ্য|বোকা|কৃপণ|হিংস"")),""valence-target অমিল"",""""),IF(COUNTIF($B:$B,B5992)&gt;1,""ডুপ্লিকেট"",""""))"),"")</f>
        <v/>
      </c>
      <c r="Q5992" s="5" t="str">
        <f t="shared" si="1"/>
        <v>২ পরে</v>
      </c>
    </row>
    <row r="5993">
      <c r="A5993" s="4">
        <v>3876.0</v>
      </c>
      <c r="B5993" s="2" t="s">
        <v>24518</v>
      </c>
      <c r="C5993" s="2" t="s">
        <v>24519</v>
      </c>
      <c r="D5993" s="2" t="s">
        <v>24520</v>
      </c>
      <c r="E5993" s="2" t="s">
        <v>24521</v>
      </c>
      <c r="F5993" s="2" t="b">
        <v>1</v>
      </c>
      <c r="G5993" s="2" t="b">
        <v>0</v>
      </c>
      <c r="H5993" s="2" t="s">
        <v>37</v>
      </c>
      <c r="I5993" s="2" t="s">
        <v>22</v>
      </c>
      <c r="J5993" s="2" t="s">
        <v>43</v>
      </c>
      <c r="K5993" s="2" t="s">
        <v>495</v>
      </c>
      <c r="L5993" s="13" t="s">
        <v>496</v>
      </c>
      <c r="M5993" s="2" t="s">
        <v>26</v>
      </c>
      <c r="N5993" s="29"/>
      <c r="O5993" s="29"/>
      <c r="P5993" s="5" t="str">
        <f>IFERROR(__xludf.DUMMYFUNCTION("TEXTJOIN("" | "",TRUE,IF(OR(D5993="""",E5993="""",I5993="""",J5993="""",H5993=""""),""ফাঁকা ঘর"",""""),IF(AND(C5993&lt;&gt;"""",D5993&lt;&gt;"""",C5993=D5993),""gloss=figurative"",""""),IF(LEN(D5993)&lt;15,""figurative ছোট"",""""),IF(AND(I5993=""Positive"",REGEXMATCH(H5"&amp;"993,""মূর্খ|ভণ্ড|প্রতার|অলস|লোভ|স্বার্থ|অক্ষম|অযোগ্য|বোকা|কৃপণ|হিংস"")),""valence-target অমিল"",""""),IF(COUNTIF($B:$B,B5993)&gt;1,""ডুপ্লিকেট"",""""))"),"")</f>
        <v/>
      </c>
      <c r="Q5993" s="5" t="str">
        <f t="shared" si="1"/>
        <v>২ পরে</v>
      </c>
    </row>
    <row r="5994">
      <c r="A5994" s="4">
        <v>3877.0</v>
      </c>
      <c r="B5994" s="2" t="s">
        <v>24522</v>
      </c>
      <c r="C5994" s="2" t="s">
        <v>24523</v>
      </c>
      <c r="D5994" s="2" t="s">
        <v>23990</v>
      </c>
      <c r="E5994" s="2" t="s">
        <v>24524</v>
      </c>
      <c r="F5994" s="2" t="b">
        <v>1</v>
      </c>
      <c r="G5994" s="2" t="b">
        <v>0</v>
      </c>
      <c r="H5994" s="2" t="s">
        <v>37</v>
      </c>
      <c r="I5994" s="2" t="s">
        <v>22</v>
      </c>
      <c r="J5994" s="2" t="s">
        <v>17749</v>
      </c>
      <c r="K5994" s="2" t="s">
        <v>495</v>
      </c>
      <c r="L5994" s="13" t="s">
        <v>496</v>
      </c>
      <c r="M5994" s="2" t="s">
        <v>26</v>
      </c>
      <c r="N5994" s="29"/>
      <c r="O5994" s="29"/>
      <c r="P5994" s="5" t="str">
        <f>IFERROR(__xludf.DUMMYFUNCTION("TEXTJOIN("" | "",TRUE,IF(OR(D5994="""",E5994="""",I5994="""",J5994="""",H5994=""""),""ফাঁকা ঘর"",""""),IF(AND(C5994&lt;&gt;"""",D5994&lt;&gt;"""",C5994=D5994),""gloss=figurative"",""""),IF(LEN(D5994)&lt;15,""figurative ছোট"",""""),IF(AND(I5994=""Positive"",REGEXMATCH(H5"&amp;"994,""মূর্খ|ভণ্ড|প্রতার|অলস|লোভ|স্বার্থ|অক্ষম|অযোগ্য|বোকা|কৃপণ|হিংস"")),""valence-target অমিল"",""""),IF(COUNTIF($B:$B,B5994)&gt;1,""ডুপ্লিকেট"",""""))"),"")</f>
        <v/>
      </c>
      <c r="Q5994" s="5" t="str">
        <f t="shared" si="1"/>
        <v>২ পরে</v>
      </c>
    </row>
    <row r="5995">
      <c r="A5995" s="4">
        <v>3878.0</v>
      </c>
      <c r="B5995" s="2" t="s">
        <v>24525</v>
      </c>
      <c r="C5995" s="2" t="s">
        <v>24526</v>
      </c>
      <c r="D5995" s="2" t="s">
        <v>24527</v>
      </c>
      <c r="E5995" s="2" t="s">
        <v>24528</v>
      </c>
      <c r="F5995" s="2" t="b">
        <v>1</v>
      </c>
      <c r="G5995" s="2" t="b">
        <v>0</v>
      </c>
      <c r="H5995" s="2" t="s">
        <v>37</v>
      </c>
      <c r="I5995" s="2" t="s">
        <v>22</v>
      </c>
      <c r="J5995" s="2" t="s">
        <v>17749</v>
      </c>
      <c r="K5995" s="2" t="s">
        <v>495</v>
      </c>
      <c r="L5995" s="13" t="s">
        <v>496</v>
      </c>
      <c r="M5995" s="2" t="s">
        <v>26</v>
      </c>
      <c r="N5995" s="29"/>
      <c r="O5995" s="29"/>
      <c r="P5995" s="5" t="str">
        <f>IFERROR(__xludf.DUMMYFUNCTION("TEXTJOIN("" | "",TRUE,IF(OR(D5995="""",E5995="""",I5995="""",J5995="""",H5995=""""),""ফাঁকা ঘর"",""""),IF(AND(C5995&lt;&gt;"""",D5995&lt;&gt;"""",C5995=D5995),""gloss=figurative"",""""),IF(LEN(D5995)&lt;15,""figurative ছোট"",""""),IF(AND(I5995=""Positive"",REGEXMATCH(H5"&amp;"995,""মূর্খ|ভণ্ড|প্রতার|অলস|লোভ|স্বার্থ|অক্ষম|অযোগ্য|বোকা|কৃপণ|হিংস"")),""valence-target অমিল"",""""),IF(COUNTIF($B:$B,B5995)&gt;1,""ডুপ্লিকেট"",""""))"),"")</f>
        <v/>
      </c>
      <c r="Q5995" s="5" t="str">
        <f t="shared" si="1"/>
        <v>২ পরে</v>
      </c>
    </row>
    <row r="5996">
      <c r="A5996" s="4">
        <v>3879.0</v>
      </c>
      <c r="B5996" s="2" t="s">
        <v>24529</v>
      </c>
      <c r="C5996" s="2" t="s">
        <v>24529</v>
      </c>
      <c r="D5996" s="2" t="s">
        <v>24530</v>
      </c>
      <c r="E5996" s="2" t="s">
        <v>24531</v>
      </c>
      <c r="F5996" s="2" t="b">
        <v>1</v>
      </c>
      <c r="G5996" s="2" t="b">
        <v>0</v>
      </c>
      <c r="H5996" s="2" t="s">
        <v>37</v>
      </c>
      <c r="I5996" s="2" t="s">
        <v>32</v>
      </c>
      <c r="J5996" s="2" t="s">
        <v>3615</v>
      </c>
      <c r="K5996" s="2" t="s">
        <v>495</v>
      </c>
      <c r="L5996" s="13" t="s">
        <v>496</v>
      </c>
      <c r="M5996" s="2" t="s">
        <v>26</v>
      </c>
      <c r="N5996" s="29"/>
      <c r="O5996" s="29"/>
      <c r="P5996" s="5" t="str">
        <f>IFERROR(__xludf.DUMMYFUNCTION("TEXTJOIN("" | "",TRUE,IF(OR(D5996="""",E5996="""",I5996="""",J5996="""",H5996=""""),""ফাঁকা ঘর"",""""),IF(AND(C5996&lt;&gt;"""",D5996&lt;&gt;"""",C5996=D5996),""gloss=figurative"",""""),IF(LEN(D5996)&lt;15,""figurative ছোট"",""""),IF(AND(I5996=""Positive"",REGEXMATCH(H5"&amp;"996,""মূর্খ|ভণ্ড|প্রতার|অলস|লোভ|স্বার্থ|অক্ষম|অযোগ্য|বোকা|কৃপণ|হিংস"")),""valence-target অমিল"",""""),IF(COUNTIF($B:$B,B5996)&gt;1,""ডুপ্লিকেট"",""""))"),"")</f>
        <v/>
      </c>
      <c r="Q5996" s="5" t="str">
        <f t="shared" si="1"/>
        <v>২ পরে</v>
      </c>
    </row>
    <row r="5997">
      <c r="A5997" s="4">
        <v>3880.0</v>
      </c>
      <c r="B5997" s="2" t="s">
        <v>24532</v>
      </c>
      <c r="C5997" s="2" t="s">
        <v>24533</v>
      </c>
      <c r="D5997" s="2" t="s">
        <v>24002</v>
      </c>
      <c r="E5997" s="2" t="s">
        <v>24534</v>
      </c>
      <c r="F5997" s="2" t="b">
        <v>1</v>
      </c>
      <c r="G5997" s="2" t="b">
        <v>0</v>
      </c>
      <c r="H5997" s="2" t="s">
        <v>37</v>
      </c>
      <c r="I5997" s="2" t="s">
        <v>32</v>
      </c>
      <c r="J5997" s="2" t="s">
        <v>1414</v>
      </c>
      <c r="K5997" s="2" t="s">
        <v>495</v>
      </c>
      <c r="L5997" s="13" t="s">
        <v>496</v>
      </c>
      <c r="M5997" s="2" t="s">
        <v>26</v>
      </c>
      <c r="N5997" s="29"/>
      <c r="O5997" s="29"/>
      <c r="P5997" s="5" t="str">
        <f>IFERROR(__xludf.DUMMYFUNCTION("TEXTJOIN("" | "",TRUE,IF(OR(D5997="""",E5997="""",I5997="""",J5997="""",H5997=""""),""ফাঁকা ঘর"",""""),IF(AND(C5997&lt;&gt;"""",D5997&lt;&gt;"""",C5997=D5997),""gloss=figurative"",""""),IF(LEN(D5997)&lt;15,""figurative ছোট"",""""),IF(AND(I5997=""Positive"",REGEXMATCH(H5"&amp;"997,""মূর্খ|ভণ্ড|প্রতার|অলস|লোভ|স্বার্থ|অক্ষম|অযোগ্য|বোকা|কৃপণ|হিংস"")),""valence-target অমিল"",""""),IF(COUNTIF($B:$B,B5997)&gt;1,""ডুপ্লিকেট"",""""))"),"")</f>
        <v/>
      </c>
      <c r="Q5997" s="5" t="str">
        <f t="shared" si="1"/>
        <v>২ পরে</v>
      </c>
    </row>
    <row r="5998">
      <c r="A5998" s="4">
        <v>3882.0</v>
      </c>
      <c r="B5998" s="2" t="s">
        <v>24535</v>
      </c>
      <c r="C5998" s="2" t="s">
        <v>24535</v>
      </c>
      <c r="D5998" s="2" t="s">
        <v>24536</v>
      </c>
      <c r="E5998" s="2" t="s">
        <v>24537</v>
      </c>
      <c r="F5998" s="2" t="b">
        <v>1</v>
      </c>
      <c r="G5998" s="2" t="b">
        <v>0</v>
      </c>
      <c r="H5998" s="2" t="s">
        <v>37</v>
      </c>
      <c r="I5998" s="2" t="s">
        <v>22</v>
      </c>
      <c r="J5998" s="2" t="s">
        <v>8648</v>
      </c>
      <c r="K5998" s="2" t="s">
        <v>495</v>
      </c>
      <c r="L5998" s="13" t="s">
        <v>496</v>
      </c>
      <c r="M5998" s="2" t="s">
        <v>26</v>
      </c>
      <c r="N5998" s="29"/>
      <c r="O5998" s="29"/>
      <c r="P5998" s="5" t="str">
        <f>IFERROR(__xludf.DUMMYFUNCTION("TEXTJOIN("" | "",TRUE,IF(OR(D5998="""",E5998="""",I5998="""",J5998="""",H5998=""""),""ফাঁকা ঘর"",""""),IF(AND(C5998&lt;&gt;"""",D5998&lt;&gt;"""",C5998=D5998),""gloss=figurative"",""""),IF(LEN(D5998)&lt;15,""figurative ছোট"",""""),IF(AND(I5998=""Positive"",REGEXMATCH(H5"&amp;"998,""মূর্খ|ভণ্ড|প্রতার|অলস|লোভ|স্বার্থ|অক্ষম|অযোগ্য|বোকা|কৃপণ|হিংস"")),""valence-target অমিল"",""""),IF(COUNTIF($B:$B,B5998)&gt;1,""ডুপ্লিকেট"",""""))"),"")</f>
        <v/>
      </c>
      <c r="Q5998" s="5" t="str">
        <f t="shared" si="1"/>
        <v>২ পরে</v>
      </c>
    </row>
    <row r="5999">
      <c r="A5999" s="4">
        <v>3883.0</v>
      </c>
      <c r="B5999" s="2" t="s">
        <v>24538</v>
      </c>
      <c r="C5999" s="2" t="s">
        <v>24539</v>
      </c>
      <c r="D5999" s="2" t="s">
        <v>24540</v>
      </c>
      <c r="E5999" s="2" t="s">
        <v>24541</v>
      </c>
      <c r="F5999" s="2" t="b">
        <v>1</v>
      </c>
      <c r="G5999" s="2" t="b">
        <v>0</v>
      </c>
      <c r="H5999" s="2" t="s">
        <v>756</v>
      </c>
      <c r="I5999" s="2" t="s">
        <v>22</v>
      </c>
      <c r="J5999" s="2" t="s">
        <v>2732</v>
      </c>
      <c r="K5999" s="2" t="s">
        <v>495</v>
      </c>
      <c r="L5999" s="13" t="s">
        <v>496</v>
      </c>
      <c r="M5999" s="2" t="s">
        <v>26</v>
      </c>
      <c r="N5999" s="29"/>
      <c r="O5999" s="29"/>
      <c r="P5999" s="5" t="str">
        <f>IFERROR(__xludf.DUMMYFUNCTION("TEXTJOIN("" | "",TRUE,IF(OR(D5999="""",E5999="""",I5999="""",J5999="""",H5999=""""),""ফাঁকা ঘর"",""""),IF(AND(C5999&lt;&gt;"""",D5999&lt;&gt;"""",C5999=D5999),""gloss=figurative"",""""),IF(LEN(D5999)&lt;15,""figurative ছোট"",""""),IF(AND(I5999=""Positive"",REGEXMATCH(H5"&amp;"999,""মূর্খ|ভণ্ড|প্রতার|অলস|লোভ|স্বার্থ|অক্ষম|অযোগ্য|বোকা|কৃপণ|হিংস"")),""valence-target অমিল"",""""),IF(COUNTIF($B:$B,B5999)&gt;1,""ডুপ্লিকেট"",""""))"),"")</f>
        <v/>
      </c>
      <c r="Q5999" s="5" t="str">
        <f t="shared" si="1"/>
        <v>২ পরে</v>
      </c>
    </row>
    <row r="6000">
      <c r="A6000" s="4">
        <v>3884.0</v>
      </c>
      <c r="B6000" s="2" t="s">
        <v>24542</v>
      </c>
      <c r="C6000" s="2" t="s">
        <v>24543</v>
      </c>
      <c r="D6000" s="2" t="s">
        <v>24544</v>
      </c>
      <c r="E6000" s="2" t="s">
        <v>24545</v>
      </c>
      <c r="F6000" s="2" t="b">
        <v>1</v>
      </c>
      <c r="G6000" s="2" t="b">
        <v>0</v>
      </c>
      <c r="H6000" s="2" t="s">
        <v>9380</v>
      </c>
      <c r="I6000" s="2" t="s">
        <v>22</v>
      </c>
      <c r="J6000" s="2" t="s">
        <v>2857</v>
      </c>
      <c r="K6000" s="2" t="s">
        <v>495</v>
      </c>
      <c r="L6000" s="13" t="s">
        <v>496</v>
      </c>
      <c r="M6000" s="2" t="s">
        <v>26</v>
      </c>
      <c r="N6000" s="29"/>
      <c r="O6000" s="29"/>
      <c r="P6000" s="5" t="str">
        <f>IFERROR(__xludf.DUMMYFUNCTION("TEXTJOIN("" | "",TRUE,IF(OR(D6000="""",E6000="""",I6000="""",J6000="""",H6000=""""),""ফাঁকা ঘর"",""""),IF(AND(C6000&lt;&gt;"""",D6000&lt;&gt;"""",C6000=D6000),""gloss=figurative"",""""),IF(LEN(D6000)&lt;15,""figurative ছোট"",""""),IF(AND(I6000=""Positive"",REGEXMATCH(H6"&amp;"000,""মূর্খ|ভণ্ড|প্রতার|অলস|লোভ|স্বার্থ|অক্ষম|অযোগ্য|বোকা|কৃপণ|হিংস"")),""valence-target অমিল"",""""),IF(COUNTIF($B:$B,B6000)&gt;1,""ডুপ্লিকেট"",""""))"),"")</f>
        <v/>
      </c>
      <c r="Q6000" s="5" t="str">
        <f t="shared" si="1"/>
        <v>২ পরে</v>
      </c>
    </row>
    <row r="6001">
      <c r="A6001" s="4">
        <v>3885.0</v>
      </c>
      <c r="B6001" s="2" t="s">
        <v>24546</v>
      </c>
      <c r="C6001" s="2" t="s">
        <v>24547</v>
      </c>
      <c r="D6001" s="2" t="s">
        <v>24548</v>
      </c>
      <c r="E6001" s="2" t="s">
        <v>24549</v>
      </c>
      <c r="F6001" s="2" t="b">
        <v>1</v>
      </c>
      <c r="G6001" s="2" t="b">
        <v>0</v>
      </c>
      <c r="H6001" s="2" t="s">
        <v>37</v>
      </c>
      <c r="I6001" s="2" t="s">
        <v>22</v>
      </c>
      <c r="J6001" s="2" t="s">
        <v>24550</v>
      </c>
      <c r="K6001" s="2" t="s">
        <v>495</v>
      </c>
      <c r="L6001" s="13" t="s">
        <v>496</v>
      </c>
      <c r="M6001" s="2" t="s">
        <v>26</v>
      </c>
      <c r="N6001" s="29"/>
      <c r="O6001" s="29"/>
      <c r="P6001" s="5" t="str">
        <f>IFERROR(__xludf.DUMMYFUNCTION("TEXTJOIN("" | "",TRUE,IF(OR(D6001="""",E6001="""",I6001="""",J6001="""",H6001=""""),""ফাঁকা ঘর"",""""),IF(AND(C6001&lt;&gt;"""",D6001&lt;&gt;"""",C6001=D6001),""gloss=figurative"",""""),IF(LEN(D6001)&lt;15,""figurative ছোট"",""""),IF(AND(I6001=""Positive"",REGEXMATCH(H6"&amp;"001,""মূর্খ|ভণ্ড|প্রতার|অলস|লোভ|স্বার্থ|অক্ষম|অযোগ্য|বোকা|কৃপণ|হিংস"")),""valence-target অমিল"",""""),IF(COUNTIF($B:$B,B6001)&gt;1,""ডুপ্লিকেট"",""""))"),"")</f>
        <v/>
      </c>
      <c r="Q6001" s="5" t="str">
        <f t="shared" si="1"/>
        <v>২ পরে</v>
      </c>
    </row>
    <row r="6002">
      <c r="A6002" s="4">
        <v>3886.0</v>
      </c>
      <c r="B6002" s="2" t="s">
        <v>24551</v>
      </c>
      <c r="C6002" s="2" t="s">
        <v>24552</v>
      </c>
      <c r="D6002" s="2" t="s">
        <v>24553</v>
      </c>
      <c r="E6002" s="2" t="s">
        <v>24554</v>
      </c>
      <c r="F6002" s="2" t="b">
        <v>1</v>
      </c>
      <c r="G6002" s="2" t="b">
        <v>0</v>
      </c>
      <c r="H6002" s="2" t="s">
        <v>37</v>
      </c>
      <c r="I6002" s="2" t="s">
        <v>22</v>
      </c>
      <c r="J6002" s="2" t="s">
        <v>24020</v>
      </c>
      <c r="K6002" s="2" t="s">
        <v>495</v>
      </c>
      <c r="L6002" s="13" t="s">
        <v>496</v>
      </c>
      <c r="M6002" s="2" t="s">
        <v>26</v>
      </c>
      <c r="N6002" s="29"/>
      <c r="O6002" s="29"/>
      <c r="P6002" s="5" t="str">
        <f>IFERROR(__xludf.DUMMYFUNCTION("TEXTJOIN("" | "",TRUE,IF(OR(D6002="""",E6002="""",I6002="""",J6002="""",H6002=""""),""ফাঁকা ঘর"",""""),IF(AND(C6002&lt;&gt;"""",D6002&lt;&gt;"""",C6002=D6002),""gloss=figurative"",""""),IF(LEN(D6002)&lt;15,""figurative ছোট"",""""),IF(AND(I6002=""Positive"",REGEXMATCH(H6"&amp;"002,""মূর্খ|ভণ্ড|প্রতার|অলস|লোভ|স্বার্থ|অক্ষম|অযোগ্য|বোকা|কৃপণ|হিংস"")),""valence-target অমিল"",""""),IF(COUNTIF($B:$B,B6002)&gt;1,""ডুপ্লিকেট"",""""))"),"")</f>
        <v/>
      </c>
      <c r="Q6002" s="5" t="str">
        <f t="shared" si="1"/>
        <v>২ পরে</v>
      </c>
    </row>
    <row r="6003">
      <c r="A6003" s="4">
        <v>3887.0</v>
      </c>
      <c r="B6003" s="2" t="s">
        <v>24555</v>
      </c>
      <c r="C6003" s="2" t="s">
        <v>24556</v>
      </c>
      <c r="D6003" s="2" t="s">
        <v>24557</v>
      </c>
      <c r="E6003" s="2" t="s">
        <v>10331</v>
      </c>
      <c r="F6003" s="2" t="b">
        <v>1</v>
      </c>
      <c r="G6003" s="2" t="b">
        <v>0</v>
      </c>
      <c r="H6003" s="2" t="s">
        <v>37</v>
      </c>
      <c r="I6003" s="2" t="s">
        <v>32</v>
      </c>
      <c r="J6003" s="2" t="s">
        <v>8124</v>
      </c>
      <c r="K6003" s="2" t="s">
        <v>495</v>
      </c>
      <c r="L6003" s="13" t="s">
        <v>496</v>
      </c>
      <c r="M6003" s="2" t="s">
        <v>26</v>
      </c>
      <c r="N6003" s="29"/>
      <c r="O6003" s="29"/>
      <c r="P6003" s="5" t="str">
        <f>IFERROR(__xludf.DUMMYFUNCTION("TEXTJOIN("" | "",TRUE,IF(OR(D6003="""",E6003="""",I6003="""",J6003="""",H6003=""""),""ফাঁকা ঘর"",""""),IF(AND(C6003&lt;&gt;"""",D6003&lt;&gt;"""",C6003=D6003),""gloss=figurative"",""""),IF(LEN(D6003)&lt;15,""figurative ছোট"",""""),IF(AND(I6003=""Positive"",REGEXMATCH(H6"&amp;"003,""মূর্খ|ভণ্ড|প্রতার|অলস|লোভ|স্বার্থ|অক্ষম|অযোগ্য|বোকা|কৃপণ|হিংস"")),""valence-target অমিল"",""""),IF(COUNTIF($B:$B,B6003)&gt;1,""ডুপ্লিকেট"",""""))"),"")</f>
        <v/>
      </c>
      <c r="Q6003" s="5" t="str">
        <f t="shared" si="1"/>
        <v>২ পরে</v>
      </c>
    </row>
    <row r="6004">
      <c r="A6004" s="4">
        <v>3888.0</v>
      </c>
      <c r="B6004" s="2" t="s">
        <v>24558</v>
      </c>
      <c r="C6004" s="2" t="s">
        <v>24559</v>
      </c>
      <c r="D6004" s="2" t="s">
        <v>24560</v>
      </c>
      <c r="E6004" s="2" t="s">
        <v>24561</v>
      </c>
      <c r="F6004" s="2" t="b">
        <v>1</v>
      </c>
      <c r="G6004" s="2" t="b">
        <v>0</v>
      </c>
      <c r="H6004" s="2" t="s">
        <v>37</v>
      </c>
      <c r="I6004" s="2" t="s">
        <v>32</v>
      </c>
      <c r="J6004" s="2" t="s">
        <v>8124</v>
      </c>
      <c r="K6004" s="2" t="s">
        <v>495</v>
      </c>
      <c r="L6004" s="13" t="s">
        <v>496</v>
      </c>
      <c r="M6004" s="2" t="s">
        <v>26</v>
      </c>
      <c r="N6004" s="29"/>
      <c r="O6004" s="29"/>
      <c r="P6004" s="5" t="str">
        <f>IFERROR(__xludf.DUMMYFUNCTION("TEXTJOIN("" | "",TRUE,IF(OR(D6004="""",E6004="""",I6004="""",J6004="""",H6004=""""),""ফাঁকা ঘর"",""""),IF(AND(C6004&lt;&gt;"""",D6004&lt;&gt;"""",C6004=D6004),""gloss=figurative"",""""),IF(LEN(D6004)&lt;15,""figurative ছোট"",""""),IF(AND(I6004=""Positive"",REGEXMATCH(H6"&amp;"004,""মূর্খ|ভণ্ড|প্রতার|অলস|লোভ|স্বার্থ|অক্ষম|অযোগ্য|বোকা|কৃপণ|হিংস"")),""valence-target অমিল"",""""),IF(COUNTIF($B:$B,B6004)&gt;1,""ডুপ্লিকেট"",""""))"),"")</f>
        <v/>
      </c>
      <c r="Q6004" s="5" t="str">
        <f t="shared" si="1"/>
        <v>২ পরে</v>
      </c>
    </row>
    <row r="6005">
      <c r="A6005" s="4">
        <v>3889.0</v>
      </c>
      <c r="B6005" s="2" t="s">
        <v>24562</v>
      </c>
      <c r="C6005" s="2" t="s">
        <v>24563</v>
      </c>
      <c r="D6005" s="2" t="s">
        <v>24564</v>
      </c>
      <c r="E6005" s="2" t="s">
        <v>24565</v>
      </c>
      <c r="F6005" s="2" t="b">
        <v>1</v>
      </c>
      <c r="G6005" s="2" t="b">
        <v>1</v>
      </c>
      <c r="H6005" s="2" t="s">
        <v>1106</v>
      </c>
      <c r="I6005" s="2" t="s">
        <v>32</v>
      </c>
      <c r="J6005" s="2" t="s">
        <v>1315</v>
      </c>
      <c r="K6005" s="2" t="s">
        <v>495</v>
      </c>
      <c r="L6005" s="13" t="s">
        <v>496</v>
      </c>
      <c r="M6005" s="2" t="s">
        <v>26</v>
      </c>
      <c r="N6005" s="29"/>
      <c r="O6005" s="29"/>
      <c r="P6005" s="5" t="str">
        <f>IFERROR(__xludf.DUMMYFUNCTION("TEXTJOIN("" | "",TRUE,IF(OR(D6005="""",E6005="""",I6005="""",J6005="""",H6005=""""),""ফাঁকা ঘর"",""""),IF(AND(C6005&lt;&gt;"""",D6005&lt;&gt;"""",C6005=D6005),""gloss=figurative"",""""),IF(LEN(D6005)&lt;15,""figurative ছোট"",""""),IF(AND(I6005=""Positive"",REGEXMATCH(H6"&amp;"005,""মূর্খ|ভণ্ড|প্রতার|অলস|লোভ|স্বার্থ|অক্ষম|অযোগ্য|বোকা|কৃপণ|হিংস"")),""valence-target অমিল"",""""),IF(COUNTIF($B:$B,B6005)&gt;1,""ডুপ্লিকেট"",""""))"),"")</f>
        <v/>
      </c>
      <c r="Q6005" s="5" t="str">
        <f t="shared" si="1"/>
        <v>২ পরে</v>
      </c>
    </row>
    <row r="6006">
      <c r="A6006" s="4">
        <v>3890.0</v>
      </c>
      <c r="B6006" s="2" t="s">
        <v>24566</v>
      </c>
      <c r="C6006" s="2" t="s">
        <v>24567</v>
      </c>
      <c r="D6006" s="2" t="s">
        <v>24568</v>
      </c>
      <c r="E6006" s="2" t="s">
        <v>24569</v>
      </c>
      <c r="F6006" s="2" t="b">
        <v>1</v>
      </c>
      <c r="G6006" s="2" t="b">
        <v>0</v>
      </c>
      <c r="H6006" s="2" t="s">
        <v>37</v>
      </c>
      <c r="I6006" s="2" t="s">
        <v>32</v>
      </c>
      <c r="J6006" s="2" t="s">
        <v>814</v>
      </c>
      <c r="K6006" s="2" t="s">
        <v>495</v>
      </c>
      <c r="L6006" s="13" t="s">
        <v>496</v>
      </c>
      <c r="M6006" s="2" t="s">
        <v>26</v>
      </c>
      <c r="N6006" s="29"/>
      <c r="O6006" s="29"/>
      <c r="P6006" s="5" t="str">
        <f>IFERROR(__xludf.DUMMYFUNCTION("TEXTJOIN("" | "",TRUE,IF(OR(D6006="""",E6006="""",I6006="""",J6006="""",H6006=""""),""ফাঁকা ঘর"",""""),IF(AND(C6006&lt;&gt;"""",D6006&lt;&gt;"""",C6006=D6006),""gloss=figurative"",""""),IF(LEN(D6006)&lt;15,""figurative ছোট"",""""),IF(AND(I6006=""Positive"",REGEXMATCH(H6"&amp;"006,""মূর্খ|ভণ্ড|প্রতার|অলস|লোভ|স্বার্থ|অক্ষম|অযোগ্য|বোকা|কৃপণ|হিংস"")),""valence-target অমিল"",""""),IF(COUNTIF($B:$B,B6006)&gt;1,""ডুপ্লিকেট"",""""))"),"")</f>
        <v/>
      </c>
      <c r="Q6006" s="5" t="str">
        <f t="shared" si="1"/>
        <v>২ পরে</v>
      </c>
    </row>
    <row r="6007">
      <c r="A6007" s="4">
        <v>3891.0</v>
      </c>
      <c r="B6007" s="2" t="s">
        <v>24570</v>
      </c>
      <c r="C6007" s="2" t="s">
        <v>24571</v>
      </c>
      <c r="D6007" s="2" t="s">
        <v>24572</v>
      </c>
      <c r="E6007" s="2" t="s">
        <v>24573</v>
      </c>
      <c r="F6007" s="2" t="b">
        <v>1</v>
      </c>
      <c r="G6007" s="2" t="b">
        <v>0</v>
      </c>
      <c r="H6007" s="2" t="s">
        <v>37</v>
      </c>
      <c r="I6007" s="2" t="s">
        <v>22</v>
      </c>
      <c r="J6007" s="2" t="s">
        <v>3710</v>
      </c>
      <c r="K6007" s="2" t="s">
        <v>495</v>
      </c>
      <c r="L6007" s="13" t="s">
        <v>496</v>
      </c>
      <c r="M6007" s="2" t="s">
        <v>26</v>
      </c>
      <c r="N6007" s="29"/>
      <c r="O6007" s="29"/>
      <c r="P6007" s="5" t="str">
        <f>IFERROR(__xludf.DUMMYFUNCTION("TEXTJOIN("" | "",TRUE,IF(OR(D6007="""",E6007="""",I6007="""",J6007="""",H6007=""""),""ফাঁকা ঘর"",""""),IF(AND(C6007&lt;&gt;"""",D6007&lt;&gt;"""",C6007=D6007),""gloss=figurative"",""""),IF(LEN(D6007)&lt;15,""figurative ছোট"",""""),IF(AND(I6007=""Positive"",REGEXMATCH(H6"&amp;"007,""মূর্খ|ভণ্ড|প্রতার|অলস|লোভ|স্বার্থ|অক্ষম|অযোগ্য|বোকা|কৃপণ|হিংস"")),""valence-target অমিল"",""""),IF(COUNTIF($B:$B,B6007)&gt;1,""ডুপ্লিকেট"",""""))"),"")</f>
        <v/>
      </c>
      <c r="Q6007" s="5" t="str">
        <f t="shared" si="1"/>
        <v>২ পরে</v>
      </c>
    </row>
    <row r="6008">
      <c r="A6008" s="4">
        <v>3892.0</v>
      </c>
      <c r="B6008" s="2" t="s">
        <v>24574</v>
      </c>
      <c r="C6008" s="2" t="s">
        <v>24575</v>
      </c>
      <c r="D6008" s="2" t="s">
        <v>24576</v>
      </c>
      <c r="E6008" s="2" t="s">
        <v>24577</v>
      </c>
      <c r="F6008" s="2" t="b">
        <v>1</v>
      </c>
      <c r="G6008" s="2" t="b">
        <v>0</v>
      </c>
      <c r="H6008" s="2" t="s">
        <v>37</v>
      </c>
      <c r="I6008" s="2" t="s">
        <v>22</v>
      </c>
      <c r="J6008" s="2" t="s">
        <v>8409</v>
      </c>
      <c r="K6008" s="2" t="s">
        <v>495</v>
      </c>
      <c r="L6008" s="13" t="s">
        <v>496</v>
      </c>
      <c r="M6008" s="2" t="s">
        <v>26</v>
      </c>
      <c r="N6008" s="29"/>
      <c r="O6008" s="29"/>
      <c r="P6008" s="5" t="str">
        <f>IFERROR(__xludf.DUMMYFUNCTION("TEXTJOIN("" | "",TRUE,IF(OR(D6008="""",E6008="""",I6008="""",J6008="""",H6008=""""),""ফাঁকা ঘর"",""""),IF(AND(C6008&lt;&gt;"""",D6008&lt;&gt;"""",C6008=D6008),""gloss=figurative"",""""),IF(LEN(D6008)&lt;15,""figurative ছোট"",""""),IF(AND(I6008=""Positive"",REGEXMATCH(H6"&amp;"008,""মূর্খ|ভণ্ড|প্রতার|অলস|লোভ|স্বার্থ|অক্ষম|অযোগ্য|বোকা|কৃপণ|হিংস"")),""valence-target অমিল"",""""),IF(COUNTIF($B:$B,B6008)&gt;1,""ডুপ্লিকেট"",""""))"),"")</f>
        <v/>
      </c>
      <c r="Q6008" s="5" t="str">
        <f t="shared" si="1"/>
        <v>২ পরে</v>
      </c>
    </row>
    <row r="6009">
      <c r="A6009" s="4">
        <v>3893.0</v>
      </c>
      <c r="B6009" s="2" t="s">
        <v>24578</v>
      </c>
      <c r="C6009" s="2" t="s">
        <v>24579</v>
      </c>
      <c r="D6009" s="2" t="s">
        <v>24580</v>
      </c>
      <c r="E6009" s="2" t="s">
        <v>24581</v>
      </c>
      <c r="F6009" s="2" t="b">
        <v>1</v>
      </c>
      <c r="G6009" s="2" t="b">
        <v>0</v>
      </c>
      <c r="H6009" s="2" t="s">
        <v>37</v>
      </c>
      <c r="I6009" s="2" t="s">
        <v>22</v>
      </c>
      <c r="J6009" s="2" t="s">
        <v>971</v>
      </c>
      <c r="K6009" s="2" t="s">
        <v>495</v>
      </c>
      <c r="L6009" s="13" t="s">
        <v>496</v>
      </c>
      <c r="M6009" s="2" t="s">
        <v>26</v>
      </c>
      <c r="N6009" s="29"/>
      <c r="O6009" s="29"/>
      <c r="P6009" s="5" t="str">
        <f>IFERROR(__xludf.DUMMYFUNCTION("TEXTJOIN("" | "",TRUE,IF(OR(D6009="""",E6009="""",I6009="""",J6009="""",H6009=""""),""ফাঁকা ঘর"",""""),IF(AND(C6009&lt;&gt;"""",D6009&lt;&gt;"""",C6009=D6009),""gloss=figurative"",""""),IF(LEN(D6009)&lt;15,""figurative ছোট"",""""),IF(AND(I6009=""Positive"",REGEXMATCH(H6"&amp;"009,""মূর্খ|ভণ্ড|প্রতার|অলস|লোভ|স্বার্থ|অক্ষম|অযোগ্য|বোকা|কৃপণ|হিংস"")),""valence-target অমিল"",""""),IF(COUNTIF($B:$B,B6009)&gt;1,""ডুপ্লিকেট"",""""))"),"")</f>
        <v/>
      </c>
      <c r="Q6009" s="5" t="str">
        <f t="shared" si="1"/>
        <v>২ পরে</v>
      </c>
    </row>
    <row r="6010">
      <c r="A6010" s="4">
        <v>3894.0</v>
      </c>
      <c r="B6010" s="2" t="s">
        <v>24582</v>
      </c>
      <c r="C6010" s="2" t="s">
        <v>24583</v>
      </c>
      <c r="D6010" s="2" t="s">
        <v>24584</v>
      </c>
      <c r="E6010" s="2" t="s">
        <v>24585</v>
      </c>
      <c r="F6010" s="2" t="b">
        <v>1</v>
      </c>
      <c r="G6010" s="2" t="b">
        <v>0</v>
      </c>
      <c r="H6010" s="2" t="s">
        <v>37</v>
      </c>
      <c r="I6010" s="2" t="s">
        <v>32</v>
      </c>
      <c r="J6010" s="2" t="s">
        <v>3961</v>
      </c>
      <c r="K6010" s="2" t="s">
        <v>495</v>
      </c>
      <c r="L6010" s="13" t="s">
        <v>496</v>
      </c>
      <c r="M6010" s="2" t="s">
        <v>26</v>
      </c>
      <c r="N6010" s="29"/>
      <c r="O6010" s="29"/>
      <c r="P6010" s="5" t="str">
        <f>IFERROR(__xludf.DUMMYFUNCTION("TEXTJOIN("" | "",TRUE,IF(OR(D6010="""",E6010="""",I6010="""",J6010="""",H6010=""""),""ফাঁকা ঘর"",""""),IF(AND(C6010&lt;&gt;"""",D6010&lt;&gt;"""",C6010=D6010),""gloss=figurative"",""""),IF(LEN(D6010)&lt;15,""figurative ছোট"",""""),IF(AND(I6010=""Positive"",REGEXMATCH(H6"&amp;"010,""মূর্খ|ভণ্ড|প্রতার|অলস|লোভ|স্বার্থ|অক্ষম|অযোগ্য|বোকা|কৃপণ|হিংস"")),""valence-target অমিল"",""""),IF(COUNTIF($B:$B,B6010)&gt;1,""ডুপ্লিকেট"",""""))"),"")</f>
        <v/>
      </c>
      <c r="Q6010" s="5" t="str">
        <f t="shared" si="1"/>
        <v>২ পরে</v>
      </c>
    </row>
    <row r="6011">
      <c r="A6011" s="4">
        <v>3895.0</v>
      </c>
      <c r="B6011" s="2" t="s">
        <v>24586</v>
      </c>
      <c r="C6011" s="2" t="s">
        <v>24587</v>
      </c>
      <c r="D6011" s="2" t="s">
        <v>24588</v>
      </c>
      <c r="E6011" s="2" t="s">
        <v>24589</v>
      </c>
      <c r="F6011" s="2" t="b">
        <v>1</v>
      </c>
      <c r="G6011" s="2" t="b">
        <v>0</v>
      </c>
      <c r="H6011" s="2" t="s">
        <v>37</v>
      </c>
      <c r="I6011" s="2" t="s">
        <v>22</v>
      </c>
      <c r="J6011" s="2" t="s">
        <v>669</v>
      </c>
      <c r="K6011" s="2" t="s">
        <v>495</v>
      </c>
      <c r="L6011" s="13" t="s">
        <v>496</v>
      </c>
      <c r="M6011" s="2" t="s">
        <v>26</v>
      </c>
      <c r="N6011" s="29"/>
      <c r="O6011" s="29"/>
      <c r="P6011" s="5" t="str">
        <f>IFERROR(__xludf.DUMMYFUNCTION("TEXTJOIN("" | "",TRUE,IF(OR(D6011="""",E6011="""",I6011="""",J6011="""",H6011=""""),""ফাঁকা ঘর"",""""),IF(AND(C6011&lt;&gt;"""",D6011&lt;&gt;"""",C6011=D6011),""gloss=figurative"",""""),IF(LEN(D6011)&lt;15,""figurative ছোট"",""""),IF(AND(I6011=""Positive"",REGEXMATCH(H6"&amp;"011,""মূর্খ|ভণ্ড|প্রতার|অলস|লোভ|স্বার্থ|অক্ষম|অযোগ্য|বোকা|কৃপণ|হিংস"")),""valence-target অমিল"",""""),IF(COUNTIF($B:$B,B6011)&gt;1,""ডুপ্লিকেট"",""""))"),"")</f>
        <v/>
      </c>
      <c r="Q6011" s="5" t="str">
        <f t="shared" si="1"/>
        <v>২ পরে</v>
      </c>
    </row>
    <row r="6012">
      <c r="A6012" s="4">
        <v>3896.0</v>
      </c>
      <c r="B6012" s="2" t="s">
        <v>24590</v>
      </c>
      <c r="C6012" s="2" t="s">
        <v>24591</v>
      </c>
      <c r="D6012" s="2" t="s">
        <v>24592</v>
      </c>
      <c r="E6012" s="2" t="s">
        <v>24593</v>
      </c>
      <c r="F6012" s="2" t="b">
        <v>1</v>
      </c>
      <c r="G6012" s="2" t="b">
        <v>0</v>
      </c>
      <c r="H6012" s="2" t="s">
        <v>37</v>
      </c>
      <c r="I6012" s="2" t="s">
        <v>22</v>
      </c>
      <c r="J6012" s="2" t="s">
        <v>964</v>
      </c>
      <c r="K6012" s="2" t="s">
        <v>495</v>
      </c>
      <c r="L6012" s="13" t="s">
        <v>496</v>
      </c>
      <c r="M6012" s="2" t="s">
        <v>26</v>
      </c>
      <c r="N6012" s="29"/>
      <c r="O6012" s="29"/>
      <c r="P6012" s="5" t="str">
        <f>IFERROR(__xludf.DUMMYFUNCTION("TEXTJOIN("" | "",TRUE,IF(OR(D6012="""",E6012="""",I6012="""",J6012="""",H6012=""""),""ফাঁকা ঘর"",""""),IF(AND(C6012&lt;&gt;"""",D6012&lt;&gt;"""",C6012=D6012),""gloss=figurative"",""""),IF(LEN(D6012)&lt;15,""figurative ছোট"",""""),IF(AND(I6012=""Positive"",REGEXMATCH(H6"&amp;"012,""মূর্খ|ভণ্ড|প্রতার|অলস|লোভ|স্বার্থ|অক্ষম|অযোগ্য|বোকা|কৃপণ|হিংস"")),""valence-target অমিল"",""""),IF(COUNTIF($B:$B,B6012)&gt;1,""ডুপ্লিকেট"",""""))"),"")</f>
        <v/>
      </c>
      <c r="Q6012" s="5" t="str">
        <f t="shared" si="1"/>
        <v>২ পরে</v>
      </c>
    </row>
    <row r="6013">
      <c r="A6013" s="4">
        <v>3897.0</v>
      </c>
      <c r="B6013" s="2" t="s">
        <v>24594</v>
      </c>
      <c r="C6013" s="2" t="s">
        <v>24595</v>
      </c>
      <c r="D6013" s="2" t="s">
        <v>24596</v>
      </c>
      <c r="E6013" s="2" t="s">
        <v>24597</v>
      </c>
      <c r="F6013" s="2" t="b">
        <v>1</v>
      </c>
      <c r="G6013" s="2" t="b">
        <v>0</v>
      </c>
      <c r="H6013" s="2" t="s">
        <v>24598</v>
      </c>
      <c r="I6013" s="2" t="s">
        <v>22</v>
      </c>
      <c r="J6013" s="2" t="s">
        <v>820</v>
      </c>
      <c r="K6013" s="2" t="s">
        <v>495</v>
      </c>
      <c r="L6013" s="13" t="s">
        <v>496</v>
      </c>
      <c r="M6013" s="2" t="s">
        <v>26</v>
      </c>
      <c r="N6013" s="29"/>
      <c r="O6013" s="29"/>
      <c r="P6013" s="5" t="str">
        <f>IFERROR(__xludf.DUMMYFUNCTION("TEXTJOIN("" | "",TRUE,IF(OR(D6013="""",E6013="""",I6013="""",J6013="""",H6013=""""),""ফাঁকা ঘর"",""""),IF(AND(C6013&lt;&gt;"""",D6013&lt;&gt;"""",C6013=D6013),""gloss=figurative"",""""),IF(LEN(D6013)&lt;15,""figurative ছোট"",""""),IF(AND(I6013=""Positive"",REGEXMATCH(H6"&amp;"013,""মূর্খ|ভণ্ড|প্রতার|অলস|লোভ|স্বার্থ|অক্ষম|অযোগ্য|বোকা|কৃপণ|হিংস"")),""valence-target অমিল"",""""),IF(COUNTIF($B:$B,B6013)&gt;1,""ডুপ্লিকেট"",""""))"),"")</f>
        <v/>
      </c>
      <c r="Q6013" s="5" t="str">
        <f t="shared" si="1"/>
        <v>২ পরে</v>
      </c>
    </row>
    <row r="6014">
      <c r="A6014" s="4">
        <v>3899.0</v>
      </c>
      <c r="B6014" s="2" t="s">
        <v>24599</v>
      </c>
      <c r="C6014" s="2" t="s">
        <v>24600</v>
      </c>
      <c r="D6014" s="2" t="s">
        <v>24601</v>
      </c>
      <c r="E6014" s="2" t="s">
        <v>24602</v>
      </c>
      <c r="F6014" s="2" t="b">
        <v>1</v>
      </c>
      <c r="G6014" s="2" t="b">
        <v>0</v>
      </c>
      <c r="H6014" s="2" t="s">
        <v>24603</v>
      </c>
      <c r="I6014" s="2" t="s">
        <v>22</v>
      </c>
      <c r="J6014" s="2" t="s">
        <v>820</v>
      </c>
      <c r="K6014" s="2" t="s">
        <v>495</v>
      </c>
      <c r="L6014" s="13" t="s">
        <v>496</v>
      </c>
      <c r="M6014" s="2" t="s">
        <v>26</v>
      </c>
      <c r="N6014" s="29"/>
      <c r="O6014" s="29"/>
      <c r="P6014" s="5" t="str">
        <f>IFERROR(__xludf.DUMMYFUNCTION("TEXTJOIN("" | "",TRUE,IF(OR(D6014="""",E6014="""",I6014="""",J6014="""",H6014=""""),""ফাঁকা ঘর"",""""),IF(AND(C6014&lt;&gt;"""",D6014&lt;&gt;"""",C6014=D6014),""gloss=figurative"",""""),IF(LEN(D6014)&lt;15,""figurative ছোট"",""""),IF(AND(I6014=""Positive"",REGEXMATCH(H6"&amp;"014,""মূর্খ|ভণ্ড|প্রতার|অলস|লোভ|স্বার্থ|অক্ষম|অযোগ্য|বোকা|কৃপণ|হিংস"")),""valence-target অমিল"",""""),IF(COUNTIF($B:$B,B6014)&gt;1,""ডুপ্লিকেট"",""""))"),"")</f>
        <v/>
      </c>
      <c r="Q6014" s="5" t="str">
        <f t="shared" si="1"/>
        <v>২ পরে</v>
      </c>
    </row>
    <row r="6015">
      <c r="A6015" s="4">
        <v>3900.0</v>
      </c>
      <c r="B6015" s="2" t="s">
        <v>24604</v>
      </c>
      <c r="C6015" s="2" t="s">
        <v>24605</v>
      </c>
      <c r="D6015" s="2" t="s">
        <v>24606</v>
      </c>
      <c r="E6015" s="2" t="s">
        <v>24607</v>
      </c>
      <c r="F6015" s="2" t="b">
        <v>1</v>
      </c>
      <c r="G6015" s="2" t="b">
        <v>0</v>
      </c>
      <c r="H6015" s="2" t="s">
        <v>24608</v>
      </c>
      <c r="I6015" s="2" t="s">
        <v>22</v>
      </c>
      <c r="J6015" s="2" t="s">
        <v>4112</v>
      </c>
      <c r="K6015" s="2" t="s">
        <v>495</v>
      </c>
      <c r="L6015" s="13" t="s">
        <v>496</v>
      </c>
      <c r="M6015" s="2" t="s">
        <v>26</v>
      </c>
      <c r="N6015" s="29"/>
      <c r="O6015" s="29"/>
      <c r="P6015" s="5" t="str">
        <f>IFERROR(__xludf.DUMMYFUNCTION("TEXTJOIN("" | "",TRUE,IF(OR(D6015="""",E6015="""",I6015="""",J6015="""",H6015=""""),""ফাঁকা ঘর"",""""),IF(AND(C6015&lt;&gt;"""",D6015&lt;&gt;"""",C6015=D6015),""gloss=figurative"",""""),IF(LEN(D6015)&lt;15,""figurative ছোট"",""""),IF(AND(I6015=""Positive"",REGEXMATCH(H6"&amp;"015,""মূর্খ|ভণ্ড|প্রতার|অলস|লোভ|স্বার্থ|অক্ষম|অযোগ্য|বোকা|কৃপণ|হিংস"")),""valence-target অমিল"",""""),IF(COUNTIF($B:$B,B6015)&gt;1,""ডুপ্লিকেট"",""""))"),"")</f>
        <v/>
      </c>
      <c r="Q6015" s="5" t="str">
        <f t="shared" si="1"/>
        <v>২ পরে</v>
      </c>
    </row>
    <row r="6016">
      <c r="A6016" s="4">
        <v>3901.0</v>
      </c>
      <c r="B6016" s="2" t="s">
        <v>24609</v>
      </c>
      <c r="C6016" s="2" t="s">
        <v>24610</v>
      </c>
      <c r="D6016" s="2" t="s">
        <v>24611</v>
      </c>
      <c r="E6016" s="2" t="s">
        <v>24612</v>
      </c>
      <c r="F6016" s="2" t="b">
        <v>1</v>
      </c>
      <c r="G6016" s="2" t="b">
        <v>0</v>
      </c>
      <c r="H6016" s="2" t="s">
        <v>37</v>
      </c>
      <c r="I6016" s="2" t="s">
        <v>22</v>
      </c>
      <c r="J6016" s="2" t="s">
        <v>2611</v>
      </c>
      <c r="K6016" s="2" t="s">
        <v>495</v>
      </c>
      <c r="L6016" s="13" t="s">
        <v>496</v>
      </c>
      <c r="M6016" s="2" t="s">
        <v>26</v>
      </c>
      <c r="N6016" s="29"/>
      <c r="O6016" s="29"/>
      <c r="P6016" s="5" t="str">
        <f>IFERROR(__xludf.DUMMYFUNCTION("TEXTJOIN("" | "",TRUE,IF(OR(D6016="""",E6016="""",I6016="""",J6016="""",H6016=""""),""ফাঁকা ঘর"",""""),IF(AND(C6016&lt;&gt;"""",D6016&lt;&gt;"""",C6016=D6016),""gloss=figurative"",""""),IF(LEN(D6016)&lt;15,""figurative ছোট"",""""),IF(AND(I6016=""Positive"",REGEXMATCH(H6"&amp;"016,""মূর্খ|ভণ্ড|প্রতার|অলস|লোভ|স্বার্থ|অক্ষম|অযোগ্য|বোকা|কৃপণ|হিংস"")),""valence-target অমিল"",""""),IF(COUNTIF($B:$B,B6016)&gt;1,""ডুপ্লিকেট"",""""))"),"")</f>
        <v/>
      </c>
      <c r="Q6016" s="5" t="str">
        <f t="shared" si="1"/>
        <v>২ পরে</v>
      </c>
    </row>
    <row r="6017">
      <c r="A6017" s="4">
        <v>3902.0</v>
      </c>
      <c r="B6017" s="2" t="s">
        <v>24613</v>
      </c>
      <c r="C6017" s="2" t="s">
        <v>24613</v>
      </c>
      <c r="D6017" s="2" t="s">
        <v>24614</v>
      </c>
      <c r="E6017" s="2" t="s">
        <v>24615</v>
      </c>
      <c r="F6017" s="2" t="b">
        <v>1</v>
      </c>
      <c r="G6017" s="2" t="b">
        <v>0</v>
      </c>
      <c r="H6017" s="2" t="s">
        <v>37</v>
      </c>
      <c r="I6017" s="2" t="s">
        <v>32</v>
      </c>
      <c r="J6017" s="2" t="s">
        <v>1111</v>
      </c>
      <c r="K6017" s="2" t="s">
        <v>495</v>
      </c>
      <c r="L6017" s="13" t="s">
        <v>496</v>
      </c>
      <c r="M6017" s="2" t="s">
        <v>26</v>
      </c>
      <c r="N6017" s="29"/>
      <c r="O6017" s="29"/>
      <c r="P6017" s="5" t="str">
        <f>IFERROR(__xludf.DUMMYFUNCTION("TEXTJOIN("" | "",TRUE,IF(OR(D6017="""",E6017="""",I6017="""",J6017="""",H6017=""""),""ফাঁকা ঘর"",""""),IF(AND(C6017&lt;&gt;"""",D6017&lt;&gt;"""",C6017=D6017),""gloss=figurative"",""""),IF(LEN(D6017)&lt;15,""figurative ছোট"",""""),IF(AND(I6017=""Positive"",REGEXMATCH(H6"&amp;"017,""মূর্খ|ভণ্ড|প্রতার|অলস|লোভ|স্বার্থ|অক্ষম|অযোগ্য|বোকা|কৃপণ|হিংস"")),""valence-target অমিল"",""""),IF(COUNTIF($B:$B,B6017)&gt;1,""ডুপ্লিকেট"",""""))"),"")</f>
        <v/>
      </c>
      <c r="Q6017" s="5" t="str">
        <f t="shared" si="1"/>
        <v>২ পরে</v>
      </c>
    </row>
    <row r="6018">
      <c r="A6018" s="4">
        <v>3903.0</v>
      </c>
      <c r="B6018" s="2" t="s">
        <v>24616</v>
      </c>
      <c r="C6018" s="2" t="s">
        <v>24617</v>
      </c>
      <c r="D6018" s="2" t="s">
        <v>24618</v>
      </c>
      <c r="E6018" s="2" t="s">
        <v>24619</v>
      </c>
      <c r="F6018" s="2" t="b">
        <v>1</v>
      </c>
      <c r="G6018" s="2" t="b">
        <v>0</v>
      </c>
      <c r="H6018" s="2" t="s">
        <v>819</v>
      </c>
      <c r="I6018" s="2" t="s">
        <v>22</v>
      </c>
      <c r="J6018" s="2" t="s">
        <v>7994</v>
      </c>
      <c r="K6018" s="2" t="s">
        <v>495</v>
      </c>
      <c r="L6018" s="13" t="s">
        <v>496</v>
      </c>
      <c r="M6018" s="2" t="s">
        <v>26</v>
      </c>
      <c r="N6018" s="29"/>
      <c r="O6018" s="29"/>
      <c r="P6018" s="5" t="str">
        <f>IFERROR(__xludf.DUMMYFUNCTION("TEXTJOIN("" | "",TRUE,IF(OR(D6018="""",E6018="""",I6018="""",J6018="""",H6018=""""),""ফাঁকা ঘর"",""""),IF(AND(C6018&lt;&gt;"""",D6018&lt;&gt;"""",C6018=D6018),""gloss=figurative"",""""),IF(LEN(D6018)&lt;15,""figurative ছোট"",""""),IF(AND(I6018=""Positive"",REGEXMATCH(H6"&amp;"018,""মূর্খ|ভণ্ড|প্রতার|অলস|লোভ|স্বার্থ|অক্ষম|অযোগ্য|বোকা|কৃপণ|হিংস"")),""valence-target অমিল"",""""),IF(COUNTIF($B:$B,B6018)&gt;1,""ডুপ্লিকেট"",""""))"),"")</f>
        <v/>
      </c>
      <c r="Q6018" s="5" t="str">
        <f t="shared" si="1"/>
        <v>২ পরে</v>
      </c>
    </row>
    <row r="6019">
      <c r="A6019" s="4">
        <v>3904.0</v>
      </c>
      <c r="B6019" s="2" t="s">
        <v>24620</v>
      </c>
      <c r="C6019" s="2" t="s">
        <v>24621</v>
      </c>
      <c r="D6019" s="2" t="s">
        <v>24622</v>
      </c>
      <c r="E6019" s="2" t="s">
        <v>24623</v>
      </c>
      <c r="F6019" s="2" t="b">
        <v>1</v>
      </c>
      <c r="G6019" s="2" t="b">
        <v>0</v>
      </c>
      <c r="H6019" s="2" t="s">
        <v>819</v>
      </c>
      <c r="I6019" s="2" t="s">
        <v>22</v>
      </c>
      <c r="J6019" s="2" t="s">
        <v>7994</v>
      </c>
      <c r="K6019" s="2" t="s">
        <v>495</v>
      </c>
      <c r="L6019" s="13" t="s">
        <v>496</v>
      </c>
      <c r="M6019" s="2" t="s">
        <v>26</v>
      </c>
      <c r="N6019" s="29"/>
      <c r="O6019" s="29"/>
      <c r="P6019" s="5" t="str">
        <f>IFERROR(__xludf.DUMMYFUNCTION("TEXTJOIN("" | "",TRUE,IF(OR(D6019="""",E6019="""",I6019="""",J6019="""",H6019=""""),""ফাঁকা ঘর"",""""),IF(AND(C6019&lt;&gt;"""",D6019&lt;&gt;"""",C6019=D6019),""gloss=figurative"",""""),IF(LEN(D6019)&lt;15,""figurative ছোট"",""""),IF(AND(I6019=""Positive"",REGEXMATCH(H6"&amp;"019,""মূর্খ|ভণ্ড|প্রতার|অলস|লোভ|স্বার্থ|অক্ষম|অযোগ্য|বোকা|কৃপণ|হিংস"")),""valence-target অমিল"",""""),IF(COUNTIF($B:$B,B6019)&gt;1,""ডুপ্লিকেট"",""""))"),"")</f>
        <v/>
      </c>
      <c r="Q6019" s="5" t="str">
        <f t="shared" si="1"/>
        <v>২ পরে</v>
      </c>
    </row>
    <row r="6020">
      <c r="A6020" s="4">
        <v>3905.0</v>
      </c>
      <c r="B6020" s="2" t="s">
        <v>301</v>
      </c>
      <c r="C6020" s="2" t="s">
        <v>301</v>
      </c>
      <c r="D6020" s="2" t="s">
        <v>24624</v>
      </c>
      <c r="E6020" s="2" t="s">
        <v>24625</v>
      </c>
      <c r="F6020" s="2" t="b">
        <v>1</v>
      </c>
      <c r="G6020" s="2" t="b">
        <v>0</v>
      </c>
      <c r="H6020" s="2" t="s">
        <v>37</v>
      </c>
      <c r="I6020" s="2" t="s">
        <v>22</v>
      </c>
      <c r="J6020" s="2" t="s">
        <v>2732</v>
      </c>
      <c r="K6020" s="2" t="s">
        <v>495</v>
      </c>
      <c r="L6020" s="13" t="s">
        <v>496</v>
      </c>
      <c r="M6020" s="2" t="s">
        <v>26</v>
      </c>
      <c r="N6020" s="29"/>
      <c r="O6020" s="29"/>
      <c r="P6020" s="5" t="str">
        <f>IFERROR(__xludf.DUMMYFUNCTION("TEXTJOIN("" | "",TRUE,IF(OR(D6020="""",E6020="""",I6020="""",J6020="""",H6020=""""),""ফাঁকা ঘর"",""""),IF(AND(C6020&lt;&gt;"""",D6020&lt;&gt;"""",C6020=D6020),""gloss=figurative"",""""),IF(LEN(D6020)&lt;15,""figurative ছোট"",""""),IF(AND(I6020=""Positive"",REGEXMATCH(H6"&amp;"020,""মূর্খ|ভণ্ড|প্রতার|অলস|লোভ|স্বার্থ|অক্ষম|অযোগ্য|বোকা|কৃপণ|হিংস"")),""valence-target অমিল"",""""),IF(COUNTIF($B:$B,B6020)&gt;1,""ডুপ্লিকেট"",""""))"),"")</f>
        <v/>
      </c>
      <c r="Q6020" s="5" t="str">
        <f t="shared" si="1"/>
        <v>২ পরে</v>
      </c>
    </row>
    <row r="6021">
      <c r="A6021" s="4">
        <v>3906.0</v>
      </c>
      <c r="B6021" s="2" t="s">
        <v>24626</v>
      </c>
      <c r="C6021" s="2" t="s">
        <v>24627</v>
      </c>
      <c r="D6021" s="2" t="s">
        <v>24628</v>
      </c>
      <c r="E6021" s="2" t="s">
        <v>24629</v>
      </c>
      <c r="F6021" s="2" t="b">
        <v>1</v>
      </c>
      <c r="G6021" s="2" t="b">
        <v>0</v>
      </c>
      <c r="H6021" s="2" t="s">
        <v>24630</v>
      </c>
      <c r="I6021" s="2" t="s">
        <v>22</v>
      </c>
      <c r="J6021" s="2" t="s">
        <v>1630</v>
      </c>
      <c r="K6021" s="2" t="s">
        <v>495</v>
      </c>
      <c r="L6021" s="13" t="s">
        <v>496</v>
      </c>
      <c r="M6021" s="2" t="s">
        <v>26</v>
      </c>
      <c r="N6021" s="29"/>
      <c r="O6021" s="29"/>
      <c r="P6021" s="5" t="str">
        <f>IFERROR(__xludf.DUMMYFUNCTION("TEXTJOIN("" | "",TRUE,IF(OR(D6021="""",E6021="""",I6021="""",J6021="""",H6021=""""),""ফাঁকা ঘর"",""""),IF(AND(C6021&lt;&gt;"""",D6021&lt;&gt;"""",C6021=D6021),""gloss=figurative"",""""),IF(LEN(D6021)&lt;15,""figurative ছোট"",""""),IF(AND(I6021=""Positive"",REGEXMATCH(H6"&amp;"021,""মূর্খ|ভণ্ড|প্রতার|অলস|লোভ|স্বার্থ|অক্ষম|অযোগ্য|বোকা|কৃপণ|হিংস"")),""valence-target অমিল"",""""),IF(COUNTIF($B:$B,B6021)&gt;1,""ডুপ্লিকেট"",""""))"),"")</f>
        <v/>
      </c>
      <c r="Q6021" s="5" t="str">
        <f t="shared" si="1"/>
        <v>২ পরে</v>
      </c>
    </row>
    <row r="6022">
      <c r="A6022" s="4">
        <v>3907.0</v>
      </c>
      <c r="B6022" s="2" t="s">
        <v>24631</v>
      </c>
      <c r="C6022" s="2" t="s">
        <v>24632</v>
      </c>
      <c r="D6022" s="2" t="s">
        <v>24633</v>
      </c>
      <c r="E6022" s="2" t="s">
        <v>24634</v>
      </c>
      <c r="F6022" s="2" t="b">
        <v>1</v>
      </c>
      <c r="G6022" s="2" t="b">
        <v>0</v>
      </c>
      <c r="H6022" s="2" t="s">
        <v>24598</v>
      </c>
      <c r="I6022" s="2" t="s">
        <v>22</v>
      </c>
      <c r="J6022" s="2" t="s">
        <v>43</v>
      </c>
      <c r="K6022" s="2" t="s">
        <v>495</v>
      </c>
      <c r="L6022" s="13" t="s">
        <v>496</v>
      </c>
      <c r="M6022" s="2" t="s">
        <v>26</v>
      </c>
      <c r="N6022" s="29"/>
      <c r="O6022" s="29"/>
      <c r="P6022" s="5" t="str">
        <f>IFERROR(__xludf.DUMMYFUNCTION("TEXTJOIN("" | "",TRUE,IF(OR(D6022="""",E6022="""",I6022="""",J6022="""",H6022=""""),""ফাঁকা ঘর"",""""),IF(AND(C6022&lt;&gt;"""",D6022&lt;&gt;"""",C6022=D6022),""gloss=figurative"",""""),IF(LEN(D6022)&lt;15,""figurative ছোট"",""""),IF(AND(I6022=""Positive"",REGEXMATCH(H6"&amp;"022,""মূর্খ|ভণ্ড|প্রতার|অলস|লোভ|স্বার্থ|অক্ষম|অযোগ্য|বোকা|কৃপণ|হিংস"")),""valence-target অমিল"",""""),IF(COUNTIF($B:$B,B6022)&gt;1,""ডুপ্লিকেট"",""""))"),"")</f>
        <v/>
      </c>
      <c r="Q6022" s="5" t="str">
        <f t="shared" si="1"/>
        <v>২ পরে</v>
      </c>
    </row>
    <row r="6023">
      <c r="A6023" s="4">
        <v>3908.0</v>
      </c>
      <c r="B6023" s="2" t="s">
        <v>24635</v>
      </c>
      <c r="C6023" s="2" t="s">
        <v>24636</v>
      </c>
      <c r="D6023" s="2" t="s">
        <v>24637</v>
      </c>
      <c r="E6023" s="2" t="s">
        <v>24638</v>
      </c>
      <c r="F6023" s="2" t="b">
        <v>1</v>
      </c>
      <c r="G6023" s="2" t="b">
        <v>0</v>
      </c>
      <c r="H6023" s="2" t="s">
        <v>819</v>
      </c>
      <c r="I6023" s="2" t="s">
        <v>22</v>
      </c>
      <c r="J6023" s="2" t="s">
        <v>1117</v>
      </c>
      <c r="K6023" s="2" t="s">
        <v>495</v>
      </c>
      <c r="L6023" s="13" t="s">
        <v>496</v>
      </c>
      <c r="M6023" s="2" t="s">
        <v>26</v>
      </c>
      <c r="N6023" s="29"/>
      <c r="O6023" s="29"/>
      <c r="P6023" s="5" t="str">
        <f>IFERROR(__xludf.DUMMYFUNCTION("TEXTJOIN("" | "",TRUE,IF(OR(D6023="""",E6023="""",I6023="""",J6023="""",H6023=""""),""ফাঁকা ঘর"",""""),IF(AND(C6023&lt;&gt;"""",D6023&lt;&gt;"""",C6023=D6023),""gloss=figurative"",""""),IF(LEN(D6023)&lt;15,""figurative ছোট"",""""),IF(AND(I6023=""Positive"",REGEXMATCH(H6"&amp;"023,""মূর্খ|ভণ্ড|প্রতার|অলস|লোভ|স্বার্থ|অক্ষম|অযোগ্য|বোকা|কৃপণ|হিংস"")),""valence-target অমিল"",""""),IF(COUNTIF($B:$B,B6023)&gt;1,""ডুপ্লিকেট"",""""))"),"")</f>
        <v/>
      </c>
      <c r="Q6023" s="5" t="str">
        <f t="shared" si="1"/>
        <v>২ পরে</v>
      </c>
    </row>
    <row r="6024">
      <c r="A6024" s="4">
        <v>3909.0</v>
      </c>
      <c r="B6024" s="2" t="s">
        <v>24639</v>
      </c>
      <c r="C6024" s="2" t="s">
        <v>24640</v>
      </c>
      <c r="D6024" s="2" t="s">
        <v>24641</v>
      </c>
      <c r="E6024" s="2" t="s">
        <v>24642</v>
      </c>
      <c r="F6024" s="2" t="b">
        <v>1</v>
      </c>
      <c r="G6024" s="2" t="b">
        <v>0</v>
      </c>
      <c r="H6024" s="2" t="s">
        <v>819</v>
      </c>
      <c r="I6024" s="2" t="s">
        <v>22</v>
      </c>
      <c r="J6024" s="2" t="s">
        <v>1117</v>
      </c>
      <c r="K6024" s="2" t="s">
        <v>495</v>
      </c>
      <c r="L6024" s="13" t="s">
        <v>496</v>
      </c>
      <c r="M6024" s="2" t="s">
        <v>26</v>
      </c>
      <c r="N6024" s="29"/>
      <c r="O6024" s="29"/>
      <c r="P6024" s="5" t="str">
        <f>IFERROR(__xludf.DUMMYFUNCTION("TEXTJOIN("" | "",TRUE,IF(OR(D6024="""",E6024="""",I6024="""",J6024="""",H6024=""""),""ফাঁকা ঘর"",""""),IF(AND(C6024&lt;&gt;"""",D6024&lt;&gt;"""",C6024=D6024),""gloss=figurative"",""""),IF(LEN(D6024)&lt;15,""figurative ছোট"",""""),IF(AND(I6024=""Positive"",REGEXMATCH(H6"&amp;"024,""মূর্খ|ভণ্ড|প্রতার|অলস|লোভ|স্বার্থ|অক্ষম|অযোগ্য|বোকা|কৃপণ|হিংস"")),""valence-target অমিল"",""""),IF(COUNTIF($B:$B,B6024)&gt;1,""ডুপ্লিকেট"",""""))"),"")</f>
        <v/>
      </c>
      <c r="Q6024" s="5" t="str">
        <f t="shared" si="1"/>
        <v>২ পরে</v>
      </c>
    </row>
    <row r="6025">
      <c r="A6025" s="4">
        <v>3910.0</v>
      </c>
      <c r="B6025" s="2" t="s">
        <v>24643</v>
      </c>
      <c r="C6025" s="2" t="s">
        <v>24644</v>
      </c>
      <c r="D6025" s="2" t="s">
        <v>24645</v>
      </c>
      <c r="E6025" s="2" t="s">
        <v>24646</v>
      </c>
      <c r="F6025" s="2" t="b">
        <v>1</v>
      </c>
      <c r="G6025" s="2" t="b">
        <v>0</v>
      </c>
      <c r="H6025" s="2" t="s">
        <v>37</v>
      </c>
      <c r="I6025" s="2" t="s">
        <v>22</v>
      </c>
      <c r="J6025" s="2" t="s">
        <v>225</v>
      </c>
      <c r="K6025" s="2" t="s">
        <v>495</v>
      </c>
      <c r="L6025" s="13" t="s">
        <v>496</v>
      </c>
      <c r="M6025" s="2" t="s">
        <v>26</v>
      </c>
      <c r="N6025" s="29"/>
      <c r="O6025" s="29"/>
      <c r="P6025" s="5" t="str">
        <f>IFERROR(__xludf.DUMMYFUNCTION("TEXTJOIN("" | "",TRUE,IF(OR(D6025="""",E6025="""",I6025="""",J6025="""",H6025=""""),""ফাঁকা ঘর"",""""),IF(AND(C6025&lt;&gt;"""",D6025&lt;&gt;"""",C6025=D6025),""gloss=figurative"",""""),IF(LEN(D6025)&lt;15,""figurative ছোট"",""""),IF(AND(I6025=""Positive"",REGEXMATCH(H6"&amp;"025,""মূর্খ|ভণ্ড|প্রতার|অলস|লোভ|স্বার্থ|অক্ষম|অযোগ্য|বোকা|কৃপণ|হিংস"")),""valence-target অমিল"",""""),IF(COUNTIF($B:$B,B6025)&gt;1,""ডুপ্লিকেট"",""""))"),"")</f>
        <v/>
      </c>
      <c r="Q6025" s="5" t="str">
        <f t="shared" si="1"/>
        <v>২ পরে</v>
      </c>
    </row>
    <row r="6026">
      <c r="A6026" s="4">
        <v>3911.0</v>
      </c>
      <c r="B6026" s="2" t="s">
        <v>24647</v>
      </c>
      <c r="C6026" s="2" t="s">
        <v>24648</v>
      </c>
      <c r="D6026" s="2" t="s">
        <v>24649</v>
      </c>
      <c r="E6026" s="2" t="s">
        <v>24650</v>
      </c>
      <c r="F6026" s="2" t="b">
        <v>1</v>
      </c>
      <c r="G6026" s="2" t="b">
        <v>0</v>
      </c>
      <c r="H6026" s="2" t="s">
        <v>24651</v>
      </c>
      <c r="I6026" s="2" t="s">
        <v>22</v>
      </c>
      <c r="J6026" s="2" t="s">
        <v>2857</v>
      </c>
      <c r="K6026" s="2" t="s">
        <v>495</v>
      </c>
      <c r="L6026" s="13" t="s">
        <v>496</v>
      </c>
      <c r="M6026" s="2" t="s">
        <v>26</v>
      </c>
      <c r="N6026" s="29"/>
      <c r="O6026" s="29"/>
      <c r="P6026" s="5" t="str">
        <f>IFERROR(__xludf.DUMMYFUNCTION("TEXTJOIN("" | "",TRUE,IF(OR(D6026="""",E6026="""",I6026="""",J6026="""",H6026=""""),""ফাঁকা ঘর"",""""),IF(AND(C6026&lt;&gt;"""",D6026&lt;&gt;"""",C6026=D6026),""gloss=figurative"",""""),IF(LEN(D6026)&lt;15,""figurative ছোট"",""""),IF(AND(I6026=""Positive"",REGEXMATCH(H6"&amp;"026,""মূর্খ|ভণ্ড|প্রতার|অলস|লোভ|স্বার্থ|অক্ষম|অযোগ্য|বোকা|কৃপণ|হিংস"")),""valence-target অমিল"",""""),IF(COUNTIF($B:$B,B6026)&gt;1,""ডুপ্লিকেট"",""""))"),"")</f>
        <v/>
      </c>
      <c r="Q6026" s="5" t="str">
        <f t="shared" si="1"/>
        <v>২ পরে</v>
      </c>
    </row>
    <row r="6027">
      <c r="A6027" s="4">
        <v>3912.0</v>
      </c>
      <c r="B6027" s="2" t="s">
        <v>24652</v>
      </c>
      <c r="C6027" s="2" t="s">
        <v>24653</v>
      </c>
      <c r="D6027" s="2" t="s">
        <v>24654</v>
      </c>
      <c r="E6027" s="2" t="s">
        <v>24655</v>
      </c>
      <c r="F6027" s="2" t="b">
        <v>1</v>
      </c>
      <c r="G6027" s="2" t="b">
        <v>0</v>
      </c>
      <c r="H6027" s="2" t="s">
        <v>24656</v>
      </c>
      <c r="I6027" s="2" t="s">
        <v>22</v>
      </c>
      <c r="J6027" s="2" t="s">
        <v>14812</v>
      </c>
      <c r="K6027" s="2" t="s">
        <v>495</v>
      </c>
      <c r="L6027" s="13" t="s">
        <v>496</v>
      </c>
      <c r="M6027" s="2" t="s">
        <v>26</v>
      </c>
      <c r="N6027" s="29"/>
      <c r="O6027" s="29"/>
      <c r="P6027" s="5" t="str">
        <f>IFERROR(__xludf.DUMMYFUNCTION("TEXTJOIN("" | "",TRUE,IF(OR(D6027="""",E6027="""",I6027="""",J6027="""",H6027=""""),""ফাঁকা ঘর"",""""),IF(AND(C6027&lt;&gt;"""",D6027&lt;&gt;"""",C6027=D6027),""gloss=figurative"",""""),IF(LEN(D6027)&lt;15,""figurative ছোট"",""""),IF(AND(I6027=""Positive"",REGEXMATCH(H6"&amp;"027,""মূর্খ|ভণ্ড|প্রতার|অলস|লোভ|স্বার্থ|অক্ষম|অযোগ্য|বোকা|কৃপণ|হিংস"")),""valence-target অমিল"",""""),IF(COUNTIF($B:$B,B6027)&gt;1,""ডুপ্লিকেট"",""""))"),"")</f>
        <v/>
      </c>
      <c r="Q6027" s="5" t="str">
        <f t="shared" si="1"/>
        <v>২ পরে</v>
      </c>
    </row>
    <row r="6028">
      <c r="A6028" s="4">
        <v>3913.0</v>
      </c>
      <c r="B6028" s="2" t="s">
        <v>24657</v>
      </c>
      <c r="C6028" s="2" t="s">
        <v>24658</v>
      </c>
      <c r="D6028" s="2" t="s">
        <v>24659</v>
      </c>
      <c r="E6028" s="2" t="s">
        <v>24660</v>
      </c>
      <c r="F6028" s="2" t="b">
        <v>1</v>
      </c>
      <c r="G6028" s="2" t="b">
        <v>0</v>
      </c>
      <c r="H6028" s="2" t="s">
        <v>37</v>
      </c>
      <c r="I6028" s="2" t="s">
        <v>22</v>
      </c>
      <c r="J6028" s="2" t="s">
        <v>20727</v>
      </c>
      <c r="K6028" s="2" t="s">
        <v>495</v>
      </c>
      <c r="L6028" s="13" t="s">
        <v>496</v>
      </c>
      <c r="M6028" s="2" t="s">
        <v>26</v>
      </c>
      <c r="N6028" s="29"/>
      <c r="O6028" s="29"/>
      <c r="P6028" s="5" t="str">
        <f>IFERROR(__xludf.DUMMYFUNCTION("TEXTJOIN("" | "",TRUE,IF(OR(D6028="""",E6028="""",I6028="""",J6028="""",H6028=""""),""ফাঁকা ঘর"",""""),IF(AND(C6028&lt;&gt;"""",D6028&lt;&gt;"""",C6028=D6028),""gloss=figurative"",""""),IF(LEN(D6028)&lt;15,""figurative ছোট"",""""),IF(AND(I6028=""Positive"",REGEXMATCH(H6"&amp;"028,""মূর্খ|ভণ্ড|প্রতার|অলস|লোভ|স্বার্থ|অক্ষম|অযোগ্য|বোকা|কৃপণ|হিংস"")),""valence-target অমিল"",""""),IF(COUNTIF($B:$B,B6028)&gt;1,""ডুপ্লিকেট"",""""))"),"")</f>
        <v/>
      </c>
      <c r="Q6028" s="5" t="str">
        <f t="shared" si="1"/>
        <v>২ পরে</v>
      </c>
    </row>
    <row r="6029">
      <c r="A6029" s="4">
        <v>3914.0</v>
      </c>
      <c r="B6029" s="2" t="s">
        <v>24661</v>
      </c>
      <c r="C6029" s="2" t="s">
        <v>24662</v>
      </c>
      <c r="D6029" s="2" t="s">
        <v>24663</v>
      </c>
      <c r="E6029" s="2" t="s">
        <v>24664</v>
      </c>
      <c r="F6029" s="2" t="b">
        <v>1</v>
      </c>
      <c r="G6029" s="2" t="b">
        <v>0</v>
      </c>
      <c r="H6029" s="2" t="s">
        <v>24665</v>
      </c>
      <c r="I6029" s="2" t="s">
        <v>22</v>
      </c>
      <c r="J6029" s="2" t="s">
        <v>669</v>
      </c>
      <c r="K6029" s="2" t="s">
        <v>495</v>
      </c>
      <c r="L6029" s="13" t="s">
        <v>496</v>
      </c>
      <c r="M6029" s="2" t="s">
        <v>26</v>
      </c>
      <c r="N6029" s="29"/>
      <c r="O6029" s="29"/>
      <c r="P6029" s="5" t="str">
        <f>IFERROR(__xludf.DUMMYFUNCTION("TEXTJOIN("" | "",TRUE,IF(OR(D6029="""",E6029="""",I6029="""",J6029="""",H6029=""""),""ফাঁকা ঘর"",""""),IF(AND(C6029&lt;&gt;"""",D6029&lt;&gt;"""",C6029=D6029),""gloss=figurative"",""""),IF(LEN(D6029)&lt;15,""figurative ছোট"",""""),IF(AND(I6029=""Positive"",REGEXMATCH(H6"&amp;"029,""মূর্খ|ভণ্ড|প্রতার|অলস|লোভ|স্বার্থ|অক্ষম|অযোগ্য|বোকা|কৃপণ|হিংস"")),""valence-target অমিল"",""""),IF(COUNTIF($B:$B,B6029)&gt;1,""ডুপ্লিকেট"",""""))"),"")</f>
        <v/>
      </c>
      <c r="Q6029" s="5" t="str">
        <f t="shared" si="1"/>
        <v>২ পরে</v>
      </c>
    </row>
    <row r="6030">
      <c r="A6030" s="4">
        <v>3915.0</v>
      </c>
      <c r="B6030" s="2" t="s">
        <v>24666</v>
      </c>
      <c r="C6030" s="2" t="s">
        <v>24667</v>
      </c>
      <c r="D6030" s="2" t="s">
        <v>24668</v>
      </c>
      <c r="E6030" s="2" t="s">
        <v>24669</v>
      </c>
      <c r="F6030" s="2" t="b">
        <v>1</v>
      </c>
      <c r="G6030" s="2" t="b">
        <v>0</v>
      </c>
      <c r="H6030" s="2" t="s">
        <v>37</v>
      </c>
      <c r="I6030" s="2" t="s">
        <v>32</v>
      </c>
      <c r="J6030" s="2" t="s">
        <v>24670</v>
      </c>
      <c r="K6030" s="2" t="s">
        <v>495</v>
      </c>
      <c r="L6030" s="13" t="s">
        <v>496</v>
      </c>
      <c r="M6030" s="2" t="s">
        <v>26</v>
      </c>
      <c r="N6030" s="29"/>
      <c r="O6030" s="29"/>
      <c r="P6030" s="5" t="str">
        <f>IFERROR(__xludf.DUMMYFUNCTION("TEXTJOIN("" | "",TRUE,IF(OR(D6030="""",E6030="""",I6030="""",J6030="""",H6030=""""),""ফাঁকা ঘর"",""""),IF(AND(C6030&lt;&gt;"""",D6030&lt;&gt;"""",C6030=D6030),""gloss=figurative"",""""),IF(LEN(D6030)&lt;15,""figurative ছোট"",""""),IF(AND(I6030=""Positive"",REGEXMATCH(H6"&amp;"030,""মূর্খ|ভণ্ড|প্রতার|অলস|লোভ|স্বার্থ|অক্ষম|অযোগ্য|বোকা|কৃপণ|হিংস"")),""valence-target অমিল"",""""),IF(COUNTIF($B:$B,B6030)&gt;1,""ডুপ্লিকেট"",""""))"),"")</f>
        <v/>
      </c>
      <c r="Q6030" s="5" t="str">
        <f t="shared" si="1"/>
        <v>২ পরে</v>
      </c>
    </row>
    <row r="6031">
      <c r="A6031" s="4">
        <v>3916.0</v>
      </c>
      <c r="B6031" s="2" t="s">
        <v>24671</v>
      </c>
      <c r="C6031" s="2" t="s">
        <v>24672</v>
      </c>
      <c r="D6031" s="2" t="s">
        <v>24673</v>
      </c>
      <c r="E6031" s="2" t="s">
        <v>24674</v>
      </c>
      <c r="F6031" s="2" t="b">
        <v>1</v>
      </c>
      <c r="G6031" s="2" t="b">
        <v>0</v>
      </c>
      <c r="H6031" s="2" t="s">
        <v>37</v>
      </c>
      <c r="I6031" s="2" t="s">
        <v>22</v>
      </c>
      <c r="J6031" s="2" t="s">
        <v>964</v>
      </c>
      <c r="K6031" s="2" t="s">
        <v>495</v>
      </c>
      <c r="L6031" s="13" t="s">
        <v>496</v>
      </c>
      <c r="M6031" s="2" t="s">
        <v>26</v>
      </c>
      <c r="N6031" s="29"/>
      <c r="O6031" s="29"/>
      <c r="P6031" s="5" t="str">
        <f>IFERROR(__xludf.DUMMYFUNCTION("TEXTJOIN("" | "",TRUE,IF(OR(D6031="""",E6031="""",I6031="""",J6031="""",H6031=""""),""ফাঁকা ঘর"",""""),IF(AND(C6031&lt;&gt;"""",D6031&lt;&gt;"""",C6031=D6031),""gloss=figurative"",""""),IF(LEN(D6031)&lt;15,""figurative ছোট"",""""),IF(AND(I6031=""Positive"",REGEXMATCH(H6"&amp;"031,""মূর্খ|ভণ্ড|প্রতার|অলস|লোভ|স্বার্থ|অক্ষম|অযোগ্য|বোকা|কৃপণ|হিংস"")),""valence-target অমিল"",""""),IF(COUNTIF($B:$B,B6031)&gt;1,""ডুপ্লিকেট"",""""))"),"")</f>
        <v/>
      </c>
      <c r="Q6031" s="5" t="str">
        <f t="shared" si="1"/>
        <v>২ পরে</v>
      </c>
    </row>
    <row r="6032">
      <c r="A6032" s="4">
        <v>3917.0</v>
      </c>
      <c r="B6032" s="2" t="s">
        <v>24675</v>
      </c>
      <c r="C6032" s="2" t="s">
        <v>24676</v>
      </c>
      <c r="D6032" s="2" t="s">
        <v>24677</v>
      </c>
      <c r="E6032" s="2" t="s">
        <v>24678</v>
      </c>
      <c r="F6032" s="2" t="b">
        <v>1</v>
      </c>
      <c r="G6032" s="2" t="b">
        <v>0</v>
      </c>
      <c r="H6032" s="2" t="s">
        <v>819</v>
      </c>
      <c r="I6032" s="2" t="s">
        <v>22</v>
      </c>
      <c r="J6032" s="2" t="s">
        <v>1239</v>
      </c>
      <c r="K6032" s="2" t="s">
        <v>495</v>
      </c>
      <c r="L6032" s="13" t="s">
        <v>496</v>
      </c>
      <c r="M6032" s="2" t="s">
        <v>26</v>
      </c>
      <c r="N6032" s="29"/>
      <c r="O6032" s="29"/>
      <c r="P6032" s="5" t="str">
        <f>IFERROR(__xludf.DUMMYFUNCTION("TEXTJOIN("" | "",TRUE,IF(OR(D6032="""",E6032="""",I6032="""",J6032="""",H6032=""""),""ফাঁকা ঘর"",""""),IF(AND(C6032&lt;&gt;"""",D6032&lt;&gt;"""",C6032=D6032),""gloss=figurative"",""""),IF(LEN(D6032)&lt;15,""figurative ছোট"",""""),IF(AND(I6032=""Positive"",REGEXMATCH(H6"&amp;"032,""মূর্খ|ভণ্ড|প্রতার|অলস|লোভ|স্বার্থ|অক্ষম|অযোগ্য|বোকা|কৃপণ|হিংস"")),""valence-target অমিল"",""""),IF(COUNTIF($B:$B,B6032)&gt;1,""ডুপ্লিকেট"",""""))"),"")</f>
        <v/>
      </c>
      <c r="Q6032" s="5" t="str">
        <f t="shared" si="1"/>
        <v>২ পরে</v>
      </c>
    </row>
    <row r="6033">
      <c r="A6033" s="4">
        <v>3918.0</v>
      </c>
      <c r="B6033" s="2" t="s">
        <v>10900</v>
      </c>
      <c r="C6033" s="2" t="s">
        <v>24679</v>
      </c>
      <c r="D6033" s="2" t="s">
        <v>24680</v>
      </c>
      <c r="E6033" s="2" t="s">
        <v>24681</v>
      </c>
      <c r="F6033" s="2" t="b">
        <v>1</v>
      </c>
      <c r="G6033" s="2" t="b">
        <v>0</v>
      </c>
      <c r="H6033" s="2" t="s">
        <v>819</v>
      </c>
      <c r="I6033" s="2" t="s">
        <v>22</v>
      </c>
      <c r="J6033" s="2" t="s">
        <v>5829</v>
      </c>
      <c r="K6033" s="2" t="s">
        <v>495</v>
      </c>
      <c r="L6033" s="13" t="s">
        <v>496</v>
      </c>
      <c r="M6033" s="2" t="s">
        <v>26</v>
      </c>
      <c r="N6033" s="29"/>
      <c r="O6033" s="29"/>
      <c r="P6033" s="5" t="str">
        <f>IFERROR(__xludf.DUMMYFUNCTION("TEXTJOIN("" | "",TRUE,IF(OR(D6033="""",E6033="""",I6033="""",J6033="""",H6033=""""),""ফাঁকা ঘর"",""""),IF(AND(C6033&lt;&gt;"""",D6033&lt;&gt;"""",C6033=D6033),""gloss=figurative"",""""),IF(LEN(D6033)&lt;15,""figurative ছোট"",""""),IF(AND(I6033=""Positive"",REGEXMATCH(H6"&amp;"033,""মূর্খ|ভণ্ড|প্রতার|অলস|লোভ|স্বার্থ|অক্ষম|অযোগ্য|বোকা|কৃপণ|হিংস"")),""valence-target অমিল"",""""),IF(COUNTIF($B:$B,B6033)&gt;1,""ডুপ্লিকেট"",""""))"),"")</f>
        <v/>
      </c>
      <c r="Q6033" s="5" t="str">
        <f t="shared" si="1"/>
        <v>২ পরে</v>
      </c>
    </row>
    <row r="6034">
      <c r="A6034" s="4">
        <v>3919.0</v>
      </c>
      <c r="B6034" s="2" t="s">
        <v>10768</v>
      </c>
      <c r="C6034" s="2" t="s">
        <v>10768</v>
      </c>
      <c r="D6034" s="2" t="s">
        <v>24682</v>
      </c>
      <c r="E6034" s="2" t="s">
        <v>24683</v>
      </c>
      <c r="F6034" s="2" t="b">
        <v>1</v>
      </c>
      <c r="G6034" s="2" t="b">
        <v>0</v>
      </c>
      <c r="H6034" s="2" t="s">
        <v>756</v>
      </c>
      <c r="I6034" s="2" t="s">
        <v>22</v>
      </c>
      <c r="J6034" s="2" t="s">
        <v>1630</v>
      </c>
      <c r="K6034" s="2" t="s">
        <v>495</v>
      </c>
      <c r="L6034" s="13" t="s">
        <v>496</v>
      </c>
      <c r="M6034" s="2" t="s">
        <v>26</v>
      </c>
      <c r="N6034" s="29"/>
      <c r="O6034" s="29"/>
      <c r="P6034" s="5" t="str">
        <f>IFERROR(__xludf.DUMMYFUNCTION("TEXTJOIN("" | "",TRUE,IF(OR(D6034="""",E6034="""",I6034="""",J6034="""",H6034=""""),""ফাঁকা ঘর"",""""),IF(AND(C6034&lt;&gt;"""",D6034&lt;&gt;"""",C6034=D6034),""gloss=figurative"",""""),IF(LEN(D6034)&lt;15,""figurative ছোট"",""""),IF(AND(I6034=""Positive"",REGEXMATCH(H6"&amp;"034,""মূর্খ|ভণ্ড|প্রতার|অলস|লোভ|স্বার্থ|অক্ষম|অযোগ্য|বোকা|কৃপণ|হিংস"")),""valence-target অমিল"",""""),IF(COUNTIF($B:$B,B6034)&gt;1,""ডুপ্লিকেট"",""""))"),"")</f>
        <v/>
      </c>
      <c r="Q6034" s="5" t="str">
        <f t="shared" si="1"/>
        <v>২ পরে</v>
      </c>
    </row>
    <row r="6035">
      <c r="A6035" s="4">
        <v>3920.0</v>
      </c>
      <c r="B6035" s="2" t="s">
        <v>24684</v>
      </c>
      <c r="C6035" s="2" t="s">
        <v>24685</v>
      </c>
      <c r="D6035" s="2" t="s">
        <v>24686</v>
      </c>
      <c r="E6035" s="2" t="s">
        <v>24687</v>
      </c>
      <c r="F6035" s="2" t="b">
        <v>1</v>
      </c>
      <c r="G6035" s="2" t="b">
        <v>0</v>
      </c>
      <c r="H6035" s="2" t="s">
        <v>24688</v>
      </c>
      <c r="I6035" s="2" t="s">
        <v>32</v>
      </c>
      <c r="J6035" s="2" t="s">
        <v>1944</v>
      </c>
      <c r="K6035" s="2" t="s">
        <v>495</v>
      </c>
      <c r="L6035" s="13" t="s">
        <v>496</v>
      </c>
      <c r="M6035" s="2" t="s">
        <v>26</v>
      </c>
      <c r="N6035" s="29"/>
      <c r="O6035" s="29"/>
      <c r="P6035" s="5" t="str">
        <f>IFERROR(__xludf.DUMMYFUNCTION("TEXTJOIN("" | "",TRUE,IF(OR(D6035="""",E6035="""",I6035="""",J6035="""",H6035=""""),""ফাঁকা ঘর"",""""),IF(AND(C6035&lt;&gt;"""",D6035&lt;&gt;"""",C6035=D6035),""gloss=figurative"",""""),IF(LEN(D6035)&lt;15,""figurative ছোট"",""""),IF(AND(I6035=""Positive"",REGEXMATCH(H6"&amp;"035,""মূর্খ|ভণ্ড|প্রতার|অলস|লোভ|স্বার্থ|অক্ষম|অযোগ্য|বোকা|কৃপণ|হিংস"")),""valence-target অমিল"",""""),IF(COUNTIF($B:$B,B6035)&gt;1,""ডুপ্লিকেট"",""""))"),"")</f>
        <v/>
      </c>
      <c r="Q6035" s="5" t="str">
        <f t="shared" si="1"/>
        <v>২ পরে</v>
      </c>
    </row>
    <row r="6036">
      <c r="A6036" s="4">
        <v>3921.0</v>
      </c>
      <c r="B6036" s="2" t="s">
        <v>24689</v>
      </c>
      <c r="C6036" s="2" t="s">
        <v>24690</v>
      </c>
      <c r="D6036" s="2" t="s">
        <v>24691</v>
      </c>
      <c r="E6036" s="2" t="s">
        <v>24692</v>
      </c>
      <c r="F6036" s="2" t="b">
        <v>1</v>
      </c>
      <c r="G6036" s="2" t="b">
        <v>0</v>
      </c>
      <c r="H6036" s="2" t="s">
        <v>819</v>
      </c>
      <c r="I6036" s="2" t="s">
        <v>32</v>
      </c>
      <c r="J6036" s="2" t="s">
        <v>1603</v>
      </c>
      <c r="K6036" s="2" t="s">
        <v>495</v>
      </c>
      <c r="L6036" s="13" t="s">
        <v>496</v>
      </c>
      <c r="M6036" s="2" t="s">
        <v>26</v>
      </c>
      <c r="N6036" s="29"/>
      <c r="O6036" s="29"/>
      <c r="P6036" s="5" t="str">
        <f>IFERROR(__xludf.DUMMYFUNCTION("TEXTJOIN("" | "",TRUE,IF(OR(D6036="""",E6036="""",I6036="""",J6036="""",H6036=""""),""ফাঁকা ঘর"",""""),IF(AND(C6036&lt;&gt;"""",D6036&lt;&gt;"""",C6036=D6036),""gloss=figurative"",""""),IF(LEN(D6036)&lt;15,""figurative ছোট"",""""),IF(AND(I6036=""Positive"",REGEXMATCH(H6"&amp;"036,""মূর্খ|ভণ্ড|প্রতার|অলস|লোভ|স্বার্থ|অক্ষম|অযোগ্য|বোকা|কৃপণ|হিংস"")),""valence-target অমিল"",""""),IF(COUNTIF($B:$B,B6036)&gt;1,""ডুপ্লিকেট"",""""))"),"")</f>
        <v/>
      </c>
      <c r="Q6036" s="5" t="str">
        <f t="shared" si="1"/>
        <v>২ পরে</v>
      </c>
    </row>
    <row r="6037">
      <c r="A6037" s="4">
        <v>3922.0</v>
      </c>
      <c r="B6037" s="2" t="s">
        <v>24693</v>
      </c>
      <c r="C6037" s="2" t="s">
        <v>24694</v>
      </c>
      <c r="D6037" s="2" t="s">
        <v>24695</v>
      </c>
      <c r="E6037" s="2" t="s">
        <v>24696</v>
      </c>
      <c r="F6037" s="2" t="b">
        <v>1</v>
      </c>
      <c r="G6037" s="2" t="b">
        <v>0</v>
      </c>
      <c r="H6037" s="2" t="s">
        <v>24697</v>
      </c>
      <c r="I6037" s="2" t="s">
        <v>22</v>
      </c>
      <c r="J6037" s="2" t="s">
        <v>2857</v>
      </c>
      <c r="K6037" s="2" t="s">
        <v>495</v>
      </c>
      <c r="L6037" s="13" t="s">
        <v>496</v>
      </c>
      <c r="M6037" s="2" t="s">
        <v>26</v>
      </c>
      <c r="N6037" s="29"/>
      <c r="O6037" s="29"/>
      <c r="P6037" s="5" t="str">
        <f>IFERROR(__xludf.DUMMYFUNCTION("TEXTJOIN("" | "",TRUE,IF(OR(D6037="""",E6037="""",I6037="""",J6037="""",H6037=""""),""ফাঁকা ঘর"",""""),IF(AND(C6037&lt;&gt;"""",D6037&lt;&gt;"""",C6037=D6037),""gloss=figurative"",""""),IF(LEN(D6037)&lt;15,""figurative ছোট"",""""),IF(AND(I6037=""Positive"",REGEXMATCH(H6"&amp;"037,""মূর্খ|ভণ্ড|প্রতার|অলস|লোভ|স্বার্থ|অক্ষম|অযোগ্য|বোকা|কৃপণ|হিংস"")),""valence-target অমিল"",""""),IF(COUNTIF($B:$B,B6037)&gt;1,""ডুপ্লিকেট"",""""))"),"")</f>
        <v/>
      </c>
      <c r="Q6037" s="5" t="str">
        <f t="shared" si="1"/>
        <v>২ পরে</v>
      </c>
    </row>
    <row r="6038">
      <c r="A6038" s="4">
        <v>3923.0</v>
      </c>
      <c r="B6038" s="2" t="s">
        <v>24698</v>
      </c>
      <c r="C6038" s="2" t="s">
        <v>24699</v>
      </c>
      <c r="D6038" s="2" t="s">
        <v>24700</v>
      </c>
      <c r="E6038" s="2" t="s">
        <v>24701</v>
      </c>
      <c r="F6038" s="2" t="b">
        <v>1</v>
      </c>
      <c r="G6038" s="2" t="b">
        <v>0</v>
      </c>
      <c r="H6038" s="2" t="s">
        <v>819</v>
      </c>
      <c r="I6038" s="2" t="s">
        <v>22</v>
      </c>
      <c r="J6038" s="2" t="s">
        <v>4284</v>
      </c>
      <c r="K6038" s="2" t="s">
        <v>495</v>
      </c>
      <c r="L6038" s="13" t="s">
        <v>496</v>
      </c>
      <c r="M6038" s="2" t="s">
        <v>26</v>
      </c>
      <c r="N6038" s="29"/>
      <c r="O6038" s="29"/>
      <c r="P6038" s="5" t="str">
        <f>IFERROR(__xludf.DUMMYFUNCTION("TEXTJOIN("" | "",TRUE,IF(OR(D6038="""",E6038="""",I6038="""",J6038="""",H6038=""""),""ফাঁকা ঘর"",""""),IF(AND(C6038&lt;&gt;"""",D6038&lt;&gt;"""",C6038=D6038),""gloss=figurative"",""""),IF(LEN(D6038)&lt;15,""figurative ছোট"",""""),IF(AND(I6038=""Positive"",REGEXMATCH(H6"&amp;"038,""মূর্খ|ভণ্ড|প্রতার|অলস|লোভ|স্বার্থ|অক্ষম|অযোগ্য|বোকা|কৃপণ|হিংস"")),""valence-target অমিল"",""""),IF(COUNTIF($B:$B,B6038)&gt;1,""ডুপ্লিকেট"",""""))"),"")</f>
        <v/>
      </c>
      <c r="Q6038" s="5" t="str">
        <f t="shared" si="1"/>
        <v>২ পরে</v>
      </c>
    </row>
    <row r="6039">
      <c r="A6039" s="4">
        <v>3924.0</v>
      </c>
      <c r="B6039" s="2" t="s">
        <v>24702</v>
      </c>
      <c r="C6039" s="2" t="s">
        <v>24703</v>
      </c>
      <c r="D6039" s="2" t="s">
        <v>24704</v>
      </c>
      <c r="E6039" s="2" t="s">
        <v>24705</v>
      </c>
      <c r="F6039" s="2" t="b">
        <v>1</v>
      </c>
      <c r="G6039" s="2" t="b">
        <v>0</v>
      </c>
      <c r="H6039" s="2" t="s">
        <v>819</v>
      </c>
      <c r="I6039" s="2" t="s">
        <v>32</v>
      </c>
      <c r="J6039" s="2" t="s">
        <v>565</v>
      </c>
      <c r="K6039" s="2" t="s">
        <v>495</v>
      </c>
      <c r="L6039" s="13" t="s">
        <v>496</v>
      </c>
      <c r="M6039" s="2" t="s">
        <v>26</v>
      </c>
      <c r="N6039" s="29"/>
      <c r="O6039" s="29"/>
      <c r="P6039" s="5" t="str">
        <f>IFERROR(__xludf.DUMMYFUNCTION("TEXTJOIN("" | "",TRUE,IF(OR(D6039="""",E6039="""",I6039="""",J6039="""",H6039=""""),""ফাঁকা ঘর"",""""),IF(AND(C6039&lt;&gt;"""",D6039&lt;&gt;"""",C6039=D6039),""gloss=figurative"",""""),IF(LEN(D6039)&lt;15,""figurative ছোট"",""""),IF(AND(I6039=""Positive"",REGEXMATCH(H6"&amp;"039,""মূর্খ|ভণ্ড|প্রতার|অলস|লোভ|স্বার্থ|অক্ষম|অযোগ্য|বোকা|কৃপণ|হিংস"")),""valence-target অমিল"",""""),IF(COUNTIF($B:$B,B6039)&gt;1,""ডুপ্লিকেট"",""""))"),"")</f>
        <v/>
      </c>
      <c r="Q6039" s="5" t="str">
        <f t="shared" si="1"/>
        <v>২ পরে</v>
      </c>
    </row>
    <row r="6040">
      <c r="A6040" s="4">
        <v>3925.0</v>
      </c>
      <c r="B6040" s="2" t="s">
        <v>24706</v>
      </c>
      <c r="C6040" s="2" t="s">
        <v>24707</v>
      </c>
      <c r="D6040" s="2" t="s">
        <v>24708</v>
      </c>
      <c r="E6040" s="2" t="s">
        <v>24709</v>
      </c>
      <c r="F6040" s="2" t="b">
        <v>1</v>
      </c>
      <c r="G6040" s="2" t="b">
        <v>0</v>
      </c>
      <c r="H6040" s="2" t="s">
        <v>819</v>
      </c>
      <c r="I6040" s="2" t="s">
        <v>22</v>
      </c>
      <c r="J6040" s="2" t="s">
        <v>669</v>
      </c>
      <c r="K6040" s="2" t="s">
        <v>495</v>
      </c>
      <c r="L6040" s="13" t="s">
        <v>496</v>
      </c>
      <c r="M6040" s="2" t="s">
        <v>26</v>
      </c>
      <c r="N6040" s="29"/>
      <c r="O6040" s="29"/>
      <c r="P6040" s="5" t="str">
        <f>IFERROR(__xludf.DUMMYFUNCTION("TEXTJOIN("" | "",TRUE,IF(OR(D6040="""",E6040="""",I6040="""",J6040="""",H6040=""""),""ফাঁকা ঘর"",""""),IF(AND(C6040&lt;&gt;"""",D6040&lt;&gt;"""",C6040=D6040),""gloss=figurative"",""""),IF(LEN(D6040)&lt;15,""figurative ছোট"",""""),IF(AND(I6040=""Positive"",REGEXMATCH(H6"&amp;"040,""মূর্খ|ভণ্ড|প্রতার|অলস|লোভ|স্বার্থ|অক্ষম|অযোগ্য|বোকা|কৃপণ|হিংস"")),""valence-target অমিল"",""""),IF(COUNTIF($B:$B,B6040)&gt;1,""ডুপ্লিকেট"",""""))"),"")</f>
        <v/>
      </c>
      <c r="Q6040" s="5" t="str">
        <f t="shared" si="1"/>
        <v>২ পরে</v>
      </c>
    </row>
    <row r="6041">
      <c r="A6041" s="4">
        <v>3926.0</v>
      </c>
      <c r="B6041" s="2" t="s">
        <v>24710</v>
      </c>
      <c r="C6041" s="2" t="s">
        <v>24710</v>
      </c>
      <c r="D6041" s="2" t="s">
        <v>24711</v>
      </c>
      <c r="E6041" s="2" t="s">
        <v>24712</v>
      </c>
      <c r="F6041" s="2" t="b">
        <v>1</v>
      </c>
      <c r="G6041" s="2" t="b">
        <v>1</v>
      </c>
      <c r="H6041" s="2" t="s">
        <v>24713</v>
      </c>
      <c r="I6041" s="2" t="s">
        <v>22</v>
      </c>
      <c r="J6041" s="2" t="s">
        <v>3327</v>
      </c>
      <c r="K6041" s="2" t="s">
        <v>495</v>
      </c>
      <c r="L6041" s="13" t="s">
        <v>496</v>
      </c>
      <c r="M6041" s="2" t="s">
        <v>26</v>
      </c>
      <c r="N6041" s="29"/>
      <c r="O6041" s="29"/>
      <c r="P6041" s="5" t="str">
        <f>IFERROR(__xludf.DUMMYFUNCTION("TEXTJOIN("" | "",TRUE,IF(OR(D6041="""",E6041="""",I6041="""",J6041="""",H6041=""""),""ফাঁকা ঘর"",""""),IF(AND(C6041&lt;&gt;"""",D6041&lt;&gt;"""",C6041=D6041),""gloss=figurative"",""""),IF(LEN(D6041)&lt;15,""figurative ছোট"",""""),IF(AND(I6041=""Positive"",REGEXMATCH(H6"&amp;"041,""মূর্খ|ভণ্ড|প্রতার|অলস|লোভ|স্বার্থ|অক্ষম|অযোগ্য|বোকা|কৃপণ|হিংস"")),""valence-target অমিল"",""""),IF(COUNTIF($B:$B,B6041)&gt;1,""ডুপ্লিকেট"",""""))"),"")</f>
        <v/>
      </c>
      <c r="Q6041" s="5" t="str">
        <f t="shared" si="1"/>
        <v>২ পরে</v>
      </c>
    </row>
    <row r="6042">
      <c r="A6042" s="4">
        <v>3927.0</v>
      </c>
      <c r="B6042" s="2" t="s">
        <v>24714</v>
      </c>
      <c r="C6042" s="2" t="s">
        <v>24715</v>
      </c>
      <c r="D6042" s="2" t="s">
        <v>24716</v>
      </c>
      <c r="E6042" s="2" t="s">
        <v>24717</v>
      </c>
      <c r="F6042" s="2" t="b">
        <v>1</v>
      </c>
      <c r="G6042" s="2" t="b">
        <v>1</v>
      </c>
      <c r="H6042" s="2" t="s">
        <v>24713</v>
      </c>
      <c r="I6042" s="2" t="s">
        <v>22</v>
      </c>
      <c r="J6042" s="2" t="s">
        <v>43</v>
      </c>
      <c r="K6042" s="2" t="s">
        <v>495</v>
      </c>
      <c r="L6042" s="13" t="s">
        <v>496</v>
      </c>
      <c r="M6042" s="2" t="s">
        <v>26</v>
      </c>
      <c r="N6042" s="29"/>
      <c r="O6042" s="29"/>
      <c r="P6042" s="5" t="str">
        <f>IFERROR(__xludf.DUMMYFUNCTION("TEXTJOIN("" | "",TRUE,IF(OR(D6042="""",E6042="""",I6042="""",J6042="""",H6042=""""),""ফাঁকা ঘর"",""""),IF(AND(C6042&lt;&gt;"""",D6042&lt;&gt;"""",C6042=D6042),""gloss=figurative"",""""),IF(LEN(D6042)&lt;15,""figurative ছোট"",""""),IF(AND(I6042=""Positive"",REGEXMATCH(H6"&amp;"042,""মূর্খ|ভণ্ড|প্রতার|অলস|লোভ|স্বার্থ|অক্ষম|অযোগ্য|বোকা|কৃপণ|হিংস"")),""valence-target অমিল"",""""),IF(COUNTIF($B:$B,B6042)&gt;1,""ডুপ্লিকেট"",""""))"),"")</f>
        <v/>
      </c>
      <c r="Q6042" s="5" t="str">
        <f t="shared" si="1"/>
        <v>২ পরে</v>
      </c>
    </row>
    <row r="6043">
      <c r="A6043" s="4">
        <v>3928.0</v>
      </c>
      <c r="B6043" s="2" t="s">
        <v>24718</v>
      </c>
      <c r="C6043" s="2" t="s">
        <v>24719</v>
      </c>
      <c r="D6043" s="2" t="s">
        <v>24720</v>
      </c>
      <c r="E6043" s="2" t="s">
        <v>24721</v>
      </c>
      <c r="F6043" s="2" t="b">
        <v>1</v>
      </c>
      <c r="G6043" s="2" t="b">
        <v>0</v>
      </c>
      <c r="H6043" s="2" t="s">
        <v>24722</v>
      </c>
      <c r="I6043" s="2" t="s">
        <v>22</v>
      </c>
      <c r="J6043" s="2" t="s">
        <v>176</v>
      </c>
      <c r="K6043" s="2" t="s">
        <v>495</v>
      </c>
      <c r="L6043" s="13" t="s">
        <v>496</v>
      </c>
      <c r="M6043" s="2" t="s">
        <v>26</v>
      </c>
      <c r="N6043" s="29"/>
      <c r="O6043" s="29"/>
      <c r="P6043" s="5" t="str">
        <f>IFERROR(__xludf.DUMMYFUNCTION("TEXTJOIN("" | "",TRUE,IF(OR(D6043="""",E6043="""",I6043="""",J6043="""",H6043=""""),""ফাঁকা ঘর"",""""),IF(AND(C6043&lt;&gt;"""",D6043&lt;&gt;"""",C6043=D6043),""gloss=figurative"",""""),IF(LEN(D6043)&lt;15,""figurative ছোট"",""""),IF(AND(I6043=""Positive"",REGEXMATCH(H6"&amp;"043,""মূর্খ|ভণ্ড|প্রতার|অলস|লোভ|স্বার্থ|অক্ষম|অযোগ্য|বোকা|কৃপণ|হিংস"")),""valence-target অমিল"",""""),IF(COUNTIF($B:$B,B6043)&gt;1,""ডুপ্লিকেট"",""""))"),"")</f>
        <v/>
      </c>
      <c r="Q6043" s="5" t="str">
        <f t="shared" si="1"/>
        <v>২ পরে</v>
      </c>
    </row>
    <row r="6044">
      <c r="A6044" s="4">
        <v>3929.0</v>
      </c>
      <c r="B6044" s="2" t="s">
        <v>24723</v>
      </c>
      <c r="C6044" s="2" t="s">
        <v>24724</v>
      </c>
      <c r="D6044" s="2" t="s">
        <v>24725</v>
      </c>
      <c r="E6044" s="2" t="s">
        <v>24726</v>
      </c>
      <c r="F6044" s="2" t="b">
        <v>1</v>
      </c>
      <c r="G6044" s="2" t="b">
        <v>0</v>
      </c>
      <c r="H6044" s="2" t="s">
        <v>24727</v>
      </c>
      <c r="I6044" s="2" t="s">
        <v>22</v>
      </c>
      <c r="J6044" s="2" t="s">
        <v>10356</v>
      </c>
      <c r="K6044" s="2" t="s">
        <v>495</v>
      </c>
      <c r="L6044" s="13" t="s">
        <v>496</v>
      </c>
      <c r="M6044" s="2" t="s">
        <v>26</v>
      </c>
      <c r="N6044" s="29"/>
      <c r="O6044" s="29"/>
      <c r="P6044" s="5" t="str">
        <f>IFERROR(__xludf.DUMMYFUNCTION("TEXTJOIN("" | "",TRUE,IF(OR(D6044="""",E6044="""",I6044="""",J6044="""",H6044=""""),""ফাঁকা ঘর"",""""),IF(AND(C6044&lt;&gt;"""",D6044&lt;&gt;"""",C6044=D6044),""gloss=figurative"",""""),IF(LEN(D6044)&lt;15,""figurative ছোট"",""""),IF(AND(I6044=""Positive"",REGEXMATCH(H6"&amp;"044,""মূর্খ|ভণ্ড|প্রতার|অলস|লোভ|স্বার্থ|অক্ষম|অযোগ্য|বোকা|কৃপণ|হিংস"")),""valence-target অমিল"",""""),IF(COUNTIF($B:$B,B6044)&gt;1,""ডুপ্লিকেট"",""""))"),"")</f>
        <v/>
      </c>
      <c r="Q6044" s="5" t="str">
        <f t="shared" si="1"/>
        <v>২ পরে</v>
      </c>
    </row>
    <row r="6045">
      <c r="A6045" s="4">
        <v>3931.0</v>
      </c>
      <c r="B6045" s="2" t="s">
        <v>24728</v>
      </c>
      <c r="C6045" s="2" t="s">
        <v>24729</v>
      </c>
      <c r="D6045" s="2" t="s">
        <v>24730</v>
      </c>
      <c r="E6045" s="2" t="s">
        <v>24731</v>
      </c>
      <c r="F6045" s="2" t="b">
        <v>1</v>
      </c>
      <c r="G6045" s="2" t="b">
        <v>0</v>
      </c>
      <c r="H6045" s="2" t="s">
        <v>37</v>
      </c>
      <c r="I6045" s="2" t="s">
        <v>22</v>
      </c>
      <c r="J6045" s="2" t="s">
        <v>43</v>
      </c>
      <c r="K6045" s="2" t="s">
        <v>495</v>
      </c>
      <c r="L6045" s="13" t="s">
        <v>496</v>
      </c>
      <c r="M6045" s="2" t="s">
        <v>26</v>
      </c>
      <c r="N6045" s="29"/>
      <c r="O6045" s="29"/>
      <c r="P6045" s="5" t="str">
        <f>IFERROR(__xludf.DUMMYFUNCTION("TEXTJOIN("" | "",TRUE,IF(OR(D6045="""",E6045="""",I6045="""",J6045="""",H6045=""""),""ফাঁকা ঘর"",""""),IF(AND(C6045&lt;&gt;"""",D6045&lt;&gt;"""",C6045=D6045),""gloss=figurative"",""""),IF(LEN(D6045)&lt;15,""figurative ছোট"",""""),IF(AND(I6045=""Positive"",REGEXMATCH(H6"&amp;"045,""মূর্খ|ভণ্ড|প্রতার|অলস|লোভ|স্বার্থ|অক্ষম|অযোগ্য|বোকা|কৃপণ|হিংস"")),""valence-target অমিল"",""""),IF(COUNTIF($B:$B,B6045)&gt;1,""ডুপ্লিকেট"",""""))"),"")</f>
        <v/>
      </c>
      <c r="Q6045" s="5" t="str">
        <f t="shared" si="1"/>
        <v>২ পরে</v>
      </c>
    </row>
    <row r="6046">
      <c r="A6046" s="4">
        <v>3932.0</v>
      </c>
      <c r="B6046" s="2" t="s">
        <v>24732</v>
      </c>
      <c r="C6046" s="2" t="s">
        <v>24733</v>
      </c>
      <c r="D6046" s="2" t="s">
        <v>24734</v>
      </c>
      <c r="E6046" s="2" t="s">
        <v>24735</v>
      </c>
      <c r="F6046" s="2" t="b">
        <v>1</v>
      </c>
      <c r="G6046" s="2" t="b">
        <v>0</v>
      </c>
      <c r="H6046" s="2" t="s">
        <v>37</v>
      </c>
      <c r="I6046" s="2" t="s">
        <v>22</v>
      </c>
      <c r="J6046" s="2" t="s">
        <v>2611</v>
      </c>
      <c r="K6046" s="2" t="s">
        <v>495</v>
      </c>
      <c r="L6046" s="13" t="s">
        <v>496</v>
      </c>
      <c r="M6046" s="2" t="s">
        <v>26</v>
      </c>
      <c r="N6046" s="29"/>
      <c r="O6046" s="29"/>
      <c r="P6046" s="5" t="str">
        <f>IFERROR(__xludf.DUMMYFUNCTION("TEXTJOIN("" | "",TRUE,IF(OR(D6046="""",E6046="""",I6046="""",J6046="""",H6046=""""),""ফাঁকা ঘর"",""""),IF(AND(C6046&lt;&gt;"""",D6046&lt;&gt;"""",C6046=D6046),""gloss=figurative"",""""),IF(LEN(D6046)&lt;15,""figurative ছোট"",""""),IF(AND(I6046=""Positive"",REGEXMATCH(H6"&amp;"046,""মূর্খ|ভণ্ড|প্রতার|অলস|লোভ|স্বার্থ|অক্ষম|অযোগ্য|বোকা|কৃপণ|হিংস"")),""valence-target অমিল"",""""),IF(COUNTIF($B:$B,B6046)&gt;1,""ডুপ্লিকেট"",""""))"),"")</f>
        <v/>
      </c>
      <c r="Q6046" s="5" t="str">
        <f t="shared" si="1"/>
        <v>২ পরে</v>
      </c>
    </row>
    <row r="6047">
      <c r="A6047" s="4">
        <v>3933.0</v>
      </c>
      <c r="B6047" s="2" t="s">
        <v>24736</v>
      </c>
      <c r="C6047" s="2" t="s">
        <v>24737</v>
      </c>
      <c r="D6047" s="2" t="s">
        <v>24738</v>
      </c>
      <c r="E6047" s="2" t="s">
        <v>24739</v>
      </c>
      <c r="F6047" s="2" t="b">
        <v>1</v>
      </c>
      <c r="G6047" s="2" t="b">
        <v>0</v>
      </c>
      <c r="H6047" s="2" t="s">
        <v>37</v>
      </c>
      <c r="I6047" s="2" t="s">
        <v>22</v>
      </c>
      <c r="J6047" s="2" t="s">
        <v>16089</v>
      </c>
      <c r="K6047" s="2" t="s">
        <v>495</v>
      </c>
      <c r="L6047" s="13" t="s">
        <v>496</v>
      </c>
      <c r="M6047" s="2" t="s">
        <v>26</v>
      </c>
      <c r="N6047" s="29"/>
      <c r="O6047" s="29"/>
      <c r="P6047" s="5" t="str">
        <f>IFERROR(__xludf.DUMMYFUNCTION("TEXTJOIN("" | "",TRUE,IF(OR(D6047="""",E6047="""",I6047="""",J6047="""",H6047=""""),""ফাঁকা ঘর"",""""),IF(AND(C6047&lt;&gt;"""",D6047&lt;&gt;"""",C6047=D6047),""gloss=figurative"",""""),IF(LEN(D6047)&lt;15,""figurative ছোট"",""""),IF(AND(I6047=""Positive"",REGEXMATCH(H6"&amp;"047,""মূর্খ|ভণ্ড|প্রতার|অলস|লোভ|স্বার্থ|অক্ষম|অযোগ্য|বোকা|কৃপণ|হিংস"")),""valence-target অমিল"",""""),IF(COUNTIF($B:$B,B6047)&gt;1,""ডুপ্লিকেট"",""""))"),"")</f>
        <v/>
      </c>
      <c r="Q6047" s="5" t="str">
        <f t="shared" si="1"/>
        <v>২ পরে</v>
      </c>
    </row>
    <row r="6048">
      <c r="A6048" s="4">
        <v>3934.0</v>
      </c>
      <c r="B6048" s="2" t="s">
        <v>24740</v>
      </c>
      <c r="C6048" s="2" t="s">
        <v>24741</v>
      </c>
      <c r="D6048" s="2" t="s">
        <v>24742</v>
      </c>
      <c r="E6048" s="2" t="s">
        <v>24743</v>
      </c>
      <c r="F6048" s="2" t="b">
        <v>1</v>
      </c>
      <c r="G6048" s="2" t="b">
        <v>0</v>
      </c>
      <c r="H6048" s="2" t="s">
        <v>37</v>
      </c>
      <c r="I6048" s="2" t="s">
        <v>22</v>
      </c>
      <c r="J6048" s="2" t="s">
        <v>3356</v>
      </c>
      <c r="K6048" s="2" t="s">
        <v>495</v>
      </c>
      <c r="L6048" s="13" t="s">
        <v>496</v>
      </c>
      <c r="M6048" s="2" t="s">
        <v>26</v>
      </c>
      <c r="N6048" s="29"/>
      <c r="O6048" s="29"/>
      <c r="P6048" s="5" t="str">
        <f>IFERROR(__xludf.DUMMYFUNCTION("TEXTJOIN("" | "",TRUE,IF(OR(D6048="""",E6048="""",I6048="""",J6048="""",H6048=""""),""ফাঁকা ঘর"",""""),IF(AND(C6048&lt;&gt;"""",D6048&lt;&gt;"""",C6048=D6048),""gloss=figurative"",""""),IF(LEN(D6048)&lt;15,""figurative ছোট"",""""),IF(AND(I6048=""Positive"",REGEXMATCH(H6"&amp;"048,""মূর্খ|ভণ্ড|প্রতার|অলস|লোভ|স্বার্থ|অক্ষম|অযোগ্য|বোকা|কৃপণ|হিংস"")),""valence-target অমিল"",""""),IF(COUNTIF($B:$B,B6048)&gt;1,""ডুপ্লিকেট"",""""))"),"")</f>
        <v/>
      </c>
      <c r="Q6048" s="5" t="str">
        <f t="shared" si="1"/>
        <v>২ পরে</v>
      </c>
    </row>
    <row r="6049">
      <c r="A6049" s="4">
        <v>3935.0</v>
      </c>
      <c r="B6049" s="2" t="s">
        <v>24744</v>
      </c>
      <c r="C6049" s="2" t="s">
        <v>24745</v>
      </c>
      <c r="D6049" s="2" t="s">
        <v>24746</v>
      </c>
      <c r="E6049" s="2" t="s">
        <v>24747</v>
      </c>
      <c r="F6049" s="2" t="b">
        <v>1</v>
      </c>
      <c r="G6049" s="2" t="b">
        <v>0</v>
      </c>
      <c r="H6049" s="2" t="s">
        <v>37</v>
      </c>
      <c r="I6049" s="2" t="s">
        <v>49</v>
      </c>
      <c r="J6049" s="2" t="s">
        <v>24748</v>
      </c>
      <c r="K6049" s="2" t="s">
        <v>495</v>
      </c>
      <c r="L6049" s="13" t="s">
        <v>496</v>
      </c>
      <c r="M6049" s="2" t="s">
        <v>26</v>
      </c>
      <c r="N6049" s="29"/>
      <c r="O6049" s="29"/>
      <c r="P6049" s="5" t="str">
        <f>IFERROR(__xludf.DUMMYFUNCTION("TEXTJOIN("" | "",TRUE,IF(OR(D6049="""",E6049="""",I6049="""",J6049="""",H6049=""""),""ফাঁকা ঘর"",""""),IF(AND(C6049&lt;&gt;"""",D6049&lt;&gt;"""",C6049=D6049),""gloss=figurative"",""""),IF(LEN(D6049)&lt;15,""figurative ছোট"",""""),IF(AND(I6049=""Positive"",REGEXMATCH(H6"&amp;"049,""মূর্খ|ভণ্ড|প্রতার|অলস|লোভ|স্বার্থ|অক্ষম|অযোগ্য|বোকা|কৃপণ|হিংস"")),""valence-target অমিল"",""""),IF(COUNTIF($B:$B,B6049)&gt;1,""ডুপ্লিকেট"",""""))"),"")</f>
        <v/>
      </c>
      <c r="Q6049" s="5" t="str">
        <f t="shared" si="1"/>
        <v>২ পরে</v>
      </c>
    </row>
    <row r="6050">
      <c r="A6050" s="4">
        <v>3936.0</v>
      </c>
      <c r="B6050" s="2" t="s">
        <v>24749</v>
      </c>
      <c r="C6050" s="2" t="s">
        <v>24750</v>
      </c>
      <c r="D6050" s="2" t="s">
        <v>24751</v>
      </c>
      <c r="E6050" s="2" t="s">
        <v>24752</v>
      </c>
      <c r="F6050" s="2" t="b">
        <v>1</v>
      </c>
      <c r="G6050" s="2" t="b">
        <v>0</v>
      </c>
      <c r="H6050" s="2" t="s">
        <v>9380</v>
      </c>
      <c r="I6050" s="2" t="s">
        <v>22</v>
      </c>
      <c r="J6050" s="2" t="s">
        <v>8648</v>
      </c>
      <c r="K6050" s="2" t="s">
        <v>495</v>
      </c>
      <c r="L6050" s="13" t="s">
        <v>496</v>
      </c>
      <c r="M6050" s="2" t="s">
        <v>26</v>
      </c>
      <c r="N6050" s="29"/>
      <c r="O6050" s="29"/>
      <c r="P6050" s="5" t="str">
        <f>IFERROR(__xludf.DUMMYFUNCTION("TEXTJOIN("" | "",TRUE,IF(OR(D6050="""",E6050="""",I6050="""",J6050="""",H6050=""""),""ফাঁকা ঘর"",""""),IF(AND(C6050&lt;&gt;"""",D6050&lt;&gt;"""",C6050=D6050),""gloss=figurative"",""""),IF(LEN(D6050)&lt;15,""figurative ছোট"",""""),IF(AND(I6050=""Positive"",REGEXMATCH(H6"&amp;"050,""মূর্খ|ভণ্ড|প্রতার|অলস|লোভ|স্বার্থ|অক্ষম|অযোগ্য|বোকা|কৃপণ|হিংস"")),""valence-target অমিল"",""""),IF(COUNTIF($B:$B,B6050)&gt;1,""ডুপ্লিকেট"",""""))"),"")</f>
        <v/>
      </c>
      <c r="Q6050" s="5" t="str">
        <f t="shared" si="1"/>
        <v>২ পরে</v>
      </c>
    </row>
    <row r="6051">
      <c r="A6051" s="4">
        <v>3937.0</v>
      </c>
      <c r="B6051" s="2" t="s">
        <v>24753</v>
      </c>
      <c r="C6051" s="2" t="s">
        <v>24754</v>
      </c>
      <c r="D6051" s="2" t="s">
        <v>24755</v>
      </c>
      <c r="E6051" s="2" t="s">
        <v>24756</v>
      </c>
      <c r="F6051" s="2" t="b">
        <v>1</v>
      </c>
      <c r="G6051" s="2" t="b">
        <v>0</v>
      </c>
      <c r="H6051" s="2" t="s">
        <v>989</v>
      </c>
      <c r="I6051" s="2" t="s">
        <v>22</v>
      </c>
      <c r="J6051" s="2" t="s">
        <v>723</v>
      </c>
      <c r="K6051" s="2" t="s">
        <v>495</v>
      </c>
      <c r="L6051" s="13" t="s">
        <v>496</v>
      </c>
      <c r="M6051" s="2" t="s">
        <v>26</v>
      </c>
      <c r="N6051" s="29"/>
      <c r="O6051" s="29"/>
      <c r="P6051" s="5" t="str">
        <f>IFERROR(__xludf.DUMMYFUNCTION("TEXTJOIN("" | "",TRUE,IF(OR(D6051="""",E6051="""",I6051="""",J6051="""",H6051=""""),""ফাঁকা ঘর"",""""),IF(AND(C6051&lt;&gt;"""",D6051&lt;&gt;"""",C6051=D6051),""gloss=figurative"",""""),IF(LEN(D6051)&lt;15,""figurative ছোট"",""""),IF(AND(I6051=""Positive"",REGEXMATCH(H6"&amp;"051,""মূর্খ|ভণ্ড|প্রতার|অলস|লোভ|স্বার্থ|অক্ষম|অযোগ্য|বোকা|কৃপণ|হিংস"")),""valence-target অমিল"",""""),IF(COUNTIF($B:$B,B6051)&gt;1,""ডুপ্লিকেট"",""""))"),"")</f>
        <v/>
      </c>
      <c r="Q6051" s="5" t="str">
        <f t="shared" si="1"/>
        <v>২ পরে</v>
      </c>
    </row>
    <row r="6052">
      <c r="A6052" s="4">
        <v>3938.0</v>
      </c>
      <c r="B6052" s="2" t="s">
        <v>24757</v>
      </c>
      <c r="C6052" s="2" t="s">
        <v>24758</v>
      </c>
      <c r="D6052" s="2" t="s">
        <v>24759</v>
      </c>
      <c r="E6052" s="2" t="s">
        <v>24760</v>
      </c>
      <c r="F6052" s="2" t="b">
        <v>1</v>
      </c>
      <c r="G6052" s="2" t="b">
        <v>0</v>
      </c>
      <c r="H6052" s="2" t="s">
        <v>8384</v>
      </c>
      <c r="I6052" s="2" t="s">
        <v>32</v>
      </c>
      <c r="J6052" s="2" t="s">
        <v>2122</v>
      </c>
      <c r="K6052" s="2" t="s">
        <v>495</v>
      </c>
      <c r="L6052" s="13" t="s">
        <v>496</v>
      </c>
      <c r="M6052" s="2" t="s">
        <v>26</v>
      </c>
      <c r="N6052" s="29"/>
      <c r="O6052" s="29"/>
      <c r="P6052" s="5" t="str">
        <f>IFERROR(__xludf.DUMMYFUNCTION("TEXTJOIN("" | "",TRUE,IF(OR(D6052="""",E6052="""",I6052="""",J6052="""",H6052=""""),""ফাঁকা ঘর"",""""),IF(AND(C6052&lt;&gt;"""",D6052&lt;&gt;"""",C6052=D6052),""gloss=figurative"",""""),IF(LEN(D6052)&lt;15,""figurative ছোট"",""""),IF(AND(I6052=""Positive"",REGEXMATCH(H6"&amp;"052,""মূর্খ|ভণ্ড|প্রতার|অলস|লোভ|স্বার্থ|অক্ষম|অযোগ্য|বোকা|কৃপণ|হিংস"")),""valence-target অমিল"",""""),IF(COUNTIF($B:$B,B6052)&gt;1,""ডুপ্লিকেট"",""""))"),"")</f>
        <v/>
      </c>
      <c r="Q6052" s="5" t="str">
        <f t="shared" si="1"/>
        <v>২ পরে</v>
      </c>
    </row>
    <row r="6053">
      <c r="A6053" s="4">
        <v>3939.0</v>
      </c>
      <c r="B6053" s="2" t="s">
        <v>24761</v>
      </c>
      <c r="C6053" s="2" t="s">
        <v>24762</v>
      </c>
      <c r="D6053" s="2" t="s">
        <v>24763</v>
      </c>
      <c r="E6053" s="2" t="s">
        <v>24764</v>
      </c>
      <c r="F6053" s="2" t="b">
        <v>1</v>
      </c>
      <c r="G6053" s="2" t="b">
        <v>0</v>
      </c>
      <c r="H6053" s="2" t="s">
        <v>37</v>
      </c>
      <c r="I6053" s="2" t="s">
        <v>22</v>
      </c>
      <c r="J6053" s="2" t="s">
        <v>830</v>
      </c>
      <c r="K6053" s="2" t="s">
        <v>495</v>
      </c>
      <c r="L6053" s="13" t="s">
        <v>496</v>
      </c>
      <c r="M6053" s="2" t="s">
        <v>26</v>
      </c>
      <c r="N6053" s="29"/>
      <c r="O6053" s="29"/>
      <c r="P6053" s="5" t="str">
        <f>IFERROR(__xludf.DUMMYFUNCTION("TEXTJOIN("" | "",TRUE,IF(OR(D6053="""",E6053="""",I6053="""",J6053="""",H6053=""""),""ফাঁকা ঘর"",""""),IF(AND(C6053&lt;&gt;"""",D6053&lt;&gt;"""",C6053=D6053),""gloss=figurative"",""""),IF(LEN(D6053)&lt;15,""figurative ছোট"",""""),IF(AND(I6053=""Positive"",REGEXMATCH(H6"&amp;"053,""মূর্খ|ভণ্ড|প্রতার|অলস|লোভ|স্বার্থ|অক্ষম|অযোগ্য|বোকা|কৃপণ|হিংস"")),""valence-target অমিল"",""""),IF(COUNTIF($B:$B,B6053)&gt;1,""ডুপ্লিকেট"",""""))"),"")</f>
        <v/>
      </c>
      <c r="Q6053" s="5" t="str">
        <f t="shared" si="1"/>
        <v>২ পরে</v>
      </c>
    </row>
    <row r="6054">
      <c r="A6054" s="4">
        <v>3940.0</v>
      </c>
      <c r="B6054" s="2" t="s">
        <v>24765</v>
      </c>
      <c r="C6054" s="2" t="s">
        <v>24766</v>
      </c>
      <c r="D6054" s="2" t="s">
        <v>24767</v>
      </c>
      <c r="E6054" s="2" t="s">
        <v>24768</v>
      </c>
      <c r="F6054" s="2" t="b">
        <v>1</v>
      </c>
      <c r="G6054" s="2" t="b">
        <v>0</v>
      </c>
      <c r="H6054" s="2" t="s">
        <v>37</v>
      </c>
      <c r="I6054" s="2" t="s">
        <v>22</v>
      </c>
      <c r="J6054" s="2" t="s">
        <v>830</v>
      </c>
      <c r="K6054" s="2" t="s">
        <v>495</v>
      </c>
      <c r="L6054" s="13" t="s">
        <v>496</v>
      </c>
      <c r="M6054" s="2" t="s">
        <v>26</v>
      </c>
      <c r="N6054" s="29"/>
      <c r="O6054" s="29"/>
      <c r="P6054" s="5" t="str">
        <f>IFERROR(__xludf.DUMMYFUNCTION("TEXTJOIN("" | "",TRUE,IF(OR(D6054="""",E6054="""",I6054="""",J6054="""",H6054=""""),""ফাঁকা ঘর"",""""),IF(AND(C6054&lt;&gt;"""",D6054&lt;&gt;"""",C6054=D6054),""gloss=figurative"",""""),IF(LEN(D6054)&lt;15,""figurative ছোট"",""""),IF(AND(I6054=""Positive"",REGEXMATCH(H6"&amp;"054,""মূর্খ|ভণ্ড|প্রতার|অলস|লোভ|স্বার্থ|অক্ষম|অযোগ্য|বোকা|কৃপণ|হিংস"")),""valence-target অমিল"",""""),IF(COUNTIF($B:$B,B6054)&gt;1,""ডুপ্লিকেট"",""""))"),"")</f>
        <v/>
      </c>
      <c r="Q6054" s="5" t="str">
        <f t="shared" si="1"/>
        <v>২ পরে</v>
      </c>
    </row>
    <row r="6055">
      <c r="A6055" s="4">
        <v>3942.0</v>
      </c>
      <c r="B6055" s="2" t="s">
        <v>24769</v>
      </c>
      <c r="C6055" s="2" t="s">
        <v>24770</v>
      </c>
      <c r="D6055" s="2" t="s">
        <v>24771</v>
      </c>
      <c r="E6055" s="2" t="s">
        <v>24772</v>
      </c>
      <c r="F6055" s="2" t="b">
        <v>1</v>
      </c>
      <c r="G6055" s="2" t="b">
        <v>0</v>
      </c>
      <c r="H6055" s="2" t="s">
        <v>37</v>
      </c>
      <c r="I6055" s="2" t="s">
        <v>22</v>
      </c>
      <c r="J6055" s="2" t="s">
        <v>2732</v>
      </c>
      <c r="K6055" s="2" t="s">
        <v>495</v>
      </c>
      <c r="L6055" s="13" t="s">
        <v>496</v>
      </c>
      <c r="M6055" s="2" t="s">
        <v>26</v>
      </c>
      <c r="N6055" s="29"/>
      <c r="O6055" s="29"/>
      <c r="P6055" s="5" t="str">
        <f>IFERROR(__xludf.DUMMYFUNCTION("TEXTJOIN("" | "",TRUE,IF(OR(D6055="""",E6055="""",I6055="""",J6055="""",H6055=""""),""ফাঁকা ঘর"",""""),IF(AND(C6055&lt;&gt;"""",D6055&lt;&gt;"""",C6055=D6055),""gloss=figurative"",""""),IF(LEN(D6055)&lt;15,""figurative ছোট"",""""),IF(AND(I6055=""Positive"",REGEXMATCH(H6"&amp;"055,""মূর্খ|ভণ্ড|প্রতার|অলস|লোভ|স্বার্থ|অক্ষম|অযোগ্য|বোকা|কৃপণ|হিংস"")),""valence-target অমিল"",""""),IF(COUNTIF($B:$B,B6055)&gt;1,""ডুপ্লিকেট"",""""))"),"")</f>
        <v/>
      </c>
      <c r="Q6055" s="5" t="str">
        <f t="shared" si="1"/>
        <v>২ পরে</v>
      </c>
    </row>
    <row r="6056">
      <c r="A6056" s="4">
        <v>3943.0</v>
      </c>
      <c r="B6056" s="2" t="s">
        <v>24773</v>
      </c>
      <c r="C6056" s="2" t="s">
        <v>24774</v>
      </c>
      <c r="D6056" s="2" t="s">
        <v>24775</v>
      </c>
      <c r="E6056" s="2" t="s">
        <v>24776</v>
      </c>
      <c r="F6056" s="2" t="b">
        <v>1</v>
      </c>
      <c r="G6056" s="2" t="b">
        <v>0</v>
      </c>
      <c r="H6056" s="2" t="s">
        <v>722</v>
      </c>
      <c r="I6056" s="2" t="s">
        <v>22</v>
      </c>
      <c r="J6056" s="2" t="s">
        <v>723</v>
      </c>
      <c r="K6056" s="2" t="s">
        <v>495</v>
      </c>
      <c r="L6056" s="13" t="s">
        <v>496</v>
      </c>
      <c r="M6056" s="2" t="s">
        <v>26</v>
      </c>
      <c r="N6056" s="29"/>
      <c r="O6056" s="29"/>
      <c r="P6056" s="5" t="str">
        <f>IFERROR(__xludf.DUMMYFUNCTION("TEXTJOIN("" | "",TRUE,IF(OR(D6056="""",E6056="""",I6056="""",J6056="""",H6056=""""),""ফাঁকা ঘর"",""""),IF(AND(C6056&lt;&gt;"""",D6056&lt;&gt;"""",C6056=D6056),""gloss=figurative"",""""),IF(LEN(D6056)&lt;15,""figurative ছোট"",""""),IF(AND(I6056=""Positive"",REGEXMATCH(H6"&amp;"056,""মূর্খ|ভণ্ড|প্রতার|অলস|লোভ|স্বার্থ|অক্ষম|অযোগ্য|বোকা|কৃপণ|হিংস"")),""valence-target অমিল"",""""),IF(COUNTIF($B:$B,B6056)&gt;1,""ডুপ্লিকেট"",""""))"),"")</f>
        <v/>
      </c>
      <c r="Q6056" s="5" t="str">
        <f t="shared" si="1"/>
        <v>২ পরে</v>
      </c>
    </row>
    <row r="6057">
      <c r="A6057" s="4">
        <v>3944.0</v>
      </c>
      <c r="B6057" s="2" t="s">
        <v>24777</v>
      </c>
      <c r="C6057" s="2" t="s">
        <v>24778</v>
      </c>
      <c r="D6057" s="2" t="s">
        <v>24779</v>
      </c>
      <c r="E6057" s="2" t="s">
        <v>24780</v>
      </c>
      <c r="F6057" s="2" t="b">
        <v>1</v>
      </c>
      <c r="G6057" s="2" t="b">
        <v>0</v>
      </c>
      <c r="H6057" s="2" t="s">
        <v>37</v>
      </c>
      <c r="I6057" s="2" t="s">
        <v>22</v>
      </c>
      <c r="J6057" s="2" t="s">
        <v>3032</v>
      </c>
      <c r="K6057" s="2" t="s">
        <v>495</v>
      </c>
      <c r="L6057" s="13" t="s">
        <v>496</v>
      </c>
      <c r="M6057" s="2" t="s">
        <v>26</v>
      </c>
      <c r="N6057" s="29"/>
      <c r="O6057" s="29"/>
      <c r="P6057" s="5" t="str">
        <f>IFERROR(__xludf.DUMMYFUNCTION("TEXTJOIN("" | "",TRUE,IF(OR(D6057="""",E6057="""",I6057="""",J6057="""",H6057=""""),""ফাঁকা ঘর"",""""),IF(AND(C6057&lt;&gt;"""",D6057&lt;&gt;"""",C6057=D6057),""gloss=figurative"",""""),IF(LEN(D6057)&lt;15,""figurative ছোট"",""""),IF(AND(I6057=""Positive"",REGEXMATCH(H6"&amp;"057,""মূর্খ|ভণ্ড|প্রতার|অলস|লোভ|স্বার্থ|অক্ষম|অযোগ্য|বোকা|কৃপণ|হিংস"")),""valence-target অমিল"",""""),IF(COUNTIF($B:$B,B6057)&gt;1,""ডুপ্লিকেট"",""""))"),"")</f>
        <v/>
      </c>
      <c r="Q6057" s="5" t="str">
        <f t="shared" si="1"/>
        <v>২ পরে</v>
      </c>
    </row>
    <row r="6058">
      <c r="A6058" s="4">
        <v>3945.0</v>
      </c>
      <c r="B6058" s="2" t="s">
        <v>24781</v>
      </c>
      <c r="C6058" s="2" t="s">
        <v>24782</v>
      </c>
      <c r="D6058" s="2" t="s">
        <v>24783</v>
      </c>
      <c r="E6058" s="2" t="s">
        <v>24784</v>
      </c>
      <c r="F6058" s="2" t="b">
        <v>1</v>
      </c>
      <c r="G6058" s="2" t="b">
        <v>0</v>
      </c>
      <c r="H6058" s="2" t="s">
        <v>989</v>
      </c>
      <c r="I6058" s="2" t="s">
        <v>22</v>
      </c>
      <c r="J6058" s="2" t="s">
        <v>990</v>
      </c>
      <c r="K6058" s="2" t="s">
        <v>495</v>
      </c>
      <c r="L6058" s="13" t="s">
        <v>496</v>
      </c>
      <c r="M6058" s="2" t="s">
        <v>26</v>
      </c>
      <c r="N6058" s="29"/>
      <c r="O6058" s="29"/>
      <c r="P6058" s="5" t="str">
        <f>IFERROR(__xludf.DUMMYFUNCTION("TEXTJOIN("" | "",TRUE,IF(OR(D6058="""",E6058="""",I6058="""",J6058="""",H6058=""""),""ফাঁকা ঘর"",""""),IF(AND(C6058&lt;&gt;"""",D6058&lt;&gt;"""",C6058=D6058),""gloss=figurative"",""""),IF(LEN(D6058)&lt;15,""figurative ছোট"",""""),IF(AND(I6058=""Positive"",REGEXMATCH(H6"&amp;"058,""মূর্খ|ভণ্ড|প্রতার|অলস|লোভ|স্বার্থ|অক্ষম|অযোগ্য|বোকা|কৃপণ|হিংস"")),""valence-target অমিল"",""""),IF(COUNTIF($B:$B,B6058)&gt;1,""ডুপ্লিকেট"",""""))"),"")</f>
        <v/>
      </c>
      <c r="Q6058" s="5" t="str">
        <f t="shared" si="1"/>
        <v>২ পরে</v>
      </c>
    </row>
    <row r="6059">
      <c r="A6059" s="4">
        <v>3946.0</v>
      </c>
      <c r="B6059" s="2" t="s">
        <v>24785</v>
      </c>
      <c r="C6059" s="2" t="s">
        <v>24786</v>
      </c>
      <c r="D6059" s="2" t="s">
        <v>24787</v>
      </c>
      <c r="E6059" s="2" t="s">
        <v>24788</v>
      </c>
      <c r="F6059" s="2" t="b">
        <v>1</v>
      </c>
      <c r="G6059" s="2" t="b">
        <v>0</v>
      </c>
      <c r="H6059" s="2" t="s">
        <v>37</v>
      </c>
      <c r="I6059" s="2" t="s">
        <v>22</v>
      </c>
      <c r="J6059" s="2" t="s">
        <v>990</v>
      </c>
      <c r="K6059" s="2" t="s">
        <v>495</v>
      </c>
      <c r="L6059" s="13" t="s">
        <v>496</v>
      </c>
      <c r="M6059" s="2" t="s">
        <v>26</v>
      </c>
      <c r="N6059" s="29"/>
      <c r="O6059" s="29"/>
      <c r="P6059" s="5" t="str">
        <f>IFERROR(__xludf.DUMMYFUNCTION("TEXTJOIN("" | "",TRUE,IF(OR(D6059="""",E6059="""",I6059="""",J6059="""",H6059=""""),""ফাঁকা ঘর"",""""),IF(AND(C6059&lt;&gt;"""",D6059&lt;&gt;"""",C6059=D6059),""gloss=figurative"",""""),IF(LEN(D6059)&lt;15,""figurative ছোট"",""""),IF(AND(I6059=""Positive"",REGEXMATCH(H6"&amp;"059,""মূর্খ|ভণ্ড|প্রতার|অলস|লোভ|স্বার্থ|অক্ষম|অযোগ্য|বোকা|কৃপণ|হিংস"")),""valence-target অমিল"",""""),IF(COUNTIF($B:$B,B6059)&gt;1,""ডুপ্লিকেট"",""""))"),"")</f>
        <v/>
      </c>
      <c r="Q6059" s="5" t="str">
        <f t="shared" si="1"/>
        <v>২ পরে</v>
      </c>
    </row>
    <row r="6060">
      <c r="A6060" s="4">
        <v>3947.0</v>
      </c>
      <c r="B6060" s="2" t="s">
        <v>24789</v>
      </c>
      <c r="C6060" s="2" t="s">
        <v>24790</v>
      </c>
      <c r="D6060" s="2" t="s">
        <v>24791</v>
      </c>
      <c r="E6060" s="2" t="s">
        <v>24792</v>
      </c>
      <c r="F6060" s="2" t="b">
        <v>1</v>
      </c>
      <c r="G6060" s="2" t="b">
        <v>0</v>
      </c>
      <c r="H6060" s="2" t="s">
        <v>1334</v>
      </c>
      <c r="I6060" s="2" t="s">
        <v>22</v>
      </c>
      <c r="J6060" s="2" t="s">
        <v>820</v>
      </c>
      <c r="K6060" s="2" t="s">
        <v>495</v>
      </c>
      <c r="L6060" s="13" t="s">
        <v>496</v>
      </c>
      <c r="M6060" s="2" t="s">
        <v>26</v>
      </c>
      <c r="N6060" s="29"/>
      <c r="O6060" s="29"/>
      <c r="P6060" s="5" t="str">
        <f>IFERROR(__xludf.DUMMYFUNCTION("TEXTJOIN("" | "",TRUE,IF(OR(D6060="""",E6060="""",I6060="""",J6060="""",H6060=""""),""ফাঁকা ঘর"",""""),IF(AND(C6060&lt;&gt;"""",D6060&lt;&gt;"""",C6060=D6060),""gloss=figurative"",""""),IF(LEN(D6060)&lt;15,""figurative ছোট"",""""),IF(AND(I6060=""Positive"",REGEXMATCH(H6"&amp;"060,""মূর্খ|ভণ্ড|প্রতার|অলস|লোভ|স্বার্থ|অক্ষম|অযোগ্য|বোকা|কৃপণ|হিংস"")),""valence-target অমিল"",""""),IF(COUNTIF($B:$B,B6060)&gt;1,""ডুপ্লিকেট"",""""))"),"")</f>
        <v/>
      </c>
      <c r="Q6060" s="5" t="str">
        <f t="shared" si="1"/>
        <v>২ পরে</v>
      </c>
    </row>
    <row r="6061">
      <c r="A6061" s="4">
        <v>3948.0</v>
      </c>
      <c r="B6061" s="2" t="s">
        <v>24793</v>
      </c>
      <c r="C6061" s="2" t="s">
        <v>24794</v>
      </c>
      <c r="D6061" s="2" t="s">
        <v>24795</v>
      </c>
      <c r="E6061" s="2" t="s">
        <v>24796</v>
      </c>
      <c r="F6061" s="2" t="b">
        <v>1</v>
      </c>
      <c r="G6061" s="2" t="b">
        <v>0</v>
      </c>
      <c r="H6061" s="2" t="s">
        <v>1334</v>
      </c>
      <c r="I6061" s="2" t="s">
        <v>22</v>
      </c>
      <c r="J6061" s="2" t="s">
        <v>820</v>
      </c>
      <c r="K6061" s="2" t="s">
        <v>495</v>
      </c>
      <c r="L6061" s="13" t="s">
        <v>496</v>
      </c>
      <c r="M6061" s="2" t="s">
        <v>26</v>
      </c>
      <c r="N6061" s="29"/>
      <c r="O6061" s="29"/>
      <c r="P6061" s="5" t="str">
        <f>IFERROR(__xludf.DUMMYFUNCTION("TEXTJOIN("" | "",TRUE,IF(OR(D6061="""",E6061="""",I6061="""",J6061="""",H6061=""""),""ফাঁকা ঘর"",""""),IF(AND(C6061&lt;&gt;"""",D6061&lt;&gt;"""",C6061=D6061),""gloss=figurative"",""""),IF(LEN(D6061)&lt;15,""figurative ছোট"",""""),IF(AND(I6061=""Positive"",REGEXMATCH(H6"&amp;"061,""মূর্খ|ভণ্ড|প্রতার|অলস|লোভ|স্বার্থ|অক্ষম|অযোগ্য|বোকা|কৃপণ|হিংস"")),""valence-target অমিল"",""""),IF(COUNTIF($B:$B,B6061)&gt;1,""ডুপ্লিকেট"",""""))"),"")</f>
        <v/>
      </c>
      <c r="Q6061" s="5" t="str">
        <f t="shared" si="1"/>
        <v>২ পরে</v>
      </c>
    </row>
    <row r="6062">
      <c r="A6062" s="4">
        <v>3949.0</v>
      </c>
      <c r="B6062" s="2" t="s">
        <v>24797</v>
      </c>
      <c r="C6062" s="2" t="s">
        <v>24797</v>
      </c>
      <c r="D6062" s="2" t="s">
        <v>24798</v>
      </c>
      <c r="E6062" s="2" t="s">
        <v>24799</v>
      </c>
      <c r="F6062" s="2" t="b">
        <v>1</v>
      </c>
      <c r="G6062" s="2" t="b">
        <v>0</v>
      </c>
      <c r="H6062" s="2" t="s">
        <v>37</v>
      </c>
      <c r="I6062" s="2" t="s">
        <v>49</v>
      </c>
      <c r="J6062" s="2" t="s">
        <v>739</v>
      </c>
      <c r="K6062" s="2" t="s">
        <v>495</v>
      </c>
      <c r="L6062" s="13" t="s">
        <v>496</v>
      </c>
      <c r="M6062" s="2" t="s">
        <v>26</v>
      </c>
      <c r="N6062" s="29"/>
      <c r="O6062" s="29"/>
      <c r="P6062" s="5" t="str">
        <f>IFERROR(__xludf.DUMMYFUNCTION("TEXTJOIN("" | "",TRUE,IF(OR(D6062="""",E6062="""",I6062="""",J6062="""",H6062=""""),""ফাঁকা ঘর"",""""),IF(AND(C6062&lt;&gt;"""",D6062&lt;&gt;"""",C6062=D6062),""gloss=figurative"",""""),IF(LEN(D6062)&lt;15,""figurative ছোট"",""""),IF(AND(I6062=""Positive"",REGEXMATCH(H6"&amp;"062,""মূর্খ|ভণ্ড|প্রতার|অলস|লোভ|স্বার্থ|অক্ষম|অযোগ্য|বোকা|কৃপণ|হিংস"")),""valence-target অমিল"",""""),IF(COUNTIF($B:$B,B6062)&gt;1,""ডুপ্লিকেট"",""""))"),"")</f>
        <v/>
      </c>
      <c r="Q6062" s="5" t="str">
        <f t="shared" si="1"/>
        <v>২ পরে</v>
      </c>
    </row>
    <row r="6063">
      <c r="A6063" s="4">
        <v>3950.0</v>
      </c>
      <c r="B6063" s="2" t="s">
        <v>24800</v>
      </c>
      <c r="C6063" s="2" t="s">
        <v>24800</v>
      </c>
      <c r="D6063" s="2" t="s">
        <v>24801</v>
      </c>
      <c r="E6063" s="2" t="s">
        <v>24802</v>
      </c>
      <c r="F6063" s="2" t="b">
        <v>1</v>
      </c>
      <c r="G6063" s="2" t="b">
        <v>0</v>
      </c>
      <c r="H6063" s="2" t="s">
        <v>756</v>
      </c>
      <c r="I6063" s="2" t="s">
        <v>22</v>
      </c>
      <c r="J6063" s="2" t="s">
        <v>1630</v>
      </c>
      <c r="K6063" s="2" t="s">
        <v>495</v>
      </c>
      <c r="L6063" s="13" t="s">
        <v>496</v>
      </c>
      <c r="M6063" s="2" t="s">
        <v>26</v>
      </c>
      <c r="N6063" s="29"/>
      <c r="O6063" s="29"/>
      <c r="P6063" s="5" t="str">
        <f>IFERROR(__xludf.DUMMYFUNCTION("TEXTJOIN("" | "",TRUE,IF(OR(D6063="""",E6063="""",I6063="""",J6063="""",H6063=""""),""ফাঁকা ঘর"",""""),IF(AND(C6063&lt;&gt;"""",D6063&lt;&gt;"""",C6063=D6063),""gloss=figurative"",""""),IF(LEN(D6063)&lt;15,""figurative ছোট"",""""),IF(AND(I6063=""Positive"",REGEXMATCH(H6"&amp;"063,""মূর্খ|ভণ্ড|প্রতার|অলস|লোভ|স্বার্থ|অক্ষম|অযোগ্য|বোকা|কৃপণ|হিংস"")),""valence-target অমিল"",""""),IF(COUNTIF($B:$B,B6063)&gt;1,""ডুপ্লিকেট"",""""))"),"")</f>
        <v/>
      </c>
      <c r="Q6063" s="5" t="str">
        <f t="shared" si="1"/>
        <v>২ পরে</v>
      </c>
    </row>
    <row r="6064">
      <c r="A6064" s="4">
        <v>3951.0</v>
      </c>
      <c r="B6064" s="2" t="s">
        <v>24803</v>
      </c>
      <c r="C6064" s="2" t="s">
        <v>24804</v>
      </c>
      <c r="D6064" s="2" t="s">
        <v>24805</v>
      </c>
      <c r="E6064" s="2" t="s">
        <v>24806</v>
      </c>
      <c r="F6064" s="2" t="b">
        <v>1</v>
      </c>
      <c r="G6064" s="2" t="b">
        <v>0</v>
      </c>
      <c r="H6064" s="2" t="s">
        <v>37</v>
      </c>
      <c r="I6064" s="2" t="s">
        <v>22</v>
      </c>
      <c r="J6064" s="2" t="s">
        <v>24807</v>
      </c>
      <c r="K6064" s="2" t="s">
        <v>495</v>
      </c>
      <c r="L6064" s="13" t="s">
        <v>496</v>
      </c>
      <c r="M6064" s="2" t="s">
        <v>26</v>
      </c>
      <c r="N6064" s="29"/>
      <c r="O6064" s="29"/>
      <c r="P6064" s="5" t="str">
        <f>IFERROR(__xludf.DUMMYFUNCTION("TEXTJOIN("" | "",TRUE,IF(OR(D6064="""",E6064="""",I6064="""",J6064="""",H6064=""""),""ফাঁকা ঘর"",""""),IF(AND(C6064&lt;&gt;"""",D6064&lt;&gt;"""",C6064=D6064),""gloss=figurative"",""""),IF(LEN(D6064)&lt;15,""figurative ছোট"",""""),IF(AND(I6064=""Positive"",REGEXMATCH(H6"&amp;"064,""মূর্খ|ভণ্ড|প্রতার|অলস|লোভ|স্বার্থ|অক্ষম|অযোগ্য|বোকা|কৃপণ|হিংস"")),""valence-target অমিল"",""""),IF(COUNTIF($B:$B,B6064)&gt;1,""ডুপ্লিকেট"",""""))"),"")</f>
        <v/>
      </c>
      <c r="Q6064" s="5" t="str">
        <f t="shared" si="1"/>
        <v>২ পরে</v>
      </c>
    </row>
    <row r="6065">
      <c r="A6065" s="4">
        <v>3952.0</v>
      </c>
      <c r="B6065" s="2" t="s">
        <v>24808</v>
      </c>
      <c r="C6065" s="2" t="s">
        <v>24808</v>
      </c>
      <c r="D6065" s="2" t="s">
        <v>24809</v>
      </c>
      <c r="E6065" s="2" t="s">
        <v>24810</v>
      </c>
      <c r="F6065" s="2" t="b">
        <v>1</v>
      </c>
      <c r="G6065" s="2" t="b">
        <v>0</v>
      </c>
      <c r="H6065" s="2" t="s">
        <v>37</v>
      </c>
      <c r="I6065" s="2" t="s">
        <v>22</v>
      </c>
      <c r="J6065" s="2" t="s">
        <v>964</v>
      </c>
      <c r="K6065" s="2" t="s">
        <v>495</v>
      </c>
      <c r="L6065" s="13" t="s">
        <v>496</v>
      </c>
      <c r="M6065" s="2" t="s">
        <v>26</v>
      </c>
      <c r="N6065" s="29"/>
      <c r="O6065" s="29"/>
      <c r="P6065" s="5" t="str">
        <f>IFERROR(__xludf.DUMMYFUNCTION("TEXTJOIN("" | "",TRUE,IF(OR(D6065="""",E6065="""",I6065="""",J6065="""",H6065=""""),""ফাঁকা ঘর"",""""),IF(AND(C6065&lt;&gt;"""",D6065&lt;&gt;"""",C6065=D6065),""gloss=figurative"",""""),IF(LEN(D6065)&lt;15,""figurative ছোট"",""""),IF(AND(I6065=""Positive"",REGEXMATCH(H6"&amp;"065,""মূর্খ|ভণ্ড|প্রতার|অলস|লোভ|স্বার্থ|অক্ষম|অযোগ্য|বোকা|কৃপণ|হিংস"")),""valence-target অমিল"",""""),IF(COUNTIF($B:$B,B6065)&gt;1,""ডুপ্লিকেট"",""""))"),"")</f>
        <v/>
      </c>
      <c r="Q6065" s="5" t="str">
        <f t="shared" si="1"/>
        <v>২ পরে</v>
      </c>
    </row>
    <row r="6066">
      <c r="A6066" s="4">
        <v>3953.0</v>
      </c>
      <c r="B6066" s="2" t="s">
        <v>24811</v>
      </c>
      <c r="C6066" s="2" t="s">
        <v>24812</v>
      </c>
      <c r="D6066" s="2" t="s">
        <v>24813</v>
      </c>
      <c r="E6066" s="2" t="s">
        <v>24814</v>
      </c>
      <c r="F6066" s="2" t="b">
        <v>1</v>
      </c>
      <c r="G6066" s="2" t="b">
        <v>0</v>
      </c>
      <c r="H6066" s="2" t="s">
        <v>37</v>
      </c>
      <c r="I6066" s="2" t="s">
        <v>22</v>
      </c>
      <c r="J6066" s="2" t="s">
        <v>669</v>
      </c>
      <c r="K6066" s="2" t="s">
        <v>495</v>
      </c>
      <c r="L6066" s="13" t="s">
        <v>496</v>
      </c>
      <c r="M6066" s="2" t="s">
        <v>26</v>
      </c>
      <c r="N6066" s="29"/>
      <c r="O6066" s="29"/>
      <c r="P6066" s="5" t="str">
        <f>IFERROR(__xludf.DUMMYFUNCTION("TEXTJOIN("" | "",TRUE,IF(OR(D6066="""",E6066="""",I6066="""",J6066="""",H6066=""""),""ফাঁকা ঘর"",""""),IF(AND(C6066&lt;&gt;"""",D6066&lt;&gt;"""",C6066=D6066),""gloss=figurative"",""""),IF(LEN(D6066)&lt;15,""figurative ছোট"",""""),IF(AND(I6066=""Positive"",REGEXMATCH(H6"&amp;"066,""মূর্খ|ভণ্ড|প্রতার|অলস|লোভ|স্বার্থ|অক্ষম|অযোগ্য|বোকা|কৃপণ|হিংস"")),""valence-target অমিল"",""""),IF(COUNTIF($B:$B,B6066)&gt;1,""ডুপ্লিকেট"",""""))"),"")</f>
        <v/>
      </c>
      <c r="Q6066" s="5" t="str">
        <f t="shared" si="1"/>
        <v>২ পরে</v>
      </c>
    </row>
    <row r="6067">
      <c r="A6067" s="4">
        <v>3954.0</v>
      </c>
      <c r="B6067" s="2" t="s">
        <v>24815</v>
      </c>
      <c r="C6067" s="2" t="s">
        <v>24815</v>
      </c>
      <c r="D6067" s="2" t="s">
        <v>24816</v>
      </c>
      <c r="E6067" s="2" t="s">
        <v>24817</v>
      </c>
      <c r="F6067" s="2" t="b">
        <v>1</v>
      </c>
      <c r="G6067" s="2" t="b">
        <v>0</v>
      </c>
      <c r="H6067" s="2" t="s">
        <v>37</v>
      </c>
      <c r="I6067" s="2" t="s">
        <v>22</v>
      </c>
      <c r="J6067" s="2" t="s">
        <v>762</v>
      </c>
      <c r="K6067" s="2" t="s">
        <v>495</v>
      </c>
      <c r="L6067" s="13" t="s">
        <v>496</v>
      </c>
      <c r="M6067" s="2" t="s">
        <v>26</v>
      </c>
      <c r="N6067" s="29"/>
      <c r="O6067" s="29"/>
      <c r="P6067" s="5" t="str">
        <f>IFERROR(__xludf.DUMMYFUNCTION("TEXTJOIN("" | "",TRUE,IF(OR(D6067="""",E6067="""",I6067="""",J6067="""",H6067=""""),""ফাঁকা ঘর"",""""),IF(AND(C6067&lt;&gt;"""",D6067&lt;&gt;"""",C6067=D6067),""gloss=figurative"",""""),IF(LEN(D6067)&lt;15,""figurative ছোট"",""""),IF(AND(I6067=""Positive"",REGEXMATCH(H6"&amp;"067,""মূর্খ|ভণ্ড|প্রতার|অলস|লোভ|স্বার্থ|অক্ষম|অযোগ্য|বোকা|কৃপণ|হিংস"")),""valence-target অমিল"",""""),IF(COUNTIF($B:$B,B6067)&gt;1,""ডুপ্লিকেট"",""""))"),"")</f>
        <v/>
      </c>
      <c r="Q6067" s="5" t="str">
        <f t="shared" si="1"/>
        <v>২ পরে</v>
      </c>
    </row>
    <row r="6068">
      <c r="A6068" s="4">
        <v>3955.0</v>
      </c>
      <c r="B6068" s="2" t="s">
        <v>24818</v>
      </c>
      <c r="C6068" s="2" t="s">
        <v>24819</v>
      </c>
      <c r="D6068" s="2" t="s">
        <v>24820</v>
      </c>
      <c r="E6068" s="2" t="s">
        <v>24821</v>
      </c>
      <c r="F6068" s="2" t="b">
        <v>1</v>
      </c>
      <c r="G6068" s="2" t="b">
        <v>0</v>
      </c>
      <c r="H6068" s="2" t="s">
        <v>37</v>
      </c>
      <c r="I6068" s="2" t="s">
        <v>22</v>
      </c>
      <c r="J6068" s="2" t="s">
        <v>581</v>
      </c>
      <c r="K6068" s="2" t="s">
        <v>495</v>
      </c>
      <c r="L6068" s="13" t="s">
        <v>496</v>
      </c>
      <c r="M6068" s="2" t="s">
        <v>26</v>
      </c>
      <c r="N6068" s="29"/>
      <c r="O6068" s="29"/>
      <c r="P6068" s="5" t="str">
        <f>IFERROR(__xludf.DUMMYFUNCTION("TEXTJOIN("" | "",TRUE,IF(OR(D6068="""",E6068="""",I6068="""",J6068="""",H6068=""""),""ফাঁকা ঘর"",""""),IF(AND(C6068&lt;&gt;"""",D6068&lt;&gt;"""",C6068=D6068),""gloss=figurative"",""""),IF(LEN(D6068)&lt;15,""figurative ছোট"",""""),IF(AND(I6068=""Positive"",REGEXMATCH(H6"&amp;"068,""মূর্খ|ভণ্ড|প্রতার|অলস|লোভ|স্বার্থ|অক্ষম|অযোগ্য|বোকা|কৃপণ|হিংস"")),""valence-target অমিল"",""""),IF(COUNTIF($B:$B,B6068)&gt;1,""ডুপ্লিকেট"",""""))"),"")</f>
        <v/>
      </c>
      <c r="Q6068" s="5" t="str">
        <f t="shared" si="1"/>
        <v>২ পরে</v>
      </c>
    </row>
    <row r="6069">
      <c r="A6069" s="4">
        <v>3956.0</v>
      </c>
      <c r="B6069" s="2" t="s">
        <v>24822</v>
      </c>
      <c r="C6069" s="2" t="s">
        <v>24822</v>
      </c>
      <c r="D6069" s="2" t="s">
        <v>24823</v>
      </c>
      <c r="E6069" s="2" t="s">
        <v>24824</v>
      </c>
      <c r="F6069" s="2" t="b">
        <v>1</v>
      </c>
      <c r="G6069" s="2" t="b">
        <v>0</v>
      </c>
      <c r="H6069" s="2" t="s">
        <v>37</v>
      </c>
      <c r="I6069" s="2" t="s">
        <v>32</v>
      </c>
      <c r="J6069" s="2" t="s">
        <v>21308</v>
      </c>
      <c r="K6069" s="2" t="s">
        <v>495</v>
      </c>
      <c r="L6069" s="13" t="s">
        <v>496</v>
      </c>
      <c r="M6069" s="2" t="s">
        <v>26</v>
      </c>
      <c r="N6069" s="29"/>
      <c r="O6069" s="29"/>
      <c r="P6069" s="5" t="str">
        <f>IFERROR(__xludf.DUMMYFUNCTION("TEXTJOIN("" | "",TRUE,IF(OR(D6069="""",E6069="""",I6069="""",J6069="""",H6069=""""),""ফাঁকা ঘর"",""""),IF(AND(C6069&lt;&gt;"""",D6069&lt;&gt;"""",C6069=D6069),""gloss=figurative"",""""),IF(LEN(D6069)&lt;15,""figurative ছোট"",""""),IF(AND(I6069=""Positive"",REGEXMATCH(H6"&amp;"069,""মূর্খ|ভণ্ড|প্রতার|অলস|লোভ|স্বার্থ|অক্ষম|অযোগ্য|বোকা|কৃপণ|হিংস"")),""valence-target অমিল"",""""),IF(COUNTIF($B:$B,B6069)&gt;1,""ডুপ্লিকেট"",""""))"),"")</f>
        <v/>
      </c>
      <c r="Q6069" s="5" t="str">
        <f t="shared" si="1"/>
        <v>২ পরে</v>
      </c>
    </row>
    <row r="6070">
      <c r="A6070" s="4">
        <v>3957.0</v>
      </c>
      <c r="B6070" s="2" t="s">
        <v>24825</v>
      </c>
      <c r="C6070" s="2" t="s">
        <v>24826</v>
      </c>
      <c r="D6070" s="2" t="s">
        <v>24827</v>
      </c>
      <c r="E6070" s="2" t="s">
        <v>24828</v>
      </c>
      <c r="F6070" s="2" t="b">
        <v>1</v>
      </c>
      <c r="G6070" s="2" t="b">
        <v>0</v>
      </c>
      <c r="H6070" s="2" t="s">
        <v>37</v>
      </c>
      <c r="I6070" s="2" t="s">
        <v>22</v>
      </c>
      <c r="J6070" s="2" t="s">
        <v>24829</v>
      </c>
      <c r="K6070" s="2" t="s">
        <v>495</v>
      </c>
      <c r="L6070" s="13" t="s">
        <v>496</v>
      </c>
      <c r="M6070" s="2" t="s">
        <v>26</v>
      </c>
      <c r="N6070" s="29"/>
      <c r="O6070" s="29"/>
      <c r="P6070" s="5" t="str">
        <f>IFERROR(__xludf.DUMMYFUNCTION("TEXTJOIN("" | "",TRUE,IF(OR(D6070="""",E6070="""",I6070="""",J6070="""",H6070=""""),""ফাঁকা ঘর"",""""),IF(AND(C6070&lt;&gt;"""",D6070&lt;&gt;"""",C6070=D6070),""gloss=figurative"",""""),IF(LEN(D6070)&lt;15,""figurative ছোট"",""""),IF(AND(I6070=""Positive"",REGEXMATCH(H6"&amp;"070,""মূর্খ|ভণ্ড|প্রতার|অলস|লোভ|স্বার্থ|অক্ষম|অযোগ্য|বোকা|কৃপণ|হিংস"")),""valence-target অমিল"",""""),IF(COUNTIF($B:$B,B6070)&gt;1,""ডুপ্লিকেট"",""""))"),"")</f>
        <v/>
      </c>
      <c r="Q6070" s="5" t="str">
        <f t="shared" si="1"/>
        <v>২ পরে</v>
      </c>
    </row>
    <row r="6071">
      <c r="A6071" s="4">
        <v>3958.0</v>
      </c>
      <c r="B6071" s="2" t="s">
        <v>24830</v>
      </c>
      <c r="C6071" s="2" t="s">
        <v>24831</v>
      </c>
      <c r="D6071" s="2" t="s">
        <v>24832</v>
      </c>
      <c r="E6071" s="2" t="s">
        <v>24833</v>
      </c>
      <c r="F6071" s="2" t="b">
        <v>1</v>
      </c>
      <c r="G6071" s="2" t="b">
        <v>0</v>
      </c>
      <c r="H6071" s="2" t="s">
        <v>37</v>
      </c>
      <c r="I6071" s="2" t="s">
        <v>32</v>
      </c>
      <c r="J6071" s="2" t="s">
        <v>202</v>
      </c>
      <c r="K6071" s="2" t="s">
        <v>495</v>
      </c>
      <c r="L6071" s="13" t="s">
        <v>496</v>
      </c>
      <c r="M6071" s="2" t="s">
        <v>26</v>
      </c>
      <c r="N6071" s="29"/>
      <c r="O6071" s="29"/>
      <c r="P6071" s="5" t="str">
        <f>IFERROR(__xludf.DUMMYFUNCTION("TEXTJOIN("" | "",TRUE,IF(OR(D6071="""",E6071="""",I6071="""",J6071="""",H6071=""""),""ফাঁকা ঘর"",""""),IF(AND(C6071&lt;&gt;"""",D6071&lt;&gt;"""",C6071=D6071),""gloss=figurative"",""""),IF(LEN(D6071)&lt;15,""figurative ছোট"",""""),IF(AND(I6071=""Positive"",REGEXMATCH(H6"&amp;"071,""মূর্খ|ভণ্ড|প্রতার|অলস|লোভ|স্বার্থ|অক্ষম|অযোগ্য|বোকা|কৃপণ|হিংস"")),""valence-target অমিল"",""""),IF(COUNTIF($B:$B,B6071)&gt;1,""ডুপ্লিকেট"",""""))"),"")</f>
        <v/>
      </c>
      <c r="Q6071" s="5" t="str">
        <f t="shared" si="1"/>
        <v>২ পরে</v>
      </c>
    </row>
    <row r="6072">
      <c r="A6072" s="4">
        <v>3959.0</v>
      </c>
      <c r="B6072" s="2" t="s">
        <v>24834</v>
      </c>
      <c r="C6072" s="2" t="s">
        <v>24835</v>
      </c>
      <c r="D6072" s="2" t="s">
        <v>24836</v>
      </c>
      <c r="E6072" s="2" t="s">
        <v>24837</v>
      </c>
      <c r="F6072" s="2" t="b">
        <v>1</v>
      </c>
      <c r="G6072" s="2" t="b">
        <v>0</v>
      </c>
      <c r="H6072" s="2" t="s">
        <v>37</v>
      </c>
      <c r="I6072" s="2" t="s">
        <v>22</v>
      </c>
      <c r="J6072" s="2" t="s">
        <v>1117</v>
      </c>
      <c r="K6072" s="2" t="s">
        <v>495</v>
      </c>
      <c r="L6072" s="13" t="s">
        <v>496</v>
      </c>
      <c r="M6072" s="2" t="s">
        <v>26</v>
      </c>
      <c r="N6072" s="29"/>
      <c r="O6072" s="29"/>
      <c r="P6072" s="5" t="str">
        <f>IFERROR(__xludf.DUMMYFUNCTION("TEXTJOIN("" | "",TRUE,IF(OR(D6072="""",E6072="""",I6072="""",J6072="""",H6072=""""),""ফাঁকা ঘর"",""""),IF(AND(C6072&lt;&gt;"""",D6072&lt;&gt;"""",C6072=D6072),""gloss=figurative"",""""),IF(LEN(D6072)&lt;15,""figurative ছোট"",""""),IF(AND(I6072=""Positive"",REGEXMATCH(H6"&amp;"072,""মূর্খ|ভণ্ড|প্রতার|অলস|লোভ|স্বার্থ|অক্ষম|অযোগ্য|বোকা|কৃপণ|হিংস"")),""valence-target অমিল"",""""),IF(COUNTIF($B:$B,B6072)&gt;1,""ডুপ্লিকেট"",""""))"),"")</f>
        <v/>
      </c>
      <c r="Q6072" s="5" t="str">
        <f t="shared" si="1"/>
        <v>২ পরে</v>
      </c>
    </row>
    <row r="6073">
      <c r="A6073" s="4">
        <v>3960.0</v>
      </c>
      <c r="B6073" s="2" t="s">
        <v>24838</v>
      </c>
      <c r="C6073" s="2" t="s">
        <v>24839</v>
      </c>
      <c r="D6073" s="2" t="s">
        <v>24840</v>
      </c>
      <c r="E6073" s="2" t="s">
        <v>24841</v>
      </c>
      <c r="F6073" s="2" t="b">
        <v>1</v>
      </c>
      <c r="G6073" s="2" t="b">
        <v>0</v>
      </c>
      <c r="H6073" s="2" t="s">
        <v>37</v>
      </c>
      <c r="I6073" s="2" t="s">
        <v>22</v>
      </c>
      <c r="J6073" s="2" t="s">
        <v>1117</v>
      </c>
      <c r="K6073" s="2" t="s">
        <v>495</v>
      </c>
      <c r="L6073" s="13" t="s">
        <v>496</v>
      </c>
      <c r="M6073" s="2" t="s">
        <v>26</v>
      </c>
      <c r="N6073" s="29"/>
      <c r="O6073" s="29"/>
      <c r="P6073" s="5" t="str">
        <f>IFERROR(__xludf.DUMMYFUNCTION("TEXTJOIN("" | "",TRUE,IF(OR(D6073="""",E6073="""",I6073="""",J6073="""",H6073=""""),""ফাঁকা ঘর"",""""),IF(AND(C6073&lt;&gt;"""",D6073&lt;&gt;"""",C6073=D6073),""gloss=figurative"",""""),IF(LEN(D6073)&lt;15,""figurative ছোট"",""""),IF(AND(I6073=""Positive"",REGEXMATCH(H6"&amp;"073,""মূর্খ|ভণ্ড|প্রতার|অলস|লোভ|স্বার্থ|অক্ষম|অযোগ্য|বোকা|কৃপণ|হিংস"")),""valence-target অমিল"",""""),IF(COUNTIF($B:$B,B6073)&gt;1,""ডুপ্লিকেট"",""""))"),"")</f>
        <v/>
      </c>
      <c r="Q6073" s="5" t="str">
        <f t="shared" si="1"/>
        <v>২ পরে</v>
      </c>
    </row>
    <row r="6074">
      <c r="A6074" s="4">
        <v>3961.0</v>
      </c>
      <c r="B6074" s="2" t="s">
        <v>24842</v>
      </c>
      <c r="C6074" s="2" t="s">
        <v>24843</v>
      </c>
      <c r="D6074" s="2" t="s">
        <v>24844</v>
      </c>
      <c r="E6074" s="2" t="s">
        <v>24845</v>
      </c>
      <c r="F6074" s="2" t="b">
        <v>1</v>
      </c>
      <c r="G6074" s="2" t="b">
        <v>0</v>
      </c>
      <c r="H6074" s="2" t="s">
        <v>14339</v>
      </c>
      <c r="I6074" s="2" t="s">
        <v>49</v>
      </c>
      <c r="J6074" s="2" t="s">
        <v>1621</v>
      </c>
      <c r="K6074" s="2" t="s">
        <v>495</v>
      </c>
      <c r="L6074" s="13" t="s">
        <v>496</v>
      </c>
      <c r="M6074" s="2" t="s">
        <v>26</v>
      </c>
      <c r="N6074" s="29"/>
      <c r="O6074" s="29"/>
      <c r="P6074" s="5" t="str">
        <f>IFERROR(__xludf.DUMMYFUNCTION("TEXTJOIN("" | "",TRUE,IF(OR(D6074="""",E6074="""",I6074="""",J6074="""",H6074=""""),""ফাঁকা ঘর"",""""),IF(AND(C6074&lt;&gt;"""",D6074&lt;&gt;"""",C6074=D6074),""gloss=figurative"",""""),IF(LEN(D6074)&lt;15,""figurative ছোট"",""""),IF(AND(I6074=""Positive"",REGEXMATCH(H6"&amp;"074,""মূর্খ|ভণ্ড|প্রতার|অলস|লোভ|স্বার্থ|অক্ষম|অযোগ্য|বোকা|কৃপণ|হিংস"")),""valence-target অমিল"",""""),IF(COUNTIF($B:$B,B6074)&gt;1,""ডুপ্লিকেট"",""""))"),"")</f>
        <v/>
      </c>
      <c r="Q6074" s="5" t="str">
        <f t="shared" si="1"/>
        <v>২ পরে</v>
      </c>
    </row>
    <row r="6075">
      <c r="A6075" s="4">
        <v>3962.0</v>
      </c>
      <c r="B6075" s="2" t="s">
        <v>24846</v>
      </c>
      <c r="C6075" s="2" t="s">
        <v>24847</v>
      </c>
      <c r="D6075" s="2" t="s">
        <v>24848</v>
      </c>
      <c r="E6075" s="2" t="s">
        <v>24849</v>
      </c>
      <c r="F6075" s="2" t="b">
        <v>1</v>
      </c>
      <c r="G6075" s="2" t="b">
        <v>0</v>
      </c>
      <c r="H6075" s="2" t="s">
        <v>37</v>
      </c>
      <c r="I6075" s="2" t="s">
        <v>49</v>
      </c>
      <c r="J6075" s="2" t="s">
        <v>1239</v>
      </c>
      <c r="K6075" s="2" t="s">
        <v>495</v>
      </c>
      <c r="L6075" s="13" t="s">
        <v>496</v>
      </c>
      <c r="M6075" s="2" t="s">
        <v>26</v>
      </c>
      <c r="N6075" s="29"/>
      <c r="O6075" s="29"/>
      <c r="P6075" s="5" t="str">
        <f>IFERROR(__xludf.DUMMYFUNCTION("TEXTJOIN("" | "",TRUE,IF(OR(D6075="""",E6075="""",I6075="""",J6075="""",H6075=""""),""ফাঁকা ঘর"",""""),IF(AND(C6075&lt;&gt;"""",D6075&lt;&gt;"""",C6075=D6075),""gloss=figurative"",""""),IF(LEN(D6075)&lt;15,""figurative ছোট"",""""),IF(AND(I6075=""Positive"",REGEXMATCH(H6"&amp;"075,""মূর্খ|ভণ্ড|প্রতার|অলস|লোভ|স্বার্থ|অক্ষম|অযোগ্য|বোকা|কৃপণ|হিংস"")),""valence-target অমিল"",""""),IF(COUNTIF($B:$B,B6075)&gt;1,""ডুপ্লিকেট"",""""))"),"")</f>
        <v/>
      </c>
      <c r="Q6075" s="5" t="str">
        <f t="shared" si="1"/>
        <v>২ পরে</v>
      </c>
    </row>
    <row r="6076">
      <c r="A6076" s="4">
        <v>3963.0</v>
      </c>
      <c r="B6076" s="2" t="s">
        <v>24850</v>
      </c>
      <c r="C6076" s="2" t="s">
        <v>24851</v>
      </c>
      <c r="D6076" s="2" t="s">
        <v>24852</v>
      </c>
      <c r="E6076" s="2" t="s">
        <v>24853</v>
      </c>
      <c r="F6076" s="2" t="b">
        <v>1</v>
      </c>
      <c r="G6076" s="2" t="b">
        <v>0</v>
      </c>
      <c r="H6076" s="2" t="s">
        <v>37</v>
      </c>
      <c r="I6076" s="2" t="s">
        <v>49</v>
      </c>
      <c r="J6076" s="2" t="s">
        <v>2122</v>
      </c>
      <c r="K6076" s="2" t="s">
        <v>495</v>
      </c>
      <c r="L6076" s="13" t="s">
        <v>496</v>
      </c>
      <c r="M6076" s="2" t="s">
        <v>26</v>
      </c>
      <c r="N6076" s="29"/>
      <c r="O6076" s="29"/>
      <c r="P6076" s="5" t="str">
        <f>IFERROR(__xludf.DUMMYFUNCTION("TEXTJOIN("" | "",TRUE,IF(OR(D6076="""",E6076="""",I6076="""",J6076="""",H6076=""""),""ফাঁকা ঘর"",""""),IF(AND(C6076&lt;&gt;"""",D6076&lt;&gt;"""",C6076=D6076),""gloss=figurative"",""""),IF(LEN(D6076)&lt;15,""figurative ছোট"",""""),IF(AND(I6076=""Positive"",REGEXMATCH(H6"&amp;"076,""মূর্খ|ভণ্ড|প্রতার|অলস|লোভ|স্বার্থ|অক্ষম|অযোগ্য|বোকা|কৃপণ|হিংস"")),""valence-target অমিল"",""""),IF(COUNTIF($B:$B,B6076)&gt;1,""ডুপ্লিকেট"",""""))"),"")</f>
        <v/>
      </c>
      <c r="Q6076" s="5" t="str">
        <f t="shared" si="1"/>
        <v>২ পরে</v>
      </c>
    </row>
    <row r="6077">
      <c r="A6077" s="4">
        <v>3964.0</v>
      </c>
      <c r="B6077" s="2" t="s">
        <v>24854</v>
      </c>
      <c r="C6077" s="2" t="s">
        <v>24855</v>
      </c>
      <c r="D6077" s="2" t="s">
        <v>24856</v>
      </c>
      <c r="E6077" s="2" t="s">
        <v>24857</v>
      </c>
      <c r="F6077" s="2" t="b">
        <v>1</v>
      </c>
      <c r="G6077" s="2" t="b">
        <v>0</v>
      </c>
      <c r="H6077" s="2" t="s">
        <v>37</v>
      </c>
      <c r="I6077" s="2" t="s">
        <v>49</v>
      </c>
      <c r="J6077" s="2" t="s">
        <v>11358</v>
      </c>
      <c r="K6077" s="2" t="s">
        <v>495</v>
      </c>
      <c r="L6077" s="13" t="s">
        <v>496</v>
      </c>
      <c r="M6077" s="2" t="s">
        <v>26</v>
      </c>
      <c r="N6077" s="29"/>
      <c r="O6077" s="29"/>
      <c r="P6077" s="5" t="str">
        <f>IFERROR(__xludf.DUMMYFUNCTION("TEXTJOIN("" | "",TRUE,IF(OR(D6077="""",E6077="""",I6077="""",J6077="""",H6077=""""),""ফাঁকা ঘর"",""""),IF(AND(C6077&lt;&gt;"""",D6077&lt;&gt;"""",C6077=D6077),""gloss=figurative"",""""),IF(LEN(D6077)&lt;15,""figurative ছোট"",""""),IF(AND(I6077=""Positive"",REGEXMATCH(H6"&amp;"077,""মূর্খ|ভণ্ড|প্রতার|অলস|লোভ|স্বার্থ|অক্ষম|অযোগ্য|বোকা|কৃপণ|হিংস"")),""valence-target অমিল"",""""),IF(COUNTIF($B:$B,B6077)&gt;1,""ডুপ্লিকেট"",""""))"),"")</f>
        <v/>
      </c>
      <c r="Q6077" s="5" t="str">
        <f t="shared" si="1"/>
        <v>২ পরে</v>
      </c>
    </row>
    <row r="6078">
      <c r="A6078" s="4">
        <v>3965.0</v>
      </c>
      <c r="B6078" s="2" t="s">
        <v>24858</v>
      </c>
      <c r="C6078" s="2" t="s">
        <v>24858</v>
      </c>
      <c r="D6078" s="2" t="s">
        <v>24859</v>
      </c>
      <c r="E6078" s="2" t="s">
        <v>24860</v>
      </c>
      <c r="F6078" s="2" t="b">
        <v>1</v>
      </c>
      <c r="G6078" s="2" t="b">
        <v>0</v>
      </c>
      <c r="H6078" s="2" t="s">
        <v>9452</v>
      </c>
      <c r="I6078" s="2" t="s">
        <v>22</v>
      </c>
      <c r="J6078" s="2" t="s">
        <v>1895</v>
      </c>
      <c r="K6078" s="2" t="s">
        <v>495</v>
      </c>
      <c r="L6078" s="13" t="s">
        <v>496</v>
      </c>
      <c r="M6078" s="2" t="s">
        <v>26</v>
      </c>
      <c r="N6078" s="29"/>
      <c r="O6078" s="29"/>
      <c r="P6078" s="5" t="str">
        <f>IFERROR(__xludf.DUMMYFUNCTION("TEXTJOIN("" | "",TRUE,IF(OR(D6078="""",E6078="""",I6078="""",J6078="""",H6078=""""),""ফাঁকা ঘর"",""""),IF(AND(C6078&lt;&gt;"""",D6078&lt;&gt;"""",C6078=D6078),""gloss=figurative"",""""),IF(LEN(D6078)&lt;15,""figurative ছোট"",""""),IF(AND(I6078=""Positive"",REGEXMATCH(H6"&amp;"078,""মূর্খ|ভণ্ড|প্রতার|অলস|লোভ|স্বার্থ|অক্ষম|অযোগ্য|বোকা|কৃপণ|হিংস"")),""valence-target অমিল"",""""),IF(COUNTIF($B:$B,B6078)&gt;1,""ডুপ্লিকেট"",""""))"),"")</f>
        <v/>
      </c>
      <c r="Q6078" s="5" t="str">
        <f t="shared" si="1"/>
        <v>২ পরে</v>
      </c>
    </row>
    <row r="6079">
      <c r="A6079" s="4">
        <v>3966.0</v>
      </c>
      <c r="B6079" s="2" t="s">
        <v>24861</v>
      </c>
      <c r="C6079" s="2" t="s">
        <v>24862</v>
      </c>
      <c r="D6079" s="2" t="s">
        <v>24863</v>
      </c>
      <c r="E6079" s="2" t="s">
        <v>24864</v>
      </c>
      <c r="F6079" s="2" t="b">
        <v>1</v>
      </c>
      <c r="G6079" s="2" t="b">
        <v>0</v>
      </c>
      <c r="H6079" s="2" t="s">
        <v>37</v>
      </c>
      <c r="I6079" s="2" t="s">
        <v>22</v>
      </c>
      <c r="J6079" s="2" t="s">
        <v>1656</v>
      </c>
      <c r="K6079" s="2" t="s">
        <v>495</v>
      </c>
      <c r="L6079" s="13" t="s">
        <v>496</v>
      </c>
      <c r="M6079" s="2" t="s">
        <v>26</v>
      </c>
      <c r="N6079" s="29"/>
      <c r="O6079" s="29"/>
      <c r="P6079" s="5" t="str">
        <f>IFERROR(__xludf.DUMMYFUNCTION("TEXTJOIN("" | "",TRUE,IF(OR(D6079="""",E6079="""",I6079="""",J6079="""",H6079=""""),""ফাঁকা ঘর"",""""),IF(AND(C6079&lt;&gt;"""",D6079&lt;&gt;"""",C6079=D6079),""gloss=figurative"",""""),IF(LEN(D6079)&lt;15,""figurative ছোট"",""""),IF(AND(I6079=""Positive"",REGEXMATCH(H6"&amp;"079,""মূর্খ|ভণ্ড|প্রতার|অলস|লোভ|স্বার্থ|অক্ষম|অযোগ্য|বোকা|কৃপণ|হিংস"")),""valence-target অমিল"",""""),IF(COUNTIF($B:$B,B6079)&gt;1,""ডুপ্লিকেট"",""""))"),"")</f>
        <v/>
      </c>
      <c r="Q6079" s="5" t="str">
        <f t="shared" si="1"/>
        <v>২ পরে</v>
      </c>
    </row>
    <row r="6080">
      <c r="A6080" s="4">
        <v>3967.0</v>
      </c>
      <c r="B6080" s="2" t="s">
        <v>24865</v>
      </c>
      <c r="C6080" s="2" t="s">
        <v>24866</v>
      </c>
      <c r="D6080" s="2" t="s">
        <v>24867</v>
      </c>
      <c r="E6080" s="2" t="s">
        <v>24868</v>
      </c>
      <c r="F6080" s="2" t="b">
        <v>1</v>
      </c>
      <c r="G6080" s="2" t="b">
        <v>0</v>
      </c>
      <c r="H6080" s="2" t="s">
        <v>24869</v>
      </c>
      <c r="I6080" s="2" t="s">
        <v>22</v>
      </c>
      <c r="J6080" s="2" t="s">
        <v>15507</v>
      </c>
      <c r="K6080" s="2" t="s">
        <v>495</v>
      </c>
      <c r="L6080" s="13" t="s">
        <v>496</v>
      </c>
      <c r="M6080" s="2" t="s">
        <v>26</v>
      </c>
      <c r="N6080" s="29"/>
      <c r="O6080" s="29"/>
      <c r="P6080" s="5" t="str">
        <f>IFERROR(__xludf.DUMMYFUNCTION("TEXTJOIN("" | "",TRUE,IF(OR(D6080="""",E6080="""",I6080="""",J6080="""",H6080=""""),""ফাঁকা ঘর"",""""),IF(AND(C6080&lt;&gt;"""",D6080&lt;&gt;"""",C6080=D6080),""gloss=figurative"",""""),IF(LEN(D6080)&lt;15,""figurative ছোট"",""""),IF(AND(I6080=""Positive"",REGEXMATCH(H6"&amp;"080,""মূর্খ|ভণ্ড|প্রতার|অলস|লোভ|স্বার্থ|অক্ষম|অযোগ্য|বোকা|কৃপণ|হিংস"")),""valence-target অমিল"",""""),IF(COUNTIF($B:$B,B6080)&gt;1,""ডুপ্লিকেট"",""""))"),"")</f>
        <v/>
      </c>
      <c r="Q6080" s="5" t="str">
        <f t="shared" si="1"/>
        <v>২ পরে</v>
      </c>
    </row>
    <row r="6081">
      <c r="A6081" s="4">
        <v>3968.0</v>
      </c>
      <c r="B6081" s="2" t="s">
        <v>24870</v>
      </c>
      <c r="C6081" s="2" t="s">
        <v>24871</v>
      </c>
      <c r="D6081" s="2" t="s">
        <v>24872</v>
      </c>
      <c r="E6081" s="2" t="s">
        <v>24873</v>
      </c>
      <c r="F6081" s="2" t="b">
        <v>1</v>
      </c>
      <c r="G6081" s="2" t="b">
        <v>0</v>
      </c>
      <c r="H6081" s="2" t="s">
        <v>37</v>
      </c>
      <c r="I6081" s="2" t="s">
        <v>32</v>
      </c>
      <c r="J6081" s="2" t="s">
        <v>1264</v>
      </c>
      <c r="K6081" s="2" t="s">
        <v>495</v>
      </c>
      <c r="L6081" s="13" t="s">
        <v>496</v>
      </c>
      <c r="M6081" s="2" t="s">
        <v>26</v>
      </c>
      <c r="N6081" s="29"/>
      <c r="O6081" s="29"/>
      <c r="P6081" s="5" t="str">
        <f>IFERROR(__xludf.DUMMYFUNCTION("TEXTJOIN("" | "",TRUE,IF(OR(D6081="""",E6081="""",I6081="""",J6081="""",H6081=""""),""ফাঁকা ঘর"",""""),IF(AND(C6081&lt;&gt;"""",D6081&lt;&gt;"""",C6081=D6081),""gloss=figurative"",""""),IF(LEN(D6081)&lt;15,""figurative ছোট"",""""),IF(AND(I6081=""Positive"",REGEXMATCH(H6"&amp;"081,""মূর্খ|ভণ্ড|প্রতার|অলস|লোভ|স্বার্থ|অক্ষম|অযোগ্য|বোকা|কৃপণ|হিংস"")),""valence-target অমিল"",""""),IF(COUNTIF($B:$B,B6081)&gt;1,""ডুপ্লিকেট"",""""))"),"")</f>
        <v/>
      </c>
      <c r="Q6081" s="5" t="str">
        <f t="shared" si="1"/>
        <v>২ পরে</v>
      </c>
    </row>
    <row r="6082">
      <c r="A6082" s="4">
        <v>3969.0</v>
      </c>
      <c r="B6082" s="2" t="s">
        <v>24874</v>
      </c>
      <c r="C6082" s="2" t="s">
        <v>24875</v>
      </c>
      <c r="D6082" s="2" t="s">
        <v>24876</v>
      </c>
      <c r="E6082" s="2" t="s">
        <v>24877</v>
      </c>
      <c r="F6082" s="2" t="b">
        <v>1</v>
      </c>
      <c r="G6082" s="2" t="b">
        <v>0</v>
      </c>
      <c r="H6082" s="2" t="s">
        <v>24878</v>
      </c>
      <c r="I6082" s="2" t="s">
        <v>22</v>
      </c>
      <c r="J6082" s="2" t="s">
        <v>5524</v>
      </c>
      <c r="K6082" s="2" t="s">
        <v>495</v>
      </c>
      <c r="L6082" s="13" t="s">
        <v>496</v>
      </c>
      <c r="M6082" s="2" t="s">
        <v>26</v>
      </c>
      <c r="N6082" s="29"/>
      <c r="O6082" s="29"/>
      <c r="P6082" s="5" t="str">
        <f>IFERROR(__xludf.DUMMYFUNCTION("TEXTJOIN("" | "",TRUE,IF(OR(D6082="""",E6082="""",I6082="""",J6082="""",H6082=""""),""ফাঁকা ঘর"",""""),IF(AND(C6082&lt;&gt;"""",D6082&lt;&gt;"""",C6082=D6082),""gloss=figurative"",""""),IF(LEN(D6082)&lt;15,""figurative ছোট"",""""),IF(AND(I6082=""Positive"",REGEXMATCH(H6"&amp;"082,""মূর্খ|ভণ্ড|প্রতার|অলস|লোভ|স্বার্থ|অক্ষম|অযোগ্য|বোকা|কৃপণ|হিংস"")),""valence-target অমিল"",""""),IF(COUNTIF($B:$B,B6082)&gt;1,""ডুপ্লিকেট"",""""))"),"")</f>
        <v/>
      </c>
      <c r="Q6082" s="5" t="str">
        <f t="shared" si="1"/>
        <v>২ পরে</v>
      </c>
    </row>
    <row r="6083">
      <c r="A6083" s="4">
        <v>3970.0</v>
      </c>
      <c r="B6083" s="2" t="s">
        <v>24879</v>
      </c>
      <c r="C6083" s="2" t="s">
        <v>24879</v>
      </c>
      <c r="D6083" s="2" t="s">
        <v>24880</v>
      </c>
      <c r="E6083" s="2" t="s">
        <v>24881</v>
      </c>
      <c r="F6083" s="2" t="b">
        <v>1</v>
      </c>
      <c r="G6083" s="2" t="b">
        <v>0</v>
      </c>
      <c r="H6083" s="2" t="s">
        <v>6041</v>
      </c>
      <c r="I6083" s="2" t="s">
        <v>49</v>
      </c>
      <c r="J6083" s="2" t="s">
        <v>1264</v>
      </c>
      <c r="K6083" s="2" t="s">
        <v>495</v>
      </c>
      <c r="L6083" s="13" t="s">
        <v>496</v>
      </c>
      <c r="M6083" s="2" t="s">
        <v>26</v>
      </c>
      <c r="N6083" s="29"/>
      <c r="O6083" s="29"/>
      <c r="P6083" s="5" t="str">
        <f>IFERROR(__xludf.DUMMYFUNCTION("TEXTJOIN("" | "",TRUE,IF(OR(D6083="""",E6083="""",I6083="""",J6083="""",H6083=""""),""ফাঁকা ঘর"",""""),IF(AND(C6083&lt;&gt;"""",D6083&lt;&gt;"""",C6083=D6083),""gloss=figurative"",""""),IF(LEN(D6083)&lt;15,""figurative ছোট"",""""),IF(AND(I6083=""Positive"",REGEXMATCH(H6"&amp;"083,""মূর্খ|ভণ্ড|প্রতার|অলস|লোভ|স্বার্থ|অক্ষম|অযোগ্য|বোকা|কৃপণ|হিংস"")),""valence-target অমিল"",""""),IF(COUNTIF($B:$B,B6083)&gt;1,""ডুপ্লিকেট"",""""))"),"")</f>
        <v/>
      </c>
      <c r="Q6083" s="5" t="str">
        <f t="shared" si="1"/>
        <v>২ পরে</v>
      </c>
    </row>
    <row r="6084">
      <c r="A6084" s="4">
        <v>3971.0</v>
      </c>
      <c r="B6084" s="2" t="s">
        <v>24882</v>
      </c>
      <c r="C6084" s="2" t="s">
        <v>24883</v>
      </c>
      <c r="D6084" s="2" t="s">
        <v>24884</v>
      </c>
      <c r="E6084" s="2" t="s">
        <v>24885</v>
      </c>
      <c r="F6084" s="2" t="b">
        <v>1</v>
      </c>
      <c r="G6084" s="2" t="b">
        <v>0</v>
      </c>
      <c r="H6084" s="2" t="s">
        <v>37</v>
      </c>
      <c r="I6084" s="2" t="s">
        <v>22</v>
      </c>
      <c r="J6084" s="2" t="s">
        <v>565</v>
      </c>
      <c r="K6084" s="2" t="s">
        <v>495</v>
      </c>
      <c r="L6084" s="13" t="s">
        <v>496</v>
      </c>
      <c r="M6084" s="2" t="s">
        <v>26</v>
      </c>
      <c r="N6084" s="29"/>
      <c r="O6084" s="29"/>
      <c r="P6084" s="5" t="str">
        <f>IFERROR(__xludf.DUMMYFUNCTION("TEXTJOIN("" | "",TRUE,IF(OR(D6084="""",E6084="""",I6084="""",J6084="""",H6084=""""),""ফাঁকা ঘর"",""""),IF(AND(C6084&lt;&gt;"""",D6084&lt;&gt;"""",C6084=D6084),""gloss=figurative"",""""),IF(LEN(D6084)&lt;15,""figurative ছোট"",""""),IF(AND(I6084=""Positive"",REGEXMATCH(H6"&amp;"084,""মূর্খ|ভণ্ড|প্রতার|অলস|লোভ|স্বার্থ|অক্ষম|অযোগ্য|বোকা|কৃপণ|হিংস"")),""valence-target অমিল"",""""),IF(COUNTIF($B:$B,B6084)&gt;1,""ডুপ্লিকেট"",""""))"),"")</f>
        <v/>
      </c>
      <c r="Q6084" s="5" t="str">
        <f t="shared" si="1"/>
        <v>২ পরে</v>
      </c>
    </row>
    <row r="6085">
      <c r="A6085" s="4">
        <v>3972.0</v>
      </c>
      <c r="B6085" s="2" t="s">
        <v>24886</v>
      </c>
      <c r="C6085" s="2" t="s">
        <v>24887</v>
      </c>
      <c r="D6085" s="2" t="s">
        <v>24888</v>
      </c>
      <c r="E6085" s="2" t="s">
        <v>24889</v>
      </c>
      <c r="F6085" s="2" t="b">
        <v>1</v>
      </c>
      <c r="G6085" s="2" t="b">
        <v>0</v>
      </c>
      <c r="H6085" s="2" t="s">
        <v>37</v>
      </c>
      <c r="I6085" s="2" t="s">
        <v>22</v>
      </c>
      <c r="J6085" s="2" t="s">
        <v>3356</v>
      </c>
      <c r="K6085" s="2" t="s">
        <v>495</v>
      </c>
      <c r="L6085" s="13" t="s">
        <v>496</v>
      </c>
      <c r="M6085" s="2" t="s">
        <v>26</v>
      </c>
      <c r="N6085" s="29"/>
      <c r="O6085" s="29"/>
      <c r="P6085" s="5" t="str">
        <f>IFERROR(__xludf.DUMMYFUNCTION("TEXTJOIN("" | "",TRUE,IF(OR(D6085="""",E6085="""",I6085="""",J6085="""",H6085=""""),""ফাঁকা ঘর"",""""),IF(AND(C6085&lt;&gt;"""",D6085&lt;&gt;"""",C6085=D6085),""gloss=figurative"",""""),IF(LEN(D6085)&lt;15,""figurative ছোট"",""""),IF(AND(I6085=""Positive"",REGEXMATCH(H6"&amp;"085,""মূর্খ|ভণ্ড|প্রতার|অলস|লোভ|স্বার্থ|অক্ষম|অযোগ্য|বোকা|কৃপণ|হিংস"")),""valence-target অমিল"",""""),IF(COUNTIF($B:$B,B6085)&gt;1,""ডুপ্লিকেট"",""""))"),"")</f>
        <v/>
      </c>
      <c r="Q6085" s="5" t="str">
        <f t="shared" si="1"/>
        <v>২ পরে</v>
      </c>
    </row>
    <row r="6086">
      <c r="A6086" s="4">
        <v>3973.0</v>
      </c>
      <c r="B6086" s="2" t="s">
        <v>24890</v>
      </c>
      <c r="C6086" s="2" t="s">
        <v>24891</v>
      </c>
      <c r="D6086" s="2" t="s">
        <v>24892</v>
      </c>
      <c r="E6086" s="2" t="s">
        <v>24893</v>
      </c>
      <c r="F6086" s="2" t="b">
        <v>1</v>
      </c>
      <c r="G6086" s="2" t="b">
        <v>0</v>
      </c>
      <c r="H6086" s="2" t="s">
        <v>37</v>
      </c>
      <c r="I6086" s="2" t="s">
        <v>32</v>
      </c>
      <c r="J6086" s="2" t="s">
        <v>24894</v>
      </c>
      <c r="K6086" s="2" t="s">
        <v>495</v>
      </c>
      <c r="L6086" s="13" t="s">
        <v>496</v>
      </c>
      <c r="M6086" s="2" t="s">
        <v>26</v>
      </c>
      <c r="N6086" s="29"/>
      <c r="O6086" s="29"/>
      <c r="P6086" s="5" t="str">
        <f>IFERROR(__xludf.DUMMYFUNCTION("TEXTJOIN("" | "",TRUE,IF(OR(D6086="""",E6086="""",I6086="""",J6086="""",H6086=""""),""ফাঁকা ঘর"",""""),IF(AND(C6086&lt;&gt;"""",D6086&lt;&gt;"""",C6086=D6086),""gloss=figurative"",""""),IF(LEN(D6086)&lt;15,""figurative ছোট"",""""),IF(AND(I6086=""Positive"",REGEXMATCH(H6"&amp;"086,""মূর্খ|ভণ্ড|প্রতার|অলস|লোভ|স্বার্থ|অক্ষম|অযোগ্য|বোকা|কৃপণ|হিংস"")),""valence-target অমিল"",""""),IF(COUNTIF($B:$B,B6086)&gt;1,""ডুপ্লিকেট"",""""))"),"")</f>
        <v/>
      </c>
      <c r="Q6086" s="5" t="str">
        <f t="shared" si="1"/>
        <v>২ পরে</v>
      </c>
    </row>
    <row r="6087">
      <c r="A6087" s="4">
        <v>3974.0</v>
      </c>
      <c r="B6087" s="2" t="s">
        <v>24895</v>
      </c>
      <c r="C6087" s="2" t="s">
        <v>24896</v>
      </c>
      <c r="D6087" s="2" t="s">
        <v>24897</v>
      </c>
      <c r="E6087" s="2" t="s">
        <v>24898</v>
      </c>
      <c r="F6087" s="2" t="b">
        <v>1</v>
      </c>
      <c r="G6087" s="2" t="b">
        <v>0</v>
      </c>
      <c r="H6087" s="2" t="s">
        <v>37</v>
      </c>
      <c r="I6087" s="2" t="s">
        <v>49</v>
      </c>
      <c r="J6087" s="2" t="s">
        <v>4711</v>
      </c>
      <c r="K6087" s="2" t="s">
        <v>495</v>
      </c>
      <c r="L6087" s="13" t="s">
        <v>496</v>
      </c>
      <c r="M6087" s="2" t="s">
        <v>26</v>
      </c>
      <c r="N6087" s="29"/>
      <c r="O6087" s="29"/>
      <c r="P6087" s="5" t="str">
        <f>IFERROR(__xludf.DUMMYFUNCTION("TEXTJOIN("" | "",TRUE,IF(OR(D6087="""",E6087="""",I6087="""",J6087="""",H6087=""""),""ফাঁকা ঘর"",""""),IF(AND(C6087&lt;&gt;"""",D6087&lt;&gt;"""",C6087=D6087),""gloss=figurative"",""""),IF(LEN(D6087)&lt;15,""figurative ছোট"",""""),IF(AND(I6087=""Positive"",REGEXMATCH(H6"&amp;"087,""মূর্খ|ভণ্ড|প্রতার|অলস|লোভ|স্বার্থ|অক্ষম|অযোগ্য|বোকা|কৃপণ|হিংস"")),""valence-target অমিল"",""""),IF(COUNTIF($B:$B,B6087)&gt;1,""ডুপ্লিকেট"",""""))"),"")</f>
        <v/>
      </c>
      <c r="Q6087" s="5" t="str">
        <f t="shared" si="1"/>
        <v>২ পরে</v>
      </c>
    </row>
    <row r="6088">
      <c r="A6088" s="4">
        <v>3975.0</v>
      </c>
      <c r="B6088" s="2" t="s">
        <v>24899</v>
      </c>
      <c r="C6088" s="2" t="s">
        <v>24900</v>
      </c>
      <c r="D6088" s="2" t="s">
        <v>24901</v>
      </c>
      <c r="E6088" s="2" t="s">
        <v>24902</v>
      </c>
      <c r="F6088" s="2" t="b">
        <v>1</v>
      </c>
      <c r="G6088" s="2" t="b">
        <v>0</v>
      </c>
      <c r="H6088" s="2" t="s">
        <v>37</v>
      </c>
      <c r="I6088" s="2" t="s">
        <v>22</v>
      </c>
      <c r="J6088" s="2" t="s">
        <v>2675</v>
      </c>
      <c r="K6088" s="2" t="s">
        <v>495</v>
      </c>
      <c r="L6088" s="13" t="s">
        <v>496</v>
      </c>
      <c r="M6088" s="2" t="s">
        <v>26</v>
      </c>
      <c r="N6088" s="29"/>
      <c r="O6088" s="29"/>
      <c r="P6088" s="5" t="str">
        <f>IFERROR(__xludf.DUMMYFUNCTION("TEXTJOIN("" | "",TRUE,IF(OR(D6088="""",E6088="""",I6088="""",J6088="""",H6088=""""),""ফাঁকা ঘর"",""""),IF(AND(C6088&lt;&gt;"""",D6088&lt;&gt;"""",C6088=D6088),""gloss=figurative"",""""),IF(LEN(D6088)&lt;15,""figurative ছোট"",""""),IF(AND(I6088=""Positive"",REGEXMATCH(H6"&amp;"088,""মূর্খ|ভণ্ড|প্রতার|অলস|লোভ|স্বার্থ|অক্ষম|অযোগ্য|বোকা|কৃপণ|হিংস"")),""valence-target অমিল"",""""),IF(COUNTIF($B:$B,B6088)&gt;1,""ডুপ্লিকেট"",""""))"),"")</f>
        <v/>
      </c>
      <c r="Q6088" s="5" t="str">
        <f t="shared" si="1"/>
        <v>২ পরে</v>
      </c>
    </row>
    <row r="6089">
      <c r="A6089" s="4">
        <v>3976.0</v>
      </c>
      <c r="B6089" s="2" t="s">
        <v>24903</v>
      </c>
      <c r="C6089" s="2" t="s">
        <v>24904</v>
      </c>
      <c r="D6089" s="2" t="s">
        <v>24905</v>
      </c>
      <c r="E6089" s="2" t="s">
        <v>24906</v>
      </c>
      <c r="F6089" s="2" t="b">
        <v>1</v>
      </c>
      <c r="G6089" s="2" t="b">
        <v>0</v>
      </c>
      <c r="H6089" s="2" t="s">
        <v>24907</v>
      </c>
      <c r="I6089" s="2" t="s">
        <v>32</v>
      </c>
      <c r="J6089" s="2" t="s">
        <v>447</v>
      </c>
      <c r="K6089" s="2" t="s">
        <v>495</v>
      </c>
      <c r="L6089" s="13" t="s">
        <v>496</v>
      </c>
      <c r="M6089" s="2" t="s">
        <v>26</v>
      </c>
      <c r="N6089" s="29"/>
      <c r="O6089" s="29"/>
      <c r="P6089" s="5" t="str">
        <f>IFERROR(__xludf.DUMMYFUNCTION("TEXTJOIN("" | "",TRUE,IF(OR(D6089="""",E6089="""",I6089="""",J6089="""",H6089=""""),""ফাঁকা ঘর"",""""),IF(AND(C6089&lt;&gt;"""",D6089&lt;&gt;"""",C6089=D6089),""gloss=figurative"",""""),IF(LEN(D6089)&lt;15,""figurative ছোট"",""""),IF(AND(I6089=""Positive"",REGEXMATCH(H6"&amp;"089,""মূর্খ|ভণ্ড|প্রতার|অলস|লোভ|স্বার্থ|অক্ষম|অযোগ্য|বোকা|কৃপণ|হিংস"")),""valence-target অমিল"",""""),IF(COUNTIF($B:$B,B6089)&gt;1,""ডুপ্লিকেট"",""""))"),"")</f>
        <v/>
      </c>
      <c r="Q6089" s="5" t="str">
        <f t="shared" si="1"/>
        <v>২ পরে</v>
      </c>
    </row>
    <row r="6090">
      <c r="A6090" s="4">
        <v>3977.0</v>
      </c>
      <c r="B6090" s="2" t="s">
        <v>24908</v>
      </c>
      <c r="C6090" s="2" t="s">
        <v>24909</v>
      </c>
      <c r="D6090" s="2" t="s">
        <v>24910</v>
      </c>
      <c r="E6090" s="2" t="s">
        <v>24911</v>
      </c>
      <c r="F6090" s="2" t="b">
        <v>1</v>
      </c>
      <c r="G6090" s="2" t="b">
        <v>0</v>
      </c>
      <c r="H6090" s="2" t="s">
        <v>37</v>
      </c>
      <c r="I6090" s="2" t="s">
        <v>32</v>
      </c>
      <c r="J6090" s="2" t="s">
        <v>4711</v>
      </c>
      <c r="K6090" s="2" t="s">
        <v>495</v>
      </c>
      <c r="L6090" s="13" t="s">
        <v>496</v>
      </c>
      <c r="M6090" s="2" t="s">
        <v>26</v>
      </c>
      <c r="N6090" s="29"/>
      <c r="O6090" s="29"/>
      <c r="P6090" s="5" t="str">
        <f>IFERROR(__xludf.DUMMYFUNCTION("TEXTJOIN("" | "",TRUE,IF(OR(D6090="""",E6090="""",I6090="""",J6090="""",H6090=""""),""ফাঁকা ঘর"",""""),IF(AND(C6090&lt;&gt;"""",D6090&lt;&gt;"""",C6090=D6090),""gloss=figurative"",""""),IF(LEN(D6090)&lt;15,""figurative ছোট"",""""),IF(AND(I6090=""Positive"",REGEXMATCH(H6"&amp;"090,""মূর্খ|ভণ্ড|প্রতার|অলস|লোভ|স্বার্থ|অক্ষম|অযোগ্য|বোকা|কৃপণ|হিংস"")),""valence-target অমিল"",""""),IF(COUNTIF($B:$B,B6090)&gt;1,""ডুপ্লিকেট"",""""))"),"")</f>
        <v/>
      </c>
      <c r="Q6090" s="5" t="str">
        <f t="shared" si="1"/>
        <v>২ পরে</v>
      </c>
    </row>
    <row r="6091">
      <c r="A6091" s="4">
        <v>3978.0</v>
      </c>
      <c r="B6091" s="2" t="s">
        <v>24912</v>
      </c>
      <c r="C6091" s="2" t="s">
        <v>24913</v>
      </c>
      <c r="D6091" s="2" t="s">
        <v>24914</v>
      </c>
      <c r="E6091" s="2" t="s">
        <v>24915</v>
      </c>
      <c r="F6091" s="2" t="b">
        <v>1</v>
      </c>
      <c r="G6091" s="2" t="b">
        <v>0</v>
      </c>
      <c r="H6091" s="2" t="s">
        <v>37</v>
      </c>
      <c r="I6091" s="2" t="s">
        <v>49</v>
      </c>
      <c r="J6091" s="2" t="s">
        <v>7900</v>
      </c>
      <c r="K6091" s="2" t="s">
        <v>495</v>
      </c>
      <c r="L6091" s="13" t="s">
        <v>496</v>
      </c>
      <c r="M6091" s="2" t="s">
        <v>26</v>
      </c>
      <c r="N6091" s="29"/>
      <c r="O6091" s="29"/>
      <c r="P6091" s="5" t="str">
        <f>IFERROR(__xludf.DUMMYFUNCTION("TEXTJOIN("" | "",TRUE,IF(OR(D6091="""",E6091="""",I6091="""",J6091="""",H6091=""""),""ফাঁকা ঘর"",""""),IF(AND(C6091&lt;&gt;"""",D6091&lt;&gt;"""",C6091=D6091),""gloss=figurative"",""""),IF(LEN(D6091)&lt;15,""figurative ছোট"",""""),IF(AND(I6091=""Positive"",REGEXMATCH(H6"&amp;"091,""মূর্খ|ভণ্ড|প্রতার|অলস|লোভ|স্বার্থ|অক্ষম|অযোগ্য|বোকা|কৃপণ|হিংস"")),""valence-target অমিল"",""""),IF(COUNTIF($B:$B,B6091)&gt;1,""ডুপ্লিকেট"",""""))"),"")</f>
        <v/>
      </c>
      <c r="Q6091" s="5" t="str">
        <f t="shared" si="1"/>
        <v>২ পরে</v>
      </c>
    </row>
    <row r="6092">
      <c r="A6092" s="4">
        <v>3979.0</v>
      </c>
      <c r="B6092" s="2" t="s">
        <v>24916</v>
      </c>
      <c r="C6092" s="2" t="s">
        <v>24917</v>
      </c>
      <c r="D6092" s="2" t="s">
        <v>24918</v>
      </c>
      <c r="E6092" s="2" t="s">
        <v>24919</v>
      </c>
      <c r="F6092" s="2" t="b">
        <v>1</v>
      </c>
      <c r="G6092" s="2" t="b">
        <v>0</v>
      </c>
      <c r="H6092" s="2" t="s">
        <v>37</v>
      </c>
      <c r="I6092" s="2" t="s">
        <v>22</v>
      </c>
      <c r="J6092" s="2" t="s">
        <v>20510</v>
      </c>
      <c r="K6092" s="2" t="s">
        <v>495</v>
      </c>
      <c r="L6092" s="13" t="s">
        <v>496</v>
      </c>
      <c r="M6092" s="2" t="s">
        <v>26</v>
      </c>
      <c r="N6092" s="29"/>
      <c r="O6092" s="29"/>
      <c r="P6092" s="5" t="str">
        <f>IFERROR(__xludf.DUMMYFUNCTION("TEXTJOIN("" | "",TRUE,IF(OR(D6092="""",E6092="""",I6092="""",J6092="""",H6092=""""),""ফাঁকা ঘর"",""""),IF(AND(C6092&lt;&gt;"""",D6092&lt;&gt;"""",C6092=D6092),""gloss=figurative"",""""),IF(LEN(D6092)&lt;15,""figurative ছোট"",""""),IF(AND(I6092=""Positive"",REGEXMATCH(H6"&amp;"092,""মূর্খ|ভণ্ড|প্রতার|অলস|লোভ|স্বার্থ|অক্ষম|অযোগ্য|বোকা|কৃপণ|হিংস"")),""valence-target অমিল"",""""),IF(COUNTIF($B:$B,B6092)&gt;1,""ডুপ্লিকেট"",""""))"),"")</f>
        <v/>
      </c>
      <c r="Q6092" s="5" t="str">
        <f t="shared" si="1"/>
        <v>২ পরে</v>
      </c>
    </row>
    <row r="6093">
      <c r="A6093" s="4">
        <v>3980.0</v>
      </c>
      <c r="B6093" s="2" t="s">
        <v>24920</v>
      </c>
      <c r="C6093" s="2" t="s">
        <v>24921</v>
      </c>
      <c r="D6093" s="2" t="s">
        <v>24922</v>
      </c>
      <c r="E6093" s="2" t="s">
        <v>24923</v>
      </c>
      <c r="F6093" s="2" t="b">
        <v>1</v>
      </c>
      <c r="G6093" s="2" t="b">
        <v>0</v>
      </c>
      <c r="H6093" s="2" t="s">
        <v>37</v>
      </c>
      <c r="I6093" s="2" t="s">
        <v>22</v>
      </c>
      <c r="J6093" s="2" t="s">
        <v>20510</v>
      </c>
      <c r="K6093" s="2" t="s">
        <v>495</v>
      </c>
      <c r="L6093" s="13" t="s">
        <v>496</v>
      </c>
      <c r="M6093" s="2" t="s">
        <v>26</v>
      </c>
      <c r="N6093" s="29"/>
      <c r="O6093" s="29"/>
      <c r="P6093" s="5" t="str">
        <f>IFERROR(__xludf.DUMMYFUNCTION("TEXTJOIN("" | "",TRUE,IF(OR(D6093="""",E6093="""",I6093="""",J6093="""",H6093=""""),""ফাঁকা ঘর"",""""),IF(AND(C6093&lt;&gt;"""",D6093&lt;&gt;"""",C6093=D6093),""gloss=figurative"",""""),IF(LEN(D6093)&lt;15,""figurative ছোট"",""""),IF(AND(I6093=""Positive"",REGEXMATCH(H6"&amp;"093,""মূর্খ|ভণ্ড|প্রতার|অলস|লোভ|স্বার্থ|অক্ষম|অযোগ্য|বোকা|কৃপণ|হিংস"")),""valence-target অমিল"",""""),IF(COUNTIF($B:$B,B6093)&gt;1,""ডুপ্লিকেট"",""""))"),"")</f>
        <v/>
      </c>
      <c r="Q6093" s="5" t="str">
        <f t="shared" si="1"/>
        <v>২ পরে</v>
      </c>
    </row>
    <row r="6094">
      <c r="A6094" s="4">
        <v>3981.0</v>
      </c>
      <c r="B6094" s="2" t="s">
        <v>24924</v>
      </c>
      <c r="C6094" s="2" t="s">
        <v>24925</v>
      </c>
      <c r="D6094" s="2" t="s">
        <v>24926</v>
      </c>
      <c r="E6094" s="2" t="s">
        <v>24927</v>
      </c>
      <c r="F6094" s="2" t="b">
        <v>1</v>
      </c>
      <c r="G6094" s="2" t="b">
        <v>0</v>
      </c>
      <c r="H6094" s="2" t="s">
        <v>37</v>
      </c>
      <c r="I6094" s="2" t="s">
        <v>22</v>
      </c>
      <c r="J6094" s="2" t="s">
        <v>669</v>
      </c>
      <c r="K6094" s="2" t="s">
        <v>495</v>
      </c>
      <c r="L6094" s="13" t="s">
        <v>496</v>
      </c>
      <c r="M6094" s="2" t="s">
        <v>26</v>
      </c>
      <c r="N6094" s="29"/>
      <c r="O6094" s="29"/>
      <c r="P6094" s="5" t="str">
        <f>IFERROR(__xludf.DUMMYFUNCTION("TEXTJOIN("" | "",TRUE,IF(OR(D6094="""",E6094="""",I6094="""",J6094="""",H6094=""""),""ফাঁকা ঘর"",""""),IF(AND(C6094&lt;&gt;"""",D6094&lt;&gt;"""",C6094=D6094),""gloss=figurative"",""""),IF(LEN(D6094)&lt;15,""figurative ছোট"",""""),IF(AND(I6094=""Positive"",REGEXMATCH(H6"&amp;"094,""মূর্খ|ভণ্ড|প্রতার|অলস|লোভ|স্বার্থ|অক্ষম|অযোগ্য|বোকা|কৃপণ|হিংস"")),""valence-target অমিল"",""""),IF(COUNTIF($B:$B,B6094)&gt;1,""ডুপ্লিকেট"",""""))"),"")</f>
        <v/>
      </c>
      <c r="Q6094" s="5" t="str">
        <f t="shared" si="1"/>
        <v>২ পরে</v>
      </c>
    </row>
    <row r="6095">
      <c r="A6095" s="4">
        <v>3982.0</v>
      </c>
      <c r="B6095" s="2" t="s">
        <v>24928</v>
      </c>
      <c r="C6095" s="2" t="s">
        <v>24929</v>
      </c>
      <c r="D6095" s="2" t="s">
        <v>24930</v>
      </c>
      <c r="E6095" s="2" t="s">
        <v>24931</v>
      </c>
      <c r="F6095" s="2" t="b">
        <v>1</v>
      </c>
      <c r="G6095" s="2" t="b">
        <v>0</v>
      </c>
      <c r="H6095" s="2" t="s">
        <v>37</v>
      </c>
      <c r="I6095" s="2" t="s">
        <v>22</v>
      </c>
      <c r="J6095" s="2" t="s">
        <v>669</v>
      </c>
      <c r="K6095" s="2" t="s">
        <v>495</v>
      </c>
      <c r="L6095" s="13" t="s">
        <v>496</v>
      </c>
      <c r="M6095" s="2" t="s">
        <v>26</v>
      </c>
      <c r="N6095" s="29"/>
      <c r="O6095" s="29"/>
      <c r="P6095" s="5" t="str">
        <f>IFERROR(__xludf.DUMMYFUNCTION("TEXTJOIN("" | "",TRUE,IF(OR(D6095="""",E6095="""",I6095="""",J6095="""",H6095=""""),""ফাঁকা ঘর"",""""),IF(AND(C6095&lt;&gt;"""",D6095&lt;&gt;"""",C6095=D6095),""gloss=figurative"",""""),IF(LEN(D6095)&lt;15,""figurative ছোট"",""""),IF(AND(I6095=""Positive"",REGEXMATCH(H6"&amp;"095,""মূর্খ|ভণ্ড|প্রতার|অলস|লোভ|স্বার্থ|অক্ষম|অযোগ্য|বোকা|কৃপণ|হিংস"")),""valence-target অমিল"",""""),IF(COUNTIF($B:$B,B6095)&gt;1,""ডুপ্লিকেট"",""""))"),"")</f>
        <v/>
      </c>
      <c r="Q6095" s="5" t="str">
        <f t="shared" si="1"/>
        <v>২ পরে</v>
      </c>
    </row>
    <row r="6096">
      <c r="A6096" s="4">
        <v>3983.0</v>
      </c>
      <c r="B6096" s="2" t="s">
        <v>24932</v>
      </c>
      <c r="C6096" s="2" t="s">
        <v>24933</v>
      </c>
      <c r="D6096" s="2" t="s">
        <v>24934</v>
      </c>
      <c r="E6096" s="2" t="s">
        <v>24935</v>
      </c>
      <c r="F6096" s="2" t="b">
        <v>1</v>
      </c>
      <c r="G6096" s="2" t="b">
        <v>0</v>
      </c>
      <c r="H6096" s="2" t="s">
        <v>37</v>
      </c>
      <c r="I6096" s="2" t="s">
        <v>22</v>
      </c>
      <c r="J6096" s="2" t="s">
        <v>3622</v>
      </c>
      <c r="K6096" s="2" t="s">
        <v>495</v>
      </c>
      <c r="L6096" s="13" t="s">
        <v>496</v>
      </c>
      <c r="M6096" s="2" t="s">
        <v>26</v>
      </c>
      <c r="N6096" s="29"/>
      <c r="O6096" s="29"/>
      <c r="P6096" s="5" t="str">
        <f>IFERROR(__xludf.DUMMYFUNCTION("TEXTJOIN("" | "",TRUE,IF(OR(D6096="""",E6096="""",I6096="""",J6096="""",H6096=""""),""ফাঁকা ঘর"",""""),IF(AND(C6096&lt;&gt;"""",D6096&lt;&gt;"""",C6096=D6096),""gloss=figurative"",""""),IF(LEN(D6096)&lt;15,""figurative ছোট"",""""),IF(AND(I6096=""Positive"",REGEXMATCH(H6"&amp;"096,""মূর্খ|ভণ্ড|প্রতার|অলস|লোভ|স্বার্থ|অক্ষম|অযোগ্য|বোকা|কৃপণ|হিংস"")),""valence-target অমিল"",""""),IF(COUNTIF($B:$B,B6096)&gt;1,""ডুপ্লিকেট"",""""))"),"")</f>
        <v/>
      </c>
      <c r="Q6096" s="5" t="str">
        <f t="shared" si="1"/>
        <v>২ পরে</v>
      </c>
    </row>
    <row r="6097">
      <c r="A6097" s="4">
        <v>3984.0</v>
      </c>
      <c r="B6097" s="2" t="s">
        <v>24936</v>
      </c>
      <c r="C6097" s="2" t="s">
        <v>24937</v>
      </c>
      <c r="D6097" s="2" t="s">
        <v>24938</v>
      </c>
      <c r="E6097" s="2" t="s">
        <v>24939</v>
      </c>
      <c r="F6097" s="2" t="b">
        <v>1</v>
      </c>
      <c r="G6097" s="2" t="b">
        <v>0</v>
      </c>
      <c r="H6097" s="2" t="s">
        <v>37</v>
      </c>
      <c r="I6097" s="2" t="s">
        <v>22</v>
      </c>
      <c r="J6097" s="2" t="s">
        <v>1686</v>
      </c>
      <c r="K6097" s="2" t="s">
        <v>495</v>
      </c>
      <c r="L6097" s="13" t="s">
        <v>496</v>
      </c>
      <c r="M6097" s="2" t="s">
        <v>26</v>
      </c>
      <c r="N6097" s="29"/>
      <c r="O6097" s="29"/>
      <c r="P6097" s="5" t="str">
        <f>IFERROR(__xludf.DUMMYFUNCTION("TEXTJOIN("" | "",TRUE,IF(OR(D6097="""",E6097="""",I6097="""",J6097="""",H6097=""""),""ফাঁকা ঘর"",""""),IF(AND(C6097&lt;&gt;"""",D6097&lt;&gt;"""",C6097=D6097),""gloss=figurative"",""""),IF(LEN(D6097)&lt;15,""figurative ছোট"",""""),IF(AND(I6097=""Positive"",REGEXMATCH(H6"&amp;"097,""মূর্খ|ভণ্ড|প্রতার|অলস|লোভ|স্বার্থ|অক্ষম|অযোগ্য|বোকা|কৃপণ|হিংস"")),""valence-target অমিল"",""""),IF(COUNTIF($B:$B,B6097)&gt;1,""ডুপ্লিকেট"",""""))"),"")</f>
        <v/>
      </c>
      <c r="Q6097" s="5" t="str">
        <f t="shared" si="1"/>
        <v>২ পরে</v>
      </c>
    </row>
    <row r="6098">
      <c r="A6098" s="4">
        <v>3985.0</v>
      </c>
      <c r="B6098" s="2" t="s">
        <v>24940</v>
      </c>
      <c r="C6098" s="2" t="s">
        <v>24941</v>
      </c>
      <c r="D6098" s="2" t="s">
        <v>24942</v>
      </c>
      <c r="E6098" s="2" t="s">
        <v>24943</v>
      </c>
      <c r="F6098" s="2" t="b">
        <v>1</v>
      </c>
      <c r="G6098" s="2" t="b">
        <v>1</v>
      </c>
      <c r="H6098" s="2" t="s">
        <v>24944</v>
      </c>
      <c r="I6098" s="2" t="s">
        <v>22</v>
      </c>
      <c r="J6098" s="2" t="s">
        <v>24945</v>
      </c>
      <c r="K6098" s="2" t="s">
        <v>495</v>
      </c>
      <c r="L6098" s="13" t="s">
        <v>496</v>
      </c>
      <c r="M6098" s="2" t="s">
        <v>26</v>
      </c>
      <c r="N6098" s="29"/>
      <c r="O6098" s="29"/>
      <c r="P6098" s="5" t="str">
        <f>IFERROR(__xludf.DUMMYFUNCTION("TEXTJOIN("" | "",TRUE,IF(OR(D6098="""",E6098="""",I6098="""",J6098="""",H6098=""""),""ফাঁকা ঘর"",""""),IF(AND(C6098&lt;&gt;"""",D6098&lt;&gt;"""",C6098=D6098),""gloss=figurative"",""""),IF(LEN(D6098)&lt;15,""figurative ছোট"",""""),IF(AND(I6098=""Positive"",REGEXMATCH(H6"&amp;"098,""মূর্খ|ভণ্ড|প্রতার|অলস|লোভ|স্বার্থ|অক্ষম|অযোগ্য|বোকা|কৃপণ|হিংস"")),""valence-target অমিল"",""""),IF(COUNTIF($B:$B,B6098)&gt;1,""ডুপ্লিকেট"",""""))"),"")</f>
        <v/>
      </c>
      <c r="Q6098" s="5" t="str">
        <f t="shared" si="1"/>
        <v>২ পরে</v>
      </c>
    </row>
    <row r="6099">
      <c r="A6099" s="4">
        <v>3986.0</v>
      </c>
      <c r="B6099" s="2" t="s">
        <v>24946</v>
      </c>
      <c r="C6099" s="2" t="s">
        <v>24947</v>
      </c>
      <c r="D6099" s="2" t="s">
        <v>24948</v>
      </c>
      <c r="E6099" s="2" t="s">
        <v>24949</v>
      </c>
      <c r="F6099" s="2" t="b">
        <v>1</v>
      </c>
      <c r="G6099" s="2" t="b">
        <v>0</v>
      </c>
      <c r="H6099" s="2" t="s">
        <v>1284</v>
      </c>
      <c r="I6099" s="2" t="s">
        <v>22</v>
      </c>
      <c r="J6099" s="2" t="s">
        <v>723</v>
      </c>
      <c r="K6099" s="2" t="s">
        <v>495</v>
      </c>
      <c r="L6099" s="13" t="s">
        <v>496</v>
      </c>
      <c r="M6099" s="2" t="s">
        <v>26</v>
      </c>
      <c r="N6099" s="29"/>
      <c r="O6099" s="29"/>
      <c r="P6099" s="5" t="str">
        <f>IFERROR(__xludf.DUMMYFUNCTION("TEXTJOIN("" | "",TRUE,IF(OR(D6099="""",E6099="""",I6099="""",J6099="""",H6099=""""),""ফাঁকা ঘর"",""""),IF(AND(C6099&lt;&gt;"""",D6099&lt;&gt;"""",C6099=D6099),""gloss=figurative"",""""),IF(LEN(D6099)&lt;15,""figurative ছোট"",""""),IF(AND(I6099=""Positive"",REGEXMATCH(H6"&amp;"099,""মূর্খ|ভণ্ড|প্রতার|অলস|লোভ|স্বার্থ|অক্ষম|অযোগ্য|বোকা|কৃপণ|হিংস"")),""valence-target অমিল"",""""),IF(COUNTIF($B:$B,B6099)&gt;1,""ডুপ্লিকেট"",""""))"),"")</f>
        <v/>
      </c>
      <c r="Q6099" s="5" t="str">
        <f t="shared" si="1"/>
        <v>২ পরে</v>
      </c>
    </row>
    <row r="6100">
      <c r="A6100" s="4">
        <v>3987.0</v>
      </c>
      <c r="B6100" s="2" t="s">
        <v>24950</v>
      </c>
      <c r="C6100" s="2" t="s">
        <v>24951</v>
      </c>
      <c r="D6100" s="2" t="s">
        <v>24952</v>
      </c>
      <c r="E6100" s="2" t="s">
        <v>24953</v>
      </c>
      <c r="F6100" s="2" t="b">
        <v>1</v>
      </c>
      <c r="G6100" s="2" t="b">
        <v>0</v>
      </c>
      <c r="H6100" s="2" t="s">
        <v>1284</v>
      </c>
      <c r="I6100" s="2" t="s">
        <v>22</v>
      </c>
      <c r="J6100" s="2" t="s">
        <v>1471</v>
      </c>
      <c r="K6100" s="2" t="s">
        <v>495</v>
      </c>
      <c r="L6100" s="13" t="s">
        <v>496</v>
      </c>
      <c r="M6100" s="2" t="s">
        <v>26</v>
      </c>
      <c r="N6100" s="29"/>
      <c r="O6100" s="29"/>
      <c r="P6100" s="5" t="str">
        <f>IFERROR(__xludf.DUMMYFUNCTION("TEXTJOIN("" | "",TRUE,IF(OR(D6100="""",E6100="""",I6100="""",J6100="""",H6100=""""),""ফাঁকা ঘর"",""""),IF(AND(C6100&lt;&gt;"""",D6100&lt;&gt;"""",C6100=D6100),""gloss=figurative"",""""),IF(LEN(D6100)&lt;15,""figurative ছোট"",""""),IF(AND(I6100=""Positive"",REGEXMATCH(H6"&amp;"100,""মূর্খ|ভণ্ড|প্রতার|অলস|লোভ|স্বার্থ|অক্ষম|অযোগ্য|বোকা|কৃপণ|হিংস"")),""valence-target অমিল"",""""),IF(COUNTIF($B:$B,B6100)&gt;1,""ডুপ্লিকেট"",""""))"),"")</f>
        <v/>
      </c>
      <c r="Q6100" s="5" t="str">
        <f t="shared" si="1"/>
        <v>২ পরে</v>
      </c>
    </row>
    <row r="6101">
      <c r="A6101" s="4">
        <v>3988.0</v>
      </c>
      <c r="B6101" s="2" t="s">
        <v>24954</v>
      </c>
      <c r="C6101" s="2" t="s">
        <v>24955</v>
      </c>
      <c r="D6101" s="2" t="s">
        <v>24956</v>
      </c>
      <c r="E6101" s="2" t="s">
        <v>24957</v>
      </c>
      <c r="F6101" s="2" t="b">
        <v>1</v>
      </c>
      <c r="G6101" s="2" t="b">
        <v>0</v>
      </c>
      <c r="H6101" s="2" t="s">
        <v>37</v>
      </c>
      <c r="I6101" s="2" t="s">
        <v>22</v>
      </c>
      <c r="J6101" s="2" t="s">
        <v>590</v>
      </c>
      <c r="K6101" s="2" t="s">
        <v>495</v>
      </c>
      <c r="L6101" s="13" t="s">
        <v>496</v>
      </c>
      <c r="M6101" s="2" t="s">
        <v>26</v>
      </c>
      <c r="N6101" s="29"/>
      <c r="O6101" s="29"/>
      <c r="P6101" s="5" t="str">
        <f>IFERROR(__xludf.DUMMYFUNCTION("TEXTJOIN("" | "",TRUE,IF(OR(D6101="""",E6101="""",I6101="""",J6101="""",H6101=""""),""ফাঁকা ঘর"",""""),IF(AND(C6101&lt;&gt;"""",D6101&lt;&gt;"""",C6101=D6101),""gloss=figurative"",""""),IF(LEN(D6101)&lt;15,""figurative ছোট"",""""),IF(AND(I6101=""Positive"",REGEXMATCH(H6"&amp;"101,""মূর্খ|ভণ্ড|প্রতার|অলস|লোভ|স্বার্থ|অক্ষম|অযোগ্য|বোকা|কৃপণ|হিংস"")),""valence-target অমিল"",""""),IF(COUNTIF($B:$B,B6101)&gt;1,""ডুপ্লিকেট"",""""))"),"")</f>
        <v/>
      </c>
      <c r="Q6101" s="5" t="str">
        <f t="shared" si="1"/>
        <v>২ পরে</v>
      </c>
    </row>
    <row r="6102">
      <c r="A6102" s="4">
        <v>3989.0</v>
      </c>
      <c r="B6102" s="2" t="s">
        <v>24958</v>
      </c>
      <c r="C6102" s="2" t="s">
        <v>24959</v>
      </c>
      <c r="D6102" s="2" t="s">
        <v>24960</v>
      </c>
      <c r="E6102" s="2" t="s">
        <v>24961</v>
      </c>
      <c r="F6102" s="2" t="b">
        <v>1</v>
      </c>
      <c r="G6102" s="2" t="b">
        <v>0</v>
      </c>
      <c r="H6102" s="2" t="s">
        <v>37</v>
      </c>
      <c r="I6102" s="2" t="s">
        <v>22</v>
      </c>
      <c r="J6102" s="2" t="s">
        <v>590</v>
      </c>
      <c r="K6102" s="2" t="s">
        <v>495</v>
      </c>
      <c r="L6102" s="13" t="s">
        <v>496</v>
      </c>
      <c r="M6102" s="2" t="s">
        <v>26</v>
      </c>
      <c r="N6102" s="29"/>
      <c r="O6102" s="29"/>
      <c r="P6102" s="5" t="str">
        <f>IFERROR(__xludf.DUMMYFUNCTION("TEXTJOIN("" | "",TRUE,IF(OR(D6102="""",E6102="""",I6102="""",J6102="""",H6102=""""),""ফাঁকা ঘর"",""""),IF(AND(C6102&lt;&gt;"""",D6102&lt;&gt;"""",C6102=D6102),""gloss=figurative"",""""),IF(LEN(D6102)&lt;15,""figurative ছোট"",""""),IF(AND(I6102=""Positive"",REGEXMATCH(H6"&amp;"102,""মূর্খ|ভণ্ড|প্রতার|অলস|লোভ|স্বার্থ|অক্ষম|অযোগ্য|বোকা|কৃপণ|হিংস"")),""valence-target অমিল"",""""),IF(COUNTIF($B:$B,B6102)&gt;1,""ডুপ্লিকেট"",""""))"),"")</f>
        <v/>
      </c>
      <c r="Q6102" s="5" t="str">
        <f t="shared" si="1"/>
        <v>২ পরে</v>
      </c>
    </row>
    <row r="6103">
      <c r="A6103" s="4">
        <v>3990.0</v>
      </c>
      <c r="B6103" s="2" t="s">
        <v>24962</v>
      </c>
      <c r="C6103" s="2" t="s">
        <v>24963</v>
      </c>
      <c r="D6103" s="2" t="s">
        <v>24964</v>
      </c>
      <c r="E6103" s="2" t="s">
        <v>24965</v>
      </c>
      <c r="F6103" s="2" t="b">
        <v>1</v>
      </c>
      <c r="G6103" s="2" t="b">
        <v>0</v>
      </c>
      <c r="H6103" s="2" t="s">
        <v>37</v>
      </c>
      <c r="I6103" s="2" t="s">
        <v>22</v>
      </c>
      <c r="J6103" s="2" t="s">
        <v>24966</v>
      </c>
      <c r="K6103" s="2" t="s">
        <v>495</v>
      </c>
      <c r="L6103" s="13" t="s">
        <v>496</v>
      </c>
      <c r="M6103" s="2" t="s">
        <v>26</v>
      </c>
      <c r="N6103" s="29"/>
      <c r="O6103" s="29"/>
      <c r="P6103" s="5" t="str">
        <f>IFERROR(__xludf.DUMMYFUNCTION("TEXTJOIN("" | "",TRUE,IF(OR(D6103="""",E6103="""",I6103="""",J6103="""",H6103=""""),""ফাঁকা ঘর"",""""),IF(AND(C6103&lt;&gt;"""",D6103&lt;&gt;"""",C6103=D6103),""gloss=figurative"",""""),IF(LEN(D6103)&lt;15,""figurative ছোট"",""""),IF(AND(I6103=""Positive"",REGEXMATCH(H6"&amp;"103,""মূর্খ|ভণ্ড|প্রতার|অলস|লোভ|স্বার্থ|অক্ষম|অযোগ্য|বোকা|কৃপণ|হিংস"")),""valence-target অমিল"",""""),IF(COUNTIF($B:$B,B6103)&gt;1,""ডুপ্লিকেট"",""""))"),"")</f>
        <v/>
      </c>
      <c r="Q6103" s="5" t="str">
        <f t="shared" si="1"/>
        <v>২ পরে</v>
      </c>
    </row>
    <row r="6104">
      <c r="A6104" s="4">
        <v>3991.0</v>
      </c>
      <c r="B6104" s="2" t="s">
        <v>24967</v>
      </c>
      <c r="C6104" s="2" t="s">
        <v>24968</v>
      </c>
      <c r="D6104" s="2" t="s">
        <v>24969</v>
      </c>
      <c r="E6104" s="2" t="s">
        <v>24970</v>
      </c>
      <c r="F6104" s="2" t="b">
        <v>1</v>
      </c>
      <c r="G6104" s="2" t="b">
        <v>0</v>
      </c>
      <c r="H6104" s="2" t="s">
        <v>37</v>
      </c>
      <c r="I6104" s="2" t="s">
        <v>22</v>
      </c>
      <c r="J6104" s="2" t="s">
        <v>1013</v>
      </c>
      <c r="K6104" s="2" t="s">
        <v>495</v>
      </c>
      <c r="L6104" s="13" t="s">
        <v>496</v>
      </c>
      <c r="M6104" s="2" t="s">
        <v>26</v>
      </c>
      <c r="N6104" s="29"/>
      <c r="O6104" s="29"/>
      <c r="P6104" s="5" t="str">
        <f>IFERROR(__xludf.DUMMYFUNCTION("TEXTJOIN("" | "",TRUE,IF(OR(D6104="""",E6104="""",I6104="""",J6104="""",H6104=""""),""ফাঁকা ঘর"",""""),IF(AND(C6104&lt;&gt;"""",D6104&lt;&gt;"""",C6104=D6104),""gloss=figurative"",""""),IF(LEN(D6104)&lt;15,""figurative ছোট"",""""),IF(AND(I6104=""Positive"",REGEXMATCH(H6"&amp;"104,""মূর্খ|ভণ্ড|প্রতার|অলস|লোভ|স্বার্থ|অক্ষম|অযোগ্য|বোকা|কৃপণ|হিংস"")),""valence-target অমিল"",""""),IF(COUNTIF($B:$B,B6104)&gt;1,""ডুপ্লিকেট"",""""))"),"")</f>
        <v/>
      </c>
      <c r="Q6104" s="5" t="str">
        <f t="shared" si="1"/>
        <v>২ পরে</v>
      </c>
    </row>
    <row r="6105">
      <c r="A6105" s="4">
        <v>3992.0</v>
      </c>
      <c r="B6105" s="2" t="s">
        <v>24971</v>
      </c>
      <c r="C6105" s="2" t="s">
        <v>24972</v>
      </c>
      <c r="D6105" s="2" t="s">
        <v>24973</v>
      </c>
      <c r="E6105" s="2" t="s">
        <v>24974</v>
      </c>
      <c r="F6105" s="2" t="b">
        <v>1</v>
      </c>
      <c r="G6105" s="2" t="b">
        <v>0</v>
      </c>
      <c r="H6105" s="2" t="s">
        <v>37</v>
      </c>
      <c r="I6105" s="2" t="s">
        <v>22</v>
      </c>
      <c r="J6105" s="2" t="s">
        <v>1239</v>
      </c>
      <c r="K6105" s="2" t="s">
        <v>495</v>
      </c>
      <c r="L6105" s="13" t="s">
        <v>496</v>
      </c>
      <c r="M6105" s="2" t="s">
        <v>26</v>
      </c>
      <c r="N6105" s="29"/>
      <c r="O6105" s="29"/>
      <c r="P6105" s="5" t="str">
        <f>IFERROR(__xludf.DUMMYFUNCTION("TEXTJOIN("" | "",TRUE,IF(OR(D6105="""",E6105="""",I6105="""",J6105="""",H6105=""""),""ফাঁকা ঘর"",""""),IF(AND(C6105&lt;&gt;"""",D6105&lt;&gt;"""",C6105=D6105),""gloss=figurative"",""""),IF(LEN(D6105)&lt;15,""figurative ছোট"",""""),IF(AND(I6105=""Positive"",REGEXMATCH(H6"&amp;"105,""মূর্খ|ভণ্ড|প্রতার|অলস|লোভ|স্বার্থ|অক্ষম|অযোগ্য|বোকা|কৃপণ|হিংস"")),""valence-target অমিল"",""""),IF(COUNTIF($B:$B,B6105)&gt;1,""ডুপ্লিকেট"",""""))"),"")</f>
        <v/>
      </c>
      <c r="Q6105" s="5" t="str">
        <f t="shared" si="1"/>
        <v>২ পরে</v>
      </c>
    </row>
    <row r="6106">
      <c r="A6106" s="4">
        <v>3993.0</v>
      </c>
      <c r="B6106" s="2" t="s">
        <v>24975</v>
      </c>
      <c r="C6106" s="2" t="s">
        <v>24976</v>
      </c>
      <c r="D6106" s="2" t="s">
        <v>24977</v>
      </c>
      <c r="E6106" s="2" t="s">
        <v>24978</v>
      </c>
      <c r="F6106" s="2" t="b">
        <v>1</v>
      </c>
      <c r="G6106" s="2" t="b">
        <v>0</v>
      </c>
      <c r="H6106" s="2" t="s">
        <v>1985</v>
      </c>
      <c r="I6106" s="2" t="s">
        <v>22</v>
      </c>
      <c r="J6106" s="2" t="s">
        <v>1987</v>
      </c>
      <c r="K6106" s="2" t="s">
        <v>495</v>
      </c>
      <c r="L6106" s="13" t="s">
        <v>496</v>
      </c>
      <c r="M6106" s="2" t="s">
        <v>26</v>
      </c>
      <c r="N6106" s="29"/>
      <c r="O6106" s="29"/>
      <c r="P6106" s="5" t="str">
        <f>IFERROR(__xludf.DUMMYFUNCTION("TEXTJOIN("" | "",TRUE,IF(OR(D6106="""",E6106="""",I6106="""",J6106="""",H6106=""""),""ফাঁকা ঘর"",""""),IF(AND(C6106&lt;&gt;"""",D6106&lt;&gt;"""",C6106=D6106),""gloss=figurative"",""""),IF(LEN(D6106)&lt;15,""figurative ছোট"",""""),IF(AND(I6106=""Positive"",REGEXMATCH(H6"&amp;"106,""মূর্খ|ভণ্ড|প্রতার|অলস|লোভ|স্বার্থ|অক্ষম|অযোগ্য|বোকা|কৃপণ|হিংস"")),""valence-target অমিল"",""""),IF(COUNTIF($B:$B,B6106)&gt;1,""ডুপ্লিকেট"",""""))"),"")</f>
        <v/>
      </c>
      <c r="Q6106" s="5" t="str">
        <f t="shared" si="1"/>
        <v>২ পরে</v>
      </c>
    </row>
    <row r="6107">
      <c r="A6107" s="4">
        <v>3994.0</v>
      </c>
      <c r="B6107" s="2" t="s">
        <v>24979</v>
      </c>
      <c r="C6107" s="2" t="s">
        <v>24980</v>
      </c>
      <c r="D6107" s="2" t="s">
        <v>24981</v>
      </c>
      <c r="E6107" s="2" t="s">
        <v>24982</v>
      </c>
      <c r="F6107" s="2" t="b">
        <v>1</v>
      </c>
      <c r="G6107" s="2" t="b">
        <v>0</v>
      </c>
      <c r="H6107" s="2" t="s">
        <v>37</v>
      </c>
      <c r="I6107" s="2" t="s">
        <v>22</v>
      </c>
      <c r="J6107" s="2" t="s">
        <v>2624</v>
      </c>
      <c r="K6107" s="2" t="s">
        <v>495</v>
      </c>
      <c r="L6107" s="13" t="s">
        <v>496</v>
      </c>
      <c r="M6107" s="2" t="s">
        <v>26</v>
      </c>
      <c r="N6107" s="29"/>
      <c r="O6107" s="29"/>
      <c r="P6107" s="5" t="str">
        <f>IFERROR(__xludf.DUMMYFUNCTION("TEXTJOIN("" | "",TRUE,IF(OR(D6107="""",E6107="""",I6107="""",J6107="""",H6107=""""),""ফাঁকা ঘর"",""""),IF(AND(C6107&lt;&gt;"""",D6107&lt;&gt;"""",C6107=D6107),""gloss=figurative"",""""),IF(LEN(D6107)&lt;15,""figurative ছোট"",""""),IF(AND(I6107=""Positive"",REGEXMATCH(H6"&amp;"107,""মূর্খ|ভণ্ড|প্রতার|অলস|লোভ|স্বার্থ|অক্ষম|অযোগ্য|বোকা|কৃপণ|হিংস"")),""valence-target অমিল"",""""),IF(COUNTIF($B:$B,B6107)&gt;1,""ডুপ্লিকেট"",""""))"),"")</f>
        <v/>
      </c>
      <c r="Q6107" s="5" t="str">
        <f t="shared" si="1"/>
        <v>২ পরে</v>
      </c>
    </row>
    <row r="6108">
      <c r="A6108" s="4">
        <v>3995.0</v>
      </c>
      <c r="B6108" s="2" t="s">
        <v>24983</v>
      </c>
      <c r="C6108" s="2" t="s">
        <v>24983</v>
      </c>
      <c r="D6108" s="2" t="s">
        <v>24984</v>
      </c>
      <c r="E6108" s="2" t="s">
        <v>24985</v>
      </c>
      <c r="F6108" s="2" t="b">
        <v>1</v>
      </c>
      <c r="G6108" s="2" t="b">
        <v>0</v>
      </c>
      <c r="H6108" s="2" t="s">
        <v>37</v>
      </c>
      <c r="I6108" s="2" t="s">
        <v>22</v>
      </c>
      <c r="J6108" s="2" t="s">
        <v>1111</v>
      </c>
      <c r="K6108" s="2" t="s">
        <v>495</v>
      </c>
      <c r="L6108" s="13" t="s">
        <v>496</v>
      </c>
      <c r="M6108" s="2" t="s">
        <v>26</v>
      </c>
      <c r="N6108" s="29"/>
      <c r="O6108" s="29"/>
      <c r="P6108" s="5" t="str">
        <f>IFERROR(__xludf.DUMMYFUNCTION("TEXTJOIN("" | "",TRUE,IF(OR(D6108="""",E6108="""",I6108="""",J6108="""",H6108=""""),""ফাঁকা ঘর"",""""),IF(AND(C6108&lt;&gt;"""",D6108&lt;&gt;"""",C6108=D6108),""gloss=figurative"",""""),IF(LEN(D6108)&lt;15,""figurative ছোট"",""""),IF(AND(I6108=""Positive"",REGEXMATCH(H6"&amp;"108,""মূর্খ|ভণ্ড|প্রতার|অলস|লোভ|স্বার্থ|অক্ষম|অযোগ্য|বোকা|কৃপণ|হিংস"")),""valence-target অমিল"",""""),IF(COUNTIF($B:$B,B6108)&gt;1,""ডুপ্লিকেট"",""""))"),"")</f>
        <v/>
      </c>
      <c r="Q6108" s="5" t="str">
        <f t="shared" si="1"/>
        <v>২ পরে</v>
      </c>
    </row>
    <row r="6109">
      <c r="A6109" s="4">
        <v>3996.0</v>
      </c>
      <c r="B6109" s="2" t="s">
        <v>24986</v>
      </c>
      <c r="C6109" s="2" t="s">
        <v>24987</v>
      </c>
      <c r="D6109" s="2" t="s">
        <v>24988</v>
      </c>
      <c r="E6109" s="2" t="s">
        <v>24989</v>
      </c>
      <c r="F6109" s="2" t="b">
        <v>1</v>
      </c>
      <c r="G6109" s="2" t="b">
        <v>1</v>
      </c>
      <c r="H6109" s="2" t="s">
        <v>5767</v>
      </c>
      <c r="I6109" s="2" t="s">
        <v>22</v>
      </c>
      <c r="J6109" s="2" t="s">
        <v>814</v>
      </c>
      <c r="K6109" s="2" t="s">
        <v>495</v>
      </c>
      <c r="L6109" s="13" t="s">
        <v>496</v>
      </c>
      <c r="M6109" s="2" t="s">
        <v>26</v>
      </c>
      <c r="N6109" s="29"/>
      <c r="O6109" s="29"/>
      <c r="P6109" s="5" t="str">
        <f>IFERROR(__xludf.DUMMYFUNCTION("TEXTJOIN("" | "",TRUE,IF(OR(D6109="""",E6109="""",I6109="""",J6109="""",H6109=""""),""ফাঁকা ঘর"",""""),IF(AND(C6109&lt;&gt;"""",D6109&lt;&gt;"""",C6109=D6109),""gloss=figurative"",""""),IF(LEN(D6109)&lt;15,""figurative ছোট"",""""),IF(AND(I6109=""Positive"",REGEXMATCH(H6"&amp;"109,""মূর্খ|ভণ্ড|প্রতার|অলস|লোভ|স্বার্থ|অক্ষম|অযোগ্য|বোকা|কৃপণ|হিংস"")),""valence-target অমিল"",""""),IF(COUNTIF($B:$B,B6109)&gt;1,""ডুপ্লিকেট"",""""))"),"")</f>
        <v/>
      </c>
      <c r="Q6109" s="5" t="str">
        <f t="shared" si="1"/>
        <v>২ পরে</v>
      </c>
    </row>
    <row r="6110">
      <c r="A6110" s="4">
        <v>3997.0</v>
      </c>
      <c r="B6110" s="2" t="s">
        <v>24990</v>
      </c>
      <c r="C6110" s="2" t="s">
        <v>24991</v>
      </c>
      <c r="D6110" s="2" t="s">
        <v>24992</v>
      </c>
      <c r="E6110" s="2" t="s">
        <v>24993</v>
      </c>
      <c r="F6110" s="2" t="b">
        <v>1</v>
      </c>
      <c r="G6110" s="2" t="b">
        <v>0</v>
      </c>
      <c r="H6110" s="2" t="s">
        <v>37</v>
      </c>
      <c r="I6110" s="2" t="s">
        <v>22</v>
      </c>
      <c r="J6110" s="2" t="s">
        <v>5207</v>
      </c>
      <c r="K6110" s="2" t="s">
        <v>495</v>
      </c>
      <c r="L6110" s="13" t="s">
        <v>496</v>
      </c>
      <c r="M6110" s="2" t="s">
        <v>26</v>
      </c>
      <c r="N6110" s="29"/>
      <c r="O6110" s="29"/>
      <c r="P6110" s="5" t="str">
        <f>IFERROR(__xludf.DUMMYFUNCTION("TEXTJOIN("" | "",TRUE,IF(OR(D6110="""",E6110="""",I6110="""",J6110="""",H6110=""""),""ফাঁকা ঘর"",""""),IF(AND(C6110&lt;&gt;"""",D6110&lt;&gt;"""",C6110=D6110),""gloss=figurative"",""""),IF(LEN(D6110)&lt;15,""figurative ছোট"",""""),IF(AND(I6110=""Positive"",REGEXMATCH(H6"&amp;"110,""মূর্খ|ভণ্ড|প্রতার|অলস|লোভ|স্বার্থ|অক্ষম|অযোগ্য|বোকা|কৃপণ|হিংস"")),""valence-target অমিল"",""""),IF(COUNTIF($B:$B,B6110)&gt;1,""ডুপ্লিকেট"",""""))"),"")</f>
        <v/>
      </c>
      <c r="Q6110" s="5" t="str">
        <f t="shared" si="1"/>
        <v>২ পরে</v>
      </c>
    </row>
    <row r="6111">
      <c r="A6111" s="4">
        <v>3998.0</v>
      </c>
      <c r="B6111" s="2" t="s">
        <v>24994</v>
      </c>
      <c r="C6111" s="2" t="s">
        <v>24995</v>
      </c>
      <c r="D6111" s="2" t="s">
        <v>24996</v>
      </c>
      <c r="E6111" s="2" t="s">
        <v>24997</v>
      </c>
      <c r="F6111" s="2" t="b">
        <v>1</v>
      </c>
      <c r="G6111" s="2" t="b">
        <v>1</v>
      </c>
      <c r="H6111" s="2" t="s">
        <v>24998</v>
      </c>
      <c r="I6111" s="2" t="s">
        <v>22</v>
      </c>
      <c r="J6111" s="2" t="s">
        <v>24999</v>
      </c>
      <c r="K6111" s="2" t="s">
        <v>495</v>
      </c>
      <c r="L6111" s="13" t="s">
        <v>496</v>
      </c>
      <c r="M6111" s="2" t="s">
        <v>26</v>
      </c>
      <c r="N6111" s="29"/>
      <c r="O6111" s="29"/>
      <c r="P6111" s="5" t="str">
        <f>IFERROR(__xludf.DUMMYFUNCTION("TEXTJOIN("" | "",TRUE,IF(OR(D6111="""",E6111="""",I6111="""",J6111="""",H6111=""""),""ফাঁকা ঘর"",""""),IF(AND(C6111&lt;&gt;"""",D6111&lt;&gt;"""",C6111=D6111),""gloss=figurative"",""""),IF(LEN(D6111)&lt;15,""figurative ছোট"",""""),IF(AND(I6111=""Positive"",REGEXMATCH(H6"&amp;"111,""মূর্খ|ভণ্ড|প্রতার|অলস|লোভ|স্বার্থ|অক্ষম|অযোগ্য|বোকা|কৃপণ|হিংস"")),""valence-target অমিল"",""""),IF(COUNTIF($B:$B,B6111)&gt;1,""ডুপ্লিকেট"",""""))"),"")</f>
        <v/>
      </c>
      <c r="Q6111" s="5" t="str">
        <f t="shared" si="1"/>
        <v>২ পরে</v>
      </c>
    </row>
    <row r="6112">
      <c r="A6112" s="4">
        <v>3999.0</v>
      </c>
      <c r="B6112" s="2" t="s">
        <v>25000</v>
      </c>
      <c r="C6112" s="2" t="s">
        <v>25001</v>
      </c>
      <c r="D6112" s="2" t="s">
        <v>25002</v>
      </c>
      <c r="E6112" s="2" t="s">
        <v>25003</v>
      </c>
      <c r="F6112" s="2" t="b">
        <v>1</v>
      </c>
      <c r="G6112" s="2" t="b">
        <v>0</v>
      </c>
      <c r="H6112" s="2" t="s">
        <v>37</v>
      </c>
      <c r="I6112" s="2" t="s">
        <v>22</v>
      </c>
      <c r="J6112" s="2" t="s">
        <v>1607</v>
      </c>
      <c r="K6112" s="2" t="s">
        <v>495</v>
      </c>
      <c r="L6112" s="13" t="s">
        <v>496</v>
      </c>
      <c r="M6112" s="2" t="s">
        <v>26</v>
      </c>
      <c r="N6112" s="29"/>
      <c r="O6112" s="29"/>
      <c r="P6112" s="5" t="str">
        <f>IFERROR(__xludf.DUMMYFUNCTION("TEXTJOIN("" | "",TRUE,IF(OR(D6112="""",E6112="""",I6112="""",J6112="""",H6112=""""),""ফাঁকা ঘর"",""""),IF(AND(C6112&lt;&gt;"""",D6112&lt;&gt;"""",C6112=D6112),""gloss=figurative"",""""),IF(LEN(D6112)&lt;15,""figurative ছোট"",""""),IF(AND(I6112=""Positive"",REGEXMATCH(H6"&amp;"112,""মূর্খ|ভণ্ড|প্রতার|অলস|লোভ|স্বার্থ|অক্ষম|অযোগ্য|বোকা|কৃপণ|হিংস"")),""valence-target অমিল"",""""),IF(COUNTIF($B:$B,B6112)&gt;1,""ডুপ্লিকেট"",""""))"),"")</f>
        <v/>
      </c>
      <c r="Q6112" s="5" t="str">
        <f t="shared" si="1"/>
        <v>২ পরে</v>
      </c>
    </row>
    <row r="6113">
      <c r="A6113" s="4">
        <v>4000.0</v>
      </c>
      <c r="B6113" s="2" t="s">
        <v>25004</v>
      </c>
      <c r="C6113" s="2" t="s">
        <v>25004</v>
      </c>
      <c r="D6113" s="2" t="s">
        <v>25005</v>
      </c>
      <c r="E6113" s="2" t="s">
        <v>25006</v>
      </c>
      <c r="F6113" s="2" t="b">
        <v>1</v>
      </c>
      <c r="G6113" s="2" t="b">
        <v>0</v>
      </c>
      <c r="H6113" s="2" t="s">
        <v>2482</v>
      </c>
      <c r="I6113" s="2" t="s">
        <v>22</v>
      </c>
      <c r="J6113" s="2" t="s">
        <v>11914</v>
      </c>
      <c r="K6113" s="2" t="s">
        <v>495</v>
      </c>
      <c r="L6113" s="13" t="s">
        <v>496</v>
      </c>
      <c r="M6113" s="2" t="s">
        <v>26</v>
      </c>
      <c r="N6113" s="29"/>
      <c r="O6113" s="29"/>
      <c r="P6113" s="5" t="str">
        <f>IFERROR(__xludf.DUMMYFUNCTION("TEXTJOIN("" | "",TRUE,IF(OR(D6113="""",E6113="""",I6113="""",J6113="""",H6113=""""),""ফাঁকা ঘর"",""""),IF(AND(C6113&lt;&gt;"""",D6113&lt;&gt;"""",C6113=D6113),""gloss=figurative"",""""),IF(LEN(D6113)&lt;15,""figurative ছোট"",""""),IF(AND(I6113=""Positive"",REGEXMATCH(H6"&amp;"113,""মূর্খ|ভণ্ড|প্রতার|অলস|লোভ|স্বার্থ|অক্ষম|অযোগ্য|বোকা|কৃপণ|হিংস"")),""valence-target অমিল"",""""),IF(COUNTIF($B:$B,B6113)&gt;1,""ডুপ্লিকেট"",""""))"),"")</f>
        <v/>
      </c>
      <c r="Q6113" s="5" t="str">
        <f t="shared" si="1"/>
        <v>২ পরে</v>
      </c>
    </row>
    <row r="6114">
      <c r="A6114" s="4">
        <v>4001.0</v>
      </c>
      <c r="B6114" s="2" t="s">
        <v>25007</v>
      </c>
      <c r="C6114" s="2" t="s">
        <v>25008</v>
      </c>
      <c r="D6114" s="2" t="s">
        <v>25009</v>
      </c>
      <c r="E6114" s="2" t="s">
        <v>25010</v>
      </c>
      <c r="F6114" s="2" t="b">
        <v>1</v>
      </c>
      <c r="G6114" s="2" t="b">
        <v>1</v>
      </c>
      <c r="H6114" s="2" t="s">
        <v>25011</v>
      </c>
      <c r="I6114" s="2" t="s">
        <v>22</v>
      </c>
      <c r="J6114" s="2" t="s">
        <v>1315</v>
      </c>
      <c r="K6114" s="2" t="s">
        <v>495</v>
      </c>
      <c r="L6114" s="13" t="s">
        <v>496</v>
      </c>
      <c r="M6114" s="2" t="s">
        <v>26</v>
      </c>
      <c r="N6114" s="29"/>
      <c r="O6114" s="29"/>
      <c r="P6114" s="5" t="str">
        <f>IFERROR(__xludf.DUMMYFUNCTION("TEXTJOIN("" | "",TRUE,IF(OR(D6114="""",E6114="""",I6114="""",J6114="""",H6114=""""),""ফাঁকা ঘর"",""""),IF(AND(C6114&lt;&gt;"""",D6114&lt;&gt;"""",C6114=D6114),""gloss=figurative"",""""),IF(LEN(D6114)&lt;15,""figurative ছোট"",""""),IF(AND(I6114=""Positive"",REGEXMATCH(H6"&amp;"114,""মূর্খ|ভণ্ড|প্রতার|অলস|লোভ|স্বার্থ|অক্ষম|অযোগ্য|বোকা|কৃপণ|হিংস"")),""valence-target অমিল"",""""),IF(COUNTIF($B:$B,B6114)&gt;1,""ডুপ্লিকেট"",""""))"),"")</f>
        <v/>
      </c>
      <c r="Q6114" s="5" t="str">
        <f t="shared" si="1"/>
        <v>২ পরে</v>
      </c>
    </row>
    <row r="6115">
      <c r="A6115" s="4">
        <v>4002.0</v>
      </c>
      <c r="B6115" s="2" t="s">
        <v>25012</v>
      </c>
      <c r="C6115" s="2" t="s">
        <v>25013</v>
      </c>
      <c r="D6115" s="2" t="s">
        <v>25014</v>
      </c>
      <c r="E6115" s="2" t="s">
        <v>25015</v>
      </c>
      <c r="F6115" s="2" t="b">
        <v>1</v>
      </c>
      <c r="G6115" s="2" t="b">
        <v>0</v>
      </c>
      <c r="H6115" s="2" t="s">
        <v>37</v>
      </c>
      <c r="I6115" s="2" t="s">
        <v>22</v>
      </c>
      <c r="J6115" s="2" t="s">
        <v>3127</v>
      </c>
      <c r="K6115" s="2" t="s">
        <v>495</v>
      </c>
      <c r="L6115" s="13" t="s">
        <v>496</v>
      </c>
      <c r="M6115" s="2" t="s">
        <v>26</v>
      </c>
      <c r="N6115" s="29"/>
      <c r="O6115" s="29"/>
      <c r="P6115" s="5" t="str">
        <f>IFERROR(__xludf.DUMMYFUNCTION("TEXTJOIN("" | "",TRUE,IF(OR(D6115="""",E6115="""",I6115="""",J6115="""",H6115=""""),""ফাঁকা ঘর"",""""),IF(AND(C6115&lt;&gt;"""",D6115&lt;&gt;"""",C6115=D6115),""gloss=figurative"",""""),IF(LEN(D6115)&lt;15,""figurative ছোট"",""""),IF(AND(I6115=""Positive"",REGEXMATCH(H6"&amp;"115,""মূর্খ|ভণ্ড|প্রতার|অলস|লোভ|স্বার্থ|অক্ষম|অযোগ্য|বোকা|কৃপণ|হিংস"")),""valence-target অমিল"",""""),IF(COUNTIF($B:$B,B6115)&gt;1,""ডুপ্লিকেট"",""""))"),"")</f>
        <v/>
      </c>
      <c r="Q6115" s="5" t="str">
        <f t="shared" si="1"/>
        <v>২ পরে</v>
      </c>
    </row>
    <row r="6116">
      <c r="A6116" s="4">
        <v>4003.0</v>
      </c>
      <c r="B6116" s="2" t="s">
        <v>25016</v>
      </c>
      <c r="C6116" s="2" t="s">
        <v>25017</v>
      </c>
      <c r="D6116" s="2" t="s">
        <v>25018</v>
      </c>
      <c r="E6116" s="2" t="s">
        <v>25019</v>
      </c>
      <c r="F6116" s="2" t="b">
        <v>1</v>
      </c>
      <c r="G6116" s="2" t="b">
        <v>0</v>
      </c>
      <c r="H6116" s="2" t="s">
        <v>37</v>
      </c>
      <c r="I6116" s="2" t="s">
        <v>49</v>
      </c>
      <c r="J6116" s="2" t="s">
        <v>565</v>
      </c>
      <c r="K6116" s="2" t="s">
        <v>495</v>
      </c>
      <c r="L6116" s="13" t="s">
        <v>496</v>
      </c>
      <c r="M6116" s="2" t="s">
        <v>26</v>
      </c>
      <c r="N6116" s="29"/>
      <c r="O6116" s="29"/>
      <c r="P6116" s="5" t="str">
        <f>IFERROR(__xludf.DUMMYFUNCTION("TEXTJOIN("" | "",TRUE,IF(OR(D6116="""",E6116="""",I6116="""",J6116="""",H6116=""""),""ফাঁকা ঘর"",""""),IF(AND(C6116&lt;&gt;"""",D6116&lt;&gt;"""",C6116=D6116),""gloss=figurative"",""""),IF(LEN(D6116)&lt;15,""figurative ছোট"",""""),IF(AND(I6116=""Positive"",REGEXMATCH(H6"&amp;"116,""মূর্খ|ভণ্ড|প্রতার|অলস|লোভ|স্বার্থ|অক্ষম|অযোগ্য|বোকা|কৃপণ|হিংস"")),""valence-target অমিল"",""""),IF(COUNTIF($B:$B,B6116)&gt;1,""ডুপ্লিকেট"",""""))"),"")</f>
        <v/>
      </c>
      <c r="Q6116" s="5" t="str">
        <f t="shared" si="1"/>
        <v>২ পরে</v>
      </c>
    </row>
    <row r="6117">
      <c r="A6117" s="4">
        <v>4004.0</v>
      </c>
      <c r="B6117" s="2" t="s">
        <v>25020</v>
      </c>
      <c r="C6117" s="2" t="s">
        <v>25021</v>
      </c>
      <c r="D6117" s="2" t="s">
        <v>25022</v>
      </c>
      <c r="E6117" s="2" t="s">
        <v>25023</v>
      </c>
      <c r="F6117" s="2" t="b">
        <v>1</v>
      </c>
      <c r="G6117" s="2" t="b">
        <v>0</v>
      </c>
      <c r="H6117" s="2" t="s">
        <v>37</v>
      </c>
      <c r="I6117" s="2" t="s">
        <v>49</v>
      </c>
      <c r="J6117" s="2" t="s">
        <v>646</v>
      </c>
      <c r="K6117" s="2" t="s">
        <v>495</v>
      </c>
      <c r="L6117" s="13" t="s">
        <v>496</v>
      </c>
      <c r="M6117" s="2" t="s">
        <v>26</v>
      </c>
      <c r="N6117" s="29"/>
      <c r="O6117" s="29"/>
      <c r="P6117" s="5" t="str">
        <f>IFERROR(__xludf.DUMMYFUNCTION("TEXTJOIN("" | "",TRUE,IF(OR(D6117="""",E6117="""",I6117="""",J6117="""",H6117=""""),""ফাঁকা ঘর"",""""),IF(AND(C6117&lt;&gt;"""",D6117&lt;&gt;"""",C6117=D6117),""gloss=figurative"",""""),IF(LEN(D6117)&lt;15,""figurative ছোট"",""""),IF(AND(I6117=""Positive"",REGEXMATCH(H6"&amp;"117,""মূর্খ|ভণ্ড|প্রতার|অলস|লোভ|স্বার্থ|অক্ষম|অযোগ্য|বোকা|কৃপণ|হিংস"")),""valence-target অমিল"",""""),IF(COUNTIF($B:$B,B6117)&gt;1,""ডুপ্লিকেট"",""""))"),"")</f>
        <v/>
      </c>
      <c r="Q6117" s="5" t="str">
        <f t="shared" si="1"/>
        <v>২ পরে</v>
      </c>
    </row>
    <row r="6118">
      <c r="A6118" s="4">
        <v>4005.0</v>
      </c>
      <c r="B6118" s="2" t="s">
        <v>25024</v>
      </c>
      <c r="C6118" s="2" t="s">
        <v>10721</v>
      </c>
      <c r="D6118" s="2" t="s">
        <v>25025</v>
      </c>
      <c r="E6118" s="2" t="s">
        <v>25026</v>
      </c>
      <c r="F6118" s="2" t="b">
        <v>1</v>
      </c>
      <c r="G6118" s="2" t="b">
        <v>0</v>
      </c>
      <c r="H6118" s="2" t="s">
        <v>37</v>
      </c>
      <c r="I6118" s="2" t="s">
        <v>22</v>
      </c>
      <c r="J6118" s="2" t="s">
        <v>836</v>
      </c>
      <c r="K6118" s="2" t="s">
        <v>495</v>
      </c>
      <c r="L6118" s="13" t="s">
        <v>496</v>
      </c>
      <c r="M6118" s="2" t="s">
        <v>26</v>
      </c>
      <c r="N6118" s="29"/>
      <c r="O6118" s="29"/>
      <c r="P6118" s="5" t="str">
        <f>IFERROR(__xludf.DUMMYFUNCTION("TEXTJOIN("" | "",TRUE,IF(OR(D6118="""",E6118="""",I6118="""",J6118="""",H6118=""""),""ফাঁকা ঘর"",""""),IF(AND(C6118&lt;&gt;"""",D6118&lt;&gt;"""",C6118=D6118),""gloss=figurative"",""""),IF(LEN(D6118)&lt;15,""figurative ছোট"",""""),IF(AND(I6118=""Positive"",REGEXMATCH(H6"&amp;"118,""মূর্খ|ভণ্ড|প্রতার|অলস|লোভ|স্বার্থ|অক্ষম|অযোগ্য|বোকা|কৃপণ|হিংস"")),""valence-target অমিল"",""""),IF(COUNTIF($B:$B,B6118)&gt;1,""ডুপ্লিকেট"",""""))"),"")</f>
        <v/>
      </c>
      <c r="Q6118" s="5" t="str">
        <f t="shared" si="1"/>
        <v>২ পরে</v>
      </c>
    </row>
    <row r="6119">
      <c r="A6119" s="4">
        <v>4007.0</v>
      </c>
      <c r="B6119" s="2" t="s">
        <v>25027</v>
      </c>
      <c r="C6119" s="2" t="s">
        <v>25028</v>
      </c>
      <c r="D6119" s="2" t="s">
        <v>25029</v>
      </c>
      <c r="E6119" s="2" t="s">
        <v>25030</v>
      </c>
      <c r="F6119" s="2" t="b">
        <v>1</v>
      </c>
      <c r="G6119" s="2" t="b">
        <v>0</v>
      </c>
      <c r="H6119" s="2" t="s">
        <v>37</v>
      </c>
      <c r="I6119" s="2" t="s">
        <v>49</v>
      </c>
      <c r="J6119" s="2" t="s">
        <v>22151</v>
      </c>
      <c r="K6119" s="2" t="s">
        <v>495</v>
      </c>
      <c r="L6119" s="13" t="s">
        <v>496</v>
      </c>
      <c r="M6119" s="2" t="s">
        <v>26</v>
      </c>
      <c r="N6119" s="29"/>
      <c r="O6119" s="29"/>
      <c r="P6119" s="5" t="str">
        <f>IFERROR(__xludf.DUMMYFUNCTION("TEXTJOIN("" | "",TRUE,IF(OR(D6119="""",E6119="""",I6119="""",J6119="""",H6119=""""),""ফাঁকা ঘর"",""""),IF(AND(C6119&lt;&gt;"""",D6119&lt;&gt;"""",C6119=D6119),""gloss=figurative"",""""),IF(LEN(D6119)&lt;15,""figurative ছোট"",""""),IF(AND(I6119=""Positive"",REGEXMATCH(H6"&amp;"119,""মূর্খ|ভণ্ড|প্রতার|অলস|লোভ|স্বার্থ|অক্ষম|অযোগ্য|বোকা|কৃপণ|হিংস"")),""valence-target অমিল"",""""),IF(COUNTIF($B:$B,B6119)&gt;1,""ডুপ্লিকেট"",""""))"),"")</f>
        <v/>
      </c>
      <c r="Q6119" s="5" t="str">
        <f t="shared" si="1"/>
        <v>২ পরে</v>
      </c>
    </row>
    <row r="6120">
      <c r="A6120" s="4">
        <v>4008.0</v>
      </c>
      <c r="B6120" s="2" t="s">
        <v>25031</v>
      </c>
      <c r="C6120" s="2" t="s">
        <v>25032</v>
      </c>
      <c r="D6120" s="2" t="s">
        <v>25033</v>
      </c>
      <c r="E6120" s="2" t="s">
        <v>25034</v>
      </c>
      <c r="F6120" s="2" t="b">
        <v>1</v>
      </c>
      <c r="G6120" s="2" t="b">
        <v>0</v>
      </c>
      <c r="H6120" s="2" t="s">
        <v>37</v>
      </c>
      <c r="I6120" s="2" t="s">
        <v>32</v>
      </c>
      <c r="J6120" s="2" t="s">
        <v>1679</v>
      </c>
      <c r="K6120" s="2" t="s">
        <v>495</v>
      </c>
      <c r="L6120" s="13" t="s">
        <v>496</v>
      </c>
      <c r="M6120" s="2" t="s">
        <v>26</v>
      </c>
      <c r="N6120" s="29"/>
      <c r="O6120" s="29"/>
      <c r="P6120" s="5" t="str">
        <f>IFERROR(__xludf.DUMMYFUNCTION("TEXTJOIN("" | "",TRUE,IF(OR(D6120="""",E6120="""",I6120="""",J6120="""",H6120=""""),""ফাঁকা ঘর"",""""),IF(AND(C6120&lt;&gt;"""",D6120&lt;&gt;"""",C6120=D6120),""gloss=figurative"",""""),IF(LEN(D6120)&lt;15,""figurative ছোট"",""""),IF(AND(I6120=""Positive"",REGEXMATCH(H6"&amp;"120,""মূর্খ|ভণ্ড|প্রতার|অলস|লোভ|স্বার্থ|অক্ষম|অযোগ্য|বোকা|কৃপণ|হিংস"")),""valence-target অমিল"",""""),IF(COUNTIF($B:$B,B6120)&gt;1,""ডুপ্লিকেট"",""""))"),"")</f>
        <v/>
      </c>
      <c r="Q6120" s="5" t="str">
        <f t="shared" si="1"/>
        <v>২ পরে</v>
      </c>
    </row>
    <row r="6121">
      <c r="A6121" s="4">
        <v>4009.0</v>
      </c>
      <c r="B6121" s="2" t="s">
        <v>25035</v>
      </c>
      <c r="C6121" s="2" t="s">
        <v>25036</v>
      </c>
      <c r="D6121" s="2" t="s">
        <v>25037</v>
      </c>
      <c r="E6121" s="2" t="s">
        <v>25038</v>
      </c>
      <c r="F6121" s="2" t="b">
        <v>1</v>
      </c>
      <c r="G6121" s="2" t="b">
        <v>1</v>
      </c>
      <c r="H6121" s="2" t="s">
        <v>25039</v>
      </c>
      <c r="I6121" s="2" t="s">
        <v>22</v>
      </c>
      <c r="J6121" s="2" t="s">
        <v>25040</v>
      </c>
      <c r="K6121" s="2" t="s">
        <v>495</v>
      </c>
      <c r="L6121" s="13" t="s">
        <v>496</v>
      </c>
      <c r="M6121" s="2" t="s">
        <v>26</v>
      </c>
      <c r="N6121" s="29"/>
      <c r="O6121" s="29"/>
      <c r="P6121" s="5" t="str">
        <f>IFERROR(__xludf.DUMMYFUNCTION("TEXTJOIN("" | "",TRUE,IF(OR(D6121="""",E6121="""",I6121="""",J6121="""",H6121=""""),""ফাঁকা ঘর"",""""),IF(AND(C6121&lt;&gt;"""",D6121&lt;&gt;"""",C6121=D6121),""gloss=figurative"",""""),IF(LEN(D6121)&lt;15,""figurative ছোট"",""""),IF(AND(I6121=""Positive"",REGEXMATCH(H6"&amp;"121,""মূর্খ|ভণ্ড|প্রতার|অলস|লোভ|স্বার্থ|অক্ষম|অযোগ্য|বোকা|কৃপণ|হিংস"")),""valence-target অমিল"",""""),IF(COUNTIF($B:$B,B6121)&gt;1,""ডুপ্লিকেট"",""""))"),"")</f>
        <v/>
      </c>
      <c r="Q6121" s="5" t="str">
        <f t="shared" si="1"/>
        <v>২ পরে</v>
      </c>
    </row>
    <row r="6122">
      <c r="A6122" s="4">
        <v>4010.0</v>
      </c>
      <c r="B6122" s="2" t="s">
        <v>25041</v>
      </c>
      <c r="C6122" s="2" t="s">
        <v>25042</v>
      </c>
      <c r="D6122" s="2" t="s">
        <v>25043</v>
      </c>
      <c r="E6122" s="2" t="s">
        <v>25044</v>
      </c>
      <c r="F6122" s="2" t="b">
        <v>1</v>
      </c>
      <c r="G6122" s="2" t="b">
        <v>0</v>
      </c>
      <c r="H6122" s="2" t="s">
        <v>37</v>
      </c>
      <c r="I6122" s="2" t="s">
        <v>49</v>
      </c>
      <c r="J6122" s="2" t="s">
        <v>1249</v>
      </c>
      <c r="K6122" s="2" t="s">
        <v>495</v>
      </c>
      <c r="L6122" s="13" t="s">
        <v>496</v>
      </c>
      <c r="M6122" s="2" t="s">
        <v>26</v>
      </c>
      <c r="N6122" s="29"/>
      <c r="O6122" s="29"/>
      <c r="P6122" s="5" t="str">
        <f>IFERROR(__xludf.DUMMYFUNCTION("TEXTJOIN("" | "",TRUE,IF(OR(D6122="""",E6122="""",I6122="""",J6122="""",H6122=""""),""ফাঁকা ঘর"",""""),IF(AND(C6122&lt;&gt;"""",D6122&lt;&gt;"""",C6122=D6122),""gloss=figurative"",""""),IF(LEN(D6122)&lt;15,""figurative ছোট"",""""),IF(AND(I6122=""Positive"",REGEXMATCH(H6"&amp;"122,""মূর্খ|ভণ্ড|প্রতার|অলস|লোভ|স্বার্থ|অক্ষম|অযোগ্য|বোকা|কৃপণ|হিংস"")),""valence-target অমিল"",""""),IF(COUNTIF($B:$B,B6122)&gt;1,""ডুপ্লিকেট"",""""))"),"")</f>
        <v/>
      </c>
      <c r="Q6122" s="5" t="str">
        <f t="shared" si="1"/>
        <v>২ পরে</v>
      </c>
    </row>
    <row r="6123">
      <c r="A6123" s="4">
        <v>4011.0</v>
      </c>
      <c r="B6123" s="2" t="s">
        <v>25045</v>
      </c>
      <c r="C6123" s="2" t="s">
        <v>25046</v>
      </c>
      <c r="D6123" s="2" t="s">
        <v>25047</v>
      </c>
      <c r="E6123" s="2" t="s">
        <v>25048</v>
      </c>
      <c r="F6123" s="2" t="b">
        <v>1</v>
      </c>
      <c r="G6123" s="2" t="b">
        <v>0</v>
      </c>
      <c r="H6123" s="2" t="s">
        <v>37</v>
      </c>
      <c r="I6123" s="2" t="s">
        <v>22</v>
      </c>
      <c r="J6123" s="2" t="s">
        <v>25049</v>
      </c>
      <c r="K6123" s="2" t="s">
        <v>495</v>
      </c>
      <c r="L6123" s="13" t="s">
        <v>496</v>
      </c>
      <c r="M6123" s="2" t="s">
        <v>26</v>
      </c>
      <c r="N6123" s="29"/>
      <c r="O6123" s="29"/>
      <c r="P6123" s="5" t="str">
        <f>IFERROR(__xludf.DUMMYFUNCTION("TEXTJOIN("" | "",TRUE,IF(OR(D6123="""",E6123="""",I6123="""",J6123="""",H6123=""""),""ফাঁকা ঘর"",""""),IF(AND(C6123&lt;&gt;"""",D6123&lt;&gt;"""",C6123=D6123),""gloss=figurative"",""""),IF(LEN(D6123)&lt;15,""figurative ছোট"",""""),IF(AND(I6123=""Positive"",REGEXMATCH(H6"&amp;"123,""মূর্খ|ভণ্ড|প্রতার|অলস|লোভ|স্বার্থ|অক্ষম|অযোগ্য|বোকা|কৃপণ|হিংস"")),""valence-target অমিল"",""""),IF(COUNTIF($B:$B,B6123)&gt;1,""ডুপ্লিকেট"",""""))"),"")</f>
        <v/>
      </c>
      <c r="Q6123" s="5" t="str">
        <f t="shared" si="1"/>
        <v>২ পরে</v>
      </c>
    </row>
    <row r="6124">
      <c r="A6124" s="4">
        <v>4013.0</v>
      </c>
      <c r="B6124" s="2" t="s">
        <v>25050</v>
      </c>
      <c r="C6124" s="2" t="s">
        <v>25050</v>
      </c>
      <c r="D6124" s="2" t="s">
        <v>25051</v>
      </c>
      <c r="E6124" s="2" t="s">
        <v>25052</v>
      </c>
      <c r="F6124" s="2" t="b">
        <v>1</v>
      </c>
      <c r="G6124" s="2" t="b">
        <v>0</v>
      </c>
      <c r="H6124" s="2" t="s">
        <v>37</v>
      </c>
      <c r="I6124" s="2" t="s">
        <v>32</v>
      </c>
      <c r="J6124" s="2" t="s">
        <v>1249</v>
      </c>
      <c r="K6124" s="2" t="s">
        <v>495</v>
      </c>
      <c r="L6124" s="13" t="s">
        <v>496</v>
      </c>
      <c r="M6124" s="2" t="s">
        <v>26</v>
      </c>
      <c r="N6124" s="29"/>
      <c r="O6124" s="29"/>
      <c r="P6124" s="5" t="str">
        <f>IFERROR(__xludf.DUMMYFUNCTION("TEXTJOIN("" | "",TRUE,IF(OR(D6124="""",E6124="""",I6124="""",J6124="""",H6124=""""),""ফাঁকা ঘর"",""""),IF(AND(C6124&lt;&gt;"""",D6124&lt;&gt;"""",C6124=D6124),""gloss=figurative"",""""),IF(LEN(D6124)&lt;15,""figurative ছোট"",""""),IF(AND(I6124=""Positive"",REGEXMATCH(H6"&amp;"124,""মূর্খ|ভণ্ড|প্রতার|অলস|লোভ|স্বার্থ|অক্ষম|অযোগ্য|বোকা|কৃপণ|হিংস"")),""valence-target অমিল"",""""),IF(COUNTIF($B:$B,B6124)&gt;1,""ডুপ্লিকেট"",""""))"),"")</f>
        <v/>
      </c>
      <c r="Q6124" s="5" t="str">
        <f t="shared" si="1"/>
        <v>২ পরে</v>
      </c>
    </row>
    <row r="6125">
      <c r="A6125" s="4">
        <v>4014.0</v>
      </c>
      <c r="B6125" s="2" t="s">
        <v>25053</v>
      </c>
      <c r="C6125" s="2" t="s">
        <v>25053</v>
      </c>
      <c r="D6125" s="2" t="s">
        <v>25054</v>
      </c>
      <c r="E6125" s="2" t="s">
        <v>25055</v>
      </c>
      <c r="F6125" s="2" t="b">
        <v>1</v>
      </c>
      <c r="G6125" s="2" t="b">
        <v>0</v>
      </c>
      <c r="H6125" s="2" t="s">
        <v>37</v>
      </c>
      <c r="I6125" s="2" t="s">
        <v>32</v>
      </c>
      <c r="J6125" s="2" t="s">
        <v>1843</v>
      </c>
      <c r="K6125" s="2" t="s">
        <v>495</v>
      </c>
      <c r="L6125" s="13" t="s">
        <v>496</v>
      </c>
      <c r="M6125" s="2" t="s">
        <v>26</v>
      </c>
      <c r="N6125" s="29"/>
      <c r="O6125" s="29"/>
      <c r="P6125" s="5" t="str">
        <f>IFERROR(__xludf.DUMMYFUNCTION("TEXTJOIN("" | "",TRUE,IF(OR(D6125="""",E6125="""",I6125="""",J6125="""",H6125=""""),""ফাঁকা ঘর"",""""),IF(AND(C6125&lt;&gt;"""",D6125&lt;&gt;"""",C6125=D6125),""gloss=figurative"",""""),IF(LEN(D6125)&lt;15,""figurative ছোট"",""""),IF(AND(I6125=""Positive"",REGEXMATCH(H6"&amp;"125,""মূর্খ|ভণ্ড|প্রতার|অলস|লোভ|স্বার্থ|অক্ষম|অযোগ্য|বোকা|কৃপণ|হিংস"")),""valence-target অমিল"",""""),IF(COUNTIF($B:$B,B6125)&gt;1,""ডুপ্লিকেট"",""""))"),"")</f>
        <v/>
      </c>
      <c r="Q6125" s="5" t="str">
        <f t="shared" si="1"/>
        <v>২ পরে</v>
      </c>
    </row>
    <row r="6126">
      <c r="A6126" s="4">
        <v>4015.0</v>
      </c>
      <c r="B6126" s="2" t="s">
        <v>25056</v>
      </c>
      <c r="C6126" s="2" t="s">
        <v>25057</v>
      </c>
      <c r="D6126" s="2" t="s">
        <v>25058</v>
      </c>
      <c r="E6126" s="2" t="s">
        <v>25059</v>
      </c>
      <c r="F6126" s="2" t="b">
        <v>1</v>
      </c>
      <c r="G6126" s="2" t="b">
        <v>0</v>
      </c>
      <c r="H6126" s="2" t="s">
        <v>37</v>
      </c>
      <c r="I6126" s="2" t="s">
        <v>32</v>
      </c>
      <c r="J6126" s="2" t="s">
        <v>25060</v>
      </c>
      <c r="K6126" s="2" t="s">
        <v>495</v>
      </c>
      <c r="L6126" s="13" t="s">
        <v>496</v>
      </c>
      <c r="M6126" s="2" t="s">
        <v>26</v>
      </c>
      <c r="N6126" s="29"/>
      <c r="O6126" s="29"/>
      <c r="P6126" s="5" t="str">
        <f>IFERROR(__xludf.DUMMYFUNCTION("TEXTJOIN("" | "",TRUE,IF(OR(D6126="""",E6126="""",I6126="""",J6126="""",H6126=""""),""ফাঁকা ঘর"",""""),IF(AND(C6126&lt;&gt;"""",D6126&lt;&gt;"""",C6126=D6126),""gloss=figurative"",""""),IF(LEN(D6126)&lt;15,""figurative ছোট"",""""),IF(AND(I6126=""Positive"",REGEXMATCH(H6"&amp;"126,""মূর্খ|ভণ্ড|প্রতার|অলস|লোভ|স্বার্থ|অক্ষম|অযোগ্য|বোকা|কৃপণ|হিংস"")),""valence-target অমিল"",""""),IF(COUNTIF($B:$B,B6126)&gt;1,""ডুপ্লিকেট"",""""))"),"")</f>
        <v/>
      </c>
      <c r="Q6126" s="5" t="str">
        <f t="shared" si="1"/>
        <v>২ পরে</v>
      </c>
    </row>
    <row r="6127">
      <c r="A6127" s="4">
        <v>4016.0</v>
      </c>
      <c r="B6127" s="2" t="s">
        <v>25061</v>
      </c>
      <c r="C6127" s="2" t="s">
        <v>25062</v>
      </c>
      <c r="D6127" s="2" t="s">
        <v>25063</v>
      </c>
      <c r="E6127" s="2" t="s">
        <v>25064</v>
      </c>
      <c r="F6127" s="2" t="b">
        <v>1</v>
      </c>
      <c r="G6127" s="2" t="b">
        <v>0</v>
      </c>
      <c r="H6127" s="2" t="s">
        <v>37</v>
      </c>
      <c r="I6127" s="2" t="s">
        <v>22</v>
      </c>
      <c r="J6127" s="2" t="s">
        <v>1712</v>
      </c>
      <c r="K6127" s="2" t="s">
        <v>495</v>
      </c>
      <c r="L6127" s="13" t="s">
        <v>496</v>
      </c>
      <c r="M6127" s="2" t="s">
        <v>26</v>
      </c>
      <c r="N6127" s="29"/>
      <c r="O6127" s="29"/>
      <c r="P6127" s="5" t="str">
        <f>IFERROR(__xludf.DUMMYFUNCTION("TEXTJOIN("" | "",TRUE,IF(OR(D6127="""",E6127="""",I6127="""",J6127="""",H6127=""""),""ফাঁকা ঘর"",""""),IF(AND(C6127&lt;&gt;"""",D6127&lt;&gt;"""",C6127=D6127),""gloss=figurative"",""""),IF(LEN(D6127)&lt;15,""figurative ছোট"",""""),IF(AND(I6127=""Positive"",REGEXMATCH(H6"&amp;"127,""মূর্খ|ভণ্ড|প্রতার|অলস|লোভ|স্বার্থ|অক্ষম|অযোগ্য|বোকা|কৃপণ|হিংস"")),""valence-target অমিল"",""""),IF(COUNTIF($B:$B,B6127)&gt;1,""ডুপ্লিকেট"",""""))"),"")</f>
        <v/>
      </c>
      <c r="Q6127" s="5" t="str">
        <f t="shared" si="1"/>
        <v>২ পরে</v>
      </c>
    </row>
    <row r="6128">
      <c r="A6128" s="4">
        <v>4017.0</v>
      </c>
      <c r="B6128" s="2" t="s">
        <v>25065</v>
      </c>
      <c r="C6128" s="2" t="s">
        <v>25066</v>
      </c>
      <c r="D6128" s="2" t="s">
        <v>25067</v>
      </c>
      <c r="E6128" s="2" t="s">
        <v>25068</v>
      </c>
      <c r="F6128" s="2" t="b">
        <v>1</v>
      </c>
      <c r="G6128" s="2" t="b">
        <v>0</v>
      </c>
      <c r="H6128" s="2" t="s">
        <v>37</v>
      </c>
      <c r="I6128" s="2" t="s">
        <v>22</v>
      </c>
      <c r="J6128" s="2" t="s">
        <v>848</v>
      </c>
      <c r="K6128" s="2" t="s">
        <v>495</v>
      </c>
      <c r="L6128" s="13" t="s">
        <v>496</v>
      </c>
      <c r="M6128" s="2" t="s">
        <v>26</v>
      </c>
      <c r="N6128" s="29"/>
      <c r="O6128" s="29"/>
      <c r="P6128" s="5" t="str">
        <f>IFERROR(__xludf.DUMMYFUNCTION("TEXTJOIN("" | "",TRUE,IF(OR(D6128="""",E6128="""",I6128="""",J6128="""",H6128=""""),""ফাঁকা ঘর"",""""),IF(AND(C6128&lt;&gt;"""",D6128&lt;&gt;"""",C6128=D6128),""gloss=figurative"",""""),IF(LEN(D6128)&lt;15,""figurative ছোট"",""""),IF(AND(I6128=""Positive"",REGEXMATCH(H6"&amp;"128,""মূর্খ|ভণ্ড|প্রতার|অলস|লোভ|স্বার্থ|অক্ষম|অযোগ্য|বোকা|কৃপণ|হিংস"")),""valence-target অমিল"",""""),IF(COUNTIF($B:$B,B6128)&gt;1,""ডুপ্লিকেট"",""""))"),"")</f>
        <v/>
      </c>
      <c r="Q6128" s="5" t="str">
        <f t="shared" si="1"/>
        <v>২ পরে</v>
      </c>
    </row>
    <row r="6129">
      <c r="A6129" s="4">
        <v>4019.0</v>
      </c>
      <c r="B6129" s="2" t="s">
        <v>25069</v>
      </c>
      <c r="C6129" s="2" t="s">
        <v>25069</v>
      </c>
      <c r="D6129" s="2" t="s">
        <v>25070</v>
      </c>
      <c r="E6129" s="2" t="s">
        <v>25071</v>
      </c>
      <c r="F6129" s="2" t="b">
        <v>1</v>
      </c>
      <c r="G6129" s="2" t="b">
        <v>0</v>
      </c>
      <c r="H6129" s="2" t="s">
        <v>37</v>
      </c>
      <c r="I6129" s="2" t="s">
        <v>22</v>
      </c>
      <c r="J6129" s="2" t="s">
        <v>848</v>
      </c>
      <c r="K6129" s="2" t="s">
        <v>495</v>
      </c>
      <c r="L6129" s="13" t="s">
        <v>496</v>
      </c>
      <c r="M6129" s="2" t="s">
        <v>26</v>
      </c>
      <c r="N6129" s="29"/>
      <c r="O6129" s="29"/>
      <c r="P6129" s="5" t="str">
        <f>IFERROR(__xludf.DUMMYFUNCTION("TEXTJOIN("" | "",TRUE,IF(OR(D6129="""",E6129="""",I6129="""",J6129="""",H6129=""""),""ফাঁকা ঘর"",""""),IF(AND(C6129&lt;&gt;"""",D6129&lt;&gt;"""",C6129=D6129),""gloss=figurative"",""""),IF(LEN(D6129)&lt;15,""figurative ছোট"",""""),IF(AND(I6129=""Positive"",REGEXMATCH(H6"&amp;"129,""মূর্খ|ভণ্ড|প্রতার|অলস|লোভ|স্বার্থ|অক্ষম|অযোগ্য|বোকা|কৃপণ|হিংস"")),""valence-target অমিল"",""""),IF(COUNTIF($B:$B,B6129)&gt;1,""ডুপ্লিকেট"",""""))"),"")</f>
        <v/>
      </c>
      <c r="Q6129" s="5" t="str">
        <f t="shared" si="1"/>
        <v>২ পরে</v>
      </c>
    </row>
    <row r="6130">
      <c r="A6130" s="4">
        <v>4020.0</v>
      </c>
      <c r="B6130" s="2" t="s">
        <v>25072</v>
      </c>
      <c r="C6130" s="2" t="s">
        <v>25073</v>
      </c>
      <c r="D6130" s="2" t="s">
        <v>25074</v>
      </c>
      <c r="E6130" s="2" t="s">
        <v>25075</v>
      </c>
      <c r="F6130" s="2" t="b">
        <v>1</v>
      </c>
      <c r="G6130" s="2" t="b">
        <v>0</v>
      </c>
      <c r="H6130" s="2" t="s">
        <v>37</v>
      </c>
      <c r="I6130" s="2" t="s">
        <v>49</v>
      </c>
      <c r="J6130" s="2" t="s">
        <v>3701</v>
      </c>
      <c r="K6130" s="2" t="s">
        <v>495</v>
      </c>
      <c r="L6130" s="13" t="s">
        <v>496</v>
      </c>
      <c r="M6130" s="2" t="s">
        <v>26</v>
      </c>
      <c r="N6130" s="29"/>
      <c r="O6130" s="29"/>
      <c r="P6130" s="5" t="str">
        <f>IFERROR(__xludf.DUMMYFUNCTION("TEXTJOIN("" | "",TRUE,IF(OR(D6130="""",E6130="""",I6130="""",J6130="""",H6130=""""),""ফাঁকা ঘর"",""""),IF(AND(C6130&lt;&gt;"""",D6130&lt;&gt;"""",C6130=D6130),""gloss=figurative"",""""),IF(LEN(D6130)&lt;15,""figurative ছোট"",""""),IF(AND(I6130=""Positive"",REGEXMATCH(H6"&amp;"130,""মূর্খ|ভণ্ড|প্রতার|অলস|লোভ|স্বার্থ|অক্ষম|অযোগ্য|বোকা|কৃপণ|হিংস"")),""valence-target অমিল"",""""),IF(COUNTIF($B:$B,B6130)&gt;1,""ডুপ্লিকেট"",""""))"),"")</f>
        <v/>
      </c>
      <c r="Q6130" s="5" t="str">
        <f t="shared" si="1"/>
        <v>২ পরে</v>
      </c>
    </row>
    <row r="6131">
      <c r="A6131" s="4">
        <v>4021.0</v>
      </c>
      <c r="B6131" s="2" t="s">
        <v>25076</v>
      </c>
      <c r="C6131" s="2" t="s">
        <v>25077</v>
      </c>
      <c r="D6131" s="2" t="s">
        <v>25078</v>
      </c>
      <c r="E6131" s="2" t="s">
        <v>25079</v>
      </c>
      <c r="F6131" s="2" t="b">
        <v>1</v>
      </c>
      <c r="G6131" s="2" t="b">
        <v>0</v>
      </c>
      <c r="H6131" s="2" t="s">
        <v>25080</v>
      </c>
      <c r="I6131" s="2" t="s">
        <v>32</v>
      </c>
      <c r="J6131" s="2" t="s">
        <v>669</v>
      </c>
      <c r="K6131" s="2" t="s">
        <v>495</v>
      </c>
      <c r="L6131" s="13" t="s">
        <v>496</v>
      </c>
      <c r="M6131" s="2" t="s">
        <v>26</v>
      </c>
      <c r="N6131" s="29"/>
      <c r="O6131" s="29"/>
      <c r="P6131" s="5" t="str">
        <f>IFERROR(__xludf.DUMMYFUNCTION("TEXTJOIN("" | "",TRUE,IF(OR(D6131="""",E6131="""",I6131="""",J6131="""",H6131=""""),""ফাঁকা ঘর"",""""),IF(AND(C6131&lt;&gt;"""",D6131&lt;&gt;"""",C6131=D6131),""gloss=figurative"",""""),IF(LEN(D6131)&lt;15,""figurative ছোট"",""""),IF(AND(I6131=""Positive"",REGEXMATCH(H6"&amp;"131,""মূর্খ|ভণ্ড|প্রতার|অলস|লোভ|স্বার্থ|অক্ষম|অযোগ্য|বোকা|কৃপণ|হিংস"")),""valence-target অমিল"",""""),IF(COUNTIF($B:$B,B6131)&gt;1,""ডুপ্লিকেট"",""""))"),"")</f>
        <v/>
      </c>
      <c r="Q6131" s="5" t="str">
        <f t="shared" si="1"/>
        <v>২ পরে</v>
      </c>
    </row>
    <row r="6132">
      <c r="A6132" s="4">
        <v>4022.0</v>
      </c>
      <c r="B6132" s="2" t="s">
        <v>25081</v>
      </c>
      <c r="C6132" s="2" t="s">
        <v>25082</v>
      </c>
      <c r="D6132" s="2" t="s">
        <v>25083</v>
      </c>
      <c r="E6132" s="2" t="s">
        <v>25084</v>
      </c>
      <c r="F6132" s="2" t="b">
        <v>1</v>
      </c>
      <c r="G6132" s="2" t="b">
        <v>0</v>
      </c>
      <c r="H6132" s="2" t="s">
        <v>6041</v>
      </c>
      <c r="I6132" s="2" t="s">
        <v>32</v>
      </c>
      <c r="J6132" s="2" t="s">
        <v>669</v>
      </c>
      <c r="K6132" s="2" t="s">
        <v>495</v>
      </c>
      <c r="L6132" s="13" t="s">
        <v>496</v>
      </c>
      <c r="M6132" s="2" t="s">
        <v>26</v>
      </c>
      <c r="N6132" s="29"/>
      <c r="O6132" s="29"/>
      <c r="P6132" s="5" t="str">
        <f>IFERROR(__xludf.DUMMYFUNCTION("TEXTJOIN("" | "",TRUE,IF(OR(D6132="""",E6132="""",I6132="""",J6132="""",H6132=""""),""ফাঁকা ঘর"",""""),IF(AND(C6132&lt;&gt;"""",D6132&lt;&gt;"""",C6132=D6132),""gloss=figurative"",""""),IF(LEN(D6132)&lt;15,""figurative ছোট"",""""),IF(AND(I6132=""Positive"",REGEXMATCH(H6"&amp;"132,""মূর্খ|ভণ্ড|প্রতার|অলস|লোভ|স্বার্থ|অক্ষম|অযোগ্য|বোকা|কৃপণ|হিংস"")),""valence-target অমিল"",""""),IF(COUNTIF($B:$B,B6132)&gt;1,""ডুপ্লিকেট"",""""))"),"")</f>
        <v/>
      </c>
      <c r="Q6132" s="5" t="str">
        <f t="shared" si="1"/>
        <v>২ পরে</v>
      </c>
    </row>
    <row r="6133">
      <c r="A6133" s="4">
        <v>4023.0</v>
      </c>
      <c r="B6133" s="2" t="s">
        <v>25085</v>
      </c>
      <c r="C6133" s="2" t="s">
        <v>25085</v>
      </c>
      <c r="D6133" s="2" t="s">
        <v>25086</v>
      </c>
      <c r="E6133" s="2" t="s">
        <v>25087</v>
      </c>
      <c r="F6133" s="2" t="b">
        <v>1</v>
      </c>
      <c r="G6133" s="2" t="b">
        <v>0</v>
      </c>
      <c r="H6133" s="2" t="s">
        <v>3161</v>
      </c>
      <c r="I6133" s="2" t="s">
        <v>22</v>
      </c>
      <c r="J6133" s="2" t="s">
        <v>43</v>
      </c>
      <c r="K6133" s="2" t="s">
        <v>495</v>
      </c>
      <c r="L6133" s="13" t="s">
        <v>496</v>
      </c>
      <c r="M6133" s="2" t="s">
        <v>26</v>
      </c>
      <c r="N6133" s="29"/>
      <c r="O6133" s="29"/>
      <c r="P6133" s="5" t="str">
        <f>IFERROR(__xludf.DUMMYFUNCTION("TEXTJOIN("" | "",TRUE,IF(OR(D6133="""",E6133="""",I6133="""",J6133="""",H6133=""""),""ফাঁকা ঘর"",""""),IF(AND(C6133&lt;&gt;"""",D6133&lt;&gt;"""",C6133=D6133),""gloss=figurative"",""""),IF(LEN(D6133)&lt;15,""figurative ছোট"",""""),IF(AND(I6133=""Positive"",REGEXMATCH(H6"&amp;"133,""মূর্খ|ভণ্ড|প্রতার|অলস|লোভ|স্বার্থ|অক্ষম|অযোগ্য|বোকা|কৃপণ|হিংস"")),""valence-target অমিল"",""""),IF(COUNTIF($B:$B,B6133)&gt;1,""ডুপ্লিকেট"",""""))"),"")</f>
        <v/>
      </c>
      <c r="Q6133" s="5" t="str">
        <f t="shared" si="1"/>
        <v>২ পরে</v>
      </c>
    </row>
    <row r="6134">
      <c r="A6134" s="4">
        <v>4024.0</v>
      </c>
      <c r="B6134" s="2" t="s">
        <v>25088</v>
      </c>
      <c r="C6134" s="2" t="s">
        <v>25089</v>
      </c>
      <c r="D6134" s="2" t="s">
        <v>25090</v>
      </c>
      <c r="E6134" s="2" t="s">
        <v>25091</v>
      </c>
      <c r="F6134" s="2" t="b">
        <v>1</v>
      </c>
      <c r="G6134" s="2" t="b">
        <v>1</v>
      </c>
      <c r="H6134" s="2" t="s">
        <v>4984</v>
      </c>
      <c r="I6134" s="2" t="s">
        <v>22</v>
      </c>
      <c r="J6134" s="2" t="s">
        <v>1239</v>
      </c>
      <c r="K6134" s="2" t="s">
        <v>495</v>
      </c>
      <c r="L6134" s="13" t="s">
        <v>496</v>
      </c>
      <c r="M6134" s="2" t="s">
        <v>26</v>
      </c>
      <c r="N6134" s="29"/>
      <c r="O6134" s="29"/>
      <c r="P6134" s="5" t="str">
        <f>IFERROR(__xludf.DUMMYFUNCTION("TEXTJOIN("" | "",TRUE,IF(OR(D6134="""",E6134="""",I6134="""",J6134="""",H6134=""""),""ফাঁকা ঘর"",""""),IF(AND(C6134&lt;&gt;"""",D6134&lt;&gt;"""",C6134=D6134),""gloss=figurative"",""""),IF(LEN(D6134)&lt;15,""figurative ছোট"",""""),IF(AND(I6134=""Positive"",REGEXMATCH(H6"&amp;"134,""মূর্খ|ভণ্ড|প্রতার|অলস|লোভ|স্বার্থ|অক্ষম|অযোগ্য|বোকা|কৃপণ|হিংস"")),""valence-target অমিল"",""""),IF(COUNTIF($B:$B,B6134)&gt;1,""ডুপ্লিকেট"",""""))"),"")</f>
        <v/>
      </c>
      <c r="Q6134" s="5" t="str">
        <f t="shared" si="1"/>
        <v>২ পরে</v>
      </c>
    </row>
    <row r="6135">
      <c r="A6135" s="4">
        <v>4025.0</v>
      </c>
      <c r="B6135" s="2" t="s">
        <v>25092</v>
      </c>
      <c r="C6135" s="2" t="s">
        <v>25093</v>
      </c>
      <c r="D6135" s="2" t="s">
        <v>25094</v>
      </c>
      <c r="E6135" s="2" t="s">
        <v>25095</v>
      </c>
      <c r="F6135" s="2" t="b">
        <v>1</v>
      </c>
      <c r="G6135" s="2" t="b">
        <v>1</v>
      </c>
      <c r="H6135" s="2" t="s">
        <v>25096</v>
      </c>
      <c r="I6135" s="2" t="s">
        <v>49</v>
      </c>
      <c r="J6135" s="2" t="s">
        <v>5084</v>
      </c>
      <c r="K6135" s="2" t="s">
        <v>495</v>
      </c>
      <c r="L6135" s="13" t="s">
        <v>496</v>
      </c>
      <c r="M6135" s="2" t="s">
        <v>26</v>
      </c>
      <c r="N6135" s="29"/>
      <c r="O6135" s="29"/>
      <c r="P6135" s="5" t="str">
        <f>IFERROR(__xludf.DUMMYFUNCTION("TEXTJOIN("" | "",TRUE,IF(OR(D6135="""",E6135="""",I6135="""",J6135="""",H6135=""""),""ফাঁকা ঘর"",""""),IF(AND(C6135&lt;&gt;"""",D6135&lt;&gt;"""",C6135=D6135),""gloss=figurative"",""""),IF(LEN(D6135)&lt;15,""figurative ছোট"",""""),IF(AND(I6135=""Positive"",REGEXMATCH(H6"&amp;"135,""মূর্খ|ভণ্ড|প্রতার|অলস|লোভ|স্বার্থ|অক্ষম|অযোগ্য|বোকা|কৃপণ|হিংস"")),""valence-target অমিল"",""""),IF(COUNTIF($B:$B,B6135)&gt;1,""ডুপ্লিকেট"",""""))"),"")</f>
        <v/>
      </c>
      <c r="Q6135" s="5" t="str">
        <f t="shared" si="1"/>
        <v>২ পরে</v>
      </c>
    </row>
    <row r="6136">
      <c r="A6136" s="4">
        <v>4026.0</v>
      </c>
      <c r="B6136" s="2" t="s">
        <v>25097</v>
      </c>
      <c r="C6136" s="2" t="s">
        <v>25098</v>
      </c>
      <c r="D6136" s="2" t="s">
        <v>25099</v>
      </c>
      <c r="E6136" s="2" t="s">
        <v>25100</v>
      </c>
      <c r="F6136" s="2" t="b">
        <v>1</v>
      </c>
      <c r="G6136" s="2" t="b">
        <v>0</v>
      </c>
      <c r="H6136" s="2" t="s">
        <v>37</v>
      </c>
      <c r="I6136" s="2" t="s">
        <v>22</v>
      </c>
      <c r="J6136" s="2" t="s">
        <v>565</v>
      </c>
      <c r="K6136" s="2" t="s">
        <v>495</v>
      </c>
      <c r="L6136" s="13" t="s">
        <v>496</v>
      </c>
      <c r="M6136" s="2" t="s">
        <v>26</v>
      </c>
      <c r="N6136" s="29"/>
      <c r="O6136" s="29"/>
      <c r="P6136" s="5" t="str">
        <f>IFERROR(__xludf.DUMMYFUNCTION("TEXTJOIN("" | "",TRUE,IF(OR(D6136="""",E6136="""",I6136="""",J6136="""",H6136=""""),""ফাঁকা ঘর"",""""),IF(AND(C6136&lt;&gt;"""",D6136&lt;&gt;"""",C6136=D6136),""gloss=figurative"",""""),IF(LEN(D6136)&lt;15,""figurative ছোট"",""""),IF(AND(I6136=""Positive"",REGEXMATCH(H6"&amp;"136,""মূর্খ|ভণ্ড|প্রতার|অলস|লোভ|স্বার্থ|অক্ষম|অযোগ্য|বোকা|কৃপণ|হিংস"")),""valence-target অমিল"",""""),IF(COUNTIF($B:$B,B6136)&gt;1,""ডুপ্লিকেট"",""""))"),"")</f>
        <v/>
      </c>
      <c r="Q6136" s="5" t="str">
        <f t="shared" si="1"/>
        <v>২ পরে</v>
      </c>
    </row>
    <row r="6137">
      <c r="A6137" s="4">
        <v>4027.0</v>
      </c>
      <c r="B6137" s="2" t="s">
        <v>25101</v>
      </c>
      <c r="C6137" s="2" t="s">
        <v>25102</v>
      </c>
      <c r="D6137" s="2" t="s">
        <v>25103</v>
      </c>
      <c r="E6137" s="2" t="s">
        <v>25104</v>
      </c>
      <c r="F6137" s="2" t="b">
        <v>1</v>
      </c>
      <c r="G6137" s="2" t="b">
        <v>0</v>
      </c>
      <c r="H6137" s="2" t="s">
        <v>37</v>
      </c>
      <c r="I6137" s="2" t="s">
        <v>32</v>
      </c>
      <c r="J6137" s="2" t="s">
        <v>739</v>
      </c>
      <c r="K6137" s="2" t="s">
        <v>495</v>
      </c>
      <c r="L6137" s="13" t="s">
        <v>496</v>
      </c>
      <c r="M6137" s="2" t="s">
        <v>26</v>
      </c>
      <c r="N6137" s="29"/>
      <c r="O6137" s="29"/>
      <c r="P6137" s="5" t="str">
        <f>IFERROR(__xludf.DUMMYFUNCTION("TEXTJOIN("" | "",TRUE,IF(OR(D6137="""",E6137="""",I6137="""",J6137="""",H6137=""""),""ফাঁকা ঘর"",""""),IF(AND(C6137&lt;&gt;"""",D6137&lt;&gt;"""",C6137=D6137),""gloss=figurative"",""""),IF(LEN(D6137)&lt;15,""figurative ছোট"",""""),IF(AND(I6137=""Positive"",REGEXMATCH(H6"&amp;"137,""মূর্খ|ভণ্ড|প্রতার|অলস|লোভ|স্বার্থ|অক্ষম|অযোগ্য|বোকা|কৃপণ|হিংস"")),""valence-target অমিল"",""""),IF(COUNTIF($B:$B,B6137)&gt;1,""ডুপ্লিকেট"",""""))"),"")</f>
        <v/>
      </c>
      <c r="Q6137" s="5" t="str">
        <f t="shared" si="1"/>
        <v>২ পরে</v>
      </c>
    </row>
    <row r="6138">
      <c r="A6138" s="4">
        <v>4028.0</v>
      </c>
      <c r="B6138" s="2" t="s">
        <v>25105</v>
      </c>
      <c r="C6138" s="2" t="s">
        <v>25106</v>
      </c>
      <c r="D6138" s="2" t="s">
        <v>25107</v>
      </c>
      <c r="E6138" s="2" t="s">
        <v>25108</v>
      </c>
      <c r="F6138" s="2" t="b">
        <v>1</v>
      </c>
      <c r="G6138" s="2" t="b">
        <v>0</v>
      </c>
      <c r="H6138" s="2" t="s">
        <v>37</v>
      </c>
      <c r="I6138" s="2" t="s">
        <v>22</v>
      </c>
      <c r="J6138" s="2" t="s">
        <v>1510</v>
      </c>
      <c r="K6138" s="2" t="s">
        <v>495</v>
      </c>
      <c r="L6138" s="13" t="s">
        <v>496</v>
      </c>
      <c r="M6138" s="2" t="s">
        <v>26</v>
      </c>
      <c r="N6138" s="29"/>
      <c r="O6138" s="29"/>
      <c r="P6138" s="5" t="str">
        <f>IFERROR(__xludf.DUMMYFUNCTION("TEXTJOIN("" | "",TRUE,IF(OR(D6138="""",E6138="""",I6138="""",J6138="""",H6138=""""),""ফাঁকা ঘর"",""""),IF(AND(C6138&lt;&gt;"""",D6138&lt;&gt;"""",C6138=D6138),""gloss=figurative"",""""),IF(LEN(D6138)&lt;15,""figurative ছোট"",""""),IF(AND(I6138=""Positive"",REGEXMATCH(H6"&amp;"138,""মূর্খ|ভণ্ড|প্রতার|অলস|লোভ|স্বার্থ|অক্ষম|অযোগ্য|বোকা|কৃপণ|হিংস"")),""valence-target অমিল"",""""),IF(COUNTIF($B:$B,B6138)&gt;1,""ডুপ্লিকেট"",""""))"),"")</f>
        <v/>
      </c>
      <c r="Q6138" s="5" t="str">
        <f t="shared" si="1"/>
        <v>২ পরে</v>
      </c>
    </row>
    <row r="6139">
      <c r="A6139" s="4">
        <v>4029.0</v>
      </c>
      <c r="B6139" s="2" t="s">
        <v>25109</v>
      </c>
      <c r="C6139" s="2" t="s">
        <v>25110</v>
      </c>
      <c r="D6139" s="2" t="s">
        <v>25111</v>
      </c>
      <c r="E6139" s="2" t="s">
        <v>25112</v>
      </c>
      <c r="F6139" s="2" t="b">
        <v>1</v>
      </c>
      <c r="G6139" s="2" t="b">
        <v>0</v>
      </c>
      <c r="H6139" s="2" t="s">
        <v>37</v>
      </c>
      <c r="I6139" s="2" t="s">
        <v>32</v>
      </c>
      <c r="J6139" s="2" t="s">
        <v>1510</v>
      </c>
      <c r="K6139" s="2" t="s">
        <v>495</v>
      </c>
      <c r="L6139" s="13" t="s">
        <v>496</v>
      </c>
      <c r="M6139" s="2" t="s">
        <v>26</v>
      </c>
      <c r="N6139" s="29"/>
      <c r="O6139" s="29"/>
      <c r="P6139" s="5" t="str">
        <f>IFERROR(__xludf.DUMMYFUNCTION("TEXTJOIN("" | "",TRUE,IF(OR(D6139="""",E6139="""",I6139="""",J6139="""",H6139=""""),""ফাঁকা ঘর"",""""),IF(AND(C6139&lt;&gt;"""",D6139&lt;&gt;"""",C6139=D6139),""gloss=figurative"",""""),IF(LEN(D6139)&lt;15,""figurative ছোট"",""""),IF(AND(I6139=""Positive"",REGEXMATCH(H6"&amp;"139,""মূর্খ|ভণ্ড|প্রতার|অলস|লোভ|স্বার্থ|অক্ষম|অযোগ্য|বোকা|কৃপণ|হিংস"")),""valence-target অমিল"",""""),IF(COUNTIF($B:$B,B6139)&gt;1,""ডুপ্লিকেট"",""""))"),"")</f>
        <v/>
      </c>
      <c r="Q6139" s="5" t="str">
        <f t="shared" si="1"/>
        <v>২ পরে</v>
      </c>
    </row>
    <row r="6140">
      <c r="A6140" s="4">
        <v>4031.0</v>
      </c>
      <c r="B6140" s="2" t="s">
        <v>25113</v>
      </c>
      <c r="C6140" s="2" t="s">
        <v>25114</v>
      </c>
      <c r="D6140" s="2" t="s">
        <v>25115</v>
      </c>
      <c r="E6140" s="2" t="s">
        <v>25116</v>
      </c>
      <c r="F6140" s="2" t="b">
        <v>1</v>
      </c>
      <c r="G6140" s="2" t="b">
        <v>0</v>
      </c>
      <c r="H6140" s="2" t="s">
        <v>37</v>
      </c>
      <c r="I6140" s="2" t="s">
        <v>22</v>
      </c>
      <c r="J6140" s="2" t="s">
        <v>1397</v>
      </c>
      <c r="K6140" s="2" t="s">
        <v>495</v>
      </c>
      <c r="L6140" s="13" t="s">
        <v>496</v>
      </c>
      <c r="M6140" s="2" t="s">
        <v>26</v>
      </c>
      <c r="N6140" s="29"/>
      <c r="O6140" s="29"/>
      <c r="P6140" s="5" t="str">
        <f>IFERROR(__xludf.DUMMYFUNCTION("TEXTJOIN("" | "",TRUE,IF(OR(D6140="""",E6140="""",I6140="""",J6140="""",H6140=""""),""ফাঁকা ঘর"",""""),IF(AND(C6140&lt;&gt;"""",D6140&lt;&gt;"""",C6140=D6140),""gloss=figurative"",""""),IF(LEN(D6140)&lt;15,""figurative ছোট"",""""),IF(AND(I6140=""Positive"",REGEXMATCH(H6"&amp;"140,""মূর্খ|ভণ্ড|প্রতার|অলস|লোভ|স্বার্থ|অক্ষম|অযোগ্য|বোকা|কৃপণ|হিংস"")),""valence-target অমিল"",""""),IF(COUNTIF($B:$B,B6140)&gt;1,""ডুপ্লিকেট"",""""))"),"")</f>
        <v/>
      </c>
      <c r="Q6140" s="5" t="str">
        <f t="shared" si="1"/>
        <v>২ পরে</v>
      </c>
    </row>
    <row r="6141">
      <c r="A6141" s="4">
        <v>4032.0</v>
      </c>
      <c r="B6141" s="2" t="s">
        <v>25117</v>
      </c>
      <c r="C6141" s="2" t="s">
        <v>25118</v>
      </c>
      <c r="D6141" s="2" t="s">
        <v>25119</v>
      </c>
      <c r="E6141" s="2" t="s">
        <v>25120</v>
      </c>
      <c r="F6141" s="2" t="b">
        <v>1</v>
      </c>
      <c r="G6141" s="2" t="b">
        <v>0</v>
      </c>
      <c r="H6141" s="2" t="s">
        <v>37</v>
      </c>
      <c r="I6141" s="2" t="s">
        <v>32</v>
      </c>
      <c r="J6141" s="2" t="s">
        <v>1249</v>
      </c>
      <c r="K6141" s="2" t="s">
        <v>495</v>
      </c>
      <c r="L6141" s="13" t="s">
        <v>496</v>
      </c>
      <c r="M6141" s="2" t="s">
        <v>26</v>
      </c>
      <c r="N6141" s="29"/>
      <c r="O6141" s="29"/>
      <c r="P6141" s="5" t="str">
        <f>IFERROR(__xludf.DUMMYFUNCTION("TEXTJOIN("" | "",TRUE,IF(OR(D6141="""",E6141="""",I6141="""",J6141="""",H6141=""""),""ফাঁকা ঘর"",""""),IF(AND(C6141&lt;&gt;"""",D6141&lt;&gt;"""",C6141=D6141),""gloss=figurative"",""""),IF(LEN(D6141)&lt;15,""figurative ছোট"",""""),IF(AND(I6141=""Positive"",REGEXMATCH(H6"&amp;"141,""মূর্খ|ভণ্ড|প্রতার|অলস|লোভ|স্বার্থ|অক্ষম|অযোগ্য|বোকা|কৃপণ|হিংস"")),""valence-target অমিল"",""""),IF(COUNTIF($B:$B,B6141)&gt;1,""ডুপ্লিকেট"",""""))"),"")</f>
        <v/>
      </c>
      <c r="Q6141" s="5" t="str">
        <f t="shared" si="1"/>
        <v>২ পরে</v>
      </c>
    </row>
    <row r="6142">
      <c r="A6142" s="4">
        <v>4033.0</v>
      </c>
      <c r="B6142" s="2" t="s">
        <v>25121</v>
      </c>
      <c r="C6142" s="2" t="s">
        <v>25122</v>
      </c>
      <c r="D6142" s="2" t="s">
        <v>25123</v>
      </c>
      <c r="E6142" s="2" t="s">
        <v>25124</v>
      </c>
      <c r="F6142" s="2" t="b">
        <v>1</v>
      </c>
      <c r="G6142" s="2" t="b">
        <v>0</v>
      </c>
      <c r="H6142" s="2" t="s">
        <v>37</v>
      </c>
      <c r="I6142" s="2" t="s">
        <v>32</v>
      </c>
      <c r="J6142" s="2" t="s">
        <v>1249</v>
      </c>
      <c r="K6142" s="2" t="s">
        <v>495</v>
      </c>
      <c r="L6142" s="13" t="s">
        <v>496</v>
      </c>
      <c r="M6142" s="2" t="s">
        <v>26</v>
      </c>
      <c r="N6142" s="29"/>
      <c r="O6142" s="29"/>
      <c r="P6142" s="5" t="str">
        <f>IFERROR(__xludf.DUMMYFUNCTION("TEXTJOIN("" | "",TRUE,IF(OR(D6142="""",E6142="""",I6142="""",J6142="""",H6142=""""),""ফাঁকা ঘর"",""""),IF(AND(C6142&lt;&gt;"""",D6142&lt;&gt;"""",C6142=D6142),""gloss=figurative"",""""),IF(LEN(D6142)&lt;15,""figurative ছোট"",""""),IF(AND(I6142=""Positive"",REGEXMATCH(H6"&amp;"142,""মূর্খ|ভণ্ড|প্রতার|অলস|লোভ|স্বার্থ|অক্ষম|অযোগ্য|বোকা|কৃপণ|হিংস"")),""valence-target অমিল"",""""),IF(COUNTIF($B:$B,B6142)&gt;1,""ডুপ্লিকেট"",""""))"),"")</f>
        <v/>
      </c>
      <c r="Q6142" s="5" t="str">
        <f t="shared" si="1"/>
        <v>২ পরে</v>
      </c>
    </row>
    <row r="6143">
      <c r="A6143" s="4">
        <v>4034.0</v>
      </c>
      <c r="B6143" s="2" t="s">
        <v>25125</v>
      </c>
      <c r="C6143" s="2" t="s">
        <v>25126</v>
      </c>
      <c r="D6143" s="2" t="s">
        <v>25127</v>
      </c>
      <c r="E6143" s="2" t="s">
        <v>25128</v>
      </c>
      <c r="F6143" s="2" t="b">
        <v>1</v>
      </c>
      <c r="G6143" s="2" t="b">
        <v>0</v>
      </c>
      <c r="H6143" s="2" t="s">
        <v>1334</v>
      </c>
      <c r="I6143" s="2" t="s">
        <v>22</v>
      </c>
      <c r="J6143" s="2" t="s">
        <v>820</v>
      </c>
      <c r="K6143" s="2" t="s">
        <v>495</v>
      </c>
      <c r="L6143" s="13" t="s">
        <v>496</v>
      </c>
      <c r="M6143" s="2" t="s">
        <v>26</v>
      </c>
      <c r="N6143" s="29"/>
      <c r="O6143" s="29"/>
      <c r="P6143" s="5" t="str">
        <f>IFERROR(__xludf.DUMMYFUNCTION("TEXTJOIN("" | "",TRUE,IF(OR(D6143="""",E6143="""",I6143="""",J6143="""",H6143=""""),""ফাঁকা ঘর"",""""),IF(AND(C6143&lt;&gt;"""",D6143&lt;&gt;"""",C6143=D6143),""gloss=figurative"",""""),IF(LEN(D6143)&lt;15,""figurative ছোট"",""""),IF(AND(I6143=""Positive"",REGEXMATCH(H6"&amp;"143,""মূর্খ|ভণ্ড|প্রতার|অলস|লোভ|স্বার্থ|অক্ষম|অযোগ্য|বোকা|কৃপণ|হিংস"")),""valence-target অমিল"",""""),IF(COUNTIF($B:$B,B6143)&gt;1,""ডুপ্লিকেট"",""""))"),"")</f>
        <v/>
      </c>
      <c r="Q6143" s="5" t="str">
        <f t="shared" si="1"/>
        <v>২ পরে</v>
      </c>
    </row>
    <row r="6144">
      <c r="A6144" s="4">
        <v>4035.0</v>
      </c>
      <c r="B6144" s="2" t="s">
        <v>25129</v>
      </c>
      <c r="C6144" s="2" t="s">
        <v>25130</v>
      </c>
      <c r="D6144" s="2" t="s">
        <v>25131</v>
      </c>
      <c r="E6144" s="2" t="s">
        <v>25132</v>
      </c>
      <c r="F6144" s="2" t="b">
        <v>1</v>
      </c>
      <c r="G6144" s="2" t="b">
        <v>0</v>
      </c>
      <c r="H6144" s="2" t="s">
        <v>1334</v>
      </c>
      <c r="I6144" s="2" t="s">
        <v>22</v>
      </c>
      <c r="J6144" s="2" t="s">
        <v>820</v>
      </c>
      <c r="K6144" s="2" t="s">
        <v>495</v>
      </c>
      <c r="L6144" s="13" t="s">
        <v>496</v>
      </c>
      <c r="M6144" s="2" t="s">
        <v>26</v>
      </c>
      <c r="N6144" s="29"/>
      <c r="O6144" s="29"/>
      <c r="P6144" s="5" t="str">
        <f>IFERROR(__xludf.DUMMYFUNCTION("TEXTJOIN("" | "",TRUE,IF(OR(D6144="""",E6144="""",I6144="""",J6144="""",H6144=""""),""ফাঁকা ঘর"",""""),IF(AND(C6144&lt;&gt;"""",D6144&lt;&gt;"""",C6144=D6144),""gloss=figurative"",""""),IF(LEN(D6144)&lt;15,""figurative ছোট"",""""),IF(AND(I6144=""Positive"",REGEXMATCH(H6"&amp;"144,""মূর্খ|ভণ্ড|প্রতার|অলস|লোভ|স্বার্থ|অক্ষম|অযোগ্য|বোকা|কৃপণ|হিংস"")),""valence-target অমিল"",""""),IF(COUNTIF($B:$B,B6144)&gt;1,""ডুপ্লিকেট"",""""))"),"")</f>
        <v/>
      </c>
      <c r="Q6144" s="5" t="str">
        <f t="shared" si="1"/>
        <v>২ পরে</v>
      </c>
    </row>
    <row r="6145">
      <c r="A6145" s="4">
        <v>4036.0</v>
      </c>
      <c r="B6145" s="2" t="s">
        <v>25133</v>
      </c>
      <c r="C6145" s="2" t="s">
        <v>25134</v>
      </c>
      <c r="D6145" s="2" t="s">
        <v>25135</v>
      </c>
      <c r="E6145" s="2" t="s">
        <v>25136</v>
      </c>
      <c r="F6145" s="2" t="b">
        <v>1</v>
      </c>
      <c r="G6145" s="2" t="b">
        <v>0</v>
      </c>
      <c r="H6145" s="2" t="s">
        <v>37</v>
      </c>
      <c r="I6145" s="2" t="s">
        <v>22</v>
      </c>
      <c r="J6145" s="2" t="s">
        <v>21635</v>
      </c>
      <c r="K6145" s="2" t="s">
        <v>495</v>
      </c>
      <c r="L6145" s="13" t="s">
        <v>496</v>
      </c>
      <c r="M6145" s="2" t="s">
        <v>26</v>
      </c>
      <c r="N6145" s="29"/>
      <c r="O6145" s="29"/>
      <c r="P6145" s="5" t="str">
        <f>IFERROR(__xludf.DUMMYFUNCTION("TEXTJOIN("" | "",TRUE,IF(OR(D6145="""",E6145="""",I6145="""",J6145="""",H6145=""""),""ফাঁকা ঘর"",""""),IF(AND(C6145&lt;&gt;"""",D6145&lt;&gt;"""",C6145=D6145),""gloss=figurative"",""""),IF(LEN(D6145)&lt;15,""figurative ছোট"",""""),IF(AND(I6145=""Positive"",REGEXMATCH(H6"&amp;"145,""মূর্খ|ভণ্ড|প্রতার|অলস|লোভ|স্বার্থ|অক্ষম|অযোগ্য|বোকা|কৃপণ|হিংস"")),""valence-target অমিল"",""""),IF(COUNTIF($B:$B,B6145)&gt;1,""ডুপ্লিকেট"",""""))"),"")</f>
        <v/>
      </c>
      <c r="Q6145" s="5" t="str">
        <f t="shared" si="1"/>
        <v>২ পরে</v>
      </c>
    </row>
    <row r="6146">
      <c r="A6146" s="4">
        <v>4037.0</v>
      </c>
      <c r="B6146" s="2" t="s">
        <v>25137</v>
      </c>
      <c r="C6146" s="2" t="s">
        <v>25137</v>
      </c>
      <c r="D6146" s="2" t="s">
        <v>25138</v>
      </c>
      <c r="E6146" s="2" t="s">
        <v>25139</v>
      </c>
      <c r="F6146" s="2" t="b">
        <v>1</v>
      </c>
      <c r="G6146" s="2" t="b">
        <v>0</v>
      </c>
      <c r="H6146" s="2" t="s">
        <v>37</v>
      </c>
      <c r="I6146" s="2" t="s">
        <v>49</v>
      </c>
      <c r="J6146" s="2" t="s">
        <v>565</v>
      </c>
      <c r="K6146" s="2" t="s">
        <v>495</v>
      </c>
      <c r="L6146" s="13" t="s">
        <v>496</v>
      </c>
      <c r="M6146" s="2" t="s">
        <v>26</v>
      </c>
      <c r="N6146" s="29"/>
      <c r="O6146" s="29"/>
      <c r="P6146" s="5" t="str">
        <f>IFERROR(__xludf.DUMMYFUNCTION("TEXTJOIN("" | "",TRUE,IF(OR(D6146="""",E6146="""",I6146="""",J6146="""",H6146=""""),""ফাঁকা ঘর"",""""),IF(AND(C6146&lt;&gt;"""",D6146&lt;&gt;"""",C6146=D6146),""gloss=figurative"",""""),IF(LEN(D6146)&lt;15,""figurative ছোট"",""""),IF(AND(I6146=""Positive"",REGEXMATCH(H6"&amp;"146,""মূর্খ|ভণ্ড|প্রতার|অলস|লোভ|স্বার্থ|অক্ষম|অযোগ্য|বোকা|কৃপণ|হিংস"")),""valence-target অমিল"",""""),IF(COUNTIF($B:$B,B6146)&gt;1,""ডুপ্লিকেট"",""""))"),"")</f>
        <v/>
      </c>
      <c r="Q6146" s="5" t="str">
        <f t="shared" si="1"/>
        <v>২ পরে</v>
      </c>
    </row>
    <row r="6147">
      <c r="A6147" s="4">
        <v>4038.0</v>
      </c>
      <c r="B6147" s="2" t="s">
        <v>25140</v>
      </c>
      <c r="C6147" s="2" t="s">
        <v>25141</v>
      </c>
      <c r="D6147" s="2" t="s">
        <v>25142</v>
      </c>
      <c r="E6147" s="2" t="s">
        <v>25143</v>
      </c>
      <c r="F6147" s="2" t="b">
        <v>1</v>
      </c>
      <c r="G6147" s="2" t="b">
        <v>0</v>
      </c>
      <c r="H6147" s="2" t="s">
        <v>37</v>
      </c>
      <c r="I6147" s="2" t="s">
        <v>32</v>
      </c>
      <c r="J6147" s="2" t="s">
        <v>4008</v>
      </c>
      <c r="K6147" s="2" t="s">
        <v>495</v>
      </c>
      <c r="L6147" s="13" t="s">
        <v>496</v>
      </c>
      <c r="M6147" s="2" t="s">
        <v>26</v>
      </c>
      <c r="N6147" s="29"/>
      <c r="O6147" s="29"/>
      <c r="P6147" s="5" t="str">
        <f>IFERROR(__xludf.DUMMYFUNCTION("TEXTJOIN("" | "",TRUE,IF(OR(D6147="""",E6147="""",I6147="""",J6147="""",H6147=""""),""ফাঁকা ঘর"",""""),IF(AND(C6147&lt;&gt;"""",D6147&lt;&gt;"""",C6147=D6147),""gloss=figurative"",""""),IF(LEN(D6147)&lt;15,""figurative ছোট"",""""),IF(AND(I6147=""Positive"",REGEXMATCH(H6"&amp;"147,""মূর্খ|ভণ্ড|প্রতার|অলস|লোভ|স্বার্থ|অক্ষম|অযোগ্য|বোকা|কৃপণ|হিংস"")),""valence-target অমিল"",""""),IF(COUNTIF($B:$B,B6147)&gt;1,""ডুপ্লিকেট"",""""))"),"")</f>
        <v/>
      </c>
      <c r="Q6147" s="5" t="str">
        <f t="shared" si="1"/>
        <v>২ পরে</v>
      </c>
    </row>
    <row r="6148">
      <c r="A6148" s="4">
        <v>4039.0</v>
      </c>
      <c r="B6148" s="2" t="s">
        <v>25144</v>
      </c>
      <c r="C6148" s="2" t="s">
        <v>25144</v>
      </c>
      <c r="D6148" s="2" t="s">
        <v>25145</v>
      </c>
      <c r="E6148" s="2" t="s">
        <v>25146</v>
      </c>
      <c r="F6148" s="2" t="b">
        <v>1</v>
      </c>
      <c r="G6148" s="2" t="b">
        <v>0</v>
      </c>
      <c r="H6148" s="2" t="s">
        <v>37</v>
      </c>
      <c r="I6148" s="2" t="s">
        <v>49</v>
      </c>
      <c r="J6148" s="2" t="s">
        <v>4924</v>
      </c>
      <c r="K6148" s="2" t="s">
        <v>495</v>
      </c>
      <c r="L6148" s="13" t="s">
        <v>496</v>
      </c>
      <c r="M6148" s="2" t="s">
        <v>26</v>
      </c>
      <c r="N6148" s="29"/>
      <c r="O6148" s="29"/>
      <c r="P6148" s="5" t="str">
        <f>IFERROR(__xludf.DUMMYFUNCTION("TEXTJOIN("" | "",TRUE,IF(OR(D6148="""",E6148="""",I6148="""",J6148="""",H6148=""""),""ফাঁকা ঘর"",""""),IF(AND(C6148&lt;&gt;"""",D6148&lt;&gt;"""",C6148=D6148),""gloss=figurative"",""""),IF(LEN(D6148)&lt;15,""figurative ছোট"",""""),IF(AND(I6148=""Positive"",REGEXMATCH(H6"&amp;"148,""মূর্খ|ভণ্ড|প্রতার|অলস|লোভ|স্বার্থ|অক্ষম|অযোগ্য|বোকা|কৃপণ|হিংস"")),""valence-target অমিল"",""""),IF(COUNTIF($B:$B,B6148)&gt;1,""ডুপ্লিকেট"",""""))"),"")</f>
        <v/>
      </c>
      <c r="Q6148" s="5" t="str">
        <f t="shared" si="1"/>
        <v>২ পরে</v>
      </c>
    </row>
    <row r="6149">
      <c r="A6149" s="4">
        <v>4040.0</v>
      </c>
      <c r="B6149" s="2" t="s">
        <v>25147</v>
      </c>
      <c r="C6149" s="2" t="s">
        <v>25148</v>
      </c>
      <c r="D6149" s="2" t="s">
        <v>25149</v>
      </c>
      <c r="E6149" s="2" t="s">
        <v>25150</v>
      </c>
      <c r="F6149" s="2" t="b">
        <v>1</v>
      </c>
      <c r="G6149" s="2" t="b">
        <v>0</v>
      </c>
      <c r="H6149" s="2" t="s">
        <v>37</v>
      </c>
      <c r="I6149" s="2" t="s">
        <v>32</v>
      </c>
      <c r="J6149" s="2" t="s">
        <v>2122</v>
      </c>
      <c r="K6149" s="2" t="s">
        <v>495</v>
      </c>
      <c r="L6149" s="13" t="s">
        <v>496</v>
      </c>
      <c r="M6149" s="2" t="s">
        <v>26</v>
      </c>
      <c r="N6149" s="29"/>
      <c r="O6149" s="29"/>
      <c r="P6149" s="5" t="str">
        <f>IFERROR(__xludf.DUMMYFUNCTION("TEXTJOIN("" | "",TRUE,IF(OR(D6149="""",E6149="""",I6149="""",J6149="""",H6149=""""),""ফাঁকা ঘর"",""""),IF(AND(C6149&lt;&gt;"""",D6149&lt;&gt;"""",C6149=D6149),""gloss=figurative"",""""),IF(LEN(D6149)&lt;15,""figurative ছোট"",""""),IF(AND(I6149=""Positive"",REGEXMATCH(H6"&amp;"149,""মূর্খ|ভণ্ড|প্রতার|অলস|লোভ|স্বার্থ|অক্ষম|অযোগ্য|বোকা|কৃপণ|হিংস"")),""valence-target অমিল"",""""),IF(COUNTIF($B:$B,B6149)&gt;1,""ডুপ্লিকেট"",""""))"),"")</f>
        <v/>
      </c>
      <c r="Q6149" s="5" t="str">
        <f t="shared" si="1"/>
        <v>২ পরে</v>
      </c>
    </row>
    <row r="6150">
      <c r="A6150" s="4">
        <v>4041.0</v>
      </c>
      <c r="B6150" s="2" t="s">
        <v>25151</v>
      </c>
      <c r="C6150" s="2" t="s">
        <v>25152</v>
      </c>
      <c r="D6150" s="2" t="s">
        <v>25153</v>
      </c>
      <c r="E6150" s="2" t="s">
        <v>25154</v>
      </c>
      <c r="F6150" s="2" t="b">
        <v>1</v>
      </c>
      <c r="G6150" s="2" t="b">
        <v>0</v>
      </c>
      <c r="H6150" s="2" t="s">
        <v>37</v>
      </c>
      <c r="I6150" s="2" t="s">
        <v>32</v>
      </c>
      <c r="J6150" s="2" t="s">
        <v>891</v>
      </c>
      <c r="K6150" s="2" t="s">
        <v>495</v>
      </c>
      <c r="L6150" s="13" t="s">
        <v>496</v>
      </c>
      <c r="M6150" s="2" t="s">
        <v>26</v>
      </c>
      <c r="N6150" s="29"/>
      <c r="O6150" s="29"/>
      <c r="P6150" s="5" t="str">
        <f>IFERROR(__xludf.DUMMYFUNCTION("TEXTJOIN("" | "",TRUE,IF(OR(D6150="""",E6150="""",I6150="""",J6150="""",H6150=""""),""ফাঁকা ঘর"",""""),IF(AND(C6150&lt;&gt;"""",D6150&lt;&gt;"""",C6150=D6150),""gloss=figurative"",""""),IF(LEN(D6150)&lt;15,""figurative ছোট"",""""),IF(AND(I6150=""Positive"",REGEXMATCH(H6"&amp;"150,""মূর্খ|ভণ্ড|প্রতার|অলস|লোভ|স্বার্থ|অক্ষম|অযোগ্য|বোকা|কৃপণ|হিংস"")),""valence-target অমিল"",""""),IF(COUNTIF($B:$B,B6150)&gt;1,""ডুপ্লিকেট"",""""))"),"")</f>
        <v/>
      </c>
      <c r="Q6150" s="5" t="str">
        <f t="shared" si="1"/>
        <v>২ পরে</v>
      </c>
    </row>
    <row r="6151">
      <c r="A6151" s="4">
        <v>4042.0</v>
      </c>
      <c r="B6151" s="2" t="s">
        <v>25155</v>
      </c>
      <c r="C6151" s="2" t="s">
        <v>25156</v>
      </c>
      <c r="D6151" s="2" t="s">
        <v>25157</v>
      </c>
      <c r="E6151" s="2" t="s">
        <v>25158</v>
      </c>
      <c r="F6151" s="2" t="b">
        <v>1</v>
      </c>
      <c r="G6151" s="2" t="b">
        <v>0</v>
      </c>
      <c r="H6151" s="2" t="s">
        <v>37</v>
      </c>
      <c r="I6151" s="2" t="s">
        <v>22</v>
      </c>
      <c r="J6151" s="2" t="s">
        <v>1630</v>
      </c>
      <c r="K6151" s="2" t="s">
        <v>495</v>
      </c>
      <c r="L6151" s="13" t="s">
        <v>496</v>
      </c>
      <c r="M6151" s="2" t="s">
        <v>26</v>
      </c>
      <c r="N6151" s="29"/>
      <c r="O6151" s="29"/>
      <c r="P6151" s="5" t="str">
        <f>IFERROR(__xludf.DUMMYFUNCTION("TEXTJOIN("" | "",TRUE,IF(OR(D6151="""",E6151="""",I6151="""",J6151="""",H6151=""""),""ফাঁকা ঘর"",""""),IF(AND(C6151&lt;&gt;"""",D6151&lt;&gt;"""",C6151=D6151),""gloss=figurative"",""""),IF(LEN(D6151)&lt;15,""figurative ছোট"",""""),IF(AND(I6151=""Positive"",REGEXMATCH(H6"&amp;"151,""মূর্খ|ভণ্ড|প্রতার|অলস|লোভ|স্বার্থ|অক্ষম|অযোগ্য|বোকা|কৃপণ|হিংস"")),""valence-target অমিল"",""""),IF(COUNTIF($B:$B,B6151)&gt;1,""ডুপ্লিকেট"",""""))"),"")</f>
        <v/>
      </c>
      <c r="Q6151" s="5" t="str">
        <f t="shared" si="1"/>
        <v>২ পরে</v>
      </c>
    </row>
    <row r="6152">
      <c r="A6152" s="4">
        <v>4043.0</v>
      </c>
      <c r="B6152" s="2" t="s">
        <v>25159</v>
      </c>
      <c r="C6152" s="2" t="s">
        <v>25160</v>
      </c>
      <c r="D6152" s="2" t="s">
        <v>25161</v>
      </c>
      <c r="E6152" s="2" t="s">
        <v>25162</v>
      </c>
      <c r="F6152" s="2" t="b">
        <v>1</v>
      </c>
      <c r="G6152" s="2" t="b">
        <v>0</v>
      </c>
      <c r="H6152" s="2" t="s">
        <v>37</v>
      </c>
      <c r="I6152" s="2" t="s">
        <v>22</v>
      </c>
      <c r="J6152" s="2" t="s">
        <v>1126</v>
      </c>
      <c r="K6152" s="2" t="s">
        <v>495</v>
      </c>
      <c r="L6152" s="13" t="s">
        <v>496</v>
      </c>
      <c r="M6152" s="2" t="s">
        <v>26</v>
      </c>
      <c r="N6152" s="29"/>
      <c r="O6152" s="29"/>
      <c r="P6152" s="5" t="str">
        <f>IFERROR(__xludf.DUMMYFUNCTION("TEXTJOIN("" | "",TRUE,IF(OR(D6152="""",E6152="""",I6152="""",J6152="""",H6152=""""),""ফাঁকা ঘর"",""""),IF(AND(C6152&lt;&gt;"""",D6152&lt;&gt;"""",C6152=D6152),""gloss=figurative"",""""),IF(LEN(D6152)&lt;15,""figurative ছোট"",""""),IF(AND(I6152=""Positive"",REGEXMATCH(H6"&amp;"152,""মূর্খ|ভণ্ড|প্রতার|অলস|লোভ|স্বার্থ|অক্ষম|অযোগ্য|বোকা|কৃপণ|হিংস"")),""valence-target অমিল"",""""),IF(COUNTIF($B:$B,B6152)&gt;1,""ডুপ্লিকেট"",""""))"),"")</f>
        <v/>
      </c>
      <c r="Q6152" s="5" t="str">
        <f t="shared" si="1"/>
        <v>২ পরে</v>
      </c>
    </row>
    <row r="6153">
      <c r="A6153" s="4">
        <v>4044.0</v>
      </c>
      <c r="B6153" s="2" t="s">
        <v>25163</v>
      </c>
      <c r="C6153" s="2" t="s">
        <v>25164</v>
      </c>
      <c r="D6153" s="2" t="s">
        <v>25165</v>
      </c>
      <c r="E6153" s="2" t="s">
        <v>25166</v>
      </c>
      <c r="F6153" s="2" t="b">
        <v>1</v>
      </c>
      <c r="G6153" s="2" t="b">
        <v>0</v>
      </c>
      <c r="H6153" s="2" t="s">
        <v>37</v>
      </c>
      <c r="I6153" s="2" t="s">
        <v>32</v>
      </c>
      <c r="J6153" s="2" t="s">
        <v>25167</v>
      </c>
      <c r="K6153" s="2" t="s">
        <v>495</v>
      </c>
      <c r="L6153" s="13" t="s">
        <v>496</v>
      </c>
      <c r="M6153" s="2" t="s">
        <v>26</v>
      </c>
      <c r="N6153" s="29"/>
      <c r="O6153" s="29"/>
      <c r="P6153" s="5" t="str">
        <f>IFERROR(__xludf.DUMMYFUNCTION("TEXTJOIN("" | "",TRUE,IF(OR(D6153="""",E6153="""",I6153="""",J6153="""",H6153=""""),""ফাঁকা ঘর"",""""),IF(AND(C6153&lt;&gt;"""",D6153&lt;&gt;"""",C6153=D6153),""gloss=figurative"",""""),IF(LEN(D6153)&lt;15,""figurative ছোট"",""""),IF(AND(I6153=""Positive"",REGEXMATCH(H6"&amp;"153,""মূর্খ|ভণ্ড|প্রতার|অলস|লোভ|স্বার্থ|অক্ষম|অযোগ্য|বোকা|কৃপণ|হিংস"")),""valence-target অমিল"",""""),IF(COUNTIF($B:$B,B6153)&gt;1,""ডুপ্লিকেট"",""""))"),"")</f>
        <v/>
      </c>
      <c r="Q6153" s="5" t="str">
        <f t="shared" si="1"/>
        <v>২ পরে</v>
      </c>
    </row>
    <row r="6154">
      <c r="A6154" s="4">
        <v>4045.0</v>
      </c>
      <c r="B6154" s="2" t="s">
        <v>25168</v>
      </c>
      <c r="C6154" s="2" t="s">
        <v>25169</v>
      </c>
      <c r="D6154" s="2" t="s">
        <v>25170</v>
      </c>
      <c r="E6154" s="2" t="s">
        <v>25171</v>
      </c>
      <c r="F6154" s="2" t="b">
        <v>1</v>
      </c>
      <c r="G6154" s="2" t="b">
        <v>0</v>
      </c>
      <c r="H6154" s="2" t="s">
        <v>14313</v>
      </c>
      <c r="I6154" s="2" t="s">
        <v>22</v>
      </c>
      <c r="J6154" s="2" t="s">
        <v>10356</v>
      </c>
      <c r="K6154" s="2" t="s">
        <v>495</v>
      </c>
      <c r="L6154" s="13" t="s">
        <v>496</v>
      </c>
      <c r="M6154" s="2" t="s">
        <v>26</v>
      </c>
      <c r="N6154" s="29"/>
      <c r="O6154" s="29"/>
      <c r="P6154" s="5" t="str">
        <f>IFERROR(__xludf.DUMMYFUNCTION("TEXTJOIN("" | "",TRUE,IF(OR(D6154="""",E6154="""",I6154="""",J6154="""",H6154=""""),""ফাঁকা ঘর"",""""),IF(AND(C6154&lt;&gt;"""",D6154&lt;&gt;"""",C6154=D6154),""gloss=figurative"",""""),IF(LEN(D6154)&lt;15,""figurative ছোট"",""""),IF(AND(I6154=""Positive"",REGEXMATCH(H6"&amp;"154,""মূর্খ|ভণ্ড|প্রতার|অলস|লোভ|স্বার্থ|অক্ষম|অযোগ্য|বোকা|কৃপণ|হিংস"")),""valence-target অমিল"",""""),IF(COUNTIF($B:$B,B6154)&gt;1,""ডুপ্লিকেট"",""""))"),"")</f>
        <v/>
      </c>
      <c r="Q6154" s="5" t="str">
        <f t="shared" si="1"/>
        <v>২ পরে</v>
      </c>
    </row>
    <row r="6155">
      <c r="A6155" s="4">
        <v>4046.0</v>
      </c>
      <c r="B6155" s="2" t="s">
        <v>25172</v>
      </c>
      <c r="C6155" s="2" t="s">
        <v>25172</v>
      </c>
      <c r="D6155" s="2" t="s">
        <v>25173</v>
      </c>
      <c r="E6155" s="2" t="s">
        <v>25174</v>
      </c>
      <c r="F6155" s="2" t="b">
        <v>1</v>
      </c>
      <c r="G6155" s="2" t="b">
        <v>0</v>
      </c>
      <c r="H6155" s="2" t="s">
        <v>37</v>
      </c>
      <c r="I6155" s="2" t="s">
        <v>49</v>
      </c>
      <c r="J6155" s="2" t="s">
        <v>1239</v>
      </c>
      <c r="K6155" s="2" t="s">
        <v>495</v>
      </c>
      <c r="L6155" s="13" t="s">
        <v>496</v>
      </c>
      <c r="M6155" s="2" t="s">
        <v>26</v>
      </c>
      <c r="N6155" s="29"/>
      <c r="O6155" s="29"/>
      <c r="P6155" s="5" t="str">
        <f>IFERROR(__xludf.DUMMYFUNCTION("TEXTJOIN("" | "",TRUE,IF(OR(D6155="""",E6155="""",I6155="""",J6155="""",H6155=""""),""ফাঁকা ঘর"",""""),IF(AND(C6155&lt;&gt;"""",D6155&lt;&gt;"""",C6155=D6155),""gloss=figurative"",""""),IF(LEN(D6155)&lt;15,""figurative ছোট"",""""),IF(AND(I6155=""Positive"",REGEXMATCH(H6"&amp;"155,""মূর্খ|ভণ্ড|প্রতার|অলস|লোভ|স্বার্থ|অক্ষম|অযোগ্য|বোকা|কৃপণ|হিংস"")),""valence-target অমিল"",""""),IF(COUNTIF($B:$B,B6155)&gt;1,""ডুপ্লিকেট"",""""))"),"")</f>
        <v/>
      </c>
      <c r="Q6155" s="5" t="str">
        <f t="shared" si="1"/>
        <v>২ পরে</v>
      </c>
    </row>
    <row r="6156">
      <c r="A6156" s="4">
        <v>4047.0</v>
      </c>
      <c r="B6156" s="2" t="s">
        <v>25175</v>
      </c>
      <c r="C6156" s="2" t="s">
        <v>25175</v>
      </c>
      <c r="D6156" s="2" t="s">
        <v>25176</v>
      </c>
      <c r="E6156" s="2" t="s">
        <v>25177</v>
      </c>
      <c r="F6156" s="2" t="b">
        <v>1</v>
      </c>
      <c r="G6156" s="2" t="b">
        <v>0</v>
      </c>
      <c r="H6156" s="2" t="s">
        <v>37</v>
      </c>
      <c r="I6156" s="2" t="s">
        <v>22</v>
      </c>
      <c r="J6156" s="2" t="s">
        <v>2240</v>
      </c>
      <c r="K6156" s="2" t="s">
        <v>495</v>
      </c>
      <c r="L6156" s="13" t="s">
        <v>496</v>
      </c>
      <c r="M6156" s="2" t="s">
        <v>26</v>
      </c>
      <c r="N6156" s="29"/>
      <c r="O6156" s="29"/>
      <c r="P6156" s="5" t="str">
        <f>IFERROR(__xludf.DUMMYFUNCTION("TEXTJOIN("" | "",TRUE,IF(OR(D6156="""",E6156="""",I6156="""",J6156="""",H6156=""""),""ফাঁকা ঘর"",""""),IF(AND(C6156&lt;&gt;"""",D6156&lt;&gt;"""",C6156=D6156),""gloss=figurative"",""""),IF(LEN(D6156)&lt;15,""figurative ছোট"",""""),IF(AND(I6156=""Positive"",REGEXMATCH(H6"&amp;"156,""মূর্খ|ভণ্ড|প্রতার|অলস|লোভ|স্বার্থ|অক্ষম|অযোগ্য|বোকা|কৃপণ|হিংস"")),""valence-target অমিল"",""""),IF(COUNTIF($B:$B,B6156)&gt;1,""ডুপ্লিকেট"",""""))"),"")</f>
        <v/>
      </c>
      <c r="Q6156" s="5" t="str">
        <f t="shared" si="1"/>
        <v>২ পরে</v>
      </c>
    </row>
    <row r="6157">
      <c r="A6157" s="4">
        <v>4048.0</v>
      </c>
      <c r="B6157" s="2" t="s">
        <v>25178</v>
      </c>
      <c r="C6157" s="2" t="s">
        <v>25179</v>
      </c>
      <c r="D6157" s="2" t="s">
        <v>25180</v>
      </c>
      <c r="E6157" s="2" t="s">
        <v>25181</v>
      </c>
      <c r="F6157" s="2" t="b">
        <v>1</v>
      </c>
      <c r="G6157" s="2" t="b">
        <v>1</v>
      </c>
      <c r="H6157" s="2" t="s">
        <v>25182</v>
      </c>
      <c r="I6157" s="2" t="s">
        <v>22</v>
      </c>
      <c r="J6157" s="2" t="s">
        <v>3165</v>
      </c>
      <c r="K6157" s="2" t="s">
        <v>495</v>
      </c>
      <c r="L6157" s="13" t="s">
        <v>496</v>
      </c>
      <c r="M6157" s="2" t="s">
        <v>26</v>
      </c>
      <c r="N6157" s="29"/>
      <c r="O6157" s="29"/>
      <c r="P6157" s="5" t="str">
        <f>IFERROR(__xludf.DUMMYFUNCTION("TEXTJOIN("" | "",TRUE,IF(OR(D6157="""",E6157="""",I6157="""",J6157="""",H6157=""""),""ফাঁকা ঘর"",""""),IF(AND(C6157&lt;&gt;"""",D6157&lt;&gt;"""",C6157=D6157),""gloss=figurative"",""""),IF(LEN(D6157)&lt;15,""figurative ছোট"",""""),IF(AND(I6157=""Positive"",REGEXMATCH(H6"&amp;"157,""মূর্খ|ভণ্ড|প্রতার|অলস|লোভ|স্বার্থ|অক্ষম|অযোগ্য|বোকা|কৃপণ|হিংস"")),""valence-target অমিল"",""""),IF(COUNTIF($B:$B,B6157)&gt;1,""ডুপ্লিকেট"",""""))"),"")</f>
        <v/>
      </c>
      <c r="Q6157" s="5" t="str">
        <f t="shared" si="1"/>
        <v>২ পরে</v>
      </c>
    </row>
    <row r="6158">
      <c r="A6158" s="4">
        <v>4049.0</v>
      </c>
      <c r="B6158" s="2" t="s">
        <v>25183</v>
      </c>
      <c r="C6158" s="2" t="s">
        <v>25184</v>
      </c>
      <c r="D6158" s="2" t="s">
        <v>25185</v>
      </c>
      <c r="E6158" s="2" t="s">
        <v>25186</v>
      </c>
      <c r="F6158" s="2" t="b">
        <v>1</v>
      </c>
      <c r="G6158" s="2" t="b">
        <v>0</v>
      </c>
      <c r="H6158" s="2" t="s">
        <v>37</v>
      </c>
      <c r="I6158" s="2" t="s">
        <v>32</v>
      </c>
      <c r="J6158" s="2" t="s">
        <v>4088</v>
      </c>
      <c r="K6158" s="2" t="s">
        <v>495</v>
      </c>
      <c r="L6158" s="13" t="s">
        <v>496</v>
      </c>
      <c r="M6158" s="2" t="s">
        <v>26</v>
      </c>
      <c r="N6158" s="29"/>
      <c r="O6158" s="29"/>
      <c r="P6158" s="5" t="str">
        <f>IFERROR(__xludf.DUMMYFUNCTION("TEXTJOIN("" | "",TRUE,IF(OR(D6158="""",E6158="""",I6158="""",J6158="""",H6158=""""),""ফাঁকা ঘর"",""""),IF(AND(C6158&lt;&gt;"""",D6158&lt;&gt;"""",C6158=D6158),""gloss=figurative"",""""),IF(LEN(D6158)&lt;15,""figurative ছোট"",""""),IF(AND(I6158=""Positive"",REGEXMATCH(H6"&amp;"158,""মূর্খ|ভণ্ড|প্রতার|অলস|লোভ|স্বার্থ|অক্ষম|অযোগ্য|বোকা|কৃপণ|হিংস"")),""valence-target অমিল"",""""),IF(COUNTIF($B:$B,B6158)&gt;1,""ডুপ্লিকেট"",""""))"),"")</f>
        <v/>
      </c>
      <c r="Q6158" s="5" t="str">
        <f t="shared" si="1"/>
        <v>২ পরে</v>
      </c>
    </row>
    <row r="6159">
      <c r="A6159" s="4">
        <v>4050.0</v>
      </c>
      <c r="B6159" s="2" t="s">
        <v>25187</v>
      </c>
      <c r="C6159" s="2" t="s">
        <v>25188</v>
      </c>
      <c r="D6159" s="2" t="s">
        <v>25189</v>
      </c>
      <c r="E6159" s="2" t="s">
        <v>25190</v>
      </c>
      <c r="F6159" s="2" t="b">
        <v>1</v>
      </c>
      <c r="G6159" s="2" t="b">
        <v>0</v>
      </c>
      <c r="H6159" s="2" t="s">
        <v>37</v>
      </c>
      <c r="I6159" s="2" t="s">
        <v>22</v>
      </c>
      <c r="J6159" s="2" t="s">
        <v>16089</v>
      </c>
      <c r="K6159" s="2" t="s">
        <v>495</v>
      </c>
      <c r="L6159" s="13" t="s">
        <v>496</v>
      </c>
      <c r="M6159" s="2" t="s">
        <v>26</v>
      </c>
      <c r="N6159" s="29"/>
      <c r="O6159" s="29"/>
      <c r="P6159" s="5" t="str">
        <f>IFERROR(__xludf.DUMMYFUNCTION("TEXTJOIN("" | "",TRUE,IF(OR(D6159="""",E6159="""",I6159="""",J6159="""",H6159=""""),""ফাঁকা ঘর"",""""),IF(AND(C6159&lt;&gt;"""",D6159&lt;&gt;"""",C6159=D6159),""gloss=figurative"",""""),IF(LEN(D6159)&lt;15,""figurative ছোট"",""""),IF(AND(I6159=""Positive"",REGEXMATCH(H6"&amp;"159,""মূর্খ|ভণ্ড|প্রতার|অলস|লোভ|স্বার্থ|অক্ষম|অযোগ্য|বোকা|কৃপণ|হিংস"")),""valence-target অমিল"",""""),IF(COUNTIF($B:$B,B6159)&gt;1,""ডুপ্লিকেট"",""""))"),"")</f>
        <v/>
      </c>
      <c r="Q6159" s="5" t="str">
        <f t="shared" si="1"/>
        <v>২ পরে</v>
      </c>
    </row>
    <row r="6160">
      <c r="A6160" s="4">
        <v>4051.0</v>
      </c>
      <c r="B6160" s="2" t="s">
        <v>25191</v>
      </c>
      <c r="C6160" s="2" t="s">
        <v>25192</v>
      </c>
      <c r="D6160" s="2" t="s">
        <v>25193</v>
      </c>
      <c r="E6160" s="2" t="s">
        <v>25194</v>
      </c>
      <c r="F6160" s="2" t="b">
        <v>1</v>
      </c>
      <c r="G6160" s="2" t="b">
        <v>0</v>
      </c>
      <c r="H6160" s="2" t="s">
        <v>37</v>
      </c>
      <c r="I6160" s="2" t="s">
        <v>22</v>
      </c>
      <c r="J6160" s="2" t="s">
        <v>16089</v>
      </c>
      <c r="K6160" s="2" t="s">
        <v>495</v>
      </c>
      <c r="L6160" s="13" t="s">
        <v>496</v>
      </c>
      <c r="M6160" s="2" t="s">
        <v>26</v>
      </c>
      <c r="N6160" s="29"/>
      <c r="O6160" s="29"/>
      <c r="P6160" s="5" t="str">
        <f>IFERROR(__xludf.DUMMYFUNCTION("TEXTJOIN("" | "",TRUE,IF(OR(D6160="""",E6160="""",I6160="""",J6160="""",H6160=""""),""ফাঁকা ঘর"",""""),IF(AND(C6160&lt;&gt;"""",D6160&lt;&gt;"""",C6160=D6160),""gloss=figurative"",""""),IF(LEN(D6160)&lt;15,""figurative ছোট"",""""),IF(AND(I6160=""Positive"",REGEXMATCH(H6"&amp;"160,""মূর্খ|ভণ্ড|প্রতার|অলস|লোভ|স্বার্থ|অক্ষম|অযোগ্য|বোকা|কৃপণ|হিংস"")),""valence-target অমিল"",""""),IF(COUNTIF($B:$B,B6160)&gt;1,""ডুপ্লিকেট"",""""))"),"")</f>
        <v/>
      </c>
      <c r="Q6160" s="5" t="str">
        <f t="shared" si="1"/>
        <v>২ পরে</v>
      </c>
    </row>
    <row r="6161">
      <c r="A6161" s="4">
        <v>4052.0</v>
      </c>
      <c r="B6161" s="2" t="s">
        <v>25195</v>
      </c>
      <c r="C6161" s="2" t="s">
        <v>25196</v>
      </c>
      <c r="D6161" s="2" t="s">
        <v>25197</v>
      </c>
      <c r="E6161" s="2" t="s">
        <v>25198</v>
      </c>
      <c r="F6161" s="2" t="b">
        <v>1</v>
      </c>
      <c r="G6161" s="2" t="b">
        <v>0</v>
      </c>
      <c r="H6161" s="2" t="s">
        <v>37</v>
      </c>
      <c r="I6161" s="2" t="s">
        <v>22</v>
      </c>
      <c r="J6161" s="2" t="s">
        <v>25199</v>
      </c>
      <c r="K6161" s="2" t="s">
        <v>495</v>
      </c>
      <c r="L6161" s="13" t="s">
        <v>496</v>
      </c>
      <c r="M6161" s="2" t="s">
        <v>26</v>
      </c>
      <c r="N6161" s="29"/>
      <c r="O6161" s="29"/>
      <c r="P6161" s="5" t="str">
        <f>IFERROR(__xludf.DUMMYFUNCTION("TEXTJOIN("" | "",TRUE,IF(OR(D6161="""",E6161="""",I6161="""",J6161="""",H6161=""""),""ফাঁকা ঘর"",""""),IF(AND(C6161&lt;&gt;"""",D6161&lt;&gt;"""",C6161=D6161),""gloss=figurative"",""""),IF(LEN(D6161)&lt;15,""figurative ছোট"",""""),IF(AND(I6161=""Positive"",REGEXMATCH(H6"&amp;"161,""মূর্খ|ভণ্ড|প্রতার|অলস|লোভ|স্বার্থ|অক্ষম|অযোগ্য|বোকা|কৃপণ|হিংস"")),""valence-target অমিল"",""""),IF(COUNTIF($B:$B,B6161)&gt;1,""ডুপ্লিকেট"",""""))"),"")</f>
        <v/>
      </c>
      <c r="Q6161" s="5" t="str">
        <f t="shared" si="1"/>
        <v>২ পরে</v>
      </c>
    </row>
    <row r="6162">
      <c r="A6162" s="4">
        <v>4053.0</v>
      </c>
      <c r="B6162" s="2" t="s">
        <v>25200</v>
      </c>
      <c r="C6162" s="2" t="s">
        <v>25201</v>
      </c>
      <c r="D6162" s="2" t="s">
        <v>25202</v>
      </c>
      <c r="E6162" s="2" t="s">
        <v>25203</v>
      </c>
      <c r="F6162" s="2" t="b">
        <v>1</v>
      </c>
      <c r="G6162" s="2" t="b">
        <v>0</v>
      </c>
      <c r="H6162" s="2" t="s">
        <v>37</v>
      </c>
      <c r="I6162" s="2" t="s">
        <v>49</v>
      </c>
      <c r="J6162" s="2" t="s">
        <v>25204</v>
      </c>
      <c r="K6162" s="2" t="s">
        <v>495</v>
      </c>
      <c r="L6162" s="13" t="s">
        <v>496</v>
      </c>
      <c r="M6162" s="2" t="s">
        <v>26</v>
      </c>
      <c r="N6162" s="29"/>
      <c r="O6162" s="29"/>
      <c r="P6162" s="5" t="str">
        <f>IFERROR(__xludf.DUMMYFUNCTION("TEXTJOIN("" | "",TRUE,IF(OR(D6162="""",E6162="""",I6162="""",J6162="""",H6162=""""),""ফাঁকা ঘর"",""""),IF(AND(C6162&lt;&gt;"""",D6162&lt;&gt;"""",C6162=D6162),""gloss=figurative"",""""),IF(LEN(D6162)&lt;15,""figurative ছোট"",""""),IF(AND(I6162=""Positive"",REGEXMATCH(H6"&amp;"162,""মূর্খ|ভণ্ড|প্রতার|অলস|লোভ|স্বার্থ|অক্ষম|অযোগ্য|বোকা|কৃপণ|হিংস"")),""valence-target অমিল"",""""),IF(COUNTIF($B:$B,B6162)&gt;1,""ডুপ্লিকেট"",""""))"),"")</f>
        <v/>
      </c>
      <c r="Q6162" s="5" t="str">
        <f t="shared" si="1"/>
        <v>২ পরে</v>
      </c>
    </row>
    <row r="6163">
      <c r="A6163" s="4">
        <v>4054.0</v>
      </c>
      <c r="B6163" s="2" t="s">
        <v>25205</v>
      </c>
      <c r="C6163" s="2" t="s">
        <v>25206</v>
      </c>
      <c r="D6163" s="2" t="s">
        <v>25207</v>
      </c>
      <c r="E6163" s="2" t="s">
        <v>25208</v>
      </c>
      <c r="F6163" s="2" t="b">
        <v>1</v>
      </c>
      <c r="G6163" s="2" t="b">
        <v>0</v>
      </c>
      <c r="H6163" s="2" t="s">
        <v>37</v>
      </c>
      <c r="I6163" s="2" t="s">
        <v>22</v>
      </c>
      <c r="J6163" s="2" t="s">
        <v>1630</v>
      </c>
      <c r="K6163" s="2" t="s">
        <v>495</v>
      </c>
      <c r="L6163" s="13" t="s">
        <v>496</v>
      </c>
      <c r="M6163" s="2" t="s">
        <v>26</v>
      </c>
      <c r="N6163" s="29"/>
      <c r="O6163" s="29"/>
      <c r="P6163" s="5" t="str">
        <f>IFERROR(__xludf.DUMMYFUNCTION("TEXTJOIN("" | "",TRUE,IF(OR(D6163="""",E6163="""",I6163="""",J6163="""",H6163=""""),""ফাঁকা ঘর"",""""),IF(AND(C6163&lt;&gt;"""",D6163&lt;&gt;"""",C6163=D6163),""gloss=figurative"",""""),IF(LEN(D6163)&lt;15,""figurative ছোট"",""""),IF(AND(I6163=""Positive"",REGEXMATCH(H6"&amp;"163,""মূর্খ|ভণ্ড|প্রতার|অলস|লোভ|স্বার্থ|অক্ষম|অযোগ্য|বোকা|কৃপণ|হিংস"")),""valence-target অমিল"",""""),IF(COUNTIF($B:$B,B6163)&gt;1,""ডুপ্লিকেট"",""""))"),"")</f>
        <v/>
      </c>
      <c r="Q6163" s="5" t="str">
        <f t="shared" si="1"/>
        <v>২ পরে</v>
      </c>
    </row>
    <row r="6164">
      <c r="A6164" s="4">
        <v>4055.0</v>
      </c>
      <c r="B6164" s="2" t="s">
        <v>25209</v>
      </c>
      <c r="C6164" s="2" t="s">
        <v>25210</v>
      </c>
      <c r="D6164" s="2" t="s">
        <v>25211</v>
      </c>
      <c r="E6164" s="2" t="s">
        <v>25212</v>
      </c>
      <c r="F6164" s="2" t="b">
        <v>1</v>
      </c>
      <c r="G6164" s="2" t="b">
        <v>0</v>
      </c>
      <c r="H6164" s="2" t="s">
        <v>37</v>
      </c>
      <c r="I6164" s="2" t="s">
        <v>22</v>
      </c>
      <c r="J6164" s="2" t="s">
        <v>842</v>
      </c>
      <c r="K6164" s="2" t="s">
        <v>495</v>
      </c>
      <c r="L6164" s="13" t="s">
        <v>496</v>
      </c>
      <c r="M6164" s="2" t="s">
        <v>26</v>
      </c>
      <c r="N6164" s="29"/>
      <c r="O6164" s="29"/>
      <c r="P6164" s="5" t="str">
        <f>IFERROR(__xludf.DUMMYFUNCTION("TEXTJOIN("" | "",TRUE,IF(OR(D6164="""",E6164="""",I6164="""",J6164="""",H6164=""""),""ফাঁকা ঘর"",""""),IF(AND(C6164&lt;&gt;"""",D6164&lt;&gt;"""",C6164=D6164),""gloss=figurative"",""""),IF(LEN(D6164)&lt;15,""figurative ছোট"",""""),IF(AND(I6164=""Positive"",REGEXMATCH(H6"&amp;"164,""মূর্খ|ভণ্ড|প্রতার|অলস|লোভ|স্বার্থ|অক্ষম|অযোগ্য|বোকা|কৃপণ|হিংস"")),""valence-target অমিল"",""""),IF(COUNTIF($B:$B,B6164)&gt;1,""ডুপ্লিকেট"",""""))"),"")</f>
        <v/>
      </c>
      <c r="Q6164" s="5" t="str">
        <f t="shared" si="1"/>
        <v>২ পরে</v>
      </c>
    </row>
    <row r="6165">
      <c r="A6165" s="4">
        <v>4056.0</v>
      </c>
      <c r="B6165" s="2" t="s">
        <v>25213</v>
      </c>
      <c r="C6165" s="2" t="s">
        <v>25213</v>
      </c>
      <c r="D6165" s="2" t="s">
        <v>25214</v>
      </c>
      <c r="E6165" s="2" t="s">
        <v>25215</v>
      </c>
      <c r="F6165" s="2" t="b">
        <v>1</v>
      </c>
      <c r="G6165" s="2" t="b">
        <v>0</v>
      </c>
      <c r="H6165" s="2" t="s">
        <v>37</v>
      </c>
      <c r="I6165" s="2" t="s">
        <v>49</v>
      </c>
      <c r="J6165" s="2" t="s">
        <v>5724</v>
      </c>
      <c r="K6165" s="2" t="s">
        <v>495</v>
      </c>
      <c r="L6165" s="13" t="s">
        <v>496</v>
      </c>
      <c r="M6165" s="2" t="s">
        <v>26</v>
      </c>
      <c r="N6165" s="29"/>
      <c r="O6165" s="29"/>
      <c r="P6165" s="5" t="str">
        <f>IFERROR(__xludf.DUMMYFUNCTION("TEXTJOIN("" | "",TRUE,IF(OR(D6165="""",E6165="""",I6165="""",J6165="""",H6165=""""),""ফাঁকা ঘর"",""""),IF(AND(C6165&lt;&gt;"""",D6165&lt;&gt;"""",C6165=D6165),""gloss=figurative"",""""),IF(LEN(D6165)&lt;15,""figurative ছোট"",""""),IF(AND(I6165=""Positive"",REGEXMATCH(H6"&amp;"165,""মূর্খ|ভণ্ড|প্রতার|অলস|লোভ|স্বার্থ|অক্ষম|অযোগ্য|বোকা|কৃপণ|হিংস"")),""valence-target অমিল"",""""),IF(COUNTIF($B:$B,B6165)&gt;1,""ডুপ্লিকেট"",""""))"),"")</f>
        <v/>
      </c>
      <c r="Q6165" s="5" t="str">
        <f t="shared" si="1"/>
        <v>২ পরে</v>
      </c>
    </row>
    <row r="6166">
      <c r="A6166" s="4">
        <v>4057.0</v>
      </c>
      <c r="B6166" s="2" t="s">
        <v>25216</v>
      </c>
      <c r="C6166" s="2" t="s">
        <v>25217</v>
      </c>
      <c r="D6166" s="2" t="s">
        <v>25218</v>
      </c>
      <c r="E6166" s="2" t="s">
        <v>25219</v>
      </c>
      <c r="F6166" s="2" t="b">
        <v>1</v>
      </c>
      <c r="G6166" s="2" t="b">
        <v>0</v>
      </c>
      <c r="H6166" s="2" t="s">
        <v>37</v>
      </c>
      <c r="I6166" s="2" t="s">
        <v>49</v>
      </c>
      <c r="J6166" s="2" t="s">
        <v>5724</v>
      </c>
      <c r="K6166" s="2" t="s">
        <v>495</v>
      </c>
      <c r="L6166" s="13" t="s">
        <v>496</v>
      </c>
      <c r="M6166" s="2" t="s">
        <v>26</v>
      </c>
      <c r="N6166" s="29"/>
      <c r="O6166" s="29"/>
      <c r="P6166" s="5" t="str">
        <f>IFERROR(__xludf.DUMMYFUNCTION("TEXTJOIN("" | "",TRUE,IF(OR(D6166="""",E6166="""",I6166="""",J6166="""",H6166=""""),""ফাঁকা ঘর"",""""),IF(AND(C6166&lt;&gt;"""",D6166&lt;&gt;"""",C6166=D6166),""gloss=figurative"",""""),IF(LEN(D6166)&lt;15,""figurative ছোট"",""""),IF(AND(I6166=""Positive"",REGEXMATCH(H6"&amp;"166,""মূর্খ|ভণ্ড|প্রতার|অলস|লোভ|স্বার্থ|অক্ষম|অযোগ্য|বোকা|কৃপণ|হিংস"")),""valence-target অমিল"",""""),IF(COUNTIF($B:$B,B6166)&gt;1,""ডুপ্লিকেট"",""""))"),"")</f>
        <v/>
      </c>
      <c r="Q6166" s="5" t="str">
        <f t="shared" si="1"/>
        <v>২ পরে</v>
      </c>
    </row>
    <row r="6167">
      <c r="A6167" s="4">
        <v>4058.0</v>
      </c>
      <c r="B6167" s="2" t="s">
        <v>25220</v>
      </c>
      <c r="C6167" s="2" t="s">
        <v>25221</v>
      </c>
      <c r="D6167" s="2" t="s">
        <v>25222</v>
      </c>
      <c r="E6167" s="2" t="s">
        <v>25223</v>
      </c>
      <c r="F6167" s="2" t="b">
        <v>1</v>
      </c>
      <c r="G6167" s="2" t="b">
        <v>0</v>
      </c>
      <c r="H6167" s="2" t="s">
        <v>37</v>
      </c>
      <c r="I6167" s="2" t="s">
        <v>22</v>
      </c>
      <c r="J6167" s="2" t="s">
        <v>655</v>
      </c>
      <c r="K6167" s="2" t="s">
        <v>495</v>
      </c>
      <c r="L6167" s="13" t="s">
        <v>496</v>
      </c>
      <c r="M6167" s="2" t="s">
        <v>26</v>
      </c>
      <c r="N6167" s="29"/>
      <c r="O6167" s="29"/>
      <c r="P6167" s="5" t="str">
        <f>IFERROR(__xludf.DUMMYFUNCTION("TEXTJOIN("" | "",TRUE,IF(OR(D6167="""",E6167="""",I6167="""",J6167="""",H6167=""""),""ফাঁকা ঘর"",""""),IF(AND(C6167&lt;&gt;"""",D6167&lt;&gt;"""",C6167=D6167),""gloss=figurative"",""""),IF(LEN(D6167)&lt;15,""figurative ছোট"",""""),IF(AND(I6167=""Positive"",REGEXMATCH(H6"&amp;"167,""মূর্খ|ভণ্ড|প্রতার|অলস|লোভ|স্বার্থ|অক্ষম|অযোগ্য|বোকা|কৃপণ|হিংস"")),""valence-target অমিল"",""""),IF(COUNTIF($B:$B,B6167)&gt;1,""ডুপ্লিকেট"",""""))"),"")</f>
        <v/>
      </c>
      <c r="Q6167" s="5" t="str">
        <f t="shared" si="1"/>
        <v>২ পরে</v>
      </c>
    </row>
    <row r="6168">
      <c r="A6168" s="4">
        <v>4059.0</v>
      </c>
      <c r="B6168" s="2" t="s">
        <v>25224</v>
      </c>
      <c r="C6168" s="2" t="s">
        <v>25225</v>
      </c>
      <c r="D6168" s="2" t="s">
        <v>25226</v>
      </c>
      <c r="E6168" s="2" t="s">
        <v>25227</v>
      </c>
      <c r="F6168" s="2" t="b">
        <v>1</v>
      </c>
      <c r="G6168" s="2" t="b">
        <v>0</v>
      </c>
      <c r="H6168" s="2" t="s">
        <v>37</v>
      </c>
      <c r="I6168" s="2" t="s">
        <v>22</v>
      </c>
      <c r="J6168" s="2" t="s">
        <v>655</v>
      </c>
      <c r="K6168" s="2" t="s">
        <v>495</v>
      </c>
      <c r="L6168" s="13" t="s">
        <v>496</v>
      </c>
      <c r="M6168" s="2" t="s">
        <v>26</v>
      </c>
      <c r="N6168" s="29"/>
      <c r="O6168" s="29"/>
      <c r="P6168" s="5" t="str">
        <f>IFERROR(__xludf.DUMMYFUNCTION("TEXTJOIN("" | "",TRUE,IF(OR(D6168="""",E6168="""",I6168="""",J6168="""",H6168=""""),""ফাঁকা ঘর"",""""),IF(AND(C6168&lt;&gt;"""",D6168&lt;&gt;"""",C6168=D6168),""gloss=figurative"",""""),IF(LEN(D6168)&lt;15,""figurative ছোট"",""""),IF(AND(I6168=""Positive"",REGEXMATCH(H6"&amp;"168,""মূর্খ|ভণ্ড|প্রতার|অলস|লোভ|স্বার্থ|অক্ষম|অযোগ্য|বোকা|কৃপণ|হিংস"")),""valence-target অমিল"",""""),IF(COUNTIF($B:$B,B6168)&gt;1,""ডুপ্লিকেট"",""""))"),"")</f>
        <v/>
      </c>
      <c r="Q6168" s="5" t="str">
        <f t="shared" si="1"/>
        <v>২ পরে</v>
      </c>
    </row>
    <row r="6169">
      <c r="A6169" s="4">
        <v>4060.0</v>
      </c>
      <c r="B6169" s="2" t="s">
        <v>25228</v>
      </c>
      <c r="C6169" s="2" t="s">
        <v>25229</v>
      </c>
      <c r="D6169" s="2" t="s">
        <v>25230</v>
      </c>
      <c r="E6169" s="2" t="s">
        <v>25231</v>
      </c>
      <c r="F6169" s="2" t="b">
        <v>1</v>
      </c>
      <c r="G6169" s="2" t="b">
        <v>0</v>
      </c>
      <c r="H6169" s="2" t="s">
        <v>37</v>
      </c>
      <c r="I6169" s="2" t="s">
        <v>22</v>
      </c>
      <c r="J6169" s="2" t="s">
        <v>655</v>
      </c>
      <c r="K6169" s="2" t="s">
        <v>495</v>
      </c>
      <c r="L6169" s="13" t="s">
        <v>496</v>
      </c>
      <c r="M6169" s="2" t="s">
        <v>26</v>
      </c>
      <c r="N6169" s="29"/>
      <c r="O6169" s="29"/>
      <c r="P6169" s="5" t="str">
        <f>IFERROR(__xludf.DUMMYFUNCTION("TEXTJOIN("" | "",TRUE,IF(OR(D6169="""",E6169="""",I6169="""",J6169="""",H6169=""""),""ফাঁকা ঘর"",""""),IF(AND(C6169&lt;&gt;"""",D6169&lt;&gt;"""",C6169=D6169),""gloss=figurative"",""""),IF(LEN(D6169)&lt;15,""figurative ছোট"",""""),IF(AND(I6169=""Positive"",REGEXMATCH(H6"&amp;"169,""মূর্খ|ভণ্ড|প্রতার|অলস|লোভ|স্বার্থ|অক্ষম|অযোগ্য|বোকা|কৃপণ|হিংস"")),""valence-target অমিল"",""""),IF(COUNTIF($B:$B,B6169)&gt;1,""ডুপ্লিকেট"",""""))"),"")</f>
        <v/>
      </c>
      <c r="Q6169" s="5" t="str">
        <f t="shared" si="1"/>
        <v>২ পরে</v>
      </c>
    </row>
    <row r="6170">
      <c r="A6170" s="4">
        <v>4061.0</v>
      </c>
      <c r="B6170" s="2" t="s">
        <v>25232</v>
      </c>
      <c r="C6170" s="2" t="s">
        <v>25233</v>
      </c>
      <c r="D6170" s="2" t="s">
        <v>25234</v>
      </c>
      <c r="E6170" s="2" t="s">
        <v>25235</v>
      </c>
      <c r="F6170" s="2" t="b">
        <v>1</v>
      </c>
      <c r="G6170" s="2" t="b">
        <v>0</v>
      </c>
      <c r="H6170" s="2" t="s">
        <v>37</v>
      </c>
      <c r="I6170" s="2" t="s">
        <v>49</v>
      </c>
      <c r="J6170" s="2" t="s">
        <v>1679</v>
      </c>
      <c r="K6170" s="2" t="s">
        <v>495</v>
      </c>
      <c r="L6170" s="13" t="s">
        <v>496</v>
      </c>
      <c r="M6170" s="2" t="s">
        <v>26</v>
      </c>
      <c r="N6170" s="29"/>
      <c r="O6170" s="29"/>
      <c r="P6170" s="5" t="str">
        <f>IFERROR(__xludf.DUMMYFUNCTION("TEXTJOIN("" | "",TRUE,IF(OR(D6170="""",E6170="""",I6170="""",J6170="""",H6170=""""),""ফাঁকা ঘর"",""""),IF(AND(C6170&lt;&gt;"""",D6170&lt;&gt;"""",C6170=D6170),""gloss=figurative"",""""),IF(LEN(D6170)&lt;15,""figurative ছোট"",""""),IF(AND(I6170=""Positive"",REGEXMATCH(H6"&amp;"170,""মূর্খ|ভণ্ড|প্রতার|অলস|লোভ|স্বার্থ|অক্ষম|অযোগ্য|বোকা|কৃপণ|হিংস"")),""valence-target অমিল"",""""),IF(COUNTIF($B:$B,B6170)&gt;1,""ডুপ্লিকেট"",""""))"),"")</f>
        <v/>
      </c>
      <c r="Q6170" s="5" t="str">
        <f t="shared" si="1"/>
        <v>২ পরে</v>
      </c>
    </row>
    <row r="6171">
      <c r="A6171" s="4">
        <v>4062.0</v>
      </c>
      <c r="B6171" s="2" t="s">
        <v>25236</v>
      </c>
      <c r="C6171" s="2" t="s">
        <v>25237</v>
      </c>
      <c r="D6171" s="2" t="s">
        <v>25238</v>
      </c>
      <c r="E6171" s="2" t="s">
        <v>25239</v>
      </c>
      <c r="F6171" s="2" t="b">
        <v>1</v>
      </c>
      <c r="G6171" s="2" t="b">
        <v>0</v>
      </c>
      <c r="H6171" s="2" t="s">
        <v>37</v>
      </c>
      <c r="I6171" s="2" t="s">
        <v>22</v>
      </c>
      <c r="J6171" s="2" t="s">
        <v>25240</v>
      </c>
      <c r="K6171" s="2" t="s">
        <v>495</v>
      </c>
      <c r="L6171" s="13" t="s">
        <v>496</v>
      </c>
      <c r="M6171" s="2" t="s">
        <v>26</v>
      </c>
      <c r="N6171" s="29"/>
      <c r="O6171" s="29"/>
      <c r="P6171" s="5" t="str">
        <f>IFERROR(__xludf.DUMMYFUNCTION("TEXTJOIN("" | "",TRUE,IF(OR(D6171="""",E6171="""",I6171="""",J6171="""",H6171=""""),""ফাঁকা ঘর"",""""),IF(AND(C6171&lt;&gt;"""",D6171&lt;&gt;"""",C6171=D6171),""gloss=figurative"",""""),IF(LEN(D6171)&lt;15,""figurative ছোট"",""""),IF(AND(I6171=""Positive"",REGEXMATCH(H6"&amp;"171,""মূর্খ|ভণ্ড|প্রতার|অলস|লোভ|স্বার্থ|অক্ষম|অযোগ্য|বোকা|কৃপণ|হিংস"")),""valence-target অমিল"",""""),IF(COUNTIF($B:$B,B6171)&gt;1,""ডুপ্লিকেট"",""""))"),"")</f>
        <v/>
      </c>
      <c r="Q6171" s="5" t="str">
        <f t="shared" si="1"/>
        <v>২ পরে</v>
      </c>
    </row>
    <row r="6172">
      <c r="A6172" s="4">
        <v>4063.0</v>
      </c>
      <c r="B6172" s="2" t="s">
        <v>25241</v>
      </c>
      <c r="C6172" s="2" t="s">
        <v>25242</v>
      </c>
      <c r="D6172" s="2" t="s">
        <v>25243</v>
      </c>
      <c r="E6172" s="2" t="s">
        <v>25244</v>
      </c>
      <c r="F6172" s="2" t="b">
        <v>1</v>
      </c>
      <c r="G6172" s="2" t="b">
        <v>0</v>
      </c>
      <c r="H6172" s="2" t="s">
        <v>37</v>
      </c>
      <c r="I6172" s="2" t="s">
        <v>22</v>
      </c>
      <c r="J6172" s="2" t="s">
        <v>25240</v>
      </c>
      <c r="K6172" s="2" t="s">
        <v>495</v>
      </c>
      <c r="L6172" s="13" t="s">
        <v>496</v>
      </c>
      <c r="M6172" s="2" t="s">
        <v>26</v>
      </c>
      <c r="N6172" s="29"/>
      <c r="O6172" s="29"/>
      <c r="P6172" s="5" t="str">
        <f>IFERROR(__xludf.DUMMYFUNCTION("TEXTJOIN("" | "",TRUE,IF(OR(D6172="""",E6172="""",I6172="""",J6172="""",H6172=""""),""ফাঁকা ঘর"",""""),IF(AND(C6172&lt;&gt;"""",D6172&lt;&gt;"""",C6172=D6172),""gloss=figurative"",""""),IF(LEN(D6172)&lt;15,""figurative ছোট"",""""),IF(AND(I6172=""Positive"",REGEXMATCH(H6"&amp;"172,""মূর্খ|ভণ্ড|প্রতার|অলস|লোভ|স্বার্থ|অক্ষম|অযোগ্য|বোকা|কৃপণ|হিংস"")),""valence-target অমিল"",""""),IF(COUNTIF($B:$B,B6172)&gt;1,""ডুপ্লিকেট"",""""))"),"")</f>
        <v/>
      </c>
      <c r="Q6172" s="5" t="str">
        <f t="shared" si="1"/>
        <v>২ পরে</v>
      </c>
    </row>
    <row r="6173">
      <c r="A6173" s="4">
        <v>4064.0</v>
      </c>
      <c r="B6173" s="2" t="s">
        <v>25245</v>
      </c>
      <c r="C6173" s="2" t="s">
        <v>9955</v>
      </c>
      <c r="D6173" s="2" t="s">
        <v>25246</v>
      </c>
      <c r="E6173" s="2" t="s">
        <v>25247</v>
      </c>
      <c r="F6173" s="2" t="b">
        <v>1</v>
      </c>
      <c r="G6173" s="2" t="b">
        <v>0</v>
      </c>
      <c r="H6173" s="2" t="s">
        <v>37</v>
      </c>
      <c r="I6173" s="2" t="s">
        <v>22</v>
      </c>
      <c r="J6173" s="2" t="s">
        <v>1630</v>
      </c>
      <c r="K6173" s="2" t="s">
        <v>495</v>
      </c>
      <c r="L6173" s="13" t="s">
        <v>496</v>
      </c>
      <c r="M6173" s="2" t="s">
        <v>26</v>
      </c>
      <c r="N6173" s="29"/>
      <c r="O6173" s="29"/>
      <c r="P6173" s="5" t="str">
        <f>IFERROR(__xludf.DUMMYFUNCTION("TEXTJOIN("" | "",TRUE,IF(OR(D6173="""",E6173="""",I6173="""",J6173="""",H6173=""""),""ফাঁকা ঘর"",""""),IF(AND(C6173&lt;&gt;"""",D6173&lt;&gt;"""",C6173=D6173),""gloss=figurative"",""""),IF(LEN(D6173)&lt;15,""figurative ছোট"",""""),IF(AND(I6173=""Positive"",REGEXMATCH(H6"&amp;"173,""মূর্খ|ভণ্ড|প্রতার|অলস|লোভ|স্বার্থ|অক্ষম|অযোগ্য|বোকা|কৃপণ|হিংস"")),""valence-target অমিল"",""""),IF(COUNTIF($B:$B,B6173)&gt;1,""ডুপ্লিকেট"",""""))"),"")</f>
        <v/>
      </c>
      <c r="Q6173" s="5" t="str">
        <f t="shared" si="1"/>
        <v>২ পরে</v>
      </c>
    </row>
    <row r="6174">
      <c r="A6174" s="4">
        <v>4066.0</v>
      </c>
      <c r="B6174" s="2" t="s">
        <v>25248</v>
      </c>
      <c r="C6174" s="2" t="s">
        <v>25249</v>
      </c>
      <c r="D6174" s="2" t="s">
        <v>25250</v>
      </c>
      <c r="E6174" s="2" t="s">
        <v>25251</v>
      </c>
      <c r="F6174" s="2" t="b">
        <v>1</v>
      </c>
      <c r="G6174" s="2" t="b">
        <v>0</v>
      </c>
      <c r="H6174" s="2" t="s">
        <v>37</v>
      </c>
      <c r="I6174" s="2" t="s">
        <v>22</v>
      </c>
      <c r="J6174" s="2" t="s">
        <v>6847</v>
      </c>
      <c r="K6174" s="2" t="s">
        <v>495</v>
      </c>
      <c r="L6174" s="13" t="s">
        <v>496</v>
      </c>
      <c r="M6174" s="2" t="s">
        <v>26</v>
      </c>
      <c r="N6174" s="29"/>
      <c r="O6174" s="29"/>
      <c r="P6174" s="5" t="str">
        <f>IFERROR(__xludf.DUMMYFUNCTION("TEXTJOIN("" | "",TRUE,IF(OR(D6174="""",E6174="""",I6174="""",J6174="""",H6174=""""),""ফাঁকা ঘর"",""""),IF(AND(C6174&lt;&gt;"""",D6174&lt;&gt;"""",C6174=D6174),""gloss=figurative"",""""),IF(LEN(D6174)&lt;15,""figurative ছোট"",""""),IF(AND(I6174=""Positive"",REGEXMATCH(H6"&amp;"174,""মূর্খ|ভণ্ড|প্রতার|অলস|লোভ|স্বার্থ|অক্ষম|অযোগ্য|বোকা|কৃপণ|হিংস"")),""valence-target অমিল"",""""),IF(COUNTIF($B:$B,B6174)&gt;1,""ডুপ্লিকেট"",""""))"),"")</f>
        <v/>
      </c>
      <c r="Q6174" s="5" t="str">
        <f t="shared" si="1"/>
        <v>২ পরে</v>
      </c>
    </row>
    <row r="6175">
      <c r="A6175" s="4">
        <v>4067.0</v>
      </c>
      <c r="B6175" s="2" t="s">
        <v>25252</v>
      </c>
      <c r="C6175" s="2" t="s">
        <v>25253</v>
      </c>
      <c r="D6175" s="2" t="s">
        <v>25254</v>
      </c>
      <c r="E6175" s="2" t="s">
        <v>25255</v>
      </c>
      <c r="F6175" s="2" t="b">
        <v>1</v>
      </c>
      <c r="G6175" s="2" t="b">
        <v>0</v>
      </c>
      <c r="H6175" s="2" t="s">
        <v>37</v>
      </c>
      <c r="I6175" s="2" t="s">
        <v>32</v>
      </c>
      <c r="J6175" s="2" t="s">
        <v>669</v>
      </c>
      <c r="K6175" s="2" t="s">
        <v>495</v>
      </c>
      <c r="L6175" s="13" t="s">
        <v>496</v>
      </c>
      <c r="M6175" s="2" t="s">
        <v>26</v>
      </c>
      <c r="N6175" s="29"/>
      <c r="O6175" s="29"/>
      <c r="P6175" s="5" t="str">
        <f>IFERROR(__xludf.DUMMYFUNCTION("TEXTJOIN("" | "",TRUE,IF(OR(D6175="""",E6175="""",I6175="""",J6175="""",H6175=""""),""ফাঁকা ঘর"",""""),IF(AND(C6175&lt;&gt;"""",D6175&lt;&gt;"""",C6175=D6175),""gloss=figurative"",""""),IF(LEN(D6175)&lt;15,""figurative ছোট"",""""),IF(AND(I6175=""Positive"",REGEXMATCH(H6"&amp;"175,""মূর্খ|ভণ্ড|প্রতার|অলস|লোভ|স্বার্থ|অক্ষম|অযোগ্য|বোকা|কৃপণ|হিংস"")),""valence-target অমিল"",""""),IF(COUNTIF($B:$B,B6175)&gt;1,""ডুপ্লিকেট"",""""))"),"")</f>
        <v/>
      </c>
      <c r="Q6175" s="5" t="str">
        <f t="shared" si="1"/>
        <v>২ পরে</v>
      </c>
    </row>
    <row r="6176">
      <c r="A6176" s="4">
        <v>4068.0</v>
      </c>
      <c r="B6176" s="2" t="s">
        <v>25256</v>
      </c>
      <c r="C6176" s="2" t="s">
        <v>25257</v>
      </c>
      <c r="D6176" s="2" t="s">
        <v>25258</v>
      </c>
      <c r="E6176" s="2" t="s">
        <v>25259</v>
      </c>
      <c r="F6176" s="2" t="b">
        <v>1</v>
      </c>
      <c r="G6176" s="2" t="b">
        <v>0</v>
      </c>
      <c r="H6176" s="2" t="s">
        <v>37</v>
      </c>
      <c r="I6176" s="2" t="s">
        <v>32</v>
      </c>
      <c r="J6176" s="2" t="s">
        <v>1775</v>
      </c>
      <c r="K6176" s="2" t="s">
        <v>495</v>
      </c>
      <c r="L6176" s="13" t="s">
        <v>496</v>
      </c>
      <c r="M6176" s="2" t="s">
        <v>26</v>
      </c>
      <c r="N6176" s="29"/>
      <c r="O6176" s="29"/>
      <c r="P6176" s="5" t="str">
        <f>IFERROR(__xludf.DUMMYFUNCTION("TEXTJOIN("" | "",TRUE,IF(OR(D6176="""",E6176="""",I6176="""",J6176="""",H6176=""""),""ফাঁকা ঘর"",""""),IF(AND(C6176&lt;&gt;"""",D6176&lt;&gt;"""",C6176=D6176),""gloss=figurative"",""""),IF(LEN(D6176)&lt;15,""figurative ছোট"",""""),IF(AND(I6176=""Positive"",REGEXMATCH(H6"&amp;"176,""মূর্খ|ভণ্ড|প্রতার|অলস|লোভ|স্বার্থ|অক্ষম|অযোগ্য|বোকা|কৃপণ|হিংস"")),""valence-target অমিল"",""""),IF(COUNTIF($B:$B,B6176)&gt;1,""ডুপ্লিকেট"",""""))"),"")</f>
        <v/>
      </c>
      <c r="Q6176" s="5" t="str">
        <f t="shared" si="1"/>
        <v>২ পরে</v>
      </c>
    </row>
    <row r="6177">
      <c r="A6177" s="4">
        <v>4069.0</v>
      </c>
      <c r="B6177" s="2" t="s">
        <v>25260</v>
      </c>
      <c r="C6177" s="2" t="s">
        <v>25261</v>
      </c>
      <c r="D6177" s="2" t="s">
        <v>25262</v>
      </c>
      <c r="E6177" s="2" t="s">
        <v>25174</v>
      </c>
      <c r="F6177" s="2" t="b">
        <v>1</v>
      </c>
      <c r="G6177" s="2" t="b">
        <v>0</v>
      </c>
      <c r="H6177" s="2" t="s">
        <v>37</v>
      </c>
      <c r="I6177" s="2" t="s">
        <v>49</v>
      </c>
      <c r="J6177" s="2" t="s">
        <v>1239</v>
      </c>
      <c r="K6177" s="2" t="s">
        <v>495</v>
      </c>
      <c r="L6177" s="13" t="s">
        <v>496</v>
      </c>
      <c r="M6177" s="2" t="s">
        <v>26</v>
      </c>
      <c r="N6177" s="29"/>
      <c r="O6177" s="29"/>
      <c r="P6177" s="5" t="str">
        <f>IFERROR(__xludf.DUMMYFUNCTION("TEXTJOIN("" | "",TRUE,IF(OR(D6177="""",E6177="""",I6177="""",J6177="""",H6177=""""),""ফাঁকা ঘর"",""""),IF(AND(C6177&lt;&gt;"""",D6177&lt;&gt;"""",C6177=D6177),""gloss=figurative"",""""),IF(LEN(D6177)&lt;15,""figurative ছোট"",""""),IF(AND(I6177=""Positive"",REGEXMATCH(H6"&amp;"177,""মূর্খ|ভণ্ড|প্রতার|অলস|লোভ|স্বার্থ|অক্ষম|অযোগ্য|বোকা|কৃপণ|হিংস"")),""valence-target অমিল"",""""),IF(COUNTIF($B:$B,B6177)&gt;1,""ডুপ্লিকেট"",""""))"),"")</f>
        <v/>
      </c>
      <c r="Q6177" s="5" t="str">
        <f t="shared" si="1"/>
        <v>২ পরে</v>
      </c>
    </row>
    <row r="6178">
      <c r="A6178" s="4">
        <v>4070.0</v>
      </c>
      <c r="B6178" s="2" t="s">
        <v>25263</v>
      </c>
      <c r="C6178" s="2" t="s">
        <v>25264</v>
      </c>
      <c r="D6178" s="2" t="s">
        <v>25265</v>
      </c>
      <c r="E6178" s="2" t="s">
        <v>25266</v>
      </c>
      <c r="F6178" s="2" t="b">
        <v>1</v>
      </c>
      <c r="G6178" s="2" t="b">
        <v>0</v>
      </c>
      <c r="H6178" s="2" t="s">
        <v>37</v>
      </c>
      <c r="I6178" s="2" t="s">
        <v>22</v>
      </c>
      <c r="J6178" s="2" t="s">
        <v>4374</v>
      </c>
      <c r="K6178" s="2" t="s">
        <v>495</v>
      </c>
      <c r="L6178" s="13" t="s">
        <v>496</v>
      </c>
      <c r="M6178" s="2" t="s">
        <v>26</v>
      </c>
      <c r="N6178" s="29"/>
      <c r="O6178" s="29"/>
      <c r="P6178" s="5" t="str">
        <f>IFERROR(__xludf.DUMMYFUNCTION("TEXTJOIN("" | "",TRUE,IF(OR(D6178="""",E6178="""",I6178="""",J6178="""",H6178=""""),""ফাঁকা ঘর"",""""),IF(AND(C6178&lt;&gt;"""",D6178&lt;&gt;"""",C6178=D6178),""gloss=figurative"",""""),IF(LEN(D6178)&lt;15,""figurative ছোট"",""""),IF(AND(I6178=""Positive"",REGEXMATCH(H6"&amp;"178,""মূর্খ|ভণ্ড|প্রতার|অলস|লোভ|স্বার্থ|অক্ষম|অযোগ্য|বোকা|কৃপণ|হিংস"")),""valence-target অমিল"",""""),IF(COUNTIF($B:$B,B6178)&gt;1,""ডুপ্লিকেট"",""""))"),"")</f>
        <v/>
      </c>
      <c r="Q6178" s="5" t="str">
        <f t="shared" si="1"/>
        <v>২ পরে</v>
      </c>
    </row>
    <row r="6179">
      <c r="A6179" s="4">
        <v>4071.0</v>
      </c>
      <c r="B6179" s="2" t="s">
        <v>25267</v>
      </c>
      <c r="C6179" s="2" t="s">
        <v>25267</v>
      </c>
      <c r="D6179" s="2" t="s">
        <v>25268</v>
      </c>
      <c r="E6179" s="2" t="s">
        <v>25269</v>
      </c>
      <c r="F6179" s="2" t="b">
        <v>1</v>
      </c>
      <c r="G6179" s="2" t="b">
        <v>0</v>
      </c>
      <c r="H6179" s="2" t="s">
        <v>37</v>
      </c>
      <c r="I6179" s="2" t="s">
        <v>22</v>
      </c>
      <c r="J6179" s="2" t="s">
        <v>2485</v>
      </c>
      <c r="K6179" s="2" t="s">
        <v>495</v>
      </c>
      <c r="L6179" s="13" t="s">
        <v>496</v>
      </c>
      <c r="M6179" s="2" t="s">
        <v>26</v>
      </c>
      <c r="N6179" s="29"/>
      <c r="O6179" s="29"/>
      <c r="P6179" s="5" t="str">
        <f>IFERROR(__xludf.DUMMYFUNCTION("TEXTJOIN("" | "",TRUE,IF(OR(D6179="""",E6179="""",I6179="""",J6179="""",H6179=""""),""ফাঁকা ঘর"",""""),IF(AND(C6179&lt;&gt;"""",D6179&lt;&gt;"""",C6179=D6179),""gloss=figurative"",""""),IF(LEN(D6179)&lt;15,""figurative ছোট"",""""),IF(AND(I6179=""Positive"",REGEXMATCH(H6"&amp;"179,""মূর্খ|ভণ্ড|প্রতার|অলস|লোভ|স্বার্থ|অক্ষম|অযোগ্য|বোকা|কৃপণ|হিংস"")),""valence-target অমিল"",""""),IF(COUNTIF($B:$B,B6179)&gt;1,""ডুপ্লিকেট"",""""))"),"")</f>
        <v/>
      </c>
      <c r="Q6179" s="5" t="str">
        <f t="shared" si="1"/>
        <v>২ পরে</v>
      </c>
    </row>
    <row r="6180">
      <c r="A6180" s="4">
        <v>4072.0</v>
      </c>
      <c r="B6180" s="2" t="s">
        <v>25270</v>
      </c>
      <c r="C6180" s="2" t="s">
        <v>25271</v>
      </c>
      <c r="D6180" s="2" t="s">
        <v>25272</v>
      </c>
      <c r="E6180" s="2" t="s">
        <v>25273</v>
      </c>
      <c r="F6180" s="2" t="b">
        <v>1</v>
      </c>
      <c r="G6180" s="2" t="b">
        <v>0</v>
      </c>
      <c r="H6180" s="2" t="s">
        <v>37</v>
      </c>
      <c r="I6180" s="2" t="s">
        <v>49</v>
      </c>
      <c r="J6180" s="2" t="s">
        <v>4670</v>
      </c>
      <c r="K6180" s="2" t="s">
        <v>495</v>
      </c>
      <c r="L6180" s="13" t="s">
        <v>496</v>
      </c>
      <c r="M6180" s="2" t="s">
        <v>26</v>
      </c>
      <c r="N6180" s="29"/>
      <c r="O6180" s="29"/>
      <c r="P6180" s="5" t="str">
        <f>IFERROR(__xludf.DUMMYFUNCTION("TEXTJOIN("" | "",TRUE,IF(OR(D6180="""",E6180="""",I6180="""",J6180="""",H6180=""""),""ফাঁকা ঘর"",""""),IF(AND(C6180&lt;&gt;"""",D6180&lt;&gt;"""",C6180=D6180),""gloss=figurative"",""""),IF(LEN(D6180)&lt;15,""figurative ছোট"",""""),IF(AND(I6180=""Positive"",REGEXMATCH(H6"&amp;"180,""মূর্খ|ভণ্ড|প্রতার|অলস|লোভ|স্বার্থ|অক্ষম|অযোগ্য|বোকা|কৃপণ|হিংস"")),""valence-target অমিল"",""""),IF(COUNTIF($B:$B,B6180)&gt;1,""ডুপ্লিকেট"",""""))"),"")</f>
        <v/>
      </c>
      <c r="Q6180" s="5" t="str">
        <f t="shared" si="1"/>
        <v>২ পরে</v>
      </c>
    </row>
    <row r="6181">
      <c r="A6181" s="4">
        <v>4073.0</v>
      </c>
      <c r="B6181" s="2" t="s">
        <v>25274</v>
      </c>
      <c r="C6181" s="2" t="s">
        <v>25275</v>
      </c>
      <c r="D6181" s="2" t="s">
        <v>25276</v>
      </c>
      <c r="E6181" s="2" t="s">
        <v>25277</v>
      </c>
      <c r="F6181" s="2" t="b">
        <v>1</v>
      </c>
      <c r="G6181" s="2" t="b">
        <v>0</v>
      </c>
      <c r="H6181" s="2" t="s">
        <v>37</v>
      </c>
      <c r="I6181" s="2" t="s">
        <v>22</v>
      </c>
      <c r="J6181" s="2" t="s">
        <v>1074</v>
      </c>
      <c r="K6181" s="2" t="s">
        <v>495</v>
      </c>
      <c r="L6181" s="13" t="s">
        <v>496</v>
      </c>
      <c r="M6181" s="2" t="s">
        <v>26</v>
      </c>
      <c r="N6181" s="29"/>
      <c r="O6181" s="29"/>
      <c r="P6181" s="5" t="str">
        <f>IFERROR(__xludf.DUMMYFUNCTION("TEXTJOIN("" | "",TRUE,IF(OR(D6181="""",E6181="""",I6181="""",J6181="""",H6181=""""),""ফাঁকা ঘর"",""""),IF(AND(C6181&lt;&gt;"""",D6181&lt;&gt;"""",C6181=D6181),""gloss=figurative"",""""),IF(LEN(D6181)&lt;15,""figurative ছোট"",""""),IF(AND(I6181=""Positive"",REGEXMATCH(H6"&amp;"181,""মূর্খ|ভণ্ড|প্রতার|অলস|লোভ|স্বার্থ|অক্ষম|অযোগ্য|বোকা|কৃপণ|হিংস"")),""valence-target অমিল"",""""),IF(COUNTIF($B:$B,B6181)&gt;1,""ডুপ্লিকেট"",""""))"),"")</f>
        <v/>
      </c>
      <c r="Q6181" s="5" t="str">
        <f t="shared" si="1"/>
        <v>২ পরে</v>
      </c>
    </row>
    <row r="6182">
      <c r="A6182" s="4">
        <v>4074.0</v>
      </c>
      <c r="B6182" s="2" t="s">
        <v>25278</v>
      </c>
      <c r="C6182" s="2" t="s">
        <v>25279</v>
      </c>
      <c r="D6182" s="2" t="s">
        <v>25280</v>
      </c>
      <c r="E6182" s="2" t="s">
        <v>25281</v>
      </c>
      <c r="F6182" s="2" t="b">
        <v>1</v>
      </c>
      <c r="G6182" s="2" t="b">
        <v>0</v>
      </c>
      <c r="H6182" s="2" t="s">
        <v>37</v>
      </c>
      <c r="I6182" s="2" t="s">
        <v>22</v>
      </c>
      <c r="J6182" s="2" t="s">
        <v>665</v>
      </c>
      <c r="K6182" s="2" t="s">
        <v>495</v>
      </c>
      <c r="L6182" s="13" t="s">
        <v>496</v>
      </c>
      <c r="M6182" s="2" t="s">
        <v>26</v>
      </c>
      <c r="N6182" s="29"/>
      <c r="O6182" s="29"/>
      <c r="P6182" s="5" t="str">
        <f>IFERROR(__xludf.DUMMYFUNCTION("TEXTJOIN("" | "",TRUE,IF(OR(D6182="""",E6182="""",I6182="""",J6182="""",H6182=""""),""ফাঁকা ঘর"",""""),IF(AND(C6182&lt;&gt;"""",D6182&lt;&gt;"""",C6182=D6182),""gloss=figurative"",""""),IF(LEN(D6182)&lt;15,""figurative ছোট"",""""),IF(AND(I6182=""Positive"",REGEXMATCH(H6"&amp;"182,""মূর্খ|ভণ্ড|প্রতার|অলস|লোভ|স্বার্থ|অক্ষম|অযোগ্য|বোকা|কৃপণ|হিংস"")),""valence-target অমিল"",""""),IF(COUNTIF($B:$B,B6182)&gt;1,""ডুপ্লিকেট"",""""))"),"")</f>
        <v/>
      </c>
      <c r="Q6182" s="5" t="str">
        <f t="shared" si="1"/>
        <v>২ পরে</v>
      </c>
    </row>
    <row r="6183">
      <c r="A6183" s="4">
        <v>4075.0</v>
      </c>
      <c r="B6183" s="2" t="s">
        <v>25282</v>
      </c>
      <c r="C6183" s="2" t="s">
        <v>25283</v>
      </c>
      <c r="D6183" s="2" t="s">
        <v>25284</v>
      </c>
      <c r="E6183" s="2" t="s">
        <v>25285</v>
      </c>
      <c r="F6183" s="2" t="b">
        <v>1</v>
      </c>
      <c r="G6183" s="2" t="b">
        <v>0</v>
      </c>
      <c r="H6183" s="2" t="s">
        <v>37</v>
      </c>
      <c r="I6183" s="2" t="s">
        <v>49</v>
      </c>
      <c r="J6183" s="2" t="s">
        <v>5524</v>
      </c>
      <c r="K6183" s="2" t="s">
        <v>495</v>
      </c>
      <c r="L6183" s="13" t="s">
        <v>496</v>
      </c>
      <c r="M6183" s="2" t="s">
        <v>26</v>
      </c>
      <c r="N6183" s="29"/>
      <c r="O6183" s="29"/>
      <c r="P6183" s="5" t="str">
        <f>IFERROR(__xludf.DUMMYFUNCTION("TEXTJOIN("" | "",TRUE,IF(OR(D6183="""",E6183="""",I6183="""",J6183="""",H6183=""""),""ফাঁকা ঘর"",""""),IF(AND(C6183&lt;&gt;"""",D6183&lt;&gt;"""",C6183=D6183),""gloss=figurative"",""""),IF(LEN(D6183)&lt;15,""figurative ছোট"",""""),IF(AND(I6183=""Positive"",REGEXMATCH(H6"&amp;"183,""মূর্খ|ভণ্ড|প্রতার|অলস|লোভ|স্বার্থ|অক্ষম|অযোগ্য|বোকা|কৃপণ|হিংস"")),""valence-target অমিল"",""""),IF(COUNTIF($B:$B,B6183)&gt;1,""ডুপ্লিকেট"",""""))"),"")</f>
        <v/>
      </c>
      <c r="Q6183" s="5" t="str">
        <f t="shared" si="1"/>
        <v>২ পরে</v>
      </c>
    </row>
    <row r="6184">
      <c r="A6184" s="4">
        <v>4076.0</v>
      </c>
      <c r="B6184" s="2" t="s">
        <v>25286</v>
      </c>
      <c r="C6184" s="2" t="s">
        <v>25287</v>
      </c>
      <c r="D6184" s="2" t="s">
        <v>25288</v>
      </c>
      <c r="E6184" s="2" t="s">
        <v>25289</v>
      </c>
      <c r="F6184" s="2" t="b">
        <v>1</v>
      </c>
      <c r="G6184" s="2" t="b">
        <v>0</v>
      </c>
      <c r="H6184" s="2" t="s">
        <v>37</v>
      </c>
      <c r="I6184" s="2" t="s">
        <v>32</v>
      </c>
      <c r="J6184" s="2" t="s">
        <v>25290</v>
      </c>
      <c r="K6184" s="2" t="s">
        <v>495</v>
      </c>
      <c r="L6184" s="13" t="s">
        <v>496</v>
      </c>
      <c r="M6184" s="2" t="s">
        <v>26</v>
      </c>
      <c r="N6184" s="29"/>
      <c r="O6184" s="29"/>
      <c r="P6184" s="5" t="str">
        <f>IFERROR(__xludf.DUMMYFUNCTION("TEXTJOIN("" | "",TRUE,IF(OR(D6184="""",E6184="""",I6184="""",J6184="""",H6184=""""),""ফাঁকা ঘর"",""""),IF(AND(C6184&lt;&gt;"""",D6184&lt;&gt;"""",C6184=D6184),""gloss=figurative"",""""),IF(LEN(D6184)&lt;15,""figurative ছোট"",""""),IF(AND(I6184=""Positive"",REGEXMATCH(H6"&amp;"184,""মূর্খ|ভণ্ড|প্রতার|অলস|লোভ|স্বার্থ|অক্ষম|অযোগ্য|বোকা|কৃপণ|হিংস"")),""valence-target অমিল"",""""),IF(COUNTIF($B:$B,B6184)&gt;1,""ডুপ্লিকেট"",""""))"),"")</f>
        <v/>
      </c>
      <c r="Q6184" s="5" t="str">
        <f t="shared" si="1"/>
        <v>২ পরে</v>
      </c>
    </row>
    <row r="6185">
      <c r="A6185" s="4">
        <v>4077.0</v>
      </c>
      <c r="B6185" s="2" t="s">
        <v>25291</v>
      </c>
      <c r="C6185" s="2" t="s">
        <v>25292</v>
      </c>
      <c r="D6185" s="2" t="s">
        <v>25293</v>
      </c>
      <c r="E6185" s="2" t="s">
        <v>25294</v>
      </c>
      <c r="F6185" s="2" t="b">
        <v>1</v>
      </c>
      <c r="G6185" s="2" t="b">
        <v>0</v>
      </c>
      <c r="H6185" s="2" t="s">
        <v>37</v>
      </c>
      <c r="I6185" s="2" t="s">
        <v>49</v>
      </c>
      <c r="J6185" s="2" t="s">
        <v>565</v>
      </c>
      <c r="K6185" s="2" t="s">
        <v>495</v>
      </c>
      <c r="L6185" s="13" t="s">
        <v>496</v>
      </c>
      <c r="M6185" s="2" t="s">
        <v>26</v>
      </c>
      <c r="N6185" s="29"/>
      <c r="O6185" s="29"/>
      <c r="P6185" s="5" t="str">
        <f>IFERROR(__xludf.DUMMYFUNCTION("TEXTJOIN("" | "",TRUE,IF(OR(D6185="""",E6185="""",I6185="""",J6185="""",H6185=""""),""ফাঁকা ঘর"",""""),IF(AND(C6185&lt;&gt;"""",D6185&lt;&gt;"""",C6185=D6185),""gloss=figurative"",""""),IF(LEN(D6185)&lt;15,""figurative ছোট"",""""),IF(AND(I6185=""Positive"",REGEXMATCH(H6"&amp;"185,""মূর্খ|ভণ্ড|প্রতার|অলস|লোভ|স্বার্থ|অক্ষম|অযোগ্য|বোকা|কৃপণ|হিংস"")),""valence-target অমিল"",""""),IF(COUNTIF($B:$B,B6185)&gt;1,""ডুপ্লিকেট"",""""))"),"")</f>
        <v/>
      </c>
      <c r="Q6185" s="5" t="str">
        <f t="shared" si="1"/>
        <v>২ পরে</v>
      </c>
    </row>
    <row r="6186">
      <c r="A6186" s="4">
        <v>4078.0</v>
      </c>
      <c r="B6186" s="2" t="s">
        <v>25295</v>
      </c>
      <c r="C6186" s="2" t="s">
        <v>25296</v>
      </c>
      <c r="D6186" s="2" t="s">
        <v>25297</v>
      </c>
      <c r="E6186" s="2" t="s">
        <v>25298</v>
      </c>
      <c r="F6186" s="2" t="b">
        <v>1</v>
      </c>
      <c r="G6186" s="2" t="b">
        <v>0</v>
      </c>
      <c r="H6186" s="2" t="s">
        <v>37</v>
      </c>
      <c r="I6186" s="2" t="s">
        <v>49</v>
      </c>
      <c r="J6186" s="2" t="s">
        <v>7165</v>
      </c>
      <c r="K6186" s="2" t="s">
        <v>495</v>
      </c>
      <c r="L6186" s="13" t="s">
        <v>496</v>
      </c>
      <c r="M6186" s="2" t="s">
        <v>26</v>
      </c>
      <c r="N6186" s="29"/>
      <c r="O6186" s="29"/>
      <c r="P6186" s="5" t="str">
        <f>IFERROR(__xludf.DUMMYFUNCTION("TEXTJOIN("" | "",TRUE,IF(OR(D6186="""",E6186="""",I6186="""",J6186="""",H6186=""""),""ফাঁকা ঘর"",""""),IF(AND(C6186&lt;&gt;"""",D6186&lt;&gt;"""",C6186=D6186),""gloss=figurative"",""""),IF(LEN(D6186)&lt;15,""figurative ছোট"",""""),IF(AND(I6186=""Positive"",REGEXMATCH(H6"&amp;"186,""মূর্খ|ভণ্ড|প্রতার|অলস|লোভ|স্বার্থ|অক্ষম|অযোগ্য|বোকা|কৃপণ|হিংস"")),""valence-target অমিল"",""""),IF(COUNTIF($B:$B,B6186)&gt;1,""ডুপ্লিকেট"",""""))"),"")</f>
        <v/>
      </c>
      <c r="Q6186" s="5" t="str">
        <f t="shared" si="1"/>
        <v>২ পরে</v>
      </c>
    </row>
    <row r="6187">
      <c r="A6187" s="4">
        <v>4079.0</v>
      </c>
      <c r="B6187" s="2" t="s">
        <v>25299</v>
      </c>
      <c r="C6187" s="2" t="s">
        <v>25300</v>
      </c>
      <c r="D6187" s="2" t="s">
        <v>25301</v>
      </c>
      <c r="E6187" s="2" t="s">
        <v>25302</v>
      </c>
      <c r="F6187" s="2" t="b">
        <v>1</v>
      </c>
      <c r="G6187" s="2" t="b">
        <v>0</v>
      </c>
      <c r="H6187" s="2" t="s">
        <v>37</v>
      </c>
      <c r="I6187" s="2" t="s">
        <v>32</v>
      </c>
      <c r="J6187" s="2" t="s">
        <v>1510</v>
      </c>
      <c r="K6187" s="2" t="s">
        <v>495</v>
      </c>
      <c r="L6187" s="13" t="s">
        <v>496</v>
      </c>
      <c r="M6187" s="2" t="s">
        <v>26</v>
      </c>
      <c r="N6187" s="29"/>
      <c r="O6187" s="29"/>
      <c r="P6187" s="5" t="str">
        <f>IFERROR(__xludf.DUMMYFUNCTION("TEXTJOIN("" | "",TRUE,IF(OR(D6187="""",E6187="""",I6187="""",J6187="""",H6187=""""),""ফাঁকা ঘর"",""""),IF(AND(C6187&lt;&gt;"""",D6187&lt;&gt;"""",C6187=D6187),""gloss=figurative"",""""),IF(LEN(D6187)&lt;15,""figurative ছোট"",""""),IF(AND(I6187=""Positive"",REGEXMATCH(H6"&amp;"187,""মূর্খ|ভণ্ড|প্রতার|অলস|লোভ|স্বার্থ|অক্ষম|অযোগ্য|বোকা|কৃপণ|হিংস"")),""valence-target অমিল"",""""),IF(COUNTIF($B:$B,B6187)&gt;1,""ডুপ্লিকেট"",""""))"),"")</f>
        <v/>
      </c>
      <c r="Q6187" s="5" t="str">
        <f t="shared" si="1"/>
        <v>২ পরে</v>
      </c>
    </row>
    <row r="6188">
      <c r="A6188" s="4">
        <v>4080.0</v>
      </c>
      <c r="B6188" s="2" t="s">
        <v>25303</v>
      </c>
      <c r="C6188" s="2" t="s">
        <v>25303</v>
      </c>
      <c r="D6188" s="2" t="s">
        <v>25304</v>
      </c>
      <c r="E6188" s="2" t="s">
        <v>25305</v>
      </c>
      <c r="F6188" s="2" t="b">
        <v>1</v>
      </c>
      <c r="G6188" s="2" t="b">
        <v>0</v>
      </c>
      <c r="H6188" s="2" t="s">
        <v>37</v>
      </c>
      <c r="I6188" s="2" t="s">
        <v>22</v>
      </c>
      <c r="J6188" s="2" t="s">
        <v>25306</v>
      </c>
      <c r="K6188" s="2" t="s">
        <v>495</v>
      </c>
      <c r="L6188" s="13" t="s">
        <v>496</v>
      </c>
      <c r="M6188" s="2" t="s">
        <v>26</v>
      </c>
      <c r="N6188" s="29"/>
      <c r="O6188" s="29"/>
      <c r="P6188" s="5" t="str">
        <f>IFERROR(__xludf.DUMMYFUNCTION("TEXTJOIN("" | "",TRUE,IF(OR(D6188="""",E6188="""",I6188="""",J6188="""",H6188=""""),""ফাঁকা ঘর"",""""),IF(AND(C6188&lt;&gt;"""",D6188&lt;&gt;"""",C6188=D6188),""gloss=figurative"",""""),IF(LEN(D6188)&lt;15,""figurative ছোট"",""""),IF(AND(I6188=""Positive"",REGEXMATCH(H6"&amp;"188,""মূর্খ|ভণ্ড|প্রতার|অলস|লোভ|স্বার্থ|অক্ষম|অযোগ্য|বোকা|কৃপণ|হিংস"")),""valence-target অমিল"",""""),IF(COUNTIF($B:$B,B6188)&gt;1,""ডুপ্লিকেট"",""""))"),"")</f>
        <v/>
      </c>
      <c r="Q6188" s="5" t="str">
        <f t="shared" si="1"/>
        <v>২ পরে</v>
      </c>
    </row>
    <row r="6189">
      <c r="A6189" s="4">
        <v>4081.0</v>
      </c>
      <c r="B6189" s="2" t="s">
        <v>25307</v>
      </c>
      <c r="C6189" s="2" t="s">
        <v>25308</v>
      </c>
      <c r="D6189" s="2" t="s">
        <v>25309</v>
      </c>
      <c r="E6189" s="2" t="s">
        <v>25310</v>
      </c>
      <c r="F6189" s="2" t="b">
        <v>1</v>
      </c>
      <c r="G6189" s="2" t="b">
        <v>0</v>
      </c>
      <c r="H6189" s="2" t="s">
        <v>37</v>
      </c>
      <c r="I6189" s="2" t="s">
        <v>22</v>
      </c>
      <c r="J6189" s="2" t="s">
        <v>1117</v>
      </c>
      <c r="K6189" s="2" t="s">
        <v>495</v>
      </c>
      <c r="L6189" s="13" t="s">
        <v>496</v>
      </c>
      <c r="M6189" s="2" t="s">
        <v>26</v>
      </c>
      <c r="N6189" s="29"/>
      <c r="O6189" s="29"/>
      <c r="P6189" s="5" t="str">
        <f>IFERROR(__xludf.DUMMYFUNCTION("TEXTJOIN("" | "",TRUE,IF(OR(D6189="""",E6189="""",I6189="""",J6189="""",H6189=""""),""ফাঁকা ঘর"",""""),IF(AND(C6189&lt;&gt;"""",D6189&lt;&gt;"""",C6189=D6189),""gloss=figurative"",""""),IF(LEN(D6189)&lt;15,""figurative ছোট"",""""),IF(AND(I6189=""Positive"",REGEXMATCH(H6"&amp;"189,""মূর্খ|ভণ্ড|প্রতার|অলস|লোভ|স্বার্থ|অক্ষম|অযোগ্য|বোকা|কৃপণ|হিংস"")),""valence-target অমিল"",""""),IF(COUNTIF($B:$B,B6189)&gt;1,""ডুপ্লিকেট"",""""))"),"")</f>
        <v/>
      </c>
      <c r="Q6189" s="5" t="str">
        <f t="shared" si="1"/>
        <v>২ পরে</v>
      </c>
    </row>
    <row r="6190">
      <c r="A6190" s="4">
        <v>4082.0</v>
      </c>
      <c r="B6190" s="2" t="s">
        <v>25311</v>
      </c>
      <c r="C6190" s="2" t="s">
        <v>25312</v>
      </c>
      <c r="D6190" s="2" t="s">
        <v>25313</v>
      </c>
      <c r="E6190" s="2" t="s">
        <v>25314</v>
      </c>
      <c r="F6190" s="2" t="b">
        <v>1</v>
      </c>
      <c r="G6190" s="2" t="b">
        <v>0</v>
      </c>
      <c r="H6190" s="2" t="s">
        <v>25315</v>
      </c>
      <c r="I6190" s="2" t="s">
        <v>32</v>
      </c>
      <c r="J6190" s="2" t="s">
        <v>669</v>
      </c>
      <c r="K6190" s="2" t="s">
        <v>495</v>
      </c>
      <c r="L6190" s="13" t="s">
        <v>496</v>
      </c>
      <c r="M6190" s="2" t="s">
        <v>26</v>
      </c>
      <c r="N6190" s="29"/>
      <c r="O6190" s="29"/>
      <c r="P6190" s="5" t="str">
        <f>IFERROR(__xludf.DUMMYFUNCTION("TEXTJOIN("" | "",TRUE,IF(OR(D6190="""",E6190="""",I6190="""",J6190="""",H6190=""""),""ফাঁকা ঘর"",""""),IF(AND(C6190&lt;&gt;"""",D6190&lt;&gt;"""",C6190=D6190),""gloss=figurative"",""""),IF(LEN(D6190)&lt;15,""figurative ছোট"",""""),IF(AND(I6190=""Positive"",REGEXMATCH(H6"&amp;"190,""মূর্খ|ভণ্ড|প্রতার|অলস|লোভ|স্বার্থ|অক্ষম|অযোগ্য|বোকা|কৃপণ|হিংস"")),""valence-target অমিল"",""""),IF(COUNTIF($B:$B,B6190)&gt;1,""ডুপ্লিকেট"",""""))"),"")</f>
        <v/>
      </c>
      <c r="Q6190" s="5" t="str">
        <f t="shared" si="1"/>
        <v>২ পরে</v>
      </c>
    </row>
    <row r="6191">
      <c r="A6191" s="4">
        <v>4083.0</v>
      </c>
      <c r="B6191" s="2" t="s">
        <v>25316</v>
      </c>
      <c r="C6191" s="2" t="s">
        <v>25317</v>
      </c>
      <c r="D6191" s="2" t="s">
        <v>25318</v>
      </c>
      <c r="E6191" s="2" t="s">
        <v>25319</v>
      </c>
      <c r="F6191" s="2" t="b">
        <v>1</v>
      </c>
      <c r="G6191" s="2" t="b">
        <v>0</v>
      </c>
      <c r="H6191" s="2" t="s">
        <v>37</v>
      </c>
      <c r="I6191" s="2" t="s">
        <v>32</v>
      </c>
      <c r="J6191" s="2" t="s">
        <v>830</v>
      </c>
      <c r="K6191" s="2" t="s">
        <v>495</v>
      </c>
      <c r="L6191" s="13" t="s">
        <v>496</v>
      </c>
      <c r="M6191" s="2" t="s">
        <v>26</v>
      </c>
      <c r="N6191" s="29"/>
      <c r="O6191" s="29"/>
      <c r="P6191" s="5" t="str">
        <f>IFERROR(__xludf.DUMMYFUNCTION("TEXTJOIN("" | "",TRUE,IF(OR(D6191="""",E6191="""",I6191="""",J6191="""",H6191=""""),""ফাঁকা ঘর"",""""),IF(AND(C6191&lt;&gt;"""",D6191&lt;&gt;"""",C6191=D6191),""gloss=figurative"",""""),IF(LEN(D6191)&lt;15,""figurative ছোট"",""""),IF(AND(I6191=""Positive"",REGEXMATCH(H6"&amp;"191,""মূর্খ|ভণ্ড|প্রতার|অলস|লোভ|স্বার্থ|অক্ষম|অযোগ্য|বোকা|কৃপণ|হিংস"")),""valence-target অমিল"",""""),IF(COUNTIF($B:$B,B6191)&gt;1,""ডুপ্লিকেট"",""""))"),"")</f>
        <v/>
      </c>
      <c r="Q6191" s="5" t="str">
        <f t="shared" si="1"/>
        <v>২ পরে</v>
      </c>
    </row>
    <row r="6192">
      <c r="A6192" s="4">
        <v>4084.0</v>
      </c>
      <c r="B6192" s="2" t="s">
        <v>25320</v>
      </c>
      <c r="C6192" s="2" t="s">
        <v>25321</v>
      </c>
      <c r="D6192" s="2" t="s">
        <v>25322</v>
      </c>
      <c r="E6192" s="2" t="s">
        <v>25323</v>
      </c>
      <c r="F6192" s="2" t="b">
        <v>1</v>
      </c>
      <c r="G6192" s="2" t="b">
        <v>0</v>
      </c>
      <c r="H6192" s="2" t="s">
        <v>25324</v>
      </c>
      <c r="I6192" s="2" t="s">
        <v>32</v>
      </c>
      <c r="J6192" s="2" t="s">
        <v>5524</v>
      </c>
      <c r="K6192" s="2" t="s">
        <v>495</v>
      </c>
      <c r="L6192" s="13" t="s">
        <v>496</v>
      </c>
      <c r="M6192" s="2" t="s">
        <v>26</v>
      </c>
      <c r="N6192" s="29"/>
      <c r="O6192" s="29"/>
      <c r="P6192" s="5" t="str">
        <f>IFERROR(__xludf.DUMMYFUNCTION("TEXTJOIN("" | "",TRUE,IF(OR(D6192="""",E6192="""",I6192="""",J6192="""",H6192=""""),""ফাঁকা ঘর"",""""),IF(AND(C6192&lt;&gt;"""",D6192&lt;&gt;"""",C6192=D6192),""gloss=figurative"",""""),IF(LEN(D6192)&lt;15,""figurative ছোট"",""""),IF(AND(I6192=""Positive"",REGEXMATCH(H6"&amp;"192,""মূর্খ|ভণ্ড|প্রতার|অলস|লোভ|স্বার্থ|অক্ষম|অযোগ্য|বোকা|কৃপণ|হিংস"")),""valence-target অমিল"",""""),IF(COUNTIF($B:$B,B6192)&gt;1,""ডুপ্লিকেট"",""""))"),"")</f>
        <v/>
      </c>
      <c r="Q6192" s="5" t="str">
        <f t="shared" si="1"/>
        <v>২ পরে</v>
      </c>
    </row>
    <row r="6193">
      <c r="A6193" s="4">
        <v>4085.0</v>
      </c>
      <c r="B6193" s="2" t="s">
        <v>25325</v>
      </c>
      <c r="C6193" s="2" t="s">
        <v>25326</v>
      </c>
      <c r="D6193" s="2" t="s">
        <v>25327</v>
      </c>
      <c r="E6193" s="2" t="s">
        <v>25328</v>
      </c>
      <c r="F6193" s="2" t="b">
        <v>1</v>
      </c>
      <c r="G6193" s="2" t="b">
        <v>0</v>
      </c>
      <c r="H6193" s="2" t="s">
        <v>25306</v>
      </c>
      <c r="I6193" s="2" t="s">
        <v>22</v>
      </c>
      <c r="J6193" s="2" t="s">
        <v>4112</v>
      </c>
      <c r="K6193" s="2" t="s">
        <v>495</v>
      </c>
      <c r="L6193" s="13" t="s">
        <v>496</v>
      </c>
      <c r="M6193" s="2" t="s">
        <v>26</v>
      </c>
      <c r="N6193" s="29"/>
      <c r="O6193" s="29"/>
      <c r="P6193" s="5" t="str">
        <f>IFERROR(__xludf.DUMMYFUNCTION("TEXTJOIN("" | "",TRUE,IF(OR(D6193="""",E6193="""",I6193="""",J6193="""",H6193=""""),""ফাঁকা ঘর"",""""),IF(AND(C6193&lt;&gt;"""",D6193&lt;&gt;"""",C6193=D6193),""gloss=figurative"",""""),IF(LEN(D6193)&lt;15,""figurative ছোট"",""""),IF(AND(I6193=""Positive"",REGEXMATCH(H6"&amp;"193,""মূর্খ|ভণ্ড|প্রতার|অলস|লোভ|স্বার্থ|অক্ষম|অযোগ্য|বোকা|কৃপণ|হিংস"")),""valence-target অমিল"",""""),IF(COUNTIF($B:$B,B6193)&gt;1,""ডুপ্লিকেট"",""""))"),"")</f>
        <v/>
      </c>
      <c r="Q6193" s="5" t="str">
        <f t="shared" si="1"/>
        <v>২ পরে</v>
      </c>
    </row>
    <row r="6194">
      <c r="A6194" s="4">
        <v>4086.0</v>
      </c>
      <c r="B6194" s="2" t="s">
        <v>25329</v>
      </c>
      <c r="C6194" s="2" t="s">
        <v>25330</v>
      </c>
      <c r="D6194" s="2" t="s">
        <v>25331</v>
      </c>
      <c r="E6194" s="2" t="s">
        <v>25332</v>
      </c>
      <c r="F6194" s="2" t="b">
        <v>1</v>
      </c>
      <c r="G6194" s="2" t="b">
        <v>1</v>
      </c>
      <c r="H6194" s="2" t="s">
        <v>1106</v>
      </c>
      <c r="I6194" s="2" t="s">
        <v>49</v>
      </c>
      <c r="J6194" s="2" t="s">
        <v>9509</v>
      </c>
      <c r="K6194" s="2" t="s">
        <v>495</v>
      </c>
      <c r="L6194" s="13" t="s">
        <v>496</v>
      </c>
      <c r="M6194" s="2" t="s">
        <v>26</v>
      </c>
      <c r="N6194" s="29"/>
      <c r="O6194" s="29"/>
      <c r="P6194" s="5" t="str">
        <f>IFERROR(__xludf.DUMMYFUNCTION("TEXTJOIN("" | "",TRUE,IF(OR(D6194="""",E6194="""",I6194="""",J6194="""",H6194=""""),""ফাঁকা ঘর"",""""),IF(AND(C6194&lt;&gt;"""",D6194&lt;&gt;"""",C6194=D6194),""gloss=figurative"",""""),IF(LEN(D6194)&lt;15,""figurative ছোট"",""""),IF(AND(I6194=""Positive"",REGEXMATCH(H6"&amp;"194,""মূর্খ|ভণ্ড|প্রতার|অলস|লোভ|স্বার্থ|অক্ষম|অযোগ্য|বোকা|কৃপণ|হিংস"")),""valence-target অমিল"",""""),IF(COUNTIF($B:$B,B6194)&gt;1,""ডুপ্লিকেট"",""""))"),"")</f>
        <v/>
      </c>
      <c r="Q6194" s="5" t="str">
        <f t="shared" si="1"/>
        <v>২ পরে</v>
      </c>
    </row>
    <row r="6195">
      <c r="A6195" s="4">
        <v>4087.0</v>
      </c>
      <c r="B6195" s="2" t="s">
        <v>25333</v>
      </c>
      <c r="C6195" s="2" t="s">
        <v>25334</v>
      </c>
      <c r="D6195" s="2" t="s">
        <v>25335</v>
      </c>
      <c r="E6195" s="2" t="s">
        <v>25336</v>
      </c>
      <c r="F6195" s="2" t="b">
        <v>1</v>
      </c>
      <c r="G6195" s="2" t="b">
        <v>1</v>
      </c>
      <c r="H6195" s="2" t="s">
        <v>1106</v>
      </c>
      <c r="I6195" s="2" t="s">
        <v>49</v>
      </c>
      <c r="J6195" s="2" t="s">
        <v>2160</v>
      </c>
      <c r="K6195" s="2" t="s">
        <v>495</v>
      </c>
      <c r="L6195" s="13" t="s">
        <v>496</v>
      </c>
      <c r="M6195" s="2" t="s">
        <v>26</v>
      </c>
      <c r="N6195" s="29"/>
      <c r="O6195" s="29"/>
      <c r="P6195" s="5" t="str">
        <f>IFERROR(__xludf.DUMMYFUNCTION("TEXTJOIN("" | "",TRUE,IF(OR(D6195="""",E6195="""",I6195="""",J6195="""",H6195=""""),""ফাঁকা ঘর"",""""),IF(AND(C6195&lt;&gt;"""",D6195&lt;&gt;"""",C6195=D6195),""gloss=figurative"",""""),IF(LEN(D6195)&lt;15,""figurative ছোট"",""""),IF(AND(I6195=""Positive"",REGEXMATCH(H6"&amp;"195,""মূর্খ|ভণ্ড|প্রতার|অলস|লোভ|স্বার্থ|অক্ষম|অযোগ্য|বোকা|কৃপণ|হিংস"")),""valence-target অমিল"",""""),IF(COUNTIF($B:$B,B6195)&gt;1,""ডুপ্লিকেট"",""""))"),"")</f>
        <v/>
      </c>
      <c r="Q6195" s="5" t="str">
        <f t="shared" si="1"/>
        <v>২ পরে</v>
      </c>
    </row>
    <row r="6196">
      <c r="A6196" s="4">
        <v>4088.0</v>
      </c>
      <c r="B6196" s="2" t="s">
        <v>25337</v>
      </c>
      <c r="C6196" s="2" t="s">
        <v>25338</v>
      </c>
      <c r="D6196" s="2" t="s">
        <v>25339</v>
      </c>
      <c r="E6196" s="2" t="s">
        <v>25340</v>
      </c>
      <c r="F6196" s="2" t="b">
        <v>1</v>
      </c>
      <c r="G6196" s="2" t="b">
        <v>0</v>
      </c>
      <c r="H6196" s="2" t="s">
        <v>23807</v>
      </c>
      <c r="I6196" s="2" t="s">
        <v>22</v>
      </c>
      <c r="J6196" s="2" t="s">
        <v>669</v>
      </c>
      <c r="K6196" s="2" t="s">
        <v>495</v>
      </c>
      <c r="L6196" s="13" t="s">
        <v>496</v>
      </c>
      <c r="M6196" s="2" t="s">
        <v>26</v>
      </c>
      <c r="N6196" s="29"/>
      <c r="O6196" s="29"/>
      <c r="P6196" s="5" t="str">
        <f>IFERROR(__xludf.DUMMYFUNCTION("TEXTJOIN("" | "",TRUE,IF(OR(D6196="""",E6196="""",I6196="""",J6196="""",H6196=""""),""ফাঁকা ঘর"",""""),IF(AND(C6196&lt;&gt;"""",D6196&lt;&gt;"""",C6196=D6196),""gloss=figurative"",""""),IF(LEN(D6196)&lt;15,""figurative ছোট"",""""),IF(AND(I6196=""Positive"",REGEXMATCH(H6"&amp;"196,""মূর্খ|ভণ্ড|প্রতার|অলস|লোভ|স্বার্থ|অক্ষম|অযোগ্য|বোকা|কৃপণ|হিংস"")),""valence-target অমিল"",""""),IF(COUNTIF($B:$B,B6196)&gt;1,""ডুপ্লিকেট"",""""))"),"")</f>
        <v/>
      </c>
      <c r="Q6196" s="5" t="str">
        <f t="shared" si="1"/>
        <v>২ পরে</v>
      </c>
    </row>
    <row r="6197">
      <c r="A6197" s="4">
        <v>4089.0</v>
      </c>
      <c r="B6197" s="2" t="s">
        <v>25341</v>
      </c>
      <c r="C6197" s="2" t="s">
        <v>25341</v>
      </c>
      <c r="D6197" s="2" t="s">
        <v>25342</v>
      </c>
      <c r="E6197" s="2" t="s">
        <v>25343</v>
      </c>
      <c r="F6197" s="2" t="b">
        <v>1</v>
      </c>
      <c r="G6197" s="2" t="b">
        <v>0</v>
      </c>
      <c r="H6197" s="2" t="s">
        <v>37</v>
      </c>
      <c r="I6197" s="2" t="s">
        <v>49</v>
      </c>
      <c r="J6197" s="2" t="s">
        <v>2165</v>
      </c>
      <c r="K6197" s="2" t="s">
        <v>495</v>
      </c>
      <c r="L6197" s="13" t="s">
        <v>496</v>
      </c>
      <c r="M6197" s="2" t="s">
        <v>26</v>
      </c>
      <c r="N6197" s="29"/>
      <c r="O6197" s="29"/>
      <c r="P6197" s="5" t="str">
        <f>IFERROR(__xludf.DUMMYFUNCTION("TEXTJOIN("" | "",TRUE,IF(OR(D6197="""",E6197="""",I6197="""",J6197="""",H6197=""""),""ফাঁকা ঘর"",""""),IF(AND(C6197&lt;&gt;"""",D6197&lt;&gt;"""",C6197=D6197),""gloss=figurative"",""""),IF(LEN(D6197)&lt;15,""figurative ছোট"",""""),IF(AND(I6197=""Positive"",REGEXMATCH(H6"&amp;"197,""মূর্খ|ভণ্ড|প্রতার|অলস|লোভ|স্বার্থ|অক্ষম|অযোগ্য|বোকা|কৃপণ|হিংস"")),""valence-target অমিল"",""""),IF(COUNTIF($B:$B,B6197)&gt;1,""ডুপ্লিকেট"",""""))"),"")</f>
        <v/>
      </c>
      <c r="Q6197" s="5" t="str">
        <f t="shared" si="1"/>
        <v>২ পরে</v>
      </c>
    </row>
    <row r="6198">
      <c r="A6198" s="4">
        <v>4090.0</v>
      </c>
      <c r="B6198" s="2" t="s">
        <v>25344</v>
      </c>
      <c r="C6198" s="2" t="s">
        <v>25345</v>
      </c>
      <c r="D6198" s="2" t="s">
        <v>25346</v>
      </c>
      <c r="E6198" s="2" t="s">
        <v>25347</v>
      </c>
      <c r="F6198" s="2" t="b">
        <v>1</v>
      </c>
      <c r="G6198" s="2" t="b">
        <v>0</v>
      </c>
      <c r="H6198" s="2" t="s">
        <v>37</v>
      </c>
      <c r="I6198" s="2" t="s">
        <v>32</v>
      </c>
      <c r="J6198" s="2" t="s">
        <v>1249</v>
      </c>
      <c r="K6198" s="2" t="s">
        <v>495</v>
      </c>
      <c r="L6198" s="13" t="s">
        <v>496</v>
      </c>
      <c r="M6198" s="2" t="s">
        <v>26</v>
      </c>
      <c r="N6198" s="29"/>
      <c r="O6198" s="29"/>
      <c r="P6198" s="5" t="str">
        <f>IFERROR(__xludf.DUMMYFUNCTION("TEXTJOIN("" | "",TRUE,IF(OR(D6198="""",E6198="""",I6198="""",J6198="""",H6198=""""),""ফাঁকা ঘর"",""""),IF(AND(C6198&lt;&gt;"""",D6198&lt;&gt;"""",C6198=D6198),""gloss=figurative"",""""),IF(LEN(D6198)&lt;15,""figurative ছোট"",""""),IF(AND(I6198=""Positive"",REGEXMATCH(H6"&amp;"198,""মূর্খ|ভণ্ড|প্রতার|অলস|লোভ|স্বার্থ|অক্ষম|অযোগ্য|বোকা|কৃপণ|হিংস"")),""valence-target অমিল"",""""),IF(COUNTIF($B:$B,B6198)&gt;1,""ডুপ্লিকেট"",""""))"),"")</f>
        <v/>
      </c>
      <c r="Q6198" s="5" t="str">
        <f t="shared" si="1"/>
        <v>২ পরে</v>
      </c>
    </row>
    <row r="6199">
      <c r="A6199" s="4">
        <v>4091.0</v>
      </c>
      <c r="B6199" s="2" t="s">
        <v>25348</v>
      </c>
      <c r="C6199" s="2" t="s">
        <v>25349</v>
      </c>
      <c r="D6199" s="2" t="s">
        <v>25350</v>
      </c>
      <c r="E6199" s="2" t="s">
        <v>25351</v>
      </c>
      <c r="F6199" s="2" t="b">
        <v>1</v>
      </c>
      <c r="G6199" s="2" t="b">
        <v>0</v>
      </c>
      <c r="H6199" s="2" t="s">
        <v>37</v>
      </c>
      <c r="I6199" s="2" t="s">
        <v>49</v>
      </c>
      <c r="J6199" s="2" t="s">
        <v>1621</v>
      </c>
      <c r="K6199" s="2" t="s">
        <v>495</v>
      </c>
      <c r="L6199" s="13" t="s">
        <v>496</v>
      </c>
      <c r="M6199" s="2" t="s">
        <v>26</v>
      </c>
      <c r="N6199" s="29"/>
      <c r="O6199" s="29"/>
      <c r="P6199" s="5" t="str">
        <f>IFERROR(__xludf.DUMMYFUNCTION("TEXTJOIN("" | "",TRUE,IF(OR(D6199="""",E6199="""",I6199="""",J6199="""",H6199=""""),""ফাঁকা ঘর"",""""),IF(AND(C6199&lt;&gt;"""",D6199&lt;&gt;"""",C6199=D6199),""gloss=figurative"",""""),IF(LEN(D6199)&lt;15,""figurative ছোট"",""""),IF(AND(I6199=""Positive"",REGEXMATCH(H6"&amp;"199,""মূর্খ|ভণ্ড|প্রতার|অলস|লোভ|স্বার্থ|অক্ষম|অযোগ্য|বোকা|কৃপণ|হিংস"")),""valence-target অমিল"",""""),IF(COUNTIF($B:$B,B6199)&gt;1,""ডুপ্লিকেট"",""""))"),"")</f>
        <v/>
      </c>
      <c r="Q6199" s="5" t="str">
        <f t="shared" si="1"/>
        <v>২ পরে</v>
      </c>
    </row>
    <row r="6200">
      <c r="A6200" s="4">
        <v>4092.0</v>
      </c>
      <c r="B6200" s="2" t="s">
        <v>25352</v>
      </c>
      <c r="C6200" s="2" t="s">
        <v>25353</v>
      </c>
      <c r="D6200" s="2" t="s">
        <v>25354</v>
      </c>
      <c r="E6200" s="15" t="s">
        <v>25355</v>
      </c>
      <c r="F6200" s="2" t="b">
        <v>1</v>
      </c>
      <c r="G6200" s="2" t="b">
        <v>0</v>
      </c>
      <c r="H6200" s="2" t="s">
        <v>37</v>
      </c>
      <c r="I6200" s="2" t="s">
        <v>22</v>
      </c>
      <c r="J6200" s="2" t="s">
        <v>1126</v>
      </c>
      <c r="K6200" s="2" t="s">
        <v>495</v>
      </c>
      <c r="L6200" s="13" t="s">
        <v>496</v>
      </c>
      <c r="M6200" s="2" t="s">
        <v>26</v>
      </c>
      <c r="N6200" s="29"/>
      <c r="O6200" s="29"/>
      <c r="P6200" s="5" t="str">
        <f>IFERROR(__xludf.DUMMYFUNCTION("TEXTJOIN("" | "",TRUE,IF(OR(D6200="""",E6200="""",I6200="""",J6200="""",H6200=""""),""ফাঁকা ঘর"",""""),IF(AND(C6200&lt;&gt;"""",D6200&lt;&gt;"""",C6200=D6200),""gloss=figurative"",""""),IF(LEN(D6200)&lt;15,""figurative ছোট"",""""),IF(AND(I6200=""Positive"",REGEXMATCH(H6"&amp;"200,""মূর্খ|ভণ্ড|প্রতার|অলস|লোভ|স্বার্থ|অক্ষম|অযোগ্য|বোকা|কৃপণ|হিংস"")),""valence-target অমিল"",""""),IF(COUNTIF($B:$B,B6200)&gt;1,""ডুপ্লিকেট"",""""))"),"")</f>
        <v/>
      </c>
      <c r="Q6200" s="5" t="str">
        <f t="shared" si="1"/>
        <v>২ পরে</v>
      </c>
    </row>
    <row r="6201">
      <c r="A6201" s="4">
        <v>4093.0</v>
      </c>
      <c r="B6201" s="2" t="s">
        <v>25356</v>
      </c>
      <c r="C6201" s="2" t="s">
        <v>25357</v>
      </c>
      <c r="D6201" s="2" t="s">
        <v>25358</v>
      </c>
      <c r="E6201" s="2" t="s">
        <v>25359</v>
      </c>
      <c r="F6201" s="2" t="b">
        <v>1</v>
      </c>
      <c r="G6201" s="2" t="b">
        <v>0</v>
      </c>
      <c r="H6201" s="2" t="s">
        <v>37</v>
      </c>
      <c r="I6201" s="2" t="s">
        <v>22</v>
      </c>
      <c r="J6201" s="2" t="s">
        <v>1630</v>
      </c>
      <c r="K6201" s="2" t="s">
        <v>495</v>
      </c>
      <c r="L6201" s="13" t="s">
        <v>496</v>
      </c>
      <c r="M6201" s="2" t="s">
        <v>26</v>
      </c>
      <c r="N6201" s="29"/>
      <c r="O6201" s="29"/>
      <c r="P6201" s="5" t="str">
        <f>IFERROR(__xludf.DUMMYFUNCTION("TEXTJOIN("" | "",TRUE,IF(OR(D6201="""",E6201="""",I6201="""",J6201="""",H6201=""""),""ফাঁকা ঘর"",""""),IF(AND(C6201&lt;&gt;"""",D6201&lt;&gt;"""",C6201=D6201),""gloss=figurative"",""""),IF(LEN(D6201)&lt;15,""figurative ছোট"",""""),IF(AND(I6201=""Positive"",REGEXMATCH(H6"&amp;"201,""মূর্খ|ভণ্ড|প্রতার|অলস|লোভ|স্বার্থ|অক্ষম|অযোগ্য|বোকা|কৃপণ|হিংস"")),""valence-target অমিল"",""""),IF(COUNTIF($B:$B,B6201)&gt;1,""ডুপ্লিকেট"",""""))"),"")</f>
        <v/>
      </c>
      <c r="Q6201" s="5" t="str">
        <f t="shared" si="1"/>
        <v>২ পরে</v>
      </c>
    </row>
    <row r="6202">
      <c r="A6202" s="4">
        <v>4094.0</v>
      </c>
      <c r="B6202" s="2" t="s">
        <v>25360</v>
      </c>
      <c r="C6202" s="2" t="s">
        <v>25361</v>
      </c>
      <c r="D6202" s="2" t="s">
        <v>25362</v>
      </c>
      <c r="E6202" s="2" t="s">
        <v>25363</v>
      </c>
      <c r="F6202" s="2" t="b">
        <v>1</v>
      </c>
      <c r="G6202" s="2" t="b">
        <v>1</v>
      </c>
      <c r="H6202" s="2" t="s">
        <v>25364</v>
      </c>
      <c r="I6202" s="2" t="s">
        <v>22</v>
      </c>
      <c r="J6202" s="2" t="s">
        <v>3327</v>
      </c>
      <c r="K6202" s="2" t="s">
        <v>495</v>
      </c>
      <c r="L6202" s="13" t="s">
        <v>496</v>
      </c>
      <c r="M6202" s="2" t="s">
        <v>26</v>
      </c>
      <c r="N6202" s="29"/>
      <c r="O6202" s="29"/>
      <c r="P6202" s="5" t="str">
        <f>IFERROR(__xludf.DUMMYFUNCTION("TEXTJOIN("" | "",TRUE,IF(OR(D6202="""",E6202="""",I6202="""",J6202="""",H6202=""""),""ফাঁকা ঘর"",""""),IF(AND(C6202&lt;&gt;"""",D6202&lt;&gt;"""",C6202=D6202),""gloss=figurative"",""""),IF(LEN(D6202)&lt;15,""figurative ছোট"",""""),IF(AND(I6202=""Positive"",REGEXMATCH(H6"&amp;"202,""মূর্খ|ভণ্ড|প্রতার|অলস|লোভ|স্বার্থ|অক্ষম|অযোগ্য|বোকা|কৃপণ|হিংস"")),""valence-target অমিল"",""""),IF(COUNTIF($B:$B,B6202)&gt;1,""ডুপ্লিকেট"",""""))"),"")</f>
        <v/>
      </c>
      <c r="Q6202" s="5" t="str">
        <f t="shared" si="1"/>
        <v>২ পরে</v>
      </c>
    </row>
    <row r="6203">
      <c r="A6203" s="4">
        <v>4095.0</v>
      </c>
      <c r="B6203" s="2" t="s">
        <v>25365</v>
      </c>
      <c r="C6203" s="2" t="s">
        <v>25366</v>
      </c>
      <c r="D6203" s="2" t="s">
        <v>25367</v>
      </c>
      <c r="E6203" s="2" t="s">
        <v>25368</v>
      </c>
      <c r="F6203" s="2" t="b">
        <v>1</v>
      </c>
      <c r="G6203" s="2" t="b">
        <v>0</v>
      </c>
      <c r="H6203" s="2" t="s">
        <v>25369</v>
      </c>
      <c r="I6203" s="2" t="s">
        <v>22</v>
      </c>
      <c r="J6203" s="2" t="s">
        <v>842</v>
      </c>
      <c r="K6203" s="2" t="s">
        <v>495</v>
      </c>
      <c r="L6203" s="13" t="s">
        <v>496</v>
      </c>
      <c r="M6203" s="2" t="s">
        <v>26</v>
      </c>
      <c r="N6203" s="29"/>
      <c r="O6203" s="29"/>
      <c r="P6203" s="5" t="str">
        <f>IFERROR(__xludf.DUMMYFUNCTION("TEXTJOIN("" | "",TRUE,IF(OR(D6203="""",E6203="""",I6203="""",J6203="""",H6203=""""),""ফাঁকা ঘর"",""""),IF(AND(C6203&lt;&gt;"""",D6203&lt;&gt;"""",C6203=D6203),""gloss=figurative"",""""),IF(LEN(D6203)&lt;15,""figurative ছোট"",""""),IF(AND(I6203=""Positive"",REGEXMATCH(H6"&amp;"203,""মূর্খ|ভণ্ড|প্রতার|অলস|লোভ|স্বার্থ|অক্ষম|অযোগ্য|বোকা|কৃপণ|হিংস"")),""valence-target অমিল"",""""),IF(COUNTIF($B:$B,B6203)&gt;1,""ডুপ্লিকেট"",""""))"),"")</f>
        <v/>
      </c>
      <c r="Q6203" s="5" t="str">
        <f t="shared" si="1"/>
        <v>২ পরে</v>
      </c>
    </row>
    <row r="6204">
      <c r="A6204" s="4">
        <v>4096.0</v>
      </c>
      <c r="B6204" s="2" t="s">
        <v>25370</v>
      </c>
      <c r="C6204" s="2" t="s">
        <v>25370</v>
      </c>
      <c r="D6204" s="2" t="s">
        <v>25371</v>
      </c>
      <c r="E6204" s="2" t="s">
        <v>25372</v>
      </c>
      <c r="F6204" s="2" t="b">
        <v>1</v>
      </c>
      <c r="G6204" s="2" t="b">
        <v>0</v>
      </c>
      <c r="H6204" s="2" t="s">
        <v>4703</v>
      </c>
      <c r="I6204" s="2" t="s">
        <v>32</v>
      </c>
      <c r="J6204" s="2" t="s">
        <v>4704</v>
      </c>
      <c r="K6204" s="2" t="s">
        <v>495</v>
      </c>
      <c r="L6204" s="13" t="s">
        <v>496</v>
      </c>
      <c r="M6204" s="2" t="s">
        <v>26</v>
      </c>
      <c r="N6204" s="29"/>
      <c r="O6204" s="29"/>
      <c r="P6204" s="5" t="str">
        <f>IFERROR(__xludf.DUMMYFUNCTION("TEXTJOIN("" | "",TRUE,IF(OR(D6204="""",E6204="""",I6204="""",J6204="""",H6204=""""),""ফাঁকা ঘর"",""""),IF(AND(C6204&lt;&gt;"""",D6204&lt;&gt;"""",C6204=D6204),""gloss=figurative"",""""),IF(LEN(D6204)&lt;15,""figurative ছোট"",""""),IF(AND(I6204=""Positive"",REGEXMATCH(H6"&amp;"204,""মূর্খ|ভণ্ড|প্রতার|অলস|লোভ|স্বার্থ|অক্ষম|অযোগ্য|বোকা|কৃপণ|হিংস"")),""valence-target অমিল"",""""),IF(COUNTIF($B:$B,B6204)&gt;1,""ডুপ্লিকেট"",""""))"),"")</f>
        <v/>
      </c>
      <c r="Q6204" s="5" t="str">
        <f t="shared" si="1"/>
        <v>২ পরে</v>
      </c>
    </row>
    <row r="6205">
      <c r="A6205" s="4">
        <v>4097.0</v>
      </c>
      <c r="B6205" s="2" t="s">
        <v>25373</v>
      </c>
      <c r="C6205" s="2" t="s">
        <v>25373</v>
      </c>
      <c r="D6205" s="2" t="s">
        <v>25374</v>
      </c>
      <c r="E6205" s="2" t="s">
        <v>25375</v>
      </c>
      <c r="F6205" s="2" t="b">
        <v>1</v>
      </c>
      <c r="G6205" s="2" t="b">
        <v>0</v>
      </c>
      <c r="H6205" s="2" t="s">
        <v>37</v>
      </c>
      <c r="I6205" s="2" t="s">
        <v>32</v>
      </c>
      <c r="J6205" s="2" t="s">
        <v>3513</v>
      </c>
      <c r="K6205" s="2" t="s">
        <v>495</v>
      </c>
      <c r="L6205" s="13" t="s">
        <v>496</v>
      </c>
      <c r="M6205" s="2" t="s">
        <v>26</v>
      </c>
      <c r="N6205" s="29"/>
      <c r="O6205" s="29"/>
      <c r="P6205" s="5" t="str">
        <f>IFERROR(__xludf.DUMMYFUNCTION("TEXTJOIN("" | "",TRUE,IF(OR(D6205="""",E6205="""",I6205="""",J6205="""",H6205=""""),""ফাঁকা ঘর"",""""),IF(AND(C6205&lt;&gt;"""",D6205&lt;&gt;"""",C6205=D6205),""gloss=figurative"",""""),IF(LEN(D6205)&lt;15,""figurative ছোট"",""""),IF(AND(I6205=""Positive"",REGEXMATCH(H6"&amp;"205,""মূর্খ|ভণ্ড|প্রতার|অলস|লোভ|স্বার্থ|অক্ষম|অযোগ্য|বোকা|কৃপণ|হিংস"")),""valence-target অমিল"",""""),IF(COUNTIF($B:$B,B6205)&gt;1,""ডুপ্লিকেট"",""""))"),"")</f>
        <v/>
      </c>
      <c r="Q6205" s="5" t="str">
        <f t="shared" si="1"/>
        <v>২ পরে</v>
      </c>
    </row>
    <row r="6206">
      <c r="A6206" s="4">
        <v>4098.0</v>
      </c>
      <c r="B6206" s="2" t="s">
        <v>25376</v>
      </c>
      <c r="C6206" s="2" t="s">
        <v>25376</v>
      </c>
      <c r="D6206" s="2" t="s">
        <v>25377</v>
      </c>
      <c r="E6206" s="2" t="s">
        <v>25378</v>
      </c>
      <c r="F6206" s="2" t="b">
        <v>1</v>
      </c>
      <c r="G6206" s="2" t="b">
        <v>0</v>
      </c>
      <c r="H6206" s="2" t="s">
        <v>37</v>
      </c>
      <c r="I6206" s="2" t="s">
        <v>22</v>
      </c>
      <c r="J6206" s="2" t="s">
        <v>590</v>
      </c>
      <c r="K6206" s="2" t="s">
        <v>495</v>
      </c>
      <c r="L6206" s="13" t="s">
        <v>496</v>
      </c>
      <c r="M6206" s="2" t="s">
        <v>26</v>
      </c>
      <c r="N6206" s="29"/>
      <c r="O6206" s="29"/>
      <c r="P6206" s="5" t="str">
        <f>IFERROR(__xludf.DUMMYFUNCTION("TEXTJOIN("" | "",TRUE,IF(OR(D6206="""",E6206="""",I6206="""",J6206="""",H6206=""""),""ফাঁকা ঘর"",""""),IF(AND(C6206&lt;&gt;"""",D6206&lt;&gt;"""",C6206=D6206),""gloss=figurative"",""""),IF(LEN(D6206)&lt;15,""figurative ছোট"",""""),IF(AND(I6206=""Positive"",REGEXMATCH(H6"&amp;"206,""মূর্খ|ভণ্ড|প্রতার|অলস|লোভ|স্বার্থ|অক্ষম|অযোগ্য|বোকা|কৃপণ|হিংস"")),""valence-target অমিল"",""""),IF(COUNTIF($B:$B,B6206)&gt;1,""ডুপ্লিকেট"",""""))"),"")</f>
        <v/>
      </c>
      <c r="Q6206" s="5" t="str">
        <f t="shared" si="1"/>
        <v>২ পরে</v>
      </c>
    </row>
    <row r="6207">
      <c r="A6207" s="4">
        <v>4099.0</v>
      </c>
      <c r="B6207" s="2" t="s">
        <v>25379</v>
      </c>
      <c r="C6207" s="2" t="s">
        <v>25379</v>
      </c>
      <c r="D6207" s="2" t="s">
        <v>25380</v>
      </c>
      <c r="E6207" s="2" t="s">
        <v>25381</v>
      </c>
      <c r="F6207" s="2" t="b">
        <v>1</v>
      </c>
      <c r="G6207" s="2" t="b">
        <v>0</v>
      </c>
      <c r="H6207" s="2" t="s">
        <v>37</v>
      </c>
      <c r="I6207" s="2" t="s">
        <v>22</v>
      </c>
      <c r="J6207" s="2" t="s">
        <v>1775</v>
      </c>
      <c r="K6207" s="2" t="s">
        <v>495</v>
      </c>
      <c r="L6207" s="13" t="s">
        <v>496</v>
      </c>
      <c r="M6207" s="2" t="s">
        <v>26</v>
      </c>
      <c r="N6207" s="29"/>
      <c r="O6207" s="29"/>
      <c r="P6207" s="5" t="str">
        <f>IFERROR(__xludf.DUMMYFUNCTION("TEXTJOIN("" | "",TRUE,IF(OR(D6207="""",E6207="""",I6207="""",J6207="""",H6207=""""),""ফাঁকা ঘর"",""""),IF(AND(C6207&lt;&gt;"""",D6207&lt;&gt;"""",C6207=D6207),""gloss=figurative"",""""),IF(LEN(D6207)&lt;15,""figurative ছোট"",""""),IF(AND(I6207=""Positive"",REGEXMATCH(H6"&amp;"207,""মূর্খ|ভণ্ড|প্রতার|অলস|লোভ|স্বার্থ|অক্ষম|অযোগ্য|বোকা|কৃপণ|হিংস"")),""valence-target অমিল"",""""),IF(COUNTIF($B:$B,B6207)&gt;1,""ডুপ্লিকেট"",""""))"),"")</f>
        <v/>
      </c>
      <c r="Q6207" s="5" t="str">
        <f t="shared" si="1"/>
        <v>২ পরে</v>
      </c>
    </row>
    <row r="6208">
      <c r="A6208" s="4">
        <v>4100.0</v>
      </c>
      <c r="B6208" s="2" t="s">
        <v>25382</v>
      </c>
      <c r="C6208" s="2" t="s">
        <v>25383</v>
      </c>
      <c r="D6208" s="2" t="s">
        <v>25384</v>
      </c>
      <c r="E6208" s="2" t="s">
        <v>25385</v>
      </c>
      <c r="F6208" s="2" t="b">
        <v>1</v>
      </c>
      <c r="G6208" s="2" t="b">
        <v>0</v>
      </c>
      <c r="H6208" s="2" t="s">
        <v>37</v>
      </c>
      <c r="I6208" s="2" t="s">
        <v>32</v>
      </c>
      <c r="J6208" s="2" t="s">
        <v>2827</v>
      </c>
      <c r="K6208" s="2" t="s">
        <v>495</v>
      </c>
      <c r="L6208" s="13" t="s">
        <v>496</v>
      </c>
      <c r="M6208" s="2" t="s">
        <v>26</v>
      </c>
      <c r="N6208" s="29"/>
      <c r="O6208" s="29"/>
      <c r="P6208" s="5" t="str">
        <f>IFERROR(__xludf.DUMMYFUNCTION("TEXTJOIN("" | "",TRUE,IF(OR(D6208="""",E6208="""",I6208="""",J6208="""",H6208=""""),""ফাঁকা ঘর"",""""),IF(AND(C6208&lt;&gt;"""",D6208&lt;&gt;"""",C6208=D6208),""gloss=figurative"",""""),IF(LEN(D6208)&lt;15,""figurative ছোট"",""""),IF(AND(I6208=""Positive"",REGEXMATCH(H6"&amp;"208,""মূর্খ|ভণ্ড|প্রতার|অলস|লোভ|স্বার্থ|অক্ষম|অযোগ্য|বোকা|কৃপণ|হিংস"")),""valence-target অমিল"",""""),IF(COUNTIF($B:$B,B6208)&gt;1,""ডুপ্লিকেট"",""""))"),"")</f>
        <v/>
      </c>
      <c r="Q6208" s="5" t="str">
        <f t="shared" si="1"/>
        <v>২ পরে</v>
      </c>
    </row>
    <row r="6209">
      <c r="A6209" s="4">
        <v>4101.0</v>
      </c>
      <c r="B6209" s="2" t="s">
        <v>25386</v>
      </c>
      <c r="C6209" s="2" t="s">
        <v>25387</v>
      </c>
      <c r="D6209" s="2" t="s">
        <v>25388</v>
      </c>
      <c r="E6209" s="2" t="s">
        <v>25389</v>
      </c>
      <c r="F6209" s="2" t="b">
        <v>1</v>
      </c>
      <c r="G6209" s="2" t="b">
        <v>0</v>
      </c>
      <c r="H6209" s="2" t="s">
        <v>37</v>
      </c>
      <c r="I6209" s="2" t="s">
        <v>22</v>
      </c>
      <c r="J6209" s="2" t="s">
        <v>25390</v>
      </c>
      <c r="K6209" s="2" t="s">
        <v>495</v>
      </c>
      <c r="L6209" s="13" t="s">
        <v>496</v>
      </c>
      <c r="M6209" s="2" t="s">
        <v>26</v>
      </c>
      <c r="N6209" s="29"/>
      <c r="O6209" s="29"/>
      <c r="P6209" s="5" t="str">
        <f>IFERROR(__xludf.DUMMYFUNCTION("TEXTJOIN("" | "",TRUE,IF(OR(D6209="""",E6209="""",I6209="""",J6209="""",H6209=""""),""ফাঁকা ঘর"",""""),IF(AND(C6209&lt;&gt;"""",D6209&lt;&gt;"""",C6209=D6209),""gloss=figurative"",""""),IF(LEN(D6209)&lt;15,""figurative ছোট"",""""),IF(AND(I6209=""Positive"",REGEXMATCH(H6"&amp;"209,""মূর্খ|ভণ্ড|প্রতার|অলস|লোভ|স্বার্থ|অক্ষম|অযোগ্য|বোকা|কৃপণ|হিংস"")),""valence-target অমিল"",""""),IF(COUNTIF($B:$B,B6209)&gt;1,""ডুপ্লিকেট"",""""))"),"")</f>
        <v/>
      </c>
      <c r="Q6209" s="5" t="str">
        <f t="shared" si="1"/>
        <v>২ পরে</v>
      </c>
    </row>
    <row r="6210">
      <c r="A6210" s="4">
        <v>4102.0</v>
      </c>
      <c r="B6210" s="2" t="s">
        <v>25391</v>
      </c>
      <c r="C6210" s="2" t="s">
        <v>25392</v>
      </c>
      <c r="D6210" s="2" t="s">
        <v>25393</v>
      </c>
      <c r="E6210" s="2" t="s">
        <v>25394</v>
      </c>
      <c r="F6210" s="2" t="b">
        <v>1</v>
      </c>
      <c r="G6210" s="2" t="b">
        <v>0</v>
      </c>
      <c r="H6210" s="2" t="s">
        <v>37</v>
      </c>
      <c r="I6210" s="2" t="s">
        <v>49</v>
      </c>
      <c r="J6210" s="2" t="s">
        <v>6010</v>
      </c>
      <c r="K6210" s="2" t="s">
        <v>495</v>
      </c>
      <c r="L6210" s="13" t="s">
        <v>496</v>
      </c>
      <c r="M6210" s="2" t="s">
        <v>26</v>
      </c>
      <c r="N6210" s="29"/>
      <c r="O6210" s="29"/>
      <c r="P6210" s="5" t="str">
        <f>IFERROR(__xludf.DUMMYFUNCTION("TEXTJOIN("" | "",TRUE,IF(OR(D6210="""",E6210="""",I6210="""",J6210="""",H6210=""""),""ফাঁকা ঘর"",""""),IF(AND(C6210&lt;&gt;"""",D6210&lt;&gt;"""",C6210=D6210),""gloss=figurative"",""""),IF(LEN(D6210)&lt;15,""figurative ছোট"",""""),IF(AND(I6210=""Positive"",REGEXMATCH(H6"&amp;"210,""মূর্খ|ভণ্ড|প্রতার|অলস|লোভ|স্বার্থ|অক্ষম|অযোগ্য|বোকা|কৃপণ|হিংস"")),""valence-target অমিল"",""""),IF(COUNTIF($B:$B,B6210)&gt;1,""ডুপ্লিকেট"",""""))"),"")</f>
        <v/>
      </c>
      <c r="Q6210" s="5" t="str">
        <f t="shared" si="1"/>
        <v>২ পরে</v>
      </c>
    </row>
    <row r="6211">
      <c r="A6211" s="4">
        <v>4103.0</v>
      </c>
      <c r="B6211" s="2" t="s">
        <v>25395</v>
      </c>
      <c r="C6211" s="2" t="s">
        <v>25396</v>
      </c>
      <c r="D6211" s="2" t="s">
        <v>25397</v>
      </c>
      <c r="E6211" s="2" t="s">
        <v>25398</v>
      </c>
      <c r="F6211" s="2" t="b">
        <v>1</v>
      </c>
      <c r="G6211" s="2" t="b">
        <v>0</v>
      </c>
      <c r="H6211" s="2" t="s">
        <v>37</v>
      </c>
      <c r="I6211" s="2" t="s">
        <v>49</v>
      </c>
      <c r="J6211" s="2" t="s">
        <v>3288</v>
      </c>
      <c r="K6211" s="2" t="s">
        <v>495</v>
      </c>
      <c r="L6211" s="13" t="s">
        <v>496</v>
      </c>
      <c r="M6211" s="2" t="s">
        <v>26</v>
      </c>
      <c r="N6211" s="29"/>
      <c r="O6211" s="29"/>
      <c r="P6211" s="5" t="str">
        <f>IFERROR(__xludf.DUMMYFUNCTION("TEXTJOIN("" | "",TRUE,IF(OR(D6211="""",E6211="""",I6211="""",J6211="""",H6211=""""),""ফাঁকা ঘর"",""""),IF(AND(C6211&lt;&gt;"""",D6211&lt;&gt;"""",C6211=D6211),""gloss=figurative"",""""),IF(LEN(D6211)&lt;15,""figurative ছোট"",""""),IF(AND(I6211=""Positive"",REGEXMATCH(H6"&amp;"211,""মূর্খ|ভণ্ড|প্রতার|অলস|লোভ|স্বার্থ|অক্ষম|অযোগ্য|বোকা|কৃপণ|হিংস"")),""valence-target অমিল"",""""),IF(COUNTIF($B:$B,B6211)&gt;1,""ডুপ্লিকেট"",""""))"),"")</f>
        <v/>
      </c>
      <c r="Q6211" s="5" t="str">
        <f t="shared" si="1"/>
        <v>২ পরে</v>
      </c>
    </row>
    <row r="6212">
      <c r="A6212" s="4">
        <v>4105.0</v>
      </c>
      <c r="B6212" s="2" t="s">
        <v>25399</v>
      </c>
      <c r="C6212" s="2" t="s">
        <v>25400</v>
      </c>
      <c r="D6212" s="2" t="s">
        <v>25401</v>
      </c>
      <c r="E6212" s="2" t="s">
        <v>25402</v>
      </c>
      <c r="F6212" s="2" t="b">
        <v>1</v>
      </c>
      <c r="G6212" s="2" t="b">
        <v>0</v>
      </c>
      <c r="H6212" s="2" t="s">
        <v>23807</v>
      </c>
      <c r="I6212" s="2" t="s">
        <v>22</v>
      </c>
      <c r="J6212" s="2" t="s">
        <v>2277</v>
      </c>
      <c r="K6212" s="2" t="s">
        <v>495</v>
      </c>
      <c r="L6212" s="13" t="s">
        <v>496</v>
      </c>
      <c r="M6212" s="2" t="s">
        <v>26</v>
      </c>
      <c r="N6212" s="29"/>
      <c r="O6212" s="29"/>
      <c r="P6212" s="5" t="str">
        <f>IFERROR(__xludf.DUMMYFUNCTION("TEXTJOIN("" | "",TRUE,IF(OR(D6212="""",E6212="""",I6212="""",J6212="""",H6212=""""),""ফাঁকা ঘর"",""""),IF(AND(C6212&lt;&gt;"""",D6212&lt;&gt;"""",C6212=D6212),""gloss=figurative"",""""),IF(LEN(D6212)&lt;15,""figurative ছোট"",""""),IF(AND(I6212=""Positive"",REGEXMATCH(H6"&amp;"212,""মূর্খ|ভণ্ড|প্রতার|অলস|লোভ|স্বার্থ|অক্ষম|অযোগ্য|বোকা|কৃপণ|হিংস"")),""valence-target অমিল"",""""),IF(COUNTIF($B:$B,B6212)&gt;1,""ডুপ্লিকেট"",""""))"),"")</f>
        <v/>
      </c>
      <c r="Q6212" s="5" t="str">
        <f t="shared" si="1"/>
        <v>২ পরে</v>
      </c>
    </row>
    <row r="6213">
      <c r="A6213" s="4">
        <v>4106.0</v>
      </c>
      <c r="B6213" s="2" t="s">
        <v>25403</v>
      </c>
      <c r="C6213" s="2" t="s">
        <v>25404</v>
      </c>
      <c r="D6213" s="2" t="s">
        <v>25405</v>
      </c>
      <c r="E6213" s="2" t="s">
        <v>25406</v>
      </c>
      <c r="F6213" s="2" t="b">
        <v>1</v>
      </c>
      <c r="G6213" s="2" t="b">
        <v>0</v>
      </c>
      <c r="H6213" s="2" t="s">
        <v>37</v>
      </c>
      <c r="I6213" s="2" t="s">
        <v>49</v>
      </c>
      <c r="J6213" s="2" t="s">
        <v>565</v>
      </c>
      <c r="K6213" s="2" t="s">
        <v>495</v>
      </c>
      <c r="L6213" s="13" t="s">
        <v>496</v>
      </c>
      <c r="M6213" s="2" t="s">
        <v>26</v>
      </c>
      <c r="N6213" s="29"/>
      <c r="O6213" s="29"/>
      <c r="P6213" s="5" t="str">
        <f>IFERROR(__xludf.DUMMYFUNCTION("TEXTJOIN("" | "",TRUE,IF(OR(D6213="""",E6213="""",I6213="""",J6213="""",H6213=""""),""ফাঁকা ঘর"",""""),IF(AND(C6213&lt;&gt;"""",D6213&lt;&gt;"""",C6213=D6213),""gloss=figurative"",""""),IF(LEN(D6213)&lt;15,""figurative ছোট"",""""),IF(AND(I6213=""Positive"",REGEXMATCH(H6"&amp;"213,""মূর্খ|ভণ্ড|প্রতার|অলস|লোভ|স্বার্থ|অক্ষম|অযোগ্য|বোকা|কৃপণ|হিংস"")),""valence-target অমিল"",""""),IF(COUNTIF($B:$B,B6213)&gt;1,""ডুপ্লিকেট"",""""))"),"")</f>
        <v/>
      </c>
      <c r="Q6213" s="5" t="str">
        <f t="shared" si="1"/>
        <v>২ পরে</v>
      </c>
    </row>
    <row r="6214">
      <c r="A6214" s="4">
        <v>4107.0</v>
      </c>
      <c r="B6214" s="2" t="s">
        <v>25407</v>
      </c>
      <c r="C6214" s="2" t="s">
        <v>25408</v>
      </c>
      <c r="D6214" s="2" t="s">
        <v>25409</v>
      </c>
      <c r="E6214" s="2" t="s">
        <v>25410</v>
      </c>
      <c r="F6214" s="2" t="b">
        <v>1</v>
      </c>
      <c r="G6214" s="2" t="b">
        <v>0</v>
      </c>
      <c r="H6214" s="2" t="s">
        <v>37</v>
      </c>
      <c r="I6214" s="2" t="s">
        <v>49</v>
      </c>
      <c r="J6214" s="2" t="s">
        <v>2629</v>
      </c>
      <c r="K6214" s="2" t="s">
        <v>495</v>
      </c>
      <c r="L6214" s="13" t="s">
        <v>496</v>
      </c>
      <c r="M6214" s="2" t="s">
        <v>26</v>
      </c>
      <c r="N6214" s="29"/>
      <c r="O6214" s="29"/>
      <c r="P6214" s="5" t="str">
        <f>IFERROR(__xludf.DUMMYFUNCTION("TEXTJOIN("" | "",TRUE,IF(OR(D6214="""",E6214="""",I6214="""",J6214="""",H6214=""""),""ফাঁকা ঘর"",""""),IF(AND(C6214&lt;&gt;"""",D6214&lt;&gt;"""",C6214=D6214),""gloss=figurative"",""""),IF(LEN(D6214)&lt;15,""figurative ছোট"",""""),IF(AND(I6214=""Positive"",REGEXMATCH(H6"&amp;"214,""মূর্খ|ভণ্ড|প্রতার|অলস|লোভ|স্বার্থ|অক্ষম|অযোগ্য|বোকা|কৃপণ|হিংস"")),""valence-target অমিল"",""""),IF(COUNTIF($B:$B,B6214)&gt;1,""ডুপ্লিকেট"",""""))"),"")</f>
        <v/>
      </c>
      <c r="Q6214" s="5" t="str">
        <f t="shared" si="1"/>
        <v>২ পরে</v>
      </c>
    </row>
    <row r="6215">
      <c r="A6215" s="4">
        <v>4108.0</v>
      </c>
      <c r="B6215" s="2" t="s">
        <v>25411</v>
      </c>
      <c r="C6215" s="2" t="s">
        <v>25412</v>
      </c>
      <c r="D6215" s="2" t="s">
        <v>25413</v>
      </c>
      <c r="E6215" s="2" t="s">
        <v>25414</v>
      </c>
      <c r="F6215" s="2" t="b">
        <v>1</v>
      </c>
      <c r="G6215" s="2" t="b">
        <v>0</v>
      </c>
      <c r="H6215" s="2" t="s">
        <v>37</v>
      </c>
      <c r="I6215" s="2" t="s">
        <v>22</v>
      </c>
      <c r="J6215" s="2" t="s">
        <v>6725</v>
      </c>
      <c r="K6215" s="2" t="s">
        <v>495</v>
      </c>
      <c r="L6215" s="13" t="s">
        <v>496</v>
      </c>
      <c r="M6215" s="2" t="s">
        <v>26</v>
      </c>
      <c r="N6215" s="29"/>
      <c r="O6215" s="29"/>
      <c r="P6215" s="5" t="str">
        <f>IFERROR(__xludf.DUMMYFUNCTION("TEXTJOIN("" | "",TRUE,IF(OR(D6215="""",E6215="""",I6215="""",J6215="""",H6215=""""),""ফাঁকা ঘর"",""""),IF(AND(C6215&lt;&gt;"""",D6215&lt;&gt;"""",C6215=D6215),""gloss=figurative"",""""),IF(LEN(D6215)&lt;15,""figurative ছোট"",""""),IF(AND(I6215=""Positive"",REGEXMATCH(H6"&amp;"215,""মূর্খ|ভণ্ড|প্রতার|অলস|লোভ|স্বার্থ|অক্ষম|অযোগ্য|বোকা|কৃপণ|হিংস"")),""valence-target অমিল"",""""),IF(COUNTIF($B:$B,B6215)&gt;1,""ডুপ্লিকেট"",""""))"),"")</f>
        <v/>
      </c>
      <c r="Q6215" s="5" t="str">
        <f t="shared" si="1"/>
        <v>২ পরে</v>
      </c>
    </row>
    <row r="6216">
      <c r="A6216" s="4">
        <v>4109.0</v>
      </c>
      <c r="B6216" s="2" t="s">
        <v>25415</v>
      </c>
      <c r="C6216" s="2" t="s">
        <v>25416</v>
      </c>
      <c r="D6216" s="2" t="s">
        <v>25417</v>
      </c>
      <c r="E6216" s="2" t="s">
        <v>25418</v>
      </c>
      <c r="F6216" s="2" t="b">
        <v>1</v>
      </c>
      <c r="G6216" s="2" t="b">
        <v>0</v>
      </c>
      <c r="H6216" s="2" t="s">
        <v>37</v>
      </c>
      <c r="I6216" s="2" t="s">
        <v>32</v>
      </c>
      <c r="J6216" s="2" t="s">
        <v>1239</v>
      </c>
      <c r="K6216" s="2" t="s">
        <v>495</v>
      </c>
      <c r="L6216" s="13" t="s">
        <v>496</v>
      </c>
      <c r="M6216" s="2" t="s">
        <v>26</v>
      </c>
      <c r="N6216" s="29"/>
      <c r="O6216" s="29"/>
      <c r="P6216" s="5" t="str">
        <f>IFERROR(__xludf.DUMMYFUNCTION("TEXTJOIN("" | "",TRUE,IF(OR(D6216="""",E6216="""",I6216="""",J6216="""",H6216=""""),""ফাঁকা ঘর"",""""),IF(AND(C6216&lt;&gt;"""",D6216&lt;&gt;"""",C6216=D6216),""gloss=figurative"",""""),IF(LEN(D6216)&lt;15,""figurative ছোট"",""""),IF(AND(I6216=""Positive"",REGEXMATCH(H6"&amp;"216,""মূর্খ|ভণ্ড|প্রতার|অলস|লোভ|স্বার্থ|অক্ষম|অযোগ্য|বোকা|কৃপণ|হিংস"")),""valence-target অমিল"",""""),IF(COUNTIF($B:$B,B6216)&gt;1,""ডুপ্লিকেট"",""""))"),"")</f>
        <v/>
      </c>
      <c r="Q6216" s="5" t="str">
        <f t="shared" si="1"/>
        <v>২ পরে</v>
      </c>
    </row>
    <row r="6217">
      <c r="A6217" s="4">
        <v>4110.0</v>
      </c>
      <c r="B6217" s="2" t="s">
        <v>25419</v>
      </c>
      <c r="C6217" s="2" t="s">
        <v>25420</v>
      </c>
      <c r="D6217" s="2" t="s">
        <v>25421</v>
      </c>
      <c r="E6217" s="2" t="s">
        <v>25422</v>
      </c>
      <c r="F6217" s="2" t="b">
        <v>1</v>
      </c>
      <c r="G6217" s="2" t="b">
        <v>0</v>
      </c>
      <c r="H6217" s="2" t="s">
        <v>37</v>
      </c>
      <c r="I6217" s="2" t="s">
        <v>22</v>
      </c>
      <c r="J6217" s="2" t="s">
        <v>1117</v>
      </c>
      <c r="K6217" s="2" t="s">
        <v>495</v>
      </c>
      <c r="L6217" s="13" t="s">
        <v>496</v>
      </c>
      <c r="M6217" s="2" t="s">
        <v>26</v>
      </c>
      <c r="N6217" s="29"/>
      <c r="O6217" s="29"/>
      <c r="P6217" s="5" t="str">
        <f>IFERROR(__xludf.DUMMYFUNCTION("TEXTJOIN("" | "",TRUE,IF(OR(D6217="""",E6217="""",I6217="""",J6217="""",H6217=""""),""ফাঁকা ঘর"",""""),IF(AND(C6217&lt;&gt;"""",D6217&lt;&gt;"""",C6217=D6217),""gloss=figurative"",""""),IF(LEN(D6217)&lt;15,""figurative ছোট"",""""),IF(AND(I6217=""Positive"",REGEXMATCH(H6"&amp;"217,""মূর্খ|ভণ্ড|প্রতার|অলস|লোভ|স্বার্থ|অক্ষম|অযোগ্য|বোকা|কৃপণ|হিংস"")),""valence-target অমিল"",""""),IF(COUNTIF($B:$B,B6217)&gt;1,""ডুপ্লিকেট"",""""))"),"")</f>
        <v/>
      </c>
      <c r="Q6217" s="5" t="str">
        <f t="shared" si="1"/>
        <v>২ পরে</v>
      </c>
    </row>
    <row r="6218">
      <c r="A6218" s="4">
        <v>4111.0</v>
      </c>
      <c r="B6218" s="2" t="s">
        <v>25423</v>
      </c>
      <c r="C6218" s="2" t="s">
        <v>25424</v>
      </c>
      <c r="D6218" s="2" t="s">
        <v>25425</v>
      </c>
      <c r="E6218" s="2" t="s">
        <v>25426</v>
      </c>
      <c r="F6218" s="2" t="b">
        <v>1</v>
      </c>
      <c r="G6218" s="2" t="b">
        <v>0</v>
      </c>
      <c r="H6218" s="2" t="s">
        <v>37</v>
      </c>
      <c r="I6218" s="2" t="s">
        <v>22</v>
      </c>
      <c r="J6218" s="2" t="s">
        <v>4463</v>
      </c>
      <c r="K6218" s="2" t="s">
        <v>495</v>
      </c>
      <c r="L6218" s="13" t="s">
        <v>496</v>
      </c>
      <c r="M6218" s="2" t="s">
        <v>26</v>
      </c>
      <c r="N6218" s="29"/>
      <c r="O6218" s="29"/>
      <c r="P6218" s="5" t="str">
        <f>IFERROR(__xludf.DUMMYFUNCTION("TEXTJOIN("" | "",TRUE,IF(OR(D6218="""",E6218="""",I6218="""",J6218="""",H6218=""""),""ফাঁকা ঘর"",""""),IF(AND(C6218&lt;&gt;"""",D6218&lt;&gt;"""",C6218=D6218),""gloss=figurative"",""""),IF(LEN(D6218)&lt;15,""figurative ছোট"",""""),IF(AND(I6218=""Positive"",REGEXMATCH(H6"&amp;"218,""মূর্খ|ভণ্ড|প্রতার|অলস|লোভ|স্বার্থ|অক্ষম|অযোগ্য|বোকা|কৃপণ|হিংস"")),""valence-target অমিল"",""""),IF(COUNTIF($B:$B,B6218)&gt;1,""ডুপ্লিকেট"",""""))"),"")</f>
        <v/>
      </c>
      <c r="Q6218" s="5" t="str">
        <f t="shared" si="1"/>
        <v>২ পরে</v>
      </c>
    </row>
    <row r="6219">
      <c r="A6219" s="4">
        <v>4112.0</v>
      </c>
      <c r="B6219" s="2" t="s">
        <v>25427</v>
      </c>
      <c r="C6219" s="2" t="s">
        <v>25427</v>
      </c>
      <c r="D6219" s="2" t="s">
        <v>25428</v>
      </c>
      <c r="E6219" s="2" t="s">
        <v>25429</v>
      </c>
      <c r="F6219" s="2" t="b">
        <v>1</v>
      </c>
      <c r="G6219" s="2" t="b">
        <v>0</v>
      </c>
      <c r="H6219" s="2" t="s">
        <v>37</v>
      </c>
      <c r="I6219" s="2" t="s">
        <v>22</v>
      </c>
      <c r="J6219" s="2" t="s">
        <v>2675</v>
      </c>
      <c r="K6219" s="2" t="s">
        <v>495</v>
      </c>
      <c r="L6219" s="13" t="s">
        <v>496</v>
      </c>
      <c r="M6219" s="2" t="s">
        <v>26</v>
      </c>
      <c r="N6219" s="29"/>
      <c r="O6219" s="29"/>
      <c r="P6219" s="5" t="str">
        <f>IFERROR(__xludf.DUMMYFUNCTION("TEXTJOIN("" | "",TRUE,IF(OR(D6219="""",E6219="""",I6219="""",J6219="""",H6219=""""),""ফাঁকা ঘর"",""""),IF(AND(C6219&lt;&gt;"""",D6219&lt;&gt;"""",C6219=D6219),""gloss=figurative"",""""),IF(LEN(D6219)&lt;15,""figurative ছোট"",""""),IF(AND(I6219=""Positive"",REGEXMATCH(H6"&amp;"219,""মূর্খ|ভণ্ড|প্রতার|অলস|লোভ|স্বার্থ|অক্ষম|অযোগ্য|বোকা|কৃপণ|হিংস"")),""valence-target অমিল"",""""),IF(COUNTIF($B:$B,B6219)&gt;1,""ডুপ্লিকেট"",""""))"),"")</f>
        <v/>
      </c>
      <c r="Q6219" s="5" t="str">
        <f t="shared" si="1"/>
        <v>২ পরে</v>
      </c>
    </row>
    <row r="6220">
      <c r="A6220" s="4">
        <v>4113.0</v>
      </c>
      <c r="B6220" s="2" t="s">
        <v>25430</v>
      </c>
      <c r="C6220" s="2" t="s">
        <v>25431</v>
      </c>
      <c r="D6220" s="2" t="s">
        <v>25432</v>
      </c>
      <c r="E6220" s="2" t="s">
        <v>25433</v>
      </c>
      <c r="F6220" s="2" t="b">
        <v>1</v>
      </c>
      <c r="G6220" s="2" t="b">
        <v>0</v>
      </c>
      <c r="H6220" s="2" t="s">
        <v>37</v>
      </c>
      <c r="I6220" s="2" t="s">
        <v>32</v>
      </c>
      <c r="J6220" s="2" t="s">
        <v>2624</v>
      </c>
      <c r="K6220" s="2" t="s">
        <v>495</v>
      </c>
      <c r="L6220" s="13" t="s">
        <v>496</v>
      </c>
      <c r="M6220" s="2" t="s">
        <v>26</v>
      </c>
      <c r="N6220" s="29"/>
      <c r="O6220" s="29"/>
      <c r="P6220" s="5" t="str">
        <f>IFERROR(__xludf.DUMMYFUNCTION("TEXTJOIN("" | "",TRUE,IF(OR(D6220="""",E6220="""",I6220="""",J6220="""",H6220=""""),""ফাঁকা ঘর"",""""),IF(AND(C6220&lt;&gt;"""",D6220&lt;&gt;"""",C6220=D6220),""gloss=figurative"",""""),IF(LEN(D6220)&lt;15,""figurative ছোট"",""""),IF(AND(I6220=""Positive"",REGEXMATCH(H6"&amp;"220,""মূর্খ|ভণ্ড|প্রতার|অলস|লোভ|স্বার্থ|অক্ষম|অযোগ্য|বোকা|কৃপণ|হিংস"")),""valence-target অমিল"",""""),IF(COUNTIF($B:$B,B6220)&gt;1,""ডুপ্লিকেট"",""""))"),"")</f>
        <v/>
      </c>
      <c r="Q6220" s="5" t="str">
        <f t="shared" si="1"/>
        <v>২ পরে</v>
      </c>
    </row>
    <row r="6221">
      <c r="A6221" s="4">
        <v>4115.0</v>
      </c>
      <c r="B6221" s="2" t="s">
        <v>25434</v>
      </c>
      <c r="C6221" s="2" t="s">
        <v>25435</v>
      </c>
      <c r="D6221" s="2" t="s">
        <v>25436</v>
      </c>
      <c r="E6221" s="2" t="s">
        <v>25437</v>
      </c>
      <c r="F6221" s="2" t="b">
        <v>1</v>
      </c>
      <c r="G6221" s="2" t="b">
        <v>0</v>
      </c>
      <c r="H6221" s="2" t="s">
        <v>37</v>
      </c>
      <c r="I6221" s="2" t="s">
        <v>32</v>
      </c>
      <c r="J6221" s="2" t="s">
        <v>739</v>
      </c>
      <c r="K6221" s="2" t="s">
        <v>495</v>
      </c>
      <c r="L6221" s="13" t="s">
        <v>496</v>
      </c>
      <c r="M6221" s="2" t="s">
        <v>26</v>
      </c>
      <c r="N6221" s="29"/>
      <c r="O6221" s="29"/>
      <c r="P6221" s="5" t="str">
        <f>IFERROR(__xludf.DUMMYFUNCTION("TEXTJOIN("" | "",TRUE,IF(OR(D6221="""",E6221="""",I6221="""",J6221="""",H6221=""""),""ফাঁকা ঘর"",""""),IF(AND(C6221&lt;&gt;"""",D6221&lt;&gt;"""",C6221=D6221),""gloss=figurative"",""""),IF(LEN(D6221)&lt;15,""figurative ছোট"",""""),IF(AND(I6221=""Positive"",REGEXMATCH(H6"&amp;"221,""মূর্খ|ভণ্ড|প্রতার|অলস|লোভ|স্বার্থ|অক্ষম|অযোগ্য|বোকা|কৃপণ|হিংস"")),""valence-target অমিল"",""""),IF(COUNTIF($B:$B,B6221)&gt;1,""ডুপ্লিকেট"",""""))"),"")</f>
        <v/>
      </c>
      <c r="Q6221" s="5" t="str">
        <f t="shared" si="1"/>
        <v>২ পরে</v>
      </c>
    </row>
    <row r="6222">
      <c r="A6222" s="4">
        <v>4116.0</v>
      </c>
      <c r="B6222" s="2" t="s">
        <v>25438</v>
      </c>
      <c r="C6222" s="2" t="s">
        <v>25439</v>
      </c>
      <c r="D6222" s="2" t="s">
        <v>25440</v>
      </c>
      <c r="E6222" s="2" t="s">
        <v>25441</v>
      </c>
      <c r="F6222" s="2" t="b">
        <v>1</v>
      </c>
      <c r="G6222" s="2" t="b">
        <v>0</v>
      </c>
      <c r="H6222" s="2" t="s">
        <v>37</v>
      </c>
      <c r="I6222" s="2" t="s">
        <v>22</v>
      </c>
      <c r="J6222" s="2" t="s">
        <v>868</v>
      </c>
      <c r="K6222" s="2" t="s">
        <v>495</v>
      </c>
      <c r="L6222" s="13" t="s">
        <v>496</v>
      </c>
      <c r="M6222" s="2" t="s">
        <v>26</v>
      </c>
      <c r="N6222" s="29"/>
      <c r="O6222" s="29"/>
      <c r="P6222" s="5" t="str">
        <f>IFERROR(__xludf.DUMMYFUNCTION("TEXTJOIN("" | "",TRUE,IF(OR(D6222="""",E6222="""",I6222="""",J6222="""",H6222=""""),""ফাঁকা ঘর"",""""),IF(AND(C6222&lt;&gt;"""",D6222&lt;&gt;"""",C6222=D6222),""gloss=figurative"",""""),IF(LEN(D6222)&lt;15,""figurative ছোট"",""""),IF(AND(I6222=""Positive"",REGEXMATCH(H6"&amp;"222,""মূর্খ|ভণ্ড|প্রতার|অলস|লোভ|স্বার্থ|অক্ষম|অযোগ্য|বোকা|কৃপণ|হিংস"")),""valence-target অমিল"",""""),IF(COUNTIF($B:$B,B6222)&gt;1,""ডুপ্লিকেট"",""""))"),"")</f>
        <v/>
      </c>
      <c r="Q6222" s="5" t="str">
        <f t="shared" si="1"/>
        <v>২ পরে</v>
      </c>
    </row>
    <row r="6223">
      <c r="A6223" s="4">
        <v>4117.0</v>
      </c>
      <c r="B6223" s="2" t="s">
        <v>25442</v>
      </c>
      <c r="C6223" s="2" t="s">
        <v>25443</v>
      </c>
      <c r="D6223" s="2" t="s">
        <v>25444</v>
      </c>
      <c r="E6223" s="2" t="s">
        <v>25445</v>
      </c>
      <c r="F6223" s="2" t="b">
        <v>1</v>
      </c>
      <c r="G6223" s="2" t="b">
        <v>0</v>
      </c>
      <c r="H6223" s="2" t="s">
        <v>37</v>
      </c>
      <c r="I6223" s="2" t="s">
        <v>32</v>
      </c>
      <c r="J6223" s="2" t="s">
        <v>1635</v>
      </c>
      <c r="K6223" s="2" t="s">
        <v>495</v>
      </c>
      <c r="L6223" s="13" t="s">
        <v>496</v>
      </c>
      <c r="M6223" s="2" t="s">
        <v>26</v>
      </c>
      <c r="N6223" s="29"/>
      <c r="O6223" s="29"/>
      <c r="P6223" s="5" t="str">
        <f>IFERROR(__xludf.DUMMYFUNCTION("TEXTJOIN("" | "",TRUE,IF(OR(D6223="""",E6223="""",I6223="""",J6223="""",H6223=""""),""ফাঁকা ঘর"",""""),IF(AND(C6223&lt;&gt;"""",D6223&lt;&gt;"""",C6223=D6223),""gloss=figurative"",""""),IF(LEN(D6223)&lt;15,""figurative ছোট"",""""),IF(AND(I6223=""Positive"",REGEXMATCH(H6"&amp;"223,""মূর্খ|ভণ্ড|প্রতার|অলস|লোভ|স্বার্থ|অক্ষম|অযোগ্য|বোকা|কৃপণ|হিংস"")),""valence-target অমিল"",""""),IF(COUNTIF($B:$B,B6223)&gt;1,""ডুপ্লিকেট"",""""))"),"")</f>
        <v/>
      </c>
      <c r="Q6223" s="5" t="str">
        <f t="shared" si="1"/>
        <v>২ পরে</v>
      </c>
    </row>
    <row r="6224">
      <c r="A6224" s="4">
        <v>4118.0</v>
      </c>
      <c r="B6224" s="2" t="s">
        <v>25446</v>
      </c>
      <c r="C6224" s="2" t="s">
        <v>25447</v>
      </c>
      <c r="D6224" s="2" t="s">
        <v>25448</v>
      </c>
      <c r="E6224" s="2" t="s">
        <v>25449</v>
      </c>
      <c r="F6224" s="2" t="b">
        <v>1</v>
      </c>
      <c r="G6224" s="2" t="b">
        <v>0</v>
      </c>
      <c r="H6224" s="2" t="s">
        <v>37</v>
      </c>
      <c r="I6224" s="2" t="s">
        <v>32</v>
      </c>
      <c r="J6224" s="2" t="s">
        <v>1244</v>
      </c>
      <c r="K6224" s="2" t="s">
        <v>495</v>
      </c>
      <c r="L6224" s="13" t="s">
        <v>496</v>
      </c>
      <c r="M6224" s="2" t="s">
        <v>26</v>
      </c>
      <c r="N6224" s="29"/>
      <c r="O6224" s="29"/>
      <c r="P6224" s="5" t="str">
        <f>IFERROR(__xludf.DUMMYFUNCTION("TEXTJOIN("" | "",TRUE,IF(OR(D6224="""",E6224="""",I6224="""",J6224="""",H6224=""""),""ফাঁকা ঘর"",""""),IF(AND(C6224&lt;&gt;"""",D6224&lt;&gt;"""",C6224=D6224),""gloss=figurative"",""""),IF(LEN(D6224)&lt;15,""figurative ছোট"",""""),IF(AND(I6224=""Positive"",REGEXMATCH(H6"&amp;"224,""মূর্খ|ভণ্ড|প্রতার|অলস|লোভ|স্বার্থ|অক্ষম|অযোগ্য|বোকা|কৃপণ|হিংস"")),""valence-target অমিল"",""""),IF(COUNTIF($B:$B,B6224)&gt;1,""ডুপ্লিকেট"",""""))"),"")</f>
        <v/>
      </c>
      <c r="Q6224" s="5" t="str">
        <f t="shared" si="1"/>
        <v>২ পরে</v>
      </c>
    </row>
    <row r="6225">
      <c r="A6225" s="4">
        <v>4119.0</v>
      </c>
      <c r="B6225" s="2" t="s">
        <v>25450</v>
      </c>
      <c r="C6225" s="2" t="s">
        <v>25451</v>
      </c>
      <c r="D6225" s="2" t="s">
        <v>25452</v>
      </c>
      <c r="E6225" s="2" t="s">
        <v>25453</v>
      </c>
      <c r="F6225" s="2" t="b">
        <v>1</v>
      </c>
      <c r="G6225" s="2" t="b">
        <v>0</v>
      </c>
      <c r="H6225" s="2" t="s">
        <v>37</v>
      </c>
      <c r="I6225" s="2" t="s">
        <v>32</v>
      </c>
      <c r="J6225" s="2" t="s">
        <v>1244</v>
      </c>
      <c r="K6225" s="2" t="s">
        <v>495</v>
      </c>
      <c r="L6225" s="13" t="s">
        <v>496</v>
      </c>
      <c r="M6225" s="2" t="s">
        <v>26</v>
      </c>
      <c r="N6225" s="29"/>
      <c r="O6225" s="29"/>
      <c r="P6225" s="5" t="str">
        <f>IFERROR(__xludf.DUMMYFUNCTION("TEXTJOIN("" | "",TRUE,IF(OR(D6225="""",E6225="""",I6225="""",J6225="""",H6225=""""),""ফাঁকা ঘর"",""""),IF(AND(C6225&lt;&gt;"""",D6225&lt;&gt;"""",C6225=D6225),""gloss=figurative"",""""),IF(LEN(D6225)&lt;15,""figurative ছোট"",""""),IF(AND(I6225=""Positive"",REGEXMATCH(H6"&amp;"225,""মূর্খ|ভণ্ড|প্রতার|অলস|লোভ|স্বার্থ|অক্ষম|অযোগ্য|বোকা|কৃপণ|হিংস"")),""valence-target অমিল"",""""),IF(COUNTIF($B:$B,B6225)&gt;1,""ডুপ্লিকেট"",""""))"),"")</f>
        <v/>
      </c>
      <c r="Q6225" s="5" t="str">
        <f t="shared" si="1"/>
        <v>২ পরে</v>
      </c>
    </row>
    <row r="6226">
      <c r="A6226" s="4">
        <v>4120.0</v>
      </c>
      <c r="B6226" s="2" t="s">
        <v>25454</v>
      </c>
      <c r="C6226" s="2" t="s">
        <v>25455</v>
      </c>
      <c r="D6226" s="2" t="s">
        <v>25456</v>
      </c>
      <c r="E6226" s="2" t="s">
        <v>17702</v>
      </c>
      <c r="F6226" s="2" t="b">
        <v>1</v>
      </c>
      <c r="G6226" s="2" t="b">
        <v>0</v>
      </c>
      <c r="H6226" s="2" t="s">
        <v>37</v>
      </c>
      <c r="I6226" s="2" t="s">
        <v>49</v>
      </c>
      <c r="J6226" s="2" t="s">
        <v>162</v>
      </c>
      <c r="K6226" s="2" t="s">
        <v>495</v>
      </c>
      <c r="L6226" s="13" t="s">
        <v>496</v>
      </c>
      <c r="M6226" s="2" t="s">
        <v>26</v>
      </c>
      <c r="N6226" s="29"/>
      <c r="O6226" s="29"/>
      <c r="P6226" s="5" t="str">
        <f>IFERROR(__xludf.DUMMYFUNCTION("TEXTJOIN("" | "",TRUE,IF(OR(D6226="""",E6226="""",I6226="""",J6226="""",H6226=""""),""ফাঁকা ঘর"",""""),IF(AND(C6226&lt;&gt;"""",D6226&lt;&gt;"""",C6226=D6226),""gloss=figurative"",""""),IF(LEN(D6226)&lt;15,""figurative ছোট"",""""),IF(AND(I6226=""Positive"",REGEXMATCH(H6"&amp;"226,""মূর্খ|ভণ্ড|প্রতার|অলস|লোভ|স্বার্থ|অক্ষম|অযোগ্য|বোকা|কৃপণ|হিংস"")),""valence-target অমিল"",""""),IF(COUNTIF($B:$B,B6226)&gt;1,""ডুপ্লিকেট"",""""))"),"")</f>
        <v/>
      </c>
      <c r="Q6226" s="5" t="str">
        <f t="shared" si="1"/>
        <v>২ পরে</v>
      </c>
    </row>
    <row r="6227">
      <c r="A6227" s="4">
        <v>4121.0</v>
      </c>
      <c r="B6227" s="2" t="s">
        <v>25457</v>
      </c>
      <c r="C6227" s="2" t="s">
        <v>25458</v>
      </c>
      <c r="D6227" s="2" t="s">
        <v>25459</v>
      </c>
      <c r="E6227" s="2" t="s">
        <v>25460</v>
      </c>
      <c r="F6227" s="2" t="b">
        <v>1</v>
      </c>
      <c r="G6227" s="2" t="b">
        <v>0</v>
      </c>
      <c r="H6227" s="2" t="s">
        <v>37</v>
      </c>
      <c r="I6227" s="2" t="s">
        <v>22</v>
      </c>
      <c r="J6227" s="2" t="s">
        <v>1249</v>
      </c>
      <c r="K6227" s="2" t="s">
        <v>495</v>
      </c>
      <c r="L6227" s="13" t="s">
        <v>496</v>
      </c>
      <c r="M6227" s="2" t="s">
        <v>26</v>
      </c>
      <c r="N6227" s="29"/>
      <c r="O6227" s="29"/>
      <c r="P6227" s="5" t="str">
        <f>IFERROR(__xludf.DUMMYFUNCTION("TEXTJOIN("" | "",TRUE,IF(OR(D6227="""",E6227="""",I6227="""",J6227="""",H6227=""""),""ফাঁকা ঘর"",""""),IF(AND(C6227&lt;&gt;"""",D6227&lt;&gt;"""",C6227=D6227),""gloss=figurative"",""""),IF(LEN(D6227)&lt;15,""figurative ছোট"",""""),IF(AND(I6227=""Positive"",REGEXMATCH(H6"&amp;"227,""মূর্খ|ভণ্ড|প্রতার|অলস|লোভ|স্বার্থ|অক্ষম|অযোগ্য|বোকা|কৃপণ|হিংস"")),""valence-target অমিল"",""""),IF(COUNTIF($B:$B,B6227)&gt;1,""ডুপ্লিকেট"",""""))"),"")</f>
        <v/>
      </c>
      <c r="Q6227" s="5" t="str">
        <f t="shared" si="1"/>
        <v>২ পরে</v>
      </c>
    </row>
    <row r="6228">
      <c r="A6228" s="4">
        <v>4122.0</v>
      </c>
      <c r="B6228" s="2" t="s">
        <v>25461</v>
      </c>
      <c r="C6228" s="2" t="s">
        <v>25462</v>
      </c>
      <c r="D6228" s="2" t="s">
        <v>25463</v>
      </c>
      <c r="E6228" s="2" t="s">
        <v>25464</v>
      </c>
      <c r="F6228" s="2" t="b">
        <v>1</v>
      </c>
      <c r="G6228" s="2" t="b">
        <v>0</v>
      </c>
      <c r="H6228" s="2" t="s">
        <v>37</v>
      </c>
      <c r="I6228" s="2" t="s">
        <v>49</v>
      </c>
      <c r="J6228" s="2" t="s">
        <v>225</v>
      </c>
      <c r="K6228" s="2" t="s">
        <v>495</v>
      </c>
      <c r="L6228" s="13" t="s">
        <v>496</v>
      </c>
      <c r="M6228" s="2" t="s">
        <v>26</v>
      </c>
      <c r="N6228" s="29"/>
      <c r="O6228" s="29"/>
      <c r="P6228" s="5" t="str">
        <f>IFERROR(__xludf.DUMMYFUNCTION("TEXTJOIN("" | "",TRUE,IF(OR(D6228="""",E6228="""",I6228="""",J6228="""",H6228=""""),""ফাঁকা ঘর"",""""),IF(AND(C6228&lt;&gt;"""",D6228&lt;&gt;"""",C6228=D6228),""gloss=figurative"",""""),IF(LEN(D6228)&lt;15,""figurative ছোট"",""""),IF(AND(I6228=""Positive"",REGEXMATCH(H6"&amp;"228,""মূর্খ|ভণ্ড|প্রতার|অলস|লোভ|স্বার্থ|অক্ষম|অযোগ্য|বোকা|কৃপণ|হিংস"")),""valence-target অমিল"",""""),IF(COUNTIF($B:$B,B6228)&gt;1,""ডুপ্লিকেট"",""""))"),"")</f>
        <v/>
      </c>
      <c r="Q6228" s="5" t="str">
        <f t="shared" si="1"/>
        <v>২ পরে</v>
      </c>
    </row>
    <row r="6229">
      <c r="A6229" s="4">
        <v>4123.0</v>
      </c>
      <c r="B6229" s="2" t="s">
        <v>25465</v>
      </c>
      <c r="C6229" s="2" t="s">
        <v>25466</v>
      </c>
      <c r="D6229" s="2" t="s">
        <v>25467</v>
      </c>
      <c r="E6229" s="2" t="s">
        <v>25468</v>
      </c>
      <c r="F6229" s="2" t="b">
        <v>1</v>
      </c>
      <c r="G6229" s="2" t="b">
        <v>0</v>
      </c>
      <c r="H6229" s="2" t="s">
        <v>37</v>
      </c>
      <c r="I6229" s="2" t="s">
        <v>49</v>
      </c>
      <c r="J6229" s="2" t="s">
        <v>3701</v>
      </c>
      <c r="K6229" s="2" t="s">
        <v>495</v>
      </c>
      <c r="L6229" s="13" t="s">
        <v>496</v>
      </c>
      <c r="M6229" s="2" t="s">
        <v>26</v>
      </c>
      <c r="N6229" s="29"/>
      <c r="O6229" s="29"/>
      <c r="P6229" s="5" t="str">
        <f>IFERROR(__xludf.DUMMYFUNCTION("TEXTJOIN("" | "",TRUE,IF(OR(D6229="""",E6229="""",I6229="""",J6229="""",H6229=""""),""ফাঁকা ঘর"",""""),IF(AND(C6229&lt;&gt;"""",D6229&lt;&gt;"""",C6229=D6229),""gloss=figurative"",""""),IF(LEN(D6229)&lt;15,""figurative ছোট"",""""),IF(AND(I6229=""Positive"",REGEXMATCH(H6"&amp;"229,""মূর্খ|ভণ্ড|প্রতার|অলস|লোভ|স্বার্থ|অক্ষম|অযোগ্য|বোকা|কৃপণ|হিংস"")),""valence-target অমিল"",""""),IF(COUNTIF($B:$B,B6229)&gt;1,""ডুপ্লিকেট"",""""))"),"")</f>
        <v/>
      </c>
      <c r="Q6229" s="5" t="str">
        <f t="shared" si="1"/>
        <v>২ পরে</v>
      </c>
    </row>
    <row r="6230">
      <c r="A6230" s="4">
        <v>4124.0</v>
      </c>
      <c r="B6230" s="2" t="s">
        <v>25469</v>
      </c>
      <c r="C6230" s="2" t="s">
        <v>25470</v>
      </c>
      <c r="D6230" s="2" t="s">
        <v>25471</v>
      </c>
      <c r="E6230" s="2" t="s">
        <v>25472</v>
      </c>
      <c r="F6230" s="2" t="b">
        <v>1</v>
      </c>
      <c r="G6230" s="2" t="b">
        <v>0</v>
      </c>
      <c r="H6230" s="2" t="s">
        <v>37</v>
      </c>
      <c r="I6230" s="2" t="s">
        <v>49</v>
      </c>
      <c r="J6230" s="2" t="s">
        <v>1621</v>
      </c>
      <c r="K6230" s="2" t="s">
        <v>495</v>
      </c>
      <c r="L6230" s="13" t="s">
        <v>496</v>
      </c>
      <c r="M6230" s="2" t="s">
        <v>26</v>
      </c>
      <c r="N6230" s="29"/>
      <c r="O6230" s="29"/>
      <c r="P6230" s="5" t="str">
        <f>IFERROR(__xludf.DUMMYFUNCTION("TEXTJOIN("" | "",TRUE,IF(OR(D6230="""",E6230="""",I6230="""",J6230="""",H6230=""""),""ফাঁকা ঘর"",""""),IF(AND(C6230&lt;&gt;"""",D6230&lt;&gt;"""",C6230=D6230),""gloss=figurative"",""""),IF(LEN(D6230)&lt;15,""figurative ছোট"",""""),IF(AND(I6230=""Positive"",REGEXMATCH(H6"&amp;"230,""মূর্খ|ভণ্ড|প্রতার|অলস|লোভ|স্বার্থ|অক্ষম|অযোগ্য|বোকা|কৃপণ|হিংস"")),""valence-target অমিল"",""""),IF(COUNTIF($B:$B,B6230)&gt;1,""ডুপ্লিকেট"",""""))"),"")</f>
        <v/>
      </c>
      <c r="Q6230" s="5" t="str">
        <f t="shared" si="1"/>
        <v>২ পরে</v>
      </c>
    </row>
    <row r="6231">
      <c r="A6231" s="4">
        <v>4125.0</v>
      </c>
      <c r="B6231" s="2" t="s">
        <v>25473</v>
      </c>
      <c r="C6231" s="2" t="s">
        <v>25474</v>
      </c>
      <c r="D6231" s="2" t="s">
        <v>25475</v>
      </c>
      <c r="E6231" s="2" t="s">
        <v>25476</v>
      </c>
      <c r="F6231" s="2" t="b">
        <v>1</v>
      </c>
      <c r="G6231" s="2" t="b">
        <v>0</v>
      </c>
      <c r="H6231" s="2" t="s">
        <v>37</v>
      </c>
      <c r="I6231" s="2" t="s">
        <v>49</v>
      </c>
      <c r="J6231" s="2" t="s">
        <v>1666</v>
      </c>
      <c r="K6231" s="2" t="s">
        <v>495</v>
      </c>
      <c r="L6231" s="13" t="s">
        <v>496</v>
      </c>
      <c r="M6231" s="2" t="s">
        <v>26</v>
      </c>
      <c r="N6231" s="29"/>
      <c r="O6231" s="29"/>
      <c r="P6231" s="5" t="str">
        <f>IFERROR(__xludf.DUMMYFUNCTION("TEXTJOIN("" | "",TRUE,IF(OR(D6231="""",E6231="""",I6231="""",J6231="""",H6231=""""),""ফাঁকা ঘর"",""""),IF(AND(C6231&lt;&gt;"""",D6231&lt;&gt;"""",C6231=D6231),""gloss=figurative"",""""),IF(LEN(D6231)&lt;15,""figurative ছোট"",""""),IF(AND(I6231=""Positive"",REGEXMATCH(H6"&amp;"231,""মূর্খ|ভণ্ড|প্রতার|অলস|লোভ|স্বার্থ|অক্ষম|অযোগ্য|বোকা|কৃপণ|হিংস"")),""valence-target অমিল"",""""),IF(COUNTIF($B:$B,B6231)&gt;1,""ডুপ্লিকেট"",""""))"),"")</f>
        <v/>
      </c>
      <c r="Q6231" s="5" t="str">
        <f t="shared" si="1"/>
        <v>২ পরে</v>
      </c>
    </row>
    <row r="6232">
      <c r="A6232" s="4">
        <v>4126.0</v>
      </c>
      <c r="B6232" s="2" t="s">
        <v>25477</v>
      </c>
      <c r="C6232" s="2" t="s">
        <v>25478</v>
      </c>
      <c r="D6232" s="2" t="s">
        <v>25479</v>
      </c>
      <c r="E6232" s="2" t="s">
        <v>25480</v>
      </c>
      <c r="F6232" s="2" t="b">
        <v>1</v>
      </c>
      <c r="G6232" s="2" t="b">
        <v>0</v>
      </c>
      <c r="H6232" s="2" t="s">
        <v>37</v>
      </c>
      <c r="I6232" s="2" t="s">
        <v>32</v>
      </c>
      <c r="J6232" s="2" t="s">
        <v>1244</v>
      </c>
      <c r="K6232" s="2" t="s">
        <v>495</v>
      </c>
      <c r="L6232" s="13" t="s">
        <v>496</v>
      </c>
      <c r="M6232" s="2" t="s">
        <v>26</v>
      </c>
      <c r="N6232" s="29"/>
      <c r="O6232" s="29"/>
      <c r="P6232" s="5" t="str">
        <f>IFERROR(__xludf.DUMMYFUNCTION("TEXTJOIN("" | "",TRUE,IF(OR(D6232="""",E6232="""",I6232="""",J6232="""",H6232=""""),""ফাঁকা ঘর"",""""),IF(AND(C6232&lt;&gt;"""",D6232&lt;&gt;"""",C6232=D6232),""gloss=figurative"",""""),IF(LEN(D6232)&lt;15,""figurative ছোট"",""""),IF(AND(I6232=""Positive"",REGEXMATCH(H6"&amp;"232,""মূর্খ|ভণ্ড|প্রতার|অলস|লোভ|স্বার্থ|অক্ষম|অযোগ্য|বোকা|কৃপণ|হিংস"")),""valence-target অমিল"",""""),IF(COUNTIF($B:$B,B6232)&gt;1,""ডুপ্লিকেট"",""""))"),"")</f>
        <v/>
      </c>
      <c r="Q6232" s="5" t="str">
        <f t="shared" si="1"/>
        <v>২ পরে</v>
      </c>
    </row>
    <row r="6233">
      <c r="A6233" s="4">
        <v>4127.0</v>
      </c>
      <c r="B6233" s="2" t="s">
        <v>25481</v>
      </c>
      <c r="C6233" s="2" t="s">
        <v>25482</v>
      </c>
      <c r="D6233" s="2" t="s">
        <v>25483</v>
      </c>
      <c r="E6233" s="2" t="s">
        <v>25484</v>
      </c>
      <c r="F6233" s="2" t="b">
        <v>1</v>
      </c>
      <c r="G6233" s="2" t="b">
        <v>0</v>
      </c>
      <c r="H6233" s="2" t="s">
        <v>37</v>
      </c>
      <c r="I6233" s="2" t="s">
        <v>49</v>
      </c>
      <c r="J6233" s="2" t="s">
        <v>1249</v>
      </c>
      <c r="K6233" s="2" t="s">
        <v>495</v>
      </c>
      <c r="L6233" s="13" t="s">
        <v>496</v>
      </c>
      <c r="M6233" s="2" t="s">
        <v>26</v>
      </c>
      <c r="N6233" s="29"/>
      <c r="O6233" s="29"/>
      <c r="P6233" s="5" t="str">
        <f>IFERROR(__xludf.DUMMYFUNCTION("TEXTJOIN("" | "",TRUE,IF(OR(D6233="""",E6233="""",I6233="""",J6233="""",H6233=""""),""ফাঁকা ঘর"",""""),IF(AND(C6233&lt;&gt;"""",D6233&lt;&gt;"""",C6233=D6233),""gloss=figurative"",""""),IF(LEN(D6233)&lt;15,""figurative ছোট"",""""),IF(AND(I6233=""Positive"",REGEXMATCH(H6"&amp;"233,""মূর্খ|ভণ্ড|প্রতার|অলস|লোভ|স্বার্থ|অক্ষম|অযোগ্য|বোকা|কৃপণ|হিংস"")),""valence-target অমিল"",""""),IF(COUNTIF($B:$B,B6233)&gt;1,""ডুপ্লিকেট"",""""))"),"")</f>
        <v/>
      </c>
      <c r="Q6233" s="5" t="str">
        <f t="shared" si="1"/>
        <v>২ পরে</v>
      </c>
    </row>
    <row r="6234">
      <c r="A6234" s="4">
        <v>4128.0</v>
      </c>
      <c r="B6234" s="2" t="s">
        <v>25485</v>
      </c>
      <c r="C6234" s="2" t="s">
        <v>25485</v>
      </c>
      <c r="D6234" s="2" t="s">
        <v>25486</v>
      </c>
      <c r="E6234" s="2" t="s">
        <v>25487</v>
      </c>
      <c r="F6234" s="2" t="b">
        <v>1</v>
      </c>
      <c r="G6234" s="2" t="b">
        <v>0</v>
      </c>
      <c r="H6234" s="2" t="s">
        <v>37</v>
      </c>
      <c r="I6234" s="2" t="s">
        <v>22</v>
      </c>
      <c r="J6234" s="2" t="s">
        <v>820</v>
      </c>
      <c r="K6234" s="2" t="s">
        <v>495</v>
      </c>
      <c r="L6234" s="13" t="s">
        <v>496</v>
      </c>
      <c r="M6234" s="2" t="s">
        <v>26</v>
      </c>
      <c r="N6234" s="29"/>
      <c r="O6234" s="29"/>
      <c r="P6234" s="5" t="str">
        <f>IFERROR(__xludf.DUMMYFUNCTION("TEXTJOIN("" | "",TRUE,IF(OR(D6234="""",E6234="""",I6234="""",J6234="""",H6234=""""),""ফাঁকা ঘর"",""""),IF(AND(C6234&lt;&gt;"""",D6234&lt;&gt;"""",C6234=D6234),""gloss=figurative"",""""),IF(LEN(D6234)&lt;15,""figurative ছোট"",""""),IF(AND(I6234=""Positive"",REGEXMATCH(H6"&amp;"234,""মূর্খ|ভণ্ড|প্রতার|অলস|লোভ|স্বার্থ|অক্ষম|অযোগ্য|বোকা|কৃপণ|হিংস"")),""valence-target অমিল"",""""),IF(COUNTIF($B:$B,B6234)&gt;1,""ডুপ্লিকেট"",""""))"),"")</f>
        <v/>
      </c>
      <c r="Q6234" s="5" t="str">
        <f t="shared" si="1"/>
        <v>২ পরে</v>
      </c>
    </row>
    <row r="6235">
      <c r="A6235" s="4">
        <v>4129.0</v>
      </c>
      <c r="B6235" s="2" t="s">
        <v>25488</v>
      </c>
      <c r="C6235" s="2" t="s">
        <v>25488</v>
      </c>
      <c r="D6235" s="2" t="s">
        <v>25489</v>
      </c>
      <c r="E6235" s="2" t="s">
        <v>25490</v>
      </c>
      <c r="F6235" s="2" t="b">
        <v>1</v>
      </c>
      <c r="G6235" s="2" t="b">
        <v>0</v>
      </c>
      <c r="H6235" s="2" t="s">
        <v>37</v>
      </c>
      <c r="I6235" s="2" t="s">
        <v>22</v>
      </c>
      <c r="J6235" s="2" t="s">
        <v>1712</v>
      </c>
      <c r="K6235" s="2" t="s">
        <v>495</v>
      </c>
      <c r="L6235" s="13" t="s">
        <v>496</v>
      </c>
      <c r="M6235" s="2" t="s">
        <v>26</v>
      </c>
      <c r="N6235" s="29"/>
      <c r="O6235" s="29"/>
      <c r="P6235" s="5" t="str">
        <f>IFERROR(__xludf.DUMMYFUNCTION("TEXTJOIN("" | "",TRUE,IF(OR(D6235="""",E6235="""",I6235="""",J6235="""",H6235=""""),""ফাঁকা ঘর"",""""),IF(AND(C6235&lt;&gt;"""",D6235&lt;&gt;"""",C6235=D6235),""gloss=figurative"",""""),IF(LEN(D6235)&lt;15,""figurative ছোট"",""""),IF(AND(I6235=""Positive"",REGEXMATCH(H6"&amp;"235,""মূর্খ|ভণ্ড|প্রতার|অলস|লোভ|স্বার্থ|অক্ষম|অযোগ্য|বোকা|কৃপণ|হিংস"")),""valence-target অমিল"",""""),IF(COUNTIF($B:$B,B6235)&gt;1,""ডুপ্লিকেট"",""""))"),"")</f>
        <v/>
      </c>
      <c r="Q6235" s="5" t="str">
        <f t="shared" si="1"/>
        <v>২ পরে</v>
      </c>
    </row>
    <row r="6236">
      <c r="A6236" s="4">
        <v>4130.0</v>
      </c>
      <c r="B6236" s="2" t="s">
        <v>25491</v>
      </c>
      <c r="C6236" s="2" t="s">
        <v>25491</v>
      </c>
      <c r="D6236" s="2" t="s">
        <v>25492</v>
      </c>
      <c r="E6236" s="2" t="s">
        <v>25493</v>
      </c>
      <c r="F6236" s="2" t="b">
        <v>1</v>
      </c>
      <c r="G6236" s="2" t="b">
        <v>0</v>
      </c>
      <c r="H6236" s="2" t="s">
        <v>37</v>
      </c>
      <c r="I6236" s="2" t="s">
        <v>32</v>
      </c>
      <c r="J6236" s="2" t="s">
        <v>708</v>
      </c>
      <c r="K6236" s="2" t="s">
        <v>495</v>
      </c>
      <c r="L6236" s="13" t="s">
        <v>496</v>
      </c>
      <c r="M6236" s="2" t="s">
        <v>26</v>
      </c>
      <c r="N6236" s="29"/>
      <c r="O6236" s="29"/>
      <c r="P6236" s="5" t="str">
        <f>IFERROR(__xludf.DUMMYFUNCTION("TEXTJOIN("" | "",TRUE,IF(OR(D6236="""",E6236="""",I6236="""",J6236="""",H6236=""""),""ফাঁকা ঘর"",""""),IF(AND(C6236&lt;&gt;"""",D6236&lt;&gt;"""",C6236=D6236),""gloss=figurative"",""""),IF(LEN(D6236)&lt;15,""figurative ছোট"",""""),IF(AND(I6236=""Positive"",REGEXMATCH(H6"&amp;"236,""মূর্খ|ভণ্ড|প্রতার|অলস|লোভ|স্বার্থ|অক্ষম|অযোগ্য|বোকা|কৃপণ|হিংস"")),""valence-target অমিল"",""""),IF(COUNTIF($B:$B,B6236)&gt;1,""ডুপ্লিকেট"",""""))"),"")</f>
        <v/>
      </c>
      <c r="Q6236" s="5" t="str">
        <f t="shared" si="1"/>
        <v>২ পরে</v>
      </c>
    </row>
    <row r="6237">
      <c r="A6237" s="4">
        <v>4131.0</v>
      </c>
      <c r="B6237" s="2" t="s">
        <v>25494</v>
      </c>
      <c r="C6237" s="2" t="s">
        <v>25495</v>
      </c>
      <c r="D6237" s="2" t="s">
        <v>25496</v>
      </c>
      <c r="E6237" s="2" t="s">
        <v>25497</v>
      </c>
      <c r="F6237" s="2" t="b">
        <v>1</v>
      </c>
      <c r="G6237" s="2" t="b">
        <v>0</v>
      </c>
      <c r="H6237" s="2" t="s">
        <v>37</v>
      </c>
      <c r="I6237" s="2" t="s">
        <v>22</v>
      </c>
      <c r="J6237" s="2" t="s">
        <v>2636</v>
      </c>
      <c r="K6237" s="2" t="s">
        <v>495</v>
      </c>
      <c r="L6237" s="13" t="s">
        <v>496</v>
      </c>
      <c r="M6237" s="2" t="s">
        <v>26</v>
      </c>
      <c r="N6237" s="29"/>
      <c r="O6237" s="29"/>
      <c r="P6237" s="5" t="str">
        <f>IFERROR(__xludf.DUMMYFUNCTION("TEXTJOIN("" | "",TRUE,IF(OR(D6237="""",E6237="""",I6237="""",J6237="""",H6237=""""),""ফাঁকা ঘর"",""""),IF(AND(C6237&lt;&gt;"""",D6237&lt;&gt;"""",C6237=D6237),""gloss=figurative"",""""),IF(LEN(D6237)&lt;15,""figurative ছোট"",""""),IF(AND(I6237=""Positive"",REGEXMATCH(H6"&amp;"237,""মূর্খ|ভণ্ড|প্রতার|অলস|লোভ|স্বার্থ|অক্ষম|অযোগ্য|বোকা|কৃপণ|হিংস"")),""valence-target অমিল"",""""),IF(COUNTIF($B:$B,B6237)&gt;1,""ডুপ্লিকেট"",""""))"),"")</f>
        <v/>
      </c>
      <c r="Q6237" s="5" t="str">
        <f t="shared" si="1"/>
        <v>২ পরে</v>
      </c>
    </row>
    <row r="6238">
      <c r="A6238" s="4">
        <v>4132.0</v>
      </c>
      <c r="B6238" s="2" t="s">
        <v>25498</v>
      </c>
      <c r="C6238" s="2" t="s">
        <v>25499</v>
      </c>
      <c r="D6238" s="2" t="s">
        <v>25500</v>
      </c>
      <c r="E6238" s="2" t="s">
        <v>25501</v>
      </c>
      <c r="F6238" s="2" t="b">
        <v>1</v>
      </c>
      <c r="G6238" s="2" t="b">
        <v>0</v>
      </c>
      <c r="H6238" s="2" t="s">
        <v>37</v>
      </c>
      <c r="I6238" s="2" t="s">
        <v>32</v>
      </c>
      <c r="J6238" s="2" t="s">
        <v>25502</v>
      </c>
      <c r="K6238" s="2" t="s">
        <v>495</v>
      </c>
      <c r="L6238" s="13" t="s">
        <v>496</v>
      </c>
      <c r="M6238" s="2" t="s">
        <v>26</v>
      </c>
      <c r="N6238" s="29"/>
      <c r="O6238" s="29"/>
      <c r="P6238" s="5" t="str">
        <f>IFERROR(__xludf.DUMMYFUNCTION("TEXTJOIN("" | "",TRUE,IF(OR(D6238="""",E6238="""",I6238="""",J6238="""",H6238=""""),""ফাঁকা ঘর"",""""),IF(AND(C6238&lt;&gt;"""",D6238&lt;&gt;"""",C6238=D6238),""gloss=figurative"",""""),IF(LEN(D6238)&lt;15,""figurative ছোট"",""""),IF(AND(I6238=""Positive"",REGEXMATCH(H6"&amp;"238,""মূর্খ|ভণ্ড|প্রতার|অলস|লোভ|স্বার্থ|অক্ষম|অযোগ্য|বোকা|কৃপণ|হিংস"")),""valence-target অমিল"",""""),IF(COUNTIF($B:$B,B6238)&gt;1,""ডুপ্লিকেট"",""""))"),"")</f>
        <v/>
      </c>
      <c r="Q6238" s="5" t="str">
        <f t="shared" si="1"/>
        <v>২ পরে</v>
      </c>
    </row>
    <row r="6239">
      <c r="A6239" s="4">
        <v>4133.0</v>
      </c>
      <c r="B6239" s="2" t="s">
        <v>25503</v>
      </c>
      <c r="C6239" s="2" t="s">
        <v>5709</v>
      </c>
      <c r="D6239" s="2" t="s">
        <v>5726</v>
      </c>
      <c r="E6239" s="2" t="s">
        <v>25504</v>
      </c>
      <c r="F6239" s="2" t="b">
        <v>1</v>
      </c>
      <c r="G6239" s="2" t="b">
        <v>0</v>
      </c>
      <c r="H6239" s="2" t="s">
        <v>37</v>
      </c>
      <c r="I6239" s="2" t="s">
        <v>22</v>
      </c>
      <c r="J6239" s="2" t="s">
        <v>971</v>
      </c>
      <c r="K6239" s="2" t="s">
        <v>495</v>
      </c>
      <c r="L6239" s="13" t="s">
        <v>496</v>
      </c>
      <c r="M6239" s="2" t="s">
        <v>26</v>
      </c>
      <c r="N6239" s="29"/>
      <c r="O6239" s="29"/>
      <c r="P6239" s="5" t="str">
        <f>IFERROR(__xludf.DUMMYFUNCTION("TEXTJOIN("" | "",TRUE,IF(OR(D6239="""",E6239="""",I6239="""",J6239="""",H6239=""""),""ফাঁকা ঘর"",""""),IF(AND(C6239&lt;&gt;"""",D6239&lt;&gt;"""",C6239=D6239),""gloss=figurative"",""""),IF(LEN(D6239)&lt;15,""figurative ছোট"",""""),IF(AND(I6239=""Positive"",REGEXMATCH(H6"&amp;"239,""মূর্খ|ভণ্ড|প্রতার|অলস|লোভ|স্বার্থ|অক্ষম|অযোগ্য|বোকা|কৃপণ|হিংস"")),""valence-target অমিল"",""""),IF(COUNTIF($B:$B,B6239)&gt;1,""ডুপ্লিকেট"",""""))"),"")</f>
        <v/>
      </c>
      <c r="Q6239" s="5" t="str">
        <f t="shared" si="1"/>
        <v>২ পরে</v>
      </c>
    </row>
    <row r="6240">
      <c r="A6240" s="4">
        <v>4134.0</v>
      </c>
      <c r="B6240" s="2" t="s">
        <v>25505</v>
      </c>
      <c r="C6240" s="2" t="s">
        <v>25506</v>
      </c>
      <c r="D6240" s="2" t="s">
        <v>25507</v>
      </c>
      <c r="E6240" s="2" t="s">
        <v>25508</v>
      </c>
      <c r="F6240" s="2" t="b">
        <v>1</v>
      </c>
      <c r="G6240" s="2" t="b">
        <v>0</v>
      </c>
      <c r="H6240" s="2" t="s">
        <v>37</v>
      </c>
      <c r="I6240" s="2" t="s">
        <v>32</v>
      </c>
      <c r="J6240" s="2" t="s">
        <v>1603</v>
      </c>
      <c r="K6240" s="2" t="s">
        <v>495</v>
      </c>
      <c r="L6240" s="13" t="s">
        <v>496</v>
      </c>
      <c r="M6240" s="2" t="s">
        <v>26</v>
      </c>
      <c r="N6240" s="29"/>
      <c r="O6240" s="29"/>
      <c r="P6240" s="5" t="str">
        <f>IFERROR(__xludf.DUMMYFUNCTION("TEXTJOIN("" | "",TRUE,IF(OR(D6240="""",E6240="""",I6240="""",J6240="""",H6240=""""),""ফাঁকা ঘর"",""""),IF(AND(C6240&lt;&gt;"""",D6240&lt;&gt;"""",C6240=D6240),""gloss=figurative"",""""),IF(LEN(D6240)&lt;15,""figurative ছোট"",""""),IF(AND(I6240=""Positive"",REGEXMATCH(H6"&amp;"240,""মূর্খ|ভণ্ড|প্রতার|অলস|লোভ|স্বার্থ|অক্ষম|অযোগ্য|বোকা|কৃপণ|হিংস"")),""valence-target অমিল"",""""),IF(COUNTIF($B:$B,B6240)&gt;1,""ডুপ্লিকেট"",""""))"),"")</f>
        <v/>
      </c>
      <c r="Q6240" s="5" t="str">
        <f t="shared" si="1"/>
        <v>২ পরে</v>
      </c>
    </row>
    <row r="6241">
      <c r="A6241" s="4">
        <v>4135.0</v>
      </c>
      <c r="B6241" s="2" t="s">
        <v>25509</v>
      </c>
      <c r="C6241" s="2" t="s">
        <v>25510</v>
      </c>
      <c r="D6241" s="2" t="s">
        <v>25511</v>
      </c>
      <c r="E6241" s="2" t="s">
        <v>25512</v>
      </c>
      <c r="F6241" s="2" t="b">
        <v>1</v>
      </c>
      <c r="G6241" s="2" t="b">
        <v>0</v>
      </c>
      <c r="H6241" s="2" t="s">
        <v>37</v>
      </c>
      <c r="I6241" s="2" t="s">
        <v>32</v>
      </c>
      <c r="J6241" s="2" t="s">
        <v>4617</v>
      </c>
      <c r="K6241" s="2" t="s">
        <v>495</v>
      </c>
      <c r="L6241" s="13" t="s">
        <v>496</v>
      </c>
      <c r="M6241" s="2" t="s">
        <v>26</v>
      </c>
      <c r="N6241" s="29"/>
      <c r="O6241" s="29"/>
      <c r="P6241" s="5" t="str">
        <f>IFERROR(__xludf.DUMMYFUNCTION("TEXTJOIN("" | "",TRUE,IF(OR(D6241="""",E6241="""",I6241="""",J6241="""",H6241=""""),""ফাঁকা ঘর"",""""),IF(AND(C6241&lt;&gt;"""",D6241&lt;&gt;"""",C6241=D6241),""gloss=figurative"",""""),IF(LEN(D6241)&lt;15,""figurative ছোট"",""""),IF(AND(I6241=""Positive"",REGEXMATCH(H6"&amp;"241,""মূর্খ|ভণ্ড|প্রতার|অলস|লোভ|স্বার্থ|অক্ষম|অযোগ্য|বোকা|কৃপণ|হিংস"")),""valence-target অমিল"",""""),IF(COUNTIF($B:$B,B6241)&gt;1,""ডুপ্লিকেট"",""""))"),"")</f>
        <v/>
      </c>
      <c r="Q6241" s="5" t="str">
        <f t="shared" si="1"/>
        <v>২ পরে</v>
      </c>
    </row>
    <row r="6242">
      <c r="A6242" s="4">
        <v>4136.0</v>
      </c>
      <c r="B6242" s="2" t="s">
        <v>25513</v>
      </c>
      <c r="C6242" s="2" t="s">
        <v>25514</v>
      </c>
      <c r="D6242" s="2" t="s">
        <v>25515</v>
      </c>
      <c r="E6242" s="2" t="s">
        <v>25516</v>
      </c>
      <c r="F6242" s="2" t="b">
        <v>1</v>
      </c>
      <c r="G6242" s="2" t="b">
        <v>0</v>
      </c>
      <c r="H6242" s="2" t="s">
        <v>37</v>
      </c>
      <c r="I6242" s="2" t="s">
        <v>49</v>
      </c>
      <c r="J6242" s="2" t="s">
        <v>913</v>
      </c>
      <c r="K6242" s="2" t="s">
        <v>495</v>
      </c>
      <c r="L6242" s="13" t="s">
        <v>496</v>
      </c>
      <c r="M6242" s="2" t="s">
        <v>26</v>
      </c>
      <c r="N6242" s="29"/>
      <c r="O6242" s="29"/>
      <c r="P6242" s="5" t="str">
        <f>IFERROR(__xludf.DUMMYFUNCTION("TEXTJOIN("" | "",TRUE,IF(OR(D6242="""",E6242="""",I6242="""",J6242="""",H6242=""""),""ফাঁকা ঘর"",""""),IF(AND(C6242&lt;&gt;"""",D6242&lt;&gt;"""",C6242=D6242),""gloss=figurative"",""""),IF(LEN(D6242)&lt;15,""figurative ছোট"",""""),IF(AND(I6242=""Positive"",REGEXMATCH(H6"&amp;"242,""মূর্খ|ভণ্ড|প্রতার|অলস|লোভ|স্বার্থ|অক্ষম|অযোগ্য|বোকা|কৃপণ|হিংস"")),""valence-target অমিল"",""""),IF(COUNTIF($B:$B,B6242)&gt;1,""ডুপ্লিকেট"",""""))"),"")</f>
        <v/>
      </c>
      <c r="Q6242" s="5" t="str">
        <f t="shared" si="1"/>
        <v>২ পরে</v>
      </c>
    </row>
    <row r="6243">
      <c r="A6243" s="4">
        <v>4137.0</v>
      </c>
      <c r="B6243" s="2" t="s">
        <v>25517</v>
      </c>
      <c r="C6243" s="2" t="s">
        <v>25517</v>
      </c>
      <c r="D6243" s="2" t="s">
        <v>25518</v>
      </c>
      <c r="E6243" s="2" t="s">
        <v>25519</v>
      </c>
      <c r="F6243" s="2" t="b">
        <v>1</v>
      </c>
      <c r="G6243" s="2" t="b">
        <v>0</v>
      </c>
      <c r="H6243" s="2" t="s">
        <v>37</v>
      </c>
      <c r="I6243" s="2" t="s">
        <v>49</v>
      </c>
      <c r="J6243" s="2" t="s">
        <v>4551</v>
      </c>
      <c r="K6243" s="2" t="s">
        <v>495</v>
      </c>
      <c r="L6243" s="13" t="s">
        <v>496</v>
      </c>
      <c r="M6243" s="2" t="s">
        <v>26</v>
      </c>
      <c r="N6243" s="29"/>
      <c r="O6243" s="29"/>
      <c r="P6243" s="5" t="str">
        <f>IFERROR(__xludf.DUMMYFUNCTION("TEXTJOIN("" | "",TRUE,IF(OR(D6243="""",E6243="""",I6243="""",J6243="""",H6243=""""),""ফাঁকা ঘর"",""""),IF(AND(C6243&lt;&gt;"""",D6243&lt;&gt;"""",C6243=D6243),""gloss=figurative"",""""),IF(LEN(D6243)&lt;15,""figurative ছোট"",""""),IF(AND(I6243=""Positive"",REGEXMATCH(H6"&amp;"243,""মূর্খ|ভণ্ড|প্রতার|অলস|লোভ|স্বার্থ|অক্ষম|অযোগ্য|বোকা|কৃপণ|হিংস"")),""valence-target অমিল"",""""),IF(COUNTIF($B:$B,B6243)&gt;1,""ডুপ্লিকেট"",""""))"),"")</f>
        <v/>
      </c>
      <c r="Q6243" s="5" t="str">
        <f t="shared" si="1"/>
        <v>২ পরে</v>
      </c>
    </row>
    <row r="6244">
      <c r="A6244" s="4">
        <v>4138.0</v>
      </c>
      <c r="B6244" s="2" t="s">
        <v>25520</v>
      </c>
      <c r="C6244" s="2" t="s">
        <v>25520</v>
      </c>
      <c r="D6244" s="2" t="s">
        <v>25521</v>
      </c>
      <c r="E6244" s="2" t="s">
        <v>25522</v>
      </c>
      <c r="F6244" s="2" t="b">
        <v>1</v>
      </c>
      <c r="G6244" s="2" t="b">
        <v>0</v>
      </c>
      <c r="H6244" s="2" t="s">
        <v>37</v>
      </c>
      <c r="I6244" s="2" t="s">
        <v>22</v>
      </c>
      <c r="J6244" s="2" t="s">
        <v>25523</v>
      </c>
      <c r="K6244" s="2" t="s">
        <v>495</v>
      </c>
      <c r="L6244" s="13" t="s">
        <v>496</v>
      </c>
      <c r="M6244" s="2" t="s">
        <v>26</v>
      </c>
      <c r="N6244" s="29"/>
      <c r="O6244" s="29"/>
      <c r="P6244" s="5" t="str">
        <f>IFERROR(__xludf.DUMMYFUNCTION("TEXTJOIN("" | "",TRUE,IF(OR(D6244="""",E6244="""",I6244="""",J6244="""",H6244=""""),""ফাঁকা ঘর"",""""),IF(AND(C6244&lt;&gt;"""",D6244&lt;&gt;"""",C6244=D6244),""gloss=figurative"",""""),IF(LEN(D6244)&lt;15,""figurative ছোট"",""""),IF(AND(I6244=""Positive"",REGEXMATCH(H6"&amp;"244,""মূর্খ|ভণ্ড|প্রতার|অলস|লোভ|স্বার্থ|অক্ষম|অযোগ্য|বোকা|কৃপণ|হিংস"")),""valence-target অমিল"",""""),IF(COUNTIF($B:$B,B6244)&gt;1,""ডুপ্লিকেট"",""""))"),"")</f>
        <v/>
      </c>
      <c r="Q6244" s="5" t="str">
        <f t="shared" si="1"/>
        <v>২ পরে</v>
      </c>
    </row>
    <row r="6245">
      <c r="A6245" s="4">
        <v>4139.0</v>
      </c>
      <c r="B6245" s="2" t="s">
        <v>25524</v>
      </c>
      <c r="C6245" s="2" t="s">
        <v>25525</v>
      </c>
      <c r="D6245" s="2" t="s">
        <v>25526</v>
      </c>
      <c r="E6245" s="2" t="s">
        <v>25527</v>
      </c>
      <c r="F6245" s="2" t="b">
        <v>1</v>
      </c>
      <c r="G6245" s="2" t="b">
        <v>0</v>
      </c>
      <c r="H6245" s="2" t="s">
        <v>37</v>
      </c>
      <c r="I6245" s="2" t="s">
        <v>22</v>
      </c>
      <c r="J6245" s="2" t="s">
        <v>1603</v>
      </c>
      <c r="K6245" s="2" t="s">
        <v>495</v>
      </c>
      <c r="L6245" s="13" t="s">
        <v>496</v>
      </c>
      <c r="M6245" s="2" t="s">
        <v>26</v>
      </c>
      <c r="N6245" s="29"/>
      <c r="O6245" s="29"/>
      <c r="P6245" s="5" t="str">
        <f>IFERROR(__xludf.DUMMYFUNCTION("TEXTJOIN("" | "",TRUE,IF(OR(D6245="""",E6245="""",I6245="""",J6245="""",H6245=""""),""ফাঁকা ঘর"",""""),IF(AND(C6245&lt;&gt;"""",D6245&lt;&gt;"""",C6245=D6245),""gloss=figurative"",""""),IF(LEN(D6245)&lt;15,""figurative ছোট"",""""),IF(AND(I6245=""Positive"",REGEXMATCH(H6"&amp;"245,""মূর্খ|ভণ্ড|প্রতার|অলস|লোভ|স্বার্থ|অক্ষম|অযোগ্য|বোকা|কৃপণ|হিংস"")),""valence-target অমিল"",""""),IF(COUNTIF($B:$B,B6245)&gt;1,""ডুপ্লিকেট"",""""))"),"")</f>
        <v/>
      </c>
      <c r="Q6245" s="5" t="str">
        <f t="shared" si="1"/>
        <v>২ পরে</v>
      </c>
    </row>
    <row r="6246">
      <c r="A6246" s="4">
        <v>4140.0</v>
      </c>
      <c r="B6246" s="2" t="s">
        <v>25528</v>
      </c>
      <c r="C6246" s="2" t="s">
        <v>25529</v>
      </c>
      <c r="D6246" s="2" t="s">
        <v>25530</v>
      </c>
      <c r="E6246" s="2" t="s">
        <v>25531</v>
      </c>
      <c r="F6246" s="2" t="b">
        <v>1</v>
      </c>
      <c r="G6246" s="2" t="b">
        <v>0</v>
      </c>
      <c r="H6246" s="2" t="s">
        <v>37</v>
      </c>
      <c r="I6246" s="2" t="s">
        <v>22</v>
      </c>
      <c r="J6246" s="2" t="s">
        <v>581</v>
      </c>
      <c r="K6246" s="2" t="s">
        <v>495</v>
      </c>
      <c r="L6246" s="13" t="s">
        <v>496</v>
      </c>
      <c r="M6246" s="2" t="s">
        <v>26</v>
      </c>
      <c r="N6246" s="29"/>
      <c r="O6246" s="29"/>
      <c r="P6246" s="5" t="str">
        <f>IFERROR(__xludf.DUMMYFUNCTION("TEXTJOIN("" | "",TRUE,IF(OR(D6246="""",E6246="""",I6246="""",J6246="""",H6246=""""),""ফাঁকা ঘর"",""""),IF(AND(C6246&lt;&gt;"""",D6246&lt;&gt;"""",C6246=D6246),""gloss=figurative"",""""),IF(LEN(D6246)&lt;15,""figurative ছোট"",""""),IF(AND(I6246=""Positive"",REGEXMATCH(H6"&amp;"246,""মূর্খ|ভণ্ড|প্রতার|অলস|লোভ|স্বার্থ|অক্ষম|অযোগ্য|বোকা|কৃপণ|হিংস"")),""valence-target অমিল"",""""),IF(COUNTIF($B:$B,B6246)&gt;1,""ডুপ্লিকেট"",""""))"),"")</f>
        <v/>
      </c>
      <c r="Q6246" s="5" t="str">
        <f t="shared" si="1"/>
        <v>২ পরে</v>
      </c>
    </row>
    <row r="6247">
      <c r="A6247" s="4">
        <v>4141.0</v>
      </c>
      <c r="B6247" s="2" t="s">
        <v>25532</v>
      </c>
      <c r="C6247" s="2" t="s">
        <v>25533</v>
      </c>
      <c r="D6247" s="2" t="s">
        <v>25534</v>
      </c>
      <c r="E6247" s="2" t="s">
        <v>25535</v>
      </c>
      <c r="F6247" s="2" t="b">
        <v>1</v>
      </c>
      <c r="G6247" s="2" t="b">
        <v>0</v>
      </c>
      <c r="H6247" s="2" t="s">
        <v>37</v>
      </c>
      <c r="I6247" s="2" t="s">
        <v>22</v>
      </c>
      <c r="J6247" s="2" t="s">
        <v>842</v>
      </c>
      <c r="K6247" s="2" t="s">
        <v>495</v>
      </c>
      <c r="L6247" s="13" t="s">
        <v>496</v>
      </c>
      <c r="M6247" s="2" t="s">
        <v>26</v>
      </c>
      <c r="N6247" s="29"/>
      <c r="O6247" s="29"/>
      <c r="P6247" s="5" t="str">
        <f>IFERROR(__xludf.DUMMYFUNCTION("TEXTJOIN("" | "",TRUE,IF(OR(D6247="""",E6247="""",I6247="""",J6247="""",H6247=""""),""ফাঁকা ঘর"",""""),IF(AND(C6247&lt;&gt;"""",D6247&lt;&gt;"""",C6247=D6247),""gloss=figurative"",""""),IF(LEN(D6247)&lt;15,""figurative ছোট"",""""),IF(AND(I6247=""Positive"",REGEXMATCH(H6"&amp;"247,""মূর্খ|ভণ্ড|প্রতার|অলস|লোভ|স্বার্থ|অক্ষম|অযোগ্য|বোকা|কৃপণ|হিংস"")),""valence-target অমিল"",""""),IF(COUNTIF($B:$B,B6247)&gt;1,""ডুপ্লিকেট"",""""))"),"")</f>
        <v/>
      </c>
      <c r="Q6247" s="5" t="str">
        <f t="shared" si="1"/>
        <v>২ পরে</v>
      </c>
    </row>
    <row r="6248">
      <c r="A6248" s="4">
        <v>4142.0</v>
      </c>
      <c r="B6248" s="2" t="s">
        <v>25536</v>
      </c>
      <c r="C6248" s="2" t="s">
        <v>25536</v>
      </c>
      <c r="D6248" s="2" t="s">
        <v>25537</v>
      </c>
      <c r="E6248" s="2" t="s">
        <v>25538</v>
      </c>
      <c r="F6248" s="2" t="b">
        <v>1</v>
      </c>
      <c r="G6248" s="2" t="b">
        <v>0</v>
      </c>
      <c r="H6248" s="2" t="s">
        <v>37</v>
      </c>
      <c r="I6248" s="2" t="s">
        <v>22</v>
      </c>
      <c r="J6248" s="2" t="s">
        <v>23578</v>
      </c>
      <c r="K6248" s="2" t="s">
        <v>495</v>
      </c>
      <c r="L6248" s="13" t="s">
        <v>496</v>
      </c>
      <c r="M6248" s="2" t="s">
        <v>26</v>
      </c>
      <c r="N6248" s="29"/>
      <c r="O6248" s="29"/>
      <c r="P6248" s="5" t="str">
        <f>IFERROR(__xludf.DUMMYFUNCTION("TEXTJOIN("" | "",TRUE,IF(OR(D6248="""",E6248="""",I6248="""",J6248="""",H6248=""""),""ফাঁকা ঘর"",""""),IF(AND(C6248&lt;&gt;"""",D6248&lt;&gt;"""",C6248=D6248),""gloss=figurative"",""""),IF(LEN(D6248)&lt;15,""figurative ছোট"",""""),IF(AND(I6248=""Positive"",REGEXMATCH(H6"&amp;"248,""মূর্খ|ভণ্ড|প্রতার|অলস|লোভ|স্বার্থ|অক্ষম|অযোগ্য|বোকা|কৃপণ|হিংস"")),""valence-target অমিল"",""""),IF(COUNTIF($B:$B,B6248)&gt;1,""ডুপ্লিকেট"",""""))"),"")</f>
        <v/>
      </c>
      <c r="Q6248" s="5" t="str">
        <f t="shared" si="1"/>
        <v>২ পরে</v>
      </c>
    </row>
    <row r="6249">
      <c r="A6249" s="4">
        <v>4143.0</v>
      </c>
      <c r="B6249" s="2" t="s">
        <v>25539</v>
      </c>
      <c r="C6249" s="2" t="s">
        <v>25540</v>
      </c>
      <c r="D6249" s="2" t="s">
        <v>25541</v>
      </c>
      <c r="E6249" s="2" t="s">
        <v>25542</v>
      </c>
      <c r="F6249" s="2" t="b">
        <v>1</v>
      </c>
      <c r="G6249" s="2" t="b">
        <v>0</v>
      </c>
      <c r="H6249" s="2" t="s">
        <v>37</v>
      </c>
      <c r="I6249" s="2" t="s">
        <v>32</v>
      </c>
      <c r="J6249" s="2" t="s">
        <v>964</v>
      </c>
      <c r="K6249" s="2" t="s">
        <v>495</v>
      </c>
      <c r="L6249" s="13" t="s">
        <v>496</v>
      </c>
      <c r="M6249" s="2" t="s">
        <v>26</v>
      </c>
      <c r="N6249" s="29"/>
      <c r="O6249" s="29"/>
      <c r="P6249" s="5" t="str">
        <f>IFERROR(__xludf.DUMMYFUNCTION("TEXTJOIN("" | "",TRUE,IF(OR(D6249="""",E6249="""",I6249="""",J6249="""",H6249=""""),""ফাঁকা ঘর"",""""),IF(AND(C6249&lt;&gt;"""",D6249&lt;&gt;"""",C6249=D6249),""gloss=figurative"",""""),IF(LEN(D6249)&lt;15,""figurative ছোট"",""""),IF(AND(I6249=""Positive"",REGEXMATCH(H6"&amp;"249,""মূর্খ|ভণ্ড|প্রতার|অলস|লোভ|স্বার্থ|অক্ষম|অযোগ্য|বোকা|কৃপণ|হিংস"")),""valence-target অমিল"",""""),IF(COUNTIF($B:$B,B6249)&gt;1,""ডুপ্লিকেট"",""""))"),"")</f>
        <v/>
      </c>
      <c r="Q6249" s="5" t="str">
        <f t="shared" si="1"/>
        <v>২ পরে</v>
      </c>
    </row>
    <row r="6250">
      <c r="A6250" s="4">
        <v>4144.0</v>
      </c>
      <c r="B6250" s="2" t="s">
        <v>25543</v>
      </c>
      <c r="C6250" s="2" t="s">
        <v>25544</v>
      </c>
      <c r="D6250" s="2" t="s">
        <v>25545</v>
      </c>
      <c r="E6250" s="2" t="s">
        <v>25546</v>
      </c>
      <c r="F6250" s="2" t="b">
        <v>1</v>
      </c>
      <c r="G6250" s="2" t="b">
        <v>0</v>
      </c>
      <c r="H6250" s="2" t="s">
        <v>37</v>
      </c>
      <c r="I6250" s="2" t="s">
        <v>32</v>
      </c>
      <c r="J6250" s="2" t="s">
        <v>964</v>
      </c>
      <c r="K6250" s="2" t="s">
        <v>495</v>
      </c>
      <c r="L6250" s="13" t="s">
        <v>496</v>
      </c>
      <c r="M6250" s="2" t="s">
        <v>26</v>
      </c>
      <c r="N6250" s="29"/>
      <c r="O6250" s="29"/>
      <c r="P6250" s="5" t="str">
        <f>IFERROR(__xludf.DUMMYFUNCTION("TEXTJOIN("" | "",TRUE,IF(OR(D6250="""",E6250="""",I6250="""",J6250="""",H6250=""""),""ফাঁকা ঘর"",""""),IF(AND(C6250&lt;&gt;"""",D6250&lt;&gt;"""",C6250=D6250),""gloss=figurative"",""""),IF(LEN(D6250)&lt;15,""figurative ছোট"",""""),IF(AND(I6250=""Positive"",REGEXMATCH(H6"&amp;"250,""মূর্খ|ভণ্ড|প্রতার|অলস|লোভ|স্বার্থ|অক্ষম|অযোগ্য|বোকা|কৃপণ|হিংস"")),""valence-target অমিল"",""""),IF(COUNTIF($B:$B,B6250)&gt;1,""ডুপ্লিকেট"",""""))"),"")</f>
        <v/>
      </c>
      <c r="Q6250" s="5" t="str">
        <f t="shared" si="1"/>
        <v>২ পরে</v>
      </c>
    </row>
    <row r="6251">
      <c r="A6251" s="4">
        <v>4145.0</v>
      </c>
      <c r="B6251" s="2" t="s">
        <v>25547</v>
      </c>
      <c r="C6251" s="2" t="s">
        <v>25547</v>
      </c>
      <c r="D6251" s="2" t="s">
        <v>25548</v>
      </c>
      <c r="E6251" s="2" t="s">
        <v>25549</v>
      </c>
      <c r="F6251" s="2" t="b">
        <v>1</v>
      </c>
      <c r="G6251" s="2" t="b">
        <v>0</v>
      </c>
      <c r="H6251" s="2" t="s">
        <v>37</v>
      </c>
      <c r="I6251" s="2" t="s">
        <v>32</v>
      </c>
      <c r="J6251" s="2" t="s">
        <v>646</v>
      </c>
      <c r="K6251" s="2" t="s">
        <v>495</v>
      </c>
      <c r="L6251" s="13" t="s">
        <v>496</v>
      </c>
      <c r="M6251" s="2" t="s">
        <v>26</v>
      </c>
      <c r="N6251" s="29"/>
      <c r="O6251" s="29"/>
      <c r="P6251" s="5" t="str">
        <f>IFERROR(__xludf.DUMMYFUNCTION("TEXTJOIN("" | "",TRUE,IF(OR(D6251="""",E6251="""",I6251="""",J6251="""",H6251=""""),""ফাঁকা ঘর"",""""),IF(AND(C6251&lt;&gt;"""",D6251&lt;&gt;"""",C6251=D6251),""gloss=figurative"",""""),IF(LEN(D6251)&lt;15,""figurative ছোট"",""""),IF(AND(I6251=""Positive"",REGEXMATCH(H6"&amp;"251,""মূর্খ|ভণ্ড|প্রতার|অলস|লোভ|স্বার্থ|অক্ষম|অযোগ্য|বোকা|কৃপণ|হিংস"")),""valence-target অমিল"",""""),IF(COUNTIF($B:$B,B6251)&gt;1,""ডুপ্লিকেট"",""""))"),"")</f>
        <v/>
      </c>
      <c r="Q6251" s="5" t="str">
        <f t="shared" si="1"/>
        <v>২ পরে</v>
      </c>
    </row>
    <row r="6252">
      <c r="A6252" s="4">
        <v>4146.0</v>
      </c>
      <c r="B6252" s="2" t="s">
        <v>25550</v>
      </c>
      <c r="C6252" s="2" t="s">
        <v>25550</v>
      </c>
      <c r="D6252" s="2" t="s">
        <v>25551</v>
      </c>
      <c r="E6252" s="2" t="s">
        <v>25552</v>
      </c>
      <c r="F6252" s="2" t="b">
        <v>1</v>
      </c>
      <c r="G6252" s="2" t="b">
        <v>0</v>
      </c>
      <c r="H6252" s="2" t="s">
        <v>37</v>
      </c>
      <c r="I6252" s="2" t="s">
        <v>32</v>
      </c>
      <c r="J6252" s="2" t="s">
        <v>4711</v>
      </c>
      <c r="K6252" s="2" t="s">
        <v>495</v>
      </c>
      <c r="L6252" s="13" t="s">
        <v>496</v>
      </c>
      <c r="M6252" s="2" t="s">
        <v>26</v>
      </c>
      <c r="N6252" s="29"/>
      <c r="O6252" s="29"/>
      <c r="P6252" s="5" t="str">
        <f>IFERROR(__xludf.DUMMYFUNCTION("TEXTJOIN("" | "",TRUE,IF(OR(D6252="""",E6252="""",I6252="""",J6252="""",H6252=""""),""ফাঁকা ঘর"",""""),IF(AND(C6252&lt;&gt;"""",D6252&lt;&gt;"""",C6252=D6252),""gloss=figurative"",""""),IF(LEN(D6252)&lt;15,""figurative ছোট"",""""),IF(AND(I6252=""Positive"",REGEXMATCH(H6"&amp;"252,""মূর্খ|ভণ্ড|প্রতার|অলস|লোভ|স্বার্থ|অক্ষম|অযোগ্য|বোকা|কৃপণ|হিংস"")),""valence-target অমিল"",""""),IF(COUNTIF($B:$B,B6252)&gt;1,""ডুপ্লিকেট"",""""))"),"")</f>
        <v/>
      </c>
      <c r="Q6252" s="5" t="str">
        <f t="shared" si="1"/>
        <v>২ পরে</v>
      </c>
    </row>
    <row r="6253">
      <c r="A6253" s="4">
        <v>4147.0</v>
      </c>
      <c r="B6253" s="2" t="s">
        <v>25553</v>
      </c>
      <c r="C6253" s="2" t="s">
        <v>25554</v>
      </c>
      <c r="D6253" s="2" t="s">
        <v>25555</v>
      </c>
      <c r="E6253" s="2" t="s">
        <v>25556</v>
      </c>
      <c r="F6253" s="2" t="b">
        <v>1</v>
      </c>
      <c r="G6253" s="2" t="b">
        <v>0</v>
      </c>
      <c r="H6253" s="2" t="s">
        <v>37</v>
      </c>
      <c r="I6253" s="2" t="s">
        <v>22</v>
      </c>
      <c r="J6253" s="2" t="s">
        <v>1074</v>
      </c>
      <c r="K6253" s="2" t="s">
        <v>495</v>
      </c>
      <c r="L6253" s="13" t="s">
        <v>496</v>
      </c>
      <c r="M6253" s="2" t="s">
        <v>26</v>
      </c>
      <c r="N6253" s="29"/>
      <c r="O6253" s="29"/>
      <c r="P6253" s="5" t="str">
        <f>IFERROR(__xludf.DUMMYFUNCTION("TEXTJOIN("" | "",TRUE,IF(OR(D6253="""",E6253="""",I6253="""",J6253="""",H6253=""""),""ফাঁকা ঘর"",""""),IF(AND(C6253&lt;&gt;"""",D6253&lt;&gt;"""",C6253=D6253),""gloss=figurative"",""""),IF(LEN(D6253)&lt;15,""figurative ছোট"",""""),IF(AND(I6253=""Positive"",REGEXMATCH(H6"&amp;"253,""মূর্খ|ভণ্ড|প্রতার|অলস|লোভ|স্বার্থ|অক্ষম|অযোগ্য|বোকা|কৃপণ|হিংস"")),""valence-target অমিল"",""""),IF(COUNTIF($B:$B,B6253)&gt;1,""ডুপ্লিকেট"",""""))"),"")</f>
        <v/>
      </c>
      <c r="Q6253" s="5" t="str">
        <f t="shared" si="1"/>
        <v>২ পরে</v>
      </c>
    </row>
    <row r="6254">
      <c r="A6254" s="4">
        <v>4148.0</v>
      </c>
      <c r="B6254" s="2" t="s">
        <v>25557</v>
      </c>
      <c r="C6254" s="2" t="s">
        <v>25558</v>
      </c>
      <c r="D6254" s="2" t="s">
        <v>25559</v>
      </c>
      <c r="E6254" s="2" t="s">
        <v>25560</v>
      </c>
      <c r="F6254" s="2" t="b">
        <v>1</v>
      </c>
      <c r="G6254" s="2" t="b">
        <v>0</v>
      </c>
      <c r="H6254" s="2" t="s">
        <v>37</v>
      </c>
      <c r="I6254" s="2" t="s">
        <v>22</v>
      </c>
      <c r="J6254" s="2" t="s">
        <v>868</v>
      </c>
      <c r="K6254" s="2" t="s">
        <v>495</v>
      </c>
      <c r="L6254" s="13" t="s">
        <v>496</v>
      </c>
      <c r="M6254" s="2" t="s">
        <v>26</v>
      </c>
      <c r="N6254" s="29"/>
      <c r="O6254" s="29"/>
      <c r="P6254" s="5" t="str">
        <f>IFERROR(__xludf.DUMMYFUNCTION("TEXTJOIN("" | "",TRUE,IF(OR(D6254="""",E6254="""",I6254="""",J6254="""",H6254=""""),""ফাঁকা ঘর"",""""),IF(AND(C6254&lt;&gt;"""",D6254&lt;&gt;"""",C6254=D6254),""gloss=figurative"",""""),IF(LEN(D6254)&lt;15,""figurative ছোট"",""""),IF(AND(I6254=""Positive"",REGEXMATCH(H6"&amp;"254,""মূর্খ|ভণ্ড|প্রতার|অলস|লোভ|স্বার্থ|অক্ষম|অযোগ্য|বোকা|কৃপণ|হিংস"")),""valence-target অমিল"",""""),IF(COUNTIF($B:$B,B6254)&gt;1,""ডুপ্লিকেট"",""""))"),"")</f>
        <v/>
      </c>
      <c r="Q6254" s="5" t="str">
        <f t="shared" si="1"/>
        <v>২ পরে</v>
      </c>
    </row>
    <row r="6255">
      <c r="A6255" s="4">
        <v>4149.0</v>
      </c>
      <c r="B6255" s="2" t="s">
        <v>25561</v>
      </c>
      <c r="C6255" s="2" t="s">
        <v>25562</v>
      </c>
      <c r="D6255" s="2" t="s">
        <v>25563</v>
      </c>
      <c r="E6255" s="2" t="s">
        <v>25564</v>
      </c>
      <c r="F6255" s="2" t="b">
        <v>1</v>
      </c>
      <c r="G6255" s="2" t="b">
        <v>0</v>
      </c>
      <c r="H6255" s="2" t="s">
        <v>37</v>
      </c>
      <c r="I6255" s="2" t="s">
        <v>49</v>
      </c>
      <c r="J6255" s="2" t="s">
        <v>43</v>
      </c>
      <c r="K6255" s="2" t="s">
        <v>495</v>
      </c>
      <c r="L6255" s="13" t="s">
        <v>496</v>
      </c>
      <c r="M6255" s="2" t="s">
        <v>26</v>
      </c>
      <c r="N6255" s="29"/>
      <c r="O6255" s="29"/>
      <c r="P6255" s="5" t="str">
        <f>IFERROR(__xludf.DUMMYFUNCTION("TEXTJOIN("" | "",TRUE,IF(OR(D6255="""",E6255="""",I6255="""",J6255="""",H6255=""""),""ফাঁকা ঘর"",""""),IF(AND(C6255&lt;&gt;"""",D6255&lt;&gt;"""",C6255=D6255),""gloss=figurative"",""""),IF(LEN(D6255)&lt;15,""figurative ছোট"",""""),IF(AND(I6255=""Positive"",REGEXMATCH(H6"&amp;"255,""মূর্খ|ভণ্ড|প্রতার|অলস|লোভ|স্বার্থ|অক্ষম|অযোগ্য|বোকা|কৃপণ|হিংস"")),""valence-target অমিল"",""""),IF(COUNTIF($B:$B,B6255)&gt;1,""ডুপ্লিকেট"",""""))"),"")</f>
        <v/>
      </c>
      <c r="Q6255" s="5" t="str">
        <f t="shared" si="1"/>
        <v>২ পরে</v>
      </c>
    </row>
    <row r="6256">
      <c r="A6256" s="4">
        <v>4150.0</v>
      </c>
      <c r="B6256" s="2" t="s">
        <v>25565</v>
      </c>
      <c r="C6256" s="2" t="s">
        <v>25566</v>
      </c>
      <c r="D6256" s="2" t="s">
        <v>25567</v>
      </c>
      <c r="E6256" s="2" t="s">
        <v>25568</v>
      </c>
      <c r="F6256" s="2" t="b">
        <v>1</v>
      </c>
      <c r="G6256" s="2" t="b">
        <v>0</v>
      </c>
      <c r="H6256" s="2" t="s">
        <v>37</v>
      </c>
      <c r="I6256" s="2" t="s">
        <v>49</v>
      </c>
      <c r="J6256" s="2" t="s">
        <v>300</v>
      </c>
      <c r="K6256" s="2" t="s">
        <v>495</v>
      </c>
      <c r="L6256" s="13" t="s">
        <v>496</v>
      </c>
      <c r="M6256" s="2" t="s">
        <v>26</v>
      </c>
      <c r="N6256" s="29"/>
      <c r="O6256" s="29"/>
      <c r="P6256" s="5" t="str">
        <f>IFERROR(__xludf.DUMMYFUNCTION("TEXTJOIN("" | "",TRUE,IF(OR(D6256="""",E6256="""",I6256="""",J6256="""",H6256=""""),""ফাঁকা ঘর"",""""),IF(AND(C6256&lt;&gt;"""",D6256&lt;&gt;"""",C6256=D6256),""gloss=figurative"",""""),IF(LEN(D6256)&lt;15,""figurative ছোট"",""""),IF(AND(I6256=""Positive"",REGEXMATCH(H6"&amp;"256,""মূর্খ|ভণ্ড|প্রতার|অলস|লোভ|স্বার্থ|অক্ষম|অযোগ্য|বোকা|কৃপণ|হিংস"")),""valence-target অমিল"",""""),IF(COUNTIF($B:$B,B6256)&gt;1,""ডুপ্লিকেট"",""""))"),"")</f>
        <v/>
      </c>
      <c r="Q6256" s="5" t="str">
        <f t="shared" si="1"/>
        <v>২ পরে</v>
      </c>
    </row>
    <row r="6257">
      <c r="A6257" s="4">
        <v>4151.0</v>
      </c>
      <c r="B6257" s="2" t="s">
        <v>25569</v>
      </c>
      <c r="C6257" s="2" t="s">
        <v>25570</v>
      </c>
      <c r="D6257" s="2" t="s">
        <v>25571</v>
      </c>
      <c r="E6257" s="2" t="s">
        <v>25572</v>
      </c>
      <c r="F6257" s="2" t="b">
        <v>1</v>
      </c>
      <c r="G6257" s="2" t="b">
        <v>0</v>
      </c>
      <c r="H6257" s="2" t="s">
        <v>37</v>
      </c>
      <c r="I6257" s="2" t="s">
        <v>22</v>
      </c>
      <c r="J6257" s="2" t="s">
        <v>3111</v>
      </c>
      <c r="K6257" s="2" t="s">
        <v>495</v>
      </c>
      <c r="L6257" s="13" t="s">
        <v>496</v>
      </c>
      <c r="M6257" s="2" t="s">
        <v>26</v>
      </c>
      <c r="N6257" s="29"/>
      <c r="O6257" s="29"/>
      <c r="P6257" s="5" t="str">
        <f>IFERROR(__xludf.DUMMYFUNCTION("TEXTJOIN("" | "",TRUE,IF(OR(D6257="""",E6257="""",I6257="""",J6257="""",H6257=""""),""ফাঁকা ঘর"",""""),IF(AND(C6257&lt;&gt;"""",D6257&lt;&gt;"""",C6257=D6257),""gloss=figurative"",""""),IF(LEN(D6257)&lt;15,""figurative ছোট"",""""),IF(AND(I6257=""Positive"",REGEXMATCH(H6"&amp;"257,""মূর্খ|ভণ্ড|প্রতার|অলস|লোভ|স্বার্থ|অক্ষম|অযোগ্য|বোকা|কৃপণ|হিংস"")),""valence-target অমিল"",""""),IF(COUNTIF($B:$B,B6257)&gt;1,""ডুপ্লিকেট"",""""))"),"")</f>
        <v/>
      </c>
      <c r="Q6257" s="5" t="str">
        <f t="shared" si="1"/>
        <v>২ পরে</v>
      </c>
    </row>
    <row r="6258">
      <c r="A6258" s="4">
        <v>4152.0</v>
      </c>
      <c r="B6258" s="2" t="s">
        <v>25573</v>
      </c>
      <c r="C6258" s="2" t="s">
        <v>25574</v>
      </c>
      <c r="D6258" s="2" t="s">
        <v>25575</v>
      </c>
      <c r="E6258" s="2" t="s">
        <v>25576</v>
      </c>
      <c r="F6258" s="2" t="b">
        <v>1</v>
      </c>
      <c r="G6258" s="2" t="b">
        <v>0</v>
      </c>
      <c r="H6258" s="2" t="s">
        <v>37</v>
      </c>
      <c r="I6258" s="2" t="s">
        <v>22</v>
      </c>
      <c r="J6258" s="2" t="s">
        <v>300</v>
      </c>
      <c r="K6258" s="2" t="s">
        <v>495</v>
      </c>
      <c r="L6258" s="13" t="s">
        <v>496</v>
      </c>
      <c r="M6258" s="2" t="s">
        <v>26</v>
      </c>
      <c r="N6258" s="29"/>
      <c r="O6258" s="29"/>
      <c r="P6258" s="5" t="str">
        <f>IFERROR(__xludf.DUMMYFUNCTION("TEXTJOIN("" | "",TRUE,IF(OR(D6258="""",E6258="""",I6258="""",J6258="""",H6258=""""),""ফাঁকা ঘর"",""""),IF(AND(C6258&lt;&gt;"""",D6258&lt;&gt;"""",C6258=D6258),""gloss=figurative"",""""),IF(LEN(D6258)&lt;15,""figurative ছোট"",""""),IF(AND(I6258=""Positive"",REGEXMATCH(H6"&amp;"258,""মূর্খ|ভণ্ড|প্রতার|অলস|লোভ|স্বার্থ|অক্ষম|অযোগ্য|বোকা|কৃপণ|হিংস"")),""valence-target অমিল"",""""),IF(COUNTIF($B:$B,B6258)&gt;1,""ডুপ্লিকেট"",""""))"),"")</f>
        <v/>
      </c>
      <c r="Q6258" s="5" t="str">
        <f t="shared" si="1"/>
        <v>২ পরে</v>
      </c>
    </row>
    <row r="6259">
      <c r="A6259" s="4">
        <v>4153.0</v>
      </c>
      <c r="B6259" s="2" t="s">
        <v>25577</v>
      </c>
      <c r="C6259" s="2" t="s">
        <v>25578</v>
      </c>
      <c r="D6259" s="2" t="s">
        <v>25579</v>
      </c>
      <c r="E6259" s="2" t="s">
        <v>25580</v>
      </c>
      <c r="F6259" s="2" t="b">
        <v>1</v>
      </c>
      <c r="G6259" s="2" t="b">
        <v>0</v>
      </c>
      <c r="H6259" s="2" t="s">
        <v>37</v>
      </c>
      <c r="I6259" s="2" t="s">
        <v>49</v>
      </c>
      <c r="J6259" s="2" t="s">
        <v>300</v>
      </c>
      <c r="K6259" s="2" t="s">
        <v>495</v>
      </c>
      <c r="L6259" s="13" t="s">
        <v>496</v>
      </c>
      <c r="M6259" s="2" t="s">
        <v>26</v>
      </c>
      <c r="N6259" s="29"/>
      <c r="O6259" s="29"/>
      <c r="P6259" s="5" t="str">
        <f>IFERROR(__xludf.DUMMYFUNCTION("TEXTJOIN("" | "",TRUE,IF(OR(D6259="""",E6259="""",I6259="""",J6259="""",H6259=""""),""ফাঁকা ঘর"",""""),IF(AND(C6259&lt;&gt;"""",D6259&lt;&gt;"""",C6259=D6259),""gloss=figurative"",""""),IF(LEN(D6259)&lt;15,""figurative ছোট"",""""),IF(AND(I6259=""Positive"",REGEXMATCH(H6"&amp;"259,""মূর্খ|ভণ্ড|প্রতার|অলস|লোভ|স্বার্থ|অক্ষম|অযোগ্য|বোকা|কৃপণ|হিংস"")),""valence-target অমিল"",""""),IF(COUNTIF($B:$B,B6259)&gt;1,""ডুপ্লিকেট"",""""))"),"")</f>
        <v/>
      </c>
      <c r="Q6259" s="5" t="str">
        <f t="shared" si="1"/>
        <v>২ পরে</v>
      </c>
    </row>
    <row r="6260">
      <c r="A6260" s="4">
        <v>4154.0</v>
      </c>
      <c r="B6260" s="2" t="s">
        <v>25581</v>
      </c>
      <c r="C6260" s="2" t="s">
        <v>25582</v>
      </c>
      <c r="D6260" s="2" t="s">
        <v>25583</v>
      </c>
      <c r="E6260" s="2" t="s">
        <v>25584</v>
      </c>
      <c r="F6260" s="2" t="b">
        <v>1</v>
      </c>
      <c r="G6260" s="2" t="b">
        <v>0</v>
      </c>
      <c r="H6260" s="2" t="s">
        <v>756</v>
      </c>
      <c r="I6260" s="2" t="s">
        <v>22</v>
      </c>
      <c r="J6260" s="2" t="s">
        <v>300</v>
      </c>
      <c r="K6260" s="2" t="s">
        <v>495</v>
      </c>
      <c r="L6260" s="13" t="s">
        <v>496</v>
      </c>
      <c r="M6260" s="2" t="s">
        <v>26</v>
      </c>
      <c r="N6260" s="29"/>
      <c r="O6260" s="29"/>
      <c r="P6260" s="5" t="str">
        <f>IFERROR(__xludf.DUMMYFUNCTION("TEXTJOIN("" | "",TRUE,IF(OR(D6260="""",E6260="""",I6260="""",J6260="""",H6260=""""),""ফাঁকা ঘর"",""""),IF(AND(C6260&lt;&gt;"""",D6260&lt;&gt;"""",C6260=D6260),""gloss=figurative"",""""),IF(LEN(D6260)&lt;15,""figurative ছোট"",""""),IF(AND(I6260=""Positive"",REGEXMATCH(H6"&amp;"260,""মূর্খ|ভণ্ড|প্রতার|অলস|লোভ|স্বার্থ|অক্ষম|অযোগ্য|বোকা|কৃপণ|হিংস"")),""valence-target অমিল"",""""),IF(COUNTIF($B:$B,B6260)&gt;1,""ডুপ্লিকেট"",""""))"),"")</f>
        <v/>
      </c>
      <c r="Q6260" s="5" t="str">
        <f t="shared" si="1"/>
        <v>২ পরে</v>
      </c>
    </row>
    <row r="6261">
      <c r="A6261" s="4">
        <v>4155.0</v>
      </c>
      <c r="B6261" s="2" t="s">
        <v>25585</v>
      </c>
      <c r="C6261" s="2" t="s">
        <v>25586</v>
      </c>
      <c r="D6261" s="2" t="s">
        <v>25587</v>
      </c>
      <c r="E6261" s="2" t="s">
        <v>25588</v>
      </c>
      <c r="F6261" s="2" t="b">
        <v>1</v>
      </c>
      <c r="G6261" s="2" t="b">
        <v>0</v>
      </c>
      <c r="H6261" s="2" t="s">
        <v>756</v>
      </c>
      <c r="I6261" s="2" t="s">
        <v>22</v>
      </c>
      <c r="J6261" s="2" t="s">
        <v>300</v>
      </c>
      <c r="K6261" s="2" t="s">
        <v>495</v>
      </c>
      <c r="L6261" s="13" t="s">
        <v>496</v>
      </c>
      <c r="M6261" s="2" t="s">
        <v>26</v>
      </c>
      <c r="N6261" s="29"/>
      <c r="O6261" s="29"/>
      <c r="P6261" s="5" t="str">
        <f>IFERROR(__xludf.DUMMYFUNCTION("TEXTJOIN("" | "",TRUE,IF(OR(D6261="""",E6261="""",I6261="""",J6261="""",H6261=""""),""ফাঁকা ঘর"",""""),IF(AND(C6261&lt;&gt;"""",D6261&lt;&gt;"""",C6261=D6261),""gloss=figurative"",""""),IF(LEN(D6261)&lt;15,""figurative ছোট"",""""),IF(AND(I6261=""Positive"",REGEXMATCH(H6"&amp;"261,""মূর্খ|ভণ্ড|প্রতার|অলস|লোভ|স্বার্থ|অক্ষম|অযোগ্য|বোকা|কৃপণ|হিংস"")),""valence-target অমিল"",""""),IF(COUNTIF($B:$B,B6261)&gt;1,""ডুপ্লিকেট"",""""))"),"")</f>
        <v/>
      </c>
      <c r="Q6261" s="5" t="str">
        <f t="shared" si="1"/>
        <v>২ পরে</v>
      </c>
    </row>
    <row r="6262">
      <c r="A6262" s="4">
        <v>4156.0</v>
      </c>
      <c r="B6262" s="2" t="s">
        <v>25589</v>
      </c>
      <c r="C6262" s="2" t="s">
        <v>25590</v>
      </c>
      <c r="D6262" s="2" t="s">
        <v>25591</v>
      </c>
      <c r="E6262" s="2" t="s">
        <v>25592</v>
      </c>
      <c r="F6262" s="2" t="b">
        <v>1</v>
      </c>
      <c r="G6262" s="2" t="b">
        <v>0</v>
      </c>
      <c r="H6262" s="2" t="s">
        <v>24630</v>
      </c>
      <c r="I6262" s="2" t="s">
        <v>22</v>
      </c>
      <c r="J6262" s="2" t="s">
        <v>300</v>
      </c>
      <c r="K6262" s="2" t="s">
        <v>495</v>
      </c>
      <c r="L6262" s="13" t="s">
        <v>496</v>
      </c>
      <c r="M6262" s="2" t="s">
        <v>26</v>
      </c>
      <c r="N6262" s="29"/>
      <c r="O6262" s="29"/>
      <c r="P6262" s="5" t="str">
        <f>IFERROR(__xludf.DUMMYFUNCTION("TEXTJOIN("" | "",TRUE,IF(OR(D6262="""",E6262="""",I6262="""",J6262="""",H6262=""""),""ফাঁকা ঘর"",""""),IF(AND(C6262&lt;&gt;"""",D6262&lt;&gt;"""",C6262=D6262),""gloss=figurative"",""""),IF(LEN(D6262)&lt;15,""figurative ছোট"",""""),IF(AND(I6262=""Positive"",REGEXMATCH(H6"&amp;"262,""মূর্খ|ভণ্ড|প্রতার|অলস|লোভ|স্বার্থ|অক্ষম|অযোগ্য|বোকা|কৃপণ|হিংস"")),""valence-target অমিল"",""""),IF(COUNTIF($B:$B,B6262)&gt;1,""ডুপ্লিকেট"",""""))"),"")</f>
        <v/>
      </c>
      <c r="Q6262" s="5" t="str">
        <f t="shared" si="1"/>
        <v>২ পরে</v>
      </c>
    </row>
    <row r="6263">
      <c r="A6263" s="4">
        <v>4157.0</v>
      </c>
      <c r="B6263" s="2" t="s">
        <v>25593</v>
      </c>
      <c r="C6263" s="2" t="s">
        <v>25594</v>
      </c>
      <c r="D6263" s="2" t="s">
        <v>25595</v>
      </c>
      <c r="E6263" s="2" t="s">
        <v>25596</v>
      </c>
      <c r="F6263" s="2" t="b">
        <v>1</v>
      </c>
      <c r="G6263" s="2" t="b">
        <v>0</v>
      </c>
      <c r="H6263" s="2" t="s">
        <v>24630</v>
      </c>
      <c r="I6263" s="2" t="s">
        <v>22</v>
      </c>
      <c r="J6263" s="2" t="s">
        <v>300</v>
      </c>
      <c r="K6263" s="2" t="s">
        <v>495</v>
      </c>
      <c r="L6263" s="13" t="s">
        <v>496</v>
      </c>
      <c r="M6263" s="2" t="s">
        <v>26</v>
      </c>
      <c r="N6263" s="29"/>
      <c r="O6263" s="29"/>
      <c r="P6263" s="5" t="str">
        <f>IFERROR(__xludf.DUMMYFUNCTION("TEXTJOIN("" | "",TRUE,IF(OR(D6263="""",E6263="""",I6263="""",J6263="""",H6263=""""),""ফাঁকা ঘর"",""""),IF(AND(C6263&lt;&gt;"""",D6263&lt;&gt;"""",C6263=D6263),""gloss=figurative"",""""),IF(LEN(D6263)&lt;15,""figurative ছোট"",""""),IF(AND(I6263=""Positive"",REGEXMATCH(H6"&amp;"263,""মূর্খ|ভণ্ড|প্রতার|অলস|লোভ|স্বার্থ|অক্ষম|অযোগ্য|বোকা|কৃপণ|হিংস"")),""valence-target অমিল"",""""),IF(COUNTIF($B:$B,B6263)&gt;1,""ডুপ্লিকেট"",""""))"),"")</f>
        <v/>
      </c>
      <c r="Q6263" s="5" t="str">
        <f t="shared" si="1"/>
        <v>২ পরে</v>
      </c>
    </row>
    <row r="6264">
      <c r="A6264" s="4">
        <v>4158.0</v>
      </c>
      <c r="B6264" s="2" t="s">
        <v>25597</v>
      </c>
      <c r="C6264" s="2" t="s">
        <v>25598</v>
      </c>
      <c r="D6264" s="2" t="s">
        <v>25599</v>
      </c>
      <c r="E6264" s="2" t="s">
        <v>25600</v>
      </c>
      <c r="F6264" s="2" t="b">
        <v>1</v>
      </c>
      <c r="G6264" s="2" t="b">
        <v>0</v>
      </c>
      <c r="H6264" s="2" t="s">
        <v>37</v>
      </c>
      <c r="I6264" s="2" t="s">
        <v>49</v>
      </c>
      <c r="J6264" s="2" t="s">
        <v>300</v>
      </c>
      <c r="K6264" s="2" t="s">
        <v>495</v>
      </c>
      <c r="L6264" s="13" t="s">
        <v>496</v>
      </c>
      <c r="M6264" s="2" t="s">
        <v>26</v>
      </c>
      <c r="N6264" s="29"/>
      <c r="O6264" s="29"/>
      <c r="P6264" s="5" t="str">
        <f>IFERROR(__xludf.DUMMYFUNCTION("TEXTJOIN("" | "",TRUE,IF(OR(D6264="""",E6264="""",I6264="""",J6264="""",H6264=""""),""ফাঁকা ঘর"",""""),IF(AND(C6264&lt;&gt;"""",D6264&lt;&gt;"""",C6264=D6264),""gloss=figurative"",""""),IF(LEN(D6264)&lt;15,""figurative ছোট"",""""),IF(AND(I6264=""Positive"",REGEXMATCH(H6"&amp;"264,""মূর্খ|ভণ্ড|প্রতার|অলস|লোভ|স্বার্থ|অক্ষম|অযোগ্য|বোকা|কৃপণ|হিংস"")),""valence-target অমিল"",""""),IF(COUNTIF($B:$B,B6264)&gt;1,""ডুপ্লিকেট"",""""))"),"")</f>
        <v/>
      </c>
      <c r="Q6264" s="5" t="str">
        <f t="shared" si="1"/>
        <v>২ পরে</v>
      </c>
    </row>
    <row r="6265">
      <c r="A6265" s="4">
        <v>4159.0</v>
      </c>
      <c r="B6265" s="2" t="s">
        <v>25601</v>
      </c>
      <c r="C6265" s="2" t="s">
        <v>25602</v>
      </c>
      <c r="D6265" s="2" t="s">
        <v>25603</v>
      </c>
      <c r="E6265" s="2" t="s">
        <v>25604</v>
      </c>
      <c r="F6265" s="2" t="b">
        <v>1</v>
      </c>
      <c r="G6265" s="2" t="b">
        <v>0</v>
      </c>
      <c r="H6265" s="2" t="s">
        <v>24630</v>
      </c>
      <c r="I6265" s="2" t="s">
        <v>22</v>
      </c>
      <c r="J6265" s="2" t="s">
        <v>300</v>
      </c>
      <c r="K6265" s="2" t="s">
        <v>495</v>
      </c>
      <c r="L6265" s="13" t="s">
        <v>496</v>
      </c>
      <c r="M6265" s="2" t="s">
        <v>26</v>
      </c>
      <c r="N6265" s="29"/>
      <c r="O6265" s="29"/>
      <c r="P6265" s="5" t="str">
        <f>IFERROR(__xludf.DUMMYFUNCTION("TEXTJOIN("" | "",TRUE,IF(OR(D6265="""",E6265="""",I6265="""",J6265="""",H6265=""""),""ফাঁকা ঘর"",""""),IF(AND(C6265&lt;&gt;"""",D6265&lt;&gt;"""",C6265=D6265),""gloss=figurative"",""""),IF(LEN(D6265)&lt;15,""figurative ছোট"",""""),IF(AND(I6265=""Positive"",REGEXMATCH(H6"&amp;"265,""মূর্খ|ভণ্ড|প্রতার|অলস|লোভ|স্বার্থ|অক্ষম|অযোগ্য|বোকা|কৃপণ|হিংস"")),""valence-target অমিল"",""""),IF(COUNTIF($B:$B,B6265)&gt;1,""ডুপ্লিকেট"",""""))"),"")</f>
        <v/>
      </c>
      <c r="Q6265" s="5" t="str">
        <f t="shared" si="1"/>
        <v>২ পরে</v>
      </c>
    </row>
    <row r="6266">
      <c r="A6266" s="4">
        <v>4160.0</v>
      </c>
      <c r="B6266" s="2" t="s">
        <v>25605</v>
      </c>
      <c r="C6266" s="2" t="s">
        <v>25606</v>
      </c>
      <c r="D6266" s="2" t="s">
        <v>25607</v>
      </c>
      <c r="E6266" s="2" t="s">
        <v>25608</v>
      </c>
      <c r="F6266" s="2" t="b">
        <v>1</v>
      </c>
      <c r="G6266" s="2" t="b">
        <v>0</v>
      </c>
      <c r="H6266" s="2" t="s">
        <v>24630</v>
      </c>
      <c r="I6266" s="2" t="s">
        <v>22</v>
      </c>
      <c r="J6266" s="2" t="s">
        <v>300</v>
      </c>
      <c r="K6266" s="2" t="s">
        <v>495</v>
      </c>
      <c r="L6266" s="13" t="s">
        <v>496</v>
      </c>
      <c r="M6266" s="2" t="s">
        <v>26</v>
      </c>
      <c r="N6266" s="29"/>
      <c r="O6266" s="29"/>
      <c r="P6266" s="5" t="str">
        <f>IFERROR(__xludf.DUMMYFUNCTION("TEXTJOIN("" | "",TRUE,IF(OR(D6266="""",E6266="""",I6266="""",J6266="""",H6266=""""),""ফাঁকা ঘর"",""""),IF(AND(C6266&lt;&gt;"""",D6266&lt;&gt;"""",C6266=D6266),""gloss=figurative"",""""),IF(LEN(D6266)&lt;15,""figurative ছোট"",""""),IF(AND(I6266=""Positive"",REGEXMATCH(H6"&amp;"266,""মূর্খ|ভণ্ড|প্রতার|অলস|লোভ|স্বার্থ|অক্ষম|অযোগ্য|বোকা|কৃপণ|হিংস"")),""valence-target অমিল"",""""),IF(COUNTIF($B:$B,B6266)&gt;1,""ডুপ্লিকেট"",""""))"),"")</f>
        <v/>
      </c>
      <c r="Q6266" s="5" t="str">
        <f t="shared" si="1"/>
        <v>২ পরে</v>
      </c>
    </row>
    <row r="6267">
      <c r="A6267" s="4">
        <v>4161.0</v>
      </c>
      <c r="B6267" s="2" t="s">
        <v>25609</v>
      </c>
      <c r="C6267" s="2" t="s">
        <v>25609</v>
      </c>
      <c r="D6267" s="2" t="s">
        <v>25610</v>
      </c>
      <c r="E6267" s="2" t="s">
        <v>25611</v>
      </c>
      <c r="F6267" s="2" t="b">
        <v>1</v>
      </c>
      <c r="G6267" s="2" t="b">
        <v>0</v>
      </c>
      <c r="H6267" s="2" t="s">
        <v>37</v>
      </c>
      <c r="I6267" s="2" t="s">
        <v>49</v>
      </c>
      <c r="J6267" s="2" t="s">
        <v>300</v>
      </c>
      <c r="K6267" s="2" t="s">
        <v>495</v>
      </c>
      <c r="L6267" s="13" t="s">
        <v>496</v>
      </c>
      <c r="M6267" s="2" t="s">
        <v>26</v>
      </c>
      <c r="N6267" s="29"/>
      <c r="O6267" s="29"/>
      <c r="P6267" s="5" t="str">
        <f>IFERROR(__xludf.DUMMYFUNCTION("TEXTJOIN("" | "",TRUE,IF(OR(D6267="""",E6267="""",I6267="""",J6267="""",H6267=""""),""ফাঁকা ঘর"",""""),IF(AND(C6267&lt;&gt;"""",D6267&lt;&gt;"""",C6267=D6267),""gloss=figurative"",""""),IF(LEN(D6267)&lt;15,""figurative ছোট"",""""),IF(AND(I6267=""Positive"",REGEXMATCH(H6"&amp;"267,""মূর্খ|ভণ্ড|প্রতার|অলস|লোভ|স্বার্থ|অক্ষম|অযোগ্য|বোকা|কৃপণ|হিংস"")),""valence-target অমিল"",""""),IF(COUNTIF($B:$B,B6267)&gt;1,""ডুপ্লিকেট"",""""))"),"")</f>
        <v/>
      </c>
      <c r="Q6267" s="5" t="str">
        <f t="shared" si="1"/>
        <v>২ পরে</v>
      </c>
    </row>
    <row r="6268">
      <c r="A6268" s="4">
        <v>4162.0</v>
      </c>
      <c r="B6268" s="2" t="s">
        <v>25612</v>
      </c>
      <c r="C6268" s="2" t="s">
        <v>25613</v>
      </c>
      <c r="D6268" s="2" t="s">
        <v>25614</v>
      </c>
      <c r="E6268" s="2" t="s">
        <v>25615</v>
      </c>
      <c r="F6268" s="2" t="b">
        <v>1</v>
      </c>
      <c r="G6268" s="2" t="b">
        <v>0</v>
      </c>
      <c r="H6268" s="2" t="s">
        <v>756</v>
      </c>
      <c r="I6268" s="2" t="s">
        <v>22</v>
      </c>
      <c r="J6268" s="2" t="s">
        <v>21370</v>
      </c>
      <c r="K6268" s="2" t="s">
        <v>495</v>
      </c>
      <c r="L6268" s="13" t="s">
        <v>496</v>
      </c>
      <c r="M6268" s="2" t="s">
        <v>26</v>
      </c>
      <c r="N6268" s="29"/>
      <c r="O6268" s="29"/>
      <c r="P6268" s="5" t="str">
        <f>IFERROR(__xludf.DUMMYFUNCTION("TEXTJOIN("" | "",TRUE,IF(OR(D6268="""",E6268="""",I6268="""",J6268="""",H6268=""""),""ফাঁকা ঘর"",""""),IF(AND(C6268&lt;&gt;"""",D6268&lt;&gt;"""",C6268=D6268),""gloss=figurative"",""""),IF(LEN(D6268)&lt;15,""figurative ছোট"",""""),IF(AND(I6268=""Positive"",REGEXMATCH(H6"&amp;"268,""মূর্খ|ভণ্ড|প্রতার|অলস|লোভ|স্বার্থ|অক্ষম|অযোগ্য|বোকা|কৃপণ|হিংস"")),""valence-target অমিল"",""""),IF(COUNTIF($B:$B,B6268)&gt;1,""ডুপ্লিকেট"",""""))"),"")</f>
        <v/>
      </c>
      <c r="Q6268" s="5" t="str">
        <f t="shared" si="1"/>
        <v>২ পরে</v>
      </c>
    </row>
    <row r="6269">
      <c r="A6269" s="4">
        <v>4163.0</v>
      </c>
      <c r="B6269" s="2" t="s">
        <v>25616</v>
      </c>
      <c r="C6269" s="2" t="s">
        <v>25617</v>
      </c>
      <c r="D6269" s="2" t="s">
        <v>25618</v>
      </c>
      <c r="E6269" s="2" t="s">
        <v>25619</v>
      </c>
      <c r="F6269" s="2" t="b">
        <v>1</v>
      </c>
      <c r="G6269" s="2" t="b">
        <v>0</v>
      </c>
      <c r="H6269" s="2" t="s">
        <v>37</v>
      </c>
      <c r="I6269" s="2" t="s">
        <v>22</v>
      </c>
      <c r="J6269" s="2" t="s">
        <v>300</v>
      </c>
      <c r="K6269" s="2" t="s">
        <v>495</v>
      </c>
      <c r="L6269" s="13" t="s">
        <v>496</v>
      </c>
      <c r="M6269" s="2" t="s">
        <v>26</v>
      </c>
      <c r="N6269" s="29"/>
      <c r="O6269" s="29"/>
      <c r="P6269" s="5" t="str">
        <f>IFERROR(__xludf.DUMMYFUNCTION("TEXTJOIN("" | "",TRUE,IF(OR(D6269="""",E6269="""",I6269="""",J6269="""",H6269=""""),""ফাঁকা ঘর"",""""),IF(AND(C6269&lt;&gt;"""",D6269&lt;&gt;"""",C6269=D6269),""gloss=figurative"",""""),IF(LEN(D6269)&lt;15,""figurative ছোট"",""""),IF(AND(I6269=""Positive"",REGEXMATCH(H6"&amp;"269,""মূর্খ|ভণ্ড|প্রতার|অলস|লোভ|স্বার্থ|অক্ষম|অযোগ্য|বোকা|কৃপণ|হিংস"")),""valence-target অমিল"",""""),IF(COUNTIF($B:$B,B6269)&gt;1,""ডুপ্লিকেট"",""""))"),"")</f>
        <v/>
      </c>
      <c r="Q6269" s="5" t="str">
        <f t="shared" si="1"/>
        <v>২ পরে</v>
      </c>
    </row>
    <row r="6270">
      <c r="A6270" s="4">
        <v>4164.0</v>
      </c>
      <c r="B6270" s="2" t="s">
        <v>25620</v>
      </c>
      <c r="C6270" s="2" t="s">
        <v>25621</v>
      </c>
      <c r="D6270" s="2" t="s">
        <v>25622</v>
      </c>
      <c r="E6270" s="2" t="s">
        <v>25623</v>
      </c>
      <c r="F6270" s="2" t="b">
        <v>1</v>
      </c>
      <c r="G6270" s="2" t="b">
        <v>0</v>
      </c>
      <c r="H6270" s="2" t="s">
        <v>37</v>
      </c>
      <c r="I6270" s="2" t="s">
        <v>22</v>
      </c>
      <c r="J6270" s="2" t="s">
        <v>3111</v>
      </c>
      <c r="K6270" s="2" t="s">
        <v>495</v>
      </c>
      <c r="L6270" s="13" t="s">
        <v>496</v>
      </c>
      <c r="M6270" s="2" t="s">
        <v>26</v>
      </c>
      <c r="N6270" s="29"/>
      <c r="O6270" s="29"/>
      <c r="P6270" s="5" t="str">
        <f>IFERROR(__xludf.DUMMYFUNCTION("TEXTJOIN("" | "",TRUE,IF(OR(D6270="""",E6270="""",I6270="""",J6270="""",H6270=""""),""ফাঁকা ঘর"",""""),IF(AND(C6270&lt;&gt;"""",D6270&lt;&gt;"""",C6270=D6270),""gloss=figurative"",""""),IF(LEN(D6270)&lt;15,""figurative ছোট"",""""),IF(AND(I6270=""Positive"",REGEXMATCH(H6"&amp;"270,""মূর্খ|ভণ্ড|প্রতার|অলস|লোভ|স্বার্থ|অক্ষম|অযোগ্য|বোকা|কৃপণ|হিংস"")),""valence-target অমিল"",""""),IF(COUNTIF($B:$B,B6270)&gt;1,""ডুপ্লিকেট"",""""))"),"")</f>
        <v/>
      </c>
      <c r="Q6270" s="5" t="str">
        <f t="shared" si="1"/>
        <v>২ পরে</v>
      </c>
    </row>
    <row r="6271">
      <c r="A6271" s="4">
        <v>4165.0</v>
      </c>
      <c r="B6271" s="2" t="s">
        <v>25624</v>
      </c>
      <c r="C6271" s="2" t="s">
        <v>25625</v>
      </c>
      <c r="D6271" s="2" t="s">
        <v>25626</v>
      </c>
      <c r="E6271" s="2" t="s">
        <v>25627</v>
      </c>
      <c r="F6271" s="2" t="b">
        <v>1</v>
      </c>
      <c r="G6271" s="2" t="b">
        <v>0</v>
      </c>
      <c r="H6271" s="2" t="s">
        <v>37</v>
      </c>
      <c r="I6271" s="2" t="s">
        <v>22</v>
      </c>
      <c r="J6271" s="2" t="s">
        <v>1117</v>
      </c>
      <c r="K6271" s="2" t="s">
        <v>495</v>
      </c>
      <c r="L6271" s="13" t="s">
        <v>496</v>
      </c>
      <c r="M6271" s="2" t="s">
        <v>26</v>
      </c>
      <c r="N6271" s="29"/>
      <c r="O6271" s="29"/>
      <c r="P6271" s="5" t="str">
        <f>IFERROR(__xludf.DUMMYFUNCTION("TEXTJOIN("" | "",TRUE,IF(OR(D6271="""",E6271="""",I6271="""",J6271="""",H6271=""""),""ফাঁকা ঘর"",""""),IF(AND(C6271&lt;&gt;"""",D6271&lt;&gt;"""",C6271=D6271),""gloss=figurative"",""""),IF(LEN(D6271)&lt;15,""figurative ছোট"",""""),IF(AND(I6271=""Positive"",REGEXMATCH(H6"&amp;"271,""মূর্খ|ভণ্ড|প্রতার|অলস|লোভ|স্বার্থ|অক্ষম|অযোগ্য|বোকা|কৃপণ|হিংস"")),""valence-target অমিল"",""""),IF(COUNTIF($B:$B,B6271)&gt;1,""ডুপ্লিকেট"",""""))"),"")</f>
        <v/>
      </c>
      <c r="Q6271" s="5" t="str">
        <f t="shared" si="1"/>
        <v>২ পরে</v>
      </c>
    </row>
    <row r="6272">
      <c r="A6272" s="4">
        <v>4166.0</v>
      </c>
      <c r="B6272" s="2" t="s">
        <v>25628</v>
      </c>
      <c r="C6272" s="2" t="s">
        <v>25628</v>
      </c>
      <c r="D6272" s="2" t="s">
        <v>25629</v>
      </c>
      <c r="E6272" s="2" t="s">
        <v>25630</v>
      </c>
      <c r="F6272" s="2" t="b">
        <v>1</v>
      </c>
      <c r="G6272" s="2" t="b">
        <v>0</v>
      </c>
      <c r="H6272" s="2" t="s">
        <v>37</v>
      </c>
      <c r="I6272" s="2" t="s">
        <v>49</v>
      </c>
      <c r="J6272" s="2" t="s">
        <v>868</v>
      </c>
      <c r="K6272" s="2" t="s">
        <v>495</v>
      </c>
      <c r="L6272" s="13" t="s">
        <v>496</v>
      </c>
      <c r="M6272" s="2" t="s">
        <v>26</v>
      </c>
      <c r="N6272" s="29"/>
      <c r="O6272" s="29"/>
      <c r="P6272" s="5" t="str">
        <f>IFERROR(__xludf.DUMMYFUNCTION("TEXTJOIN("" | "",TRUE,IF(OR(D6272="""",E6272="""",I6272="""",J6272="""",H6272=""""),""ফাঁকা ঘর"",""""),IF(AND(C6272&lt;&gt;"""",D6272&lt;&gt;"""",C6272=D6272),""gloss=figurative"",""""),IF(LEN(D6272)&lt;15,""figurative ছোট"",""""),IF(AND(I6272=""Positive"",REGEXMATCH(H6"&amp;"272,""মূর্খ|ভণ্ড|প্রতার|অলস|লোভ|স্বার্থ|অক্ষম|অযোগ্য|বোকা|কৃপণ|হিংস"")),""valence-target অমিল"",""""),IF(COUNTIF($B:$B,B6272)&gt;1,""ডুপ্লিকেট"",""""))"),"")</f>
        <v/>
      </c>
      <c r="Q6272" s="5" t="str">
        <f t="shared" si="1"/>
        <v>২ পরে</v>
      </c>
    </row>
    <row r="6273">
      <c r="A6273" s="4">
        <v>4167.0</v>
      </c>
      <c r="B6273" s="2" t="s">
        <v>25631</v>
      </c>
      <c r="C6273" s="2" t="s">
        <v>25632</v>
      </c>
      <c r="D6273" s="2" t="s">
        <v>25633</v>
      </c>
      <c r="E6273" s="2" t="s">
        <v>25634</v>
      </c>
      <c r="F6273" s="2" t="b">
        <v>1</v>
      </c>
      <c r="G6273" s="2" t="b">
        <v>0</v>
      </c>
      <c r="H6273" s="2" t="s">
        <v>37</v>
      </c>
      <c r="I6273" s="2" t="s">
        <v>22</v>
      </c>
      <c r="J6273" s="2" t="s">
        <v>820</v>
      </c>
      <c r="K6273" s="2" t="s">
        <v>495</v>
      </c>
      <c r="L6273" s="13" t="s">
        <v>496</v>
      </c>
      <c r="M6273" s="2" t="s">
        <v>26</v>
      </c>
      <c r="N6273" s="29"/>
      <c r="O6273" s="29"/>
      <c r="P6273" s="5" t="str">
        <f>IFERROR(__xludf.DUMMYFUNCTION("TEXTJOIN("" | "",TRUE,IF(OR(D6273="""",E6273="""",I6273="""",J6273="""",H6273=""""),""ফাঁকা ঘর"",""""),IF(AND(C6273&lt;&gt;"""",D6273&lt;&gt;"""",C6273=D6273),""gloss=figurative"",""""),IF(LEN(D6273)&lt;15,""figurative ছোট"",""""),IF(AND(I6273=""Positive"",REGEXMATCH(H6"&amp;"273,""মূর্খ|ভণ্ড|প্রতার|অলস|লোভ|স্বার্থ|অক্ষম|অযোগ্য|বোকা|কৃপণ|হিংস"")),""valence-target অমিল"",""""),IF(COUNTIF($B:$B,B6273)&gt;1,""ডুপ্লিকেট"",""""))"),"")</f>
        <v/>
      </c>
      <c r="Q6273" s="5" t="str">
        <f t="shared" si="1"/>
        <v>২ পরে</v>
      </c>
    </row>
    <row r="6274">
      <c r="A6274" s="4">
        <v>4168.0</v>
      </c>
      <c r="B6274" s="2" t="s">
        <v>25635</v>
      </c>
      <c r="C6274" s="2" t="s">
        <v>25636</v>
      </c>
      <c r="D6274" s="2" t="s">
        <v>25197</v>
      </c>
      <c r="E6274" s="2" t="s">
        <v>25637</v>
      </c>
      <c r="F6274" s="2" t="b">
        <v>1</v>
      </c>
      <c r="G6274" s="2" t="b">
        <v>0</v>
      </c>
      <c r="H6274" s="2" t="s">
        <v>37</v>
      </c>
      <c r="I6274" s="2" t="s">
        <v>22</v>
      </c>
      <c r="J6274" s="2" t="s">
        <v>25199</v>
      </c>
      <c r="K6274" s="2" t="s">
        <v>495</v>
      </c>
      <c r="L6274" s="13" t="s">
        <v>496</v>
      </c>
      <c r="M6274" s="2" t="s">
        <v>26</v>
      </c>
      <c r="N6274" s="29"/>
      <c r="O6274" s="29"/>
      <c r="P6274" s="5" t="str">
        <f>IFERROR(__xludf.DUMMYFUNCTION("TEXTJOIN("" | "",TRUE,IF(OR(D6274="""",E6274="""",I6274="""",J6274="""",H6274=""""),""ফাঁকা ঘর"",""""),IF(AND(C6274&lt;&gt;"""",D6274&lt;&gt;"""",C6274=D6274),""gloss=figurative"",""""),IF(LEN(D6274)&lt;15,""figurative ছোট"",""""),IF(AND(I6274=""Positive"",REGEXMATCH(H6"&amp;"274,""মূর্খ|ভণ্ড|প্রতার|অলস|লোভ|স্বার্থ|অক্ষম|অযোগ্য|বোকা|কৃপণ|হিংস"")),""valence-target অমিল"",""""),IF(COUNTIF($B:$B,B6274)&gt;1,""ডুপ্লিকেট"",""""))"),"")</f>
        <v/>
      </c>
      <c r="Q6274" s="5" t="str">
        <f t="shared" si="1"/>
        <v>২ পরে</v>
      </c>
    </row>
    <row r="6275">
      <c r="A6275" s="4">
        <v>4169.0</v>
      </c>
      <c r="B6275" s="2" t="s">
        <v>25638</v>
      </c>
      <c r="C6275" s="2" t="s">
        <v>25639</v>
      </c>
      <c r="D6275" s="2" t="s">
        <v>25640</v>
      </c>
      <c r="E6275" s="2" t="s">
        <v>25641</v>
      </c>
      <c r="F6275" s="2" t="b">
        <v>1</v>
      </c>
      <c r="G6275" s="2" t="b">
        <v>0</v>
      </c>
      <c r="H6275" s="2" t="s">
        <v>37</v>
      </c>
      <c r="I6275" s="2" t="s">
        <v>22</v>
      </c>
      <c r="J6275" s="2" t="s">
        <v>1117</v>
      </c>
      <c r="K6275" s="2" t="s">
        <v>495</v>
      </c>
      <c r="L6275" s="13" t="s">
        <v>496</v>
      </c>
      <c r="M6275" s="2" t="s">
        <v>26</v>
      </c>
      <c r="N6275" s="29"/>
      <c r="O6275" s="29"/>
      <c r="P6275" s="5" t="str">
        <f>IFERROR(__xludf.DUMMYFUNCTION("TEXTJOIN("" | "",TRUE,IF(OR(D6275="""",E6275="""",I6275="""",J6275="""",H6275=""""),""ফাঁকা ঘর"",""""),IF(AND(C6275&lt;&gt;"""",D6275&lt;&gt;"""",C6275=D6275),""gloss=figurative"",""""),IF(LEN(D6275)&lt;15,""figurative ছোট"",""""),IF(AND(I6275=""Positive"",REGEXMATCH(H6"&amp;"275,""মূর্খ|ভণ্ড|প্রতার|অলস|লোভ|স্বার্থ|অক্ষম|অযোগ্য|বোকা|কৃপণ|হিংস"")),""valence-target অমিল"",""""),IF(COUNTIF($B:$B,B6275)&gt;1,""ডুপ্লিকেট"",""""))"),"")</f>
        <v/>
      </c>
      <c r="Q6275" s="5" t="str">
        <f t="shared" si="1"/>
        <v>২ পরে</v>
      </c>
    </row>
    <row r="6276">
      <c r="A6276" s="4">
        <v>4170.0</v>
      </c>
      <c r="B6276" s="2" t="s">
        <v>25642</v>
      </c>
      <c r="C6276" s="2" t="s">
        <v>25642</v>
      </c>
      <c r="D6276" s="2" t="s">
        <v>25643</v>
      </c>
      <c r="E6276" s="2" t="s">
        <v>25644</v>
      </c>
      <c r="F6276" s="2" t="b">
        <v>1</v>
      </c>
      <c r="G6276" s="2" t="b">
        <v>0</v>
      </c>
      <c r="H6276" s="2" t="s">
        <v>37</v>
      </c>
      <c r="I6276" s="2" t="s">
        <v>49</v>
      </c>
      <c r="J6276" s="2" t="s">
        <v>565</v>
      </c>
      <c r="K6276" s="2" t="s">
        <v>495</v>
      </c>
      <c r="L6276" s="13" t="s">
        <v>496</v>
      </c>
      <c r="M6276" s="2" t="s">
        <v>26</v>
      </c>
      <c r="N6276" s="29"/>
      <c r="O6276" s="29"/>
      <c r="P6276" s="5" t="str">
        <f>IFERROR(__xludf.DUMMYFUNCTION("TEXTJOIN("" | "",TRUE,IF(OR(D6276="""",E6276="""",I6276="""",J6276="""",H6276=""""),""ফাঁকা ঘর"",""""),IF(AND(C6276&lt;&gt;"""",D6276&lt;&gt;"""",C6276=D6276),""gloss=figurative"",""""),IF(LEN(D6276)&lt;15,""figurative ছোট"",""""),IF(AND(I6276=""Positive"",REGEXMATCH(H6"&amp;"276,""মূর্খ|ভণ্ড|প্রতার|অলস|লোভ|স্বার্থ|অক্ষম|অযোগ্য|বোকা|কৃপণ|হিংস"")),""valence-target অমিল"",""""),IF(COUNTIF($B:$B,B6276)&gt;1,""ডুপ্লিকেট"",""""))"),"")</f>
        <v/>
      </c>
      <c r="Q6276" s="5" t="str">
        <f t="shared" si="1"/>
        <v>২ পরে</v>
      </c>
    </row>
    <row r="6277">
      <c r="A6277" s="4">
        <v>4171.0</v>
      </c>
      <c r="B6277" s="2" t="s">
        <v>25645</v>
      </c>
      <c r="C6277" s="2" t="s">
        <v>25646</v>
      </c>
      <c r="D6277" s="2" t="s">
        <v>25647</v>
      </c>
      <c r="E6277" s="2" t="s">
        <v>25648</v>
      </c>
      <c r="F6277" s="2" t="b">
        <v>1</v>
      </c>
      <c r="G6277" s="2" t="b">
        <v>0</v>
      </c>
      <c r="H6277" s="2" t="s">
        <v>37</v>
      </c>
      <c r="I6277" s="2" t="s">
        <v>49</v>
      </c>
      <c r="J6277" s="2" t="s">
        <v>3701</v>
      </c>
      <c r="K6277" s="2" t="s">
        <v>495</v>
      </c>
      <c r="L6277" s="13" t="s">
        <v>496</v>
      </c>
      <c r="M6277" s="2" t="s">
        <v>26</v>
      </c>
      <c r="N6277" s="29"/>
      <c r="O6277" s="29"/>
      <c r="P6277" s="5" t="str">
        <f>IFERROR(__xludf.DUMMYFUNCTION("TEXTJOIN("" | "",TRUE,IF(OR(D6277="""",E6277="""",I6277="""",J6277="""",H6277=""""),""ফাঁকা ঘর"",""""),IF(AND(C6277&lt;&gt;"""",D6277&lt;&gt;"""",C6277=D6277),""gloss=figurative"",""""),IF(LEN(D6277)&lt;15,""figurative ছোট"",""""),IF(AND(I6277=""Positive"",REGEXMATCH(H6"&amp;"277,""মূর্খ|ভণ্ড|প্রতার|অলস|লোভ|স্বার্থ|অক্ষম|অযোগ্য|বোকা|কৃপণ|হিংস"")),""valence-target অমিল"",""""),IF(COUNTIF($B:$B,B6277)&gt;1,""ডুপ্লিকেট"",""""))"),"")</f>
        <v/>
      </c>
      <c r="Q6277" s="5" t="str">
        <f t="shared" si="1"/>
        <v>২ পরে</v>
      </c>
    </row>
    <row r="6278">
      <c r="A6278" s="4">
        <v>4172.0</v>
      </c>
      <c r="B6278" s="2" t="s">
        <v>25649</v>
      </c>
      <c r="C6278" s="2" t="s">
        <v>25650</v>
      </c>
      <c r="D6278" s="2" t="s">
        <v>25651</v>
      </c>
      <c r="E6278" s="2" t="s">
        <v>25652</v>
      </c>
      <c r="F6278" s="2" t="b">
        <v>1</v>
      </c>
      <c r="G6278" s="2" t="b">
        <v>0</v>
      </c>
      <c r="H6278" s="2" t="s">
        <v>25653</v>
      </c>
      <c r="I6278" s="2" t="s">
        <v>22</v>
      </c>
      <c r="J6278" s="2" t="s">
        <v>820</v>
      </c>
      <c r="K6278" s="2" t="s">
        <v>495</v>
      </c>
      <c r="L6278" s="13" t="s">
        <v>496</v>
      </c>
      <c r="M6278" s="2" t="s">
        <v>26</v>
      </c>
      <c r="N6278" s="29"/>
      <c r="O6278" s="29"/>
      <c r="P6278" s="5" t="str">
        <f>IFERROR(__xludf.DUMMYFUNCTION("TEXTJOIN("" | "",TRUE,IF(OR(D6278="""",E6278="""",I6278="""",J6278="""",H6278=""""),""ফাঁকা ঘর"",""""),IF(AND(C6278&lt;&gt;"""",D6278&lt;&gt;"""",C6278=D6278),""gloss=figurative"",""""),IF(LEN(D6278)&lt;15,""figurative ছোট"",""""),IF(AND(I6278=""Positive"",REGEXMATCH(H6"&amp;"278,""মূর্খ|ভণ্ড|প্রতার|অলস|লোভ|স্বার্থ|অক্ষম|অযোগ্য|বোকা|কৃপণ|হিংস"")),""valence-target অমিল"",""""),IF(COUNTIF($B:$B,B6278)&gt;1,""ডুপ্লিকেট"",""""))"),"")</f>
        <v/>
      </c>
      <c r="Q6278" s="5" t="str">
        <f t="shared" si="1"/>
        <v>২ পরে</v>
      </c>
    </row>
    <row r="6279">
      <c r="A6279" s="4">
        <v>4173.0</v>
      </c>
      <c r="B6279" s="2" t="s">
        <v>25654</v>
      </c>
      <c r="C6279" s="2" t="s">
        <v>25655</v>
      </c>
      <c r="D6279" s="2" t="s">
        <v>25656</v>
      </c>
      <c r="E6279" s="2" t="s">
        <v>25657</v>
      </c>
      <c r="F6279" s="2" t="b">
        <v>1</v>
      </c>
      <c r="G6279" s="2" t="b">
        <v>0</v>
      </c>
      <c r="H6279" s="2" t="s">
        <v>37</v>
      </c>
      <c r="I6279" s="2" t="s">
        <v>22</v>
      </c>
      <c r="J6279" s="2" t="s">
        <v>3513</v>
      </c>
      <c r="K6279" s="2" t="s">
        <v>495</v>
      </c>
      <c r="L6279" s="13" t="s">
        <v>496</v>
      </c>
      <c r="M6279" s="2" t="s">
        <v>26</v>
      </c>
      <c r="N6279" s="29"/>
      <c r="O6279" s="29"/>
      <c r="P6279" s="5" t="str">
        <f>IFERROR(__xludf.DUMMYFUNCTION("TEXTJOIN("" | "",TRUE,IF(OR(D6279="""",E6279="""",I6279="""",J6279="""",H6279=""""),""ফাঁকা ঘর"",""""),IF(AND(C6279&lt;&gt;"""",D6279&lt;&gt;"""",C6279=D6279),""gloss=figurative"",""""),IF(LEN(D6279)&lt;15,""figurative ছোট"",""""),IF(AND(I6279=""Positive"",REGEXMATCH(H6"&amp;"279,""মূর্খ|ভণ্ড|প্রতার|অলস|লোভ|স্বার্থ|অক্ষম|অযোগ্য|বোকা|কৃপণ|হিংস"")),""valence-target অমিল"",""""),IF(COUNTIF($B:$B,B6279)&gt;1,""ডুপ্লিকেট"",""""))"),"")</f>
        <v/>
      </c>
      <c r="Q6279" s="5" t="str">
        <f t="shared" si="1"/>
        <v>২ পরে</v>
      </c>
    </row>
    <row r="6280">
      <c r="A6280" s="4">
        <v>4174.0</v>
      </c>
      <c r="B6280" s="2" t="s">
        <v>25658</v>
      </c>
      <c r="C6280" s="2" t="s">
        <v>25659</v>
      </c>
      <c r="D6280" s="2" t="s">
        <v>25660</v>
      </c>
      <c r="E6280" s="2" t="s">
        <v>25661</v>
      </c>
      <c r="F6280" s="2" t="b">
        <v>1</v>
      </c>
      <c r="G6280" s="2" t="b">
        <v>0</v>
      </c>
      <c r="H6280" s="2" t="s">
        <v>37</v>
      </c>
      <c r="I6280" s="2" t="s">
        <v>32</v>
      </c>
      <c r="J6280" s="2" t="s">
        <v>25662</v>
      </c>
      <c r="K6280" s="2" t="s">
        <v>495</v>
      </c>
      <c r="L6280" s="13" t="s">
        <v>496</v>
      </c>
      <c r="M6280" s="2" t="s">
        <v>26</v>
      </c>
      <c r="N6280" s="29"/>
      <c r="O6280" s="29"/>
      <c r="P6280" s="5" t="str">
        <f>IFERROR(__xludf.DUMMYFUNCTION("TEXTJOIN("" | "",TRUE,IF(OR(D6280="""",E6280="""",I6280="""",J6280="""",H6280=""""),""ফাঁকা ঘর"",""""),IF(AND(C6280&lt;&gt;"""",D6280&lt;&gt;"""",C6280=D6280),""gloss=figurative"",""""),IF(LEN(D6280)&lt;15,""figurative ছোট"",""""),IF(AND(I6280=""Positive"",REGEXMATCH(H6"&amp;"280,""মূর্খ|ভণ্ড|প্রতার|অলস|লোভ|স্বার্থ|অক্ষম|অযোগ্য|বোকা|কৃপণ|হিংস"")),""valence-target অমিল"",""""),IF(COUNTIF($B:$B,B6280)&gt;1,""ডুপ্লিকেট"",""""))"),"")</f>
        <v/>
      </c>
      <c r="Q6280" s="5" t="str">
        <f t="shared" si="1"/>
        <v>২ পরে</v>
      </c>
    </row>
    <row r="6281">
      <c r="A6281" s="4">
        <v>4175.0</v>
      </c>
      <c r="B6281" s="2" t="s">
        <v>25663</v>
      </c>
      <c r="C6281" s="2" t="s">
        <v>25664</v>
      </c>
      <c r="D6281" s="2" t="s">
        <v>25665</v>
      </c>
      <c r="E6281" s="2" t="s">
        <v>25666</v>
      </c>
      <c r="F6281" s="2" t="b">
        <v>1</v>
      </c>
      <c r="G6281" s="2" t="b">
        <v>0</v>
      </c>
      <c r="H6281" s="2" t="s">
        <v>37</v>
      </c>
      <c r="I6281" s="2" t="s">
        <v>22</v>
      </c>
      <c r="J6281" s="2" t="s">
        <v>820</v>
      </c>
      <c r="K6281" s="2" t="s">
        <v>495</v>
      </c>
      <c r="L6281" s="13" t="s">
        <v>496</v>
      </c>
      <c r="M6281" s="2" t="s">
        <v>26</v>
      </c>
      <c r="N6281" s="29"/>
      <c r="O6281" s="29"/>
      <c r="P6281" s="5" t="str">
        <f>IFERROR(__xludf.DUMMYFUNCTION("TEXTJOIN("" | "",TRUE,IF(OR(D6281="""",E6281="""",I6281="""",J6281="""",H6281=""""),""ফাঁকা ঘর"",""""),IF(AND(C6281&lt;&gt;"""",D6281&lt;&gt;"""",C6281=D6281),""gloss=figurative"",""""),IF(LEN(D6281)&lt;15,""figurative ছোট"",""""),IF(AND(I6281=""Positive"",REGEXMATCH(H6"&amp;"281,""মূর্খ|ভণ্ড|প্রতার|অলস|লোভ|স্বার্থ|অক্ষম|অযোগ্য|বোকা|কৃপণ|হিংস"")),""valence-target অমিল"",""""),IF(COUNTIF($B:$B,B6281)&gt;1,""ডুপ্লিকেট"",""""))"),"")</f>
        <v/>
      </c>
      <c r="Q6281" s="5" t="str">
        <f t="shared" si="1"/>
        <v>২ পরে</v>
      </c>
    </row>
    <row r="6282">
      <c r="A6282" s="4">
        <v>4176.0</v>
      </c>
      <c r="B6282" s="2" t="s">
        <v>25667</v>
      </c>
      <c r="C6282" s="2" t="s">
        <v>25668</v>
      </c>
      <c r="D6282" s="2" t="s">
        <v>25669</v>
      </c>
      <c r="E6282" s="2" t="s">
        <v>25670</v>
      </c>
      <c r="F6282" s="2" t="b">
        <v>1</v>
      </c>
      <c r="G6282" s="2" t="b">
        <v>0</v>
      </c>
      <c r="H6282" s="2" t="s">
        <v>37</v>
      </c>
      <c r="I6282" s="2" t="s">
        <v>49</v>
      </c>
      <c r="J6282" s="2" t="s">
        <v>3680</v>
      </c>
      <c r="K6282" s="2" t="s">
        <v>495</v>
      </c>
      <c r="L6282" s="13" t="s">
        <v>496</v>
      </c>
      <c r="M6282" s="2" t="s">
        <v>26</v>
      </c>
      <c r="N6282" s="29"/>
      <c r="O6282" s="29"/>
      <c r="P6282" s="5" t="str">
        <f>IFERROR(__xludf.DUMMYFUNCTION("TEXTJOIN("" | "",TRUE,IF(OR(D6282="""",E6282="""",I6282="""",J6282="""",H6282=""""),""ফাঁকা ঘর"",""""),IF(AND(C6282&lt;&gt;"""",D6282&lt;&gt;"""",C6282=D6282),""gloss=figurative"",""""),IF(LEN(D6282)&lt;15,""figurative ছোট"",""""),IF(AND(I6282=""Positive"",REGEXMATCH(H6"&amp;"282,""মূর্খ|ভণ্ড|প্রতার|অলস|লোভ|স্বার্থ|অক্ষম|অযোগ্য|বোকা|কৃপণ|হিংস"")),""valence-target অমিল"",""""),IF(COUNTIF($B:$B,B6282)&gt;1,""ডুপ্লিকেট"",""""))"),"")</f>
        <v/>
      </c>
      <c r="Q6282" s="5" t="str">
        <f t="shared" si="1"/>
        <v>২ পরে</v>
      </c>
    </row>
    <row r="6283">
      <c r="A6283" s="4">
        <v>4177.0</v>
      </c>
      <c r="B6283" s="2" t="s">
        <v>25671</v>
      </c>
      <c r="C6283" s="2" t="s">
        <v>25671</v>
      </c>
      <c r="D6283" s="2" t="s">
        <v>25672</v>
      </c>
      <c r="E6283" s="2" t="s">
        <v>25673</v>
      </c>
      <c r="F6283" s="2" t="b">
        <v>1</v>
      </c>
      <c r="G6283" s="2" t="b">
        <v>0</v>
      </c>
      <c r="H6283" s="2" t="s">
        <v>37</v>
      </c>
      <c r="I6283" s="2" t="s">
        <v>22</v>
      </c>
      <c r="J6283" s="2" t="s">
        <v>4463</v>
      </c>
      <c r="K6283" s="2" t="s">
        <v>495</v>
      </c>
      <c r="L6283" s="13" t="s">
        <v>496</v>
      </c>
      <c r="M6283" s="2" t="s">
        <v>26</v>
      </c>
      <c r="N6283" s="29"/>
      <c r="O6283" s="29"/>
      <c r="P6283" s="5" t="str">
        <f>IFERROR(__xludf.DUMMYFUNCTION("TEXTJOIN("" | "",TRUE,IF(OR(D6283="""",E6283="""",I6283="""",J6283="""",H6283=""""),""ফাঁকা ঘর"",""""),IF(AND(C6283&lt;&gt;"""",D6283&lt;&gt;"""",C6283=D6283),""gloss=figurative"",""""),IF(LEN(D6283)&lt;15,""figurative ছোট"",""""),IF(AND(I6283=""Positive"",REGEXMATCH(H6"&amp;"283,""মূর্খ|ভণ্ড|প্রতার|অলস|লোভ|স্বার্থ|অক্ষম|অযোগ্য|বোকা|কৃপণ|হিংস"")),""valence-target অমিল"",""""),IF(COUNTIF($B:$B,B6283)&gt;1,""ডুপ্লিকেট"",""""))"),"")</f>
        <v/>
      </c>
      <c r="Q6283" s="5" t="str">
        <f t="shared" si="1"/>
        <v>২ পরে</v>
      </c>
    </row>
    <row r="6284">
      <c r="A6284" s="4">
        <v>4178.0</v>
      </c>
      <c r="B6284" s="2" t="s">
        <v>25674</v>
      </c>
      <c r="C6284" s="2" t="s">
        <v>25674</v>
      </c>
      <c r="D6284" s="2" t="s">
        <v>25675</v>
      </c>
      <c r="E6284" s="2" t="s">
        <v>25676</v>
      </c>
      <c r="F6284" s="2" t="b">
        <v>1</v>
      </c>
      <c r="G6284" s="2" t="b">
        <v>0</v>
      </c>
      <c r="H6284" s="2" t="s">
        <v>37</v>
      </c>
      <c r="I6284" s="2" t="s">
        <v>49</v>
      </c>
      <c r="J6284" s="2" t="s">
        <v>538</v>
      </c>
      <c r="K6284" s="2" t="s">
        <v>495</v>
      </c>
      <c r="L6284" s="13" t="s">
        <v>496</v>
      </c>
      <c r="M6284" s="2" t="s">
        <v>26</v>
      </c>
      <c r="N6284" s="29"/>
      <c r="O6284" s="29"/>
      <c r="P6284" s="5" t="str">
        <f>IFERROR(__xludf.DUMMYFUNCTION("TEXTJOIN("" | "",TRUE,IF(OR(D6284="""",E6284="""",I6284="""",J6284="""",H6284=""""),""ফাঁকা ঘর"",""""),IF(AND(C6284&lt;&gt;"""",D6284&lt;&gt;"""",C6284=D6284),""gloss=figurative"",""""),IF(LEN(D6284)&lt;15,""figurative ছোট"",""""),IF(AND(I6284=""Positive"",REGEXMATCH(H6"&amp;"284,""মূর্খ|ভণ্ড|প্রতার|অলস|লোভ|স্বার্থ|অক্ষম|অযোগ্য|বোকা|কৃপণ|হিংস"")),""valence-target অমিল"",""""),IF(COUNTIF($B:$B,B6284)&gt;1,""ডুপ্লিকেট"",""""))"),"")</f>
        <v/>
      </c>
      <c r="Q6284" s="5" t="str">
        <f t="shared" si="1"/>
        <v>২ পরে</v>
      </c>
    </row>
    <row r="6285">
      <c r="A6285" s="4">
        <v>4179.0</v>
      </c>
      <c r="B6285" s="2" t="s">
        <v>25677</v>
      </c>
      <c r="C6285" s="2" t="s">
        <v>25678</v>
      </c>
      <c r="D6285" s="2" t="s">
        <v>25679</v>
      </c>
      <c r="E6285" s="2" t="s">
        <v>25680</v>
      </c>
      <c r="F6285" s="2" t="b">
        <v>1</v>
      </c>
      <c r="G6285" s="2" t="b">
        <v>0</v>
      </c>
      <c r="H6285" s="2" t="s">
        <v>37</v>
      </c>
      <c r="I6285" s="2" t="s">
        <v>49</v>
      </c>
      <c r="J6285" s="2" t="s">
        <v>357</v>
      </c>
      <c r="K6285" s="2" t="s">
        <v>495</v>
      </c>
      <c r="L6285" s="13" t="s">
        <v>496</v>
      </c>
      <c r="M6285" s="2" t="s">
        <v>26</v>
      </c>
      <c r="N6285" s="29"/>
      <c r="O6285" s="29"/>
      <c r="P6285" s="5" t="str">
        <f>IFERROR(__xludf.DUMMYFUNCTION("TEXTJOIN("" | "",TRUE,IF(OR(D6285="""",E6285="""",I6285="""",J6285="""",H6285=""""),""ফাঁকা ঘর"",""""),IF(AND(C6285&lt;&gt;"""",D6285&lt;&gt;"""",C6285=D6285),""gloss=figurative"",""""),IF(LEN(D6285)&lt;15,""figurative ছোট"",""""),IF(AND(I6285=""Positive"",REGEXMATCH(H6"&amp;"285,""মূর্খ|ভণ্ড|প্রতার|অলস|লোভ|স্বার্থ|অক্ষম|অযোগ্য|বোকা|কৃপণ|হিংস"")),""valence-target অমিল"",""""),IF(COUNTIF($B:$B,B6285)&gt;1,""ডুপ্লিকেট"",""""))"),"")</f>
        <v/>
      </c>
      <c r="Q6285" s="5" t="str">
        <f t="shared" si="1"/>
        <v>২ পরে</v>
      </c>
    </row>
    <row r="6286">
      <c r="A6286" s="4">
        <v>4180.0</v>
      </c>
      <c r="B6286" s="2" t="s">
        <v>25681</v>
      </c>
      <c r="C6286" s="2" t="s">
        <v>25681</v>
      </c>
      <c r="D6286" s="2" t="s">
        <v>25682</v>
      </c>
      <c r="E6286" s="2" t="s">
        <v>25683</v>
      </c>
      <c r="F6286" s="2" t="b">
        <v>1</v>
      </c>
      <c r="G6286" s="2" t="b">
        <v>0</v>
      </c>
      <c r="H6286" s="2" t="s">
        <v>37</v>
      </c>
      <c r="I6286" s="2" t="s">
        <v>32</v>
      </c>
      <c r="J6286" s="2" t="s">
        <v>4308</v>
      </c>
      <c r="K6286" s="2" t="s">
        <v>495</v>
      </c>
      <c r="L6286" s="13" t="s">
        <v>496</v>
      </c>
      <c r="M6286" s="2" t="s">
        <v>26</v>
      </c>
      <c r="N6286" s="29"/>
      <c r="O6286" s="29"/>
      <c r="P6286" s="5" t="str">
        <f>IFERROR(__xludf.DUMMYFUNCTION("TEXTJOIN("" | "",TRUE,IF(OR(D6286="""",E6286="""",I6286="""",J6286="""",H6286=""""),""ফাঁকা ঘর"",""""),IF(AND(C6286&lt;&gt;"""",D6286&lt;&gt;"""",C6286=D6286),""gloss=figurative"",""""),IF(LEN(D6286)&lt;15,""figurative ছোট"",""""),IF(AND(I6286=""Positive"",REGEXMATCH(H6"&amp;"286,""মূর্খ|ভণ্ড|প্রতার|অলস|লোভ|স্বার্থ|অক্ষম|অযোগ্য|বোকা|কৃপণ|হিংস"")),""valence-target অমিল"",""""),IF(COUNTIF($B:$B,B6286)&gt;1,""ডুপ্লিকেট"",""""))"),"")</f>
        <v/>
      </c>
      <c r="Q6286" s="5" t="str">
        <f t="shared" si="1"/>
        <v>২ পরে</v>
      </c>
    </row>
    <row r="6287">
      <c r="A6287" s="4">
        <v>4182.0</v>
      </c>
      <c r="B6287" s="2" t="s">
        <v>10918</v>
      </c>
      <c r="C6287" s="2" t="s">
        <v>25684</v>
      </c>
      <c r="D6287" s="2" t="s">
        <v>25685</v>
      </c>
      <c r="E6287" s="2" t="s">
        <v>25686</v>
      </c>
      <c r="F6287" s="2" t="b">
        <v>1</v>
      </c>
      <c r="G6287" s="2" t="b">
        <v>1</v>
      </c>
      <c r="H6287" s="2" t="s">
        <v>25687</v>
      </c>
      <c r="I6287" s="2" t="s">
        <v>22</v>
      </c>
      <c r="J6287" s="2" t="s">
        <v>1137</v>
      </c>
      <c r="K6287" s="2" t="s">
        <v>495</v>
      </c>
      <c r="L6287" s="13" t="s">
        <v>496</v>
      </c>
      <c r="M6287" s="2" t="s">
        <v>26</v>
      </c>
      <c r="N6287" s="29"/>
      <c r="O6287" s="29"/>
      <c r="P6287" s="5" t="str">
        <f>IFERROR(__xludf.DUMMYFUNCTION("TEXTJOIN("" | "",TRUE,IF(OR(D6287="""",E6287="""",I6287="""",J6287="""",H6287=""""),""ফাঁকা ঘর"",""""),IF(AND(C6287&lt;&gt;"""",D6287&lt;&gt;"""",C6287=D6287),""gloss=figurative"",""""),IF(LEN(D6287)&lt;15,""figurative ছোট"",""""),IF(AND(I6287=""Positive"",REGEXMATCH(H6"&amp;"287,""মূর্খ|ভণ্ড|প্রতার|অলস|লোভ|স্বার্থ|অক্ষম|অযোগ্য|বোকা|কৃপণ|হিংস"")),""valence-target অমিল"",""""),IF(COUNTIF($B:$B,B6287)&gt;1,""ডুপ্লিকেট"",""""))"),"")</f>
        <v/>
      </c>
      <c r="Q6287" s="5" t="str">
        <f t="shared" si="1"/>
        <v>২ পরে</v>
      </c>
    </row>
    <row r="6288">
      <c r="A6288" s="4">
        <v>4183.0</v>
      </c>
      <c r="B6288" s="2" t="s">
        <v>25688</v>
      </c>
      <c r="C6288" s="2" t="s">
        <v>25689</v>
      </c>
      <c r="D6288" s="2" t="s">
        <v>25690</v>
      </c>
      <c r="E6288" s="2" t="s">
        <v>25691</v>
      </c>
      <c r="F6288" s="2" t="b">
        <v>1</v>
      </c>
      <c r="G6288" s="2" t="b">
        <v>1</v>
      </c>
      <c r="H6288" s="2" t="s">
        <v>25692</v>
      </c>
      <c r="I6288" s="2" t="s">
        <v>22</v>
      </c>
      <c r="J6288" s="2" t="s">
        <v>25693</v>
      </c>
      <c r="K6288" s="2" t="s">
        <v>495</v>
      </c>
      <c r="L6288" s="13" t="s">
        <v>496</v>
      </c>
      <c r="M6288" s="2" t="s">
        <v>26</v>
      </c>
      <c r="N6288" s="29"/>
      <c r="O6288" s="29"/>
      <c r="P6288" s="5" t="str">
        <f>IFERROR(__xludf.DUMMYFUNCTION("TEXTJOIN("" | "",TRUE,IF(OR(D6288="""",E6288="""",I6288="""",J6288="""",H6288=""""),""ফাঁকা ঘর"",""""),IF(AND(C6288&lt;&gt;"""",D6288&lt;&gt;"""",C6288=D6288),""gloss=figurative"",""""),IF(LEN(D6288)&lt;15,""figurative ছোট"",""""),IF(AND(I6288=""Positive"",REGEXMATCH(H6"&amp;"288,""মূর্খ|ভণ্ড|প্রতার|অলস|লোভ|স্বার্থ|অক্ষম|অযোগ্য|বোকা|কৃপণ|হিংস"")),""valence-target অমিল"",""""),IF(COUNTIF($B:$B,B6288)&gt;1,""ডুপ্লিকেট"",""""))"),"")</f>
        <v/>
      </c>
      <c r="Q6288" s="5" t="str">
        <f t="shared" si="1"/>
        <v>২ পরে</v>
      </c>
    </row>
    <row r="6289">
      <c r="A6289" s="4">
        <v>4184.0</v>
      </c>
      <c r="B6289" s="2" t="s">
        <v>25694</v>
      </c>
      <c r="C6289" s="2" t="s">
        <v>25694</v>
      </c>
      <c r="D6289" s="2" t="s">
        <v>22211</v>
      </c>
      <c r="E6289" s="2" t="s">
        <v>25695</v>
      </c>
      <c r="F6289" s="2" t="b">
        <v>1</v>
      </c>
      <c r="G6289" s="2" t="b">
        <v>0</v>
      </c>
      <c r="H6289" s="2" t="s">
        <v>37</v>
      </c>
      <c r="I6289" s="2" t="s">
        <v>22</v>
      </c>
      <c r="J6289" s="2" t="s">
        <v>590</v>
      </c>
      <c r="K6289" s="2" t="s">
        <v>495</v>
      </c>
      <c r="L6289" s="13" t="s">
        <v>496</v>
      </c>
      <c r="M6289" s="2" t="s">
        <v>26</v>
      </c>
      <c r="N6289" s="29"/>
      <c r="O6289" s="29"/>
      <c r="P6289" s="5" t="str">
        <f>IFERROR(__xludf.DUMMYFUNCTION("TEXTJOIN("" | "",TRUE,IF(OR(D6289="""",E6289="""",I6289="""",J6289="""",H6289=""""),""ফাঁকা ঘর"",""""),IF(AND(C6289&lt;&gt;"""",D6289&lt;&gt;"""",C6289=D6289),""gloss=figurative"",""""),IF(LEN(D6289)&lt;15,""figurative ছোট"",""""),IF(AND(I6289=""Positive"",REGEXMATCH(H6"&amp;"289,""মূর্খ|ভণ্ড|প্রতার|অলস|লোভ|স্বার্থ|অক্ষম|অযোগ্য|বোকা|কৃপণ|হিংস"")),""valence-target অমিল"",""""),IF(COUNTIF($B:$B,B6289)&gt;1,""ডুপ্লিকেট"",""""))"),"")</f>
        <v/>
      </c>
      <c r="Q6289" s="5" t="str">
        <f t="shared" si="1"/>
        <v>২ পরে</v>
      </c>
    </row>
    <row r="6290">
      <c r="A6290" s="4">
        <v>4185.0</v>
      </c>
      <c r="B6290" s="2" t="s">
        <v>25696</v>
      </c>
      <c r="C6290" s="2" t="s">
        <v>25697</v>
      </c>
      <c r="D6290" s="2" t="s">
        <v>25698</v>
      </c>
      <c r="E6290" s="2" t="s">
        <v>25699</v>
      </c>
      <c r="F6290" s="2" t="b">
        <v>1</v>
      </c>
      <c r="G6290" s="2" t="b">
        <v>0</v>
      </c>
      <c r="H6290" s="2" t="s">
        <v>37</v>
      </c>
      <c r="I6290" s="2" t="s">
        <v>32</v>
      </c>
      <c r="J6290" s="2" t="s">
        <v>3506</v>
      </c>
      <c r="K6290" s="2" t="s">
        <v>495</v>
      </c>
      <c r="L6290" s="13" t="s">
        <v>496</v>
      </c>
      <c r="M6290" s="2" t="s">
        <v>26</v>
      </c>
      <c r="N6290" s="29"/>
      <c r="O6290" s="29"/>
      <c r="P6290" s="5" t="str">
        <f>IFERROR(__xludf.DUMMYFUNCTION("TEXTJOIN("" | "",TRUE,IF(OR(D6290="""",E6290="""",I6290="""",J6290="""",H6290=""""),""ফাঁকা ঘর"",""""),IF(AND(C6290&lt;&gt;"""",D6290&lt;&gt;"""",C6290=D6290),""gloss=figurative"",""""),IF(LEN(D6290)&lt;15,""figurative ছোট"",""""),IF(AND(I6290=""Positive"",REGEXMATCH(H6"&amp;"290,""মূর্খ|ভণ্ড|প্রতার|অলস|লোভ|স্বার্থ|অক্ষম|অযোগ্য|বোকা|কৃপণ|হিংস"")),""valence-target অমিল"",""""),IF(COUNTIF($B:$B,B6290)&gt;1,""ডুপ্লিকেট"",""""))"),"")</f>
        <v/>
      </c>
      <c r="Q6290" s="5" t="str">
        <f t="shared" si="1"/>
        <v>২ পরে</v>
      </c>
    </row>
    <row r="6291">
      <c r="A6291" s="4">
        <v>4186.0</v>
      </c>
      <c r="B6291" s="2" t="s">
        <v>25700</v>
      </c>
      <c r="C6291" s="2" t="s">
        <v>25701</v>
      </c>
      <c r="D6291" s="2" t="s">
        <v>25702</v>
      </c>
      <c r="E6291" s="2" t="s">
        <v>25703</v>
      </c>
      <c r="F6291" s="2" t="b">
        <v>1</v>
      </c>
      <c r="G6291" s="2" t="b">
        <v>1</v>
      </c>
      <c r="H6291" s="2" t="s">
        <v>25704</v>
      </c>
      <c r="I6291" s="2" t="s">
        <v>22</v>
      </c>
      <c r="J6291" s="2" t="s">
        <v>25705</v>
      </c>
      <c r="K6291" s="2" t="s">
        <v>495</v>
      </c>
      <c r="L6291" s="13" t="s">
        <v>496</v>
      </c>
      <c r="M6291" s="2" t="s">
        <v>26</v>
      </c>
      <c r="N6291" s="29"/>
      <c r="O6291" s="29"/>
      <c r="P6291" s="5" t="str">
        <f>IFERROR(__xludf.DUMMYFUNCTION("TEXTJOIN("" | "",TRUE,IF(OR(D6291="""",E6291="""",I6291="""",J6291="""",H6291=""""),""ফাঁকা ঘর"",""""),IF(AND(C6291&lt;&gt;"""",D6291&lt;&gt;"""",C6291=D6291),""gloss=figurative"",""""),IF(LEN(D6291)&lt;15,""figurative ছোট"",""""),IF(AND(I6291=""Positive"",REGEXMATCH(H6"&amp;"291,""মূর্খ|ভণ্ড|প্রতার|অলস|লোভ|স্বার্থ|অক্ষম|অযোগ্য|বোকা|কৃপণ|হিংস"")),""valence-target অমিল"",""""),IF(COUNTIF($B:$B,B6291)&gt;1,""ডুপ্লিকেট"",""""))"),"")</f>
        <v/>
      </c>
      <c r="Q6291" s="5" t="str">
        <f t="shared" si="1"/>
        <v>২ পরে</v>
      </c>
    </row>
    <row r="6292">
      <c r="A6292" s="4">
        <v>4187.0</v>
      </c>
      <c r="B6292" s="2" t="s">
        <v>10234</v>
      </c>
      <c r="C6292" s="2" t="s">
        <v>10234</v>
      </c>
      <c r="D6292" s="2" t="s">
        <v>25706</v>
      </c>
      <c r="E6292" s="2" t="s">
        <v>21573</v>
      </c>
      <c r="F6292" s="2" t="b">
        <v>1</v>
      </c>
      <c r="G6292" s="2" t="b">
        <v>0</v>
      </c>
      <c r="H6292" s="2" t="s">
        <v>37</v>
      </c>
      <c r="I6292" s="2" t="s">
        <v>49</v>
      </c>
      <c r="J6292" s="2" t="s">
        <v>1259</v>
      </c>
      <c r="K6292" s="2" t="s">
        <v>495</v>
      </c>
      <c r="L6292" s="13" t="s">
        <v>496</v>
      </c>
      <c r="M6292" s="2" t="s">
        <v>26</v>
      </c>
      <c r="N6292" s="29"/>
      <c r="O6292" s="29"/>
      <c r="P6292" s="5" t="str">
        <f>IFERROR(__xludf.DUMMYFUNCTION("TEXTJOIN("" | "",TRUE,IF(OR(D6292="""",E6292="""",I6292="""",J6292="""",H6292=""""),""ফাঁকা ঘর"",""""),IF(AND(C6292&lt;&gt;"""",D6292&lt;&gt;"""",C6292=D6292),""gloss=figurative"",""""),IF(LEN(D6292)&lt;15,""figurative ছোট"",""""),IF(AND(I6292=""Positive"",REGEXMATCH(H6"&amp;"292,""মূর্খ|ভণ্ড|প্রতার|অলস|লোভ|স্বার্থ|অক্ষম|অযোগ্য|বোকা|কৃপণ|হিংস"")),""valence-target অমিল"",""""),IF(COUNTIF($B:$B,B6292)&gt;1,""ডুপ্লিকেট"",""""))"),"")</f>
        <v/>
      </c>
      <c r="Q6292" s="5" t="str">
        <f t="shared" si="1"/>
        <v>২ পরে</v>
      </c>
    </row>
    <row r="6293">
      <c r="A6293" s="4">
        <v>4188.0</v>
      </c>
      <c r="B6293" s="2" t="s">
        <v>25707</v>
      </c>
      <c r="C6293" s="2" t="s">
        <v>25708</v>
      </c>
      <c r="D6293" s="2" t="s">
        <v>25709</v>
      </c>
      <c r="E6293" s="2" t="s">
        <v>25710</v>
      </c>
      <c r="F6293" s="2" t="b">
        <v>1</v>
      </c>
      <c r="G6293" s="2" t="b">
        <v>0</v>
      </c>
      <c r="H6293" s="2" t="s">
        <v>37</v>
      </c>
      <c r="I6293" s="2" t="s">
        <v>49</v>
      </c>
      <c r="J6293" s="2" t="s">
        <v>340</v>
      </c>
      <c r="K6293" s="2" t="s">
        <v>495</v>
      </c>
      <c r="L6293" s="13" t="s">
        <v>496</v>
      </c>
      <c r="M6293" s="2" t="s">
        <v>26</v>
      </c>
      <c r="N6293" s="29"/>
      <c r="O6293" s="29"/>
      <c r="P6293" s="5" t="str">
        <f>IFERROR(__xludf.DUMMYFUNCTION("TEXTJOIN("" | "",TRUE,IF(OR(D6293="""",E6293="""",I6293="""",J6293="""",H6293=""""),""ফাঁকা ঘর"",""""),IF(AND(C6293&lt;&gt;"""",D6293&lt;&gt;"""",C6293=D6293),""gloss=figurative"",""""),IF(LEN(D6293)&lt;15,""figurative ছোট"",""""),IF(AND(I6293=""Positive"",REGEXMATCH(H6"&amp;"293,""মূর্খ|ভণ্ড|প্রতার|অলস|লোভ|স্বার্থ|অক্ষম|অযোগ্য|বোকা|কৃপণ|হিংস"")),""valence-target অমিল"",""""),IF(COUNTIF($B:$B,B6293)&gt;1,""ডুপ্লিকেট"",""""))"),"")</f>
        <v/>
      </c>
      <c r="Q6293" s="5" t="str">
        <f t="shared" si="1"/>
        <v>২ পরে</v>
      </c>
    </row>
    <row r="6294">
      <c r="A6294" s="4">
        <v>4189.0</v>
      </c>
      <c r="B6294" s="2" t="s">
        <v>9191</v>
      </c>
      <c r="C6294" s="2" t="s">
        <v>9191</v>
      </c>
      <c r="D6294" s="2" t="s">
        <v>25711</v>
      </c>
      <c r="E6294" s="2" t="s">
        <v>25712</v>
      </c>
      <c r="F6294" s="2" t="b">
        <v>1</v>
      </c>
      <c r="G6294" s="2" t="b">
        <v>0</v>
      </c>
      <c r="H6294" s="2" t="s">
        <v>37</v>
      </c>
      <c r="I6294" s="2" t="s">
        <v>49</v>
      </c>
      <c r="J6294" s="2" t="s">
        <v>16048</v>
      </c>
      <c r="K6294" s="2" t="s">
        <v>495</v>
      </c>
      <c r="L6294" s="13" t="s">
        <v>496</v>
      </c>
      <c r="M6294" s="2" t="s">
        <v>26</v>
      </c>
      <c r="N6294" s="29"/>
      <c r="O6294" s="29"/>
      <c r="P6294" s="5" t="str">
        <f>IFERROR(__xludf.DUMMYFUNCTION("TEXTJOIN("" | "",TRUE,IF(OR(D6294="""",E6294="""",I6294="""",J6294="""",H6294=""""),""ফাঁকা ঘর"",""""),IF(AND(C6294&lt;&gt;"""",D6294&lt;&gt;"""",C6294=D6294),""gloss=figurative"",""""),IF(LEN(D6294)&lt;15,""figurative ছোট"",""""),IF(AND(I6294=""Positive"",REGEXMATCH(H6"&amp;"294,""মূর্খ|ভণ্ড|প্রতার|অলস|লোভ|স্বার্থ|অক্ষম|অযোগ্য|বোকা|কৃপণ|হিংস"")),""valence-target অমিল"",""""),IF(COUNTIF($B:$B,B6294)&gt;1,""ডুপ্লিকেট"",""""))"),"")</f>
        <v/>
      </c>
      <c r="Q6294" s="5" t="str">
        <f t="shared" si="1"/>
        <v>২ পরে</v>
      </c>
    </row>
    <row r="6295">
      <c r="A6295" s="4">
        <v>4190.0</v>
      </c>
      <c r="B6295" s="2" t="s">
        <v>25713</v>
      </c>
      <c r="C6295" s="2" t="s">
        <v>25714</v>
      </c>
      <c r="D6295" s="2" t="s">
        <v>25715</v>
      </c>
      <c r="E6295" s="2" t="s">
        <v>25716</v>
      </c>
      <c r="F6295" s="2" t="b">
        <v>1</v>
      </c>
      <c r="G6295" s="2" t="b">
        <v>0</v>
      </c>
      <c r="H6295" s="2" t="s">
        <v>488</v>
      </c>
      <c r="I6295" s="2" t="s">
        <v>22</v>
      </c>
      <c r="J6295" s="2" t="s">
        <v>1438</v>
      </c>
      <c r="K6295" s="2" t="s">
        <v>495</v>
      </c>
      <c r="L6295" s="13" t="s">
        <v>496</v>
      </c>
      <c r="M6295" s="2" t="s">
        <v>26</v>
      </c>
      <c r="N6295" s="29"/>
      <c r="O6295" s="29"/>
      <c r="P6295" s="5" t="str">
        <f>IFERROR(__xludf.DUMMYFUNCTION("TEXTJOIN("" | "",TRUE,IF(OR(D6295="""",E6295="""",I6295="""",J6295="""",H6295=""""),""ফাঁকা ঘর"",""""),IF(AND(C6295&lt;&gt;"""",D6295&lt;&gt;"""",C6295=D6295),""gloss=figurative"",""""),IF(LEN(D6295)&lt;15,""figurative ছোট"",""""),IF(AND(I6295=""Positive"",REGEXMATCH(H6"&amp;"295,""মূর্খ|ভণ্ড|প্রতার|অলস|লোভ|স্বার্থ|অক্ষম|অযোগ্য|বোকা|কৃপণ|হিংস"")),""valence-target অমিল"",""""),IF(COUNTIF($B:$B,B6295)&gt;1,""ডুপ্লিকেট"",""""))"),"")</f>
        <v/>
      </c>
      <c r="Q6295" s="5" t="str">
        <f t="shared" si="1"/>
        <v>২ পরে</v>
      </c>
    </row>
    <row r="6296">
      <c r="A6296" s="4">
        <v>4191.0</v>
      </c>
      <c r="B6296" s="2" t="s">
        <v>25717</v>
      </c>
      <c r="C6296" s="2" t="s">
        <v>25717</v>
      </c>
      <c r="D6296" s="2" t="s">
        <v>25718</v>
      </c>
      <c r="E6296" s="2" t="s">
        <v>25719</v>
      </c>
      <c r="F6296" s="2" t="b">
        <v>1</v>
      </c>
      <c r="G6296" s="2" t="b">
        <v>0</v>
      </c>
      <c r="H6296" s="2" t="s">
        <v>37</v>
      </c>
      <c r="I6296" s="2" t="s">
        <v>32</v>
      </c>
      <c r="J6296" s="2" t="s">
        <v>2249</v>
      </c>
      <c r="K6296" s="2" t="s">
        <v>495</v>
      </c>
      <c r="L6296" s="13" t="s">
        <v>496</v>
      </c>
      <c r="M6296" s="2" t="s">
        <v>26</v>
      </c>
      <c r="N6296" s="29"/>
      <c r="O6296" s="29"/>
      <c r="P6296" s="5" t="str">
        <f>IFERROR(__xludf.DUMMYFUNCTION("TEXTJOIN("" | "",TRUE,IF(OR(D6296="""",E6296="""",I6296="""",J6296="""",H6296=""""),""ফাঁকা ঘর"",""""),IF(AND(C6296&lt;&gt;"""",D6296&lt;&gt;"""",C6296=D6296),""gloss=figurative"",""""),IF(LEN(D6296)&lt;15,""figurative ছোট"",""""),IF(AND(I6296=""Positive"",REGEXMATCH(H6"&amp;"296,""মূর্খ|ভণ্ড|প্রতার|অলস|লোভ|স্বার্থ|অক্ষম|অযোগ্য|বোকা|কৃপণ|হিংস"")),""valence-target অমিল"",""""),IF(COUNTIF($B:$B,B6296)&gt;1,""ডুপ্লিকেট"",""""))"),"")</f>
        <v/>
      </c>
      <c r="Q6296" s="5" t="str">
        <f t="shared" si="1"/>
        <v>২ পরে</v>
      </c>
    </row>
    <row r="6297">
      <c r="A6297" s="4">
        <v>4192.0</v>
      </c>
      <c r="B6297" s="2" t="s">
        <v>25720</v>
      </c>
      <c r="C6297" s="2" t="s">
        <v>25721</v>
      </c>
      <c r="D6297" s="2" t="s">
        <v>25722</v>
      </c>
      <c r="E6297" s="2" t="s">
        <v>25723</v>
      </c>
      <c r="F6297" s="2" t="b">
        <v>1</v>
      </c>
      <c r="G6297" s="2" t="b">
        <v>0</v>
      </c>
      <c r="H6297" s="2" t="s">
        <v>37</v>
      </c>
      <c r="I6297" s="2" t="s">
        <v>32</v>
      </c>
      <c r="J6297" s="2" t="s">
        <v>7465</v>
      </c>
      <c r="K6297" s="2" t="s">
        <v>495</v>
      </c>
      <c r="L6297" s="13" t="s">
        <v>496</v>
      </c>
      <c r="M6297" s="2" t="s">
        <v>26</v>
      </c>
      <c r="N6297" s="29"/>
      <c r="O6297" s="29"/>
      <c r="P6297" s="5" t="str">
        <f>IFERROR(__xludf.DUMMYFUNCTION("TEXTJOIN("" | "",TRUE,IF(OR(D6297="""",E6297="""",I6297="""",J6297="""",H6297=""""),""ফাঁকা ঘর"",""""),IF(AND(C6297&lt;&gt;"""",D6297&lt;&gt;"""",C6297=D6297),""gloss=figurative"",""""),IF(LEN(D6297)&lt;15,""figurative ছোট"",""""),IF(AND(I6297=""Positive"",REGEXMATCH(H6"&amp;"297,""মূর্খ|ভণ্ড|প্রতার|অলস|লোভ|স্বার্থ|অক্ষম|অযোগ্য|বোকা|কৃপণ|হিংস"")),""valence-target অমিল"",""""),IF(COUNTIF($B:$B,B6297)&gt;1,""ডুপ্লিকেট"",""""))"),"")</f>
        <v/>
      </c>
      <c r="Q6297" s="5" t="str">
        <f t="shared" si="1"/>
        <v>২ পরে</v>
      </c>
    </row>
    <row r="6298">
      <c r="A6298" s="4">
        <v>4193.0</v>
      </c>
      <c r="B6298" s="2" t="s">
        <v>25724</v>
      </c>
      <c r="C6298" s="2" t="s">
        <v>25725</v>
      </c>
      <c r="D6298" s="2" t="s">
        <v>25537</v>
      </c>
      <c r="E6298" s="2" t="s">
        <v>25726</v>
      </c>
      <c r="F6298" s="2" t="b">
        <v>1</v>
      </c>
      <c r="G6298" s="2" t="b">
        <v>0</v>
      </c>
      <c r="H6298" s="2" t="s">
        <v>37</v>
      </c>
      <c r="I6298" s="2" t="s">
        <v>22</v>
      </c>
      <c r="J6298" s="2" t="s">
        <v>23578</v>
      </c>
      <c r="K6298" s="2" t="s">
        <v>495</v>
      </c>
      <c r="L6298" s="13" t="s">
        <v>496</v>
      </c>
      <c r="M6298" s="2" t="s">
        <v>26</v>
      </c>
      <c r="N6298" s="29"/>
      <c r="O6298" s="29"/>
      <c r="P6298" s="5" t="str">
        <f>IFERROR(__xludf.DUMMYFUNCTION("TEXTJOIN("" | "",TRUE,IF(OR(D6298="""",E6298="""",I6298="""",J6298="""",H6298=""""),""ফাঁকা ঘর"",""""),IF(AND(C6298&lt;&gt;"""",D6298&lt;&gt;"""",C6298=D6298),""gloss=figurative"",""""),IF(LEN(D6298)&lt;15,""figurative ছোট"",""""),IF(AND(I6298=""Positive"",REGEXMATCH(H6"&amp;"298,""মূর্খ|ভণ্ড|প্রতার|অলস|লোভ|স্বার্থ|অক্ষম|অযোগ্য|বোকা|কৃপণ|হিংস"")),""valence-target অমিল"",""""),IF(COUNTIF($B:$B,B6298)&gt;1,""ডুপ্লিকেট"",""""))"),"")</f>
        <v/>
      </c>
      <c r="Q6298" s="5" t="str">
        <f t="shared" si="1"/>
        <v>২ পরে</v>
      </c>
    </row>
    <row r="6299">
      <c r="A6299" s="4">
        <v>4194.0</v>
      </c>
      <c r="B6299" s="2" t="s">
        <v>25727</v>
      </c>
      <c r="C6299" s="2" t="s">
        <v>25728</v>
      </c>
      <c r="D6299" s="2" t="s">
        <v>25729</v>
      </c>
      <c r="E6299" s="2" t="s">
        <v>25730</v>
      </c>
      <c r="F6299" s="2" t="b">
        <v>1</v>
      </c>
      <c r="G6299" s="2" t="b">
        <v>0</v>
      </c>
      <c r="H6299" s="2" t="s">
        <v>37</v>
      </c>
      <c r="I6299" s="2" t="s">
        <v>49</v>
      </c>
      <c r="J6299" s="2" t="s">
        <v>4617</v>
      </c>
      <c r="K6299" s="2" t="s">
        <v>495</v>
      </c>
      <c r="L6299" s="13" t="s">
        <v>496</v>
      </c>
      <c r="M6299" s="2" t="s">
        <v>26</v>
      </c>
      <c r="N6299" s="29"/>
      <c r="O6299" s="29"/>
      <c r="P6299" s="5" t="str">
        <f>IFERROR(__xludf.DUMMYFUNCTION("TEXTJOIN("" | "",TRUE,IF(OR(D6299="""",E6299="""",I6299="""",J6299="""",H6299=""""),""ফাঁকা ঘর"",""""),IF(AND(C6299&lt;&gt;"""",D6299&lt;&gt;"""",C6299=D6299),""gloss=figurative"",""""),IF(LEN(D6299)&lt;15,""figurative ছোট"",""""),IF(AND(I6299=""Positive"",REGEXMATCH(H6"&amp;"299,""মূর্খ|ভণ্ড|প্রতার|অলস|লোভ|স্বার্থ|অক্ষম|অযোগ্য|বোকা|কৃপণ|হিংস"")),""valence-target অমিল"",""""),IF(COUNTIF($B:$B,B6299)&gt;1,""ডুপ্লিকেট"",""""))"),"")</f>
        <v/>
      </c>
      <c r="Q6299" s="5" t="str">
        <f t="shared" si="1"/>
        <v>২ পরে</v>
      </c>
    </row>
    <row r="6300">
      <c r="A6300" s="4">
        <v>4195.0</v>
      </c>
      <c r="B6300" s="2" t="s">
        <v>25731</v>
      </c>
      <c r="C6300" s="2" t="s">
        <v>25731</v>
      </c>
      <c r="D6300" s="2" t="s">
        <v>25732</v>
      </c>
      <c r="E6300" s="2" t="s">
        <v>25733</v>
      </c>
      <c r="F6300" s="2" t="b">
        <v>1</v>
      </c>
      <c r="G6300" s="2" t="b">
        <v>0</v>
      </c>
      <c r="H6300" s="2" t="s">
        <v>37</v>
      </c>
      <c r="I6300" s="2" t="s">
        <v>22</v>
      </c>
      <c r="J6300" s="2" t="s">
        <v>848</v>
      </c>
      <c r="K6300" s="2" t="s">
        <v>495</v>
      </c>
      <c r="L6300" s="13" t="s">
        <v>496</v>
      </c>
      <c r="M6300" s="2" t="s">
        <v>26</v>
      </c>
      <c r="N6300" s="29"/>
      <c r="O6300" s="29"/>
      <c r="P6300" s="5" t="str">
        <f>IFERROR(__xludf.DUMMYFUNCTION("TEXTJOIN("" | "",TRUE,IF(OR(D6300="""",E6300="""",I6300="""",J6300="""",H6300=""""),""ফাঁকা ঘর"",""""),IF(AND(C6300&lt;&gt;"""",D6300&lt;&gt;"""",C6300=D6300),""gloss=figurative"",""""),IF(LEN(D6300)&lt;15,""figurative ছোট"",""""),IF(AND(I6300=""Positive"",REGEXMATCH(H6"&amp;"300,""মূর্খ|ভণ্ড|প্রতার|অলস|লোভ|স্বার্থ|অক্ষম|অযোগ্য|বোকা|কৃপণ|হিংস"")),""valence-target অমিল"",""""),IF(COUNTIF($B:$B,B6300)&gt;1,""ডুপ্লিকেট"",""""))"),"")</f>
        <v/>
      </c>
      <c r="Q6300" s="5" t="str">
        <f t="shared" si="1"/>
        <v>২ পরে</v>
      </c>
    </row>
    <row r="6301">
      <c r="A6301" s="4">
        <v>4196.0</v>
      </c>
      <c r="B6301" s="2" t="s">
        <v>25734</v>
      </c>
      <c r="C6301" s="2" t="s">
        <v>25735</v>
      </c>
      <c r="D6301" s="2" t="s">
        <v>25736</v>
      </c>
      <c r="E6301" s="2" t="s">
        <v>25737</v>
      </c>
      <c r="F6301" s="2" t="b">
        <v>1</v>
      </c>
      <c r="G6301" s="2" t="b">
        <v>0</v>
      </c>
      <c r="H6301" s="2" t="s">
        <v>37</v>
      </c>
      <c r="I6301" s="2" t="s">
        <v>22</v>
      </c>
      <c r="J6301" s="2" t="s">
        <v>2857</v>
      </c>
      <c r="K6301" s="2" t="s">
        <v>495</v>
      </c>
      <c r="L6301" s="13" t="s">
        <v>496</v>
      </c>
      <c r="M6301" s="2" t="s">
        <v>26</v>
      </c>
      <c r="N6301" s="29"/>
      <c r="O6301" s="29"/>
      <c r="P6301" s="5" t="str">
        <f>IFERROR(__xludf.DUMMYFUNCTION("TEXTJOIN("" | "",TRUE,IF(OR(D6301="""",E6301="""",I6301="""",J6301="""",H6301=""""),""ফাঁকা ঘর"",""""),IF(AND(C6301&lt;&gt;"""",D6301&lt;&gt;"""",C6301=D6301),""gloss=figurative"",""""),IF(LEN(D6301)&lt;15,""figurative ছোট"",""""),IF(AND(I6301=""Positive"",REGEXMATCH(H6"&amp;"301,""মূর্খ|ভণ্ড|প্রতার|অলস|লোভ|স্বার্থ|অক্ষম|অযোগ্য|বোকা|কৃপণ|হিংস"")),""valence-target অমিল"",""""),IF(COUNTIF($B:$B,B6301)&gt;1,""ডুপ্লিকেট"",""""))"),"")</f>
        <v/>
      </c>
      <c r="Q6301" s="5" t="str">
        <f t="shared" si="1"/>
        <v>২ পরে</v>
      </c>
    </row>
    <row r="6302">
      <c r="A6302" s="4">
        <v>4197.0</v>
      </c>
      <c r="B6302" s="2" t="s">
        <v>25738</v>
      </c>
      <c r="C6302" s="2" t="s">
        <v>25739</v>
      </c>
      <c r="D6302" s="2" t="s">
        <v>25740</v>
      </c>
      <c r="E6302" s="2" t="s">
        <v>25741</v>
      </c>
      <c r="F6302" s="2" t="b">
        <v>1</v>
      </c>
      <c r="G6302" s="2" t="b">
        <v>0</v>
      </c>
      <c r="H6302" s="2" t="s">
        <v>37</v>
      </c>
      <c r="I6302" s="2" t="s">
        <v>22</v>
      </c>
      <c r="J6302" s="2" t="s">
        <v>4026</v>
      </c>
      <c r="K6302" s="2" t="s">
        <v>495</v>
      </c>
      <c r="L6302" s="13" t="s">
        <v>496</v>
      </c>
      <c r="M6302" s="2" t="s">
        <v>26</v>
      </c>
      <c r="N6302" s="29"/>
      <c r="O6302" s="29"/>
      <c r="P6302" s="5" t="str">
        <f>IFERROR(__xludf.DUMMYFUNCTION("TEXTJOIN("" | "",TRUE,IF(OR(D6302="""",E6302="""",I6302="""",J6302="""",H6302=""""),""ফাঁকা ঘর"",""""),IF(AND(C6302&lt;&gt;"""",D6302&lt;&gt;"""",C6302=D6302),""gloss=figurative"",""""),IF(LEN(D6302)&lt;15,""figurative ছোট"",""""),IF(AND(I6302=""Positive"",REGEXMATCH(H6"&amp;"302,""মূর্খ|ভণ্ড|প্রতার|অলস|লোভ|স্বার্থ|অক্ষম|অযোগ্য|বোকা|কৃপণ|হিংস"")),""valence-target অমিল"",""""),IF(COUNTIF($B:$B,B6302)&gt;1,""ডুপ্লিকেট"",""""))"),"")</f>
        <v/>
      </c>
      <c r="Q6302" s="5" t="str">
        <f t="shared" si="1"/>
        <v>২ পরে</v>
      </c>
    </row>
    <row r="6303">
      <c r="A6303" s="4">
        <v>4198.0</v>
      </c>
      <c r="B6303" s="2" t="s">
        <v>25742</v>
      </c>
      <c r="C6303" s="2" t="s">
        <v>25743</v>
      </c>
      <c r="D6303" s="2" t="s">
        <v>25744</v>
      </c>
      <c r="E6303" s="2" t="s">
        <v>25745</v>
      </c>
      <c r="F6303" s="2" t="b">
        <v>1</v>
      </c>
      <c r="G6303" s="2" t="b">
        <v>0</v>
      </c>
      <c r="H6303" s="2" t="s">
        <v>37</v>
      </c>
      <c r="I6303" s="2" t="s">
        <v>22</v>
      </c>
      <c r="J6303" s="2" t="s">
        <v>1008</v>
      </c>
      <c r="K6303" s="2" t="s">
        <v>495</v>
      </c>
      <c r="L6303" s="13" t="s">
        <v>496</v>
      </c>
      <c r="M6303" s="2" t="s">
        <v>26</v>
      </c>
      <c r="N6303" s="29"/>
      <c r="O6303" s="29"/>
      <c r="P6303" s="5" t="str">
        <f>IFERROR(__xludf.DUMMYFUNCTION("TEXTJOIN("" | "",TRUE,IF(OR(D6303="""",E6303="""",I6303="""",J6303="""",H6303=""""),""ফাঁকা ঘর"",""""),IF(AND(C6303&lt;&gt;"""",D6303&lt;&gt;"""",C6303=D6303),""gloss=figurative"",""""),IF(LEN(D6303)&lt;15,""figurative ছোট"",""""),IF(AND(I6303=""Positive"",REGEXMATCH(H6"&amp;"303,""মূর্খ|ভণ্ড|প্রতার|অলস|লোভ|স্বার্থ|অক্ষম|অযোগ্য|বোকা|কৃপণ|হিংস"")),""valence-target অমিল"",""""),IF(COUNTIF($B:$B,B6303)&gt;1,""ডুপ্লিকেট"",""""))"),"")</f>
        <v/>
      </c>
      <c r="Q6303" s="5" t="str">
        <f t="shared" si="1"/>
        <v>২ পরে</v>
      </c>
    </row>
    <row r="6304">
      <c r="A6304" s="4">
        <v>4199.0</v>
      </c>
      <c r="B6304" s="2" t="s">
        <v>25746</v>
      </c>
      <c r="C6304" s="2" t="s">
        <v>25747</v>
      </c>
      <c r="D6304" s="2" t="s">
        <v>25748</v>
      </c>
      <c r="E6304" s="2" t="s">
        <v>25749</v>
      </c>
      <c r="F6304" s="2" t="b">
        <v>1</v>
      </c>
      <c r="G6304" s="2" t="b">
        <v>0</v>
      </c>
      <c r="H6304" s="2" t="s">
        <v>37</v>
      </c>
      <c r="I6304" s="2" t="s">
        <v>22</v>
      </c>
      <c r="J6304" s="2" t="s">
        <v>729</v>
      </c>
      <c r="K6304" s="2" t="s">
        <v>495</v>
      </c>
      <c r="L6304" s="13" t="s">
        <v>496</v>
      </c>
      <c r="M6304" s="2" t="s">
        <v>26</v>
      </c>
      <c r="N6304" s="29"/>
      <c r="O6304" s="29"/>
      <c r="P6304" s="5" t="str">
        <f>IFERROR(__xludf.DUMMYFUNCTION("TEXTJOIN("" | "",TRUE,IF(OR(D6304="""",E6304="""",I6304="""",J6304="""",H6304=""""),""ফাঁকা ঘর"",""""),IF(AND(C6304&lt;&gt;"""",D6304&lt;&gt;"""",C6304=D6304),""gloss=figurative"",""""),IF(LEN(D6304)&lt;15,""figurative ছোট"",""""),IF(AND(I6304=""Positive"",REGEXMATCH(H6"&amp;"304,""মূর্খ|ভণ্ড|প্রতার|অলস|লোভ|স্বার্থ|অক্ষম|অযোগ্য|বোকা|কৃপণ|হিংস"")),""valence-target অমিল"",""""),IF(COUNTIF($B:$B,B6304)&gt;1,""ডুপ্লিকেট"",""""))"),"")</f>
        <v/>
      </c>
      <c r="Q6304" s="5" t="str">
        <f t="shared" si="1"/>
        <v>২ পরে</v>
      </c>
    </row>
    <row r="6305">
      <c r="A6305" s="4">
        <v>4200.0</v>
      </c>
      <c r="B6305" s="2" t="s">
        <v>25750</v>
      </c>
      <c r="C6305" s="2" t="s">
        <v>25751</v>
      </c>
      <c r="D6305" s="2" t="s">
        <v>25752</v>
      </c>
      <c r="E6305" s="2" t="s">
        <v>25753</v>
      </c>
      <c r="F6305" s="2" t="b">
        <v>1</v>
      </c>
      <c r="G6305" s="2" t="b">
        <v>0</v>
      </c>
      <c r="H6305" s="2" t="s">
        <v>37</v>
      </c>
      <c r="I6305" s="2" t="s">
        <v>22</v>
      </c>
      <c r="J6305" s="2" t="s">
        <v>729</v>
      </c>
      <c r="K6305" s="2" t="s">
        <v>495</v>
      </c>
      <c r="L6305" s="13" t="s">
        <v>496</v>
      </c>
      <c r="M6305" s="2" t="s">
        <v>26</v>
      </c>
      <c r="N6305" s="29"/>
      <c r="O6305" s="29"/>
      <c r="P6305" s="5" t="str">
        <f>IFERROR(__xludf.DUMMYFUNCTION("TEXTJOIN("" | "",TRUE,IF(OR(D6305="""",E6305="""",I6305="""",J6305="""",H6305=""""),""ফাঁকা ঘর"",""""),IF(AND(C6305&lt;&gt;"""",D6305&lt;&gt;"""",C6305=D6305),""gloss=figurative"",""""),IF(LEN(D6305)&lt;15,""figurative ছোট"",""""),IF(AND(I6305=""Positive"",REGEXMATCH(H6"&amp;"305,""মূর্খ|ভণ্ড|প্রতার|অলস|লোভ|স্বার্থ|অক্ষম|অযোগ্য|বোকা|কৃপণ|হিংস"")),""valence-target অমিল"",""""),IF(COUNTIF($B:$B,B6305)&gt;1,""ডুপ্লিকেট"",""""))"),"")</f>
        <v/>
      </c>
      <c r="Q6305" s="5" t="str">
        <f t="shared" si="1"/>
        <v>২ পরে</v>
      </c>
    </row>
    <row r="6306">
      <c r="A6306" s="4">
        <v>4202.0</v>
      </c>
      <c r="B6306" s="2" t="s">
        <v>25754</v>
      </c>
      <c r="C6306" s="2" t="s">
        <v>25755</v>
      </c>
      <c r="D6306" s="2" t="s">
        <v>25756</v>
      </c>
      <c r="E6306" s="2" t="s">
        <v>25757</v>
      </c>
      <c r="F6306" s="2" t="b">
        <v>1</v>
      </c>
      <c r="G6306" s="2" t="b">
        <v>0</v>
      </c>
      <c r="H6306" s="2" t="s">
        <v>37</v>
      </c>
      <c r="I6306" s="2" t="s">
        <v>32</v>
      </c>
      <c r="J6306" s="2" t="s">
        <v>729</v>
      </c>
      <c r="K6306" s="2" t="s">
        <v>495</v>
      </c>
      <c r="L6306" s="13" t="s">
        <v>496</v>
      </c>
      <c r="M6306" s="2" t="s">
        <v>26</v>
      </c>
      <c r="N6306" s="29"/>
      <c r="O6306" s="29"/>
      <c r="P6306" s="5" t="str">
        <f>IFERROR(__xludf.DUMMYFUNCTION("TEXTJOIN("" | "",TRUE,IF(OR(D6306="""",E6306="""",I6306="""",J6306="""",H6306=""""),""ফাঁকা ঘর"",""""),IF(AND(C6306&lt;&gt;"""",D6306&lt;&gt;"""",C6306=D6306),""gloss=figurative"",""""),IF(LEN(D6306)&lt;15,""figurative ছোট"",""""),IF(AND(I6306=""Positive"",REGEXMATCH(H6"&amp;"306,""মূর্খ|ভণ্ড|প্রতার|অলস|লোভ|স্বার্থ|অক্ষম|অযোগ্য|বোকা|কৃপণ|হিংস"")),""valence-target অমিল"",""""),IF(COUNTIF($B:$B,B6306)&gt;1,""ডুপ্লিকেট"",""""))"),"")</f>
        <v/>
      </c>
      <c r="Q6306" s="5" t="str">
        <f t="shared" si="1"/>
        <v>২ পরে</v>
      </c>
    </row>
    <row r="6307">
      <c r="A6307" s="4">
        <v>4203.0</v>
      </c>
      <c r="B6307" s="2" t="s">
        <v>25758</v>
      </c>
      <c r="C6307" s="2" t="s">
        <v>25759</v>
      </c>
      <c r="D6307" s="2" t="s">
        <v>25760</v>
      </c>
      <c r="E6307" s="2" t="s">
        <v>25761</v>
      </c>
      <c r="F6307" s="2" t="b">
        <v>1</v>
      </c>
      <c r="G6307" s="2" t="b">
        <v>0</v>
      </c>
      <c r="H6307" s="2" t="s">
        <v>37</v>
      </c>
      <c r="I6307" s="2" t="s">
        <v>32</v>
      </c>
      <c r="J6307" s="2" t="s">
        <v>729</v>
      </c>
      <c r="K6307" s="2" t="s">
        <v>495</v>
      </c>
      <c r="L6307" s="13" t="s">
        <v>496</v>
      </c>
      <c r="M6307" s="2" t="s">
        <v>26</v>
      </c>
      <c r="N6307" s="29"/>
      <c r="O6307" s="29"/>
      <c r="P6307" s="5" t="str">
        <f>IFERROR(__xludf.DUMMYFUNCTION("TEXTJOIN("" | "",TRUE,IF(OR(D6307="""",E6307="""",I6307="""",J6307="""",H6307=""""),""ফাঁকা ঘর"",""""),IF(AND(C6307&lt;&gt;"""",D6307&lt;&gt;"""",C6307=D6307),""gloss=figurative"",""""),IF(LEN(D6307)&lt;15,""figurative ছোট"",""""),IF(AND(I6307=""Positive"",REGEXMATCH(H6"&amp;"307,""মূর্খ|ভণ্ড|প্রতার|অলস|লোভ|স্বার্থ|অক্ষম|অযোগ্য|বোকা|কৃপণ|হিংস"")),""valence-target অমিল"",""""),IF(COUNTIF($B:$B,B6307)&gt;1,""ডুপ্লিকেট"",""""))"),"")</f>
        <v/>
      </c>
      <c r="Q6307" s="5" t="str">
        <f t="shared" si="1"/>
        <v>২ পরে</v>
      </c>
    </row>
    <row r="6308">
      <c r="A6308" s="4">
        <v>4204.0</v>
      </c>
      <c r="B6308" s="2" t="s">
        <v>25762</v>
      </c>
      <c r="C6308" s="2" t="s">
        <v>25763</v>
      </c>
      <c r="D6308" s="2" t="s">
        <v>25764</v>
      </c>
      <c r="E6308" s="2" t="s">
        <v>16011</v>
      </c>
      <c r="F6308" s="2" t="b">
        <v>1</v>
      </c>
      <c r="G6308" s="2" t="b">
        <v>0</v>
      </c>
      <c r="H6308" s="2" t="s">
        <v>37</v>
      </c>
      <c r="I6308" s="2" t="s">
        <v>32</v>
      </c>
      <c r="J6308" s="2" t="s">
        <v>729</v>
      </c>
      <c r="K6308" s="2" t="s">
        <v>495</v>
      </c>
      <c r="L6308" s="13" t="s">
        <v>496</v>
      </c>
      <c r="M6308" s="2" t="s">
        <v>26</v>
      </c>
      <c r="N6308" s="29"/>
      <c r="O6308" s="29"/>
      <c r="P6308" s="5" t="str">
        <f>IFERROR(__xludf.DUMMYFUNCTION("TEXTJOIN("" | "",TRUE,IF(OR(D6308="""",E6308="""",I6308="""",J6308="""",H6308=""""),""ফাঁকা ঘর"",""""),IF(AND(C6308&lt;&gt;"""",D6308&lt;&gt;"""",C6308=D6308),""gloss=figurative"",""""),IF(LEN(D6308)&lt;15,""figurative ছোট"",""""),IF(AND(I6308=""Positive"",REGEXMATCH(H6"&amp;"308,""মূর্খ|ভণ্ড|প্রতার|অলস|লোভ|স্বার্থ|অক্ষম|অযোগ্য|বোকা|কৃপণ|হিংস"")),""valence-target অমিল"",""""),IF(COUNTIF($B:$B,B6308)&gt;1,""ডুপ্লিকেট"",""""))"),"")</f>
        <v/>
      </c>
      <c r="Q6308" s="5" t="str">
        <f t="shared" si="1"/>
        <v>২ পরে</v>
      </c>
    </row>
    <row r="6309">
      <c r="A6309" s="4">
        <v>4205.0</v>
      </c>
      <c r="B6309" s="2" t="s">
        <v>25765</v>
      </c>
      <c r="C6309" s="2" t="s">
        <v>25765</v>
      </c>
      <c r="D6309" s="2" t="s">
        <v>25766</v>
      </c>
      <c r="E6309" s="2" t="s">
        <v>25767</v>
      </c>
      <c r="F6309" s="2" t="b">
        <v>1</v>
      </c>
      <c r="G6309" s="2" t="b">
        <v>0</v>
      </c>
      <c r="H6309" s="2" t="s">
        <v>37</v>
      </c>
      <c r="I6309" s="2" t="s">
        <v>22</v>
      </c>
      <c r="J6309" s="2" t="s">
        <v>729</v>
      </c>
      <c r="K6309" s="2" t="s">
        <v>495</v>
      </c>
      <c r="L6309" s="13" t="s">
        <v>496</v>
      </c>
      <c r="M6309" s="2" t="s">
        <v>26</v>
      </c>
      <c r="N6309" s="29"/>
      <c r="O6309" s="29"/>
      <c r="P6309" s="5" t="str">
        <f>IFERROR(__xludf.DUMMYFUNCTION("TEXTJOIN("" | "",TRUE,IF(OR(D6309="""",E6309="""",I6309="""",J6309="""",H6309=""""),""ফাঁকা ঘর"",""""),IF(AND(C6309&lt;&gt;"""",D6309&lt;&gt;"""",C6309=D6309),""gloss=figurative"",""""),IF(LEN(D6309)&lt;15,""figurative ছোট"",""""),IF(AND(I6309=""Positive"",REGEXMATCH(H6"&amp;"309,""মূর্খ|ভণ্ড|প্রতার|অলস|লোভ|স্বার্থ|অক্ষম|অযোগ্য|বোকা|কৃপণ|হিংস"")),""valence-target অমিল"",""""),IF(COUNTIF($B:$B,B6309)&gt;1,""ডুপ্লিকেট"",""""))"),"")</f>
        <v/>
      </c>
      <c r="Q6309" s="5" t="str">
        <f t="shared" si="1"/>
        <v>২ পরে</v>
      </c>
    </row>
    <row r="6310">
      <c r="A6310" s="4">
        <v>4206.0</v>
      </c>
      <c r="B6310" s="2" t="s">
        <v>25768</v>
      </c>
      <c r="C6310" s="2" t="s">
        <v>25768</v>
      </c>
      <c r="D6310" s="2" t="s">
        <v>25769</v>
      </c>
      <c r="E6310" s="2" t="s">
        <v>25770</v>
      </c>
      <c r="F6310" s="2" t="b">
        <v>1</v>
      </c>
      <c r="G6310" s="2" t="b">
        <v>0</v>
      </c>
      <c r="H6310" s="2" t="s">
        <v>37</v>
      </c>
      <c r="I6310" s="2" t="s">
        <v>22</v>
      </c>
      <c r="J6310" s="2" t="s">
        <v>729</v>
      </c>
      <c r="K6310" s="2" t="s">
        <v>495</v>
      </c>
      <c r="L6310" s="13" t="s">
        <v>496</v>
      </c>
      <c r="M6310" s="2" t="s">
        <v>26</v>
      </c>
      <c r="N6310" s="29"/>
      <c r="O6310" s="29"/>
      <c r="P6310" s="5" t="str">
        <f>IFERROR(__xludf.DUMMYFUNCTION("TEXTJOIN("" | "",TRUE,IF(OR(D6310="""",E6310="""",I6310="""",J6310="""",H6310=""""),""ফাঁকা ঘর"",""""),IF(AND(C6310&lt;&gt;"""",D6310&lt;&gt;"""",C6310=D6310),""gloss=figurative"",""""),IF(LEN(D6310)&lt;15,""figurative ছোট"",""""),IF(AND(I6310=""Positive"",REGEXMATCH(H6"&amp;"310,""মূর্খ|ভণ্ড|প্রতার|অলস|লোভ|স্বার্থ|অক্ষম|অযোগ্য|বোকা|কৃপণ|হিংস"")),""valence-target অমিল"",""""),IF(COUNTIF($B:$B,B6310)&gt;1,""ডুপ্লিকেট"",""""))"),"")</f>
        <v/>
      </c>
      <c r="Q6310" s="5" t="str">
        <f t="shared" si="1"/>
        <v>২ পরে</v>
      </c>
    </row>
    <row r="6311">
      <c r="A6311" s="4">
        <v>4207.0</v>
      </c>
      <c r="B6311" s="2" t="s">
        <v>25771</v>
      </c>
      <c r="C6311" s="2" t="s">
        <v>25772</v>
      </c>
      <c r="D6311" s="2" t="s">
        <v>25773</v>
      </c>
      <c r="E6311" s="2" t="s">
        <v>25774</v>
      </c>
      <c r="F6311" s="2" t="b">
        <v>1</v>
      </c>
      <c r="G6311" s="2" t="b">
        <v>0</v>
      </c>
      <c r="H6311" s="2" t="s">
        <v>37</v>
      </c>
      <c r="I6311" s="2" t="s">
        <v>22</v>
      </c>
      <c r="J6311" s="2" t="s">
        <v>4112</v>
      </c>
      <c r="K6311" s="2" t="s">
        <v>495</v>
      </c>
      <c r="L6311" s="13" t="s">
        <v>496</v>
      </c>
      <c r="M6311" s="2" t="s">
        <v>26</v>
      </c>
      <c r="N6311" s="29"/>
      <c r="O6311" s="29"/>
      <c r="P6311" s="5" t="str">
        <f>IFERROR(__xludf.DUMMYFUNCTION("TEXTJOIN("" | "",TRUE,IF(OR(D6311="""",E6311="""",I6311="""",J6311="""",H6311=""""),""ফাঁকা ঘর"",""""),IF(AND(C6311&lt;&gt;"""",D6311&lt;&gt;"""",C6311=D6311),""gloss=figurative"",""""),IF(LEN(D6311)&lt;15,""figurative ছোট"",""""),IF(AND(I6311=""Positive"",REGEXMATCH(H6"&amp;"311,""মূর্খ|ভণ্ড|প্রতার|অলস|লোভ|স্বার্থ|অক্ষম|অযোগ্য|বোকা|কৃপণ|হিংস"")),""valence-target অমিল"",""""),IF(COUNTIF($B:$B,B6311)&gt;1,""ডুপ্লিকেট"",""""))"),"")</f>
        <v/>
      </c>
      <c r="Q6311" s="5" t="str">
        <f t="shared" si="1"/>
        <v>২ পরে</v>
      </c>
    </row>
    <row r="6312">
      <c r="A6312" s="4">
        <v>4208.0</v>
      </c>
      <c r="B6312" s="2" t="s">
        <v>25775</v>
      </c>
      <c r="C6312" s="2" t="s">
        <v>25776</v>
      </c>
      <c r="D6312" s="2" t="s">
        <v>25777</v>
      </c>
      <c r="E6312" s="2" t="s">
        <v>25778</v>
      </c>
      <c r="F6312" s="2" t="b">
        <v>1</v>
      </c>
      <c r="G6312" s="2" t="b">
        <v>0</v>
      </c>
      <c r="H6312" s="2" t="s">
        <v>37</v>
      </c>
      <c r="I6312" s="2" t="s">
        <v>22</v>
      </c>
      <c r="J6312" s="2" t="s">
        <v>729</v>
      </c>
      <c r="K6312" s="2" t="s">
        <v>495</v>
      </c>
      <c r="L6312" s="13" t="s">
        <v>496</v>
      </c>
      <c r="M6312" s="2" t="s">
        <v>26</v>
      </c>
      <c r="N6312" s="29"/>
      <c r="O6312" s="29"/>
      <c r="P6312" s="5" t="str">
        <f>IFERROR(__xludf.DUMMYFUNCTION("TEXTJOIN("" | "",TRUE,IF(OR(D6312="""",E6312="""",I6312="""",J6312="""",H6312=""""),""ফাঁকা ঘর"",""""),IF(AND(C6312&lt;&gt;"""",D6312&lt;&gt;"""",C6312=D6312),""gloss=figurative"",""""),IF(LEN(D6312)&lt;15,""figurative ছোট"",""""),IF(AND(I6312=""Positive"",REGEXMATCH(H6"&amp;"312,""মূর্খ|ভণ্ড|প্রতার|অলস|লোভ|স্বার্থ|অক্ষম|অযোগ্য|বোকা|কৃপণ|হিংস"")),""valence-target অমিল"",""""),IF(COUNTIF($B:$B,B6312)&gt;1,""ডুপ্লিকেট"",""""))"),"")</f>
        <v/>
      </c>
      <c r="Q6312" s="5" t="str">
        <f t="shared" si="1"/>
        <v>২ পরে</v>
      </c>
    </row>
    <row r="6313">
      <c r="A6313" s="4">
        <v>4209.0</v>
      </c>
      <c r="B6313" s="2" t="s">
        <v>25779</v>
      </c>
      <c r="C6313" s="2" t="s">
        <v>25780</v>
      </c>
      <c r="D6313" s="2" t="s">
        <v>25781</v>
      </c>
      <c r="E6313" s="2" t="s">
        <v>25782</v>
      </c>
      <c r="F6313" s="2" t="b">
        <v>1</v>
      </c>
      <c r="G6313" s="2" t="b">
        <v>1</v>
      </c>
      <c r="H6313" s="2" t="s">
        <v>800</v>
      </c>
      <c r="I6313" s="2" t="s">
        <v>22</v>
      </c>
      <c r="J6313" s="2" t="s">
        <v>1315</v>
      </c>
      <c r="K6313" s="2" t="s">
        <v>495</v>
      </c>
      <c r="L6313" s="13" t="s">
        <v>496</v>
      </c>
      <c r="M6313" s="2" t="s">
        <v>26</v>
      </c>
      <c r="N6313" s="29"/>
      <c r="O6313" s="29"/>
      <c r="P6313" s="5" t="str">
        <f>IFERROR(__xludf.DUMMYFUNCTION("TEXTJOIN("" | "",TRUE,IF(OR(D6313="""",E6313="""",I6313="""",J6313="""",H6313=""""),""ফাঁকা ঘর"",""""),IF(AND(C6313&lt;&gt;"""",D6313&lt;&gt;"""",C6313=D6313),""gloss=figurative"",""""),IF(LEN(D6313)&lt;15,""figurative ছোট"",""""),IF(AND(I6313=""Positive"",REGEXMATCH(H6"&amp;"313,""মূর্খ|ভণ্ড|প্রতার|অলস|লোভ|স্বার্থ|অক্ষম|অযোগ্য|বোকা|কৃপণ|হিংস"")),""valence-target অমিল"",""""),IF(COUNTIF($B:$B,B6313)&gt;1,""ডুপ্লিকেট"",""""))"),"")</f>
        <v/>
      </c>
      <c r="Q6313" s="5" t="str">
        <f t="shared" si="1"/>
        <v>২ পরে</v>
      </c>
    </row>
    <row r="6314">
      <c r="A6314" s="4">
        <v>4211.0</v>
      </c>
      <c r="B6314" s="2" t="s">
        <v>25783</v>
      </c>
      <c r="C6314" s="2" t="s">
        <v>25784</v>
      </c>
      <c r="D6314" s="2" t="s">
        <v>25785</v>
      </c>
      <c r="E6314" s="2" t="s">
        <v>25786</v>
      </c>
      <c r="F6314" s="2" t="b">
        <v>1</v>
      </c>
      <c r="G6314" s="2" t="b">
        <v>0</v>
      </c>
      <c r="H6314" s="2" t="s">
        <v>37</v>
      </c>
      <c r="I6314" s="2" t="s">
        <v>22</v>
      </c>
      <c r="J6314" s="2" t="s">
        <v>2040</v>
      </c>
      <c r="K6314" s="2" t="s">
        <v>495</v>
      </c>
      <c r="L6314" s="13" t="s">
        <v>496</v>
      </c>
      <c r="M6314" s="2" t="s">
        <v>26</v>
      </c>
      <c r="N6314" s="29"/>
      <c r="O6314" s="29"/>
      <c r="P6314" s="5" t="str">
        <f>IFERROR(__xludf.DUMMYFUNCTION("TEXTJOIN("" | "",TRUE,IF(OR(D6314="""",E6314="""",I6314="""",J6314="""",H6314=""""),""ফাঁকা ঘর"",""""),IF(AND(C6314&lt;&gt;"""",D6314&lt;&gt;"""",C6314=D6314),""gloss=figurative"",""""),IF(LEN(D6314)&lt;15,""figurative ছোট"",""""),IF(AND(I6314=""Positive"",REGEXMATCH(H6"&amp;"314,""মূর্খ|ভণ্ড|প্রতার|অলস|লোভ|স্বার্থ|অক্ষম|অযোগ্য|বোকা|কৃপণ|হিংস"")),""valence-target অমিল"",""""),IF(COUNTIF($B:$B,B6314)&gt;1,""ডুপ্লিকেট"",""""))"),"")</f>
        <v/>
      </c>
      <c r="Q6314" s="5" t="str">
        <f t="shared" si="1"/>
        <v>২ পরে</v>
      </c>
    </row>
    <row r="6315">
      <c r="A6315" s="4">
        <v>4212.0</v>
      </c>
      <c r="B6315" s="2" t="s">
        <v>25787</v>
      </c>
      <c r="C6315" s="2" t="s">
        <v>25788</v>
      </c>
      <c r="D6315" s="2" t="s">
        <v>25789</v>
      </c>
      <c r="E6315" s="2" t="s">
        <v>25790</v>
      </c>
      <c r="F6315" s="2" t="b">
        <v>1</v>
      </c>
      <c r="G6315" s="2" t="b">
        <v>0</v>
      </c>
      <c r="H6315" s="2" t="s">
        <v>37</v>
      </c>
      <c r="I6315" s="2" t="s">
        <v>22</v>
      </c>
      <c r="J6315" s="2" t="s">
        <v>729</v>
      </c>
      <c r="K6315" s="2" t="s">
        <v>495</v>
      </c>
      <c r="L6315" s="13" t="s">
        <v>496</v>
      </c>
      <c r="M6315" s="2" t="s">
        <v>26</v>
      </c>
      <c r="N6315" s="29"/>
      <c r="O6315" s="29"/>
      <c r="P6315" s="5" t="str">
        <f>IFERROR(__xludf.DUMMYFUNCTION("TEXTJOIN("" | "",TRUE,IF(OR(D6315="""",E6315="""",I6315="""",J6315="""",H6315=""""),""ফাঁকা ঘর"",""""),IF(AND(C6315&lt;&gt;"""",D6315&lt;&gt;"""",C6315=D6315),""gloss=figurative"",""""),IF(LEN(D6315)&lt;15,""figurative ছোট"",""""),IF(AND(I6315=""Positive"",REGEXMATCH(H6"&amp;"315,""মূর্খ|ভণ্ড|প্রতার|অলস|লোভ|স্বার্থ|অক্ষম|অযোগ্য|বোকা|কৃপণ|হিংস"")),""valence-target অমিল"",""""),IF(COUNTIF($B:$B,B6315)&gt;1,""ডুপ্লিকেট"",""""))"),"")</f>
        <v/>
      </c>
      <c r="Q6315" s="5" t="str">
        <f t="shared" si="1"/>
        <v>২ পরে</v>
      </c>
    </row>
    <row r="6316">
      <c r="A6316" s="4">
        <v>4214.0</v>
      </c>
      <c r="B6316" s="2" t="s">
        <v>25791</v>
      </c>
      <c r="C6316" s="2" t="s">
        <v>25792</v>
      </c>
      <c r="D6316" s="2" t="s">
        <v>25793</v>
      </c>
      <c r="E6316" s="2" t="s">
        <v>25794</v>
      </c>
      <c r="F6316" s="2" t="b">
        <v>1</v>
      </c>
      <c r="G6316" s="2" t="b">
        <v>0</v>
      </c>
      <c r="H6316" s="2" t="s">
        <v>37</v>
      </c>
      <c r="I6316" s="2" t="s">
        <v>32</v>
      </c>
      <c r="J6316" s="2" t="s">
        <v>729</v>
      </c>
      <c r="K6316" s="2" t="s">
        <v>495</v>
      </c>
      <c r="L6316" s="13" t="s">
        <v>496</v>
      </c>
      <c r="M6316" s="2" t="s">
        <v>26</v>
      </c>
      <c r="N6316" s="29"/>
      <c r="O6316" s="29"/>
      <c r="P6316" s="5" t="str">
        <f>IFERROR(__xludf.DUMMYFUNCTION("TEXTJOIN("" | "",TRUE,IF(OR(D6316="""",E6316="""",I6316="""",J6316="""",H6316=""""),""ফাঁকা ঘর"",""""),IF(AND(C6316&lt;&gt;"""",D6316&lt;&gt;"""",C6316=D6316),""gloss=figurative"",""""),IF(LEN(D6316)&lt;15,""figurative ছোট"",""""),IF(AND(I6316=""Positive"",REGEXMATCH(H6"&amp;"316,""মূর্খ|ভণ্ড|প্রতার|অলস|লোভ|স্বার্থ|অক্ষম|অযোগ্য|বোকা|কৃপণ|হিংস"")),""valence-target অমিল"",""""),IF(COUNTIF($B:$B,B6316)&gt;1,""ডুপ্লিকেট"",""""))"),"")</f>
        <v/>
      </c>
      <c r="Q6316" s="5" t="str">
        <f t="shared" si="1"/>
        <v>২ পরে</v>
      </c>
    </row>
    <row r="6317">
      <c r="A6317" s="4">
        <v>4215.0</v>
      </c>
      <c r="B6317" s="2" t="s">
        <v>25795</v>
      </c>
      <c r="C6317" s="2" t="s">
        <v>25796</v>
      </c>
      <c r="D6317" s="2" t="s">
        <v>25797</v>
      </c>
      <c r="E6317" s="2" t="s">
        <v>25798</v>
      </c>
      <c r="F6317" s="2" t="b">
        <v>1</v>
      </c>
      <c r="G6317" s="2" t="b">
        <v>0</v>
      </c>
      <c r="H6317" s="2" t="s">
        <v>37</v>
      </c>
      <c r="I6317" s="2" t="s">
        <v>22</v>
      </c>
      <c r="J6317" s="2" t="s">
        <v>729</v>
      </c>
      <c r="K6317" s="2" t="s">
        <v>495</v>
      </c>
      <c r="L6317" s="13" t="s">
        <v>496</v>
      </c>
      <c r="M6317" s="2" t="s">
        <v>26</v>
      </c>
      <c r="N6317" s="29"/>
      <c r="O6317" s="29"/>
      <c r="P6317" s="5" t="str">
        <f>IFERROR(__xludf.DUMMYFUNCTION("TEXTJOIN("" | "",TRUE,IF(OR(D6317="""",E6317="""",I6317="""",J6317="""",H6317=""""),""ফাঁকা ঘর"",""""),IF(AND(C6317&lt;&gt;"""",D6317&lt;&gt;"""",C6317=D6317),""gloss=figurative"",""""),IF(LEN(D6317)&lt;15,""figurative ছোট"",""""),IF(AND(I6317=""Positive"",REGEXMATCH(H6"&amp;"317,""মূর্খ|ভণ্ড|প্রতার|অলস|লোভ|স্বার্থ|অক্ষম|অযোগ্য|বোকা|কৃপণ|হিংস"")),""valence-target অমিল"",""""),IF(COUNTIF($B:$B,B6317)&gt;1,""ডুপ্লিকেট"",""""))"),"")</f>
        <v/>
      </c>
      <c r="Q6317" s="5" t="str">
        <f t="shared" si="1"/>
        <v>২ পরে</v>
      </c>
    </row>
    <row r="6318">
      <c r="A6318" s="4">
        <v>4216.0</v>
      </c>
      <c r="B6318" s="2" t="s">
        <v>25799</v>
      </c>
      <c r="C6318" s="2" t="s">
        <v>10136</v>
      </c>
      <c r="D6318" s="2" t="s">
        <v>25800</v>
      </c>
      <c r="E6318" s="2" t="s">
        <v>16007</v>
      </c>
      <c r="F6318" s="2" t="b">
        <v>1</v>
      </c>
      <c r="G6318" s="2" t="b">
        <v>0</v>
      </c>
      <c r="H6318" s="2" t="s">
        <v>37</v>
      </c>
      <c r="I6318" s="2" t="s">
        <v>49</v>
      </c>
      <c r="J6318" s="2" t="s">
        <v>729</v>
      </c>
      <c r="K6318" s="2" t="s">
        <v>495</v>
      </c>
      <c r="L6318" s="13" t="s">
        <v>496</v>
      </c>
      <c r="M6318" s="2" t="s">
        <v>26</v>
      </c>
      <c r="N6318" s="29"/>
      <c r="O6318" s="29"/>
      <c r="P6318" s="5" t="str">
        <f>IFERROR(__xludf.DUMMYFUNCTION("TEXTJOIN("" | "",TRUE,IF(OR(D6318="""",E6318="""",I6318="""",J6318="""",H6318=""""),""ফাঁকা ঘর"",""""),IF(AND(C6318&lt;&gt;"""",D6318&lt;&gt;"""",C6318=D6318),""gloss=figurative"",""""),IF(LEN(D6318)&lt;15,""figurative ছোট"",""""),IF(AND(I6318=""Positive"",REGEXMATCH(H6"&amp;"318,""মূর্খ|ভণ্ড|প্রতার|অলস|লোভ|স্বার্থ|অক্ষম|অযোগ্য|বোকা|কৃপণ|হিংস"")),""valence-target অমিল"",""""),IF(COUNTIF($B:$B,B6318)&gt;1,""ডুপ্লিকেট"",""""))"),"")</f>
        <v/>
      </c>
      <c r="Q6318" s="5" t="str">
        <f t="shared" si="1"/>
        <v>২ পরে</v>
      </c>
    </row>
    <row r="6319">
      <c r="A6319" s="4">
        <v>4217.0</v>
      </c>
      <c r="B6319" s="2" t="s">
        <v>25801</v>
      </c>
      <c r="C6319" s="2" t="s">
        <v>25802</v>
      </c>
      <c r="D6319" s="2" t="s">
        <v>25803</v>
      </c>
      <c r="E6319" s="2" t="s">
        <v>25804</v>
      </c>
      <c r="F6319" s="2" t="b">
        <v>1</v>
      </c>
      <c r="G6319" s="2" t="b">
        <v>0</v>
      </c>
      <c r="H6319" s="2" t="s">
        <v>37</v>
      </c>
      <c r="I6319" s="2" t="s">
        <v>49</v>
      </c>
      <c r="J6319" s="2" t="s">
        <v>729</v>
      </c>
      <c r="K6319" s="2" t="s">
        <v>495</v>
      </c>
      <c r="L6319" s="13" t="s">
        <v>496</v>
      </c>
      <c r="M6319" s="2" t="s">
        <v>26</v>
      </c>
      <c r="N6319" s="29"/>
      <c r="O6319" s="29"/>
      <c r="P6319" s="5" t="str">
        <f>IFERROR(__xludf.DUMMYFUNCTION("TEXTJOIN("" | "",TRUE,IF(OR(D6319="""",E6319="""",I6319="""",J6319="""",H6319=""""),""ফাঁকা ঘর"",""""),IF(AND(C6319&lt;&gt;"""",D6319&lt;&gt;"""",C6319=D6319),""gloss=figurative"",""""),IF(LEN(D6319)&lt;15,""figurative ছোট"",""""),IF(AND(I6319=""Positive"",REGEXMATCH(H6"&amp;"319,""মূর্খ|ভণ্ড|প্রতার|অলস|লোভ|স্বার্থ|অক্ষম|অযোগ্য|বোকা|কৃপণ|হিংস"")),""valence-target অমিল"",""""),IF(COUNTIF($B:$B,B6319)&gt;1,""ডুপ্লিকেট"",""""))"),"")</f>
        <v/>
      </c>
      <c r="Q6319" s="5" t="str">
        <f t="shared" si="1"/>
        <v>২ পরে</v>
      </c>
    </row>
    <row r="6320">
      <c r="A6320" s="4">
        <v>4218.0</v>
      </c>
      <c r="B6320" s="2" t="s">
        <v>25805</v>
      </c>
      <c r="C6320" s="2" t="s">
        <v>25806</v>
      </c>
      <c r="D6320" s="2" t="s">
        <v>25807</v>
      </c>
      <c r="E6320" s="2" t="s">
        <v>25808</v>
      </c>
      <c r="F6320" s="2" t="b">
        <v>1</v>
      </c>
      <c r="G6320" s="2" t="b">
        <v>0</v>
      </c>
      <c r="H6320" s="2" t="s">
        <v>37</v>
      </c>
      <c r="I6320" s="2" t="s">
        <v>22</v>
      </c>
      <c r="J6320" s="2" t="s">
        <v>729</v>
      </c>
      <c r="K6320" s="2" t="s">
        <v>495</v>
      </c>
      <c r="L6320" s="13" t="s">
        <v>496</v>
      </c>
      <c r="M6320" s="2" t="s">
        <v>26</v>
      </c>
      <c r="N6320" s="29"/>
      <c r="O6320" s="29"/>
      <c r="P6320" s="5" t="str">
        <f>IFERROR(__xludf.DUMMYFUNCTION("TEXTJOIN("" | "",TRUE,IF(OR(D6320="""",E6320="""",I6320="""",J6320="""",H6320=""""),""ফাঁকা ঘর"",""""),IF(AND(C6320&lt;&gt;"""",D6320&lt;&gt;"""",C6320=D6320),""gloss=figurative"",""""),IF(LEN(D6320)&lt;15,""figurative ছোট"",""""),IF(AND(I6320=""Positive"",REGEXMATCH(H6"&amp;"320,""মূর্খ|ভণ্ড|প্রতার|অলস|লোভ|স্বার্থ|অক্ষম|অযোগ্য|বোকা|কৃপণ|হিংস"")),""valence-target অমিল"",""""),IF(COUNTIF($B:$B,B6320)&gt;1,""ডুপ্লিকেট"",""""))"),"")</f>
        <v/>
      </c>
      <c r="Q6320" s="5" t="str">
        <f t="shared" si="1"/>
        <v>২ পরে</v>
      </c>
    </row>
    <row r="6321">
      <c r="A6321" s="4">
        <v>4219.0</v>
      </c>
      <c r="B6321" s="2" t="s">
        <v>25809</v>
      </c>
      <c r="C6321" s="2" t="s">
        <v>25810</v>
      </c>
      <c r="D6321" s="2" t="s">
        <v>25811</v>
      </c>
      <c r="E6321" s="2" t="s">
        <v>25812</v>
      </c>
      <c r="F6321" s="2" t="b">
        <v>1</v>
      </c>
      <c r="G6321" s="2" t="b">
        <v>0</v>
      </c>
      <c r="H6321" s="2" t="s">
        <v>37</v>
      </c>
      <c r="I6321" s="2" t="s">
        <v>22</v>
      </c>
      <c r="J6321" s="2" t="s">
        <v>729</v>
      </c>
      <c r="K6321" s="2" t="s">
        <v>495</v>
      </c>
      <c r="L6321" s="13" t="s">
        <v>496</v>
      </c>
      <c r="M6321" s="2" t="s">
        <v>26</v>
      </c>
      <c r="N6321" s="29"/>
      <c r="O6321" s="29"/>
      <c r="P6321" s="5" t="str">
        <f>IFERROR(__xludf.DUMMYFUNCTION("TEXTJOIN("" | "",TRUE,IF(OR(D6321="""",E6321="""",I6321="""",J6321="""",H6321=""""),""ফাঁকা ঘর"",""""),IF(AND(C6321&lt;&gt;"""",D6321&lt;&gt;"""",C6321=D6321),""gloss=figurative"",""""),IF(LEN(D6321)&lt;15,""figurative ছোট"",""""),IF(AND(I6321=""Positive"",REGEXMATCH(H6"&amp;"321,""মূর্খ|ভণ্ড|প্রতার|অলস|লোভ|স্বার্থ|অক্ষম|অযোগ্য|বোকা|কৃপণ|হিংস"")),""valence-target অমিল"",""""),IF(COUNTIF($B:$B,B6321)&gt;1,""ডুপ্লিকেট"",""""))"),"")</f>
        <v/>
      </c>
      <c r="Q6321" s="5" t="str">
        <f t="shared" si="1"/>
        <v>২ পরে</v>
      </c>
    </row>
    <row r="6322">
      <c r="A6322" s="4">
        <v>4220.0</v>
      </c>
      <c r="B6322" s="2" t="s">
        <v>25813</v>
      </c>
      <c r="C6322" s="2" t="s">
        <v>25814</v>
      </c>
      <c r="D6322" s="2" t="s">
        <v>25815</v>
      </c>
      <c r="E6322" s="2" t="s">
        <v>25816</v>
      </c>
      <c r="F6322" s="2" t="b">
        <v>1</v>
      </c>
      <c r="G6322" s="2" t="b">
        <v>0</v>
      </c>
      <c r="H6322" s="2" t="s">
        <v>37</v>
      </c>
      <c r="I6322" s="2" t="s">
        <v>32</v>
      </c>
      <c r="J6322" s="2" t="s">
        <v>729</v>
      </c>
      <c r="K6322" s="2" t="s">
        <v>495</v>
      </c>
      <c r="L6322" s="13" t="s">
        <v>496</v>
      </c>
      <c r="M6322" s="2" t="s">
        <v>26</v>
      </c>
      <c r="N6322" s="29"/>
      <c r="O6322" s="29"/>
      <c r="P6322" s="5" t="str">
        <f>IFERROR(__xludf.DUMMYFUNCTION("TEXTJOIN("" | "",TRUE,IF(OR(D6322="""",E6322="""",I6322="""",J6322="""",H6322=""""),""ফাঁকা ঘর"",""""),IF(AND(C6322&lt;&gt;"""",D6322&lt;&gt;"""",C6322=D6322),""gloss=figurative"",""""),IF(LEN(D6322)&lt;15,""figurative ছোট"",""""),IF(AND(I6322=""Positive"",REGEXMATCH(H6"&amp;"322,""মূর্খ|ভণ্ড|প্রতার|অলস|লোভ|স্বার্থ|অক্ষম|অযোগ্য|বোকা|কৃপণ|হিংস"")),""valence-target অমিল"",""""),IF(COUNTIF($B:$B,B6322)&gt;1,""ডুপ্লিকেট"",""""))"),"")</f>
        <v/>
      </c>
      <c r="Q6322" s="5" t="str">
        <f t="shared" si="1"/>
        <v>২ পরে</v>
      </c>
    </row>
    <row r="6323">
      <c r="A6323" s="4">
        <v>4221.0</v>
      </c>
      <c r="B6323" s="2" t="s">
        <v>25817</v>
      </c>
      <c r="C6323" s="2" t="s">
        <v>25817</v>
      </c>
      <c r="D6323" s="2" t="s">
        <v>25818</v>
      </c>
      <c r="E6323" s="2" t="s">
        <v>25819</v>
      </c>
      <c r="F6323" s="2" t="b">
        <v>1</v>
      </c>
      <c r="G6323" s="2" t="b">
        <v>0</v>
      </c>
      <c r="H6323" s="2" t="s">
        <v>37</v>
      </c>
      <c r="I6323" s="2" t="s">
        <v>22</v>
      </c>
      <c r="J6323" s="2" t="s">
        <v>729</v>
      </c>
      <c r="K6323" s="2" t="s">
        <v>495</v>
      </c>
      <c r="L6323" s="13" t="s">
        <v>496</v>
      </c>
      <c r="M6323" s="2" t="s">
        <v>26</v>
      </c>
      <c r="N6323" s="29"/>
      <c r="O6323" s="29"/>
      <c r="P6323" s="5" t="str">
        <f>IFERROR(__xludf.DUMMYFUNCTION("TEXTJOIN("" | "",TRUE,IF(OR(D6323="""",E6323="""",I6323="""",J6323="""",H6323=""""),""ফাঁকা ঘর"",""""),IF(AND(C6323&lt;&gt;"""",D6323&lt;&gt;"""",C6323=D6323),""gloss=figurative"",""""),IF(LEN(D6323)&lt;15,""figurative ছোট"",""""),IF(AND(I6323=""Positive"",REGEXMATCH(H6"&amp;"323,""মূর্খ|ভণ্ড|প্রতার|অলস|লোভ|স্বার্থ|অক্ষম|অযোগ্য|বোকা|কৃপণ|হিংস"")),""valence-target অমিল"",""""),IF(COUNTIF($B:$B,B6323)&gt;1,""ডুপ্লিকেট"",""""))"),"")</f>
        <v/>
      </c>
      <c r="Q6323" s="5" t="str">
        <f t="shared" si="1"/>
        <v>২ পরে</v>
      </c>
    </row>
    <row r="6324">
      <c r="A6324" s="4">
        <v>4222.0</v>
      </c>
      <c r="B6324" s="2" t="s">
        <v>25820</v>
      </c>
      <c r="C6324" s="2" t="s">
        <v>25821</v>
      </c>
      <c r="D6324" s="2" t="s">
        <v>25822</v>
      </c>
      <c r="E6324" s="2" t="s">
        <v>25823</v>
      </c>
      <c r="F6324" s="2" t="b">
        <v>1</v>
      </c>
      <c r="G6324" s="2" t="b">
        <v>0</v>
      </c>
      <c r="H6324" s="2" t="s">
        <v>37</v>
      </c>
      <c r="I6324" s="2" t="s">
        <v>22</v>
      </c>
      <c r="J6324" s="2" t="s">
        <v>708</v>
      </c>
      <c r="K6324" s="2" t="s">
        <v>495</v>
      </c>
      <c r="L6324" s="13" t="s">
        <v>496</v>
      </c>
      <c r="M6324" s="2" t="s">
        <v>26</v>
      </c>
      <c r="N6324" s="29"/>
      <c r="O6324" s="29"/>
      <c r="P6324" s="5" t="str">
        <f>IFERROR(__xludf.DUMMYFUNCTION("TEXTJOIN("" | "",TRUE,IF(OR(D6324="""",E6324="""",I6324="""",J6324="""",H6324=""""),""ফাঁকা ঘর"",""""),IF(AND(C6324&lt;&gt;"""",D6324&lt;&gt;"""",C6324=D6324),""gloss=figurative"",""""),IF(LEN(D6324)&lt;15,""figurative ছোট"",""""),IF(AND(I6324=""Positive"",REGEXMATCH(H6"&amp;"324,""মূর্খ|ভণ্ড|প্রতার|অলস|লোভ|স্বার্থ|অক্ষম|অযোগ্য|বোকা|কৃপণ|হিংস"")),""valence-target অমিল"",""""),IF(COUNTIF($B:$B,B6324)&gt;1,""ডুপ্লিকেট"",""""))"),"")</f>
        <v/>
      </c>
      <c r="Q6324" s="5" t="str">
        <f t="shared" si="1"/>
        <v>২ পরে</v>
      </c>
    </row>
    <row r="6325">
      <c r="A6325" s="4">
        <v>4223.0</v>
      </c>
      <c r="B6325" s="2" t="s">
        <v>25824</v>
      </c>
      <c r="C6325" s="2" t="s">
        <v>25825</v>
      </c>
      <c r="D6325" s="2" t="s">
        <v>25826</v>
      </c>
      <c r="E6325" s="2" t="s">
        <v>25827</v>
      </c>
      <c r="F6325" s="2" t="b">
        <v>1</v>
      </c>
      <c r="G6325" s="2" t="b">
        <v>0</v>
      </c>
      <c r="H6325" s="2" t="s">
        <v>37</v>
      </c>
      <c r="I6325" s="2" t="s">
        <v>49</v>
      </c>
      <c r="J6325" s="2" t="s">
        <v>590</v>
      </c>
      <c r="K6325" s="2" t="s">
        <v>495</v>
      </c>
      <c r="L6325" s="13" t="s">
        <v>496</v>
      </c>
      <c r="M6325" s="2" t="s">
        <v>26</v>
      </c>
      <c r="N6325" s="29"/>
      <c r="O6325" s="29"/>
      <c r="P6325" s="5" t="str">
        <f>IFERROR(__xludf.DUMMYFUNCTION("TEXTJOIN("" | "",TRUE,IF(OR(D6325="""",E6325="""",I6325="""",J6325="""",H6325=""""),""ফাঁকা ঘর"",""""),IF(AND(C6325&lt;&gt;"""",D6325&lt;&gt;"""",C6325=D6325),""gloss=figurative"",""""),IF(LEN(D6325)&lt;15,""figurative ছোট"",""""),IF(AND(I6325=""Positive"",REGEXMATCH(H6"&amp;"325,""মূর্খ|ভণ্ড|প্রতার|অলস|লোভ|স্বার্থ|অক্ষম|অযোগ্য|বোকা|কৃপণ|হিংস"")),""valence-target অমিল"",""""),IF(COUNTIF($B:$B,B6325)&gt;1,""ডুপ্লিকেট"",""""))"),"")</f>
        <v/>
      </c>
      <c r="Q6325" s="5" t="str">
        <f t="shared" si="1"/>
        <v>২ পরে</v>
      </c>
    </row>
    <row r="6326">
      <c r="A6326" s="4">
        <v>4225.0</v>
      </c>
      <c r="B6326" s="2" t="s">
        <v>25828</v>
      </c>
      <c r="C6326" s="2" t="s">
        <v>25829</v>
      </c>
      <c r="D6326" s="2" t="s">
        <v>25830</v>
      </c>
      <c r="E6326" s="2" t="s">
        <v>25831</v>
      </c>
      <c r="F6326" s="2" t="b">
        <v>1</v>
      </c>
      <c r="G6326" s="2" t="b">
        <v>0</v>
      </c>
      <c r="H6326" s="2" t="s">
        <v>989</v>
      </c>
      <c r="I6326" s="2" t="s">
        <v>22</v>
      </c>
      <c r="J6326" s="2" t="s">
        <v>990</v>
      </c>
      <c r="K6326" s="2" t="s">
        <v>495</v>
      </c>
      <c r="L6326" s="13" t="s">
        <v>496</v>
      </c>
      <c r="M6326" s="2" t="s">
        <v>26</v>
      </c>
      <c r="N6326" s="29"/>
      <c r="O6326" s="29"/>
      <c r="P6326" s="5" t="str">
        <f>IFERROR(__xludf.DUMMYFUNCTION("TEXTJOIN("" | "",TRUE,IF(OR(D6326="""",E6326="""",I6326="""",J6326="""",H6326=""""),""ফাঁকা ঘর"",""""),IF(AND(C6326&lt;&gt;"""",D6326&lt;&gt;"""",C6326=D6326),""gloss=figurative"",""""),IF(LEN(D6326)&lt;15,""figurative ছোট"",""""),IF(AND(I6326=""Positive"",REGEXMATCH(H6"&amp;"326,""মূর্খ|ভণ্ড|প্রতার|অলস|লোভ|স্বার্থ|অক্ষম|অযোগ্য|বোকা|কৃপণ|হিংস"")),""valence-target অমিল"",""""),IF(COUNTIF($B:$B,B6326)&gt;1,""ডুপ্লিকেট"",""""))"),"")</f>
        <v/>
      </c>
      <c r="Q6326" s="5" t="str">
        <f t="shared" si="1"/>
        <v>২ পরে</v>
      </c>
    </row>
    <row r="6327">
      <c r="A6327" s="4">
        <v>4226.0</v>
      </c>
      <c r="B6327" s="2" t="s">
        <v>25832</v>
      </c>
      <c r="C6327" s="2" t="s">
        <v>25833</v>
      </c>
      <c r="D6327" s="2" t="s">
        <v>25834</v>
      </c>
      <c r="E6327" s="2" t="s">
        <v>25835</v>
      </c>
      <c r="F6327" s="2" t="b">
        <v>1</v>
      </c>
      <c r="G6327" s="2" t="b">
        <v>0</v>
      </c>
      <c r="H6327" s="2" t="s">
        <v>37</v>
      </c>
      <c r="I6327" s="2" t="s">
        <v>22</v>
      </c>
      <c r="J6327" s="2" t="s">
        <v>2316</v>
      </c>
      <c r="K6327" s="2" t="s">
        <v>495</v>
      </c>
      <c r="L6327" s="13" t="s">
        <v>496</v>
      </c>
      <c r="M6327" s="2" t="s">
        <v>26</v>
      </c>
      <c r="N6327" s="29"/>
      <c r="O6327" s="29"/>
      <c r="P6327" s="5" t="str">
        <f>IFERROR(__xludf.DUMMYFUNCTION("TEXTJOIN("" | "",TRUE,IF(OR(D6327="""",E6327="""",I6327="""",J6327="""",H6327=""""),""ফাঁকা ঘর"",""""),IF(AND(C6327&lt;&gt;"""",D6327&lt;&gt;"""",C6327=D6327),""gloss=figurative"",""""),IF(LEN(D6327)&lt;15,""figurative ছোট"",""""),IF(AND(I6327=""Positive"",REGEXMATCH(H6"&amp;"327,""মূর্খ|ভণ্ড|প্রতার|অলস|লোভ|স্বার্থ|অক্ষম|অযোগ্য|বোকা|কৃপণ|হিংস"")),""valence-target অমিল"",""""),IF(COUNTIF($B:$B,B6327)&gt;1,""ডুপ্লিকেট"",""""))"),"")</f>
        <v/>
      </c>
      <c r="Q6327" s="5" t="str">
        <f t="shared" si="1"/>
        <v>২ পরে</v>
      </c>
    </row>
    <row r="6328">
      <c r="A6328" s="4">
        <v>4227.0</v>
      </c>
      <c r="B6328" s="2" t="s">
        <v>25836</v>
      </c>
      <c r="C6328" s="2" t="s">
        <v>25837</v>
      </c>
      <c r="D6328" s="2" t="s">
        <v>25838</v>
      </c>
      <c r="E6328" s="2" t="s">
        <v>25839</v>
      </c>
      <c r="F6328" s="2" t="b">
        <v>1</v>
      </c>
      <c r="G6328" s="2" t="b">
        <v>0</v>
      </c>
      <c r="H6328" s="2" t="s">
        <v>37</v>
      </c>
      <c r="I6328" s="2" t="s">
        <v>22</v>
      </c>
      <c r="J6328" s="2" t="s">
        <v>729</v>
      </c>
      <c r="K6328" s="2" t="s">
        <v>495</v>
      </c>
      <c r="L6328" s="13" t="s">
        <v>496</v>
      </c>
      <c r="M6328" s="2" t="s">
        <v>26</v>
      </c>
      <c r="N6328" s="29"/>
      <c r="O6328" s="29"/>
      <c r="P6328" s="5" t="str">
        <f>IFERROR(__xludf.DUMMYFUNCTION("TEXTJOIN("" | "",TRUE,IF(OR(D6328="""",E6328="""",I6328="""",J6328="""",H6328=""""),""ফাঁকা ঘর"",""""),IF(AND(C6328&lt;&gt;"""",D6328&lt;&gt;"""",C6328=D6328),""gloss=figurative"",""""),IF(LEN(D6328)&lt;15,""figurative ছোট"",""""),IF(AND(I6328=""Positive"",REGEXMATCH(H6"&amp;"328,""মূর্খ|ভণ্ড|প্রতার|অলস|লোভ|স্বার্থ|অক্ষম|অযোগ্য|বোকা|কৃপণ|হিংস"")),""valence-target অমিল"",""""),IF(COUNTIF($B:$B,B6328)&gt;1,""ডুপ্লিকেট"",""""))"),"")</f>
        <v/>
      </c>
      <c r="Q6328" s="5" t="str">
        <f t="shared" si="1"/>
        <v>২ পরে</v>
      </c>
    </row>
    <row r="6329">
      <c r="A6329" s="4">
        <v>4228.0</v>
      </c>
      <c r="B6329" s="2" t="s">
        <v>25840</v>
      </c>
      <c r="C6329" s="2" t="s">
        <v>25840</v>
      </c>
      <c r="D6329" s="2" t="s">
        <v>25841</v>
      </c>
      <c r="E6329" s="2" t="s">
        <v>25842</v>
      </c>
      <c r="F6329" s="2" t="b">
        <v>1</v>
      </c>
      <c r="G6329" s="2" t="b">
        <v>0</v>
      </c>
      <c r="H6329" s="2" t="s">
        <v>37</v>
      </c>
      <c r="I6329" s="2" t="s">
        <v>49</v>
      </c>
      <c r="J6329" s="2" t="s">
        <v>729</v>
      </c>
      <c r="K6329" s="2" t="s">
        <v>495</v>
      </c>
      <c r="L6329" s="13" t="s">
        <v>496</v>
      </c>
      <c r="M6329" s="2" t="s">
        <v>26</v>
      </c>
      <c r="N6329" s="29"/>
      <c r="O6329" s="29"/>
      <c r="P6329" s="5" t="str">
        <f>IFERROR(__xludf.DUMMYFUNCTION("TEXTJOIN("" | "",TRUE,IF(OR(D6329="""",E6329="""",I6329="""",J6329="""",H6329=""""),""ফাঁকা ঘর"",""""),IF(AND(C6329&lt;&gt;"""",D6329&lt;&gt;"""",C6329=D6329),""gloss=figurative"",""""),IF(LEN(D6329)&lt;15,""figurative ছোট"",""""),IF(AND(I6329=""Positive"",REGEXMATCH(H6"&amp;"329,""মূর্খ|ভণ্ড|প্রতার|অলস|লোভ|স্বার্থ|অক্ষম|অযোগ্য|বোকা|কৃপণ|হিংস"")),""valence-target অমিল"",""""),IF(COUNTIF($B:$B,B6329)&gt;1,""ডুপ্লিকেট"",""""))"),"")</f>
        <v/>
      </c>
      <c r="Q6329" s="5" t="str">
        <f t="shared" si="1"/>
        <v>২ পরে</v>
      </c>
    </row>
    <row r="6330">
      <c r="A6330" s="4">
        <v>4229.0</v>
      </c>
      <c r="B6330" s="2" t="s">
        <v>25843</v>
      </c>
      <c r="C6330" s="2" t="s">
        <v>25844</v>
      </c>
      <c r="D6330" s="2" t="s">
        <v>25845</v>
      </c>
      <c r="E6330" s="2" t="s">
        <v>25846</v>
      </c>
      <c r="F6330" s="2" t="b">
        <v>1</v>
      </c>
      <c r="G6330" s="2" t="b">
        <v>0</v>
      </c>
      <c r="H6330" s="2" t="s">
        <v>37</v>
      </c>
      <c r="I6330" s="2" t="s">
        <v>22</v>
      </c>
      <c r="J6330" s="2" t="s">
        <v>836</v>
      </c>
      <c r="K6330" s="2" t="s">
        <v>495</v>
      </c>
      <c r="L6330" s="13" t="s">
        <v>496</v>
      </c>
      <c r="M6330" s="2" t="s">
        <v>26</v>
      </c>
      <c r="N6330" s="29"/>
      <c r="O6330" s="29"/>
      <c r="P6330" s="5" t="str">
        <f>IFERROR(__xludf.DUMMYFUNCTION("TEXTJOIN("" | "",TRUE,IF(OR(D6330="""",E6330="""",I6330="""",J6330="""",H6330=""""),""ফাঁকা ঘর"",""""),IF(AND(C6330&lt;&gt;"""",D6330&lt;&gt;"""",C6330=D6330),""gloss=figurative"",""""),IF(LEN(D6330)&lt;15,""figurative ছোট"",""""),IF(AND(I6330=""Positive"",REGEXMATCH(H6"&amp;"330,""মূর্খ|ভণ্ড|প্রতার|অলস|লোভ|স্বার্থ|অক্ষম|অযোগ্য|বোকা|কৃপণ|হিংস"")),""valence-target অমিল"",""""),IF(COUNTIF($B:$B,B6330)&gt;1,""ডুপ্লিকেট"",""""))"),"")</f>
        <v/>
      </c>
      <c r="Q6330" s="5" t="str">
        <f t="shared" si="1"/>
        <v>২ পরে</v>
      </c>
    </row>
    <row r="6331">
      <c r="A6331" s="4">
        <v>4230.0</v>
      </c>
      <c r="B6331" s="2" t="s">
        <v>25847</v>
      </c>
      <c r="C6331" s="2" t="s">
        <v>25848</v>
      </c>
      <c r="D6331" s="2" t="s">
        <v>25849</v>
      </c>
      <c r="E6331" s="2" t="s">
        <v>25850</v>
      </c>
      <c r="F6331" s="2" t="b">
        <v>1</v>
      </c>
      <c r="G6331" s="2" t="b">
        <v>0</v>
      </c>
      <c r="H6331" s="2" t="s">
        <v>37</v>
      </c>
      <c r="I6331" s="2" t="s">
        <v>22</v>
      </c>
      <c r="J6331" s="2" t="s">
        <v>25523</v>
      </c>
      <c r="K6331" s="2" t="s">
        <v>495</v>
      </c>
      <c r="L6331" s="13" t="s">
        <v>496</v>
      </c>
      <c r="M6331" s="2" t="s">
        <v>26</v>
      </c>
      <c r="N6331" s="29"/>
      <c r="O6331" s="29"/>
      <c r="P6331" s="5" t="str">
        <f>IFERROR(__xludf.DUMMYFUNCTION("TEXTJOIN("" | "",TRUE,IF(OR(D6331="""",E6331="""",I6331="""",J6331="""",H6331=""""),""ফাঁকা ঘর"",""""),IF(AND(C6331&lt;&gt;"""",D6331&lt;&gt;"""",C6331=D6331),""gloss=figurative"",""""),IF(LEN(D6331)&lt;15,""figurative ছোট"",""""),IF(AND(I6331=""Positive"",REGEXMATCH(H6"&amp;"331,""মূর্খ|ভণ্ড|প্রতার|অলস|লোভ|স্বার্থ|অক্ষম|অযোগ্য|বোকা|কৃপণ|হিংস"")),""valence-target অমিল"",""""),IF(COUNTIF($B:$B,B6331)&gt;1,""ডুপ্লিকেট"",""""))"),"")</f>
        <v/>
      </c>
      <c r="Q6331" s="5" t="str">
        <f t="shared" si="1"/>
        <v>২ পরে</v>
      </c>
    </row>
    <row r="6332">
      <c r="A6332" s="4">
        <v>4231.0</v>
      </c>
      <c r="B6332" s="2" t="s">
        <v>25851</v>
      </c>
      <c r="C6332" s="2" t="s">
        <v>25852</v>
      </c>
      <c r="D6332" s="2" t="s">
        <v>25496</v>
      </c>
      <c r="E6332" s="2" t="s">
        <v>25853</v>
      </c>
      <c r="F6332" s="2" t="b">
        <v>1</v>
      </c>
      <c r="G6332" s="2" t="b">
        <v>0</v>
      </c>
      <c r="H6332" s="2" t="s">
        <v>37</v>
      </c>
      <c r="I6332" s="2" t="s">
        <v>22</v>
      </c>
      <c r="J6332" s="2" t="s">
        <v>2636</v>
      </c>
      <c r="K6332" s="2" t="s">
        <v>495</v>
      </c>
      <c r="L6332" s="13" t="s">
        <v>496</v>
      </c>
      <c r="M6332" s="2" t="s">
        <v>26</v>
      </c>
      <c r="N6332" s="29"/>
      <c r="O6332" s="29"/>
      <c r="P6332" s="5" t="str">
        <f>IFERROR(__xludf.DUMMYFUNCTION("TEXTJOIN("" | "",TRUE,IF(OR(D6332="""",E6332="""",I6332="""",J6332="""",H6332=""""),""ফাঁকা ঘর"",""""),IF(AND(C6332&lt;&gt;"""",D6332&lt;&gt;"""",C6332=D6332),""gloss=figurative"",""""),IF(LEN(D6332)&lt;15,""figurative ছোট"",""""),IF(AND(I6332=""Positive"",REGEXMATCH(H6"&amp;"332,""মূর্খ|ভণ্ড|প্রতার|অলস|লোভ|স্বার্থ|অক্ষম|অযোগ্য|বোকা|কৃপণ|হিংস"")),""valence-target অমিল"",""""),IF(COUNTIF($B:$B,B6332)&gt;1,""ডুপ্লিকেট"",""""))"),"")</f>
        <v/>
      </c>
      <c r="Q6332" s="5" t="str">
        <f t="shared" si="1"/>
        <v>২ পরে</v>
      </c>
    </row>
    <row r="6333">
      <c r="A6333" s="4">
        <v>4232.0</v>
      </c>
      <c r="B6333" s="2" t="s">
        <v>25854</v>
      </c>
      <c r="C6333" s="2" t="s">
        <v>25855</v>
      </c>
      <c r="D6333" s="2" t="s">
        <v>25856</v>
      </c>
      <c r="E6333" s="2" t="s">
        <v>25857</v>
      </c>
      <c r="F6333" s="2" t="b">
        <v>1</v>
      </c>
      <c r="G6333" s="2" t="b">
        <v>0</v>
      </c>
      <c r="H6333" s="2" t="s">
        <v>37</v>
      </c>
      <c r="I6333" s="2" t="s">
        <v>32</v>
      </c>
      <c r="J6333" s="2" t="s">
        <v>25290</v>
      </c>
      <c r="K6333" s="2" t="s">
        <v>495</v>
      </c>
      <c r="L6333" s="13" t="s">
        <v>496</v>
      </c>
      <c r="M6333" s="2" t="s">
        <v>26</v>
      </c>
      <c r="N6333" s="29"/>
      <c r="O6333" s="29"/>
      <c r="P6333" s="5" t="str">
        <f>IFERROR(__xludf.DUMMYFUNCTION("TEXTJOIN("" | "",TRUE,IF(OR(D6333="""",E6333="""",I6333="""",J6333="""",H6333=""""),""ফাঁকা ঘর"",""""),IF(AND(C6333&lt;&gt;"""",D6333&lt;&gt;"""",C6333=D6333),""gloss=figurative"",""""),IF(LEN(D6333)&lt;15,""figurative ছোট"",""""),IF(AND(I6333=""Positive"",REGEXMATCH(H6"&amp;"333,""মূর্খ|ভণ্ড|প্রতার|অলস|লোভ|স্বার্থ|অক্ষম|অযোগ্য|বোকা|কৃপণ|হিংস"")),""valence-target অমিল"",""""),IF(COUNTIF($B:$B,B6333)&gt;1,""ডুপ্লিকেট"",""""))"),"")</f>
        <v/>
      </c>
      <c r="Q6333" s="5" t="str">
        <f t="shared" si="1"/>
        <v>২ পরে</v>
      </c>
    </row>
    <row r="6334">
      <c r="A6334" s="4">
        <v>4233.0</v>
      </c>
      <c r="B6334" s="2" t="s">
        <v>25858</v>
      </c>
      <c r="C6334" s="2" t="s">
        <v>25859</v>
      </c>
      <c r="D6334" s="2" t="s">
        <v>25860</v>
      </c>
      <c r="E6334" s="2" t="s">
        <v>25861</v>
      </c>
      <c r="F6334" s="2" t="b">
        <v>1</v>
      </c>
      <c r="G6334" s="2" t="b">
        <v>0</v>
      </c>
      <c r="H6334" s="2" t="s">
        <v>15656</v>
      </c>
      <c r="I6334" s="2" t="s">
        <v>22</v>
      </c>
      <c r="J6334" s="2" t="s">
        <v>784</v>
      </c>
      <c r="K6334" s="2" t="s">
        <v>495</v>
      </c>
      <c r="L6334" s="13" t="s">
        <v>496</v>
      </c>
      <c r="M6334" s="2" t="s">
        <v>26</v>
      </c>
      <c r="N6334" s="29"/>
      <c r="O6334" s="29"/>
      <c r="P6334" s="5" t="str">
        <f>IFERROR(__xludf.DUMMYFUNCTION("TEXTJOIN("" | "",TRUE,IF(OR(D6334="""",E6334="""",I6334="""",J6334="""",H6334=""""),""ফাঁকা ঘর"",""""),IF(AND(C6334&lt;&gt;"""",D6334&lt;&gt;"""",C6334=D6334),""gloss=figurative"",""""),IF(LEN(D6334)&lt;15,""figurative ছোট"",""""),IF(AND(I6334=""Positive"",REGEXMATCH(H6"&amp;"334,""মূর্খ|ভণ্ড|প্রতার|অলস|লোভ|স্বার্থ|অক্ষম|অযোগ্য|বোকা|কৃপণ|হিংস"")),""valence-target অমিল"",""""),IF(COUNTIF($B:$B,B6334)&gt;1,""ডুপ্লিকেট"",""""))"),"")</f>
        <v/>
      </c>
      <c r="Q6334" s="5" t="str">
        <f t="shared" si="1"/>
        <v>২ পরে</v>
      </c>
    </row>
    <row r="6335">
      <c r="A6335" s="4">
        <v>4234.0</v>
      </c>
      <c r="B6335" s="2" t="s">
        <v>25862</v>
      </c>
      <c r="C6335" s="2" t="s">
        <v>25863</v>
      </c>
      <c r="D6335" s="2" t="s">
        <v>25864</v>
      </c>
      <c r="E6335" s="2" t="s">
        <v>25865</v>
      </c>
      <c r="F6335" s="2" t="b">
        <v>1</v>
      </c>
      <c r="G6335" s="2" t="b">
        <v>0</v>
      </c>
      <c r="H6335" s="2" t="s">
        <v>37</v>
      </c>
      <c r="I6335" s="2" t="s">
        <v>22</v>
      </c>
      <c r="J6335" s="2" t="s">
        <v>2857</v>
      </c>
      <c r="K6335" s="2" t="s">
        <v>495</v>
      </c>
      <c r="L6335" s="13" t="s">
        <v>496</v>
      </c>
      <c r="M6335" s="2" t="s">
        <v>26</v>
      </c>
      <c r="N6335" s="29"/>
      <c r="O6335" s="29"/>
      <c r="P6335" s="5" t="str">
        <f>IFERROR(__xludf.DUMMYFUNCTION("TEXTJOIN("" | "",TRUE,IF(OR(D6335="""",E6335="""",I6335="""",J6335="""",H6335=""""),""ফাঁকা ঘর"",""""),IF(AND(C6335&lt;&gt;"""",D6335&lt;&gt;"""",C6335=D6335),""gloss=figurative"",""""),IF(LEN(D6335)&lt;15,""figurative ছোট"",""""),IF(AND(I6335=""Positive"",REGEXMATCH(H6"&amp;"335,""মূর্খ|ভণ্ড|প্রতার|অলস|লোভ|স্বার্থ|অক্ষম|অযোগ্য|বোকা|কৃপণ|হিংস"")),""valence-target অমিল"",""""),IF(COUNTIF($B:$B,B6335)&gt;1,""ডুপ্লিকেট"",""""))"),"")</f>
        <v/>
      </c>
      <c r="Q6335" s="5" t="str">
        <f t="shared" si="1"/>
        <v>২ পরে</v>
      </c>
    </row>
    <row r="6336">
      <c r="A6336" s="4">
        <v>4235.0</v>
      </c>
      <c r="B6336" s="2" t="s">
        <v>25866</v>
      </c>
      <c r="C6336" s="2" t="s">
        <v>25866</v>
      </c>
      <c r="D6336" s="2" t="s">
        <v>25867</v>
      </c>
      <c r="E6336" s="2" t="s">
        <v>25868</v>
      </c>
      <c r="F6336" s="2" t="b">
        <v>1</v>
      </c>
      <c r="G6336" s="2" t="b">
        <v>0</v>
      </c>
      <c r="H6336" s="2" t="s">
        <v>37</v>
      </c>
      <c r="I6336" s="2" t="s">
        <v>49</v>
      </c>
      <c r="J6336" s="2" t="s">
        <v>2732</v>
      </c>
      <c r="K6336" s="2" t="s">
        <v>495</v>
      </c>
      <c r="L6336" s="13" t="s">
        <v>496</v>
      </c>
      <c r="M6336" s="2" t="s">
        <v>26</v>
      </c>
      <c r="N6336" s="29"/>
      <c r="O6336" s="29"/>
      <c r="P6336" s="5" t="str">
        <f>IFERROR(__xludf.DUMMYFUNCTION("TEXTJOIN("" | "",TRUE,IF(OR(D6336="""",E6336="""",I6336="""",J6336="""",H6336=""""),""ফাঁকা ঘর"",""""),IF(AND(C6336&lt;&gt;"""",D6336&lt;&gt;"""",C6336=D6336),""gloss=figurative"",""""),IF(LEN(D6336)&lt;15,""figurative ছোট"",""""),IF(AND(I6336=""Positive"",REGEXMATCH(H6"&amp;"336,""মূর্খ|ভণ্ড|প্রতার|অলস|লোভ|স্বার্থ|অক্ষম|অযোগ্য|বোকা|কৃপণ|হিংস"")),""valence-target অমিল"",""""),IF(COUNTIF($B:$B,B6336)&gt;1,""ডুপ্লিকেট"",""""))"),"")</f>
        <v/>
      </c>
      <c r="Q6336" s="5" t="str">
        <f t="shared" si="1"/>
        <v>২ পরে</v>
      </c>
    </row>
    <row r="6337">
      <c r="A6337" s="4">
        <v>4236.0</v>
      </c>
      <c r="B6337" s="2" t="s">
        <v>25869</v>
      </c>
      <c r="C6337" s="2" t="s">
        <v>25870</v>
      </c>
      <c r="D6337" s="2" t="s">
        <v>25871</v>
      </c>
      <c r="E6337" s="2" t="s">
        <v>25872</v>
      </c>
      <c r="F6337" s="2" t="b">
        <v>1</v>
      </c>
      <c r="G6337" s="2" t="b">
        <v>0</v>
      </c>
      <c r="H6337" s="2" t="s">
        <v>37</v>
      </c>
      <c r="I6337" s="2" t="s">
        <v>22</v>
      </c>
      <c r="J6337" s="2" t="s">
        <v>1126</v>
      </c>
      <c r="K6337" s="2" t="s">
        <v>495</v>
      </c>
      <c r="L6337" s="13" t="s">
        <v>496</v>
      </c>
      <c r="M6337" s="2" t="s">
        <v>26</v>
      </c>
      <c r="N6337" s="29"/>
      <c r="O6337" s="29"/>
      <c r="P6337" s="5" t="str">
        <f>IFERROR(__xludf.DUMMYFUNCTION("TEXTJOIN("" | "",TRUE,IF(OR(D6337="""",E6337="""",I6337="""",J6337="""",H6337=""""),""ফাঁকা ঘর"",""""),IF(AND(C6337&lt;&gt;"""",D6337&lt;&gt;"""",C6337=D6337),""gloss=figurative"",""""),IF(LEN(D6337)&lt;15,""figurative ছোট"",""""),IF(AND(I6337=""Positive"",REGEXMATCH(H6"&amp;"337,""মূর্খ|ভণ্ড|প্রতার|অলস|লোভ|স্বার্থ|অক্ষম|অযোগ্য|বোকা|কৃপণ|হিংস"")),""valence-target অমিল"",""""),IF(COUNTIF($B:$B,B6337)&gt;1,""ডুপ্লিকেট"",""""))"),"")</f>
        <v/>
      </c>
      <c r="Q6337" s="5" t="str">
        <f t="shared" si="1"/>
        <v>২ পরে</v>
      </c>
    </row>
    <row r="6338">
      <c r="A6338" s="4">
        <v>4237.0</v>
      </c>
      <c r="B6338" s="2" t="s">
        <v>25873</v>
      </c>
      <c r="C6338" s="2" t="s">
        <v>25874</v>
      </c>
      <c r="D6338" s="2" t="s">
        <v>25875</v>
      </c>
      <c r="E6338" s="2" t="s">
        <v>25876</v>
      </c>
      <c r="F6338" s="2" t="b">
        <v>1</v>
      </c>
      <c r="G6338" s="2" t="b">
        <v>0</v>
      </c>
      <c r="H6338" s="2" t="s">
        <v>8617</v>
      </c>
      <c r="I6338" s="2" t="s">
        <v>22</v>
      </c>
      <c r="J6338" s="2" t="s">
        <v>990</v>
      </c>
      <c r="K6338" s="2" t="s">
        <v>495</v>
      </c>
      <c r="L6338" s="13" t="s">
        <v>496</v>
      </c>
      <c r="M6338" s="2" t="s">
        <v>26</v>
      </c>
      <c r="N6338" s="29"/>
      <c r="O6338" s="29"/>
      <c r="P6338" s="5" t="str">
        <f>IFERROR(__xludf.DUMMYFUNCTION("TEXTJOIN("" | "",TRUE,IF(OR(D6338="""",E6338="""",I6338="""",J6338="""",H6338=""""),""ফাঁকা ঘর"",""""),IF(AND(C6338&lt;&gt;"""",D6338&lt;&gt;"""",C6338=D6338),""gloss=figurative"",""""),IF(LEN(D6338)&lt;15,""figurative ছোট"",""""),IF(AND(I6338=""Positive"",REGEXMATCH(H6"&amp;"338,""মূর্খ|ভণ্ড|প্রতার|অলস|লোভ|স্বার্থ|অক্ষম|অযোগ্য|বোকা|কৃপণ|হিংস"")),""valence-target অমিল"",""""),IF(COUNTIF($B:$B,B6338)&gt;1,""ডুপ্লিকেট"",""""))"),"")</f>
        <v/>
      </c>
      <c r="Q6338" s="5" t="str">
        <f t="shared" si="1"/>
        <v>২ পরে</v>
      </c>
    </row>
    <row r="6339">
      <c r="A6339" s="4">
        <v>4238.0</v>
      </c>
      <c r="B6339" s="2" t="s">
        <v>25877</v>
      </c>
      <c r="C6339" s="2" t="s">
        <v>25877</v>
      </c>
      <c r="D6339" s="2" t="s">
        <v>25878</v>
      </c>
      <c r="E6339" s="2" t="s">
        <v>25879</v>
      </c>
      <c r="F6339" s="2" t="b">
        <v>1</v>
      </c>
      <c r="G6339" s="2" t="b">
        <v>0</v>
      </c>
      <c r="H6339" s="2" t="s">
        <v>37</v>
      </c>
      <c r="I6339" s="2" t="s">
        <v>49</v>
      </c>
      <c r="J6339" s="2" t="s">
        <v>1621</v>
      </c>
      <c r="K6339" s="2" t="s">
        <v>495</v>
      </c>
      <c r="L6339" s="13" t="s">
        <v>496</v>
      </c>
      <c r="M6339" s="2" t="s">
        <v>26</v>
      </c>
      <c r="N6339" s="29"/>
      <c r="O6339" s="29"/>
      <c r="P6339" s="5" t="str">
        <f>IFERROR(__xludf.DUMMYFUNCTION("TEXTJOIN("" | "",TRUE,IF(OR(D6339="""",E6339="""",I6339="""",J6339="""",H6339=""""),""ফাঁকা ঘর"",""""),IF(AND(C6339&lt;&gt;"""",D6339&lt;&gt;"""",C6339=D6339),""gloss=figurative"",""""),IF(LEN(D6339)&lt;15,""figurative ছোট"",""""),IF(AND(I6339=""Positive"",REGEXMATCH(H6"&amp;"339,""মূর্খ|ভণ্ড|প্রতার|অলস|লোভ|স্বার্থ|অক্ষম|অযোগ্য|বোকা|কৃপণ|হিংস"")),""valence-target অমিল"",""""),IF(COUNTIF($B:$B,B6339)&gt;1,""ডুপ্লিকেট"",""""))"),"")</f>
        <v/>
      </c>
      <c r="Q6339" s="5" t="str">
        <f t="shared" si="1"/>
        <v>২ পরে</v>
      </c>
    </row>
    <row r="6340">
      <c r="A6340" s="4">
        <v>4239.0</v>
      </c>
      <c r="B6340" s="2" t="s">
        <v>25880</v>
      </c>
      <c r="C6340" s="2" t="s">
        <v>25881</v>
      </c>
      <c r="D6340" s="2" t="s">
        <v>25882</v>
      </c>
      <c r="E6340" s="2" t="s">
        <v>25883</v>
      </c>
      <c r="F6340" s="2" t="b">
        <v>1</v>
      </c>
      <c r="G6340" s="2" t="b">
        <v>0</v>
      </c>
      <c r="H6340" s="2" t="s">
        <v>37</v>
      </c>
      <c r="I6340" s="2" t="s">
        <v>22</v>
      </c>
      <c r="J6340" s="2" t="s">
        <v>25884</v>
      </c>
      <c r="K6340" s="2" t="s">
        <v>495</v>
      </c>
      <c r="L6340" s="13" t="s">
        <v>496</v>
      </c>
      <c r="M6340" s="2" t="s">
        <v>26</v>
      </c>
      <c r="N6340" s="29"/>
      <c r="O6340" s="29"/>
      <c r="P6340" s="5" t="str">
        <f>IFERROR(__xludf.DUMMYFUNCTION("TEXTJOIN("" | "",TRUE,IF(OR(D6340="""",E6340="""",I6340="""",J6340="""",H6340=""""),""ফাঁকা ঘর"",""""),IF(AND(C6340&lt;&gt;"""",D6340&lt;&gt;"""",C6340=D6340),""gloss=figurative"",""""),IF(LEN(D6340)&lt;15,""figurative ছোট"",""""),IF(AND(I6340=""Positive"",REGEXMATCH(H6"&amp;"340,""মূর্খ|ভণ্ড|প্রতার|অলস|লোভ|স্বার্থ|অক্ষম|অযোগ্য|বোকা|কৃপণ|হিংস"")),""valence-target অমিল"",""""),IF(COUNTIF($B:$B,B6340)&gt;1,""ডুপ্লিকেট"",""""))"),"")</f>
        <v/>
      </c>
      <c r="Q6340" s="5" t="str">
        <f t="shared" si="1"/>
        <v>২ পরে</v>
      </c>
    </row>
    <row r="6341">
      <c r="A6341" s="4">
        <v>4240.0</v>
      </c>
      <c r="B6341" s="2" t="s">
        <v>25885</v>
      </c>
      <c r="C6341" s="2" t="s">
        <v>25886</v>
      </c>
      <c r="D6341" s="2" t="s">
        <v>25887</v>
      </c>
      <c r="E6341" s="2" t="s">
        <v>25888</v>
      </c>
      <c r="F6341" s="2" t="b">
        <v>1</v>
      </c>
      <c r="G6341" s="2" t="b">
        <v>1</v>
      </c>
      <c r="H6341" s="2" t="s">
        <v>25889</v>
      </c>
      <c r="I6341" s="2" t="s">
        <v>22</v>
      </c>
      <c r="J6341" s="2" t="s">
        <v>1027</v>
      </c>
      <c r="K6341" s="2" t="s">
        <v>495</v>
      </c>
      <c r="L6341" s="13" t="s">
        <v>496</v>
      </c>
      <c r="M6341" s="2" t="s">
        <v>26</v>
      </c>
      <c r="N6341" s="29"/>
      <c r="O6341" s="29"/>
      <c r="P6341" s="5" t="str">
        <f>IFERROR(__xludf.DUMMYFUNCTION("TEXTJOIN("" | "",TRUE,IF(OR(D6341="""",E6341="""",I6341="""",J6341="""",H6341=""""),""ফাঁকা ঘর"",""""),IF(AND(C6341&lt;&gt;"""",D6341&lt;&gt;"""",C6341=D6341),""gloss=figurative"",""""),IF(LEN(D6341)&lt;15,""figurative ছোট"",""""),IF(AND(I6341=""Positive"",REGEXMATCH(H6"&amp;"341,""মূর্খ|ভণ্ড|প্রতার|অলস|লোভ|স্বার্থ|অক্ষম|অযোগ্য|বোকা|কৃপণ|হিংস"")),""valence-target অমিল"",""""),IF(COUNTIF($B:$B,B6341)&gt;1,""ডুপ্লিকেট"",""""))"),"")</f>
        <v/>
      </c>
      <c r="Q6341" s="5" t="str">
        <f t="shared" si="1"/>
        <v>২ পরে</v>
      </c>
    </row>
    <row r="6342">
      <c r="A6342" s="4">
        <v>4241.0</v>
      </c>
      <c r="B6342" s="2" t="s">
        <v>25890</v>
      </c>
      <c r="C6342" s="2" t="s">
        <v>25891</v>
      </c>
      <c r="D6342" s="2" t="s">
        <v>25892</v>
      </c>
      <c r="E6342" s="2" t="s">
        <v>25893</v>
      </c>
      <c r="F6342" s="2" t="b">
        <v>1</v>
      </c>
      <c r="G6342" s="2" t="b">
        <v>0</v>
      </c>
      <c r="H6342" s="2" t="s">
        <v>37</v>
      </c>
      <c r="I6342" s="2" t="s">
        <v>32</v>
      </c>
      <c r="J6342" s="2" t="s">
        <v>891</v>
      </c>
      <c r="K6342" s="2" t="s">
        <v>495</v>
      </c>
      <c r="L6342" s="13" t="s">
        <v>496</v>
      </c>
      <c r="M6342" s="2" t="s">
        <v>26</v>
      </c>
      <c r="N6342" s="29"/>
      <c r="O6342" s="29"/>
      <c r="P6342" s="5" t="str">
        <f>IFERROR(__xludf.DUMMYFUNCTION("TEXTJOIN("" | "",TRUE,IF(OR(D6342="""",E6342="""",I6342="""",J6342="""",H6342=""""),""ফাঁকা ঘর"",""""),IF(AND(C6342&lt;&gt;"""",D6342&lt;&gt;"""",C6342=D6342),""gloss=figurative"",""""),IF(LEN(D6342)&lt;15,""figurative ছোট"",""""),IF(AND(I6342=""Positive"",REGEXMATCH(H6"&amp;"342,""মূর্খ|ভণ্ড|প্রতার|অলস|লোভ|স্বার্থ|অক্ষম|অযোগ্য|বোকা|কৃপণ|হিংস"")),""valence-target অমিল"",""""),IF(COUNTIF($B:$B,B6342)&gt;1,""ডুপ্লিকেট"",""""))"),"")</f>
        <v/>
      </c>
      <c r="Q6342" s="5" t="str">
        <f t="shared" si="1"/>
        <v>২ পরে</v>
      </c>
    </row>
    <row r="6343">
      <c r="A6343" s="4">
        <v>4242.0</v>
      </c>
      <c r="B6343" s="2" t="s">
        <v>25894</v>
      </c>
      <c r="C6343" s="2" t="s">
        <v>25895</v>
      </c>
      <c r="D6343" s="2" t="s">
        <v>25896</v>
      </c>
      <c r="E6343" s="2" t="s">
        <v>25897</v>
      </c>
      <c r="F6343" s="2" t="b">
        <v>1</v>
      </c>
      <c r="G6343" s="2" t="b">
        <v>0</v>
      </c>
      <c r="H6343" s="2" t="s">
        <v>37</v>
      </c>
      <c r="I6343" s="2" t="s">
        <v>32</v>
      </c>
      <c r="J6343" s="2" t="s">
        <v>891</v>
      </c>
      <c r="K6343" s="2" t="s">
        <v>495</v>
      </c>
      <c r="L6343" s="13" t="s">
        <v>496</v>
      </c>
      <c r="M6343" s="2" t="s">
        <v>26</v>
      </c>
      <c r="N6343" s="29"/>
      <c r="O6343" s="29"/>
      <c r="P6343" s="5" t="str">
        <f>IFERROR(__xludf.DUMMYFUNCTION("TEXTJOIN("" | "",TRUE,IF(OR(D6343="""",E6343="""",I6343="""",J6343="""",H6343=""""),""ফাঁকা ঘর"",""""),IF(AND(C6343&lt;&gt;"""",D6343&lt;&gt;"""",C6343=D6343),""gloss=figurative"",""""),IF(LEN(D6343)&lt;15,""figurative ছোট"",""""),IF(AND(I6343=""Positive"",REGEXMATCH(H6"&amp;"343,""মূর্খ|ভণ্ড|প্রতার|অলস|লোভ|স্বার্থ|অক্ষম|অযোগ্য|বোকা|কৃপণ|হিংস"")),""valence-target অমিল"",""""),IF(COUNTIF($B:$B,B6343)&gt;1,""ডুপ্লিকেট"",""""))"),"")</f>
        <v/>
      </c>
      <c r="Q6343" s="5" t="str">
        <f t="shared" si="1"/>
        <v>২ পরে</v>
      </c>
    </row>
    <row r="6344">
      <c r="A6344" s="4">
        <v>4243.0</v>
      </c>
      <c r="B6344" s="2" t="s">
        <v>25898</v>
      </c>
      <c r="C6344" s="2" t="s">
        <v>25899</v>
      </c>
      <c r="D6344" s="2" t="s">
        <v>25900</v>
      </c>
      <c r="E6344" s="2" t="s">
        <v>25901</v>
      </c>
      <c r="F6344" s="2" t="b">
        <v>1</v>
      </c>
      <c r="G6344" s="2" t="b">
        <v>0</v>
      </c>
      <c r="H6344" s="2" t="s">
        <v>37</v>
      </c>
      <c r="I6344" s="2" t="s">
        <v>32</v>
      </c>
      <c r="J6344" s="2" t="s">
        <v>891</v>
      </c>
      <c r="K6344" s="2" t="s">
        <v>495</v>
      </c>
      <c r="L6344" s="13" t="s">
        <v>496</v>
      </c>
      <c r="M6344" s="2" t="s">
        <v>26</v>
      </c>
      <c r="N6344" s="29"/>
      <c r="O6344" s="29"/>
      <c r="P6344" s="5" t="str">
        <f>IFERROR(__xludf.DUMMYFUNCTION("TEXTJOIN("" | "",TRUE,IF(OR(D6344="""",E6344="""",I6344="""",J6344="""",H6344=""""),""ফাঁকা ঘর"",""""),IF(AND(C6344&lt;&gt;"""",D6344&lt;&gt;"""",C6344=D6344),""gloss=figurative"",""""),IF(LEN(D6344)&lt;15,""figurative ছোট"",""""),IF(AND(I6344=""Positive"",REGEXMATCH(H6"&amp;"344,""মূর্খ|ভণ্ড|প্রতার|অলস|লোভ|স্বার্থ|অক্ষম|অযোগ্য|বোকা|কৃপণ|হিংস"")),""valence-target অমিল"",""""),IF(COUNTIF($B:$B,B6344)&gt;1,""ডুপ্লিকেট"",""""))"),"")</f>
        <v/>
      </c>
      <c r="Q6344" s="5" t="str">
        <f t="shared" si="1"/>
        <v>২ পরে</v>
      </c>
    </row>
    <row r="6345">
      <c r="A6345" s="4">
        <v>4244.0</v>
      </c>
      <c r="B6345" s="2" t="s">
        <v>25902</v>
      </c>
      <c r="C6345" s="2" t="s">
        <v>25903</v>
      </c>
      <c r="D6345" s="2" t="s">
        <v>25904</v>
      </c>
      <c r="E6345" s="2" t="s">
        <v>25905</v>
      </c>
      <c r="F6345" s="2" t="b">
        <v>1</v>
      </c>
      <c r="G6345" s="2" t="b">
        <v>0</v>
      </c>
      <c r="H6345" s="2" t="s">
        <v>37</v>
      </c>
      <c r="I6345" s="2" t="s">
        <v>32</v>
      </c>
      <c r="J6345" s="2" t="s">
        <v>891</v>
      </c>
      <c r="K6345" s="2" t="s">
        <v>495</v>
      </c>
      <c r="L6345" s="13" t="s">
        <v>496</v>
      </c>
      <c r="M6345" s="2" t="s">
        <v>26</v>
      </c>
      <c r="N6345" s="29"/>
      <c r="O6345" s="29"/>
      <c r="P6345" s="5" t="str">
        <f>IFERROR(__xludf.DUMMYFUNCTION("TEXTJOIN("" | "",TRUE,IF(OR(D6345="""",E6345="""",I6345="""",J6345="""",H6345=""""),""ফাঁকা ঘর"",""""),IF(AND(C6345&lt;&gt;"""",D6345&lt;&gt;"""",C6345=D6345),""gloss=figurative"",""""),IF(LEN(D6345)&lt;15,""figurative ছোট"",""""),IF(AND(I6345=""Positive"",REGEXMATCH(H6"&amp;"345,""মূর্খ|ভণ্ড|প্রতার|অলস|লোভ|স্বার্থ|অক্ষম|অযোগ্য|বোকা|কৃপণ|হিংস"")),""valence-target অমিল"",""""),IF(COUNTIF($B:$B,B6345)&gt;1,""ডুপ্লিকেট"",""""))"),"")</f>
        <v/>
      </c>
      <c r="Q6345" s="5" t="str">
        <f t="shared" si="1"/>
        <v>২ পরে</v>
      </c>
    </row>
    <row r="6346">
      <c r="A6346" s="4">
        <v>4245.0</v>
      </c>
      <c r="B6346" s="2" t="s">
        <v>25906</v>
      </c>
      <c r="C6346" s="2" t="s">
        <v>25907</v>
      </c>
      <c r="D6346" s="2" t="s">
        <v>25908</v>
      </c>
      <c r="E6346" s="2" t="s">
        <v>25909</v>
      </c>
      <c r="F6346" s="2" t="b">
        <v>1</v>
      </c>
      <c r="G6346" s="2" t="b">
        <v>0</v>
      </c>
      <c r="H6346" s="2" t="s">
        <v>37</v>
      </c>
      <c r="I6346" s="2" t="s">
        <v>32</v>
      </c>
      <c r="J6346" s="2" t="s">
        <v>891</v>
      </c>
      <c r="K6346" s="2" t="s">
        <v>495</v>
      </c>
      <c r="L6346" s="13" t="s">
        <v>496</v>
      </c>
      <c r="M6346" s="2" t="s">
        <v>26</v>
      </c>
      <c r="N6346" s="29"/>
      <c r="O6346" s="29"/>
      <c r="P6346" s="5" t="str">
        <f>IFERROR(__xludf.DUMMYFUNCTION("TEXTJOIN("" | "",TRUE,IF(OR(D6346="""",E6346="""",I6346="""",J6346="""",H6346=""""),""ফাঁকা ঘর"",""""),IF(AND(C6346&lt;&gt;"""",D6346&lt;&gt;"""",C6346=D6346),""gloss=figurative"",""""),IF(LEN(D6346)&lt;15,""figurative ছোট"",""""),IF(AND(I6346=""Positive"",REGEXMATCH(H6"&amp;"346,""মূর্খ|ভণ্ড|প্রতার|অলস|লোভ|স্বার্থ|অক্ষম|অযোগ্য|বোকা|কৃপণ|হিংস"")),""valence-target অমিল"",""""),IF(COUNTIF($B:$B,B6346)&gt;1,""ডুপ্লিকেট"",""""))"),"")</f>
        <v/>
      </c>
      <c r="Q6346" s="5" t="str">
        <f t="shared" si="1"/>
        <v>২ পরে</v>
      </c>
    </row>
    <row r="6347">
      <c r="A6347" s="4">
        <v>4246.0</v>
      </c>
      <c r="B6347" s="2" t="s">
        <v>25910</v>
      </c>
      <c r="C6347" s="2" t="s">
        <v>25911</v>
      </c>
      <c r="D6347" s="2" t="s">
        <v>25912</v>
      </c>
      <c r="E6347" s="2" t="s">
        <v>25913</v>
      </c>
      <c r="F6347" s="2" t="b">
        <v>1</v>
      </c>
      <c r="G6347" s="2" t="b">
        <v>0</v>
      </c>
      <c r="H6347" s="2" t="s">
        <v>37</v>
      </c>
      <c r="I6347" s="2" t="s">
        <v>32</v>
      </c>
      <c r="J6347" s="2" t="s">
        <v>3506</v>
      </c>
      <c r="K6347" s="2" t="s">
        <v>495</v>
      </c>
      <c r="L6347" s="13" t="s">
        <v>496</v>
      </c>
      <c r="M6347" s="2" t="s">
        <v>26</v>
      </c>
      <c r="N6347" s="29"/>
      <c r="O6347" s="29"/>
      <c r="P6347" s="5" t="str">
        <f>IFERROR(__xludf.DUMMYFUNCTION("TEXTJOIN("" | "",TRUE,IF(OR(D6347="""",E6347="""",I6347="""",J6347="""",H6347=""""),""ফাঁকা ঘর"",""""),IF(AND(C6347&lt;&gt;"""",D6347&lt;&gt;"""",C6347=D6347),""gloss=figurative"",""""),IF(LEN(D6347)&lt;15,""figurative ছোট"",""""),IF(AND(I6347=""Positive"",REGEXMATCH(H6"&amp;"347,""মূর্খ|ভণ্ড|প্রতার|অলস|লোভ|স্বার্থ|অক্ষম|অযোগ্য|বোকা|কৃপণ|হিংস"")),""valence-target অমিল"",""""),IF(COUNTIF($B:$B,B6347)&gt;1,""ডুপ্লিকেট"",""""))"),"")</f>
        <v/>
      </c>
      <c r="Q6347" s="5" t="str">
        <f t="shared" si="1"/>
        <v>২ পরে</v>
      </c>
    </row>
    <row r="6348">
      <c r="A6348" s="4">
        <v>4247.0</v>
      </c>
      <c r="B6348" s="2" t="s">
        <v>25914</v>
      </c>
      <c r="C6348" s="2" t="s">
        <v>25915</v>
      </c>
      <c r="D6348" s="2" t="s">
        <v>25916</v>
      </c>
      <c r="E6348" s="2" t="s">
        <v>25917</v>
      </c>
      <c r="F6348" s="2" t="b">
        <v>1</v>
      </c>
      <c r="G6348" s="2" t="b">
        <v>0</v>
      </c>
      <c r="H6348" s="2" t="s">
        <v>37</v>
      </c>
      <c r="I6348" s="2" t="s">
        <v>22</v>
      </c>
      <c r="J6348" s="2" t="s">
        <v>3105</v>
      </c>
      <c r="K6348" s="2" t="s">
        <v>495</v>
      </c>
      <c r="L6348" s="13" t="s">
        <v>496</v>
      </c>
      <c r="M6348" s="2" t="s">
        <v>26</v>
      </c>
      <c r="N6348" s="29"/>
      <c r="O6348" s="29"/>
      <c r="P6348" s="5" t="str">
        <f>IFERROR(__xludf.DUMMYFUNCTION("TEXTJOIN("" | "",TRUE,IF(OR(D6348="""",E6348="""",I6348="""",J6348="""",H6348=""""),""ফাঁকা ঘর"",""""),IF(AND(C6348&lt;&gt;"""",D6348&lt;&gt;"""",C6348=D6348),""gloss=figurative"",""""),IF(LEN(D6348)&lt;15,""figurative ছোট"",""""),IF(AND(I6348=""Positive"",REGEXMATCH(H6"&amp;"348,""মূর্খ|ভণ্ড|প্রতার|অলস|লোভ|স্বার্থ|অক্ষম|অযোগ্য|বোকা|কৃপণ|হিংস"")),""valence-target অমিল"",""""),IF(COUNTIF($B:$B,B6348)&gt;1,""ডুপ্লিকেট"",""""))"),"")</f>
        <v/>
      </c>
      <c r="Q6348" s="5" t="str">
        <f t="shared" si="1"/>
        <v>২ পরে</v>
      </c>
    </row>
    <row r="6349">
      <c r="A6349" s="4">
        <v>4249.0</v>
      </c>
      <c r="B6349" s="2" t="s">
        <v>25918</v>
      </c>
      <c r="C6349" s="2" t="s">
        <v>25918</v>
      </c>
      <c r="D6349" s="2" t="s">
        <v>25919</v>
      </c>
      <c r="E6349" s="2" t="s">
        <v>25920</v>
      </c>
      <c r="F6349" s="2" t="b">
        <v>1</v>
      </c>
      <c r="G6349" s="2" t="b">
        <v>0</v>
      </c>
      <c r="H6349" s="2" t="s">
        <v>37</v>
      </c>
      <c r="I6349" s="2" t="s">
        <v>22</v>
      </c>
      <c r="J6349" s="2" t="s">
        <v>25921</v>
      </c>
      <c r="K6349" s="2" t="s">
        <v>495</v>
      </c>
      <c r="L6349" s="13" t="s">
        <v>496</v>
      </c>
      <c r="M6349" s="2" t="s">
        <v>26</v>
      </c>
      <c r="N6349" s="29"/>
      <c r="O6349" s="29"/>
      <c r="P6349" s="5" t="str">
        <f>IFERROR(__xludf.DUMMYFUNCTION("TEXTJOIN("" | "",TRUE,IF(OR(D6349="""",E6349="""",I6349="""",J6349="""",H6349=""""),""ফাঁকা ঘর"",""""),IF(AND(C6349&lt;&gt;"""",D6349&lt;&gt;"""",C6349=D6349),""gloss=figurative"",""""),IF(LEN(D6349)&lt;15,""figurative ছোট"",""""),IF(AND(I6349=""Positive"",REGEXMATCH(H6"&amp;"349,""মূর্খ|ভণ্ড|প্রতার|অলস|লোভ|স্বার্থ|অক্ষম|অযোগ্য|বোকা|কৃপণ|হিংস"")),""valence-target অমিল"",""""),IF(COUNTIF($B:$B,B6349)&gt;1,""ডুপ্লিকেট"",""""))"),"")</f>
        <v/>
      </c>
      <c r="Q6349" s="5" t="str">
        <f t="shared" si="1"/>
        <v>২ পরে</v>
      </c>
    </row>
    <row r="6350">
      <c r="A6350" s="4">
        <v>4250.0</v>
      </c>
      <c r="B6350" s="2" t="s">
        <v>25922</v>
      </c>
      <c r="C6350" s="2" t="s">
        <v>25922</v>
      </c>
      <c r="D6350" s="2" t="s">
        <v>25923</v>
      </c>
      <c r="E6350" s="2" t="s">
        <v>25924</v>
      </c>
      <c r="F6350" s="2" t="b">
        <v>1</v>
      </c>
      <c r="G6350" s="2" t="b">
        <v>0</v>
      </c>
      <c r="H6350" s="2" t="s">
        <v>37</v>
      </c>
      <c r="I6350" s="2" t="s">
        <v>49</v>
      </c>
      <c r="J6350" s="2" t="s">
        <v>636</v>
      </c>
      <c r="K6350" s="2" t="s">
        <v>495</v>
      </c>
      <c r="L6350" s="13" t="s">
        <v>496</v>
      </c>
      <c r="M6350" s="2" t="s">
        <v>26</v>
      </c>
      <c r="N6350" s="29"/>
      <c r="O6350" s="29"/>
      <c r="P6350" s="5" t="str">
        <f>IFERROR(__xludf.DUMMYFUNCTION("TEXTJOIN("" | "",TRUE,IF(OR(D6350="""",E6350="""",I6350="""",J6350="""",H6350=""""),""ফাঁকা ঘর"",""""),IF(AND(C6350&lt;&gt;"""",D6350&lt;&gt;"""",C6350=D6350),""gloss=figurative"",""""),IF(LEN(D6350)&lt;15,""figurative ছোট"",""""),IF(AND(I6350=""Positive"",REGEXMATCH(H6"&amp;"350,""মূর্খ|ভণ্ড|প্রতার|অলস|লোভ|স্বার্থ|অক্ষম|অযোগ্য|বোকা|কৃপণ|হিংস"")),""valence-target অমিল"",""""),IF(COUNTIF($B:$B,B6350)&gt;1,""ডুপ্লিকেট"",""""))"),"")</f>
        <v/>
      </c>
      <c r="Q6350" s="5" t="str">
        <f t="shared" si="1"/>
        <v>২ পরে</v>
      </c>
    </row>
    <row r="6351">
      <c r="A6351" s="4">
        <v>4251.0</v>
      </c>
      <c r="B6351" s="2" t="s">
        <v>25925</v>
      </c>
      <c r="C6351" s="2" t="s">
        <v>25926</v>
      </c>
      <c r="D6351" s="2" t="s">
        <v>25927</v>
      </c>
      <c r="E6351" s="2" t="s">
        <v>25928</v>
      </c>
      <c r="F6351" s="2" t="b">
        <v>1</v>
      </c>
      <c r="G6351" s="2" t="b">
        <v>0</v>
      </c>
      <c r="H6351" s="2" t="s">
        <v>37</v>
      </c>
      <c r="I6351" s="2" t="s">
        <v>22</v>
      </c>
      <c r="J6351" s="2" t="s">
        <v>8015</v>
      </c>
      <c r="K6351" s="2" t="s">
        <v>495</v>
      </c>
      <c r="L6351" s="13" t="s">
        <v>496</v>
      </c>
      <c r="M6351" s="2" t="s">
        <v>26</v>
      </c>
      <c r="N6351" s="29"/>
      <c r="O6351" s="29"/>
      <c r="P6351" s="5" t="str">
        <f>IFERROR(__xludf.DUMMYFUNCTION("TEXTJOIN("" | "",TRUE,IF(OR(D6351="""",E6351="""",I6351="""",J6351="""",H6351=""""),""ফাঁকা ঘর"",""""),IF(AND(C6351&lt;&gt;"""",D6351&lt;&gt;"""",C6351=D6351),""gloss=figurative"",""""),IF(LEN(D6351)&lt;15,""figurative ছোট"",""""),IF(AND(I6351=""Positive"",REGEXMATCH(H6"&amp;"351,""মূর্খ|ভণ্ড|প্রতার|অলস|লোভ|স্বার্থ|অক্ষম|অযোগ্য|বোকা|কৃপণ|হিংস"")),""valence-target অমিল"",""""),IF(COUNTIF($B:$B,B6351)&gt;1,""ডুপ্লিকেট"",""""))"),"")</f>
        <v/>
      </c>
      <c r="Q6351" s="5" t="str">
        <f t="shared" si="1"/>
        <v>২ পরে</v>
      </c>
    </row>
    <row r="6352">
      <c r="A6352" s="4">
        <v>4252.0</v>
      </c>
      <c r="B6352" s="2" t="s">
        <v>25929</v>
      </c>
      <c r="C6352" s="2" t="s">
        <v>25930</v>
      </c>
      <c r="D6352" s="2" t="s">
        <v>25931</v>
      </c>
      <c r="E6352" s="2" t="s">
        <v>25932</v>
      </c>
      <c r="F6352" s="2" t="b">
        <v>1</v>
      </c>
      <c r="G6352" s="2" t="b">
        <v>0</v>
      </c>
      <c r="H6352" s="2" t="s">
        <v>37</v>
      </c>
      <c r="I6352" s="2" t="s">
        <v>22</v>
      </c>
      <c r="J6352" s="2" t="s">
        <v>3105</v>
      </c>
      <c r="K6352" s="2" t="s">
        <v>495</v>
      </c>
      <c r="L6352" s="13" t="s">
        <v>496</v>
      </c>
      <c r="M6352" s="2" t="s">
        <v>26</v>
      </c>
      <c r="N6352" s="29"/>
      <c r="O6352" s="29"/>
      <c r="P6352" s="5" t="str">
        <f>IFERROR(__xludf.DUMMYFUNCTION("TEXTJOIN("" | "",TRUE,IF(OR(D6352="""",E6352="""",I6352="""",J6352="""",H6352=""""),""ফাঁকা ঘর"",""""),IF(AND(C6352&lt;&gt;"""",D6352&lt;&gt;"""",C6352=D6352),""gloss=figurative"",""""),IF(LEN(D6352)&lt;15,""figurative ছোট"",""""),IF(AND(I6352=""Positive"",REGEXMATCH(H6"&amp;"352,""মূর্খ|ভণ্ড|প্রতার|অলস|লোভ|স্বার্থ|অক্ষম|অযোগ্য|বোকা|কৃপণ|হিংস"")),""valence-target অমিল"",""""),IF(COUNTIF($B:$B,B6352)&gt;1,""ডুপ্লিকেট"",""""))"),"")</f>
        <v/>
      </c>
      <c r="Q6352" s="5" t="str">
        <f t="shared" si="1"/>
        <v>২ পরে</v>
      </c>
    </row>
    <row r="6353">
      <c r="A6353" s="4">
        <v>4253.0</v>
      </c>
      <c r="B6353" s="2" t="s">
        <v>25933</v>
      </c>
      <c r="C6353" s="2" t="s">
        <v>25934</v>
      </c>
      <c r="D6353" s="2" t="s">
        <v>25935</v>
      </c>
      <c r="E6353" s="2" t="s">
        <v>25936</v>
      </c>
      <c r="F6353" s="2" t="b">
        <v>1</v>
      </c>
      <c r="G6353" s="2" t="b">
        <v>1</v>
      </c>
      <c r="H6353" s="2" t="s">
        <v>25937</v>
      </c>
      <c r="I6353" s="2" t="s">
        <v>22</v>
      </c>
      <c r="J6353" s="2" t="s">
        <v>8081</v>
      </c>
      <c r="K6353" s="2" t="s">
        <v>495</v>
      </c>
      <c r="L6353" s="13" t="s">
        <v>496</v>
      </c>
      <c r="M6353" s="2" t="s">
        <v>26</v>
      </c>
      <c r="N6353" s="29"/>
      <c r="O6353" s="29"/>
      <c r="P6353" s="5" t="str">
        <f>IFERROR(__xludf.DUMMYFUNCTION("TEXTJOIN("" | "",TRUE,IF(OR(D6353="""",E6353="""",I6353="""",J6353="""",H6353=""""),""ফাঁকা ঘর"",""""),IF(AND(C6353&lt;&gt;"""",D6353&lt;&gt;"""",C6353=D6353),""gloss=figurative"",""""),IF(LEN(D6353)&lt;15,""figurative ছোট"",""""),IF(AND(I6353=""Positive"",REGEXMATCH(H6"&amp;"353,""মূর্খ|ভণ্ড|প্রতার|অলস|লোভ|স্বার্থ|অক্ষম|অযোগ্য|বোকা|কৃপণ|হিংস"")),""valence-target অমিল"",""""),IF(COUNTIF($B:$B,B6353)&gt;1,""ডুপ্লিকেট"",""""))"),"")</f>
        <v/>
      </c>
      <c r="Q6353" s="5" t="str">
        <f t="shared" si="1"/>
        <v>২ পরে</v>
      </c>
    </row>
    <row r="6354">
      <c r="A6354" s="4">
        <v>4254.0</v>
      </c>
      <c r="B6354" s="2" t="s">
        <v>25938</v>
      </c>
      <c r="C6354" s="2" t="s">
        <v>25939</v>
      </c>
      <c r="D6354" s="2" t="s">
        <v>25940</v>
      </c>
      <c r="E6354" s="2" t="s">
        <v>25941</v>
      </c>
      <c r="F6354" s="2" t="b">
        <v>1</v>
      </c>
      <c r="G6354" s="2" t="b">
        <v>1</v>
      </c>
      <c r="H6354" s="2" t="s">
        <v>25942</v>
      </c>
      <c r="I6354" s="2" t="s">
        <v>22</v>
      </c>
      <c r="J6354" s="2" t="s">
        <v>24945</v>
      </c>
      <c r="K6354" s="2" t="s">
        <v>495</v>
      </c>
      <c r="L6354" s="13" t="s">
        <v>496</v>
      </c>
      <c r="M6354" s="2" t="s">
        <v>26</v>
      </c>
      <c r="N6354" s="29"/>
      <c r="O6354" s="29"/>
      <c r="P6354" s="5" t="str">
        <f>IFERROR(__xludf.DUMMYFUNCTION("TEXTJOIN("" | "",TRUE,IF(OR(D6354="""",E6354="""",I6354="""",J6354="""",H6354=""""),""ফাঁকা ঘর"",""""),IF(AND(C6354&lt;&gt;"""",D6354&lt;&gt;"""",C6354=D6354),""gloss=figurative"",""""),IF(LEN(D6354)&lt;15,""figurative ছোট"",""""),IF(AND(I6354=""Positive"",REGEXMATCH(H6"&amp;"354,""মূর্খ|ভণ্ড|প্রতার|অলস|লোভ|স্বার্থ|অক্ষম|অযোগ্য|বোকা|কৃপণ|হিংস"")),""valence-target অমিল"",""""),IF(COUNTIF($B:$B,B6354)&gt;1,""ডুপ্লিকেট"",""""))"),"")</f>
        <v/>
      </c>
      <c r="Q6354" s="5" t="str">
        <f t="shared" si="1"/>
        <v>২ পরে</v>
      </c>
    </row>
    <row r="6355">
      <c r="A6355" s="4">
        <v>4256.0</v>
      </c>
      <c r="B6355" s="2" t="s">
        <v>25943</v>
      </c>
      <c r="C6355" s="2" t="s">
        <v>25944</v>
      </c>
      <c r="D6355" s="2" t="s">
        <v>25945</v>
      </c>
      <c r="E6355" s="2" t="s">
        <v>25946</v>
      </c>
      <c r="F6355" s="2" t="b">
        <v>1</v>
      </c>
      <c r="G6355" s="2" t="b">
        <v>0</v>
      </c>
      <c r="H6355" s="2" t="s">
        <v>37</v>
      </c>
      <c r="I6355" s="2" t="s">
        <v>32</v>
      </c>
      <c r="J6355" s="2" t="s">
        <v>708</v>
      </c>
      <c r="K6355" s="2" t="s">
        <v>495</v>
      </c>
      <c r="L6355" s="13" t="s">
        <v>496</v>
      </c>
      <c r="M6355" s="2" t="s">
        <v>26</v>
      </c>
      <c r="N6355" s="29"/>
      <c r="O6355" s="29"/>
      <c r="P6355" s="5" t="str">
        <f>IFERROR(__xludf.DUMMYFUNCTION("TEXTJOIN("" | "",TRUE,IF(OR(D6355="""",E6355="""",I6355="""",J6355="""",H6355=""""),""ফাঁকা ঘর"",""""),IF(AND(C6355&lt;&gt;"""",D6355&lt;&gt;"""",C6355=D6355),""gloss=figurative"",""""),IF(LEN(D6355)&lt;15,""figurative ছোট"",""""),IF(AND(I6355=""Positive"",REGEXMATCH(H6"&amp;"355,""মূর্খ|ভণ্ড|প্রতার|অলস|লোভ|স্বার্থ|অক্ষম|অযোগ্য|বোকা|কৃপণ|হিংস"")),""valence-target অমিল"",""""),IF(COUNTIF($B:$B,B6355)&gt;1,""ডুপ্লিকেট"",""""))"),"")</f>
        <v/>
      </c>
      <c r="Q6355" s="5" t="str">
        <f t="shared" si="1"/>
        <v>২ পরে</v>
      </c>
    </row>
    <row r="6356">
      <c r="A6356" s="4">
        <v>4257.0</v>
      </c>
      <c r="B6356" s="2" t="s">
        <v>25947</v>
      </c>
      <c r="C6356" s="2" t="s">
        <v>25948</v>
      </c>
      <c r="D6356" s="2" t="s">
        <v>25949</v>
      </c>
      <c r="E6356" s="2" t="s">
        <v>25950</v>
      </c>
      <c r="F6356" s="2" t="b">
        <v>1</v>
      </c>
      <c r="G6356" s="2" t="b">
        <v>0</v>
      </c>
      <c r="H6356" s="2" t="s">
        <v>37</v>
      </c>
      <c r="I6356" s="2" t="s">
        <v>22</v>
      </c>
      <c r="J6356" s="2" t="s">
        <v>842</v>
      </c>
      <c r="K6356" s="2" t="s">
        <v>495</v>
      </c>
      <c r="L6356" s="13" t="s">
        <v>496</v>
      </c>
      <c r="M6356" s="2" t="s">
        <v>26</v>
      </c>
      <c r="N6356" s="29"/>
      <c r="O6356" s="29"/>
      <c r="P6356" s="5" t="str">
        <f>IFERROR(__xludf.DUMMYFUNCTION("TEXTJOIN("" | "",TRUE,IF(OR(D6356="""",E6356="""",I6356="""",J6356="""",H6356=""""),""ফাঁকা ঘর"",""""),IF(AND(C6356&lt;&gt;"""",D6356&lt;&gt;"""",C6356=D6356),""gloss=figurative"",""""),IF(LEN(D6356)&lt;15,""figurative ছোট"",""""),IF(AND(I6356=""Positive"",REGEXMATCH(H6"&amp;"356,""মূর্খ|ভণ্ড|প্রতার|অলস|লোভ|স্বার্থ|অক্ষম|অযোগ্য|বোকা|কৃপণ|হিংস"")),""valence-target অমিল"",""""),IF(COUNTIF($B:$B,B6356)&gt;1,""ডুপ্লিকেট"",""""))"),"")</f>
        <v/>
      </c>
      <c r="Q6356" s="5" t="str">
        <f t="shared" si="1"/>
        <v>২ পরে</v>
      </c>
    </row>
    <row r="6357">
      <c r="A6357" s="4">
        <v>4258.0</v>
      </c>
      <c r="B6357" s="2" t="s">
        <v>25951</v>
      </c>
      <c r="C6357" s="2" t="s">
        <v>25952</v>
      </c>
      <c r="D6357" s="2" t="s">
        <v>25953</v>
      </c>
      <c r="E6357" s="2" t="s">
        <v>25954</v>
      </c>
      <c r="F6357" s="2" t="b">
        <v>1</v>
      </c>
      <c r="G6357" s="2" t="b">
        <v>0</v>
      </c>
      <c r="H6357" s="2" t="s">
        <v>37</v>
      </c>
      <c r="I6357" s="2" t="s">
        <v>49</v>
      </c>
      <c r="J6357" s="2" t="s">
        <v>4110</v>
      </c>
      <c r="K6357" s="2" t="s">
        <v>495</v>
      </c>
      <c r="L6357" s="13" t="s">
        <v>496</v>
      </c>
      <c r="M6357" s="2" t="s">
        <v>26</v>
      </c>
      <c r="N6357" s="29"/>
      <c r="O6357" s="29"/>
      <c r="P6357" s="5" t="str">
        <f>IFERROR(__xludf.DUMMYFUNCTION("TEXTJOIN("" | "",TRUE,IF(OR(D6357="""",E6357="""",I6357="""",J6357="""",H6357=""""),""ফাঁকা ঘর"",""""),IF(AND(C6357&lt;&gt;"""",D6357&lt;&gt;"""",C6357=D6357),""gloss=figurative"",""""),IF(LEN(D6357)&lt;15,""figurative ছোট"",""""),IF(AND(I6357=""Positive"",REGEXMATCH(H6"&amp;"357,""মূর্খ|ভণ্ড|প্রতার|অলস|লোভ|স্বার্থ|অক্ষম|অযোগ্য|বোকা|কৃপণ|হিংস"")),""valence-target অমিল"",""""),IF(COUNTIF($B:$B,B6357)&gt;1,""ডুপ্লিকেট"",""""))"),"")</f>
        <v/>
      </c>
      <c r="Q6357" s="5" t="str">
        <f t="shared" si="1"/>
        <v>২ পরে</v>
      </c>
    </row>
    <row r="6358">
      <c r="A6358" s="4">
        <v>4259.0</v>
      </c>
      <c r="B6358" s="2" t="s">
        <v>25955</v>
      </c>
      <c r="C6358" s="2" t="s">
        <v>25956</v>
      </c>
      <c r="D6358" s="2" t="s">
        <v>25957</v>
      </c>
      <c r="E6358" s="2" t="s">
        <v>25958</v>
      </c>
      <c r="F6358" s="2" t="b">
        <v>1</v>
      </c>
      <c r="G6358" s="2" t="b">
        <v>0</v>
      </c>
      <c r="H6358" s="2" t="s">
        <v>3407</v>
      </c>
      <c r="I6358" s="2" t="s">
        <v>22</v>
      </c>
      <c r="J6358" s="2" t="s">
        <v>1944</v>
      </c>
      <c r="K6358" s="2" t="s">
        <v>495</v>
      </c>
      <c r="L6358" s="13" t="s">
        <v>496</v>
      </c>
      <c r="M6358" s="2" t="s">
        <v>26</v>
      </c>
      <c r="N6358" s="29"/>
      <c r="O6358" s="29"/>
      <c r="P6358" s="5" t="str">
        <f>IFERROR(__xludf.DUMMYFUNCTION("TEXTJOIN("" | "",TRUE,IF(OR(D6358="""",E6358="""",I6358="""",J6358="""",H6358=""""),""ফাঁকা ঘর"",""""),IF(AND(C6358&lt;&gt;"""",D6358&lt;&gt;"""",C6358=D6358),""gloss=figurative"",""""),IF(LEN(D6358)&lt;15,""figurative ছোট"",""""),IF(AND(I6358=""Positive"",REGEXMATCH(H6"&amp;"358,""মূর্খ|ভণ্ড|প্রতার|অলস|লোভ|স্বার্থ|অক্ষম|অযোগ্য|বোকা|কৃপণ|হিংস"")),""valence-target অমিল"",""""),IF(COUNTIF($B:$B,B6358)&gt;1,""ডুপ্লিকেট"",""""))"),"")</f>
        <v/>
      </c>
      <c r="Q6358" s="5" t="str">
        <f t="shared" si="1"/>
        <v>২ পরে</v>
      </c>
    </row>
    <row r="6359">
      <c r="A6359" s="4">
        <v>4261.0</v>
      </c>
      <c r="B6359" s="2" t="s">
        <v>25959</v>
      </c>
      <c r="C6359" s="2" t="s">
        <v>25960</v>
      </c>
      <c r="D6359" s="2" t="s">
        <v>25961</v>
      </c>
      <c r="E6359" s="2" t="s">
        <v>25962</v>
      </c>
      <c r="F6359" s="2" t="b">
        <v>1</v>
      </c>
      <c r="G6359" s="2" t="b">
        <v>0</v>
      </c>
      <c r="H6359" s="2" t="s">
        <v>37</v>
      </c>
      <c r="I6359" s="2" t="s">
        <v>32</v>
      </c>
      <c r="J6359" s="2" t="s">
        <v>1621</v>
      </c>
      <c r="K6359" s="2" t="s">
        <v>495</v>
      </c>
      <c r="L6359" s="13" t="s">
        <v>496</v>
      </c>
      <c r="M6359" s="2" t="s">
        <v>26</v>
      </c>
      <c r="N6359" s="29"/>
      <c r="O6359" s="29"/>
      <c r="P6359" s="5" t="str">
        <f>IFERROR(__xludf.DUMMYFUNCTION("TEXTJOIN("" | "",TRUE,IF(OR(D6359="""",E6359="""",I6359="""",J6359="""",H6359=""""),""ফাঁকা ঘর"",""""),IF(AND(C6359&lt;&gt;"""",D6359&lt;&gt;"""",C6359=D6359),""gloss=figurative"",""""),IF(LEN(D6359)&lt;15,""figurative ছোট"",""""),IF(AND(I6359=""Positive"",REGEXMATCH(H6"&amp;"359,""মূর্খ|ভণ্ড|প্রতার|অলস|লোভ|স্বার্থ|অক্ষম|অযোগ্য|বোকা|কৃপণ|হিংস"")),""valence-target অমিল"",""""),IF(COUNTIF($B:$B,B6359)&gt;1,""ডুপ্লিকেট"",""""))"),"")</f>
        <v/>
      </c>
      <c r="Q6359" s="5" t="str">
        <f t="shared" si="1"/>
        <v>২ পরে</v>
      </c>
    </row>
    <row r="6360">
      <c r="A6360" s="4">
        <v>4262.0</v>
      </c>
      <c r="B6360" s="2" t="s">
        <v>25963</v>
      </c>
      <c r="C6360" s="2" t="s">
        <v>25963</v>
      </c>
      <c r="D6360" s="2" t="s">
        <v>25964</v>
      </c>
      <c r="E6360" s="2" t="s">
        <v>25965</v>
      </c>
      <c r="F6360" s="2" t="b">
        <v>1</v>
      </c>
      <c r="G6360" s="2" t="b">
        <v>0</v>
      </c>
      <c r="H6360" s="2" t="s">
        <v>37</v>
      </c>
      <c r="I6360" s="2" t="s">
        <v>22</v>
      </c>
      <c r="J6360" s="2" t="s">
        <v>1126</v>
      </c>
      <c r="K6360" s="2" t="s">
        <v>495</v>
      </c>
      <c r="L6360" s="13" t="s">
        <v>496</v>
      </c>
      <c r="M6360" s="2" t="s">
        <v>26</v>
      </c>
      <c r="N6360" s="29"/>
      <c r="O6360" s="29"/>
      <c r="P6360" s="5" t="str">
        <f>IFERROR(__xludf.DUMMYFUNCTION("TEXTJOIN("" | "",TRUE,IF(OR(D6360="""",E6360="""",I6360="""",J6360="""",H6360=""""),""ফাঁকা ঘর"",""""),IF(AND(C6360&lt;&gt;"""",D6360&lt;&gt;"""",C6360=D6360),""gloss=figurative"",""""),IF(LEN(D6360)&lt;15,""figurative ছোট"",""""),IF(AND(I6360=""Positive"",REGEXMATCH(H6"&amp;"360,""মূর্খ|ভণ্ড|প্রতার|অলস|লোভ|স্বার্থ|অক্ষম|অযোগ্য|বোকা|কৃপণ|হিংস"")),""valence-target অমিল"",""""),IF(COUNTIF($B:$B,B6360)&gt;1,""ডুপ্লিকেট"",""""))"),"")</f>
        <v/>
      </c>
      <c r="Q6360" s="5" t="str">
        <f t="shared" si="1"/>
        <v>২ পরে</v>
      </c>
    </row>
    <row r="6361">
      <c r="A6361" s="4">
        <v>4264.0</v>
      </c>
      <c r="B6361" s="2" t="s">
        <v>25966</v>
      </c>
      <c r="C6361" s="2" t="s">
        <v>25967</v>
      </c>
      <c r="D6361" s="2" t="s">
        <v>25968</v>
      </c>
      <c r="E6361" s="2" t="s">
        <v>25969</v>
      </c>
      <c r="F6361" s="2" t="b">
        <v>1</v>
      </c>
      <c r="G6361" s="2" t="b">
        <v>0</v>
      </c>
      <c r="H6361" s="2" t="s">
        <v>37</v>
      </c>
      <c r="I6361" s="2" t="s">
        <v>22</v>
      </c>
      <c r="J6361" s="2" t="s">
        <v>723</v>
      </c>
      <c r="K6361" s="2" t="s">
        <v>495</v>
      </c>
      <c r="L6361" s="13" t="s">
        <v>496</v>
      </c>
      <c r="M6361" s="2" t="s">
        <v>26</v>
      </c>
      <c r="N6361" s="29"/>
      <c r="O6361" s="29"/>
      <c r="P6361" s="5" t="str">
        <f>IFERROR(__xludf.DUMMYFUNCTION("TEXTJOIN("" | "",TRUE,IF(OR(D6361="""",E6361="""",I6361="""",J6361="""",H6361=""""),""ফাঁকা ঘর"",""""),IF(AND(C6361&lt;&gt;"""",D6361&lt;&gt;"""",C6361=D6361),""gloss=figurative"",""""),IF(LEN(D6361)&lt;15,""figurative ছোট"",""""),IF(AND(I6361=""Positive"",REGEXMATCH(H6"&amp;"361,""মূর্খ|ভণ্ড|প্রতার|অলস|লোভ|স্বার্থ|অক্ষম|অযোগ্য|বোকা|কৃপণ|হিংস"")),""valence-target অমিল"",""""),IF(COUNTIF($B:$B,B6361)&gt;1,""ডুপ্লিকেট"",""""))"),"")</f>
        <v/>
      </c>
      <c r="Q6361" s="5" t="str">
        <f t="shared" si="1"/>
        <v>২ পরে</v>
      </c>
    </row>
    <row r="6362">
      <c r="A6362" s="4">
        <v>4265.0</v>
      </c>
      <c r="B6362" s="2" t="s">
        <v>25970</v>
      </c>
      <c r="C6362" s="2" t="s">
        <v>25971</v>
      </c>
      <c r="D6362" s="2" t="s">
        <v>25972</v>
      </c>
      <c r="E6362" s="2" t="s">
        <v>25973</v>
      </c>
      <c r="F6362" s="2" t="b">
        <v>1</v>
      </c>
      <c r="G6362" s="2" t="b">
        <v>0</v>
      </c>
      <c r="H6362" s="2" t="s">
        <v>37</v>
      </c>
      <c r="I6362" s="2" t="s">
        <v>22</v>
      </c>
      <c r="J6362" s="2" t="s">
        <v>590</v>
      </c>
      <c r="K6362" s="2" t="s">
        <v>495</v>
      </c>
      <c r="L6362" s="13" t="s">
        <v>496</v>
      </c>
      <c r="M6362" s="2" t="s">
        <v>26</v>
      </c>
      <c r="N6362" s="29"/>
      <c r="O6362" s="29"/>
      <c r="P6362" s="5" t="str">
        <f>IFERROR(__xludf.DUMMYFUNCTION("TEXTJOIN("" | "",TRUE,IF(OR(D6362="""",E6362="""",I6362="""",J6362="""",H6362=""""),""ফাঁকা ঘর"",""""),IF(AND(C6362&lt;&gt;"""",D6362&lt;&gt;"""",C6362=D6362),""gloss=figurative"",""""),IF(LEN(D6362)&lt;15,""figurative ছোট"",""""),IF(AND(I6362=""Positive"",REGEXMATCH(H6"&amp;"362,""মূর্খ|ভণ্ড|প্রতার|অলস|লোভ|স্বার্থ|অক্ষম|অযোগ্য|বোকা|কৃপণ|হিংস"")),""valence-target অমিল"",""""),IF(COUNTIF($B:$B,B6362)&gt;1,""ডুপ্লিকেট"",""""))"),"")</f>
        <v/>
      </c>
      <c r="Q6362" s="5" t="str">
        <f t="shared" si="1"/>
        <v>২ পরে</v>
      </c>
    </row>
    <row r="6363">
      <c r="A6363" s="4">
        <v>4266.0</v>
      </c>
      <c r="B6363" s="2" t="s">
        <v>25974</v>
      </c>
      <c r="C6363" s="2" t="s">
        <v>25975</v>
      </c>
      <c r="D6363" s="2" t="s">
        <v>25976</v>
      </c>
      <c r="E6363" s="2" t="s">
        <v>25977</v>
      </c>
      <c r="F6363" s="2" t="b">
        <v>1</v>
      </c>
      <c r="G6363" s="2" t="b">
        <v>0</v>
      </c>
      <c r="H6363" s="2" t="s">
        <v>37</v>
      </c>
      <c r="I6363" s="2" t="s">
        <v>32</v>
      </c>
      <c r="J6363" s="2" t="s">
        <v>842</v>
      </c>
      <c r="K6363" s="2" t="s">
        <v>495</v>
      </c>
      <c r="L6363" s="13" t="s">
        <v>496</v>
      </c>
      <c r="M6363" s="2" t="s">
        <v>26</v>
      </c>
      <c r="N6363" s="29"/>
      <c r="O6363" s="29"/>
      <c r="P6363" s="5" t="str">
        <f>IFERROR(__xludf.DUMMYFUNCTION("TEXTJOIN("" | "",TRUE,IF(OR(D6363="""",E6363="""",I6363="""",J6363="""",H6363=""""),""ফাঁকা ঘর"",""""),IF(AND(C6363&lt;&gt;"""",D6363&lt;&gt;"""",C6363=D6363),""gloss=figurative"",""""),IF(LEN(D6363)&lt;15,""figurative ছোট"",""""),IF(AND(I6363=""Positive"",REGEXMATCH(H6"&amp;"363,""মূর্খ|ভণ্ড|প্রতার|অলস|লোভ|স্বার্থ|অক্ষম|অযোগ্য|বোকা|কৃপণ|হিংস"")),""valence-target অমিল"",""""),IF(COUNTIF($B:$B,B6363)&gt;1,""ডুপ্লিকেট"",""""))"),"")</f>
        <v/>
      </c>
      <c r="Q6363" s="5" t="str">
        <f t="shared" si="1"/>
        <v>২ পরে</v>
      </c>
    </row>
    <row r="6364">
      <c r="A6364" s="4">
        <v>4267.0</v>
      </c>
      <c r="B6364" s="2" t="s">
        <v>25978</v>
      </c>
      <c r="C6364" s="2" t="s">
        <v>25979</v>
      </c>
      <c r="D6364" s="2" t="s">
        <v>25980</v>
      </c>
      <c r="E6364" s="2" t="s">
        <v>25981</v>
      </c>
      <c r="F6364" s="2" t="b">
        <v>1</v>
      </c>
      <c r="G6364" s="2" t="b">
        <v>0</v>
      </c>
      <c r="H6364" s="2" t="s">
        <v>37</v>
      </c>
      <c r="I6364" s="2" t="s">
        <v>22</v>
      </c>
      <c r="J6364" s="2" t="s">
        <v>2675</v>
      </c>
      <c r="K6364" s="2" t="s">
        <v>495</v>
      </c>
      <c r="L6364" s="13" t="s">
        <v>496</v>
      </c>
      <c r="M6364" s="2" t="s">
        <v>26</v>
      </c>
      <c r="N6364" s="29"/>
      <c r="O6364" s="29"/>
      <c r="P6364" s="5" t="str">
        <f>IFERROR(__xludf.DUMMYFUNCTION("TEXTJOIN("" | "",TRUE,IF(OR(D6364="""",E6364="""",I6364="""",J6364="""",H6364=""""),""ফাঁকা ঘর"",""""),IF(AND(C6364&lt;&gt;"""",D6364&lt;&gt;"""",C6364=D6364),""gloss=figurative"",""""),IF(LEN(D6364)&lt;15,""figurative ছোট"",""""),IF(AND(I6364=""Positive"",REGEXMATCH(H6"&amp;"364,""মূর্খ|ভণ্ড|প্রতার|অলস|লোভ|স্বার্থ|অক্ষম|অযোগ্য|বোকা|কৃপণ|হিংস"")),""valence-target অমিল"",""""),IF(COUNTIF($B:$B,B6364)&gt;1,""ডুপ্লিকেট"",""""))"),"")</f>
        <v/>
      </c>
      <c r="Q6364" s="5" t="str">
        <f t="shared" si="1"/>
        <v>২ পরে</v>
      </c>
    </row>
    <row r="6365">
      <c r="A6365" s="4">
        <v>4268.0</v>
      </c>
      <c r="B6365" s="2" t="s">
        <v>25982</v>
      </c>
      <c r="C6365" s="2" t="s">
        <v>233</v>
      </c>
      <c r="D6365" s="2" t="s">
        <v>25983</v>
      </c>
      <c r="E6365" s="2" t="s">
        <v>25984</v>
      </c>
      <c r="F6365" s="2" t="b">
        <v>1</v>
      </c>
      <c r="G6365" s="2" t="b">
        <v>0</v>
      </c>
      <c r="H6365" s="2" t="s">
        <v>37</v>
      </c>
      <c r="I6365" s="2" t="s">
        <v>22</v>
      </c>
      <c r="J6365" s="2" t="s">
        <v>2675</v>
      </c>
      <c r="K6365" s="2" t="s">
        <v>495</v>
      </c>
      <c r="L6365" s="13" t="s">
        <v>496</v>
      </c>
      <c r="M6365" s="2" t="s">
        <v>26</v>
      </c>
      <c r="N6365" s="29"/>
      <c r="O6365" s="29"/>
      <c r="P6365" s="5" t="str">
        <f>IFERROR(__xludf.DUMMYFUNCTION("TEXTJOIN("" | "",TRUE,IF(OR(D6365="""",E6365="""",I6365="""",J6365="""",H6365=""""),""ফাঁকা ঘর"",""""),IF(AND(C6365&lt;&gt;"""",D6365&lt;&gt;"""",C6365=D6365),""gloss=figurative"",""""),IF(LEN(D6365)&lt;15,""figurative ছোট"",""""),IF(AND(I6365=""Positive"",REGEXMATCH(H6"&amp;"365,""মূর্খ|ভণ্ড|প্রতার|অলস|লোভ|স্বার্থ|অক্ষম|অযোগ্য|বোকা|কৃপণ|হিংস"")),""valence-target অমিল"",""""),IF(COUNTIF($B:$B,B6365)&gt;1,""ডুপ্লিকেট"",""""))"),"")</f>
        <v/>
      </c>
      <c r="Q6365" s="5" t="str">
        <f t="shared" si="1"/>
        <v>২ পরে</v>
      </c>
    </row>
    <row r="6366">
      <c r="A6366" s="4">
        <v>4269.0</v>
      </c>
      <c r="B6366" s="2" t="s">
        <v>25985</v>
      </c>
      <c r="C6366" s="2" t="s">
        <v>25986</v>
      </c>
      <c r="D6366" s="2" t="s">
        <v>25987</v>
      </c>
      <c r="E6366" s="2" t="s">
        <v>25988</v>
      </c>
      <c r="F6366" s="2" t="b">
        <v>1</v>
      </c>
      <c r="G6366" s="2" t="b">
        <v>0</v>
      </c>
      <c r="H6366" s="2" t="s">
        <v>37</v>
      </c>
      <c r="I6366" s="2" t="s">
        <v>32</v>
      </c>
      <c r="J6366" s="2" t="s">
        <v>1259</v>
      </c>
      <c r="K6366" s="2" t="s">
        <v>495</v>
      </c>
      <c r="L6366" s="13" t="s">
        <v>496</v>
      </c>
      <c r="M6366" s="2" t="s">
        <v>26</v>
      </c>
      <c r="N6366" s="29"/>
      <c r="O6366" s="29"/>
      <c r="P6366" s="5" t="str">
        <f>IFERROR(__xludf.DUMMYFUNCTION("TEXTJOIN("" | "",TRUE,IF(OR(D6366="""",E6366="""",I6366="""",J6366="""",H6366=""""),""ফাঁকা ঘর"",""""),IF(AND(C6366&lt;&gt;"""",D6366&lt;&gt;"""",C6366=D6366),""gloss=figurative"",""""),IF(LEN(D6366)&lt;15,""figurative ছোট"",""""),IF(AND(I6366=""Positive"",REGEXMATCH(H6"&amp;"366,""মূর্খ|ভণ্ড|প্রতার|অলস|লোভ|স্বার্থ|অক্ষম|অযোগ্য|বোকা|কৃপণ|হিংস"")),""valence-target অমিল"",""""),IF(COUNTIF($B:$B,B6366)&gt;1,""ডুপ্লিকেট"",""""))"),"")</f>
        <v/>
      </c>
      <c r="Q6366" s="5" t="str">
        <f t="shared" si="1"/>
        <v>২ পরে</v>
      </c>
    </row>
    <row r="6367">
      <c r="A6367" s="4">
        <v>4272.0</v>
      </c>
      <c r="B6367" s="2" t="s">
        <v>25989</v>
      </c>
      <c r="C6367" s="2" t="s">
        <v>25990</v>
      </c>
      <c r="D6367" s="2" t="s">
        <v>25991</v>
      </c>
      <c r="E6367" s="2" t="s">
        <v>25992</v>
      </c>
      <c r="F6367" s="2" t="b">
        <v>1</v>
      </c>
      <c r="G6367" s="2" t="b">
        <v>0</v>
      </c>
      <c r="H6367" s="2" t="s">
        <v>37</v>
      </c>
      <c r="I6367" s="2" t="s">
        <v>22</v>
      </c>
      <c r="J6367" s="2" t="s">
        <v>1111</v>
      </c>
      <c r="K6367" s="2" t="s">
        <v>495</v>
      </c>
      <c r="L6367" s="13" t="s">
        <v>496</v>
      </c>
      <c r="M6367" s="2" t="s">
        <v>26</v>
      </c>
      <c r="N6367" s="29"/>
      <c r="O6367" s="29"/>
      <c r="P6367" s="5" t="str">
        <f>IFERROR(__xludf.DUMMYFUNCTION("TEXTJOIN("" | "",TRUE,IF(OR(D6367="""",E6367="""",I6367="""",J6367="""",H6367=""""),""ফাঁকা ঘর"",""""),IF(AND(C6367&lt;&gt;"""",D6367&lt;&gt;"""",C6367=D6367),""gloss=figurative"",""""),IF(LEN(D6367)&lt;15,""figurative ছোট"",""""),IF(AND(I6367=""Positive"",REGEXMATCH(H6"&amp;"367,""মূর্খ|ভণ্ড|প্রতার|অলস|লোভ|স্বার্থ|অক্ষম|অযোগ্য|বোকা|কৃপণ|হিংস"")),""valence-target অমিল"",""""),IF(COUNTIF($B:$B,B6367)&gt;1,""ডুপ্লিকেট"",""""))"),"")</f>
        <v/>
      </c>
      <c r="Q6367" s="5" t="str">
        <f t="shared" si="1"/>
        <v>২ পরে</v>
      </c>
    </row>
    <row r="6368">
      <c r="A6368" s="4">
        <v>4273.0</v>
      </c>
      <c r="B6368" s="2" t="s">
        <v>25993</v>
      </c>
      <c r="C6368" s="2" t="s">
        <v>25993</v>
      </c>
      <c r="D6368" s="2" t="s">
        <v>25994</v>
      </c>
      <c r="E6368" s="2" t="s">
        <v>25995</v>
      </c>
      <c r="F6368" s="2" t="b">
        <v>1</v>
      </c>
      <c r="G6368" s="2" t="b">
        <v>0</v>
      </c>
      <c r="H6368" s="2" t="s">
        <v>37</v>
      </c>
      <c r="I6368" s="2" t="s">
        <v>32</v>
      </c>
      <c r="J6368" s="2" t="s">
        <v>669</v>
      </c>
      <c r="K6368" s="2" t="s">
        <v>495</v>
      </c>
      <c r="L6368" s="13" t="s">
        <v>496</v>
      </c>
      <c r="M6368" s="2" t="s">
        <v>26</v>
      </c>
      <c r="N6368" s="29"/>
      <c r="O6368" s="29"/>
      <c r="P6368" s="5" t="str">
        <f>IFERROR(__xludf.DUMMYFUNCTION("TEXTJOIN("" | "",TRUE,IF(OR(D6368="""",E6368="""",I6368="""",J6368="""",H6368=""""),""ফাঁকা ঘর"",""""),IF(AND(C6368&lt;&gt;"""",D6368&lt;&gt;"""",C6368=D6368),""gloss=figurative"",""""),IF(LEN(D6368)&lt;15,""figurative ছোট"",""""),IF(AND(I6368=""Positive"",REGEXMATCH(H6"&amp;"368,""মূর্খ|ভণ্ড|প্রতার|অলস|লোভ|স্বার্থ|অক্ষম|অযোগ্য|বোকা|কৃপণ|হিংস"")),""valence-target অমিল"",""""),IF(COUNTIF($B:$B,B6368)&gt;1,""ডুপ্লিকেট"",""""))"),"")</f>
        <v/>
      </c>
      <c r="Q6368" s="5" t="str">
        <f t="shared" si="1"/>
        <v>২ পরে</v>
      </c>
    </row>
    <row r="6369">
      <c r="A6369" s="4">
        <v>4274.0</v>
      </c>
      <c r="B6369" s="2" t="s">
        <v>25996</v>
      </c>
      <c r="C6369" s="2" t="s">
        <v>25997</v>
      </c>
      <c r="D6369" s="2" t="s">
        <v>25998</v>
      </c>
      <c r="E6369" s="2" t="s">
        <v>25999</v>
      </c>
      <c r="F6369" s="2" t="b">
        <v>1</v>
      </c>
      <c r="G6369" s="2" t="b">
        <v>0</v>
      </c>
      <c r="H6369" s="2" t="s">
        <v>37</v>
      </c>
      <c r="I6369" s="2" t="s">
        <v>22</v>
      </c>
      <c r="J6369" s="2" t="s">
        <v>8606</v>
      </c>
      <c r="K6369" s="2" t="s">
        <v>495</v>
      </c>
      <c r="L6369" s="13" t="s">
        <v>496</v>
      </c>
      <c r="M6369" s="2" t="s">
        <v>26</v>
      </c>
      <c r="N6369" s="29"/>
      <c r="O6369" s="29"/>
      <c r="P6369" s="5" t="str">
        <f>IFERROR(__xludf.DUMMYFUNCTION("TEXTJOIN("" | "",TRUE,IF(OR(D6369="""",E6369="""",I6369="""",J6369="""",H6369=""""),""ফাঁকা ঘর"",""""),IF(AND(C6369&lt;&gt;"""",D6369&lt;&gt;"""",C6369=D6369),""gloss=figurative"",""""),IF(LEN(D6369)&lt;15,""figurative ছোট"",""""),IF(AND(I6369=""Positive"",REGEXMATCH(H6"&amp;"369,""মূর্খ|ভণ্ড|প্রতার|অলস|লোভ|স্বার্থ|অক্ষম|অযোগ্য|বোকা|কৃপণ|হিংস"")),""valence-target অমিল"",""""),IF(COUNTIF($B:$B,B6369)&gt;1,""ডুপ্লিকেট"",""""))"),"")</f>
        <v/>
      </c>
      <c r="Q6369" s="5" t="str">
        <f t="shared" si="1"/>
        <v>২ পরে</v>
      </c>
    </row>
    <row r="6370">
      <c r="A6370" s="4">
        <v>4275.0</v>
      </c>
      <c r="B6370" s="2" t="s">
        <v>26000</v>
      </c>
      <c r="C6370" s="2" t="s">
        <v>26001</v>
      </c>
      <c r="D6370" s="2" t="s">
        <v>26002</v>
      </c>
      <c r="E6370" s="2" t="s">
        <v>26003</v>
      </c>
      <c r="F6370" s="2" t="b">
        <v>1</v>
      </c>
      <c r="G6370" s="2" t="b">
        <v>1</v>
      </c>
      <c r="H6370" s="2" t="s">
        <v>918</v>
      </c>
      <c r="I6370" s="2" t="s">
        <v>22</v>
      </c>
      <c r="J6370" s="2" t="s">
        <v>26004</v>
      </c>
      <c r="K6370" s="2" t="s">
        <v>495</v>
      </c>
      <c r="L6370" s="13" t="s">
        <v>496</v>
      </c>
      <c r="M6370" s="2" t="s">
        <v>26</v>
      </c>
      <c r="N6370" s="29"/>
      <c r="O6370" s="29"/>
      <c r="P6370" s="5" t="str">
        <f>IFERROR(__xludf.DUMMYFUNCTION("TEXTJOIN("" | "",TRUE,IF(OR(D6370="""",E6370="""",I6370="""",J6370="""",H6370=""""),""ফাঁকা ঘর"",""""),IF(AND(C6370&lt;&gt;"""",D6370&lt;&gt;"""",C6370=D6370),""gloss=figurative"",""""),IF(LEN(D6370)&lt;15,""figurative ছোট"",""""),IF(AND(I6370=""Positive"",REGEXMATCH(H6"&amp;"370,""মূর্খ|ভণ্ড|প্রতার|অলস|লোভ|স্বার্থ|অক্ষম|অযোগ্য|বোকা|কৃপণ|হিংস"")),""valence-target অমিল"",""""),IF(COUNTIF($B:$B,B6370)&gt;1,""ডুপ্লিকেট"",""""))"),"")</f>
        <v/>
      </c>
      <c r="Q6370" s="5" t="str">
        <f t="shared" si="1"/>
        <v>২ পরে</v>
      </c>
    </row>
    <row r="6371">
      <c r="A6371" s="4">
        <v>4277.0</v>
      </c>
      <c r="B6371" s="2" t="s">
        <v>26005</v>
      </c>
      <c r="C6371" s="2" t="s">
        <v>26005</v>
      </c>
      <c r="D6371" s="2" t="s">
        <v>26006</v>
      </c>
      <c r="E6371" s="2" t="s">
        <v>26007</v>
      </c>
      <c r="F6371" s="2" t="b">
        <v>1</v>
      </c>
      <c r="G6371" s="2" t="b">
        <v>0</v>
      </c>
      <c r="H6371" s="2" t="s">
        <v>37</v>
      </c>
      <c r="I6371" s="2" t="s">
        <v>32</v>
      </c>
      <c r="J6371" s="2" t="s">
        <v>830</v>
      </c>
      <c r="K6371" s="2" t="s">
        <v>495</v>
      </c>
      <c r="L6371" s="13" t="s">
        <v>496</v>
      </c>
      <c r="M6371" s="2" t="s">
        <v>26</v>
      </c>
      <c r="N6371" s="29"/>
      <c r="O6371" s="29"/>
      <c r="P6371" s="5" t="str">
        <f>IFERROR(__xludf.DUMMYFUNCTION("TEXTJOIN("" | "",TRUE,IF(OR(D6371="""",E6371="""",I6371="""",J6371="""",H6371=""""),""ফাঁকা ঘর"",""""),IF(AND(C6371&lt;&gt;"""",D6371&lt;&gt;"""",C6371=D6371),""gloss=figurative"",""""),IF(LEN(D6371)&lt;15,""figurative ছোট"",""""),IF(AND(I6371=""Positive"",REGEXMATCH(H6"&amp;"371,""মূর্খ|ভণ্ড|প্রতার|অলস|লোভ|স্বার্থ|অক্ষম|অযোগ্য|বোকা|কৃপণ|হিংস"")),""valence-target অমিল"",""""),IF(COUNTIF($B:$B,B6371)&gt;1,""ডুপ্লিকেট"",""""))"),"")</f>
        <v/>
      </c>
      <c r="Q6371" s="5" t="str">
        <f t="shared" si="1"/>
        <v>২ পরে</v>
      </c>
    </row>
    <row r="6372">
      <c r="A6372" s="4">
        <v>4278.0</v>
      </c>
      <c r="B6372" s="2" t="s">
        <v>26008</v>
      </c>
      <c r="C6372" s="2" t="s">
        <v>26008</v>
      </c>
      <c r="D6372" s="2" t="s">
        <v>26009</v>
      </c>
      <c r="E6372" s="2" t="s">
        <v>26010</v>
      </c>
      <c r="F6372" s="2" t="b">
        <v>1</v>
      </c>
      <c r="G6372" s="2" t="b">
        <v>0</v>
      </c>
      <c r="H6372" s="2" t="s">
        <v>37</v>
      </c>
      <c r="I6372" s="2" t="s">
        <v>22</v>
      </c>
      <c r="J6372" s="2" t="s">
        <v>1630</v>
      </c>
      <c r="K6372" s="2" t="s">
        <v>495</v>
      </c>
      <c r="L6372" s="13" t="s">
        <v>496</v>
      </c>
      <c r="M6372" s="2" t="s">
        <v>26</v>
      </c>
      <c r="N6372" s="29"/>
      <c r="O6372" s="29"/>
      <c r="P6372" s="5" t="str">
        <f>IFERROR(__xludf.DUMMYFUNCTION("TEXTJOIN("" | "",TRUE,IF(OR(D6372="""",E6372="""",I6372="""",J6372="""",H6372=""""),""ফাঁকা ঘর"",""""),IF(AND(C6372&lt;&gt;"""",D6372&lt;&gt;"""",C6372=D6372),""gloss=figurative"",""""),IF(LEN(D6372)&lt;15,""figurative ছোট"",""""),IF(AND(I6372=""Positive"",REGEXMATCH(H6"&amp;"372,""মূর্খ|ভণ্ড|প্রতার|অলস|লোভ|স্বার্থ|অক্ষম|অযোগ্য|বোকা|কৃপণ|হিংস"")),""valence-target অমিল"",""""),IF(COUNTIF($B:$B,B6372)&gt;1,""ডুপ্লিকেট"",""""))"),"")</f>
        <v/>
      </c>
      <c r="Q6372" s="5" t="str">
        <f t="shared" si="1"/>
        <v>২ পরে</v>
      </c>
    </row>
    <row r="6373">
      <c r="A6373" s="4">
        <v>4279.0</v>
      </c>
      <c r="B6373" s="2" t="s">
        <v>26011</v>
      </c>
      <c r="C6373" s="2" t="s">
        <v>26012</v>
      </c>
      <c r="D6373" s="2" t="s">
        <v>26013</v>
      </c>
      <c r="E6373" s="2" t="s">
        <v>26014</v>
      </c>
      <c r="F6373" s="2" t="b">
        <v>1</v>
      </c>
      <c r="G6373" s="2" t="b">
        <v>0</v>
      </c>
      <c r="H6373" s="2" t="s">
        <v>37</v>
      </c>
      <c r="I6373" s="2" t="s">
        <v>22</v>
      </c>
      <c r="J6373" s="2" t="s">
        <v>3208</v>
      </c>
      <c r="K6373" s="2" t="s">
        <v>495</v>
      </c>
      <c r="L6373" s="13" t="s">
        <v>496</v>
      </c>
      <c r="M6373" s="2" t="s">
        <v>26</v>
      </c>
      <c r="N6373" s="29"/>
      <c r="O6373" s="29"/>
      <c r="P6373" s="5" t="str">
        <f>IFERROR(__xludf.DUMMYFUNCTION("TEXTJOIN("" | "",TRUE,IF(OR(D6373="""",E6373="""",I6373="""",J6373="""",H6373=""""),""ফাঁকা ঘর"",""""),IF(AND(C6373&lt;&gt;"""",D6373&lt;&gt;"""",C6373=D6373),""gloss=figurative"",""""),IF(LEN(D6373)&lt;15,""figurative ছোট"",""""),IF(AND(I6373=""Positive"",REGEXMATCH(H6"&amp;"373,""মূর্খ|ভণ্ড|প্রতার|অলস|লোভ|স্বার্থ|অক্ষম|অযোগ্য|বোকা|কৃপণ|হিংস"")),""valence-target অমিল"",""""),IF(COUNTIF($B:$B,B6373)&gt;1,""ডুপ্লিকেট"",""""))"),"")</f>
        <v/>
      </c>
      <c r="Q6373" s="5" t="str">
        <f t="shared" si="1"/>
        <v>২ পরে</v>
      </c>
    </row>
    <row r="6374">
      <c r="A6374" s="4">
        <v>4280.0</v>
      </c>
      <c r="B6374" s="2" t="s">
        <v>26015</v>
      </c>
      <c r="C6374" s="2" t="s">
        <v>26016</v>
      </c>
      <c r="D6374" s="2" t="s">
        <v>26017</v>
      </c>
      <c r="E6374" s="2" t="s">
        <v>26018</v>
      </c>
      <c r="F6374" s="2" t="b">
        <v>1</v>
      </c>
      <c r="G6374" s="2" t="b">
        <v>0</v>
      </c>
      <c r="H6374" s="2" t="s">
        <v>37</v>
      </c>
      <c r="I6374" s="2" t="s">
        <v>22</v>
      </c>
      <c r="J6374" s="2" t="s">
        <v>1775</v>
      </c>
      <c r="K6374" s="2" t="s">
        <v>495</v>
      </c>
      <c r="L6374" s="13" t="s">
        <v>496</v>
      </c>
      <c r="M6374" s="2" t="s">
        <v>26</v>
      </c>
      <c r="N6374" s="29"/>
      <c r="O6374" s="29"/>
      <c r="P6374" s="5" t="str">
        <f>IFERROR(__xludf.DUMMYFUNCTION("TEXTJOIN("" | "",TRUE,IF(OR(D6374="""",E6374="""",I6374="""",J6374="""",H6374=""""),""ফাঁকা ঘর"",""""),IF(AND(C6374&lt;&gt;"""",D6374&lt;&gt;"""",C6374=D6374),""gloss=figurative"",""""),IF(LEN(D6374)&lt;15,""figurative ছোট"",""""),IF(AND(I6374=""Positive"",REGEXMATCH(H6"&amp;"374,""মূর্খ|ভণ্ড|প্রতার|অলস|লোভ|স্বার্থ|অক্ষম|অযোগ্য|বোকা|কৃপণ|হিংস"")),""valence-target অমিল"",""""),IF(COUNTIF($B:$B,B6374)&gt;1,""ডুপ্লিকেট"",""""))"),"")</f>
        <v/>
      </c>
      <c r="Q6374" s="5" t="str">
        <f t="shared" si="1"/>
        <v>২ পরে</v>
      </c>
    </row>
    <row r="6375">
      <c r="A6375" s="4">
        <v>4281.0</v>
      </c>
      <c r="B6375" s="2" t="s">
        <v>26019</v>
      </c>
      <c r="C6375" s="2" t="s">
        <v>26020</v>
      </c>
      <c r="D6375" s="2" t="s">
        <v>26021</v>
      </c>
      <c r="E6375" s="2" t="s">
        <v>26022</v>
      </c>
      <c r="F6375" s="2" t="b">
        <v>1</v>
      </c>
      <c r="G6375" s="2" t="b">
        <v>0</v>
      </c>
      <c r="H6375" s="2" t="s">
        <v>37</v>
      </c>
      <c r="I6375" s="2" t="s">
        <v>22</v>
      </c>
      <c r="J6375" s="2" t="s">
        <v>1013</v>
      </c>
      <c r="K6375" s="2" t="s">
        <v>495</v>
      </c>
      <c r="L6375" s="13" t="s">
        <v>496</v>
      </c>
      <c r="M6375" s="2" t="s">
        <v>26</v>
      </c>
      <c r="N6375" s="29"/>
      <c r="O6375" s="29"/>
      <c r="P6375" s="5" t="str">
        <f>IFERROR(__xludf.DUMMYFUNCTION("TEXTJOIN("" | "",TRUE,IF(OR(D6375="""",E6375="""",I6375="""",J6375="""",H6375=""""),""ফাঁকা ঘর"",""""),IF(AND(C6375&lt;&gt;"""",D6375&lt;&gt;"""",C6375=D6375),""gloss=figurative"",""""),IF(LEN(D6375)&lt;15,""figurative ছোট"",""""),IF(AND(I6375=""Positive"",REGEXMATCH(H6"&amp;"375,""মূর্খ|ভণ্ড|প্রতার|অলস|লোভ|স্বার্থ|অক্ষম|অযোগ্য|বোকা|কৃপণ|হিংস"")),""valence-target অমিল"",""""),IF(COUNTIF($B:$B,B6375)&gt;1,""ডুপ্লিকেট"",""""))"),"")</f>
        <v/>
      </c>
      <c r="Q6375" s="5" t="str">
        <f t="shared" si="1"/>
        <v>২ পরে</v>
      </c>
    </row>
    <row r="6376">
      <c r="A6376" s="4">
        <v>4282.0</v>
      </c>
      <c r="B6376" s="2" t="s">
        <v>26023</v>
      </c>
      <c r="C6376" s="2" t="s">
        <v>26024</v>
      </c>
      <c r="D6376" s="2" t="s">
        <v>26025</v>
      </c>
      <c r="E6376" s="2" t="s">
        <v>26026</v>
      </c>
      <c r="F6376" s="2" t="b">
        <v>1</v>
      </c>
      <c r="G6376" s="2" t="b">
        <v>0</v>
      </c>
      <c r="H6376" s="2" t="s">
        <v>37</v>
      </c>
      <c r="I6376" s="2" t="s">
        <v>22</v>
      </c>
      <c r="J6376" s="2" t="s">
        <v>1117</v>
      </c>
      <c r="K6376" s="2" t="s">
        <v>495</v>
      </c>
      <c r="L6376" s="13" t="s">
        <v>496</v>
      </c>
      <c r="M6376" s="2" t="s">
        <v>26</v>
      </c>
      <c r="N6376" s="29"/>
      <c r="O6376" s="29"/>
      <c r="P6376" s="5" t="str">
        <f>IFERROR(__xludf.DUMMYFUNCTION("TEXTJOIN("" | "",TRUE,IF(OR(D6376="""",E6376="""",I6376="""",J6376="""",H6376=""""),""ফাঁকা ঘর"",""""),IF(AND(C6376&lt;&gt;"""",D6376&lt;&gt;"""",C6376=D6376),""gloss=figurative"",""""),IF(LEN(D6376)&lt;15,""figurative ছোট"",""""),IF(AND(I6376=""Positive"",REGEXMATCH(H6"&amp;"376,""মূর্খ|ভণ্ড|প্রতার|অলস|লোভ|স্বার্থ|অক্ষম|অযোগ্য|বোকা|কৃপণ|হিংস"")),""valence-target অমিল"",""""),IF(COUNTIF($B:$B,B6376)&gt;1,""ডুপ্লিকেট"",""""))"),"")</f>
        <v/>
      </c>
      <c r="Q6376" s="5" t="str">
        <f t="shared" si="1"/>
        <v>২ পরে</v>
      </c>
    </row>
    <row r="6377">
      <c r="A6377" s="4">
        <v>4283.0</v>
      </c>
      <c r="B6377" s="2" t="s">
        <v>26027</v>
      </c>
      <c r="C6377" s="2" t="s">
        <v>26028</v>
      </c>
      <c r="D6377" s="2" t="s">
        <v>26029</v>
      </c>
      <c r="E6377" s="2" t="s">
        <v>26030</v>
      </c>
      <c r="F6377" s="2" t="b">
        <v>1</v>
      </c>
      <c r="G6377" s="2" t="b">
        <v>0</v>
      </c>
      <c r="H6377" s="2" t="s">
        <v>37</v>
      </c>
      <c r="I6377" s="2" t="s">
        <v>22</v>
      </c>
      <c r="J6377" s="2" t="s">
        <v>1013</v>
      </c>
      <c r="K6377" s="2" t="s">
        <v>495</v>
      </c>
      <c r="L6377" s="13" t="s">
        <v>496</v>
      </c>
      <c r="M6377" s="2" t="s">
        <v>26</v>
      </c>
      <c r="N6377" s="29"/>
      <c r="O6377" s="29"/>
      <c r="P6377" s="5" t="str">
        <f>IFERROR(__xludf.DUMMYFUNCTION("TEXTJOIN("" | "",TRUE,IF(OR(D6377="""",E6377="""",I6377="""",J6377="""",H6377=""""),""ফাঁকা ঘর"",""""),IF(AND(C6377&lt;&gt;"""",D6377&lt;&gt;"""",C6377=D6377),""gloss=figurative"",""""),IF(LEN(D6377)&lt;15,""figurative ছোট"",""""),IF(AND(I6377=""Positive"",REGEXMATCH(H6"&amp;"377,""মূর্খ|ভণ্ড|প্রতার|অলস|লোভ|স্বার্থ|অক্ষম|অযোগ্য|বোকা|কৃপণ|হিংস"")),""valence-target অমিল"",""""),IF(COUNTIF($B:$B,B6377)&gt;1,""ডুপ্লিকেট"",""""))"),"")</f>
        <v/>
      </c>
      <c r="Q6377" s="5" t="str">
        <f t="shared" si="1"/>
        <v>২ পরে</v>
      </c>
    </row>
    <row r="6378">
      <c r="A6378" s="4">
        <v>4284.0</v>
      </c>
      <c r="B6378" s="2" t="s">
        <v>26031</v>
      </c>
      <c r="C6378" s="2" t="s">
        <v>26032</v>
      </c>
      <c r="D6378" s="2" t="s">
        <v>26033</v>
      </c>
      <c r="E6378" s="2" t="s">
        <v>26034</v>
      </c>
      <c r="F6378" s="2" t="b">
        <v>1</v>
      </c>
      <c r="G6378" s="2" t="b">
        <v>0</v>
      </c>
      <c r="H6378" s="2" t="s">
        <v>37</v>
      </c>
      <c r="I6378" s="2" t="s">
        <v>22</v>
      </c>
      <c r="J6378" s="2" t="s">
        <v>674</v>
      </c>
      <c r="K6378" s="2" t="s">
        <v>495</v>
      </c>
      <c r="L6378" s="13" t="s">
        <v>496</v>
      </c>
      <c r="M6378" s="2" t="s">
        <v>26</v>
      </c>
      <c r="N6378" s="29"/>
      <c r="O6378" s="29"/>
      <c r="P6378" s="5" t="str">
        <f>IFERROR(__xludf.DUMMYFUNCTION("TEXTJOIN("" | "",TRUE,IF(OR(D6378="""",E6378="""",I6378="""",J6378="""",H6378=""""),""ফাঁকা ঘর"",""""),IF(AND(C6378&lt;&gt;"""",D6378&lt;&gt;"""",C6378=D6378),""gloss=figurative"",""""),IF(LEN(D6378)&lt;15,""figurative ছোট"",""""),IF(AND(I6378=""Positive"",REGEXMATCH(H6"&amp;"378,""মূর্খ|ভণ্ড|প্রতার|অলস|লোভ|স্বার্থ|অক্ষম|অযোগ্য|বোকা|কৃপণ|হিংস"")),""valence-target অমিল"",""""),IF(COUNTIF($B:$B,B6378)&gt;1,""ডুপ্লিকেট"",""""))"),"")</f>
        <v/>
      </c>
      <c r="Q6378" s="5" t="str">
        <f t="shared" si="1"/>
        <v>২ পরে</v>
      </c>
    </row>
    <row r="6379">
      <c r="A6379" s="4">
        <v>4285.0</v>
      </c>
      <c r="B6379" s="2" t="s">
        <v>26035</v>
      </c>
      <c r="C6379" s="2" t="s">
        <v>26036</v>
      </c>
      <c r="D6379" s="2" t="s">
        <v>26037</v>
      </c>
      <c r="E6379" s="2" t="s">
        <v>26038</v>
      </c>
      <c r="F6379" s="2" t="b">
        <v>1</v>
      </c>
      <c r="G6379" s="2" t="b">
        <v>0</v>
      </c>
      <c r="H6379" s="2" t="s">
        <v>37</v>
      </c>
      <c r="I6379" s="2" t="s">
        <v>49</v>
      </c>
      <c r="J6379" s="2" t="s">
        <v>2273</v>
      </c>
      <c r="K6379" s="2" t="s">
        <v>495</v>
      </c>
      <c r="L6379" s="13" t="s">
        <v>496</v>
      </c>
      <c r="M6379" s="2" t="s">
        <v>26</v>
      </c>
      <c r="N6379" s="29"/>
      <c r="O6379" s="29"/>
      <c r="P6379" s="5" t="str">
        <f>IFERROR(__xludf.DUMMYFUNCTION("TEXTJOIN("" | "",TRUE,IF(OR(D6379="""",E6379="""",I6379="""",J6379="""",H6379=""""),""ফাঁকা ঘর"",""""),IF(AND(C6379&lt;&gt;"""",D6379&lt;&gt;"""",C6379=D6379),""gloss=figurative"",""""),IF(LEN(D6379)&lt;15,""figurative ছোট"",""""),IF(AND(I6379=""Positive"",REGEXMATCH(H6"&amp;"379,""মূর্খ|ভণ্ড|প্রতার|অলস|লোভ|স্বার্থ|অক্ষম|অযোগ্য|বোকা|কৃপণ|হিংস"")),""valence-target অমিল"",""""),IF(COUNTIF($B:$B,B6379)&gt;1,""ডুপ্লিকেট"",""""))"),"")</f>
        <v/>
      </c>
      <c r="Q6379" s="5" t="str">
        <f t="shared" si="1"/>
        <v>২ পরে</v>
      </c>
    </row>
    <row r="6380">
      <c r="A6380" s="4">
        <v>4286.0</v>
      </c>
      <c r="B6380" s="2" t="s">
        <v>26039</v>
      </c>
      <c r="C6380" s="2" t="s">
        <v>26040</v>
      </c>
      <c r="D6380" s="2" t="s">
        <v>26041</v>
      </c>
      <c r="E6380" s="2" t="s">
        <v>26042</v>
      </c>
      <c r="F6380" s="2" t="b">
        <v>1</v>
      </c>
      <c r="G6380" s="2" t="b">
        <v>0</v>
      </c>
      <c r="H6380" s="2" t="s">
        <v>37</v>
      </c>
      <c r="I6380" s="2" t="s">
        <v>49</v>
      </c>
      <c r="J6380" s="2" t="s">
        <v>2273</v>
      </c>
      <c r="K6380" s="2" t="s">
        <v>495</v>
      </c>
      <c r="L6380" s="13" t="s">
        <v>496</v>
      </c>
      <c r="M6380" s="2" t="s">
        <v>26</v>
      </c>
      <c r="N6380" s="29"/>
      <c r="O6380" s="29"/>
      <c r="P6380" s="5" t="str">
        <f>IFERROR(__xludf.DUMMYFUNCTION("TEXTJOIN("" | "",TRUE,IF(OR(D6380="""",E6380="""",I6380="""",J6380="""",H6380=""""),""ফাঁকা ঘর"",""""),IF(AND(C6380&lt;&gt;"""",D6380&lt;&gt;"""",C6380=D6380),""gloss=figurative"",""""),IF(LEN(D6380)&lt;15,""figurative ছোট"",""""),IF(AND(I6380=""Positive"",REGEXMATCH(H6"&amp;"380,""মূর্খ|ভণ্ড|প্রতার|অলস|লোভ|স্বার্থ|অক্ষম|অযোগ্য|বোকা|কৃপণ|হিংস"")),""valence-target অমিল"",""""),IF(COUNTIF($B:$B,B6380)&gt;1,""ডুপ্লিকেট"",""""))"),"")</f>
        <v/>
      </c>
      <c r="Q6380" s="5" t="str">
        <f t="shared" si="1"/>
        <v>২ পরে</v>
      </c>
    </row>
    <row r="6381">
      <c r="A6381" s="4">
        <v>4287.0</v>
      </c>
      <c r="B6381" s="2" t="s">
        <v>26043</v>
      </c>
      <c r="C6381" s="2" t="s">
        <v>26044</v>
      </c>
      <c r="D6381" s="2" t="s">
        <v>26045</v>
      </c>
      <c r="E6381" s="2" t="s">
        <v>26046</v>
      </c>
      <c r="F6381" s="2" t="b">
        <v>1</v>
      </c>
      <c r="G6381" s="2" t="b">
        <v>0</v>
      </c>
      <c r="H6381" s="2" t="s">
        <v>37</v>
      </c>
      <c r="I6381" s="2" t="s">
        <v>22</v>
      </c>
      <c r="J6381" s="2" t="s">
        <v>836</v>
      </c>
      <c r="K6381" s="2" t="s">
        <v>495</v>
      </c>
      <c r="L6381" s="13" t="s">
        <v>496</v>
      </c>
      <c r="M6381" s="2" t="s">
        <v>26</v>
      </c>
      <c r="N6381" s="29"/>
      <c r="O6381" s="29"/>
      <c r="P6381" s="5" t="str">
        <f>IFERROR(__xludf.DUMMYFUNCTION("TEXTJOIN("" | "",TRUE,IF(OR(D6381="""",E6381="""",I6381="""",J6381="""",H6381=""""),""ফাঁকা ঘর"",""""),IF(AND(C6381&lt;&gt;"""",D6381&lt;&gt;"""",C6381=D6381),""gloss=figurative"",""""),IF(LEN(D6381)&lt;15,""figurative ছোট"",""""),IF(AND(I6381=""Positive"",REGEXMATCH(H6"&amp;"381,""মূর্খ|ভণ্ড|প্রতার|অলস|লোভ|স্বার্থ|অক্ষম|অযোগ্য|বোকা|কৃপণ|হিংস"")),""valence-target অমিল"",""""),IF(COUNTIF($B:$B,B6381)&gt;1,""ডুপ্লিকেট"",""""))"),"")</f>
        <v/>
      </c>
      <c r="Q6381" s="5" t="str">
        <f t="shared" si="1"/>
        <v>২ পরে</v>
      </c>
    </row>
    <row r="6382">
      <c r="A6382" s="4">
        <v>4288.0</v>
      </c>
      <c r="B6382" s="2" t="s">
        <v>26047</v>
      </c>
      <c r="C6382" s="2" t="s">
        <v>26048</v>
      </c>
      <c r="D6382" s="2" t="s">
        <v>24026</v>
      </c>
      <c r="E6382" s="2" t="s">
        <v>26049</v>
      </c>
      <c r="F6382" s="2" t="b">
        <v>1</v>
      </c>
      <c r="G6382" s="2" t="b">
        <v>0</v>
      </c>
      <c r="H6382" s="2" t="s">
        <v>37</v>
      </c>
      <c r="I6382" s="2" t="s">
        <v>22</v>
      </c>
      <c r="J6382" s="2" t="s">
        <v>6917</v>
      </c>
      <c r="K6382" s="2" t="s">
        <v>495</v>
      </c>
      <c r="L6382" s="13" t="s">
        <v>496</v>
      </c>
      <c r="M6382" s="2" t="s">
        <v>26</v>
      </c>
      <c r="N6382" s="29"/>
      <c r="O6382" s="29"/>
      <c r="P6382" s="5" t="str">
        <f>IFERROR(__xludf.DUMMYFUNCTION("TEXTJOIN("" | "",TRUE,IF(OR(D6382="""",E6382="""",I6382="""",J6382="""",H6382=""""),""ফাঁকা ঘর"",""""),IF(AND(C6382&lt;&gt;"""",D6382&lt;&gt;"""",C6382=D6382),""gloss=figurative"",""""),IF(LEN(D6382)&lt;15,""figurative ছোট"",""""),IF(AND(I6382=""Positive"",REGEXMATCH(H6"&amp;"382,""মূর্খ|ভণ্ড|প্রতার|অলস|লোভ|স্বার্থ|অক্ষম|অযোগ্য|বোকা|কৃপণ|হিংস"")),""valence-target অমিল"",""""),IF(COUNTIF($B:$B,B6382)&gt;1,""ডুপ্লিকেট"",""""))"),"")</f>
        <v/>
      </c>
      <c r="Q6382" s="5" t="str">
        <f t="shared" si="1"/>
        <v>২ পরে</v>
      </c>
    </row>
    <row r="6383">
      <c r="A6383" s="4">
        <v>4289.0</v>
      </c>
      <c r="B6383" s="2" t="s">
        <v>26050</v>
      </c>
      <c r="C6383" s="2" t="s">
        <v>26051</v>
      </c>
      <c r="D6383" s="2" t="s">
        <v>5726</v>
      </c>
      <c r="E6383" s="2" t="s">
        <v>26052</v>
      </c>
      <c r="F6383" s="2" t="b">
        <v>1</v>
      </c>
      <c r="G6383" s="2" t="b">
        <v>0</v>
      </c>
      <c r="H6383" s="2" t="s">
        <v>37</v>
      </c>
      <c r="I6383" s="2" t="s">
        <v>22</v>
      </c>
      <c r="J6383" s="2" t="s">
        <v>1603</v>
      </c>
      <c r="K6383" s="2" t="s">
        <v>495</v>
      </c>
      <c r="L6383" s="13" t="s">
        <v>496</v>
      </c>
      <c r="M6383" s="2" t="s">
        <v>26</v>
      </c>
      <c r="N6383" s="29"/>
      <c r="O6383" s="29"/>
      <c r="P6383" s="5" t="str">
        <f>IFERROR(__xludf.DUMMYFUNCTION("TEXTJOIN("" | "",TRUE,IF(OR(D6383="""",E6383="""",I6383="""",J6383="""",H6383=""""),""ফাঁকা ঘর"",""""),IF(AND(C6383&lt;&gt;"""",D6383&lt;&gt;"""",C6383=D6383),""gloss=figurative"",""""),IF(LEN(D6383)&lt;15,""figurative ছোট"",""""),IF(AND(I6383=""Positive"",REGEXMATCH(H6"&amp;"383,""মূর্খ|ভণ্ড|প্রতার|অলস|লোভ|স্বার্থ|অক্ষম|অযোগ্য|বোকা|কৃপণ|হিংস"")),""valence-target অমিল"",""""),IF(COUNTIF($B:$B,B6383)&gt;1,""ডুপ্লিকেট"",""""))"),"")</f>
        <v/>
      </c>
      <c r="Q6383" s="5" t="str">
        <f t="shared" si="1"/>
        <v>২ পরে</v>
      </c>
    </row>
    <row r="6384">
      <c r="A6384" s="4">
        <v>4290.0</v>
      </c>
      <c r="B6384" s="2" t="s">
        <v>26053</v>
      </c>
      <c r="C6384" s="2" t="s">
        <v>26053</v>
      </c>
      <c r="D6384" s="2" t="s">
        <v>26054</v>
      </c>
      <c r="E6384" s="2" t="s">
        <v>26055</v>
      </c>
      <c r="F6384" s="2" t="b">
        <v>1</v>
      </c>
      <c r="G6384" s="2" t="b">
        <v>0</v>
      </c>
      <c r="H6384" s="2" t="s">
        <v>37</v>
      </c>
      <c r="I6384" s="2" t="s">
        <v>32</v>
      </c>
      <c r="J6384" s="2" t="s">
        <v>26056</v>
      </c>
      <c r="K6384" s="2" t="s">
        <v>495</v>
      </c>
      <c r="L6384" s="13" t="s">
        <v>496</v>
      </c>
      <c r="M6384" s="2" t="s">
        <v>26</v>
      </c>
      <c r="N6384" s="29"/>
      <c r="O6384" s="29"/>
      <c r="P6384" s="5" t="str">
        <f>IFERROR(__xludf.DUMMYFUNCTION("TEXTJOIN("" | "",TRUE,IF(OR(D6384="""",E6384="""",I6384="""",J6384="""",H6384=""""),""ফাঁকা ঘর"",""""),IF(AND(C6384&lt;&gt;"""",D6384&lt;&gt;"""",C6384=D6384),""gloss=figurative"",""""),IF(LEN(D6384)&lt;15,""figurative ছোট"",""""),IF(AND(I6384=""Positive"",REGEXMATCH(H6"&amp;"384,""মূর্খ|ভণ্ড|প্রতার|অলস|লোভ|স্বার্থ|অক্ষম|অযোগ্য|বোকা|কৃপণ|হিংস"")),""valence-target অমিল"",""""),IF(COUNTIF($B:$B,B6384)&gt;1,""ডুপ্লিকেট"",""""))"),"")</f>
        <v/>
      </c>
      <c r="Q6384" s="5" t="str">
        <f t="shared" si="1"/>
        <v>২ পরে</v>
      </c>
    </row>
    <row r="6385">
      <c r="A6385" s="4">
        <v>4291.0</v>
      </c>
      <c r="B6385" s="2" t="s">
        <v>26057</v>
      </c>
      <c r="C6385" s="2" t="s">
        <v>26057</v>
      </c>
      <c r="D6385" s="2" t="s">
        <v>26058</v>
      </c>
      <c r="E6385" s="2" t="s">
        <v>26059</v>
      </c>
      <c r="F6385" s="2" t="b">
        <v>1</v>
      </c>
      <c r="G6385" s="2" t="b">
        <v>0</v>
      </c>
      <c r="H6385" s="2" t="s">
        <v>37</v>
      </c>
      <c r="I6385" s="2" t="s">
        <v>22</v>
      </c>
      <c r="J6385" s="2" t="s">
        <v>971</v>
      </c>
      <c r="K6385" s="2" t="s">
        <v>495</v>
      </c>
      <c r="L6385" s="13" t="s">
        <v>496</v>
      </c>
      <c r="M6385" s="2" t="s">
        <v>26</v>
      </c>
      <c r="N6385" s="29"/>
      <c r="O6385" s="29"/>
      <c r="P6385" s="5" t="str">
        <f>IFERROR(__xludf.DUMMYFUNCTION("TEXTJOIN("" | "",TRUE,IF(OR(D6385="""",E6385="""",I6385="""",J6385="""",H6385=""""),""ফাঁকা ঘর"",""""),IF(AND(C6385&lt;&gt;"""",D6385&lt;&gt;"""",C6385=D6385),""gloss=figurative"",""""),IF(LEN(D6385)&lt;15,""figurative ছোট"",""""),IF(AND(I6385=""Positive"",REGEXMATCH(H6"&amp;"385,""মূর্খ|ভণ্ড|প্রতার|অলস|লোভ|স্বার্থ|অক্ষম|অযোগ্য|বোকা|কৃপণ|হিংস"")),""valence-target অমিল"",""""),IF(COUNTIF($B:$B,B6385)&gt;1,""ডুপ্লিকেট"",""""))"),"")</f>
        <v/>
      </c>
      <c r="Q6385" s="5" t="str">
        <f t="shared" si="1"/>
        <v>২ পরে</v>
      </c>
    </row>
    <row r="6386">
      <c r="A6386" s="4">
        <v>4292.0</v>
      </c>
      <c r="B6386" s="2" t="s">
        <v>26060</v>
      </c>
      <c r="C6386" s="2" t="s">
        <v>26060</v>
      </c>
      <c r="D6386" s="2" t="s">
        <v>26061</v>
      </c>
      <c r="E6386" s="2" t="s">
        <v>26062</v>
      </c>
      <c r="F6386" s="2" t="b">
        <v>1</v>
      </c>
      <c r="G6386" s="2" t="b">
        <v>0</v>
      </c>
      <c r="H6386" s="2" t="s">
        <v>37</v>
      </c>
      <c r="I6386" s="2" t="s">
        <v>22</v>
      </c>
      <c r="J6386" s="2" t="s">
        <v>1111</v>
      </c>
      <c r="K6386" s="2" t="s">
        <v>495</v>
      </c>
      <c r="L6386" s="13" t="s">
        <v>496</v>
      </c>
      <c r="M6386" s="2" t="s">
        <v>26</v>
      </c>
      <c r="N6386" s="29"/>
      <c r="O6386" s="29"/>
      <c r="P6386" s="5" t="str">
        <f>IFERROR(__xludf.DUMMYFUNCTION("TEXTJOIN("" | "",TRUE,IF(OR(D6386="""",E6386="""",I6386="""",J6386="""",H6386=""""),""ফাঁকা ঘর"",""""),IF(AND(C6386&lt;&gt;"""",D6386&lt;&gt;"""",C6386=D6386),""gloss=figurative"",""""),IF(LEN(D6386)&lt;15,""figurative ছোট"",""""),IF(AND(I6386=""Positive"",REGEXMATCH(H6"&amp;"386,""মূর্খ|ভণ্ড|প্রতার|অলস|লোভ|স্বার্থ|অক্ষম|অযোগ্য|বোকা|কৃপণ|হিংস"")),""valence-target অমিল"",""""),IF(COUNTIF($B:$B,B6386)&gt;1,""ডুপ্লিকেট"",""""))"),"")</f>
        <v/>
      </c>
      <c r="Q6386" s="5" t="str">
        <f t="shared" si="1"/>
        <v>২ পরে</v>
      </c>
    </row>
    <row r="6387">
      <c r="A6387" s="4">
        <v>4293.0</v>
      </c>
      <c r="B6387" s="2" t="s">
        <v>26063</v>
      </c>
      <c r="C6387" s="2" t="s">
        <v>26063</v>
      </c>
      <c r="D6387" s="2" t="s">
        <v>26064</v>
      </c>
      <c r="E6387" s="2" t="s">
        <v>26065</v>
      </c>
      <c r="F6387" s="2" t="b">
        <v>1</v>
      </c>
      <c r="G6387" s="2" t="b">
        <v>0</v>
      </c>
      <c r="H6387" s="2" t="s">
        <v>756</v>
      </c>
      <c r="I6387" s="2" t="s">
        <v>22</v>
      </c>
      <c r="J6387" s="2" t="s">
        <v>1630</v>
      </c>
      <c r="K6387" s="2" t="s">
        <v>495</v>
      </c>
      <c r="L6387" s="13" t="s">
        <v>496</v>
      </c>
      <c r="M6387" s="2" t="s">
        <v>26</v>
      </c>
      <c r="N6387" s="29"/>
      <c r="O6387" s="29"/>
      <c r="P6387" s="5" t="str">
        <f>IFERROR(__xludf.DUMMYFUNCTION("TEXTJOIN("" | "",TRUE,IF(OR(D6387="""",E6387="""",I6387="""",J6387="""",H6387=""""),""ফাঁকা ঘর"",""""),IF(AND(C6387&lt;&gt;"""",D6387&lt;&gt;"""",C6387=D6387),""gloss=figurative"",""""),IF(LEN(D6387)&lt;15,""figurative ছোট"",""""),IF(AND(I6387=""Positive"",REGEXMATCH(H6"&amp;"387,""মূর্খ|ভণ্ড|প্রতার|অলস|লোভ|স্বার্থ|অক্ষম|অযোগ্য|বোকা|কৃপণ|হিংস"")),""valence-target অমিল"",""""),IF(COUNTIF($B:$B,B6387)&gt;1,""ডুপ্লিকেট"",""""))"),"")</f>
        <v/>
      </c>
      <c r="Q6387" s="5" t="str">
        <f t="shared" si="1"/>
        <v>২ পরে</v>
      </c>
    </row>
    <row r="6388">
      <c r="A6388" s="4">
        <v>4294.0</v>
      </c>
      <c r="B6388" s="2" t="s">
        <v>26066</v>
      </c>
      <c r="C6388" s="2" t="s">
        <v>26067</v>
      </c>
      <c r="D6388" s="2" t="s">
        <v>26068</v>
      </c>
      <c r="E6388" s="2" t="s">
        <v>26069</v>
      </c>
      <c r="F6388" s="2" t="b">
        <v>1</v>
      </c>
      <c r="G6388" s="2" t="b">
        <v>0</v>
      </c>
      <c r="H6388" s="2" t="s">
        <v>37</v>
      </c>
      <c r="I6388" s="2" t="s">
        <v>22</v>
      </c>
      <c r="J6388" s="2" t="s">
        <v>16089</v>
      </c>
      <c r="K6388" s="2" t="s">
        <v>495</v>
      </c>
      <c r="L6388" s="13" t="s">
        <v>496</v>
      </c>
      <c r="M6388" s="2" t="s">
        <v>26</v>
      </c>
      <c r="N6388" s="29"/>
      <c r="O6388" s="29"/>
      <c r="P6388" s="5" t="str">
        <f>IFERROR(__xludf.DUMMYFUNCTION("TEXTJOIN("" | "",TRUE,IF(OR(D6388="""",E6388="""",I6388="""",J6388="""",H6388=""""),""ফাঁকা ঘর"",""""),IF(AND(C6388&lt;&gt;"""",D6388&lt;&gt;"""",C6388=D6388),""gloss=figurative"",""""),IF(LEN(D6388)&lt;15,""figurative ছোট"",""""),IF(AND(I6388=""Positive"",REGEXMATCH(H6"&amp;"388,""মূর্খ|ভণ্ড|প্রতার|অলস|লোভ|স্বার্থ|অক্ষম|অযোগ্য|বোকা|কৃপণ|হিংস"")),""valence-target অমিল"",""""),IF(COUNTIF($B:$B,B6388)&gt;1,""ডুপ্লিকেট"",""""))"),"")</f>
        <v/>
      </c>
      <c r="Q6388" s="5" t="str">
        <f t="shared" si="1"/>
        <v>২ পরে</v>
      </c>
    </row>
    <row r="6389">
      <c r="A6389" s="4">
        <v>4295.0</v>
      </c>
      <c r="B6389" s="2" t="s">
        <v>26070</v>
      </c>
      <c r="C6389" s="2" t="s">
        <v>26070</v>
      </c>
      <c r="D6389" s="2" t="s">
        <v>26071</v>
      </c>
      <c r="E6389" s="2" t="s">
        <v>26072</v>
      </c>
      <c r="F6389" s="2" t="b">
        <v>1</v>
      </c>
      <c r="G6389" s="2" t="b">
        <v>0</v>
      </c>
      <c r="H6389" s="2" t="s">
        <v>37</v>
      </c>
      <c r="I6389" s="2" t="s">
        <v>22</v>
      </c>
      <c r="J6389" s="2" t="s">
        <v>1630</v>
      </c>
      <c r="K6389" s="2" t="s">
        <v>495</v>
      </c>
      <c r="L6389" s="13" t="s">
        <v>496</v>
      </c>
      <c r="M6389" s="2" t="s">
        <v>26</v>
      </c>
      <c r="N6389" s="29"/>
      <c r="O6389" s="29"/>
      <c r="P6389" s="5" t="str">
        <f>IFERROR(__xludf.DUMMYFUNCTION("TEXTJOIN("" | "",TRUE,IF(OR(D6389="""",E6389="""",I6389="""",J6389="""",H6389=""""),""ফাঁকা ঘর"",""""),IF(AND(C6389&lt;&gt;"""",D6389&lt;&gt;"""",C6389=D6389),""gloss=figurative"",""""),IF(LEN(D6389)&lt;15,""figurative ছোট"",""""),IF(AND(I6389=""Positive"",REGEXMATCH(H6"&amp;"389,""মূর্খ|ভণ্ড|প্রতার|অলস|লোভ|স্বার্থ|অক্ষম|অযোগ্য|বোকা|কৃপণ|হিংস"")),""valence-target অমিল"",""""),IF(COUNTIF($B:$B,B6389)&gt;1,""ডুপ্লিকেট"",""""))"),"")</f>
        <v/>
      </c>
      <c r="Q6389" s="5" t="str">
        <f t="shared" si="1"/>
        <v>২ পরে</v>
      </c>
    </row>
    <row r="6390">
      <c r="A6390" s="4">
        <v>4296.0</v>
      </c>
      <c r="B6390" s="2" t="s">
        <v>26073</v>
      </c>
      <c r="C6390" s="2" t="s">
        <v>26074</v>
      </c>
      <c r="D6390" s="2" t="s">
        <v>26075</v>
      </c>
      <c r="E6390" s="2" t="s">
        <v>26076</v>
      </c>
      <c r="F6390" s="2" t="b">
        <v>1</v>
      </c>
      <c r="G6390" s="2" t="b">
        <v>0</v>
      </c>
      <c r="H6390" s="2" t="s">
        <v>37</v>
      </c>
      <c r="I6390" s="2" t="s">
        <v>49</v>
      </c>
      <c r="J6390" s="2" t="s">
        <v>2273</v>
      </c>
      <c r="K6390" s="2" t="s">
        <v>495</v>
      </c>
      <c r="L6390" s="13" t="s">
        <v>496</v>
      </c>
      <c r="M6390" s="2" t="s">
        <v>26</v>
      </c>
      <c r="N6390" s="29"/>
      <c r="O6390" s="29"/>
      <c r="P6390" s="5" t="str">
        <f>IFERROR(__xludf.DUMMYFUNCTION("TEXTJOIN("" | "",TRUE,IF(OR(D6390="""",E6390="""",I6390="""",J6390="""",H6390=""""),""ফাঁকা ঘর"",""""),IF(AND(C6390&lt;&gt;"""",D6390&lt;&gt;"""",C6390=D6390),""gloss=figurative"",""""),IF(LEN(D6390)&lt;15,""figurative ছোট"",""""),IF(AND(I6390=""Positive"",REGEXMATCH(H6"&amp;"390,""মূর্খ|ভণ্ড|প্রতার|অলস|লোভ|স্বার্থ|অক্ষম|অযোগ্য|বোকা|কৃপণ|হিংস"")),""valence-target অমিল"",""""),IF(COUNTIF($B:$B,B6390)&gt;1,""ডুপ্লিকেট"",""""))"),"")</f>
        <v/>
      </c>
      <c r="Q6390" s="5" t="str">
        <f t="shared" si="1"/>
        <v>২ পরে</v>
      </c>
    </row>
    <row r="6391">
      <c r="A6391" s="4">
        <v>4297.0</v>
      </c>
      <c r="B6391" s="2" t="s">
        <v>26077</v>
      </c>
      <c r="C6391" s="2" t="s">
        <v>26078</v>
      </c>
      <c r="D6391" s="2" t="s">
        <v>26079</v>
      </c>
      <c r="E6391" s="2" t="s">
        <v>26080</v>
      </c>
      <c r="F6391" s="2" t="b">
        <v>1</v>
      </c>
      <c r="G6391" s="2" t="b">
        <v>0</v>
      </c>
      <c r="H6391" s="2" t="s">
        <v>37</v>
      </c>
      <c r="I6391" s="2" t="s">
        <v>49</v>
      </c>
      <c r="J6391" s="2" t="s">
        <v>2273</v>
      </c>
      <c r="K6391" s="2" t="s">
        <v>495</v>
      </c>
      <c r="L6391" s="13" t="s">
        <v>496</v>
      </c>
      <c r="M6391" s="2" t="s">
        <v>26</v>
      </c>
      <c r="N6391" s="29"/>
      <c r="O6391" s="29"/>
      <c r="P6391" s="5" t="str">
        <f>IFERROR(__xludf.DUMMYFUNCTION("TEXTJOIN("" | "",TRUE,IF(OR(D6391="""",E6391="""",I6391="""",J6391="""",H6391=""""),""ফাঁকা ঘর"",""""),IF(AND(C6391&lt;&gt;"""",D6391&lt;&gt;"""",C6391=D6391),""gloss=figurative"",""""),IF(LEN(D6391)&lt;15,""figurative ছোট"",""""),IF(AND(I6391=""Positive"",REGEXMATCH(H6"&amp;"391,""মূর্খ|ভণ্ড|প্রতার|অলস|লোভ|স্বার্থ|অক্ষম|অযোগ্য|বোকা|কৃপণ|হিংস"")),""valence-target অমিল"",""""),IF(COUNTIF($B:$B,B6391)&gt;1,""ডুপ্লিকেট"",""""))"),"")</f>
        <v/>
      </c>
      <c r="Q6391" s="5" t="str">
        <f t="shared" si="1"/>
        <v>২ পরে</v>
      </c>
    </row>
    <row r="6392">
      <c r="A6392" s="4">
        <v>4298.0</v>
      </c>
      <c r="B6392" s="2" t="s">
        <v>26081</v>
      </c>
      <c r="C6392" s="2" t="s">
        <v>26082</v>
      </c>
      <c r="D6392" s="2" t="s">
        <v>26083</v>
      </c>
      <c r="E6392" s="2" t="s">
        <v>26084</v>
      </c>
      <c r="F6392" s="2" t="b">
        <v>1</v>
      </c>
      <c r="G6392" s="2" t="b">
        <v>0</v>
      </c>
      <c r="H6392" s="2" t="s">
        <v>37</v>
      </c>
      <c r="I6392" s="2" t="s">
        <v>22</v>
      </c>
      <c r="J6392" s="2" t="s">
        <v>674</v>
      </c>
      <c r="K6392" s="2" t="s">
        <v>495</v>
      </c>
      <c r="L6392" s="13" t="s">
        <v>496</v>
      </c>
      <c r="M6392" s="2" t="s">
        <v>26</v>
      </c>
      <c r="N6392" s="29"/>
      <c r="O6392" s="29"/>
      <c r="P6392" s="5" t="str">
        <f>IFERROR(__xludf.DUMMYFUNCTION("TEXTJOIN("" | "",TRUE,IF(OR(D6392="""",E6392="""",I6392="""",J6392="""",H6392=""""),""ফাঁকা ঘর"",""""),IF(AND(C6392&lt;&gt;"""",D6392&lt;&gt;"""",C6392=D6392),""gloss=figurative"",""""),IF(LEN(D6392)&lt;15,""figurative ছোট"",""""),IF(AND(I6392=""Positive"",REGEXMATCH(H6"&amp;"392,""মূর্খ|ভণ্ড|প্রতার|অলস|লোভ|স্বার্থ|অক্ষম|অযোগ্য|বোকা|কৃপণ|হিংস"")),""valence-target অমিল"",""""),IF(COUNTIF($B:$B,B6392)&gt;1,""ডুপ্লিকেট"",""""))"),"")</f>
        <v/>
      </c>
      <c r="Q6392" s="5" t="str">
        <f t="shared" si="1"/>
        <v>২ পরে</v>
      </c>
    </row>
    <row r="6393">
      <c r="A6393" s="4">
        <v>4299.0</v>
      </c>
      <c r="B6393" s="2" t="s">
        <v>26085</v>
      </c>
      <c r="C6393" s="2" t="s">
        <v>26085</v>
      </c>
      <c r="D6393" s="2" t="s">
        <v>26086</v>
      </c>
      <c r="E6393" s="2" t="s">
        <v>26087</v>
      </c>
      <c r="F6393" s="2" t="b">
        <v>1</v>
      </c>
      <c r="G6393" s="2" t="b">
        <v>0</v>
      </c>
      <c r="H6393" s="2" t="s">
        <v>37</v>
      </c>
      <c r="I6393" s="2" t="s">
        <v>22</v>
      </c>
      <c r="J6393" s="2" t="s">
        <v>26088</v>
      </c>
      <c r="K6393" s="2" t="s">
        <v>495</v>
      </c>
      <c r="L6393" s="13" t="s">
        <v>496</v>
      </c>
      <c r="M6393" s="2" t="s">
        <v>26</v>
      </c>
      <c r="N6393" s="29"/>
      <c r="O6393" s="29"/>
      <c r="P6393" s="5" t="str">
        <f>IFERROR(__xludf.DUMMYFUNCTION("TEXTJOIN("" | "",TRUE,IF(OR(D6393="""",E6393="""",I6393="""",J6393="""",H6393=""""),""ফাঁকা ঘর"",""""),IF(AND(C6393&lt;&gt;"""",D6393&lt;&gt;"""",C6393=D6393),""gloss=figurative"",""""),IF(LEN(D6393)&lt;15,""figurative ছোট"",""""),IF(AND(I6393=""Positive"",REGEXMATCH(H6"&amp;"393,""মূর্খ|ভণ্ড|প্রতার|অলস|লোভ|স্বার্থ|অক্ষম|অযোগ্য|বোকা|কৃপণ|হিংস"")),""valence-target অমিল"",""""),IF(COUNTIF($B:$B,B6393)&gt;1,""ডুপ্লিকেট"",""""))"),"")</f>
        <v/>
      </c>
      <c r="Q6393" s="5" t="str">
        <f t="shared" si="1"/>
        <v>২ পরে</v>
      </c>
    </row>
    <row r="6394">
      <c r="A6394" s="4">
        <v>4300.0</v>
      </c>
      <c r="B6394" s="2" t="s">
        <v>26089</v>
      </c>
      <c r="C6394" s="2" t="s">
        <v>26090</v>
      </c>
      <c r="D6394" s="2" t="s">
        <v>26091</v>
      </c>
      <c r="E6394" s="2" t="s">
        <v>26092</v>
      </c>
      <c r="F6394" s="2" t="b">
        <v>1</v>
      </c>
      <c r="G6394" s="2" t="b">
        <v>0</v>
      </c>
      <c r="H6394" s="2" t="s">
        <v>37</v>
      </c>
      <c r="I6394" s="2" t="s">
        <v>22</v>
      </c>
      <c r="J6394" s="2" t="s">
        <v>2624</v>
      </c>
      <c r="K6394" s="2" t="s">
        <v>495</v>
      </c>
      <c r="L6394" s="13" t="s">
        <v>496</v>
      </c>
      <c r="M6394" s="2" t="s">
        <v>26</v>
      </c>
      <c r="N6394" s="29"/>
      <c r="O6394" s="29"/>
      <c r="P6394" s="5" t="str">
        <f>IFERROR(__xludf.DUMMYFUNCTION("TEXTJOIN("" | "",TRUE,IF(OR(D6394="""",E6394="""",I6394="""",J6394="""",H6394=""""),""ফাঁকা ঘর"",""""),IF(AND(C6394&lt;&gt;"""",D6394&lt;&gt;"""",C6394=D6394),""gloss=figurative"",""""),IF(LEN(D6394)&lt;15,""figurative ছোট"",""""),IF(AND(I6394=""Positive"",REGEXMATCH(H6"&amp;"394,""মূর্খ|ভণ্ড|প্রতার|অলস|লোভ|স্বার্থ|অক্ষম|অযোগ্য|বোকা|কৃপণ|হিংস"")),""valence-target অমিল"",""""),IF(COUNTIF($B:$B,B6394)&gt;1,""ডুপ্লিকেট"",""""))"),"")</f>
        <v/>
      </c>
      <c r="Q6394" s="5" t="str">
        <f t="shared" si="1"/>
        <v>২ পরে</v>
      </c>
    </row>
    <row r="6395">
      <c r="A6395" s="4">
        <v>4301.0</v>
      </c>
      <c r="B6395" s="2" t="s">
        <v>26093</v>
      </c>
      <c r="C6395" s="2" t="s">
        <v>26094</v>
      </c>
      <c r="D6395" s="2" t="s">
        <v>26095</v>
      </c>
      <c r="E6395" s="2" t="s">
        <v>26096</v>
      </c>
      <c r="F6395" s="2" t="b">
        <v>1</v>
      </c>
      <c r="G6395" s="2" t="b">
        <v>0</v>
      </c>
      <c r="H6395" s="2" t="s">
        <v>37</v>
      </c>
      <c r="I6395" s="2" t="s">
        <v>49</v>
      </c>
      <c r="J6395" s="2" t="s">
        <v>924</v>
      </c>
      <c r="K6395" s="2" t="s">
        <v>495</v>
      </c>
      <c r="L6395" s="13" t="s">
        <v>496</v>
      </c>
      <c r="M6395" s="2" t="s">
        <v>26</v>
      </c>
      <c r="N6395" s="29"/>
      <c r="O6395" s="29"/>
      <c r="P6395" s="5" t="str">
        <f>IFERROR(__xludf.DUMMYFUNCTION("TEXTJOIN("" | "",TRUE,IF(OR(D6395="""",E6395="""",I6395="""",J6395="""",H6395=""""),""ফাঁকা ঘর"",""""),IF(AND(C6395&lt;&gt;"""",D6395&lt;&gt;"""",C6395=D6395),""gloss=figurative"",""""),IF(LEN(D6395)&lt;15,""figurative ছোট"",""""),IF(AND(I6395=""Positive"",REGEXMATCH(H6"&amp;"395,""মূর্খ|ভণ্ড|প্রতার|অলস|লোভ|স্বার্থ|অক্ষম|অযোগ্য|বোকা|কৃপণ|হিংস"")),""valence-target অমিল"",""""),IF(COUNTIF($B:$B,B6395)&gt;1,""ডুপ্লিকেট"",""""))"),"")</f>
        <v/>
      </c>
      <c r="Q6395" s="5" t="str">
        <f t="shared" si="1"/>
        <v>২ পরে</v>
      </c>
    </row>
    <row r="6396">
      <c r="A6396" s="4">
        <v>4304.0</v>
      </c>
      <c r="B6396" s="2" t="s">
        <v>26097</v>
      </c>
      <c r="C6396" s="2" t="s">
        <v>26098</v>
      </c>
      <c r="D6396" s="2" t="s">
        <v>26099</v>
      </c>
      <c r="E6396" s="2" t="s">
        <v>26100</v>
      </c>
      <c r="F6396" s="2" t="b">
        <v>1</v>
      </c>
      <c r="G6396" s="2" t="b">
        <v>0</v>
      </c>
      <c r="H6396" s="2" t="s">
        <v>37</v>
      </c>
      <c r="I6396" s="2" t="s">
        <v>32</v>
      </c>
      <c r="J6396" s="2" t="s">
        <v>669</v>
      </c>
      <c r="K6396" s="2" t="s">
        <v>495</v>
      </c>
      <c r="L6396" s="13" t="s">
        <v>496</v>
      </c>
      <c r="M6396" s="2" t="s">
        <v>26</v>
      </c>
      <c r="N6396" s="29"/>
      <c r="O6396" s="29"/>
      <c r="P6396" s="5" t="str">
        <f>IFERROR(__xludf.DUMMYFUNCTION("TEXTJOIN("" | "",TRUE,IF(OR(D6396="""",E6396="""",I6396="""",J6396="""",H6396=""""),""ফাঁকা ঘর"",""""),IF(AND(C6396&lt;&gt;"""",D6396&lt;&gt;"""",C6396=D6396),""gloss=figurative"",""""),IF(LEN(D6396)&lt;15,""figurative ছোট"",""""),IF(AND(I6396=""Positive"",REGEXMATCH(H6"&amp;"396,""মূর্খ|ভণ্ড|প্রতার|অলস|লোভ|স্বার্থ|অক্ষম|অযোগ্য|বোকা|কৃপণ|হিংস"")),""valence-target অমিল"",""""),IF(COUNTIF($B:$B,B6396)&gt;1,""ডুপ্লিকেট"",""""))"),"")</f>
        <v/>
      </c>
      <c r="Q6396" s="5" t="str">
        <f t="shared" si="1"/>
        <v>২ পরে</v>
      </c>
    </row>
    <row r="6397">
      <c r="A6397" s="4">
        <v>4305.0</v>
      </c>
      <c r="B6397" s="2" t="s">
        <v>26101</v>
      </c>
      <c r="C6397" s="2" t="s">
        <v>26102</v>
      </c>
      <c r="D6397" s="2" t="s">
        <v>26103</v>
      </c>
      <c r="E6397" s="2" t="s">
        <v>26104</v>
      </c>
      <c r="F6397" s="2" t="b">
        <v>1</v>
      </c>
      <c r="G6397" s="2" t="b">
        <v>0</v>
      </c>
      <c r="H6397" s="2" t="s">
        <v>37</v>
      </c>
      <c r="I6397" s="2" t="s">
        <v>32</v>
      </c>
      <c r="J6397" s="2" t="s">
        <v>669</v>
      </c>
      <c r="K6397" s="2" t="s">
        <v>495</v>
      </c>
      <c r="L6397" s="13" t="s">
        <v>496</v>
      </c>
      <c r="M6397" s="2" t="s">
        <v>26</v>
      </c>
      <c r="N6397" s="29"/>
      <c r="O6397" s="29"/>
      <c r="P6397" s="5" t="str">
        <f>IFERROR(__xludf.DUMMYFUNCTION("TEXTJOIN("" | "",TRUE,IF(OR(D6397="""",E6397="""",I6397="""",J6397="""",H6397=""""),""ফাঁকা ঘর"",""""),IF(AND(C6397&lt;&gt;"""",D6397&lt;&gt;"""",C6397=D6397),""gloss=figurative"",""""),IF(LEN(D6397)&lt;15,""figurative ছোট"",""""),IF(AND(I6397=""Positive"",REGEXMATCH(H6"&amp;"397,""মূর্খ|ভণ্ড|প্রতার|অলস|লোভ|স্বার্থ|অক্ষম|অযোগ্য|বোকা|কৃপণ|হিংস"")),""valence-target অমিল"",""""),IF(COUNTIF($B:$B,B6397)&gt;1,""ডুপ্লিকেট"",""""))"),"")</f>
        <v/>
      </c>
      <c r="Q6397" s="5" t="str">
        <f t="shared" si="1"/>
        <v>২ পরে</v>
      </c>
    </row>
    <row r="6398">
      <c r="A6398" s="4">
        <v>4306.0</v>
      </c>
      <c r="B6398" s="2" t="s">
        <v>26105</v>
      </c>
      <c r="C6398" s="2" t="s">
        <v>26106</v>
      </c>
      <c r="D6398" s="2" t="s">
        <v>26107</v>
      </c>
      <c r="E6398" s="2" t="s">
        <v>26108</v>
      </c>
      <c r="F6398" s="2" t="b">
        <v>1</v>
      </c>
      <c r="G6398" s="2" t="b">
        <v>0</v>
      </c>
      <c r="H6398" s="2" t="s">
        <v>37</v>
      </c>
      <c r="I6398" s="2" t="s">
        <v>49</v>
      </c>
      <c r="J6398" s="2" t="s">
        <v>1259</v>
      </c>
      <c r="K6398" s="2" t="s">
        <v>495</v>
      </c>
      <c r="L6398" s="13" t="s">
        <v>496</v>
      </c>
      <c r="M6398" s="2" t="s">
        <v>26</v>
      </c>
      <c r="N6398" s="29"/>
      <c r="O6398" s="29"/>
      <c r="P6398" s="5" t="str">
        <f>IFERROR(__xludf.DUMMYFUNCTION("TEXTJOIN("" | "",TRUE,IF(OR(D6398="""",E6398="""",I6398="""",J6398="""",H6398=""""),""ফাঁকা ঘর"",""""),IF(AND(C6398&lt;&gt;"""",D6398&lt;&gt;"""",C6398=D6398),""gloss=figurative"",""""),IF(LEN(D6398)&lt;15,""figurative ছোট"",""""),IF(AND(I6398=""Positive"",REGEXMATCH(H6"&amp;"398,""মূর্খ|ভণ্ড|প্রতার|অলস|লোভ|স্বার্থ|অক্ষম|অযোগ্য|বোকা|কৃপণ|হিংস"")),""valence-target অমিল"",""""),IF(COUNTIF($B:$B,B6398)&gt;1,""ডুপ্লিকেট"",""""))"),"")</f>
        <v/>
      </c>
      <c r="Q6398" s="5" t="str">
        <f t="shared" si="1"/>
        <v>২ পরে</v>
      </c>
    </row>
    <row r="6399">
      <c r="A6399" s="4">
        <v>4307.0</v>
      </c>
      <c r="B6399" s="2" t="s">
        <v>26109</v>
      </c>
      <c r="C6399" s="2" t="s">
        <v>26110</v>
      </c>
      <c r="D6399" s="2" t="s">
        <v>26111</v>
      </c>
      <c r="E6399" s="2" t="s">
        <v>26112</v>
      </c>
      <c r="F6399" s="2" t="b">
        <v>1</v>
      </c>
      <c r="G6399" s="2" t="b">
        <v>0</v>
      </c>
      <c r="H6399" s="2" t="s">
        <v>37</v>
      </c>
      <c r="I6399" s="2" t="s">
        <v>22</v>
      </c>
      <c r="J6399" s="2" t="s">
        <v>784</v>
      </c>
      <c r="K6399" s="2" t="s">
        <v>495</v>
      </c>
      <c r="L6399" s="13" t="s">
        <v>496</v>
      </c>
      <c r="M6399" s="2" t="s">
        <v>26</v>
      </c>
      <c r="N6399" s="29"/>
      <c r="O6399" s="29"/>
      <c r="P6399" s="5" t="str">
        <f>IFERROR(__xludf.DUMMYFUNCTION("TEXTJOIN("" | "",TRUE,IF(OR(D6399="""",E6399="""",I6399="""",J6399="""",H6399=""""),""ফাঁকা ঘর"",""""),IF(AND(C6399&lt;&gt;"""",D6399&lt;&gt;"""",C6399=D6399),""gloss=figurative"",""""),IF(LEN(D6399)&lt;15,""figurative ছোট"",""""),IF(AND(I6399=""Positive"",REGEXMATCH(H6"&amp;"399,""মূর্খ|ভণ্ড|প্রতার|অলস|লোভ|স্বার্থ|অক্ষম|অযোগ্য|বোকা|কৃপণ|হিংস"")),""valence-target অমিল"",""""),IF(COUNTIF($B:$B,B6399)&gt;1,""ডুপ্লিকেট"",""""))"),"")</f>
        <v/>
      </c>
      <c r="Q6399" s="5" t="str">
        <f t="shared" si="1"/>
        <v>২ পরে</v>
      </c>
    </row>
    <row r="6400">
      <c r="A6400" s="4">
        <v>4308.0</v>
      </c>
      <c r="B6400" s="2" t="s">
        <v>26113</v>
      </c>
      <c r="C6400" s="2" t="s">
        <v>26114</v>
      </c>
      <c r="D6400" s="2" t="s">
        <v>26115</v>
      </c>
      <c r="E6400" s="2" t="s">
        <v>26116</v>
      </c>
      <c r="F6400" s="2" t="b">
        <v>1</v>
      </c>
      <c r="G6400" s="2" t="b">
        <v>0</v>
      </c>
      <c r="H6400" s="2" t="s">
        <v>37</v>
      </c>
      <c r="I6400" s="2" t="s">
        <v>32</v>
      </c>
      <c r="J6400" s="2" t="s">
        <v>3489</v>
      </c>
      <c r="K6400" s="2" t="s">
        <v>495</v>
      </c>
      <c r="L6400" s="13" t="s">
        <v>496</v>
      </c>
      <c r="M6400" s="2" t="s">
        <v>26</v>
      </c>
      <c r="N6400" s="29"/>
      <c r="O6400" s="29"/>
      <c r="P6400" s="5" t="str">
        <f>IFERROR(__xludf.DUMMYFUNCTION("TEXTJOIN("" | "",TRUE,IF(OR(D6400="""",E6400="""",I6400="""",J6400="""",H6400=""""),""ফাঁকা ঘর"",""""),IF(AND(C6400&lt;&gt;"""",D6400&lt;&gt;"""",C6400=D6400),""gloss=figurative"",""""),IF(LEN(D6400)&lt;15,""figurative ছোট"",""""),IF(AND(I6400=""Positive"",REGEXMATCH(H6"&amp;"400,""মূর্খ|ভণ্ড|প্রতার|অলস|লোভ|স্বার্থ|অক্ষম|অযোগ্য|বোকা|কৃপণ|হিংস"")),""valence-target অমিল"",""""),IF(COUNTIF($B:$B,B6400)&gt;1,""ডুপ্লিকেট"",""""))"),"")</f>
        <v/>
      </c>
      <c r="Q6400" s="5" t="str">
        <f t="shared" si="1"/>
        <v>২ পরে</v>
      </c>
    </row>
    <row r="6401">
      <c r="A6401" s="4">
        <v>4309.0</v>
      </c>
      <c r="B6401" s="2" t="s">
        <v>26117</v>
      </c>
      <c r="C6401" s="2" t="s">
        <v>26118</v>
      </c>
      <c r="D6401" s="2" t="s">
        <v>26119</v>
      </c>
      <c r="E6401" s="2" t="s">
        <v>26120</v>
      </c>
      <c r="F6401" s="2" t="b">
        <v>1</v>
      </c>
      <c r="G6401" s="2" t="b">
        <v>0</v>
      </c>
      <c r="H6401" s="2" t="s">
        <v>37</v>
      </c>
      <c r="I6401" s="2" t="s">
        <v>49</v>
      </c>
      <c r="J6401" s="2" t="s">
        <v>1784</v>
      </c>
      <c r="K6401" s="2" t="s">
        <v>495</v>
      </c>
      <c r="L6401" s="13" t="s">
        <v>496</v>
      </c>
      <c r="M6401" s="2" t="s">
        <v>26</v>
      </c>
      <c r="N6401" s="29"/>
      <c r="O6401" s="29"/>
      <c r="P6401" s="5" t="str">
        <f>IFERROR(__xludf.DUMMYFUNCTION("TEXTJOIN("" | "",TRUE,IF(OR(D6401="""",E6401="""",I6401="""",J6401="""",H6401=""""),""ফাঁকা ঘর"",""""),IF(AND(C6401&lt;&gt;"""",D6401&lt;&gt;"""",C6401=D6401),""gloss=figurative"",""""),IF(LEN(D6401)&lt;15,""figurative ছোট"",""""),IF(AND(I6401=""Positive"",REGEXMATCH(H6"&amp;"401,""মূর্খ|ভণ্ড|প্রতার|অলস|লোভ|স্বার্থ|অক্ষম|অযোগ্য|বোকা|কৃপণ|হিংস"")),""valence-target অমিল"",""""),IF(COUNTIF($B:$B,B6401)&gt;1,""ডুপ্লিকেট"",""""))"),"")</f>
        <v/>
      </c>
      <c r="Q6401" s="5" t="str">
        <f t="shared" si="1"/>
        <v>২ পরে</v>
      </c>
    </row>
    <row r="6402">
      <c r="A6402" s="4">
        <v>4310.0</v>
      </c>
      <c r="B6402" s="2" t="s">
        <v>26121</v>
      </c>
      <c r="C6402" s="2" t="s">
        <v>26122</v>
      </c>
      <c r="D6402" s="2" t="s">
        <v>26123</v>
      </c>
      <c r="E6402" s="2" t="s">
        <v>26124</v>
      </c>
      <c r="F6402" s="2" t="b">
        <v>1</v>
      </c>
      <c r="G6402" s="2" t="b">
        <v>0</v>
      </c>
      <c r="H6402" s="2" t="s">
        <v>37</v>
      </c>
      <c r="I6402" s="2" t="s">
        <v>49</v>
      </c>
      <c r="J6402" s="2" t="s">
        <v>1008</v>
      </c>
      <c r="K6402" s="2" t="s">
        <v>495</v>
      </c>
      <c r="L6402" s="13" t="s">
        <v>496</v>
      </c>
      <c r="M6402" s="2" t="s">
        <v>26</v>
      </c>
      <c r="N6402" s="29"/>
      <c r="O6402" s="29"/>
      <c r="P6402" s="5" t="str">
        <f>IFERROR(__xludf.DUMMYFUNCTION("TEXTJOIN("" | "",TRUE,IF(OR(D6402="""",E6402="""",I6402="""",J6402="""",H6402=""""),""ফাঁকা ঘর"",""""),IF(AND(C6402&lt;&gt;"""",D6402&lt;&gt;"""",C6402=D6402),""gloss=figurative"",""""),IF(LEN(D6402)&lt;15,""figurative ছোট"",""""),IF(AND(I6402=""Positive"",REGEXMATCH(H6"&amp;"402,""মূর্খ|ভণ্ড|প্রতার|অলস|লোভ|স্বার্থ|অক্ষম|অযোগ্য|বোকা|কৃপণ|হিংস"")),""valence-target অমিল"",""""),IF(COUNTIF($B:$B,B6402)&gt;1,""ডুপ্লিকেট"",""""))"),"")</f>
        <v/>
      </c>
      <c r="Q6402" s="5" t="str">
        <f t="shared" si="1"/>
        <v>২ পরে</v>
      </c>
    </row>
    <row r="6403">
      <c r="A6403" s="4">
        <v>4311.0</v>
      </c>
      <c r="B6403" s="2" t="s">
        <v>26125</v>
      </c>
      <c r="C6403" s="2" t="s">
        <v>26126</v>
      </c>
      <c r="D6403" s="2" t="s">
        <v>26127</v>
      </c>
      <c r="E6403" s="2" t="s">
        <v>26128</v>
      </c>
      <c r="F6403" s="2" t="b">
        <v>1</v>
      </c>
      <c r="G6403" s="2" t="b">
        <v>0</v>
      </c>
      <c r="H6403" s="2" t="s">
        <v>37</v>
      </c>
      <c r="I6403" s="2" t="s">
        <v>49</v>
      </c>
      <c r="J6403" s="2" t="s">
        <v>1476</v>
      </c>
      <c r="K6403" s="2" t="s">
        <v>495</v>
      </c>
      <c r="L6403" s="13" t="s">
        <v>496</v>
      </c>
      <c r="M6403" s="2" t="s">
        <v>26</v>
      </c>
      <c r="N6403" s="29"/>
      <c r="O6403" s="29"/>
      <c r="P6403" s="5" t="str">
        <f>IFERROR(__xludf.DUMMYFUNCTION("TEXTJOIN("" | "",TRUE,IF(OR(D6403="""",E6403="""",I6403="""",J6403="""",H6403=""""),""ফাঁকা ঘর"",""""),IF(AND(C6403&lt;&gt;"""",D6403&lt;&gt;"""",C6403=D6403),""gloss=figurative"",""""),IF(LEN(D6403)&lt;15,""figurative ছোট"",""""),IF(AND(I6403=""Positive"",REGEXMATCH(H6"&amp;"403,""মূর্খ|ভণ্ড|প্রতার|অলস|লোভ|স্বার্থ|অক্ষম|অযোগ্য|বোকা|কৃপণ|হিংস"")),""valence-target অমিল"",""""),IF(COUNTIF($B:$B,B6403)&gt;1,""ডুপ্লিকেট"",""""))"),"")</f>
        <v/>
      </c>
      <c r="Q6403" s="5" t="str">
        <f t="shared" si="1"/>
        <v>২ পরে</v>
      </c>
    </row>
    <row r="6404">
      <c r="A6404" s="4">
        <v>4312.0</v>
      </c>
      <c r="B6404" s="2" t="s">
        <v>26129</v>
      </c>
      <c r="C6404" s="2" t="s">
        <v>26130</v>
      </c>
      <c r="D6404" s="2" t="s">
        <v>21410</v>
      </c>
      <c r="E6404" s="2" t="s">
        <v>26131</v>
      </c>
      <c r="F6404" s="2" t="b">
        <v>1</v>
      </c>
      <c r="G6404" s="2" t="b">
        <v>0</v>
      </c>
      <c r="H6404" s="2" t="s">
        <v>37</v>
      </c>
      <c r="I6404" s="2" t="s">
        <v>32</v>
      </c>
      <c r="J6404" s="2" t="s">
        <v>669</v>
      </c>
      <c r="K6404" s="2" t="s">
        <v>495</v>
      </c>
      <c r="L6404" s="13" t="s">
        <v>496</v>
      </c>
      <c r="M6404" s="2" t="s">
        <v>26</v>
      </c>
      <c r="N6404" s="29"/>
      <c r="O6404" s="29"/>
      <c r="P6404" s="5" t="str">
        <f>IFERROR(__xludf.DUMMYFUNCTION("TEXTJOIN("" | "",TRUE,IF(OR(D6404="""",E6404="""",I6404="""",J6404="""",H6404=""""),""ফাঁকা ঘর"",""""),IF(AND(C6404&lt;&gt;"""",D6404&lt;&gt;"""",C6404=D6404),""gloss=figurative"",""""),IF(LEN(D6404)&lt;15,""figurative ছোট"",""""),IF(AND(I6404=""Positive"",REGEXMATCH(H6"&amp;"404,""মূর্খ|ভণ্ড|প্রতার|অলস|লোভ|স্বার্থ|অক্ষম|অযোগ্য|বোকা|কৃপণ|হিংস"")),""valence-target অমিল"",""""),IF(COUNTIF($B:$B,B6404)&gt;1,""ডুপ্লিকেট"",""""))"),"")</f>
        <v/>
      </c>
      <c r="Q6404" s="5" t="str">
        <f t="shared" si="1"/>
        <v>২ পরে</v>
      </c>
    </row>
    <row r="6405">
      <c r="A6405" s="4">
        <v>4314.0</v>
      </c>
      <c r="B6405" s="2" t="s">
        <v>26132</v>
      </c>
      <c r="C6405" s="2" t="s">
        <v>26133</v>
      </c>
      <c r="D6405" s="2" t="s">
        <v>26134</v>
      </c>
      <c r="E6405" s="2" t="s">
        <v>26135</v>
      </c>
      <c r="F6405" s="2" t="b">
        <v>1</v>
      </c>
      <c r="G6405" s="2" t="b">
        <v>0</v>
      </c>
      <c r="H6405" s="2" t="s">
        <v>37</v>
      </c>
      <c r="I6405" s="2" t="s">
        <v>22</v>
      </c>
      <c r="J6405" s="2" t="s">
        <v>21043</v>
      </c>
      <c r="K6405" s="2" t="s">
        <v>495</v>
      </c>
      <c r="L6405" s="13" t="s">
        <v>496</v>
      </c>
      <c r="M6405" s="2" t="s">
        <v>26</v>
      </c>
      <c r="N6405" s="29"/>
      <c r="O6405" s="29"/>
      <c r="P6405" s="5" t="str">
        <f>IFERROR(__xludf.DUMMYFUNCTION("TEXTJOIN("" | "",TRUE,IF(OR(D6405="""",E6405="""",I6405="""",J6405="""",H6405=""""),""ফাঁকা ঘর"",""""),IF(AND(C6405&lt;&gt;"""",D6405&lt;&gt;"""",C6405=D6405),""gloss=figurative"",""""),IF(LEN(D6405)&lt;15,""figurative ছোট"",""""),IF(AND(I6405=""Positive"",REGEXMATCH(H6"&amp;"405,""মূর্খ|ভণ্ড|প্রতার|অলস|লোভ|স্বার্থ|অক্ষম|অযোগ্য|বোকা|কৃপণ|হিংস"")),""valence-target অমিল"",""""),IF(COUNTIF($B:$B,B6405)&gt;1,""ডুপ্লিকেট"",""""))"),"")</f>
        <v/>
      </c>
      <c r="Q6405" s="5" t="str">
        <f t="shared" si="1"/>
        <v>২ পরে</v>
      </c>
    </row>
    <row r="6406">
      <c r="A6406" s="4">
        <v>4315.0</v>
      </c>
      <c r="B6406" s="2" t="s">
        <v>26136</v>
      </c>
      <c r="C6406" s="2" t="s">
        <v>26137</v>
      </c>
      <c r="D6406" s="2" t="s">
        <v>26138</v>
      </c>
      <c r="E6406" s="2" t="s">
        <v>26139</v>
      </c>
      <c r="F6406" s="2" t="b">
        <v>1</v>
      </c>
      <c r="G6406" s="2" t="b">
        <v>0</v>
      </c>
      <c r="H6406" s="2" t="s">
        <v>37</v>
      </c>
      <c r="I6406" s="2" t="s">
        <v>49</v>
      </c>
      <c r="J6406" s="2" t="s">
        <v>528</v>
      </c>
      <c r="K6406" s="2" t="s">
        <v>495</v>
      </c>
      <c r="L6406" s="13" t="s">
        <v>496</v>
      </c>
      <c r="M6406" s="2" t="s">
        <v>26</v>
      </c>
      <c r="N6406" s="29"/>
      <c r="O6406" s="29"/>
      <c r="P6406" s="5" t="str">
        <f>IFERROR(__xludf.DUMMYFUNCTION("TEXTJOIN("" | "",TRUE,IF(OR(D6406="""",E6406="""",I6406="""",J6406="""",H6406=""""),""ফাঁকা ঘর"",""""),IF(AND(C6406&lt;&gt;"""",D6406&lt;&gt;"""",C6406=D6406),""gloss=figurative"",""""),IF(LEN(D6406)&lt;15,""figurative ছোট"",""""),IF(AND(I6406=""Positive"",REGEXMATCH(H6"&amp;"406,""মূর্খ|ভণ্ড|প্রতার|অলস|লোভ|স্বার্থ|অক্ষম|অযোগ্য|বোকা|কৃপণ|হিংস"")),""valence-target অমিল"",""""),IF(COUNTIF($B:$B,B6406)&gt;1,""ডুপ্লিকেট"",""""))"),"")</f>
        <v/>
      </c>
      <c r="Q6406" s="5" t="str">
        <f t="shared" si="1"/>
        <v>২ পরে</v>
      </c>
    </row>
    <row r="6407">
      <c r="A6407" s="4">
        <v>4316.0</v>
      </c>
      <c r="B6407" s="2" t="s">
        <v>26140</v>
      </c>
      <c r="C6407" s="2" t="s">
        <v>26141</v>
      </c>
      <c r="D6407" s="2" t="s">
        <v>26142</v>
      </c>
      <c r="E6407" s="2" t="s">
        <v>26143</v>
      </c>
      <c r="F6407" s="2" t="b">
        <v>1</v>
      </c>
      <c r="G6407" s="2" t="b">
        <v>0</v>
      </c>
      <c r="H6407" s="2" t="s">
        <v>37</v>
      </c>
      <c r="I6407" s="2" t="s">
        <v>22</v>
      </c>
      <c r="J6407" s="2" t="s">
        <v>4026</v>
      </c>
      <c r="K6407" s="2" t="s">
        <v>495</v>
      </c>
      <c r="L6407" s="13" t="s">
        <v>496</v>
      </c>
      <c r="M6407" s="2" t="s">
        <v>26</v>
      </c>
      <c r="N6407" s="29"/>
      <c r="O6407" s="29"/>
      <c r="P6407" s="5" t="str">
        <f>IFERROR(__xludf.DUMMYFUNCTION("TEXTJOIN("" | "",TRUE,IF(OR(D6407="""",E6407="""",I6407="""",J6407="""",H6407=""""),""ফাঁকা ঘর"",""""),IF(AND(C6407&lt;&gt;"""",D6407&lt;&gt;"""",C6407=D6407),""gloss=figurative"",""""),IF(LEN(D6407)&lt;15,""figurative ছোট"",""""),IF(AND(I6407=""Positive"",REGEXMATCH(H6"&amp;"407,""মূর্খ|ভণ্ড|প্রতার|অলস|লোভ|স্বার্থ|অক্ষম|অযোগ্য|বোকা|কৃপণ|হিংস"")),""valence-target অমিল"",""""),IF(COUNTIF($B:$B,B6407)&gt;1,""ডুপ্লিকেট"",""""))"),"")</f>
        <v/>
      </c>
      <c r="Q6407" s="5" t="str">
        <f t="shared" si="1"/>
        <v>২ পরে</v>
      </c>
    </row>
    <row r="6408">
      <c r="A6408" s="4">
        <v>4317.0</v>
      </c>
      <c r="B6408" s="2" t="s">
        <v>26144</v>
      </c>
      <c r="C6408" s="2" t="s">
        <v>26145</v>
      </c>
      <c r="D6408" s="2" t="s">
        <v>26146</v>
      </c>
      <c r="E6408" s="2" t="s">
        <v>26147</v>
      </c>
      <c r="F6408" s="2" t="b">
        <v>1</v>
      </c>
      <c r="G6408" s="2" t="b">
        <v>0</v>
      </c>
      <c r="H6408" s="2" t="s">
        <v>37</v>
      </c>
      <c r="I6408" s="2" t="s">
        <v>32</v>
      </c>
      <c r="J6408" s="2" t="s">
        <v>2206</v>
      </c>
      <c r="K6408" s="2" t="s">
        <v>495</v>
      </c>
      <c r="L6408" s="13" t="s">
        <v>496</v>
      </c>
      <c r="M6408" s="2" t="s">
        <v>26</v>
      </c>
      <c r="N6408" s="29"/>
      <c r="O6408" s="29"/>
      <c r="P6408" s="5" t="str">
        <f>IFERROR(__xludf.DUMMYFUNCTION("TEXTJOIN("" | "",TRUE,IF(OR(D6408="""",E6408="""",I6408="""",J6408="""",H6408=""""),""ফাঁকা ঘর"",""""),IF(AND(C6408&lt;&gt;"""",D6408&lt;&gt;"""",C6408=D6408),""gloss=figurative"",""""),IF(LEN(D6408)&lt;15,""figurative ছোট"",""""),IF(AND(I6408=""Positive"",REGEXMATCH(H6"&amp;"408,""মূর্খ|ভণ্ড|প্রতার|অলস|লোভ|স্বার্থ|অক্ষম|অযোগ্য|বোকা|কৃপণ|হিংস"")),""valence-target অমিল"",""""),IF(COUNTIF($B:$B,B6408)&gt;1,""ডুপ্লিকেট"",""""))"),"")</f>
        <v/>
      </c>
      <c r="Q6408" s="5" t="str">
        <f t="shared" si="1"/>
        <v>২ পরে</v>
      </c>
    </row>
    <row r="6409">
      <c r="A6409" s="4">
        <v>4319.0</v>
      </c>
      <c r="B6409" s="2" t="s">
        <v>26148</v>
      </c>
      <c r="C6409" s="2" t="s">
        <v>26148</v>
      </c>
      <c r="D6409" s="2" t="s">
        <v>26149</v>
      </c>
      <c r="E6409" s="2" t="s">
        <v>26150</v>
      </c>
      <c r="F6409" s="2" t="b">
        <v>1</v>
      </c>
      <c r="G6409" s="2" t="b">
        <v>0</v>
      </c>
      <c r="H6409" s="2" t="s">
        <v>37</v>
      </c>
      <c r="I6409" s="2" t="s">
        <v>22</v>
      </c>
      <c r="J6409" s="2" t="s">
        <v>1686</v>
      </c>
      <c r="K6409" s="2" t="s">
        <v>495</v>
      </c>
      <c r="L6409" s="13" t="s">
        <v>496</v>
      </c>
      <c r="M6409" s="2" t="s">
        <v>26</v>
      </c>
      <c r="N6409" s="29"/>
      <c r="O6409" s="29"/>
      <c r="P6409" s="5" t="str">
        <f>IFERROR(__xludf.DUMMYFUNCTION("TEXTJOIN("" | "",TRUE,IF(OR(D6409="""",E6409="""",I6409="""",J6409="""",H6409=""""),""ফাঁকা ঘর"",""""),IF(AND(C6409&lt;&gt;"""",D6409&lt;&gt;"""",C6409=D6409),""gloss=figurative"",""""),IF(LEN(D6409)&lt;15,""figurative ছোট"",""""),IF(AND(I6409=""Positive"",REGEXMATCH(H6"&amp;"409,""মূর্খ|ভণ্ড|প্রতার|অলস|লোভ|স্বার্থ|অক্ষম|অযোগ্য|বোকা|কৃপণ|হিংস"")),""valence-target অমিল"",""""),IF(COUNTIF($B:$B,B6409)&gt;1,""ডুপ্লিকেট"",""""))"),"")</f>
        <v/>
      </c>
      <c r="Q6409" s="5" t="str">
        <f t="shared" si="1"/>
        <v>২ পরে</v>
      </c>
    </row>
    <row r="6410">
      <c r="A6410" s="4">
        <v>4320.0</v>
      </c>
      <c r="B6410" s="2" t="s">
        <v>26151</v>
      </c>
      <c r="C6410" s="2" t="s">
        <v>26152</v>
      </c>
      <c r="D6410" s="2" t="s">
        <v>26153</v>
      </c>
      <c r="E6410" s="2" t="s">
        <v>26154</v>
      </c>
      <c r="F6410" s="2" t="b">
        <v>1</v>
      </c>
      <c r="G6410" s="2" t="b">
        <v>0</v>
      </c>
      <c r="H6410" s="2" t="s">
        <v>37</v>
      </c>
      <c r="I6410" s="2" t="s">
        <v>49</v>
      </c>
      <c r="J6410" s="2" t="s">
        <v>16269</v>
      </c>
      <c r="K6410" s="2" t="s">
        <v>495</v>
      </c>
      <c r="L6410" s="13" t="s">
        <v>496</v>
      </c>
      <c r="M6410" s="2" t="s">
        <v>26</v>
      </c>
      <c r="N6410" s="29"/>
      <c r="O6410" s="29"/>
      <c r="P6410" s="5" t="str">
        <f>IFERROR(__xludf.DUMMYFUNCTION("TEXTJOIN("" | "",TRUE,IF(OR(D6410="""",E6410="""",I6410="""",J6410="""",H6410=""""),""ফাঁকা ঘর"",""""),IF(AND(C6410&lt;&gt;"""",D6410&lt;&gt;"""",C6410=D6410),""gloss=figurative"",""""),IF(LEN(D6410)&lt;15,""figurative ছোট"",""""),IF(AND(I6410=""Positive"",REGEXMATCH(H6"&amp;"410,""মূর্খ|ভণ্ড|প্রতার|অলস|লোভ|স্বার্থ|অক্ষম|অযোগ্য|বোকা|কৃপণ|হিংস"")),""valence-target অমিল"",""""),IF(COUNTIF($B:$B,B6410)&gt;1,""ডুপ্লিকেট"",""""))"),"")</f>
        <v/>
      </c>
      <c r="Q6410" s="5" t="str">
        <f t="shared" si="1"/>
        <v>২ পরে</v>
      </c>
    </row>
    <row r="6411">
      <c r="A6411" s="4">
        <v>4321.0</v>
      </c>
      <c r="B6411" s="2" t="s">
        <v>26155</v>
      </c>
      <c r="C6411" s="2" t="s">
        <v>26155</v>
      </c>
      <c r="D6411" s="2" t="s">
        <v>26156</v>
      </c>
      <c r="E6411" s="2" t="s">
        <v>26157</v>
      </c>
      <c r="F6411" s="2" t="b">
        <v>1</v>
      </c>
      <c r="G6411" s="2" t="b">
        <v>0</v>
      </c>
      <c r="H6411" s="2" t="s">
        <v>37</v>
      </c>
      <c r="I6411" s="2" t="s">
        <v>22</v>
      </c>
      <c r="J6411" s="2" t="s">
        <v>1249</v>
      </c>
      <c r="K6411" s="2" t="s">
        <v>495</v>
      </c>
      <c r="L6411" s="13" t="s">
        <v>496</v>
      </c>
      <c r="M6411" s="2" t="s">
        <v>26</v>
      </c>
      <c r="N6411" s="29"/>
      <c r="O6411" s="29"/>
      <c r="P6411" s="5" t="str">
        <f>IFERROR(__xludf.DUMMYFUNCTION("TEXTJOIN("" | "",TRUE,IF(OR(D6411="""",E6411="""",I6411="""",J6411="""",H6411=""""),""ফাঁকা ঘর"",""""),IF(AND(C6411&lt;&gt;"""",D6411&lt;&gt;"""",C6411=D6411),""gloss=figurative"",""""),IF(LEN(D6411)&lt;15,""figurative ছোট"",""""),IF(AND(I6411=""Positive"",REGEXMATCH(H6"&amp;"411,""মূর্খ|ভণ্ড|প্রতার|অলস|লোভ|স্বার্থ|অক্ষম|অযোগ্য|বোকা|কৃপণ|হিংস"")),""valence-target অমিল"",""""),IF(COUNTIF($B:$B,B6411)&gt;1,""ডুপ্লিকেট"",""""))"),"")</f>
        <v/>
      </c>
      <c r="Q6411" s="5" t="str">
        <f t="shared" si="1"/>
        <v>২ পরে</v>
      </c>
    </row>
    <row r="6412">
      <c r="A6412" s="4">
        <v>4322.0</v>
      </c>
      <c r="B6412" s="2" t="s">
        <v>26158</v>
      </c>
      <c r="C6412" s="2" t="s">
        <v>26158</v>
      </c>
      <c r="D6412" s="2" t="s">
        <v>26159</v>
      </c>
      <c r="E6412" s="2" t="s">
        <v>26160</v>
      </c>
      <c r="F6412" s="2" t="b">
        <v>1</v>
      </c>
      <c r="G6412" s="2" t="b">
        <v>0</v>
      </c>
      <c r="H6412" s="2" t="s">
        <v>37</v>
      </c>
      <c r="I6412" s="2" t="s">
        <v>49</v>
      </c>
      <c r="J6412" s="2" t="s">
        <v>300</v>
      </c>
      <c r="K6412" s="2" t="s">
        <v>495</v>
      </c>
      <c r="L6412" s="13" t="s">
        <v>496</v>
      </c>
      <c r="M6412" s="2" t="s">
        <v>26</v>
      </c>
      <c r="N6412" s="29"/>
      <c r="O6412" s="29"/>
      <c r="P6412" s="5" t="str">
        <f>IFERROR(__xludf.DUMMYFUNCTION("TEXTJOIN("" | "",TRUE,IF(OR(D6412="""",E6412="""",I6412="""",J6412="""",H6412=""""),""ফাঁকা ঘর"",""""),IF(AND(C6412&lt;&gt;"""",D6412&lt;&gt;"""",C6412=D6412),""gloss=figurative"",""""),IF(LEN(D6412)&lt;15,""figurative ছোট"",""""),IF(AND(I6412=""Positive"",REGEXMATCH(H6"&amp;"412,""মূর্খ|ভণ্ড|প্রতার|অলস|লোভ|স্বার্থ|অক্ষম|অযোগ্য|বোকা|কৃপণ|হিংস"")),""valence-target অমিল"",""""),IF(COUNTIF($B:$B,B6412)&gt;1,""ডুপ্লিকেট"",""""))"),"")</f>
        <v/>
      </c>
      <c r="Q6412" s="5" t="str">
        <f t="shared" si="1"/>
        <v>২ পরে</v>
      </c>
    </row>
    <row r="6413">
      <c r="A6413" s="4">
        <v>4323.0</v>
      </c>
      <c r="B6413" s="2" t="s">
        <v>26161</v>
      </c>
      <c r="C6413" s="2" t="s">
        <v>26162</v>
      </c>
      <c r="D6413" s="2" t="s">
        <v>26163</v>
      </c>
      <c r="E6413" s="2" t="s">
        <v>26164</v>
      </c>
      <c r="F6413" s="2" t="b">
        <v>1</v>
      </c>
      <c r="G6413" s="2" t="b">
        <v>0</v>
      </c>
      <c r="H6413" s="2" t="s">
        <v>37</v>
      </c>
      <c r="I6413" s="2" t="s">
        <v>49</v>
      </c>
      <c r="J6413" s="2" t="s">
        <v>2732</v>
      </c>
      <c r="K6413" s="2" t="s">
        <v>495</v>
      </c>
      <c r="L6413" s="13" t="s">
        <v>496</v>
      </c>
      <c r="M6413" s="2" t="s">
        <v>26</v>
      </c>
      <c r="N6413" s="29"/>
      <c r="O6413" s="29"/>
      <c r="P6413" s="5" t="str">
        <f>IFERROR(__xludf.DUMMYFUNCTION("TEXTJOIN("" | "",TRUE,IF(OR(D6413="""",E6413="""",I6413="""",J6413="""",H6413=""""),""ফাঁকা ঘর"",""""),IF(AND(C6413&lt;&gt;"""",D6413&lt;&gt;"""",C6413=D6413),""gloss=figurative"",""""),IF(LEN(D6413)&lt;15,""figurative ছোট"",""""),IF(AND(I6413=""Positive"",REGEXMATCH(H6"&amp;"413,""মূর্খ|ভণ্ড|প্রতার|অলস|লোভ|স্বার্থ|অক্ষম|অযোগ্য|বোকা|কৃপণ|হিংস"")),""valence-target অমিল"",""""),IF(COUNTIF($B:$B,B6413)&gt;1,""ডুপ্লিকেট"",""""))"),"")</f>
        <v/>
      </c>
      <c r="Q6413" s="5" t="str">
        <f t="shared" si="1"/>
        <v>২ পরে</v>
      </c>
    </row>
    <row r="6414">
      <c r="A6414" s="4">
        <v>4324.0</v>
      </c>
      <c r="B6414" s="2" t="s">
        <v>26165</v>
      </c>
      <c r="C6414" s="2" t="s">
        <v>26165</v>
      </c>
      <c r="D6414" s="2" t="s">
        <v>26166</v>
      </c>
      <c r="E6414" s="2" t="s">
        <v>26167</v>
      </c>
      <c r="F6414" s="2" t="b">
        <v>1</v>
      </c>
      <c r="G6414" s="2" t="b">
        <v>0</v>
      </c>
      <c r="H6414" s="2" t="s">
        <v>37</v>
      </c>
      <c r="I6414" s="2" t="s">
        <v>22</v>
      </c>
      <c r="J6414" s="2" t="s">
        <v>26168</v>
      </c>
      <c r="K6414" s="2" t="s">
        <v>495</v>
      </c>
      <c r="L6414" s="13" t="s">
        <v>496</v>
      </c>
      <c r="M6414" s="2" t="s">
        <v>26</v>
      </c>
      <c r="N6414" s="29"/>
      <c r="O6414" s="29"/>
      <c r="P6414" s="5" t="str">
        <f>IFERROR(__xludf.DUMMYFUNCTION("TEXTJOIN("" | "",TRUE,IF(OR(D6414="""",E6414="""",I6414="""",J6414="""",H6414=""""),""ফাঁকা ঘর"",""""),IF(AND(C6414&lt;&gt;"""",D6414&lt;&gt;"""",C6414=D6414),""gloss=figurative"",""""),IF(LEN(D6414)&lt;15,""figurative ছোট"",""""),IF(AND(I6414=""Positive"",REGEXMATCH(H6"&amp;"414,""মূর্খ|ভণ্ড|প্রতার|অলস|লোভ|স্বার্থ|অক্ষম|অযোগ্য|বোকা|কৃপণ|হিংস"")),""valence-target অমিল"",""""),IF(COUNTIF($B:$B,B6414)&gt;1,""ডুপ্লিকেট"",""""))"),"")</f>
        <v/>
      </c>
      <c r="Q6414" s="5" t="str">
        <f t="shared" si="1"/>
        <v>২ পরে</v>
      </c>
    </row>
    <row r="6415">
      <c r="A6415" s="4">
        <v>4326.0</v>
      </c>
      <c r="B6415" s="2" t="s">
        <v>26169</v>
      </c>
      <c r="C6415" s="2" t="s">
        <v>26170</v>
      </c>
      <c r="D6415" s="2" t="s">
        <v>26171</v>
      </c>
      <c r="E6415" s="2" t="s">
        <v>26172</v>
      </c>
      <c r="F6415" s="2" t="b">
        <v>1</v>
      </c>
      <c r="G6415" s="2" t="b">
        <v>0</v>
      </c>
      <c r="H6415" s="2" t="s">
        <v>37</v>
      </c>
      <c r="I6415" s="2" t="s">
        <v>32</v>
      </c>
      <c r="J6415" s="2" t="s">
        <v>1060</v>
      </c>
      <c r="K6415" s="2" t="s">
        <v>495</v>
      </c>
      <c r="L6415" s="13" t="s">
        <v>496</v>
      </c>
      <c r="M6415" s="2" t="s">
        <v>26</v>
      </c>
      <c r="N6415" s="29"/>
      <c r="O6415" s="29"/>
      <c r="P6415" s="5" t="str">
        <f>IFERROR(__xludf.DUMMYFUNCTION("TEXTJOIN("" | "",TRUE,IF(OR(D6415="""",E6415="""",I6415="""",J6415="""",H6415=""""),""ফাঁকা ঘর"",""""),IF(AND(C6415&lt;&gt;"""",D6415&lt;&gt;"""",C6415=D6415),""gloss=figurative"",""""),IF(LEN(D6415)&lt;15,""figurative ছোট"",""""),IF(AND(I6415=""Positive"",REGEXMATCH(H6"&amp;"415,""মূর্খ|ভণ্ড|প্রতার|অলস|লোভ|স্বার্থ|অক্ষম|অযোগ্য|বোকা|কৃপণ|হিংস"")),""valence-target অমিল"",""""),IF(COUNTIF($B:$B,B6415)&gt;1,""ডুপ্লিকেট"",""""))"),"")</f>
        <v/>
      </c>
      <c r="Q6415" s="5" t="str">
        <f t="shared" si="1"/>
        <v>২ পরে</v>
      </c>
    </row>
    <row r="6416">
      <c r="A6416" s="4">
        <v>4327.0</v>
      </c>
      <c r="B6416" s="2" t="s">
        <v>26173</v>
      </c>
      <c r="C6416" s="2" t="s">
        <v>26174</v>
      </c>
      <c r="D6416" s="2" t="s">
        <v>26175</v>
      </c>
      <c r="E6416" s="2" t="s">
        <v>26176</v>
      </c>
      <c r="F6416" s="2" t="b">
        <v>1</v>
      </c>
      <c r="G6416" s="2" t="b">
        <v>0</v>
      </c>
      <c r="H6416" s="2" t="s">
        <v>37</v>
      </c>
      <c r="I6416" s="2" t="s">
        <v>32</v>
      </c>
      <c r="J6416" s="2" t="s">
        <v>3615</v>
      </c>
      <c r="K6416" s="2" t="s">
        <v>495</v>
      </c>
      <c r="L6416" s="13" t="s">
        <v>496</v>
      </c>
      <c r="M6416" s="2" t="s">
        <v>26</v>
      </c>
      <c r="N6416" s="29"/>
      <c r="O6416" s="29"/>
      <c r="P6416" s="5" t="str">
        <f>IFERROR(__xludf.DUMMYFUNCTION("TEXTJOIN("" | "",TRUE,IF(OR(D6416="""",E6416="""",I6416="""",J6416="""",H6416=""""),""ফাঁকা ঘর"",""""),IF(AND(C6416&lt;&gt;"""",D6416&lt;&gt;"""",C6416=D6416),""gloss=figurative"",""""),IF(LEN(D6416)&lt;15,""figurative ছোট"",""""),IF(AND(I6416=""Positive"",REGEXMATCH(H6"&amp;"416,""মূর্খ|ভণ্ড|প্রতার|অলস|লোভ|স্বার্থ|অক্ষম|অযোগ্য|বোকা|কৃপণ|হিংস"")),""valence-target অমিল"",""""),IF(COUNTIF($B:$B,B6416)&gt;1,""ডুপ্লিকেট"",""""))"),"")</f>
        <v/>
      </c>
      <c r="Q6416" s="5" t="str">
        <f t="shared" si="1"/>
        <v>২ পরে</v>
      </c>
    </row>
    <row r="6417">
      <c r="A6417" s="4">
        <v>4328.0</v>
      </c>
      <c r="B6417" s="2" t="s">
        <v>26177</v>
      </c>
      <c r="C6417" s="2" t="s">
        <v>26177</v>
      </c>
      <c r="D6417" s="2" t="s">
        <v>26178</v>
      </c>
      <c r="E6417" s="2" t="s">
        <v>26179</v>
      </c>
      <c r="F6417" s="2" t="b">
        <v>1</v>
      </c>
      <c r="G6417" s="2" t="b">
        <v>0</v>
      </c>
      <c r="H6417" s="2" t="s">
        <v>37</v>
      </c>
      <c r="I6417" s="2" t="s">
        <v>22</v>
      </c>
      <c r="J6417" s="2" t="s">
        <v>1117</v>
      </c>
      <c r="K6417" s="2" t="s">
        <v>495</v>
      </c>
      <c r="L6417" s="13" t="s">
        <v>496</v>
      </c>
      <c r="M6417" s="2" t="s">
        <v>26</v>
      </c>
      <c r="N6417" s="29"/>
      <c r="O6417" s="29"/>
      <c r="P6417" s="5" t="str">
        <f>IFERROR(__xludf.DUMMYFUNCTION("TEXTJOIN("" | "",TRUE,IF(OR(D6417="""",E6417="""",I6417="""",J6417="""",H6417=""""),""ফাঁকা ঘর"",""""),IF(AND(C6417&lt;&gt;"""",D6417&lt;&gt;"""",C6417=D6417),""gloss=figurative"",""""),IF(LEN(D6417)&lt;15,""figurative ছোট"",""""),IF(AND(I6417=""Positive"",REGEXMATCH(H6"&amp;"417,""মূর্খ|ভণ্ড|প্রতার|অলস|লোভ|স্বার্থ|অক্ষম|অযোগ্য|বোকা|কৃপণ|হিংস"")),""valence-target অমিল"",""""),IF(COUNTIF($B:$B,B6417)&gt;1,""ডুপ্লিকেট"",""""))"),"")</f>
        <v/>
      </c>
      <c r="Q6417" s="5" t="str">
        <f t="shared" si="1"/>
        <v>২ পরে</v>
      </c>
    </row>
    <row r="6418">
      <c r="A6418" s="4">
        <v>4329.0</v>
      </c>
      <c r="B6418" s="2" t="s">
        <v>26180</v>
      </c>
      <c r="C6418" s="2" t="s">
        <v>26181</v>
      </c>
      <c r="D6418" s="2" t="s">
        <v>26182</v>
      </c>
      <c r="E6418" s="2" t="s">
        <v>26183</v>
      </c>
      <c r="F6418" s="2" t="b">
        <v>1</v>
      </c>
      <c r="G6418" s="2" t="b">
        <v>0</v>
      </c>
      <c r="H6418" s="2" t="s">
        <v>37</v>
      </c>
      <c r="I6418" s="2" t="s">
        <v>22</v>
      </c>
      <c r="J6418" s="2" t="s">
        <v>6010</v>
      </c>
      <c r="K6418" s="2" t="s">
        <v>495</v>
      </c>
      <c r="L6418" s="13" t="s">
        <v>496</v>
      </c>
      <c r="M6418" s="2" t="s">
        <v>26</v>
      </c>
      <c r="N6418" s="29"/>
      <c r="O6418" s="29"/>
      <c r="P6418" s="5" t="str">
        <f>IFERROR(__xludf.DUMMYFUNCTION("TEXTJOIN("" | "",TRUE,IF(OR(D6418="""",E6418="""",I6418="""",J6418="""",H6418=""""),""ফাঁকা ঘর"",""""),IF(AND(C6418&lt;&gt;"""",D6418&lt;&gt;"""",C6418=D6418),""gloss=figurative"",""""),IF(LEN(D6418)&lt;15,""figurative ছোট"",""""),IF(AND(I6418=""Positive"",REGEXMATCH(H6"&amp;"418,""মূর্খ|ভণ্ড|প্রতার|অলস|লোভ|স্বার্থ|অক্ষম|অযোগ্য|বোকা|কৃপণ|হিংস"")),""valence-target অমিল"",""""),IF(COUNTIF($B:$B,B6418)&gt;1,""ডুপ্লিকেট"",""""))"),"")</f>
        <v/>
      </c>
      <c r="Q6418" s="5" t="str">
        <f t="shared" si="1"/>
        <v>২ পরে</v>
      </c>
    </row>
    <row r="6419">
      <c r="A6419" s="4">
        <v>4330.0</v>
      </c>
      <c r="B6419" s="2" t="s">
        <v>26184</v>
      </c>
      <c r="C6419" s="2" t="s">
        <v>26185</v>
      </c>
      <c r="D6419" s="2" t="s">
        <v>26186</v>
      </c>
      <c r="E6419" s="2" t="s">
        <v>26187</v>
      </c>
      <c r="F6419" s="2" t="b">
        <v>1</v>
      </c>
      <c r="G6419" s="2" t="b">
        <v>0</v>
      </c>
      <c r="H6419" s="2" t="s">
        <v>37</v>
      </c>
      <c r="I6419" s="2" t="s">
        <v>49</v>
      </c>
      <c r="J6419" s="2" t="s">
        <v>208</v>
      </c>
      <c r="K6419" s="2" t="s">
        <v>495</v>
      </c>
      <c r="L6419" s="13" t="s">
        <v>496</v>
      </c>
      <c r="M6419" s="2" t="s">
        <v>26</v>
      </c>
      <c r="N6419" s="29"/>
      <c r="O6419" s="29"/>
      <c r="P6419" s="5" t="str">
        <f>IFERROR(__xludf.DUMMYFUNCTION("TEXTJOIN("" | "",TRUE,IF(OR(D6419="""",E6419="""",I6419="""",J6419="""",H6419=""""),""ফাঁকা ঘর"",""""),IF(AND(C6419&lt;&gt;"""",D6419&lt;&gt;"""",C6419=D6419),""gloss=figurative"",""""),IF(LEN(D6419)&lt;15,""figurative ছোট"",""""),IF(AND(I6419=""Positive"",REGEXMATCH(H6"&amp;"419,""মূর্খ|ভণ্ড|প্রতার|অলস|লোভ|স্বার্থ|অক্ষম|অযোগ্য|বোকা|কৃপণ|হিংস"")),""valence-target অমিল"",""""),IF(COUNTIF($B:$B,B6419)&gt;1,""ডুপ্লিকেট"",""""))"),"")</f>
        <v/>
      </c>
      <c r="Q6419" s="5" t="str">
        <f t="shared" si="1"/>
        <v>২ পরে</v>
      </c>
    </row>
    <row r="6420">
      <c r="A6420" s="4">
        <v>4331.0</v>
      </c>
      <c r="B6420" s="2" t="s">
        <v>26188</v>
      </c>
      <c r="C6420" s="2" t="s">
        <v>26188</v>
      </c>
      <c r="D6420" s="2" t="s">
        <v>26189</v>
      </c>
      <c r="E6420" s="2" t="s">
        <v>26190</v>
      </c>
      <c r="F6420" s="2" t="b">
        <v>1</v>
      </c>
      <c r="G6420" s="2" t="b">
        <v>0</v>
      </c>
      <c r="H6420" s="2" t="s">
        <v>37</v>
      </c>
      <c r="I6420" s="2" t="s">
        <v>22</v>
      </c>
      <c r="J6420" s="2" t="s">
        <v>565</v>
      </c>
      <c r="K6420" s="2" t="s">
        <v>495</v>
      </c>
      <c r="L6420" s="13" t="s">
        <v>496</v>
      </c>
      <c r="M6420" s="2" t="s">
        <v>26</v>
      </c>
      <c r="N6420" s="29"/>
      <c r="O6420" s="29"/>
      <c r="P6420" s="5" t="str">
        <f>IFERROR(__xludf.DUMMYFUNCTION("TEXTJOIN("" | "",TRUE,IF(OR(D6420="""",E6420="""",I6420="""",J6420="""",H6420=""""),""ফাঁকা ঘর"",""""),IF(AND(C6420&lt;&gt;"""",D6420&lt;&gt;"""",C6420=D6420),""gloss=figurative"",""""),IF(LEN(D6420)&lt;15,""figurative ছোট"",""""),IF(AND(I6420=""Positive"",REGEXMATCH(H6"&amp;"420,""মূর্খ|ভণ্ড|প্রতার|অলস|লোভ|স্বার্থ|অক্ষম|অযোগ্য|বোকা|কৃপণ|হিংস"")),""valence-target অমিল"",""""),IF(COUNTIF($B:$B,B6420)&gt;1,""ডুপ্লিকেট"",""""))"),"")</f>
        <v/>
      </c>
      <c r="Q6420" s="5" t="str">
        <f t="shared" si="1"/>
        <v>২ পরে</v>
      </c>
    </row>
    <row r="6421">
      <c r="A6421" s="4">
        <v>4332.0</v>
      </c>
      <c r="B6421" s="2" t="s">
        <v>26191</v>
      </c>
      <c r="C6421" s="2" t="s">
        <v>26192</v>
      </c>
      <c r="D6421" s="2" t="s">
        <v>26193</v>
      </c>
      <c r="E6421" s="2" t="s">
        <v>26194</v>
      </c>
      <c r="F6421" s="2" t="b">
        <v>1</v>
      </c>
      <c r="G6421" s="2" t="b">
        <v>0</v>
      </c>
      <c r="H6421" s="2" t="s">
        <v>37</v>
      </c>
      <c r="I6421" s="2" t="s">
        <v>22</v>
      </c>
      <c r="J6421" s="2" t="s">
        <v>646</v>
      </c>
      <c r="K6421" s="2" t="s">
        <v>495</v>
      </c>
      <c r="L6421" s="13" t="s">
        <v>496</v>
      </c>
      <c r="M6421" s="2" t="s">
        <v>26</v>
      </c>
      <c r="N6421" s="29"/>
      <c r="O6421" s="29"/>
      <c r="P6421" s="5" t="str">
        <f>IFERROR(__xludf.DUMMYFUNCTION("TEXTJOIN("" | "",TRUE,IF(OR(D6421="""",E6421="""",I6421="""",J6421="""",H6421=""""),""ফাঁকা ঘর"",""""),IF(AND(C6421&lt;&gt;"""",D6421&lt;&gt;"""",C6421=D6421),""gloss=figurative"",""""),IF(LEN(D6421)&lt;15,""figurative ছোট"",""""),IF(AND(I6421=""Positive"",REGEXMATCH(H6"&amp;"421,""মূর্খ|ভণ্ড|প্রতার|অলস|লোভ|স্বার্থ|অক্ষম|অযোগ্য|বোকা|কৃপণ|হিংস"")),""valence-target অমিল"",""""),IF(COUNTIF($B:$B,B6421)&gt;1,""ডুপ্লিকেট"",""""))"),"")</f>
        <v/>
      </c>
      <c r="Q6421" s="5" t="str">
        <f t="shared" si="1"/>
        <v>২ পরে</v>
      </c>
    </row>
    <row r="6422">
      <c r="A6422" s="4">
        <v>4333.0</v>
      </c>
      <c r="B6422" s="2" t="s">
        <v>26195</v>
      </c>
      <c r="C6422" s="2" t="s">
        <v>26196</v>
      </c>
      <c r="D6422" s="2" t="s">
        <v>26197</v>
      </c>
      <c r="E6422" s="2" t="s">
        <v>26198</v>
      </c>
      <c r="F6422" s="2" t="b">
        <v>1</v>
      </c>
      <c r="G6422" s="2" t="b">
        <v>0</v>
      </c>
      <c r="H6422" s="2" t="s">
        <v>37</v>
      </c>
      <c r="I6422" s="2" t="s">
        <v>22</v>
      </c>
      <c r="J6422" s="2" t="s">
        <v>1712</v>
      </c>
      <c r="K6422" s="2" t="s">
        <v>495</v>
      </c>
      <c r="L6422" s="13" t="s">
        <v>496</v>
      </c>
      <c r="M6422" s="2" t="s">
        <v>26</v>
      </c>
      <c r="N6422" s="29"/>
      <c r="O6422" s="29"/>
      <c r="P6422" s="5" t="str">
        <f>IFERROR(__xludf.DUMMYFUNCTION("TEXTJOIN("" | "",TRUE,IF(OR(D6422="""",E6422="""",I6422="""",J6422="""",H6422=""""),""ফাঁকা ঘর"",""""),IF(AND(C6422&lt;&gt;"""",D6422&lt;&gt;"""",C6422=D6422),""gloss=figurative"",""""),IF(LEN(D6422)&lt;15,""figurative ছোট"",""""),IF(AND(I6422=""Positive"",REGEXMATCH(H6"&amp;"422,""মূর্খ|ভণ্ড|প্রতার|অলস|লোভ|স্বার্থ|অক্ষম|অযোগ্য|বোকা|কৃপণ|হিংস"")),""valence-target অমিল"",""""),IF(COUNTIF($B:$B,B6422)&gt;1,""ডুপ্লিকেট"",""""))"),"")</f>
        <v/>
      </c>
      <c r="Q6422" s="5" t="str">
        <f t="shared" si="1"/>
        <v>২ পরে</v>
      </c>
    </row>
    <row r="6423">
      <c r="A6423" s="4">
        <v>4334.0</v>
      </c>
      <c r="B6423" s="2" t="s">
        <v>26199</v>
      </c>
      <c r="C6423" s="2" t="s">
        <v>26200</v>
      </c>
      <c r="D6423" s="2" t="s">
        <v>26201</v>
      </c>
      <c r="E6423" s="2" t="s">
        <v>26202</v>
      </c>
      <c r="F6423" s="2" t="b">
        <v>1</v>
      </c>
      <c r="G6423" s="2" t="b">
        <v>0</v>
      </c>
      <c r="H6423" s="2" t="s">
        <v>37</v>
      </c>
      <c r="I6423" s="2" t="s">
        <v>22</v>
      </c>
      <c r="J6423" s="2" t="s">
        <v>1712</v>
      </c>
      <c r="K6423" s="2" t="s">
        <v>495</v>
      </c>
      <c r="L6423" s="13" t="s">
        <v>496</v>
      </c>
      <c r="M6423" s="2" t="s">
        <v>26</v>
      </c>
      <c r="N6423" s="29"/>
      <c r="O6423" s="29"/>
      <c r="P6423" s="5" t="str">
        <f>IFERROR(__xludf.DUMMYFUNCTION("TEXTJOIN("" | "",TRUE,IF(OR(D6423="""",E6423="""",I6423="""",J6423="""",H6423=""""),""ফাঁকা ঘর"",""""),IF(AND(C6423&lt;&gt;"""",D6423&lt;&gt;"""",C6423=D6423),""gloss=figurative"",""""),IF(LEN(D6423)&lt;15,""figurative ছোট"",""""),IF(AND(I6423=""Positive"",REGEXMATCH(H6"&amp;"423,""মূর্খ|ভণ্ড|প্রতার|অলস|লোভ|স্বার্থ|অক্ষম|অযোগ্য|বোকা|কৃপণ|হিংস"")),""valence-target অমিল"",""""),IF(COUNTIF($B:$B,B6423)&gt;1,""ডুপ্লিকেট"",""""))"),"")</f>
        <v/>
      </c>
      <c r="Q6423" s="5" t="str">
        <f t="shared" si="1"/>
        <v>২ পরে</v>
      </c>
    </row>
    <row r="6424">
      <c r="A6424" s="4">
        <v>4335.0</v>
      </c>
      <c r="B6424" s="2" t="s">
        <v>26203</v>
      </c>
      <c r="C6424" s="2" t="s">
        <v>26204</v>
      </c>
      <c r="D6424" s="2" t="s">
        <v>26205</v>
      </c>
      <c r="E6424" s="2" t="s">
        <v>26206</v>
      </c>
      <c r="F6424" s="2" t="b">
        <v>1</v>
      </c>
      <c r="G6424" s="2" t="b">
        <v>0</v>
      </c>
      <c r="H6424" s="2" t="s">
        <v>37</v>
      </c>
      <c r="I6424" s="2" t="s">
        <v>22</v>
      </c>
      <c r="J6424" s="2" t="s">
        <v>1712</v>
      </c>
      <c r="K6424" s="2" t="s">
        <v>495</v>
      </c>
      <c r="L6424" s="13" t="s">
        <v>496</v>
      </c>
      <c r="M6424" s="2" t="s">
        <v>26</v>
      </c>
      <c r="N6424" s="29"/>
      <c r="O6424" s="29"/>
      <c r="P6424" s="5" t="str">
        <f>IFERROR(__xludf.DUMMYFUNCTION("TEXTJOIN("" | "",TRUE,IF(OR(D6424="""",E6424="""",I6424="""",J6424="""",H6424=""""),""ফাঁকা ঘর"",""""),IF(AND(C6424&lt;&gt;"""",D6424&lt;&gt;"""",C6424=D6424),""gloss=figurative"",""""),IF(LEN(D6424)&lt;15,""figurative ছোট"",""""),IF(AND(I6424=""Positive"",REGEXMATCH(H6"&amp;"424,""মূর্খ|ভণ্ড|প্রতার|অলস|লোভ|স্বার্থ|অক্ষম|অযোগ্য|বোকা|কৃপণ|হিংস"")),""valence-target অমিল"",""""),IF(COUNTIF($B:$B,B6424)&gt;1,""ডুপ্লিকেট"",""""))"),"")</f>
        <v/>
      </c>
      <c r="Q6424" s="5" t="str">
        <f t="shared" si="1"/>
        <v>২ পরে</v>
      </c>
    </row>
    <row r="6425">
      <c r="A6425" s="4">
        <v>4336.0</v>
      </c>
      <c r="B6425" s="2" t="s">
        <v>26207</v>
      </c>
      <c r="C6425" s="2" t="s">
        <v>26208</v>
      </c>
      <c r="D6425" s="2" t="s">
        <v>26209</v>
      </c>
      <c r="E6425" s="2" t="s">
        <v>20182</v>
      </c>
      <c r="F6425" s="2" t="b">
        <v>1</v>
      </c>
      <c r="G6425" s="2" t="b">
        <v>0</v>
      </c>
      <c r="H6425" s="2" t="s">
        <v>37</v>
      </c>
      <c r="I6425" s="2" t="s">
        <v>49</v>
      </c>
      <c r="J6425" s="2" t="s">
        <v>4670</v>
      </c>
      <c r="K6425" s="2" t="s">
        <v>495</v>
      </c>
      <c r="L6425" s="13" t="s">
        <v>496</v>
      </c>
      <c r="M6425" s="2" t="s">
        <v>26</v>
      </c>
      <c r="N6425" s="29"/>
      <c r="O6425" s="29"/>
      <c r="P6425" s="5" t="str">
        <f>IFERROR(__xludf.DUMMYFUNCTION("TEXTJOIN("" | "",TRUE,IF(OR(D6425="""",E6425="""",I6425="""",J6425="""",H6425=""""),""ফাঁকা ঘর"",""""),IF(AND(C6425&lt;&gt;"""",D6425&lt;&gt;"""",C6425=D6425),""gloss=figurative"",""""),IF(LEN(D6425)&lt;15,""figurative ছোট"",""""),IF(AND(I6425=""Positive"",REGEXMATCH(H6"&amp;"425,""মূর্খ|ভণ্ড|প্রতার|অলস|লোভ|স্বার্থ|অক্ষম|অযোগ্য|বোকা|কৃপণ|হিংস"")),""valence-target অমিল"",""""),IF(COUNTIF($B:$B,B6425)&gt;1,""ডুপ্লিকেট"",""""))"),"")</f>
        <v/>
      </c>
      <c r="Q6425" s="5" t="str">
        <f t="shared" si="1"/>
        <v>২ পরে</v>
      </c>
    </row>
    <row r="6426">
      <c r="A6426" s="4">
        <v>4337.0</v>
      </c>
      <c r="B6426" s="2" t="s">
        <v>26210</v>
      </c>
      <c r="C6426" s="2" t="s">
        <v>26211</v>
      </c>
      <c r="D6426" s="2" t="s">
        <v>26212</v>
      </c>
      <c r="E6426" s="2" t="s">
        <v>26213</v>
      </c>
      <c r="F6426" s="2" t="b">
        <v>1</v>
      </c>
      <c r="G6426" s="2" t="b">
        <v>0</v>
      </c>
      <c r="H6426" s="2" t="s">
        <v>37</v>
      </c>
      <c r="I6426" s="2" t="s">
        <v>49</v>
      </c>
      <c r="J6426" s="2" t="s">
        <v>4711</v>
      </c>
      <c r="K6426" s="2" t="s">
        <v>495</v>
      </c>
      <c r="L6426" s="13" t="s">
        <v>496</v>
      </c>
      <c r="M6426" s="2" t="s">
        <v>26</v>
      </c>
      <c r="N6426" s="29"/>
      <c r="O6426" s="29"/>
      <c r="P6426" s="5" t="str">
        <f>IFERROR(__xludf.DUMMYFUNCTION("TEXTJOIN("" | "",TRUE,IF(OR(D6426="""",E6426="""",I6426="""",J6426="""",H6426=""""),""ফাঁকা ঘর"",""""),IF(AND(C6426&lt;&gt;"""",D6426&lt;&gt;"""",C6426=D6426),""gloss=figurative"",""""),IF(LEN(D6426)&lt;15,""figurative ছোট"",""""),IF(AND(I6426=""Positive"",REGEXMATCH(H6"&amp;"426,""মূর্খ|ভণ্ড|প্রতার|অলস|লোভ|স্বার্থ|অক্ষম|অযোগ্য|বোকা|কৃপণ|হিংস"")),""valence-target অমিল"",""""),IF(COUNTIF($B:$B,B6426)&gt;1,""ডুপ্লিকেট"",""""))"),"")</f>
        <v/>
      </c>
      <c r="Q6426" s="5" t="str">
        <f t="shared" si="1"/>
        <v>২ পরে</v>
      </c>
    </row>
    <row r="6427">
      <c r="A6427" s="4">
        <v>4338.0</v>
      </c>
      <c r="B6427" s="2" t="s">
        <v>26214</v>
      </c>
      <c r="C6427" s="2" t="s">
        <v>26215</v>
      </c>
      <c r="D6427" s="2" t="s">
        <v>26216</v>
      </c>
      <c r="E6427" s="2" t="s">
        <v>26217</v>
      </c>
      <c r="F6427" s="2" t="b">
        <v>1</v>
      </c>
      <c r="G6427" s="2" t="b">
        <v>0</v>
      </c>
      <c r="H6427" s="2" t="s">
        <v>37</v>
      </c>
      <c r="I6427" s="2" t="s">
        <v>22</v>
      </c>
      <c r="J6427" s="2" t="s">
        <v>2860</v>
      </c>
      <c r="K6427" s="2" t="s">
        <v>495</v>
      </c>
      <c r="L6427" s="13" t="s">
        <v>496</v>
      </c>
      <c r="M6427" s="2" t="s">
        <v>26</v>
      </c>
      <c r="N6427" s="29"/>
      <c r="O6427" s="29"/>
      <c r="P6427" s="5" t="str">
        <f>IFERROR(__xludf.DUMMYFUNCTION("TEXTJOIN("" | "",TRUE,IF(OR(D6427="""",E6427="""",I6427="""",J6427="""",H6427=""""),""ফাঁকা ঘর"",""""),IF(AND(C6427&lt;&gt;"""",D6427&lt;&gt;"""",C6427=D6427),""gloss=figurative"",""""),IF(LEN(D6427)&lt;15,""figurative ছোট"",""""),IF(AND(I6427=""Positive"",REGEXMATCH(H6"&amp;"427,""মূর্খ|ভণ্ড|প্রতার|অলস|লোভ|স্বার্থ|অক্ষম|অযোগ্য|বোকা|কৃপণ|হিংস"")),""valence-target অমিল"",""""),IF(COUNTIF($B:$B,B6427)&gt;1,""ডুপ্লিকেট"",""""))"),"")</f>
        <v/>
      </c>
      <c r="Q6427" s="5" t="str">
        <f t="shared" si="1"/>
        <v>২ পরে</v>
      </c>
    </row>
    <row r="6428">
      <c r="A6428" s="4">
        <v>4339.0</v>
      </c>
      <c r="B6428" s="2" t="s">
        <v>26218</v>
      </c>
      <c r="C6428" s="2" t="s">
        <v>26219</v>
      </c>
      <c r="D6428" s="2" t="s">
        <v>26220</v>
      </c>
      <c r="E6428" s="2" t="s">
        <v>26221</v>
      </c>
      <c r="F6428" s="2" t="b">
        <v>1</v>
      </c>
      <c r="G6428" s="2" t="b">
        <v>0</v>
      </c>
      <c r="H6428" s="2" t="s">
        <v>37</v>
      </c>
      <c r="I6428" s="2" t="s">
        <v>22</v>
      </c>
      <c r="J6428" s="2" t="s">
        <v>674</v>
      </c>
      <c r="K6428" s="2" t="s">
        <v>495</v>
      </c>
      <c r="L6428" s="13" t="s">
        <v>496</v>
      </c>
      <c r="M6428" s="2" t="s">
        <v>26</v>
      </c>
      <c r="N6428" s="29"/>
      <c r="O6428" s="29"/>
      <c r="P6428" s="5" t="str">
        <f>IFERROR(__xludf.DUMMYFUNCTION("TEXTJOIN("" | "",TRUE,IF(OR(D6428="""",E6428="""",I6428="""",J6428="""",H6428=""""),""ফাঁকা ঘর"",""""),IF(AND(C6428&lt;&gt;"""",D6428&lt;&gt;"""",C6428=D6428),""gloss=figurative"",""""),IF(LEN(D6428)&lt;15,""figurative ছোট"",""""),IF(AND(I6428=""Positive"",REGEXMATCH(H6"&amp;"428,""মূর্খ|ভণ্ড|প্রতার|অলস|লোভ|স্বার্থ|অক্ষম|অযোগ্য|বোকা|কৃপণ|হিংস"")),""valence-target অমিল"",""""),IF(COUNTIF($B:$B,B6428)&gt;1,""ডুপ্লিকেট"",""""))"),"")</f>
        <v/>
      </c>
      <c r="Q6428" s="5" t="str">
        <f t="shared" si="1"/>
        <v>২ পরে</v>
      </c>
    </row>
    <row r="6429">
      <c r="A6429" s="4">
        <v>4340.0</v>
      </c>
      <c r="B6429" s="2" t="s">
        <v>26222</v>
      </c>
      <c r="C6429" s="2" t="s">
        <v>26223</v>
      </c>
      <c r="D6429" s="2" t="s">
        <v>26224</v>
      </c>
      <c r="E6429" s="2" t="s">
        <v>26225</v>
      </c>
      <c r="F6429" s="2" t="b">
        <v>1</v>
      </c>
      <c r="G6429" s="2" t="b">
        <v>0</v>
      </c>
      <c r="H6429" s="2" t="s">
        <v>37</v>
      </c>
      <c r="I6429" s="2" t="s">
        <v>22</v>
      </c>
      <c r="J6429" s="2" t="s">
        <v>708</v>
      </c>
      <c r="K6429" s="2" t="s">
        <v>495</v>
      </c>
      <c r="L6429" s="13" t="s">
        <v>496</v>
      </c>
      <c r="M6429" s="2" t="s">
        <v>26</v>
      </c>
      <c r="N6429" s="29"/>
      <c r="O6429" s="29"/>
      <c r="P6429" s="5" t="str">
        <f>IFERROR(__xludf.DUMMYFUNCTION("TEXTJOIN("" | "",TRUE,IF(OR(D6429="""",E6429="""",I6429="""",J6429="""",H6429=""""),""ফাঁকা ঘর"",""""),IF(AND(C6429&lt;&gt;"""",D6429&lt;&gt;"""",C6429=D6429),""gloss=figurative"",""""),IF(LEN(D6429)&lt;15,""figurative ছোট"",""""),IF(AND(I6429=""Positive"",REGEXMATCH(H6"&amp;"429,""মূর্খ|ভণ্ড|প্রতার|অলস|লোভ|স্বার্থ|অক্ষম|অযোগ্য|বোকা|কৃপণ|হিংস"")),""valence-target অমিল"",""""),IF(COUNTIF($B:$B,B6429)&gt;1,""ডুপ্লিকেট"",""""))"),"")</f>
        <v/>
      </c>
      <c r="Q6429" s="5" t="str">
        <f t="shared" si="1"/>
        <v>২ পরে</v>
      </c>
    </row>
    <row r="6430">
      <c r="A6430" s="4">
        <v>4341.0</v>
      </c>
      <c r="B6430" s="2" t="s">
        <v>26226</v>
      </c>
      <c r="C6430" s="2" t="s">
        <v>26226</v>
      </c>
      <c r="D6430" s="2" t="s">
        <v>26227</v>
      </c>
      <c r="E6430" s="2" t="s">
        <v>26228</v>
      </c>
      <c r="F6430" s="2" t="b">
        <v>1</v>
      </c>
      <c r="G6430" s="2" t="b">
        <v>0</v>
      </c>
      <c r="H6430" s="2" t="s">
        <v>37</v>
      </c>
      <c r="I6430" s="2" t="s">
        <v>22</v>
      </c>
      <c r="J6430" s="2" t="s">
        <v>2485</v>
      </c>
      <c r="K6430" s="2" t="s">
        <v>495</v>
      </c>
      <c r="L6430" s="13" t="s">
        <v>496</v>
      </c>
      <c r="M6430" s="2" t="s">
        <v>26</v>
      </c>
      <c r="N6430" s="29"/>
      <c r="O6430" s="29"/>
      <c r="P6430" s="5" t="str">
        <f>IFERROR(__xludf.DUMMYFUNCTION("TEXTJOIN("" | "",TRUE,IF(OR(D6430="""",E6430="""",I6430="""",J6430="""",H6430=""""),""ফাঁকা ঘর"",""""),IF(AND(C6430&lt;&gt;"""",D6430&lt;&gt;"""",C6430=D6430),""gloss=figurative"",""""),IF(LEN(D6430)&lt;15,""figurative ছোট"",""""),IF(AND(I6430=""Positive"",REGEXMATCH(H6"&amp;"430,""মূর্খ|ভণ্ড|প্রতার|অলস|লোভ|স্বার্থ|অক্ষম|অযোগ্য|বোকা|কৃপণ|হিংস"")),""valence-target অমিল"",""""),IF(COUNTIF($B:$B,B6430)&gt;1,""ডুপ্লিকেট"",""""))"),"")</f>
        <v/>
      </c>
      <c r="Q6430" s="5" t="str">
        <f t="shared" si="1"/>
        <v>২ পরে</v>
      </c>
    </row>
    <row r="6431">
      <c r="A6431" s="4">
        <v>4342.0</v>
      </c>
      <c r="B6431" s="2" t="s">
        <v>26229</v>
      </c>
      <c r="C6431" s="2" t="s">
        <v>26230</v>
      </c>
      <c r="D6431" s="2" t="s">
        <v>26231</v>
      </c>
      <c r="E6431" s="2" t="s">
        <v>26232</v>
      </c>
      <c r="F6431" s="2" t="b">
        <v>1</v>
      </c>
      <c r="G6431" s="2" t="b">
        <v>0</v>
      </c>
      <c r="H6431" s="2" t="s">
        <v>37</v>
      </c>
      <c r="I6431" s="2" t="s">
        <v>22</v>
      </c>
      <c r="J6431" s="2" t="s">
        <v>26233</v>
      </c>
      <c r="K6431" s="2" t="s">
        <v>495</v>
      </c>
      <c r="L6431" s="13" t="s">
        <v>496</v>
      </c>
      <c r="M6431" s="2" t="s">
        <v>26</v>
      </c>
      <c r="N6431" s="29"/>
      <c r="O6431" s="29"/>
      <c r="P6431" s="5" t="str">
        <f>IFERROR(__xludf.DUMMYFUNCTION("TEXTJOIN("" | "",TRUE,IF(OR(D6431="""",E6431="""",I6431="""",J6431="""",H6431=""""),""ফাঁকা ঘর"",""""),IF(AND(C6431&lt;&gt;"""",D6431&lt;&gt;"""",C6431=D6431),""gloss=figurative"",""""),IF(LEN(D6431)&lt;15,""figurative ছোট"",""""),IF(AND(I6431=""Positive"",REGEXMATCH(H6"&amp;"431,""মূর্খ|ভণ্ড|প্রতার|অলস|লোভ|স্বার্থ|অক্ষম|অযোগ্য|বোকা|কৃপণ|হিংস"")),""valence-target অমিল"",""""),IF(COUNTIF($B:$B,B6431)&gt;1,""ডুপ্লিকেট"",""""))"),"")</f>
        <v/>
      </c>
      <c r="Q6431" s="5" t="str">
        <f t="shared" si="1"/>
        <v>২ পরে</v>
      </c>
    </row>
    <row r="6432">
      <c r="A6432" s="4">
        <v>4344.0</v>
      </c>
      <c r="B6432" s="2" t="s">
        <v>26234</v>
      </c>
      <c r="C6432" s="2" t="s">
        <v>26235</v>
      </c>
      <c r="D6432" s="2" t="s">
        <v>26236</v>
      </c>
      <c r="E6432" s="2" t="s">
        <v>26237</v>
      </c>
      <c r="F6432" s="2" t="b">
        <v>1</v>
      </c>
      <c r="G6432" s="2" t="b">
        <v>0</v>
      </c>
      <c r="H6432" s="2" t="s">
        <v>37</v>
      </c>
      <c r="I6432" s="2" t="s">
        <v>22</v>
      </c>
      <c r="J6432" s="2" t="s">
        <v>2540</v>
      </c>
      <c r="K6432" s="2" t="s">
        <v>495</v>
      </c>
      <c r="L6432" s="13" t="s">
        <v>496</v>
      </c>
      <c r="M6432" s="2" t="s">
        <v>26</v>
      </c>
      <c r="N6432" s="29"/>
      <c r="O6432" s="29"/>
      <c r="P6432" s="5" t="str">
        <f>IFERROR(__xludf.DUMMYFUNCTION("TEXTJOIN("" | "",TRUE,IF(OR(D6432="""",E6432="""",I6432="""",J6432="""",H6432=""""),""ফাঁকা ঘর"",""""),IF(AND(C6432&lt;&gt;"""",D6432&lt;&gt;"""",C6432=D6432),""gloss=figurative"",""""),IF(LEN(D6432)&lt;15,""figurative ছোট"",""""),IF(AND(I6432=""Positive"",REGEXMATCH(H6"&amp;"432,""মূর্খ|ভণ্ড|প্রতার|অলস|লোভ|স্বার্থ|অক্ষম|অযোগ্য|বোকা|কৃপণ|হিংস"")),""valence-target অমিল"",""""),IF(COUNTIF($B:$B,B6432)&gt;1,""ডুপ্লিকেট"",""""))"),"")</f>
        <v/>
      </c>
      <c r="Q6432" s="5" t="str">
        <f t="shared" si="1"/>
        <v>২ পরে</v>
      </c>
    </row>
    <row r="6433">
      <c r="A6433" s="4">
        <v>4345.0</v>
      </c>
      <c r="B6433" s="2" t="s">
        <v>26238</v>
      </c>
      <c r="C6433" s="2" t="s">
        <v>26239</v>
      </c>
      <c r="D6433" s="2" t="s">
        <v>26240</v>
      </c>
      <c r="E6433" s="2" t="s">
        <v>26241</v>
      </c>
      <c r="F6433" s="2" t="b">
        <v>1</v>
      </c>
      <c r="G6433" s="2" t="b">
        <v>0</v>
      </c>
      <c r="H6433" s="2" t="s">
        <v>37</v>
      </c>
      <c r="I6433" s="2" t="s">
        <v>22</v>
      </c>
      <c r="J6433" s="2" t="s">
        <v>784</v>
      </c>
      <c r="K6433" s="2" t="s">
        <v>495</v>
      </c>
      <c r="L6433" s="13" t="s">
        <v>496</v>
      </c>
      <c r="M6433" s="2" t="s">
        <v>26</v>
      </c>
      <c r="N6433" s="29"/>
      <c r="O6433" s="29"/>
      <c r="P6433" s="5" t="str">
        <f>IFERROR(__xludf.DUMMYFUNCTION("TEXTJOIN("" | "",TRUE,IF(OR(D6433="""",E6433="""",I6433="""",J6433="""",H6433=""""),""ফাঁকা ঘর"",""""),IF(AND(C6433&lt;&gt;"""",D6433&lt;&gt;"""",C6433=D6433),""gloss=figurative"",""""),IF(LEN(D6433)&lt;15,""figurative ছোট"",""""),IF(AND(I6433=""Positive"",REGEXMATCH(H6"&amp;"433,""মূর্খ|ভণ্ড|প্রতার|অলস|লোভ|স্বার্থ|অক্ষম|অযোগ্য|বোকা|কৃপণ|হিংস"")),""valence-target অমিল"",""""),IF(COUNTIF($B:$B,B6433)&gt;1,""ডুপ্লিকেট"",""""))"),"")</f>
        <v/>
      </c>
      <c r="Q6433" s="5" t="str">
        <f t="shared" si="1"/>
        <v>২ পরে</v>
      </c>
    </row>
    <row r="6434">
      <c r="A6434" s="4">
        <v>4346.0</v>
      </c>
      <c r="B6434" s="2" t="s">
        <v>26242</v>
      </c>
      <c r="C6434" s="2" t="s">
        <v>26243</v>
      </c>
      <c r="D6434" s="2" t="s">
        <v>26244</v>
      </c>
      <c r="E6434" s="2" t="s">
        <v>26245</v>
      </c>
      <c r="F6434" s="2" t="b">
        <v>1</v>
      </c>
      <c r="G6434" s="2" t="b">
        <v>0</v>
      </c>
      <c r="H6434" s="2" t="s">
        <v>37</v>
      </c>
      <c r="I6434" s="2" t="s">
        <v>22</v>
      </c>
      <c r="J6434" s="2" t="s">
        <v>723</v>
      </c>
      <c r="K6434" s="2" t="s">
        <v>495</v>
      </c>
      <c r="L6434" s="13" t="s">
        <v>496</v>
      </c>
      <c r="M6434" s="2" t="s">
        <v>26</v>
      </c>
      <c r="N6434" s="29"/>
      <c r="O6434" s="29"/>
      <c r="P6434" s="5" t="str">
        <f>IFERROR(__xludf.DUMMYFUNCTION("TEXTJOIN("" | "",TRUE,IF(OR(D6434="""",E6434="""",I6434="""",J6434="""",H6434=""""),""ফাঁকা ঘর"",""""),IF(AND(C6434&lt;&gt;"""",D6434&lt;&gt;"""",C6434=D6434),""gloss=figurative"",""""),IF(LEN(D6434)&lt;15,""figurative ছোট"",""""),IF(AND(I6434=""Positive"",REGEXMATCH(H6"&amp;"434,""মূর্খ|ভণ্ড|প্রতার|অলস|লোভ|স্বার্থ|অক্ষম|অযোগ্য|বোকা|কৃপণ|হিংস"")),""valence-target অমিল"",""""),IF(COUNTIF($B:$B,B6434)&gt;1,""ডুপ্লিকেট"",""""))"),"")</f>
        <v/>
      </c>
      <c r="Q6434" s="5" t="str">
        <f t="shared" si="1"/>
        <v>২ পরে</v>
      </c>
    </row>
    <row r="6435">
      <c r="A6435" s="4">
        <v>4347.0</v>
      </c>
      <c r="B6435" s="2" t="s">
        <v>26246</v>
      </c>
      <c r="C6435" s="2" t="s">
        <v>26247</v>
      </c>
      <c r="D6435" s="2" t="s">
        <v>26248</v>
      </c>
      <c r="E6435" s="2" t="s">
        <v>26249</v>
      </c>
      <c r="F6435" s="2" t="b">
        <v>1</v>
      </c>
      <c r="G6435" s="2" t="b">
        <v>0</v>
      </c>
      <c r="H6435" s="2" t="s">
        <v>37</v>
      </c>
      <c r="I6435" s="2" t="s">
        <v>32</v>
      </c>
      <c r="J6435" s="2" t="s">
        <v>4711</v>
      </c>
      <c r="K6435" s="2" t="s">
        <v>495</v>
      </c>
      <c r="L6435" s="13" t="s">
        <v>496</v>
      </c>
      <c r="M6435" s="2" t="s">
        <v>26</v>
      </c>
      <c r="N6435" s="29"/>
      <c r="O6435" s="29"/>
      <c r="P6435" s="5" t="str">
        <f>IFERROR(__xludf.DUMMYFUNCTION("TEXTJOIN("" | "",TRUE,IF(OR(D6435="""",E6435="""",I6435="""",J6435="""",H6435=""""),""ফাঁকা ঘর"",""""),IF(AND(C6435&lt;&gt;"""",D6435&lt;&gt;"""",C6435=D6435),""gloss=figurative"",""""),IF(LEN(D6435)&lt;15,""figurative ছোট"",""""),IF(AND(I6435=""Positive"",REGEXMATCH(H6"&amp;"435,""মূর্খ|ভণ্ড|প্রতার|অলস|লোভ|স্বার্থ|অক্ষম|অযোগ্য|বোকা|কৃপণ|হিংস"")),""valence-target অমিল"",""""),IF(COUNTIF($B:$B,B6435)&gt;1,""ডুপ্লিকেট"",""""))"),"")</f>
        <v/>
      </c>
      <c r="Q6435" s="5" t="str">
        <f t="shared" si="1"/>
        <v>২ পরে</v>
      </c>
    </row>
    <row r="6436">
      <c r="A6436" s="4">
        <v>4348.0</v>
      </c>
      <c r="B6436" s="2" t="s">
        <v>26250</v>
      </c>
      <c r="C6436" s="2" t="s">
        <v>26251</v>
      </c>
      <c r="D6436" s="2" t="s">
        <v>26252</v>
      </c>
      <c r="E6436" s="2" t="s">
        <v>26253</v>
      </c>
      <c r="F6436" s="2" t="b">
        <v>1</v>
      </c>
      <c r="G6436" s="2" t="b">
        <v>0</v>
      </c>
      <c r="H6436" s="2" t="s">
        <v>37</v>
      </c>
      <c r="I6436" s="2" t="s">
        <v>49</v>
      </c>
      <c r="J6436" s="2" t="s">
        <v>913</v>
      </c>
      <c r="K6436" s="2" t="s">
        <v>495</v>
      </c>
      <c r="L6436" s="13" t="s">
        <v>496</v>
      </c>
      <c r="M6436" s="2" t="s">
        <v>26</v>
      </c>
      <c r="N6436" s="29"/>
      <c r="O6436" s="29"/>
      <c r="P6436" s="5" t="str">
        <f>IFERROR(__xludf.DUMMYFUNCTION("TEXTJOIN("" | "",TRUE,IF(OR(D6436="""",E6436="""",I6436="""",J6436="""",H6436=""""),""ফাঁকা ঘর"",""""),IF(AND(C6436&lt;&gt;"""",D6436&lt;&gt;"""",C6436=D6436),""gloss=figurative"",""""),IF(LEN(D6436)&lt;15,""figurative ছোট"",""""),IF(AND(I6436=""Positive"",REGEXMATCH(H6"&amp;"436,""মূর্খ|ভণ্ড|প্রতার|অলস|লোভ|স্বার্থ|অক্ষম|অযোগ্য|বোকা|কৃপণ|হিংস"")),""valence-target অমিল"",""""),IF(COUNTIF($B:$B,B6436)&gt;1,""ডুপ্লিকেট"",""""))"),"")</f>
        <v/>
      </c>
      <c r="Q6436" s="5" t="str">
        <f t="shared" si="1"/>
        <v>২ পরে</v>
      </c>
    </row>
    <row r="6437">
      <c r="A6437" s="4">
        <v>4349.0</v>
      </c>
      <c r="B6437" s="2" t="s">
        <v>26254</v>
      </c>
      <c r="C6437" s="2" t="s">
        <v>26255</v>
      </c>
      <c r="D6437" s="2" t="s">
        <v>26256</v>
      </c>
      <c r="E6437" s="2" t="s">
        <v>26257</v>
      </c>
      <c r="F6437" s="2" t="b">
        <v>1</v>
      </c>
      <c r="G6437" s="2" t="b">
        <v>1</v>
      </c>
      <c r="H6437" s="2" t="s">
        <v>26258</v>
      </c>
      <c r="I6437" s="2" t="s">
        <v>32</v>
      </c>
      <c r="J6437" s="2" t="s">
        <v>3327</v>
      </c>
      <c r="K6437" s="2" t="s">
        <v>495</v>
      </c>
      <c r="L6437" s="13" t="s">
        <v>496</v>
      </c>
      <c r="M6437" s="2" t="s">
        <v>26</v>
      </c>
      <c r="N6437" s="29"/>
      <c r="O6437" s="29"/>
      <c r="P6437" s="5" t="str">
        <f>IFERROR(__xludf.DUMMYFUNCTION("TEXTJOIN("" | "",TRUE,IF(OR(D6437="""",E6437="""",I6437="""",J6437="""",H6437=""""),""ফাঁকা ঘর"",""""),IF(AND(C6437&lt;&gt;"""",D6437&lt;&gt;"""",C6437=D6437),""gloss=figurative"",""""),IF(LEN(D6437)&lt;15,""figurative ছোট"",""""),IF(AND(I6437=""Positive"",REGEXMATCH(H6"&amp;"437,""মূর্খ|ভণ্ড|প্রতার|অলস|লোভ|স্বার্থ|অক্ষম|অযোগ্য|বোকা|কৃপণ|হিংস"")),""valence-target অমিল"",""""),IF(COUNTIF($B:$B,B6437)&gt;1,""ডুপ্লিকেট"",""""))"),"")</f>
        <v/>
      </c>
      <c r="Q6437" s="5" t="str">
        <f t="shared" si="1"/>
        <v>২ পরে</v>
      </c>
    </row>
    <row r="6438">
      <c r="A6438" s="4">
        <v>4350.0</v>
      </c>
      <c r="B6438" s="2" t="s">
        <v>26259</v>
      </c>
      <c r="C6438" s="2" t="s">
        <v>26260</v>
      </c>
      <c r="D6438" s="2" t="s">
        <v>26261</v>
      </c>
      <c r="E6438" s="2" t="s">
        <v>26262</v>
      </c>
      <c r="F6438" s="2" t="b">
        <v>1</v>
      </c>
      <c r="G6438" s="2" t="b">
        <v>0</v>
      </c>
      <c r="H6438" s="2" t="s">
        <v>37</v>
      </c>
      <c r="I6438" s="2" t="s">
        <v>22</v>
      </c>
      <c r="J6438" s="2" t="s">
        <v>708</v>
      </c>
      <c r="K6438" s="2" t="s">
        <v>495</v>
      </c>
      <c r="L6438" s="13" t="s">
        <v>496</v>
      </c>
      <c r="M6438" s="2" t="s">
        <v>26</v>
      </c>
      <c r="N6438" s="29"/>
      <c r="O6438" s="29"/>
      <c r="P6438" s="5" t="str">
        <f>IFERROR(__xludf.DUMMYFUNCTION("TEXTJOIN("" | "",TRUE,IF(OR(D6438="""",E6438="""",I6438="""",J6438="""",H6438=""""),""ফাঁকা ঘর"",""""),IF(AND(C6438&lt;&gt;"""",D6438&lt;&gt;"""",C6438=D6438),""gloss=figurative"",""""),IF(LEN(D6438)&lt;15,""figurative ছোট"",""""),IF(AND(I6438=""Positive"",REGEXMATCH(H6"&amp;"438,""মূর্খ|ভণ্ড|প্রতার|অলস|লোভ|স্বার্থ|অক্ষম|অযোগ্য|বোকা|কৃপণ|হিংস"")),""valence-target অমিল"",""""),IF(COUNTIF($B:$B,B6438)&gt;1,""ডুপ্লিকেট"",""""))"),"")</f>
        <v/>
      </c>
      <c r="Q6438" s="5" t="str">
        <f t="shared" si="1"/>
        <v>২ পরে</v>
      </c>
    </row>
    <row r="6439">
      <c r="A6439" s="4">
        <v>4351.0</v>
      </c>
      <c r="B6439" s="2" t="s">
        <v>26263</v>
      </c>
      <c r="C6439" s="2" t="s">
        <v>26264</v>
      </c>
      <c r="D6439" s="2" t="s">
        <v>26265</v>
      </c>
      <c r="E6439" s="2" t="s">
        <v>26266</v>
      </c>
      <c r="F6439" s="2" t="b">
        <v>1</v>
      </c>
      <c r="G6439" s="2" t="b">
        <v>0</v>
      </c>
      <c r="H6439" s="2" t="s">
        <v>37</v>
      </c>
      <c r="I6439" s="2" t="s">
        <v>32</v>
      </c>
      <c r="J6439" s="2" t="s">
        <v>581</v>
      </c>
      <c r="K6439" s="2" t="s">
        <v>495</v>
      </c>
      <c r="L6439" s="13" t="s">
        <v>496</v>
      </c>
      <c r="M6439" s="2" t="s">
        <v>26</v>
      </c>
      <c r="N6439" s="29"/>
      <c r="O6439" s="29"/>
      <c r="P6439" s="5" t="str">
        <f>IFERROR(__xludf.DUMMYFUNCTION("TEXTJOIN("" | "",TRUE,IF(OR(D6439="""",E6439="""",I6439="""",J6439="""",H6439=""""),""ফাঁকা ঘর"",""""),IF(AND(C6439&lt;&gt;"""",D6439&lt;&gt;"""",C6439=D6439),""gloss=figurative"",""""),IF(LEN(D6439)&lt;15,""figurative ছোট"",""""),IF(AND(I6439=""Positive"",REGEXMATCH(H6"&amp;"439,""মূর্খ|ভণ্ড|প্রতার|অলস|লোভ|স্বার্থ|অক্ষম|অযোগ্য|বোকা|কৃপণ|হিংস"")),""valence-target অমিল"",""""),IF(COUNTIF($B:$B,B6439)&gt;1,""ডুপ্লিকেট"",""""))"),"")</f>
        <v/>
      </c>
      <c r="Q6439" s="5" t="str">
        <f t="shared" si="1"/>
        <v>২ পরে</v>
      </c>
    </row>
    <row r="6440">
      <c r="A6440" s="4">
        <v>4352.0</v>
      </c>
      <c r="B6440" s="2" t="s">
        <v>26267</v>
      </c>
      <c r="C6440" s="2" t="s">
        <v>26268</v>
      </c>
      <c r="D6440" s="2" t="s">
        <v>26269</v>
      </c>
      <c r="E6440" s="2" t="s">
        <v>26270</v>
      </c>
      <c r="F6440" s="2" t="b">
        <v>1</v>
      </c>
      <c r="G6440" s="2" t="b">
        <v>0</v>
      </c>
      <c r="H6440" s="2" t="s">
        <v>37</v>
      </c>
      <c r="I6440" s="2" t="s">
        <v>22</v>
      </c>
      <c r="J6440" s="2" t="s">
        <v>10509</v>
      </c>
      <c r="K6440" s="2" t="s">
        <v>495</v>
      </c>
      <c r="L6440" s="13" t="s">
        <v>496</v>
      </c>
      <c r="M6440" s="2" t="s">
        <v>26</v>
      </c>
      <c r="N6440" s="29"/>
      <c r="O6440" s="29"/>
      <c r="P6440" s="5" t="str">
        <f>IFERROR(__xludf.DUMMYFUNCTION("TEXTJOIN("" | "",TRUE,IF(OR(D6440="""",E6440="""",I6440="""",J6440="""",H6440=""""),""ফাঁকা ঘর"",""""),IF(AND(C6440&lt;&gt;"""",D6440&lt;&gt;"""",C6440=D6440),""gloss=figurative"",""""),IF(LEN(D6440)&lt;15,""figurative ছোট"",""""),IF(AND(I6440=""Positive"",REGEXMATCH(H6"&amp;"440,""মূর্খ|ভণ্ড|প্রতার|অলস|লোভ|স্বার্থ|অক্ষম|অযোগ্য|বোকা|কৃপণ|হিংস"")),""valence-target অমিল"",""""),IF(COUNTIF($B:$B,B6440)&gt;1,""ডুপ্লিকেট"",""""))"),"")</f>
        <v/>
      </c>
      <c r="Q6440" s="5" t="str">
        <f t="shared" si="1"/>
        <v>২ পরে</v>
      </c>
    </row>
    <row r="6441">
      <c r="A6441" s="4">
        <v>4353.0</v>
      </c>
      <c r="B6441" s="2" t="s">
        <v>26271</v>
      </c>
      <c r="C6441" s="2" t="s">
        <v>26271</v>
      </c>
      <c r="D6441" s="2" t="s">
        <v>26272</v>
      </c>
      <c r="E6441" s="2" t="s">
        <v>26273</v>
      </c>
      <c r="F6441" s="2" t="b">
        <v>1</v>
      </c>
      <c r="G6441" s="2" t="b">
        <v>0</v>
      </c>
      <c r="H6441" s="2" t="s">
        <v>37</v>
      </c>
      <c r="I6441" s="2" t="s">
        <v>22</v>
      </c>
      <c r="J6441" s="2" t="s">
        <v>4711</v>
      </c>
      <c r="K6441" s="2" t="s">
        <v>495</v>
      </c>
      <c r="L6441" s="13" t="s">
        <v>496</v>
      </c>
      <c r="M6441" s="2" t="s">
        <v>26</v>
      </c>
      <c r="N6441" s="29"/>
      <c r="O6441" s="29"/>
      <c r="P6441" s="5" t="str">
        <f>IFERROR(__xludf.DUMMYFUNCTION("TEXTJOIN("" | "",TRUE,IF(OR(D6441="""",E6441="""",I6441="""",J6441="""",H6441=""""),""ফাঁকা ঘর"",""""),IF(AND(C6441&lt;&gt;"""",D6441&lt;&gt;"""",C6441=D6441),""gloss=figurative"",""""),IF(LEN(D6441)&lt;15,""figurative ছোট"",""""),IF(AND(I6441=""Positive"",REGEXMATCH(H6"&amp;"441,""মূর্খ|ভণ্ড|প্রতার|অলস|লোভ|স্বার্থ|অক্ষম|অযোগ্য|বোকা|কৃপণ|হিংস"")),""valence-target অমিল"",""""),IF(COUNTIF($B:$B,B6441)&gt;1,""ডুপ্লিকেট"",""""))"),"")</f>
        <v/>
      </c>
      <c r="Q6441" s="5" t="str">
        <f t="shared" si="1"/>
        <v>২ পরে</v>
      </c>
    </row>
    <row r="6442">
      <c r="A6442" s="4">
        <v>4354.0</v>
      </c>
      <c r="B6442" s="2" t="s">
        <v>26274</v>
      </c>
      <c r="C6442" s="2" t="s">
        <v>26275</v>
      </c>
      <c r="D6442" s="2" t="s">
        <v>26276</v>
      </c>
      <c r="E6442" s="2" t="s">
        <v>26277</v>
      </c>
      <c r="F6442" s="2" t="b">
        <v>1</v>
      </c>
      <c r="G6442" s="2" t="b">
        <v>0</v>
      </c>
      <c r="H6442" s="2" t="s">
        <v>37</v>
      </c>
      <c r="I6442" s="2" t="s">
        <v>22</v>
      </c>
      <c r="J6442" s="2" t="s">
        <v>10509</v>
      </c>
      <c r="K6442" s="2" t="s">
        <v>495</v>
      </c>
      <c r="L6442" s="13" t="s">
        <v>496</v>
      </c>
      <c r="M6442" s="2" t="s">
        <v>26</v>
      </c>
      <c r="N6442" s="29"/>
      <c r="O6442" s="29"/>
      <c r="P6442" s="5" t="str">
        <f>IFERROR(__xludf.DUMMYFUNCTION("TEXTJOIN("" | "",TRUE,IF(OR(D6442="""",E6442="""",I6442="""",J6442="""",H6442=""""),""ফাঁকা ঘর"",""""),IF(AND(C6442&lt;&gt;"""",D6442&lt;&gt;"""",C6442=D6442),""gloss=figurative"",""""),IF(LEN(D6442)&lt;15,""figurative ছোট"",""""),IF(AND(I6442=""Positive"",REGEXMATCH(H6"&amp;"442,""মূর্খ|ভণ্ড|প্রতার|অলস|লোভ|স্বার্থ|অক্ষম|অযোগ্য|বোকা|কৃপণ|হিংস"")),""valence-target অমিল"",""""),IF(COUNTIF($B:$B,B6442)&gt;1,""ডুপ্লিকেট"",""""))"),"")</f>
        <v/>
      </c>
      <c r="Q6442" s="5" t="str">
        <f t="shared" si="1"/>
        <v>২ পরে</v>
      </c>
    </row>
    <row r="6443">
      <c r="A6443" s="4">
        <v>4355.0</v>
      </c>
      <c r="B6443" s="2" t="s">
        <v>26278</v>
      </c>
      <c r="C6443" s="2" t="s">
        <v>26279</v>
      </c>
      <c r="D6443" s="2" t="s">
        <v>26280</v>
      </c>
      <c r="E6443" s="2" t="s">
        <v>26281</v>
      </c>
      <c r="F6443" s="2" t="b">
        <v>1</v>
      </c>
      <c r="G6443" s="2" t="b">
        <v>0</v>
      </c>
      <c r="H6443" s="2" t="s">
        <v>37</v>
      </c>
      <c r="I6443" s="2" t="s">
        <v>49</v>
      </c>
      <c r="J6443" s="2" t="s">
        <v>340</v>
      </c>
      <c r="K6443" s="2" t="s">
        <v>495</v>
      </c>
      <c r="L6443" s="13" t="s">
        <v>496</v>
      </c>
      <c r="M6443" s="2" t="s">
        <v>26</v>
      </c>
      <c r="N6443" s="29"/>
      <c r="O6443" s="29"/>
      <c r="P6443" s="5" t="str">
        <f>IFERROR(__xludf.DUMMYFUNCTION("TEXTJOIN("" | "",TRUE,IF(OR(D6443="""",E6443="""",I6443="""",J6443="""",H6443=""""),""ফাঁকা ঘর"",""""),IF(AND(C6443&lt;&gt;"""",D6443&lt;&gt;"""",C6443=D6443),""gloss=figurative"",""""),IF(LEN(D6443)&lt;15,""figurative ছোট"",""""),IF(AND(I6443=""Positive"",REGEXMATCH(H6"&amp;"443,""মূর্খ|ভণ্ড|প্রতার|অলস|লোভ|স্বার্থ|অক্ষম|অযোগ্য|বোকা|কৃপণ|হিংস"")),""valence-target অমিল"",""""),IF(COUNTIF($B:$B,B6443)&gt;1,""ডুপ্লিকেট"",""""))"),"")</f>
        <v/>
      </c>
      <c r="Q6443" s="5" t="str">
        <f t="shared" si="1"/>
        <v>২ পরে</v>
      </c>
    </row>
    <row r="6444">
      <c r="A6444" s="4">
        <v>4356.0</v>
      </c>
      <c r="B6444" s="2" t="s">
        <v>26282</v>
      </c>
      <c r="C6444" s="2" t="s">
        <v>26283</v>
      </c>
      <c r="D6444" s="2" t="s">
        <v>26284</v>
      </c>
      <c r="E6444" s="2" t="s">
        <v>26285</v>
      </c>
      <c r="F6444" s="2" t="b">
        <v>1</v>
      </c>
      <c r="G6444" s="2" t="b">
        <v>0</v>
      </c>
      <c r="H6444" s="2" t="s">
        <v>37</v>
      </c>
      <c r="I6444" s="2" t="s">
        <v>49</v>
      </c>
      <c r="J6444" s="2" t="s">
        <v>1621</v>
      </c>
      <c r="K6444" s="2" t="s">
        <v>495</v>
      </c>
      <c r="L6444" s="13" t="s">
        <v>496</v>
      </c>
      <c r="M6444" s="2" t="s">
        <v>26</v>
      </c>
      <c r="N6444" s="29"/>
      <c r="O6444" s="29"/>
      <c r="P6444" s="5" t="str">
        <f>IFERROR(__xludf.DUMMYFUNCTION("TEXTJOIN("" | "",TRUE,IF(OR(D6444="""",E6444="""",I6444="""",J6444="""",H6444=""""),""ফাঁকা ঘর"",""""),IF(AND(C6444&lt;&gt;"""",D6444&lt;&gt;"""",C6444=D6444),""gloss=figurative"",""""),IF(LEN(D6444)&lt;15,""figurative ছোট"",""""),IF(AND(I6444=""Positive"",REGEXMATCH(H6"&amp;"444,""মূর্খ|ভণ্ড|প্রতার|অলস|লোভ|স্বার্থ|অক্ষম|অযোগ্য|বোকা|কৃপণ|হিংস"")),""valence-target অমিল"",""""),IF(COUNTIF($B:$B,B6444)&gt;1,""ডুপ্লিকেট"",""""))"),"")</f>
        <v/>
      </c>
      <c r="Q6444" s="5" t="str">
        <f t="shared" si="1"/>
        <v>২ পরে</v>
      </c>
    </row>
    <row r="6445">
      <c r="A6445" s="4">
        <v>4357.0</v>
      </c>
      <c r="B6445" s="2" t="s">
        <v>26286</v>
      </c>
      <c r="C6445" s="2" t="s">
        <v>26287</v>
      </c>
      <c r="D6445" s="2" t="s">
        <v>26288</v>
      </c>
      <c r="E6445" s="2" t="s">
        <v>26289</v>
      </c>
      <c r="F6445" s="2" t="b">
        <v>1</v>
      </c>
      <c r="G6445" s="2" t="b">
        <v>0</v>
      </c>
      <c r="H6445" s="2" t="s">
        <v>521</v>
      </c>
      <c r="I6445" s="2" t="s">
        <v>22</v>
      </c>
      <c r="J6445" s="2" t="s">
        <v>836</v>
      </c>
      <c r="K6445" s="2" t="s">
        <v>495</v>
      </c>
      <c r="L6445" s="13" t="s">
        <v>496</v>
      </c>
      <c r="M6445" s="2" t="s">
        <v>26</v>
      </c>
      <c r="N6445" s="29"/>
      <c r="O6445" s="29"/>
      <c r="P6445" s="5" t="str">
        <f>IFERROR(__xludf.DUMMYFUNCTION("TEXTJOIN("" | "",TRUE,IF(OR(D6445="""",E6445="""",I6445="""",J6445="""",H6445=""""),""ফাঁকা ঘর"",""""),IF(AND(C6445&lt;&gt;"""",D6445&lt;&gt;"""",C6445=D6445),""gloss=figurative"",""""),IF(LEN(D6445)&lt;15,""figurative ছোট"",""""),IF(AND(I6445=""Positive"",REGEXMATCH(H6"&amp;"445,""মূর্খ|ভণ্ড|প্রতার|অলস|লোভ|স্বার্থ|অক্ষম|অযোগ্য|বোকা|কৃপণ|হিংস"")),""valence-target অমিল"",""""),IF(COUNTIF($B:$B,B6445)&gt;1,""ডুপ্লিকেট"",""""))"),"")</f>
        <v/>
      </c>
      <c r="Q6445" s="5" t="str">
        <f t="shared" si="1"/>
        <v>২ পরে</v>
      </c>
    </row>
    <row r="6446">
      <c r="A6446" s="4">
        <v>4358.0</v>
      </c>
      <c r="B6446" s="2" t="s">
        <v>26290</v>
      </c>
      <c r="C6446" s="2" t="s">
        <v>26291</v>
      </c>
      <c r="D6446" s="2" t="s">
        <v>26292</v>
      </c>
      <c r="E6446" s="2" t="s">
        <v>26293</v>
      </c>
      <c r="F6446" s="2" t="b">
        <v>1</v>
      </c>
      <c r="G6446" s="2" t="b">
        <v>0</v>
      </c>
      <c r="H6446" s="2" t="s">
        <v>37</v>
      </c>
      <c r="I6446" s="2" t="s">
        <v>22</v>
      </c>
      <c r="J6446" s="2" t="s">
        <v>3716</v>
      </c>
      <c r="K6446" s="2" t="s">
        <v>495</v>
      </c>
      <c r="L6446" s="13" t="s">
        <v>496</v>
      </c>
      <c r="M6446" s="2" t="s">
        <v>26</v>
      </c>
      <c r="N6446" s="29"/>
      <c r="O6446" s="29"/>
      <c r="P6446" s="5" t="str">
        <f>IFERROR(__xludf.DUMMYFUNCTION("TEXTJOIN("" | "",TRUE,IF(OR(D6446="""",E6446="""",I6446="""",J6446="""",H6446=""""),""ফাঁকা ঘর"",""""),IF(AND(C6446&lt;&gt;"""",D6446&lt;&gt;"""",C6446=D6446),""gloss=figurative"",""""),IF(LEN(D6446)&lt;15,""figurative ছোট"",""""),IF(AND(I6446=""Positive"",REGEXMATCH(H6"&amp;"446,""মূর্খ|ভণ্ড|প্রতার|অলস|লোভ|স্বার্থ|অক্ষম|অযোগ্য|বোকা|কৃপণ|হিংস"")),""valence-target অমিল"",""""),IF(COUNTIF($B:$B,B6446)&gt;1,""ডুপ্লিকেট"",""""))"),"")</f>
        <v/>
      </c>
      <c r="Q6446" s="5" t="str">
        <f t="shared" si="1"/>
        <v>২ পরে</v>
      </c>
    </row>
    <row r="6447">
      <c r="A6447" s="4">
        <v>4359.0</v>
      </c>
      <c r="B6447" s="2" t="s">
        <v>26294</v>
      </c>
      <c r="C6447" s="2" t="s">
        <v>26295</v>
      </c>
      <c r="D6447" s="2" t="s">
        <v>26296</v>
      </c>
      <c r="E6447" s="2" t="s">
        <v>26297</v>
      </c>
      <c r="F6447" s="2" t="b">
        <v>1</v>
      </c>
      <c r="G6447" s="2" t="b">
        <v>0</v>
      </c>
      <c r="H6447" s="2" t="s">
        <v>37</v>
      </c>
      <c r="I6447" s="2" t="s">
        <v>22</v>
      </c>
      <c r="J6447" s="2" t="s">
        <v>3716</v>
      </c>
      <c r="K6447" s="2" t="s">
        <v>495</v>
      </c>
      <c r="L6447" s="13" t="s">
        <v>496</v>
      </c>
      <c r="M6447" s="2" t="s">
        <v>26</v>
      </c>
      <c r="N6447" s="29"/>
      <c r="O6447" s="29"/>
      <c r="P6447" s="5" t="str">
        <f>IFERROR(__xludf.DUMMYFUNCTION("TEXTJOIN("" | "",TRUE,IF(OR(D6447="""",E6447="""",I6447="""",J6447="""",H6447=""""),""ফাঁকা ঘর"",""""),IF(AND(C6447&lt;&gt;"""",D6447&lt;&gt;"""",C6447=D6447),""gloss=figurative"",""""),IF(LEN(D6447)&lt;15,""figurative ছোট"",""""),IF(AND(I6447=""Positive"",REGEXMATCH(H6"&amp;"447,""মূর্খ|ভণ্ড|প্রতার|অলস|লোভ|স্বার্থ|অক্ষম|অযোগ্য|বোকা|কৃপণ|হিংস"")),""valence-target অমিল"",""""),IF(COUNTIF($B:$B,B6447)&gt;1,""ডুপ্লিকেট"",""""))"),"")</f>
        <v/>
      </c>
      <c r="Q6447" s="5" t="str">
        <f t="shared" si="1"/>
        <v>২ পরে</v>
      </c>
    </row>
    <row r="6448">
      <c r="A6448" s="4">
        <v>4360.0</v>
      </c>
      <c r="B6448" s="2" t="s">
        <v>26298</v>
      </c>
      <c r="C6448" s="2" t="s">
        <v>26299</v>
      </c>
      <c r="D6448" s="2" t="s">
        <v>26300</v>
      </c>
      <c r="E6448" s="2" t="s">
        <v>26301</v>
      </c>
      <c r="F6448" s="2" t="b">
        <v>1</v>
      </c>
      <c r="G6448" s="2" t="b">
        <v>0</v>
      </c>
      <c r="H6448" s="2" t="s">
        <v>2709</v>
      </c>
      <c r="I6448" s="2" t="s">
        <v>49</v>
      </c>
      <c r="J6448" s="2" t="s">
        <v>300</v>
      </c>
      <c r="K6448" s="2" t="s">
        <v>495</v>
      </c>
      <c r="L6448" s="13" t="s">
        <v>496</v>
      </c>
      <c r="M6448" s="2" t="s">
        <v>26</v>
      </c>
      <c r="N6448" s="29"/>
      <c r="O6448" s="29"/>
      <c r="P6448" s="5" t="str">
        <f>IFERROR(__xludf.DUMMYFUNCTION("TEXTJOIN("" | "",TRUE,IF(OR(D6448="""",E6448="""",I6448="""",J6448="""",H6448=""""),""ফাঁকা ঘর"",""""),IF(AND(C6448&lt;&gt;"""",D6448&lt;&gt;"""",C6448=D6448),""gloss=figurative"",""""),IF(LEN(D6448)&lt;15,""figurative ছোট"",""""),IF(AND(I6448=""Positive"",REGEXMATCH(H6"&amp;"448,""মূর্খ|ভণ্ড|প্রতার|অলস|লোভ|স্বার্থ|অক্ষম|অযোগ্য|বোকা|কৃপণ|হিংস"")),""valence-target অমিল"",""""),IF(COUNTIF($B:$B,B6448)&gt;1,""ডুপ্লিকেট"",""""))"),"")</f>
        <v/>
      </c>
      <c r="Q6448" s="5" t="str">
        <f t="shared" si="1"/>
        <v>২ পরে</v>
      </c>
    </row>
    <row r="6449">
      <c r="A6449" s="4">
        <v>4361.0</v>
      </c>
      <c r="B6449" s="2" t="s">
        <v>26302</v>
      </c>
      <c r="C6449" s="2" t="s">
        <v>26302</v>
      </c>
      <c r="D6449" s="2" t="s">
        <v>24791</v>
      </c>
      <c r="E6449" s="2" t="s">
        <v>26303</v>
      </c>
      <c r="F6449" s="2" t="b">
        <v>1</v>
      </c>
      <c r="G6449" s="2" t="b">
        <v>0</v>
      </c>
      <c r="H6449" s="2" t="s">
        <v>37</v>
      </c>
      <c r="I6449" s="2" t="s">
        <v>22</v>
      </c>
      <c r="J6449" s="2" t="s">
        <v>820</v>
      </c>
      <c r="K6449" s="2" t="s">
        <v>495</v>
      </c>
      <c r="L6449" s="13" t="s">
        <v>496</v>
      </c>
      <c r="M6449" s="2" t="s">
        <v>26</v>
      </c>
      <c r="N6449" s="29"/>
      <c r="O6449" s="29"/>
      <c r="P6449" s="5" t="str">
        <f>IFERROR(__xludf.DUMMYFUNCTION("TEXTJOIN("" | "",TRUE,IF(OR(D6449="""",E6449="""",I6449="""",J6449="""",H6449=""""),""ফাঁকা ঘর"",""""),IF(AND(C6449&lt;&gt;"""",D6449&lt;&gt;"""",C6449=D6449),""gloss=figurative"",""""),IF(LEN(D6449)&lt;15,""figurative ছোট"",""""),IF(AND(I6449=""Positive"",REGEXMATCH(H6"&amp;"449,""মূর্খ|ভণ্ড|প্রতার|অলস|লোভ|স্বার্থ|অক্ষম|অযোগ্য|বোকা|কৃপণ|হিংস"")),""valence-target অমিল"",""""),IF(COUNTIF($B:$B,B6449)&gt;1,""ডুপ্লিকেট"",""""))"),"")</f>
        <v/>
      </c>
      <c r="Q6449" s="5" t="str">
        <f t="shared" si="1"/>
        <v>২ পরে</v>
      </c>
    </row>
    <row r="6450">
      <c r="A6450" s="4">
        <v>4362.0</v>
      </c>
      <c r="B6450" s="2" t="s">
        <v>26304</v>
      </c>
      <c r="C6450" s="2" t="s">
        <v>26304</v>
      </c>
      <c r="D6450" s="2" t="s">
        <v>26305</v>
      </c>
      <c r="E6450" s="2" t="s">
        <v>26306</v>
      </c>
      <c r="F6450" s="2" t="b">
        <v>1</v>
      </c>
      <c r="G6450" s="2" t="b">
        <v>0</v>
      </c>
      <c r="H6450" s="2" t="s">
        <v>37</v>
      </c>
      <c r="I6450" s="2" t="s">
        <v>49</v>
      </c>
      <c r="J6450" s="2" t="s">
        <v>2575</v>
      </c>
      <c r="K6450" s="2" t="s">
        <v>495</v>
      </c>
      <c r="L6450" s="13" t="s">
        <v>496</v>
      </c>
      <c r="M6450" s="2" t="s">
        <v>26</v>
      </c>
      <c r="N6450" s="29"/>
      <c r="O6450" s="29"/>
      <c r="P6450" s="5" t="str">
        <f>IFERROR(__xludf.DUMMYFUNCTION("TEXTJOIN("" | "",TRUE,IF(OR(D6450="""",E6450="""",I6450="""",J6450="""",H6450=""""),""ফাঁকা ঘর"",""""),IF(AND(C6450&lt;&gt;"""",D6450&lt;&gt;"""",C6450=D6450),""gloss=figurative"",""""),IF(LEN(D6450)&lt;15,""figurative ছোট"",""""),IF(AND(I6450=""Positive"",REGEXMATCH(H6"&amp;"450,""মূর্খ|ভণ্ড|প্রতার|অলস|লোভ|স্বার্থ|অক্ষম|অযোগ্য|বোকা|কৃপণ|হিংস"")),""valence-target অমিল"",""""),IF(COUNTIF($B:$B,B6450)&gt;1,""ডুপ্লিকেট"",""""))"),"")</f>
        <v/>
      </c>
      <c r="Q6450" s="5" t="str">
        <f t="shared" si="1"/>
        <v>২ পরে</v>
      </c>
    </row>
    <row r="6451">
      <c r="A6451" s="4">
        <v>4363.0</v>
      </c>
      <c r="B6451" s="2" t="s">
        <v>10849</v>
      </c>
      <c r="C6451" s="2" t="s">
        <v>26307</v>
      </c>
      <c r="D6451" s="2" t="s">
        <v>26308</v>
      </c>
      <c r="E6451" s="2" t="s">
        <v>26309</v>
      </c>
      <c r="F6451" s="2" t="b">
        <v>1</v>
      </c>
      <c r="G6451" s="2" t="b">
        <v>0</v>
      </c>
      <c r="H6451" s="2" t="s">
        <v>37</v>
      </c>
      <c r="I6451" s="2" t="s">
        <v>22</v>
      </c>
      <c r="J6451" s="2" t="s">
        <v>1607</v>
      </c>
      <c r="K6451" s="2" t="s">
        <v>495</v>
      </c>
      <c r="L6451" s="13" t="s">
        <v>496</v>
      </c>
      <c r="M6451" s="2" t="s">
        <v>26</v>
      </c>
      <c r="N6451" s="29"/>
      <c r="O6451" s="29"/>
      <c r="P6451" s="5" t="str">
        <f>IFERROR(__xludf.DUMMYFUNCTION("TEXTJOIN("" | "",TRUE,IF(OR(D6451="""",E6451="""",I6451="""",J6451="""",H6451=""""),""ফাঁকা ঘর"",""""),IF(AND(C6451&lt;&gt;"""",D6451&lt;&gt;"""",C6451=D6451),""gloss=figurative"",""""),IF(LEN(D6451)&lt;15,""figurative ছোট"",""""),IF(AND(I6451=""Positive"",REGEXMATCH(H6"&amp;"451,""মূর্খ|ভণ্ড|প্রতার|অলস|লোভ|স্বার্থ|অক্ষম|অযোগ্য|বোকা|কৃপণ|হিংস"")),""valence-target অমিল"",""""),IF(COUNTIF($B:$B,B6451)&gt;1,""ডুপ্লিকেট"",""""))"),"")</f>
        <v/>
      </c>
      <c r="Q6451" s="5" t="str">
        <f t="shared" si="1"/>
        <v>২ পরে</v>
      </c>
    </row>
    <row r="6452">
      <c r="A6452" s="4">
        <v>4364.0</v>
      </c>
      <c r="B6452" s="2" t="s">
        <v>26310</v>
      </c>
      <c r="C6452" s="2" t="s">
        <v>26310</v>
      </c>
      <c r="D6452" s="2" t="s">
        <v>26311</v>
      </c>
      <c r="E6452" s="2" t="s">
        <v>26312</v>
      </c>
      <c r="F6452" s="2" t="b">
        <v>1</v>
      </c>
      <c r="G6452" s="2" t="b">
        <v>0</v>
      </c>
      <c r="H6452" s="2" t="s">
        <v>37</v>
      </c>
      <c r="I6452" s="2" t="s">
        <v>32</v>
      </c>
      <c r="J6452" s="2" t="s">
        <v>4804</v>
      </c>
      <c r="K6452" s="2" t="s">
        <v>495</v>
      </c>
      <c r="L6452" s="13" t="s">
        <v>496</v>
      </c>
      <c r="M6452" s="2" t="s">
        <v>26</v>
      </c>
      <c r="N6452" s="29"/>
      <c r="O6452" s="29"/>
      <c r="P6452" s="5" t="str">
        <f>IFERROR(__xludf.DUMMYFUNCTION("TEXTJOIN("" | "",TRUE,IF(OR(D6452="""",E6452="""",I6452="""",J6452="""",H6452=""""),""ফাঁকা ঘর"",""""),IF(AND(C6452&lt;&gt;"""",D6452&lt;&gt;"""",C6452=D6452),""gloss=figurative"",""""),IF(LEN(D6452)&lt;15,""figurative ছোট"",""""),IF(AND(I6452=""Positive"",REGEXMATCH(H6"&amp;"452,""মূর্খ|ভণ্ড|প্রতার|অলস|লোভ|স্বার্থ|অক্ষম|অযোগ্য|বোকা|কৃপণ|হিংস"")),""valence-target অমিল"",""""),IF(COUNTIF($B:$B,B6452)&gt;1,""ডুপ্লিকেট"",""""))"),"")</f>
        <v/>
      </c>
      <c r="Q6452" s="5" t="str">
        <f t="shared" si="1"/>
        <v>২ পরে</v>
      </c>
    </row>
    <row r="6453">
      <c r="A6453" s="4">
        <v>4365.0</v>
      </c>
      <c r="B6453" s="2" t="s">
        <v>26313</v>
      </c>
      <c r="C6453" s="2" t="s">
        <v>26314</v>
      </c>
      <c r="D6453" s="2" t="s">
        <v>26315</v>
      </c>
      <c r="E6453" s="2" t="s">
        <v>26316</v>
      </c>
      <c r="F6453" s="2" t="b">
        <v>1</v>
      </c>
      <c r="G6453" s="2" t="b">
        <v>0</v>
      </c>
      <c r="H6453" s="2" t="s">
        <v>37</v>
      </c>
      <c r="I6453" s="2" t="s">
        <v>22</v>
      </c>
      <c r="J6453" s="2" t="s">
        <v>1074</v>
      </c>
      <c r="K6453" s="2" t="s">
        <v>495</v>
      </c>
      <c r="L6453" s="13" t="s">
        <v>496</v>
      </c>
      <c r="M6453" s="2" t="s">
        <v>26</v>
      </c>
      <c r="N6453" s="29"/>
      <c r="O6453" s="29"/>
      <c r="P6453" s="5" t="str">
        <f>IFERROR(__xludf.DUMMYFUNCTION("TEXTJOIN("" | "",TRUE,IF(OR(D6453="""",E6453="""",I6453="""",J6453="""",H6453=""""),""ফাঁকা ঘর"",""""),IF(AND(C6453&lt;&gt;"""",D6453&lt;&gt;"""",C6453=D6453),""gloss=figurative"",""""),IF(LEN(D6453)&lt;15,""figurative ছোট"",""""),IF(AND(I6453=""Positive"",REGEXMATCH(H6"&amp;"453,""মূর্খ|ভণ্ড|প্রতার|অলস|লোভ|স্বার্থ|অক্ষম|অযোগ্য|বোকা|কৃপণ|হিংস"")),""valence-target অমিল"",""""),IF(COUNTIF($B:$B,B6453)&gt;1,""ডুপ্লিকেট"",""""))"),"")</f>
        <v/>
      </c>
      <c r="Q6453" s="5" t="str">
        <f t="shared" si="1"/>
        <v>২ পরে</v>
      </c>
    </row>
    <row r="6454">
      <c r="A6454" s="4">
        <v>4366.0</v>
      </c>
      <c r="B6454" s="2" t="s">
        <v>26317</v>
      </c>
      <c r="C6454" s="2" t="s">
        <v>26318</v>
      </c>
      <c r="D6454" s="2" t="s">
        <v>26319</v>
      </c>
      <c r="E6454" s="2" t="s">
        <v>26320</v>
      </c>
      <c r="F6454" s="2" t="b">
        <v>1</v>
      </c>
      <c r="G6454" s="2" t="b">
        <v>0</v>
      </c>
      <c r="H6454" s="2" t="s">
        <v>37</v>
      </c>
      <c r="I6454" s="2" t="s">
        <v>22</v>
      </c>
      <c r="J6454" s="2" t="s">
        <v>2937</v>
      </c>
      <c r="K6454" s="2" t="s">
        <v>495</v>
      </c>
      <c r="L6454" s="13" t="s">
        <v>496</v>
      </c>
      <c r="M6454" s="2" t="s">
        <v>26</v>
      </c>
      <c r="N6454" s="29"/>
      <c r="O6454" s="29"/>
      <c r="P6454" s="5" t="str">
        <f>IFERROR(__xludf.DUMMYFUNCTION("TEXTJOIN("" | "",TRUE,IF(OR(D6454="""",E6454="""",I6454="""",J6454="""",H6454=""""),""ফাঁকা ঘর"",""""),IF(AND(C6454&lt;&gt;"""",D6454&lt;&gt;"""",C6454=D6454),""gloss=figurative"",""""),IF(LEN(D6454)&lt;15,""figurative ছোট"",""""),IF(AND(I6454=""Positive"",REGEXMATCH(H6"&amp;"454,""মূর্খ|ভণ্ড|প্রতার|অলস|লোভ|স্বার্থ|অক্ষম|অযোগ্য|বোকা|কৃপণ|হিংস"")),""valence-target অমিল"",""""),IF(COUNTIF($B:$B,B6454)&gt;1,""ডুপ্লিকেট"",""""))"),"")</f>
        <v/>
      </c>
      <c r="Q6454" s="5" t="str">
        <f t="shared" si="1"/>
        <v>২ পরে</v>
      </c>
    </row>
    <row r="6455">
      <c r="A6455" s="4">
        <v>4367.0</v>
      </c>
      <c r="B6455" s="2" t="s">
        <v>26321</v>
      </c>
      <c r="C6455" s="2" t="s">
        <v>26322</v>
      </c>
      <c r="D6455" s="2" t="s">
        <v>26323</v>
      </c>
      <c r="E6455" s="2" t="s">
        <v>26324</v>
      </c>
      <c r="F6455" s="2" t="b">
        <v>1</v>
      </c>
      <c r="G6455" s="2" t="b">
        <v>0</v>
      </c>
      <c r="H6455" s="2" t="s">
        <v>37</v>
      </c>
      <c r="I6455" s="2" t="s">
        <v>22</v>
      </c>
      <c r="J6455" s="2" t="s">
        <v>601</v>
      </c>
      <c r="K6455" s="2" t="s">
        <v>495</v>
      </c>
      <c r="L6455" s="13" t="s">
        <v>496</v>
      </c>
      <c r="M6455" s="2" t="s">
        <v>26</v>
      </c>
      <c r="N6455" s="29"/>
      <c r="O6455" s="29"/>
      <c r="P6455" s="5" t="str">
        <f>IFERROR(__xludf.DUMMYFUNCTION("TEXTJOIN("" | "",TRUE,IF(OR(D6455="""",E6455="""",I6455="""",J6455="""",H6455=""""),""ফাঁকা ঘর"",""""),IF(AND(C6455&lt;&gt;"""",D6455&lt;&gt;"""",C6455=D6455),""gloss=figurative"",""""),IF(LEN(D6455)&lt;15,""figurative ছোট"",""""),IF(AND(I6455=""Positive"",REGEXMATCH(H6"&amp;"455,""মূর্খ|ভণ্ড|প্রতার|অলস|লোভ|স্বার্থ|অক্ষম|অযোগ্য|বোকা|কৃপণ|হিংস"")),""valence-target অমিল"",""""),IF(COUNTIF($B:$B,B6455)&gt;1,""ডুপ্লিকেট"",""""))"),"")</f>
        <v/>
      </c>
      <c r="Q6455" s="5" t="str">
        <f t="shared" si="1"/>
        <v>২ পরে</v>
      </c>
    </row>
    <row r="6456">
      <c r="A6456" s="4">
        <v>4368.0</v>
      </c>
      <c r="B6456" s="2" t="s">
        <v>26325</v>
      </c>
      <c r="C6456" s="2" t="s">
        <v>26326</v>
      </c>
      <c r="D6456" s="2" t="s">
        <v>26327</v>
      </c>
      <c r="E6456" s="2" t="s">
        <v>26328</v>
      </c>
      <c r="F6456" s="2" t="b">
        <v>1</v>
      </c>
      <c r="G6456" s="2" t="b">
        <v>0</v>
      </c>
      <c r="H6456" s="2" t="s">
        <v>37</v>
      </c>
      <c r="I6456" s="2" t="s">
        <v>32</v>
      </c>
      <c r="J6456" s="2" t="s">
        <v>3032</v>
      </c>
      <c r="K6456" s="2" t="s">
        <v>495</v>
      </c>
      <c r="L6456" s="13" t="s">
        <v>496</v>
      </c>
      <c r="M6456" s="2" t="s">
        <v>26</v>
      </c>
      <c r="N6456" s="29"/>
      <c r="O6456" s="29"/>
      <c r="P6456" s="5" t="str">
        <f>IFERROR(__xludf.DUMMYFUNCTION("TEXTJOIN("" | "",TRUE,IF(OR(D6456="""",E6456="""",I6456="""",J6456="""",H6456=""""),""ফাঁকা ঘর"",""""),IF(AND(C6456&lt;&gt;"""",D6456&lt;&gt;"""",C6456=D6456),""gloss=figurative"",""""),IF(LEN(D6456)&lt;15,""figurative ছোট"",""""),IF(AND(I6456=""Positive"",REGEXMATCH(H6"&amp;"456,""মূর্খ|ভণ্ড|প্রতার|অলস|লোভ|স্বার্থ|অক্ষম|অযোগ্য|বোকা|কৃপণ|হিংস"")),""valence-target অমিল"",""""),IF(COUNTIF($B:$B,B6456)&gt;1,""ডুপ্লিকেট"",""""))"),"")</f>
        <v/>
      </c>
      <c r="Q6456" s="5" t="str">
        <f t="shared" si="1"/>
        <v>২ পরে</v>
      </c>
    </row>
    <row r="6457">
      <c r="A6457" s="4">
        <v>4369.0</v>
      </c>
      <c r="B6457" s="2" t="s">
        <v>26329</v>
      </c>
      <c r="C6457" s="2" t="s">
        <v>26330</v>
      </c>
      <c r="D6457" s="2" t="s">
        <v>26331</v>
      </c>
      <c r="E6457" s="2" t="s">
        <v>26332</v>
      </c>
      <c r="F6457" s="2" t="b">
        <v>1</v>
      </c>
      <c r="G6457" s="2" t="b">
        <v>0</v>
      </c>
      <c r="H6457" s="2" t="s">
        <v>37</v>
      </c>
      <c r="I6457" s="2" t="s">
        <v>32</v>
      </c>
      <c r="J6457" s="2" t="s">
        <v>26333</v>
      </c>
      <c r="K6457" s="2" t="s">
        <v>495</v>
      </c>
      <c r="L6457" s="13" t="s">
        <v>496</v>
      </c>
      <c r="M6457" s="2" t="s">
        <v>26</v>
      </c>
      <c r="N6457" s="29"/>
      <c r="O6457" s="29"/>
      <c r="P6457" s="5" t="str">
        <f>IFERROR(__xludf.DUMMYFUNCTION("TEXTJOIN("" | "",TRUE,IF(OR(D6457="""",E6457="""",I6457="""",J6457="""",H6457=""""),""ফাঁকা ঘর"",""""),IF(AND(C6457&lt;&gt;"""",D6457&lt;&gt;"""",C6457=D6457),""gloss=figurative"",""""),IF(LEN(D6457)&lt;15,""figurative ছোট"",""""),IF(AND(I6457=""Positive"",REGEXMATCH(H6"&amp;"457,""মূর্খ|ভণ্ড|প্রতার|অলস|লোভ|স্বার্থ|অক্ষম|অযোগ্য|বোকা|কৃপণ|হিংস"")),""valence-target অমিল"",""""),IF(COUNTIF($B:$B,B6457)&gt;1,""ডুপ্লিকেট"",""""))"),"")</f>
        <v/>
      </c>
      <c r="Q6457" s="5" t="str">
        <f t="shared" si="1"/>
        <v>২ পরে</v>
      </c>
    </row>
    <row r="6458">
      <c r="A6458" s="4">
        <v>4370.0</v>
      </c>
      <c r="B6458" s="2" t="s">
        <v>26334</v>
      </c>
      <c r="C6458" s="2" t="s">
        <v>26335</v>
      </c>
      <c r="D6458" s="2" t="s">
        <v>26336</v>
      </c>
      <c r="E6458" s="2" t="s">
        <v>26337</v>
      </c>
      <c r="F6458" s="2" t="b">
        <v>1</v>
      </c>
      <c r="G6458" s="2" t="b">
        <v>0</v>
      </c>
      <c r="H6458" s="2" t="s">
        <v>37</v>
      </c>
      <c r="I6458" s="2" t="s">
        <v>32</v>
      </c>
      <c r="J6458" s="2" t="s">
        <v>739</v>
      </c>
      <c r="K6458" s="2" t="s">
        <v>495</v>
      </c>
      <c r="L6458" s="13" t="s">
        <v>496</v>
      </c>
      <c r="M6458" s="2" t="s">
        <v>26</v>
      </c>
      <c r="N6458" s="29"/>
      <c r="O6458" s="29"/>
      <c r="P6458" s="5" t="str">
        <f>IFERROR(__xludf.DUMMYFUNCTION("TEXTJOIN("" | "",TRUE,IF(OR(D6458="""",E6458="""",I6458="""",J6458="""",H6458=""""),""ফাঁকা ঘর"",""""),IF(AND(C6458&lt;&gt;"""",D6458&lt;&gt;"""",C6458=D6458),""gloss=figurative"",""""),IF(LEN(D6458)&lt;15,""figurative ছোট"",""""),IF(AND(I6458=""Positive"",REGEXMATCH(H6"&amp;"458,""মূর্খ|ভণ্ড|প্রতার|অলস|লোভ|স্বার্থ|অক্ষম|অযোগ্য|বোকা|কৃপণ|হিংস"")),""valence-target অমিল"",""""),IF(COUNTIF($B:$B,B6458)&gt;1,""ডুপ্লিকেট"",""""))"),"")</f>
        <v/>
      </c>
      <c r="Q6458" s="5" t="str">
        <f t="shared" si="1"/>
        <v>২ পরে</v>
      </c>
    </row>
    <row r="6459">
      <c r="A6459" s="4">
        <v>4371.0</v>
      </c>
      <c r="B6459" s="2" t="s">
        <v>26338</v>
      </c>
      <c r="C6459" s="2" t="s">
        <v>26339</v>
      </c>
      <c r="D6459" s="2" t="s">
        <v>26340</v>
      </c>
      <c r="E6459" s="2" t="s">
        <v>26341</v>
      </c>
      <c r="F6459" s="2" t="b">
        <v>1</v>
      </c>
      <c r="G6459" s="2" t="b">
        <v>0</v>
      </c>
      <c r="H6459" s="2" t="s">
        <v>37</v>
      </c>
      <c r="I6459" s="2" t="s">
        <v>49</v>
      </c>
      <c r="J6459" s="2" t="s">
        <v>1259</v>
      </c>
      <c r="K6459" s="2" t="s">
        <v>495</v>
      </c>
      <c r="L6459" s="13" t="s">
        <v>496</v>
      </c>
      <c r="M6459" s="2" t="s">
        <v>26</v>
      </c>
      <c r="N6459" s="29"/>
      <c r="O6459" s="29"/>
      <c r="P6459" s="5" t="str">
        <f>IFERROR(__xludf.DUMMYFUNCTION("TEXTJOIN("" | "",TRUE,IF(OR(D6459="""",E6459="""",I6459="""",J6459="""",H6459=""""),""ফাঁকা ঘর"",""""),IF(AND(C6459&lt;&gt;"""",D6459&lt;&gt;"""",C6459=D6459),""gloss=figurative"",""""),IF(LEN(D6459)&lt;15,""figurative ছোট"",""""),IF(AND(I6459=""Positive"",REGEXMATCH(H6"&amp;"459,""মূর্খ|ভণ্ড|প্রতার|অলস|লোভ|স্বার্থ|অক্ষম|অযোগ্য|বোকা|কৃপণ|হিংস"")),""valence-target অমিল"",""""),IF(COUNTIF($B:$B,B6459)&gt;1,""ডুপ্লিকেট"",""""))"),"")</f>
        <v/>
      </c>
      <c r="Q6459" s="5" t="str">
        <f t="shared" si="1"/>
        <v>২ পরে</v>
      </c>
    </row>
    <row r="6460">
      <c r="A6460" s="4">
        <v>4372.0</v>
      </c>
      <c r="B6460" s="2" t="s">
        <v>26342</v>
      </c>
      <c r="C6460" s="2" t="s">
        <v>26343</v>
      </c>
      <c r="D6460" s="2" t="s">
        <v>26344</v>
      </c>
      <c r="E6460" s="2" t="s">
        <v>26345</v>
      </c>
      <c r="F6460" s="2" t="b">
        <v>1</v>
      </c>
      <c r="G6460" s="2" t="b">
        <v>0</v>
      </c>
      <c r="H6460" s="2" t="s">
        <v>37</v>
      </c>
      <c r="I6460" s="2" t="s">
        <v>49</v>
      </c>
      <c r="J6460" s="2" t="s">
        <v>225</v>
      </c>
      <c r="K6460" s="2" t="s">
        <v>495</v>
      </c>
      <c r="L6460" s="13" t="s">
        <v>496</v>
      </c>
      <c r="M6460" s="2" t="s">
        <v>26</v>
      </c>
      <c r="N6460" s="29"/>
      <c r="O6460" s="29"/>
      <c r="P6460" s="5" t="str">
        <f>IFERROR(__xludf.DUMMYFUNCTION("TEXTJOIN("" | "",TRUE,IF(OR(D6460="""",E6460="""",I6460="""",J6460="""",H6460=""""),""ফাঁকা ঘর"",""""),IF(AND(C6460&lt;&gt;"""",D6460&lt;&gt;"""",C6460=D6460),""gloss=figurative"",""""),IF(LEN(D6460)&lt;15,""figurative ছোট"",""""),IF(AND(I6460=""Positive"",REGEXMATCH(H6"&amp;"460,""মূর্খ|ভণ্ড|প্রতার|অলস|লোভ|স্বার্থ|অক্ষম|অযোগ্য|বোকা|কৃপণ|হিংস"")),""valence-target অমিল"",""""),IF(COUNTIF($B:$B,B6460)&gt;1,""ডুপ্লিকেট"",""""))"),"")</f>
        <v/>
      </c>
      <c r="Q6460" s="5" t="str">
        <f t="shared" si="1"/>
        <v>২ পরে</v>
      </c>
    </row>
    <row r="6461">
      <c r="A6461" s="4">
        <v>4373.0</v>
      </c>
      <c r="B6461" s="2" t="s">
        <v>26346</v>
      </c>
      <c r="C6461" s="2" t="s">
        <v>26347</v>
      </c>
      <c r="D6461" s="2" t="s">
        <v>20612</v>
      </c>
      <c r="E6461" s="2" t="s">
        <v>26348</v>
      </c>
      <c r="F6461" s="2" t="b">
        <v>1</v>
      </c>
      <c r="G6461" s="2" t="b">
        <v>0</v>
      </c>
      <c r="H6461" s="2" t="s">
        <v>37</v>
      </c>
      <c r="I6461" s="2" t="s">
        <v>32</v>
      </c>
      <c r="J6461" s="2" t="s">
        <v>1249</v>
      </c>
      <c r="K6461" s="2" t="s">
        <v>495</v>
      </c>
      <c r="L6461" s="13" t="s">
        <v>496</v>
      </c>
      <c r="M6461" s="2" t="s">
        <v>26</v>
      </c>
      <c r="N6461" s="29"/>
      <c r="O6461" s="29"/>
      <c r="P6461" s="5" t="str">
        <f>IFERROR(__xludf.DUMMYFUNCTION("TEXTJOIN("" | "",TRUE,IF(OR(D6461="""",E6461="""",I6461="""",J6461="""",H6461=""""),""ফাঁকা ঘর"",""""),IF(AND(C6461&lt;&gt;"""",D6461&lt;&gt;"""",C6461=D6461),""gloss=figurative"",""""),IF(LEN(D6461)&lt;15,""figurative ছোট"",""""),IF(AND(I6461=""Positive"",REGEXMATCH(H6"&amp;"461,""মূর্খ|ভণ্ড|প্রতার|অলস|লোভ|স্বার্থ|অক্ষম|অযোগ্য|বোকা|কৃপণ|হিংস"")),""valence-target অমিল"",""""),IF(COUNTIF($B:$B,B6461)&gt;1,""ডুপ্লিকেট"",""""))"),"")</f>
        <v/>
      </c>
      <c r="Q6461" s="5" t="str">
        <f t="shared" si="1"/>
        <v>২ পরে</v>
      </c>
    </row>
    <row r="6462">
      <c r="A6462" s="4">
        <v>4374.0</v>
      </c>
      <c r="B6462" s="2" t="s">
        <v>26349</v>
      </c>
      <c r="C6462" s="2" t="s">
        <v>26350</v>
      </c>
      <c r="D6462" s="2" t="s">
        <v>26351</v>
      </c>
      <c r="E6462" s="2" t="s">
        <v>26352</v>
      </c>
      <c r="F6462" s="2" t="b">
        <v>1</v>
      </c>
      <c r="G6462" s="2" t="b">
        <v>0</v>
      </c>
      <c r="H6462" s="2" t="s">
        <v>37</v>
      </c>
      <c r="I6462" s="2" t="s">
        <v>49</v>
      </c>
      <c r="J6462" s="2" t="s">
        <v>300</v>
      </c>
      <c r="K6462" s="2" t="s">
        <v>495</v>
      </c>
      <c r="L6462" s="13" t="s">
        <v>496</v>
      </c>
      <c r="M6462" s="2" t="s">
        <v>26</v>
      </c>
      <c r="N6462" s="29"/>
      <c r="O6462" s="29"/>
      <c r="P6462" s="5" t="str">
        <f>IFERROR(__xludf.DUMMYFUNCTION("TEXTJOIN("" | "",TRUE,IF(OR(D6462="""",E6462="""",I6462="""",J6462="""",H6462=""""),""ফাঁকা ঘর"",""""),IF(AND(C6462&lt;&gt;"""",D6462&lt;&gt;"""",C6462=D6462),""gloss=figurative"",""""),IF(LEN(D6462)&lt;15,""figurative ছোট"",""""),IF(AND(I6462=""Positive"",REGEXMATCH(H6"&amp;"462,""মূর্খ|ভণ্ড|প্রতার|অলস|লোভ|স্বার্থ|অক্ষম|অযোগ্য|বোকা|কৃপণ|হিংস"")),""valence-target অমিল"",""""),IF(COUNTIF($B:$B,B6462)&gt;1,""ডুপ্লিকেট"",""""))"),"")</f>
        <v/>
      </c>
      <c r="Q6462" s="5" t="str">
        <f t="shared" si="1"/>
        <v>২ পরে</v>
      </c>
    </row>
    <row r="6463">
      <c r="A6463" s="4">
        <v>4375.0</v>
      </c>
      <c r="B6463" s="2" t="s">
        <v>26353</v>
      </c>
      <c r="C6463" s="2" t="s">
        <v>26354</v>
      </c>
      <c r="D6463" s="2" t="s">
        <v>26355</v>
      </c>
      <c r="E6463" s="2" t="s">
        <v>26356</v>
      </c>
      <c r="F6463" s="2" t="b">
        <v>1</v>
      </c>
      <c r="G6463" s="2" t="b">
        <v>0</v>
      </c>
      <c r="H6463" s="2" t="s">
        <v>37</v>
      </c>
      <c r="I6463" s="2" t="s">
        <v>32</v>
      </c>
      <c r="J6463" s="2" t="s">
        <v>565</v>
      </c>
      <c r="K6463" s="2" t="s">
        <v>495</v>
      </c>
      <c r="L6463" s="13" t="s">
        <v>496</v>
      </c>
      <c r="M6463" s="2" t="s">
        <v>26</v>
      </c>
      <c r="N6463" s="29"/>
      <c r="O6463" s="29"/>
      <c r="P6463" s="5" t="str">
        <f>IFERROR(__xludf.DUMMYFUNCTION("TEXTJOIN("" | "",TRUE,IF(OR(D6463="""",E6463="""",I6463="""",J6463="""",H6463=""""),""ফাঁকা ঘর"",""""),IF(AND(C6463&lt;&gt;"""",D6463&lt;&gt;"""",C6463=D6463),""gloss=figurative"",""""),IF(LEN(D6463)&lt;15,""figurative ছোট"",""""),IF(AND(I6463=""Positive"",REGEXMATCH(H6"&amp;"463,""মূর্খ|ভণ্ড|প্রতার|অলস|লোভ|স্বার্থ|অক্ষম|অযোগ্য|বোকা|কৃপণ|হিংস"")),""valence-target অমিল"",""""),IF(COUNTIF($B:$B,B6463)&gt;1,""ডুপ্লিকেট"",""""))"),"")</f>
        <v/>
      </c>
      <c r="Q6463" s="5" t="str">
        <f t="shared" si="1"/>
        <v>২ পরে</v>
      </c>
    </row>
    <row r="6464">
      <c r="A6464" s="4">
        <v>4376.0</v>
      </c>
      <c r="B6464" s="2" t="s">
        <v>26357</v>
      </c>
      <c r="C6464" s="2" t="s">
        <v>26358</v>
      </c>
      <c r="D6464" s="2" t="s">
        <v>26359</v>
      </c>
      <c r="E6464" s="2" t="s">
        <v>26360</v>
      </c>
      <c r="F6464" s="2" t="b">
        <v>1</v>
      </c>
      <c r="G6464" s="2" t="b">
        <v>0</v>
      </c>
      <c r="H6464" s="2" t="s">
        <v>37</v>
      </c>
      <c r="I6464" s="2" t="s">
        <v>49</v>
      </c>
      <c r="J6464" s="2" t="s">
        <v>708</v>
      </c>
      <c r="K6464" s="2" t="s">
        <v>495</v>
      </c>
      <c r="L6464" s="13" t="s">
        <v>496</v>
      </c>
      <c r="M6464" s="2" t="s">
        <v>26</v>
      </c>
      <c r="N6464" s="29"/>
      <c r="O6464" s="29"/>
      <c r="P6464" s="5" t="str">
        <f>IFERROR(__xludf.DUMMYFUNCTION("TEXTJOIN("" | "",TRUE,IF(OR(D6464="""",E6464="""",I6464="""",J6464="""",H6464=""""),""ফাঁকা ঘর"",""""),IF(AND(C6464&lt;&gt;"""",D6464&lt;&gt;"""",C6464=D6464),""gloss=figurative"",""""),IF(LEN(D6464)&lt;15,""figurative ছোট"",""""),IF(AND(I6464=""Positive"",REGEXMATCH(H6"&amp;"464,""মূর্খ|ভণ্ড|প্রতার|অলস|লোভ|স্বার্থ|অক্ষম|অযোগ্য|বোকা|কৃপণ|হিংস"")),""valence-target অমিল"",""""),IF(COUNTIF($B:$B,B6464)&gt;1,""ডুপ্লিকেট"",""""))"),"")</f>
        <v/>
      </c>
      <c r="Q6464" s="5" t="str">
        <f t="shared" si="1"/>
        <v>২ পরে</v>
      </c>
    </row>
    <row r="6465">
      <c r="A6465" s="4">
        <v>4377.0</v>
      </c>
      <c r="B6465" s="2" t="s">
        <v>26361</v>
      </c>
      <c r="C6465" s="2" t="s">
        <v>26362</v>
      </c>
      <c r="D6465" s="2" t="s">
        <v>26363</v>
      </c>
      <c r="E6465" s="2" t="s">
        <v>26364</v>
      </c>
      <c r="F6465" s="2" t="b">
        <v>1</v>
      </c>
      <c r="G6465" s="2" t="b">
        <v>0</v>
      </c>
      <c r="H6465" s="2" t="s">
        <v>37</v>
      </c>
      <c r="I6465" s="2" t="s">
        <v>49</v>
      </c>
      <c r="J6465" s="2" t="s">
        <v>4670</v>
      </c>
      <c r="K6465" s="2" t="s">
        <v>495</v>
      </c>
      <c r="L6465" s="13" t="s">
        <v>496</v>
      </c>
      <c r="M6465" s="2" t="s">
        <v>26</v>
      </c>
      <c r="N6465" s="29"/>
      <c r="O6465" s="29"/>
      <c r="P6465" s="5" t="str">
        <f>IFERROR(__xludf.DUMMYFUNCTION("TEXTJOIN("" | "",TRUE,IF(OR(D6465="""",E6465="""",I6465="""",J6465="""",H6465=""""),""ফাঁকা ঘর"",""""),IF(AND(C6465&lt;&gt;"""",D6465&lt;&gt;"""",C6465=D6465),""gloss=figurative"",""""),IF(LEN(D6465)&lt;15,""figurative ছোট"",""""),IF(AND(I6465=""Positive"",REGEXMATCH(H6"&amp;"465,""মূর্খ|ভণ্ড|প্রতার|অলস|লোভ|স্বার্থ|অক্ষম|অযোগ্য|বোকা|কৃপণ|হিংস"")),""valence-target অমিল"",""""),IF(COUNTIF($B:$B,B6465)&gt;1,""ডুপ্লিকেট"",""""))"),"")</f>
        <v/>
      </c>
      <c r="Q6465" s="5" t="str">
        <f t="shared" si="1"/>
        <v>২ পরে</v>
      </c>
    </row>
    <row r="6466">
      <c r="A6466" s="4">
        <v>4378.0</v>
      </c>
      <c r="B6466" s="2" t="s">
        <v>26365</v>
      </c>
      <c r="C6466" s="2" t="s">
        <v>26366</v>
      </c>
      <c r="D6466" s="2" t="s">
        <v>26367</v>
      </c>
      <c r="E6466" s="2" t="s">
        <v>26368</v>
      </c>
      <c r="F6466" s="2" t="b">
        <v>1</v>
      </c>
      <c r="G6466" s="2" t="b">
        <v>0</v>
      </c>
      <c r="H6466" s="2" t="s">
        <v>37</v>
      </c>
      <c r="I6466" s="2" t="s">
        <v>32</v>
      </c>
      <c r="J6466" s="2" t="s">
        <v>3506</v>
      </c>
      <c r="K6466" s="2" t="s">
        <v>495</v>
      </c>
      <c r="L6466" s="13" t="s">
        <v>496</v>
      </c>
      <c r="M6466" s="2" t="s">
        <v>26</v>
      </c>
      <c r="N6466" s="29"/>
      <c r="O6466" s="29"/>
      <c r="P6466" s="5" t="str">
        <f>IFERROR(__xludf.DUMMYFUNCTION("TEXTJOIN("" | "",TRUE,IF(OR(D6466="""",E6466="""",I6466="""",J6466="""",H6466=""""),""ফাঁকা ঘর"",""""),IF(AND(C6466&lt;&gt;"""",D6466&lt;&gt;"""",C6466=D6466),""gloss=figurative"",""""),IF(LEN(D6466)&lt;15,""figurative ছোট"",""""),IF(AND(I6466=""Positive"",REGEXMATCH(H6"&amp;"466,""মূর্খ|ভণ্ড|প্রতার|অলস|লোভ|স্বার্থ|অক্ষম|অযোগ্য|বোকা|কৃপণ|হিংস"")),""valence-target অমিল"",""""),IF(COUNTIF($B:$B,B6466)&gt;1,""ডুপ্লিকেট"",""""))"),"")</f>
        <v/>
      </c>
      <c r="Q6466" s="5" t="str">
        <f t="shared" si="1"/>
        <v>২ পরে</v>
      </c>
    </row>
    <row r="6467">
      <c r="A6467" s="4">
        <v>4379.0</v>
      </c>
      <c r="B6467" s="2" t="s">
        <v>26369</v>
      </c>
      <c r="C6467" s="2" t="s">
        <v>26370</v>
      </c>
      <c r="D6467" s="2" t="s">
        <v>26371</v>
      </c>
      <c r="E6467" s="2" t="s">
        <v>26372</v>
      </c>
      <c r="F6467" s="2" t="b">
        <v>1</v>
      </c>
      <c r="G6467" s="2" t="b">
        <v>0</v>
      </c>
      <c r="H6467" s="2" t="s">
        <v>37</v>
      </c>
      <c r="I6467" s="2" t="s">
        <v>32</v>
      </c>
      <c r="J6467" s="2" t="s">
        <v>739</v>
      </c>
      <c r="K6467" s="2" t="s">
        <v>495</v>
      </c>
      <c r="L6467" s="13" t="s">
        <v>496</v>
      </c>
      <c r="M6467" s="2" t="s">
        <v>26</v>
      </c>
      <c r="N6467" s="29"/>
      <c r="O6467" s="29"/>
      <c r="P6467" s="5" t="str">
        <f>IFERROR(__xludf.DUMMYFUNCTION("TEXTJOIN("" | "",TRUE,IF(OR(D6467="""",E6467="""",I6467="""",J6467="""",H6467=""""),""ফাঁকা ঘর"",""""),IF(AND(C6467&lt;&gt;"""",D6467&lt;&gt;"""",C6467=D6467),""gloss=figurative"",""""),IF(LEN(D6467)&lt;15,""figurative ছোট"",""""),IF(AND(I6467=""Positive"",REGEXMATCH(H6"&amp;"467,""মূর্খ|ভণ্ড|প্রতার|অলস|লোভ|স্বার্থ|অক্ষম|অযোগ্য|বোকা|কৃপণ|হিংস"")),""valence-target অমিল"",""""),IF(COUNTIF($B:$B,B6467)&gt;1,""ডুপ্লিকেট"",""""))"),"")</f>
        <v/>
      </c>
      <c r="Q6467" s="5" t="str">
        <f t="shared" si="1"/>
        <v>২ পরে</v>
      </c>
    </row>
    <row r="6468">
      <c r="A6468" s="4">
        <v>4380.0</v>
      </c>
      <c r="B6468" s="2" t="s">
        <v>26373</v>
      </c>
      <c r="C6468" s="2" t="s">
        <v>26374</v>
      </c>
      <c r="D6468" s="2" t="s">
        <v>24490</v>
      </c>
      <c r="E6468" s="2" t="s">
        <v>26375</v>
      </c>
      <c r="F6468" s="2" t="b">
        <v>1</v>
      </c>
      <c r="G6468" s="2" t="b">
        <v>0</v>
      </c>
      <c r="H6468" s="2" t="s">
        <v>37</v>
      </c>
      <c r="I6468" s="2" t="s">
        <v>49</v>
      </c>
      <c r="J6468" s="2" t="s">
        <v>3364</v>
      </c>
      <c r="K6468" s="2" t="s">
        <v>495</v>
      </c>
      <c r="L6468" s="13" t="s">
        <v>496</v>
      </c>
      <c r="M6468" s="2" t="s">
        <v>26</v>
      </c>
      <c r="N6468" s="29"/>
      <c r="O6468" s="29"/>
      <c r="P6468" s="5" t="str">
        <f>IFERROR(__xludf.DUMMYFUNCTION("TEXTJOIN("" | "",TRUE,IF(OR(D6468="""",E6468="""",I6468="""",J6468="""",H6468=""""),""ফাঁকা ঘর"",""""),IF(AND(C6468&lt;&gt;"""",D6468&lt;&gt;"""",C6468=D6468),""gloss=figurative"",""""),IF(LEN(D6468)&lt;15,""figurative ছোট"",""""),IF(AND(I6468=""Positive"",REGEXMATCH(H6"&amp;"468,""মূর্খ|ভণ্ড|প্রতার|অলস|লোভ|স্বার্থ|অক্ষম|অযোগ্য|বোকা|কৃপণ|হিংস"")),""valence-target অমিল"",""""),IF(COUNTIF($B:$B,B6468)&gt;1,""ডুপ্লিকেট"",""""))"),"")</f>
        <v/>
      </c>
      <c r="Q6468" s="5" t="str">
        <f t="shared" si="1"/>
        <v>২ পরে</v>
      </c>
    </row>
    <row r="6469">
      <c r="A6469" s="4">
        <v>4381.0</v>
      </c>
      <c r="B6469" s="2" t="s">
        <v>26376</v>
      </c>
      <c r="C6469" s="2" t="s">
        <v>26377</v>
      </c>
      <c r="D6469" s="2" t="s">
        <v>26378</v>
      </c>
      <c r="E6469" s="2" t="s">
        <v>26379</v>
      </c>
      <c r="F6469" s="2" t="b">
        <v>1</v>
      </c>
      <c r="G6469" s="2" t="b">
        <v>0</v>
      </c>
      <c r="H6469" s="2" t="s">
        <v>37</v>
      </c>
      <c r="I6469" s="2" t="s">
        <v>49</v>
      </c>
      <c r="J6469" s="2" t="s">
        <v>3615</v>
      </c>
      <c r="K6469" s="2" t="s">
        <v>495</v>
      </c>
      <c r="L6469" s="13" t="s">
        <v>496</v>
      </c>
      <c r="M6469" s="2" t="s">
        <v>26</v>
      </c>
      <c r="N6469" s="29"/>
      <c r="O6469" s="29"/>
      <c r="P6469" s="5" t="str">
        <f>IFERROR(__xludf.DUMMYFUNCTION("TEXTJOIN("" | "",TRUE,IF(OR(D6469="""",E6469="""",I6469="""",J6469="""",H6469=""""),""ফাঁকা ঘর"",""""),IF(AND(C6469&lt;&gt;"""",D6469&lt;&gt;"""",C6469=D6469),""gloss=figurative"",""""),IF(LEN(D6469)&lt;15,""figurative ছোট"",""""),IF(AND(I6469=""Positive"",REGEXMATCH(H6"&amp;"469,""মূর্খ|ভণ্ড|প্রতার|অলস|লোভ|স্বার্থ|অক্ষম|অযোগ্য|বোকা|কৃপণ|হিংস"")),""valence-target অমিল"",""""),IF(COUNTIF($B:$B,B6469)&gt;1,""ডুপ্লিকেট"",""""))"),"")</f>
        <v/>
      </c>
      <c r="Q6469" s="5" t="str">
        <f t="shared" si="1"/>
        <v>২ পরে</v>
      </c>
    </row>
    <row r="6470">
      <c r="A6470" s="4">
        <v>4382.0</v>
      </c>
      <c r="B6470" s="2" t="s">
        <v>26380</v>
      </c>
      <c r="C6470" s="2" t="s">
        <v>26380</v>
      </c>
      <c r="D6470" s="2" t="s">
        <v>26381</v>
      </c>
      <c r="E6470" s="2" t="s">
        <v>26382</v>
      </c>
      <c r="F6470" s="2" t="b">
        <v>1</v>
      </c>
      <c r="G6470" s="2" t="b">
        <v>0</v>
      </c>
      <c r="H6470" s="2" t="s">
        <v>37</v>
      </c>
      <c r="I6470" s="2" t="s">
        <v>22</v>
      </c>
      <c r="J6470" s="2" t="s">
        <v>820</v>
      </c>
      <c r="K6470" s="2" t="s">
        <v>495</v>
      </c>
      <c r="L6470" s="13" t="s">
        <v>496</v>
      </c>
      <c r="M6470" s="2" t="s">
        <v>26</v>
      </c>
      <c r="N6470" s="29"/>
      <c r="O6470" s="29"/>
      <c r="P6470" s="5" t="str">
        <f>IFERROR(__xludf.DUMMYFUNCTION("TEXTJOIN("" | "",TRUE,IF(OR(D6470="""",E6470="""",I6470="""",J6470="""",H6470=""""),""ফাঁকা ঘর"",""""),IF(AND(C6470&lt;&gt;"""",D6470&lt;&gt;"""",C6470=D6470),""gloss=figurative"",""""),IF(LEN(D6470)&lt;15,""figurative ছোট"",""""),IF(AND(I6470=""Positive"",REGEXMATCH(H6"&amp;"470,""মূর্খ|ভণ্ড|প্রতার|অলস|লোভ|স্বার্থ|অক্ষম|অযোগ্য|বোকা|কৃপণ|হিংস"")),""valence-target অমিল"",""""),IF(COUNTIF($B:$B,B6470)&gt;1,""ডুপ্লিকেট"",""""))"),"")</f>
        <v/>
      </c>
      <c r="Q6470" s="5" t="str">
        <f t="shared" si="1"/>
        <v>২ পরে</v>
      </c>
    </row>
    <row r="6471">
      <c r="A6471" s="4">
        <v>4383.0</v>
      </c>
      <c r="B6471" s="2" t="s">
        <v>26383</v>
      </c>
      <c r="C6471" s="2" t="s">
        <v>26384</v>
      </c>
      <c r="D6471" s="2" t="s">
        <v>26385</v>
      </c>
      <c r="E6471" s="2" t="s">
        <v>26386</v>
      </c>
      <c r="F6471" s="2" t="b">
        <v>1</v>
      </c>
      <c r="G6471" s="2" t="b">
        <v>0</v>
      </c>
      <c r="H6471" s="2" t="s">
        <v>37</v>
      </c>
      <c r="I6471" s="2" t="s">
        <v>22</v>
      </c>
      <c r="J6471" s="2" t="s">
        <v>26387</v>
      </c>
      <c r="K6471" s="2" t="s">
        <v>495</v>
      </c>
      <c r="L6471" s="13" t="s">
        <v>496</v>
      </c>
      <c r="M6471" s="2" t="s">
        <v>26</v>
      </c>
      <c r="N6471" s="29"/>
      <c r="O6471" s="29"/>
      <c r="P6471" s="5" t="str">
        <f>IFERROR(__xludf.DUMMYFUNCTION("TEXTJOIN("" | "",TRUE,IF(OR(D6471="""",E6471="""",I6471="""",J6471="""",H6471=""""),""ফাঁকা ঘর"",""""),IF(AND(C6471&lt;&gt;"""",D6471&lt;&gt;"""",C6471=D6471),""gloss=figurative"",""""),IF(LEN(D6471)&lt;15,""figurative ছোট"",""""),IF(AND(I6471=""Positive"",REGEXMATCH(H6"&amp;"471,""মূর্খ|ভণ্ড|প্রতার|অলস|লোভ|স্বার্থ|অক্ষম|অযোগ্য|বোকা|কৃপণ|হিংস"")),""valence-target অমিল"",""""),IF(COUNTIF($B:$B,B6471)&gt;1,""ডুপ্লিকেট"",""""))"),"")</f>
        <v/>
      </c>
      <c r="Q6471" s="5" t="str">
        <f t="shared" si="1"/>
        <v>২ পরে</v>
      </c>
    </row>
    <row r="6472">
      <c r="A6472" s="4">
        <v>4384.0</v>
      </c>
      <c r="B6472" s="2" t="s">
        <v>26388</v>
      </c>
      <c r="C6472" s="2" t="s">
        <v>26389</v>
      </c>
      <c r="D6472" s="2" t="s">
        <v>26390</v>
      </c>
      <c r="E6472" s="2" t="s">
        <v>26391</v>
      </c>
      <c r="F6472" s="2" t="b">
        <v>1</v>
      </c>
      <c r="G6472" s="2" t="b">
        <v>0</v>
      </c>
      <c r="H6472" s="2" t="s">
        <v>37</v>
      </c>
      <c r="I6472" s="2" t="s">
        <v>22</v>
      </c>
      <c r="J6472" s="2" t="s">
        <v>26392</v>
      </c>
      <c r="K6472" s="2" t="s">
        <v>495</v>
      </c>
      <c r="L6472" s="13" t="s">
        <v>496</v>
      </c>
      <c r="M6472" s="2" t="s">
        <v>26</v>
      </c>
      <c r="N6472" s="29"/>
      <c r="O6472" s="29"/>
      <c r="P6472" s="5" t="str">
        <f>IFERROR(__xludf.DUMMYFUNCTION("TEXTJOIN("" | "",TRUE,IF(OR(D6472="""",E6472="""",I6472="""",J6472="""",H6472=""""),""ফাঁকা ঘর"",""""),IF(AND(C6472&lt;&gt;"""",D6472&lt;&gt;"""",C6472=D6472),""gloss=figurative"",""""),IF(LEN(D6472)&lt;15,""figurative ছোট"",""""),IF(AND(I6472=""Positive"",REGEXMATCH(H6"&amp;"472,""মূর্খ|ভণ্ড|প্রতার|অলস|লোভ|স্বার্থ|অক্ষম|অযোগ্য|বোকা|কৃপণ|হিংস"")),""valence-target অমিল"",""""),IF(COUNTIF($B:$B,B6472)&gt;1,""ডুপ্লিকেট"",""""))"),"")</f>
        <v/>
      </c>
      <c r="Q6472" s="5" t="str">
        <f t="shared" si="1"/>
        <v>২ পরে</v>
      </c>
    </row>
    <row r="6473">
      <c r="A6473" s="4">
        <v>4385.0</v>
      </c>
      <c r="B6473" s="2" t="s">
        <v>26393</v>
      </c>
      <c r="C6473" s="2" t="s">
        <v>26394</v>
      </c>
      <c r="D6473" s="2" t="s">
        <v>26395</v>
      </c>
      <c r="E6473" s="2" t="s">
        <v>26396</v>
      </c>
      <c r="F6473" s="2" t="b">
        <v>1</v>
      </c>
      <c r="G6473" s="2" t="b">
        <v>0</v>
      </c>
      <c r="H6473" s="2" t="s">
        <v>1612</v>
      </c>
      <c r="I6473" s="2" t="s">
        <v>22</v>
      </c>
      <c r="J6473" s="2" t="s">
        <v>836</v>
      </c>
      <c r="K6473" s="2" t="s">
        <v>495</v>
      </c>
      <c r="L6473" s="13" t="s">
        <v>496</v>
      </c>
      <c r="M6473" s="2" t="s">
        <v>26</v>
      </c>
      <c r="N6473" s="29"/>
      <c r="O6473" s="29"/>
      <c r="P6473" s="5" t="str">
        <f>IFERROR(__xludf.DUMMYFUNCTION("TEXTJOIN("" | "",TRUE,IF(OR(D6473="""",E6473="""",I6473="""",J6473="""",H6473=""""),""ফাঁকা ঘর"",""""),IF(AND(C6473&lt;&gt;"""",D6473&lt;&gt;"""",C6473=D6473),""gloss=figurative"",""""),IF(LEN(D6473)&lt;15,""figurative ছোট"",""""),IF(AND(I6473=""Positive"",REGEXMATCH(H6"&amp;"473,""মূর্খ|ভণ্ড|প্রতার|অলস|লোভ|স্বার্থ|অক্ষম|অযোগ্য|বোকা|কৃপণ|হিংস"")),""valence-target অমিল"",""""),IF(COUNTIF($B:$B,B6473)&gt;1,""ডুপ্লিকেট"",""""))"),"")</f>
        <v/>
      </c>
      <c r="Q6473" s="5" t="str">
        <f t="shared" si="1"/>
        <v>২ পরে</v>
      </c>
    </row>
    <row r="6474">
      <c r="A6474" s="4">
        <v>4386.0</v>
      </c>
      <c r="B6474" s="2" t="s">
        <v>26397</v>
      </c>
      <c r="C6474" s="2" t="s">
        <v>26398</v>
      </c>
      <c r="D6474" s="2" t="s">
        <v>26399</v>
      </c>
      <c r="E6474" s="2" t="s">
        <v>26400</v>
      </c>
      <c r="F6474" s="2" t="b">
        <v>1</v>
      </c>
      <c r="G6474" s="2" t="b">
        <v>0</v>
      </c>
      <c r="H6474" s="2" t="s">
        <v>37</v>
      </c>
      <c r="I6474" s="2" t="s">
        <v>49</v>
      </c>
      <c r="J6474" s="2" t="s">
        <v>1111</v>
      </c>
      <c r="K6474" s="2" t="s">
        <v>495</v>
      </c>
      <c r="L6474" s="13" t="s">
        <v>496</v>
      </c>
      <c r="M6474" s="2" t="s">
        <v>26</v>
      </c>
      <c r="N6474" s="29"/>
      <c r="O6474" s="29"/>
      <c r="P6474" s="5" t="str">
        <f>IFERROR(__xludf.DUMMYFUNCTION("TEXTJOIN("" | "",TRUE,IF(OR(D6474="""",E6474="""",I6474="""",J6474="""",H6474=""""),""ফাঁকা ঘর"",""""),IF(AND(C6474&lt;&gt;"""",D6474&lt;&gt;"""",C6474=D6474),""gloss=figurative"",""""),IF(LEN(D6474)&lt;15,""figurative ছোট"",""""),IF(AND(I6474=""Positive"",REGEXMATCH(H6"&amp;"474,""মূর্খ|ভণ্ড|প্রতার|অলস|লোভ|স্বার্থ|অক্ষম|অযোগ্য|বোকা|কৃপণ|হিংস"")),""valence-target অমিল"",""""),IF(COUNTIF($B:$B,B6474)&gt;1,""ডুপ্লিকেট"",""""))"),"")</f>
        <v/>
      </c>
      <c r="Q6474" s="5" t="str">
        <f t="shared" si="1"/>
        <v>২ পরে</v>
      </c>
    </row>
    <row r="6475">
      <c r="A6475" s="4">
        <v>4387.0</v>
      </c>
      <c r="B6475" s="2" t="s">
        <v>26401</v>
      </c>
      <c r="C6475" s="2" t="s">
        <v>26402</v>
      </c>
      <c r="D6475" s="2" t="s">
        <v>26403</v>
      </c>
      <c r="E6475" s="2" t="s">
        <v>26404</v>
      </c>
      <c r="F6475" s="2" t="b">
        <v>1</v>
      </c>
      <c r="G6475" s="2" t="b">
        <v>0</v>
      </c>
      <c r="H6475" s="2" t="s">
        <v>37</v>
      </c>
      <c r="I6475" s="2" t="s">
        <v>32</v>
      </c>
      <c r="J6475" s="2" t="s">
        <v>891</v>
      </c>
      <c r="K6475" s="2" t="s">
        <v>495</v>
      </c>
      <c r="L6475" s="13" t="s">
        <v>496</v>
      </c>
      <c r="M6475" s="2" t="s">
        <v>26</v>
      </c>
      <c r="N6475" s="29"/>
      <c r="O6475" s="29"/>
      <c r="P6475" s="5" t="str">
        <f>IFERROR(__xludf.DUMMYFUNCTION("TEXTJOIN("" | "",TRUE,IF(OR(D6475="""",E6475="""",I6475="""",J6475="""",H6475=""""),""ফাঁকা ঘর"",""""),IF(AND(C6475&lt;&gt;"""",D6475&lt;&gt;"""",C6475=D6475),""gloss=figurative"",""""),IF(LEN(D6475)&lt;15,""figurative ছোট"",""""),IF(AND(I6475=""Positive"",REGEXMATCH(H6"&amp;"475,""মূর্খ|ভণ্ড|প্রতার|অলস|লোভ|স্বার্থ|অক্ষম|অযোগ্য|বোকা|কৃপণ|হিংস"")),""valence-target অমিল"",""""),IF(COUNTIF($B:$B,B6475)&gt;1,""ডুপ্লিকেট"",""""))"),"")</f>
        <v/>
      </c>
      <c r="Q6475" s="5" t="str">
        <f t="shared" si="1"/>
        <v>২ পরে</v>
      </c>
    </row>
    <row r="6476">
      <c r="A6476" s="4">
        <v>4389.0</v>
      </c>
      <c r="B6476" s="2" t="s">
        <v>26405</v>
      </c>
      <c r="C6476" s="2" t="s">
        <v>26406</v>
      </c>
      <c r="D6476" s="2" t="s">
        <v>26407</v>
      </c>
      <c r="E6476" s="2" t="s">
        <v>26408</v>
      </c>
      <c r="F6476" s="2" t="b">
        <v>1</v>
      </c>
      <c r="G6476" s="2" t="b">
        <v>0</v>
      </c>
      <c r="H6476" s="2" t="s">
        <v>37</v>
      </c>
      <c r="I6476" s="2" t="s">
        <v>22</v>
      </c>
      <c r="J6476" s="2" t="s">
        <v>723</v>
      </c>
      <c r="K6476" s="2" t="s">
        <v>495</v>
      </c>
      <c r="L6476" s="13" t="s">
        <v>496</v>
      </c>
      <c r="M6476" s="2" t="s">
        <v>26</v>
      </c>
      <c r="N6476" s="29"/>
      <c r="O6476" s="29"/>
      <c r="P6476" s="5" t="str">
        <f>IFERROR(__xludf.DUMMYFUNCTION("TEXTJOIN("" | "",TRUE,IF(OR(D6476="""",E6476="""",I6476="""",J6476="""",H6476=""""),""ফাঁকা ঘর"",""""),IF(AND(C6476&lt;&gt;"""",D6476&lt;&gt;"""",C6476=D6476),""gloss=figurative"",""""),IF(LEN(D6476)&lt;15,""figurative ছোট"",""""),IF(AND(I6476=""Positive"",REGEXMATCH(H6"&amp;"476,""মূর্খ|ভণ্ড|প্রতার|অলস|লোভ|স্বার্থ|অক্ষম|অযোগ্য|বোকা|কৃপণ|হিংস"")),""valence-target অমিল"",""""),IF(COUNTIF($B:$B,B6476)&gt;1,""ডুপ্লিকেট"",""""))"),"")</f>
        <v/>
      </c>
      <c r="Q6476" s="5" t="str">
        <f t="shared" si="1"/>
        <v>২ পরে</v>
      </c>
    </row>
    <row r="6477">
      <c r="A6477" s="4">
        <v>4390.0</v>
      </c>
      <c r="B6477" s="2" t="s">
        <v>26409</v>
      </c>
      <c r="C6477" s="2" t="s">
        <v>26410</v>
      </c>
      <c r="D6477" s="2" t="s">
        <v>26411</v>
      </c>
      <c r="E6477" s="2" t="s">
        <v>26412</v>
      </c>
      <c r="F6477" s="2" t="b">
        <v>1</v>
      </c>
      <c r="G6477" s="2" t="b">
        <v>0</v>
      </c>
      <c r="H6477" s="2" t="s">
        <v>37</v>
      </c>
      <c r="I6477" s="2" t="s">
        <v>49</v>
      </c>
      <c r="J6477" s="2" t="s">
        <v>10504</v>
      </c>
      <c r="K6477" s="2" t="s">
        <v>495</v>
      </c>
      <c r="L6477" s="13" t="s">
        <v>496</v>
      </c>
      <c r="M6477" s="2" t="s">
        <v>26</v>
      </c>
      <c r="N6477" s="29"/>
      <c r="O6477" s="29"/>
      <c r="P6477" s="5" t="str">
        <f>IFERROR(__xludf.DUMMYFUNCTION("TEXTJOIN("" | "",TRUE,IF(OR(D6477="""",E6477="""",I6477="""",J6477="""",H6477=""""),""ফাঁকা ঘর"",""""),IF(AND(C6477&lt;&gt;"""",D6477&lt;&gt;"""",C6477=D6477),""gloss=figurative"",""""),IF(LEN(D6477)&lt;15,""figurative ছোট"",""""),IF(AND(I6477=""Positive"",REGEXMATCH(H6"&amp;"477,""মূর্খ|ভণ্ড|প্রতার|অলস|লোভ|স্বার্থ|অক্ষম|অযোগ্য|বোকা|কৃপণ|হিংস"")),""valence-target অমিল"",""""),IF(COUNTIF($B:$B,B6477)&gt;1,""ডুপ্লিকেট"",""""))"),"")</f>
        <v/>
      </c>
      <c r="Q6477" s="5" t="str">
        <f t="shared" si="1"/>
        <v>২ পরে</v>
      </c>
    </row>
    <row r="6478">
      <c r="A6478" s="4">
        <v>4391.0</v>
      </c>
      <c r="B6478" s="2" t="s">
        <v>26413</v>
      </c>
      <c r="C6478" s="2" t="s">
        <v>26414</v>
      </c>
      <c r="D6478" s="2" t="s">
        <v>26415</v>
      </c>
      <c r="E6478" s="2" t="s">
        <v>26416</v>
      </c>
      <c r="F6478" s="2" t="b">
        <v>1</v>
      </c>
      <c r="G6478" s="2" t="b">
        <v>0</v>
      </c>
      <c r="H6478" s="2" t="s">
        <v>37</v>
      </c>
      <c r="I6478" s="2" t="s">
        <v>49</v>
      </c>
      <c r="J6478" s="2" t="s">
        <v>1254</v>
      </c>
      <c r="K6478" s="2" t="s">
        <v>495</v>
      </c>
      <c r="L6478" s="13" t="s">
        <v>496</v>
      </c>
      <c r="M6478" s="2" t="s">
        <v>26</v>
      </c>
      <c r="N6478" s="29"/>
      <c r="O6478" s="29"/>
      <c r="P6478" s="5" t="str">
        <f>IFERROR(__xludf.DUMMYFUNCTION("TEXTJOIN("" | "",TRUE,IF(OR(D6478="""",E6478="""",I6478="""",J6478="""",H6478=""""),""ফাঁকা ঘর"",""""),IF(AND(C6478&lt;&gt;"""",D6478&lt;&gt;"""",C6478=D6478),""gloss=figurative"",""""),IF(LEN(D6478)&lt;15,""figurative ছোট"",""""),IF(AND(I6478=""Positive"",REGEXMATCH(H6"&amp;"478,""মূর্খ|ভণ্ড|প্রতার|অলস|লোভ|স্বার্থ|অক্ষম|অযোগ্য|বোকা|কৃপণ|হিংস"")),""valence-target অমিল"",""""),IF(COUNTIF($B:$B,B6478)&gt;1,""ডুপ্লিকেট"",""""))"),"")</f>
        <v/>
      </c>
      <c r="Q6478" s="5" t="str">
        <f t="shared" si="1"/>
        <v>২ পরে</v>
      </c>
    </row>
    <row r="6479">
      <c r="A6479" s="4">
        <v>4392.0</v>
      </c>
      <c r="B6479" s="2" t="s">
        <v>26417</v>
      </c>
      <c r="C6479" s="2" t="s">
        <v>26417</v>
      </c>
      <c r="D6479" s="2" t="s">
        <v>26418</v>
      </c>
      <c r="E6479" s="2" t="s">
        <v>26419</v>
      </c>
      <c r="F6479" s="2" t="b">
        <v>1</v>
      </c>
      <c r="G6479" s="2" t="b">
        <v>0</v>
      </c>
      <c r="H6479" s="2" t="s">
        <v>37</v>
      </c>
      <c r="I6479" s="2" t="s">
        <v>49</v>
      </c>
      <c r="J6479" s="2" t="s">
        <v>3105</v>
      </c>
      <c r="K6479" s="2" t="s">
        <v>495</v>
      </c>
      <c r="L6479" s="13" t="s">
        <v>496</v>
      </c>
      <c r="M6479" s="2" t="s">
        <v>26</v>
      </c>
      <c r="N6479" s="29"/>
      <c r="O6479" s="29"/>
      <c r="P6479" s="5" t="str">
        <f>IFERROR(__xludf.DUMMYFUNCTION("TEXTJOIN("" | "",TRUE,IF(OR(D6479="""",E6479="""",I6479="""",J6479="""",H6479=""""),""ফাঁকা ঘর"",""""),IF(AND(C6479&lt;&gt;"""",D6479&lt;&gt;"""",C6479=D6479),""gloss=figurative"",""""),IF(LEN(D6479)&lt;15,""figurative ছোট"",""""),IF(AND(I6479=""Positive"",REGEXMATCH(H6"&amp;"479,""মূর্খ|ভণ্ড|প্রতার|অলস|লোভ|স্বার্থ|অক্ষম|অযোগ্য|বোকা|কৃপণ|হিংস"")),""valence-target অমিল"",""""),IF(COUNTIF($B:$B,B6479)&gt;1,""ডুপ্লিকেট"",""""))"),"")</f>
        <v/>
      </c>
      <c r="Q6479" s="5" t="str">
        <f t="shared" si="1"/>
        <v>২ পরে</v>
      </c>
    </row>
    <row r="6480">
      <c r="A6480" s="4">
        <v>4393.0</v>
      </c>
      <c r="B6480" s="2" t="s">
        <v>26420</v>
      </c>
      <c r="C6480" s="2" t="s">
        <v>26421</v>
      </c>
      <c r="D6480" s="2" t="s">
        <v>26422</v>
      </c>
      <c r="E6480" s="2" t="s">
        <v>26423</v>
      </c>
      <c r="F6480" s="2" t="b">
        <v>1</v>
      </c>
      <c r="G6480" s="2" t="b">
        <v>0</v>
      </c>
      <c r="H6480" s="2" t="s">
        <v>37</v>
      </c>
      <c r="I6480" s="2" t="s">
        <v>49</v>
      </c>
      <c r="J6480" s="2" t="s">
        <v>6476</v>
      </c>
      <c r="K6480" s="2" t="s">
        <v>495</v>
      </c>
      <c r="L6480" s="13" t="s">
        <v>496</v>
      </c>
      <c r="M6480" s="2" t="s">
        <v>26</v>
      </c>
      <c r="N6480" s="29"/>
      <c r="O6480" s="29"/>
      <c r="P6480" s="5" t="str">
        <f>IFERROR(__xludf.DUMMYFUNCTION("TEXTJOIN("" | "",TRUE,IF(OR(D6480="""",E6480="""",I6480="""",J6480="""",H6480=""""),""ফাঁকা ঘর"",""""),IF(AND(C6480&lt;&gt;"""",D6480&lt;&gt;"""",C6480=D6480),""gloss=figurative"",""""),IF(LEN(D6480)&lt;15,""figurative ছোট"",""""),IF(AND(I6480=""Positive"",REGEXMATCH(H6"&amp;"480,""মূর্খ|ভণ্ড|প্রতার|অলস|লোভ|স্বার্থ|অক্ষম|অযোগ্য|বোকা|কৃপণ|হিংস"")),""valence-target অমিল"",""""),IF(COUNTIF($B:$B,B6480)&gt;1,""ডুপ্লিকেট"",""""))"),"")</f>
        <v/>
      </c>
      <c r="Q6480" s="5" t="str">
        <f t="shared" si="1"/>
        <v>২ পরে</v>
      </c>
    </row>
    <row r="6481">
      <c r="A6481" s="4">
        <v>4394.0</v>
      </c>
      <c r="B6481" s="2" t="s">
        <v>26424</v>
      </c>
      <c r="C6481" s="2" t="s">
        <v>26425</v>
      </c>
      <c r="D6481" s="2" t="s">
        <v>26426</v>
      </c>
      <c r="E6481" s="2" t="s">
        <v>26427</v>
      </c>
      <c r="F6481" s="2" t="b">
        <v>1</v>
      </c>
      <c r="G6481" s="2" t="b">
        <v>0</v>
      </c>
      <c r="H6481" s="2" t="s">
        <v>37</v>
      </c>
      <c r="I6481" s="2" t="s">
        <v>22</v>
      </c>
      <c r="J6481" s="2" t="s">
        <v>1630</v>
      </c>
      <c r="K6481" s="2" t="s">
        <v>495</v>
      </c>
      <c r="L6481" s="13" t="s">
        <v>496</v>
      </c>
      <c r="M6481" s="2" t="s">
        <v>26</v>
      </c>
      <c r="N6481" s="29"/>
      <c r="O6481" s="29"/>
      <c r="P6481" s="5" t="str">
        <f>IFERROR(__xludf.DUMMYFUNCTION("TEXTJOIN("" | "",TRUE,IF(OR(D6481="""",E6481="""",I6481="""",J6481="""",H6481=""""),""ফাঁকা ঘর"",""""),IF(AND(C6481&lt;&gt;"""",D6481&lt;&gt;"""",C6481=D6481),""gloss=figurative"",""""),IF(LEN(D6481)&lt;15,""figurative ছোট"",""""),IF(AND(I6481=""Positive"",REGEXMATCH(H6"&amp;"481,""মূর্খ|ভণ্ড|প্রতার|অলস|লোভ|স্বার্থ|অক্ষম|অযোগ্য|বোকা|কৃপণ|হিংস"")),""valence-target অমিল"",""""),IF(COUNTIF($B:$B,B6481)&gt;1,""ডুপ্লিকেট"",""""))"),"")</f>
        <v/>
      </c>
      <c r="Q6481" s="5" t="str">
        <f t="shared" si="1"/>
        <v>২ পরে</v>
      </c>
    </row>
    <row r="6482">
      <c r="A6482" s="4">
        <v>4395.0</v>
      </c>
      <c r="B6482" s="2" t="s">
        <v>26428</v>
      </c>
      <c r="C6482" s="2" t="s">
        <v>26429</v>
      </c>
      <c r="D6482" s="2" t="s">
        <v>26430</v>
      </c>
      <c r="E6482" s="2" t="s">
        <v>26431</v>
      </c>
      <c r="F6482" s="2" t="b">
        <v>1</v>
      </c>
      <c r="G6482" s="2" t="b">
        <v>1</v>
      </c>
      <c r="H6482" s="2" t="s">
        <v>26432</v>
      </c>
      <c r="I6482" s="2" t="s">
        <v>22</v>
      </c>
      <c r="J6482" s="2" t="s">
        <v>669</v>
      </c>
      <c r="K6482" s="2" t="s">
        <v>495</v>
      </c>
      <c r="L6482" s="13" t="s">
        <v>496</v>
      </c>
      <c r="M6482" s="2" t="s">
        <v>26</v>
      </c>
      <c r="N6482" s="29"/>
      <c r="O6482" s="29"/>
      <c r="P6482" s="5" t="str">
        <f>IFERROR(__xludf.DUMMYFUNCTION("TEXTJOIN("" | "",TRUE,IF(OR(D6482="""",E6482="""",I6482="""",J6482="""",H6482=""""),""ফাঁকা ঘর"",""""),IF(AND(C6482&lt;&gt;"""",D6482&lt;&gt;"""",C6482=D6482),""gloss=figurative"",""""),IF(LEN(D6482)&lt;15,""figurative ছোট"",""""),IF(AND(I6482=""Positive"",REGEXMATCH(H6"&amp;"482,""মূর্খ|ভণ্ড|প্রতার|অলস|লোভ|স্বার্থ|অক্ষম|অযোগ্য|বোকা|কৃপণ|হিংস"")),""valence-target অমিল"",""""),IF(COUNTIF($B:$B,B6482)&gt;1,""ডুপ্লিকেট"",""""))"),"")</f>
        <v/>
      </c>
      <c r="Q6482" s="5" t="str">
        <f t="shared" si="1"/>
        <v>২ পরে</v>
      </c>
    </row>
    <row r="6483">
      <c r="A6483" s="4">
        <v>4397.0</v>
      </c>
      <c r="B6483" s="2" t="s">
        <v>26433</v>
      </c>
      <c r="C6483" s="2" t="s">
        <v>26433</v>
      </c>
      <c r="D6483" s="2" t="s">
        <v>26434</v>
      </c>
      <c r="E6483" s="2" t="s">
        <v>26435</v>
      </c>
      <c r="F6483" s="2" t="b">
        <v>1</v>
      </c>
      <c r="G6483" s="2" t="b">
        <v>0</v>
      </c>
      <c r="H6483" s="2" t="s">
        <v>37</v>
      </c>
      <c r="I6483" s="2" t="s">
        <v>22</v>
      </c>
      <c r="J6483" s="2" t="s">
        <v>723</v>
      </c>
      <c r="K6483" s="2" t="s">
        <v>495</v>
      </c>
      <c r="L6483" s="13" t="s">
        <v>496</v>
      </c>
      <c r="M6483" s="2" t="s">
        <v>26</v>
      </c>
      <c r="N6483" s="29"/>
      <c r="O6483" s="29"/>
      <c r="P6483" s="5" t="str">
        <f>IFERROR(__xludf.DUMMYFUNCTION("TEXTJOIN("" | "",TRUE,IF(OR(D6483="""",E6483="""",I6483="""",J6483="""",H6483=""""),""ফাঁকা ঘর"",""""),IF(AND(C6483&lt;&gt;"""",D6483&lt;&gt;"""",C6483=D6483),""gloss=figurative"",""""),IF(LEN(D6483)&lt;15,""figurative ছোট"",""""),IF(AND(I6483=""Positive"",REGEXMATCH(H6"&amp;"483,""মূর্খ|ভণ্ড|প্রতার|অলস|লোভ|স্বার্থ|অক্ষম|অযোগ্য|বোকা|কৃপণ|হিংস"")),""valence-target অমিল"",""""),IF(COUNTIF($B:$B,B6483)&gt;1,""ডুপ্লিকেট"",""""))"),"")</f>
        <v/>
      </c>
      <c r="Q6483" s="5" t="str">
        <f t="shared" si="1"/>
        <v>২ পরে</v>
      </c>
    </row>
    <row r="6484">
      <c r="A6484" s="4">
        <v>4398.0</v>
      </c>
      <c r="B6484" s="2" t="s">
        <v>26436</v>
      </c>
      <c r="C6484" s="2" t="s">
        <v>26436</v>
      </c>
      <c r="D6484" s="2" t="s">
        <v>26437</v>
      </c>
      <c r="E6484" s="2" t="s">
        <v>26438</v>
      </c>
      <c r="F6484" s="2" t="b">
        <v>1</v>
      </c>
      <c r="G6484" s="2" t="b">
        <v>0</v>
      </c>
      <c r="H6484" s="2" t="s">
        <v>37</v>
      </c>
      <c r="I6484" s="2" t="s">
        <v>22</v>
      </c>
      <c r="J6484" s="2" t="s">
        <v>2869</v>
      </c>
      <c r="K6484" s="2" t="s">
        <v>495</v>
      </c>
      <c r="L6484" s="13" t="s">
        <v>496</v>
      </c>
      <c r="M6484" s="2" t="s">
        <v>26</v>
      </c>
      <c r="N6484" s="29"/>
      <c r="O6484" s="29"/>
      <c r="P6484" s="5" t="str">
        <f>IFERROR(__xludf.DUMMYFUNCTION("TEXTJOIN("" | "",TRUE,IF(OR(D6484="""",E6484="""",I6484="""",J6484="""",H6484=""""),""ফাঁকা ঘর"",""""),IF(AND(C6484&lt;&gt;"""",D6484&lt;&gt;"""",C6484=D6484),""gloss=figurative"",""""),IF(LEN(D6484)&lt;15,""figurative ছোট"",""""),IF(AND(I6484=""Positive"",REGEXMATCH(H6"&amp;"484,""মূর্খ|ভণ্ড|প্রতার|অলস|লোভ|স্বার্থ|অক্ষম|অযোগ্য|বোকা|কৃপণ|হিংস"")),""valence-target অমিল"",""""),IF(COUNTIF($B:$B,B6484)&gt;1,""ডুপ্লিকেট"",""""))"),"")</f>
        <v/>
      </c>
      <c r="Q6484" s="5" t="str">
        <f t="shared" si="1"/>
        <v>২ পরে</v>
      </c>
    </row>
    <row r="6485">
      <c r="A6485" s="4">
        <v>4399.0</v>
      </c>
      <c r="B6485" s="2" t="s">
        <v>26439</v>
      </c>
      <c r="C6485" s="2" t="s">
        <v>26440</v>
      </c>
      <c r="D6485" s="2" t="s">
        <v>26441</v>
      </c>
      <c r="E6485" s="2" t="s">
        <v>26442</v>
      </c>
      <c r="F6485" s="2" t="b">
        <v>1</v>
      </c>
      <c r="G6485" s="2" t="b">
        <v>0</v>
      </c>
      <c r="H6485" s="2" t="s">
        <v>37</v>
      </c>
      <c r="I6485" s="2" t="s">
        <v>22</v>
      </c>
      <c r="J6485" s="2" t="s">
        <v>4374</v>
      </c>
      <c r="K6485" s="2" t="s">
        <v>495</v>
      </c>
      <c r="L6485" s="13" t="s">
        <v>496</v>
      </c>
      <c r="M6485" s="2" t="s">
        <v>26</v>
      </c>
      <c r="N6485" s="29"/>
      <c r="O6485" s="29"/>
      <c r="P6485" s="5" t="str">
        <f>IFERROR(__xludf.DUMMYFUNCTION("TEXTJOIN("" | "",TRUE,IF(OR(D6485="""",E6485="""",I6485="""",J6485="""",H6485=""""),""ফাঁকা ঘর"",""""),IF(AND(C6485&lt;&gt;"""",D6485&lt;&gt;"""",C6485=D6485),""gloss=figurative"",""""),IF(LEN(D6485)&lt;15,""figurative ছোট"",""""),IF(AND(I6485=""Positive"",REGEXMATCH(H6"&amp;"485,""মূর্খ|ভণ্ড|প্রতার|অলস|লোভ|স্বার্থ|অক্ষম|অযোগ্য|বোকা|কৃপণ|হিংস"")),""valence-target অমিল"",""""),IF(COUNTIF($B:$B,B6485)&gt;1,""ডুপ্লিকেট"",""""))"),"")</f>
        <v/>
      </c>
      <c r="Q6485" s="5" t="str">
        <f t="shared" si="1"/>
        <v>২ পরে</v>
      </c>
    </row>
    <row r="6486">
      <c r="A6486" s="4">
        <v>4401.0</v>
      </c>
      <c r="B6486" s="2" t="s">
        <v>26443</v>
      </c>
      <c r="C6486" s="2" t="s">
        <v>26444</v>
      </c>
      <c r="D6486" s="2" t="s">
        <v>26445</v>
      </c>
      <c r="E6486" s="2" t="s">
        <v>26446</v>
      </c>
      <c r="F6486" s="2" t="b">
        <v>1</v>
      </c>
      <c r="G6486" s="2" t="b">
        <v>0</v>
      </c>
      <c r="H6486" s="2" t="s">
        <v>37</v>
      </c>
      <c r="I6486" s="2" t="s">
        <v>32</v>
      </c>
      <c r="J6486" s="2" t="s">
        <v>1008</v>
      </c>
      <c r="K6486" s="2" t="s">
        <v>495</v>
      </c>
      <c r="L6486" s="13" t="s">
        <v>496</v>
      </c>
      <c r="M6486" s="2" t="s">
        <v>26</v>
      </c>
      <c r="N6486" s="29"/>
      <c r="O6486" s="29"/>
      <c r="P6486" s="5" t="str">
        <f>IFERROR(__xludf.DUMMYFUNCTION("TEXTJOIN("" | "",TRUE,IF(OR(D6486="""",E6486="""",I6486="""",J6486="""",H6486=""""),""ফাঁকা ঘর"",""""),IF(AND(C6486&lt;&gt;"""",D6486&lt;&gt;"""",C6486=D6486),""gloss=figurative"",""""),IF(LEN(D6486)&lt;15,""figurative ছোট"",""""),IF(AND(I6486=""Positive"",REGEXMATCH(H6"&amp;"486,""মূর্খ|ভণ্ড|প্রতার|অলস|লোভ|স্বার্থ|অক্ষম|অযোগ্য|বোকা|কৃপণ|হিংস"")),""valence-target অমিল"",""""),IF(COUNTIF($B:$B,B6486)&gt;1,""ডুপ্লিকেট"",""""))"),"")</f>
        <v/>
      </c>
      <c r="Q6486" s="5" t="str">
        <f t="shared" si="1"/>
        <v>২ পরে</v>
      </c>
    </row>
    <row r="6487">
      <c r="A6487" s="4">
        <v>4402.0</v>
      </c>
      <c r="B6487" s="2" t="s">
        <v>26447</v>
      </c>
      <c r="C6487" s="2" t="s">
        <v>26447</v>
      </c>
      <c r="D6487" s="2" t="s">
        <v>26448</v>
      </c>
      <c r="E6487" s="2" t="s">
        <v>26449</v>
      </c>
      <c r="F6487" s="2" t="b">
        <v>1</v>
      </c>
      <c r="G6487" s="2" t="b">
        <v>0</v>
      </c>
      <c r="H6487" s="2" t="s">
        <v>37</v>
      </c>
      <c r="I6487" s="2" t="s">
        <v>22</v>
      </c>
      <c r="J6487" s="2" t="s">
        <v>6010</v>
      </c>
      <c r="K6487" s="2" t="s">
        <v>495</v>
      </c>
      <c r="L6487" s="13" t="s">
        <v>496</v>
      </c>
      <c r="M6487" s="2" t="s">
        <v>26</v>
      </c>
      <c r="N6487" s="29"/>
      <c r="O6487" s="29"/>
      <c r="P6487" s="5" t="str">
        <f>IFERROR(__xludf.DUMMYFUNCTION("TEXTJOIN("" | "",TRUE,IF(OR(D6487="""",E6487="""",I6487="""",J6487="""",H6487=""""),""ফাঁকা ঘর"",""""),IF(AND(C6487&lt;&gt;"""",D6487&lt;&gt;"""",C6487=D6487),""gloss=figurative"",""""),IF(LEN(D6487)&lt;15,""figurative ছোট"",""""),IF(AND(I6487=""Positive"",REGEXMATCH(H6"&amp;"487,""মূর্খ|ভণ্ড|প্রতার|অলস|লোভ|স্বার্থ|অক্ষম|অযোগ্য|বোকা|কৃপণ|হিংস"")),""valence-target অমিল"",""""),IF(COUNTIF($B:$B,B6487)&gt;1,""ডুপ্লিকেট"",""""))"),"")</f>
        <v/>
      </c>
      <c r="Q6487" s="5" t="str">
        <f t="shared" si="1"/>
        <v>২ পরে</v>
      </c>
    </row>
    <row r="6488">
      <c r="A6488" s="4">
        <v>4403.0</v>
      </c>
      <c r="B6488" s="2" t="s">
        <v>26450</v>
      </c>
      <c r="C6488" s="2" t="s">
        <v>26451</v>
      </c>
      <c r="D6488" s="2" t="s">
        <v>26452</v>
      </c>
      <c r="E6488" s="2" t="s">
        <v>26453</v>
      </c>
      <c r="F6488" s="2" t="b">
        <v>1</v>
      </c>
      <c r="G6488" s="2" t="b">
        <v>0</v>
      </c>
      <c r="H6488" s="2" t="s">
        <v>37</v>
      </c>
      <c r="I6488" s="2" t="s">
        <v>22</v>
      </c>
      <c r="J6488" s="2" t="s">
        <v>441</v>
      </c>
      <c r="K6488" s="2" t="s">
        <v>495</v>
      </c>
      <c r="L6488" s="13" t="s">
        <v>496</v>
      </c>
      <c r="M6488" s="2" t="s">
        <v>26</v>
      </c>
      <c r="N6488" s="29"/>
      <c r="O6488" s="29"/>
      <c r="P6488" s="5" t="str">
        <f>IFERROR(__xludf.DUMMYFUNCTION("TEXTJOIN("" | "",TRUE,IF(OR(D6488="""",E6488="""",I6488="""",J6488="""",H6488=""""),""ফাঁকা ঘর"",""""),IF(AND(C6488&lt;&gt;"""",D6488&lt;&gt;"""",C6488=D6488),""gloss=figurative"",""""),IF(LEN(D6488)&lt;15,""figurative ছোট"",""""),IF(AND(I6488=""Positive"",REGEXMATCH(H6"&amp;"488,""মূর্খ|ভণ্ড|প্রতার|অলস|লোভ|স্বার্থ|অক্ষম|অযোগ্য|বোকা|কৃপণ|হিংস"")),""valence-target অমিল"",""""),IF(COUNTIF($B:$B,B6488)&gt;1,""ডুপ্লিকেট"",""""))"),"")</f>
        <v/>
      </c>
      <c r="Q6488" s="5" t="str">
        <f t="shared" si="1"/>
        <v>২ পরে</v>
      </c>
    </row>
    <row r="6489">
      <c r="A6489" s="4">
        <v>4404.0</v>
      </c>
      <c r="B6489" s="2" t="s">
        <v>26454</v>
      </c>
      <c r="C6489" s="2" t="s">
        <v>26455</v>
      </c>
      <c r="D6489" s="2" t="s">
        <v>26456</v>
      </c>
      <c r="E6489" s="2" t="s">
        <v>26457</v>
      </c>
      <c r="F6489" s="2" t="b">
        <v>1</v>
      </c>
      <c r="G6489" s="2" t="b">
        <v>0</v>
      </c>
      <c r="H6489" s="2" t="s">
        <v>37</v>
      </c>
      <c r="I6489" s="2" t="s">
        <v>49</v>
      </c>
      <c r="J6489" s="2" t="s">
        <v>964</v>
      </c>
      <c r="K6489" s="2" t="s">
        <v>495</v>
      </c>
      <c r="L6489" s="13" t="s">
        <v>496</v>
      </c>
      <c r="M6489" s="2" t="s">
        <v>26</v>
      </c>
      <c r="N6489" s="29"/>
      <c r="O6489" s="29"/>
      <c r="P6489" s="5" t="str">
        <f>IFERROR(__xludf.DUMMYFUNCTION("TEXTJOIN("" | "",TRUE,IF(OR(D6489="""",E6489="""",I6489="""",J6489="""",H6489=""""),""ফাঁকা ঘর"",""""),IF(AND(C6489&lt;&gt;"""",D6489&lt;&gt;"""",C6489=D6489),""gloss=figurative"",""""),IF(LEN(D6489)&lt;15,""figurative ছোট"",""""),IF(AND(I6489=""Positive"",REGEXMATCH(H6"&amp;"489,""মূর্খ|ভণ্ড|প্রতার|অলস|লোভ|স্বার্থ|অক্ষম|অযোগ্য|বোকা|কৃপণ|হিংস"")),""valence-target অমিল"",""""),IF(COUNTIF($B:$B,B6489)&gt;1,""ডুপ্লিকেট"",""""))"),"")</f>
        <v/>
      </c>
      <c r="Q6489" s="5" t="str">
        <f t="shared" si="1"/>
        <v>২ পরে</v>
      </c>
    </row>
    <row r="6490">
      <c r="A6490" s="4">
        <v>4406.0</v>
      </c>
      <c r="B6490" s="2" t="s">
        <v>26458</v>
      </c>
      <c r="C6490" s="2" t="s">
        <v>26459</v>
      </c>
      <c r="D6490" s="2" t="s">
        <v>26460</v>
      </c>
      <c r="E6490" s="2" t="s">
        <v>26461</v>
      </c>
      <c r="F6490" s="2" t="b">
        <v>1</v>
      </c>
      <c r="G6490" s="2" t="b">
        <v>0</v>
      </c>
      <c r="H6490" s="2" t="s">
        <v>37</v>
      </c>
      <c r="I6490" s="2" t="s">
        <v>22</v>
      </c>
      <c r="J6490" s="2" t="s">
        <v>964</v>
      </c>
      <c r="K6490" s="2" t="s">
        <v>495</v>
      </c>
      <c r="L6490" s="13" t="s">
        <v>496</v>
      </c>
      <c r="M6490" s="2" t="s">
        <v>26</v>
      </c>
      <c r="N6490" s="29"/>
      <c r="O6490" s="29"/>
      <c r="P6490" s="5" t="str">
        <f>IFERROR(__xludf.DUMMYFUNCTION("TEXTJOIN("" | "",TRUE,IF(OR(D6490="""",E6490="""",I6490="""",J6490="""",H6490=""""),""ফাঁকা ঘর"",""""),IF(AND(C6490&lt;&gt;"""",D6490&lt;&gt;"""",C6490=D6490),""gloss=figurative"",""""),IF(LEN(D6490)&lt;15,""figurative ছোট"",""""),IF(AND(I6490=""Positive"",REGEXMATCH(H6"&amp;"490,""মূর্খ|ভণ্ড|প্রতার|অলস|লোভ|স্বার্থ|অক্ষম|অযোগ্য|বোকা|কৃপণ|হিংস"")),""valence-target অমিল"",""""),IF(COUNTIF($B:$B,B6490)&gt;1,""ডুপ্লিকেট"",""""))"),"")</f>
        <v/>
      </c>
      <c r="Q6490" s="5" t="str">
        <f t="shared" si="1"/>
        <v>২ পরে</v>
      </c>
    </row>
    <row r="6491">
      <c r="A6491" s="4">
        <v>4407.0</v>
      </c>
      <c r="B6491" s="2" t="s">
        <v>26462</v>
      </c>
      <c r="C6491" s="2" t="s">
        <v>26463</v>
      </c>
      <c r="D6491" s="2" t="s">
        <v>26464</v>
      </c>
      <c r="E6491" s="2" t="s">
        <v>26465</v>
      </c>
      <c r="F6491" s="2" t="b">
        <v>1</v>
      </c>
      <c r="G6491" s="2" t="b">
        <v>0</v>
      </c>
      <c r="H6491" s="2" t="s">
        <v>37</v>
      </c>
      <c r="I6491" s="2" t="s">
        <v>22</v>
      </c>
      <c r="J6491" s="2" t="s">
        <v>1060</v>
      </c>
      <c r="K6491" s="2" t="s">
        <v>495</v>
      </c>
      <c r="L6491" s="13" t="s">
        <v>496</v>
      </c>
      <c r="M6491" s="2" t="s">
        <v>26</v>
      </c>
      <c r="N6491" s="29"/>
      <c r="O6491" s="29"/>
      <c r="P6491" s="5" t="str">
        <f>IFERROR(__xludf.DUMMYFUNCTION("TEXTJOIN("" | "",TRUE,IF(OR(D6491="""",E6491="""",I6491="""",J6491="""",H6491=""""),""ফাঁকা ঘর"",""""),IF(AND(C6491&lt;&gt;"""",D6491&lt;&gt;"""",C6491=D6491),""gloss=figurative"",""""),IF(LEN(D6491)&lt;15,""figurative ছোট"",""""),IF(AND(I6491=""Positive"",REGEXMATCH(H6"&amp;"491,""মূর্খ|ভণ্ড|প্রতার|অলস|লোভ|স্বার্থ|অক্ষম|অযোগ্য|বোকা|কৃপণ|হিংস"")),""valence-target অমিল"",""""),IF(COUNTIF($B:$B,B6491)&gt;1,""ডুপ্লিকেট"",""""))"),"")</f>
        <v/>
      </c>
      <c r="Q6491" s="5" t="str">
        <f t="shared" si="1"/>
        <v>২ পরে</v>
      </c>
    </row>
    <row r="6492">
      <c r="A6492" s="4">
        <v>4408.0</v>
      </c>
      <c r="B6492" s="2" t="s">
        <v>26466</v>
      </c>
      <c r="C6492" s="2" t="s">
        <v>26467</v>
      </c>
      <c r="D6492" s="2" t="s">
        <v>26468</v>
      </c>
      <c r="E6492" s="2" t="s">
        <v>26469</v>
      </c>
      <c r="F6492" s="2" t="b">
        <v>1</v>
      </c>
      <c r="G6492" s="2" t="b">
        <v>0</v>
      </c>
      <c r="H6492" s="2" t="s">
        <v>37</v>
      </c>
      <c r="I6492" s="2" t="s">
        <v>49</v>
      </c>
      <c r="J6492" s="2" t="s">
        <v>3615</v>
      </c>
      <c r="K6492" s="2" t="s">
        <v>495</v>
      </c>
      <c r="L6492" s="13" t="s">
        <v>496</v>
      </c>
      <c r="M6492" s="2" t="s">
        <v>26</v>
      </c>
      <c r="N6492" s="29"/>
      <c r="O6492" s="29"/>
      <c r="P6492" s="5" t="str">
        <f>IFERROR(__xludf.DUMMYFUNCTION("TEXTJOIN("" | "",TRUE,IF(OR(D6492="""",E6492="""",I6492="""",J6492="""",H6492=""""),""ফাঁকা ঘর"",""""),IF(AND(C6492&lt;&gt;"""",D6492&lt;&gt;"""",C6492=D6492),""gloss=figurative"",""""),IF(LEN(D6492)&lt;15,""figurative ছোট"",""""),IF(AND(I6492=""Positive"",REGEXMATCH(H6"&amp;"492,""মূর্খ|ভণ্ড|প্রতার|অলস|লোভ|স্বার্থ|অক্ষম|অযোগ্য|বোকা|কৃপণ|হিংস"")),""valence-target অমিল"",""""),IF(COUNTIF($B:$B,B6492)&gt;1,""ডুপ্লিকেট"",""""))"),"")</f>
        <v/>
      </c>
      <c r="Q6492" s="5" t="str">
        <f t="shared" si="1"/>
        <v>২ পরে</v>
      </c>
    </row>
    <row r="6493">
      <c r="A6493" s="4">
        <v>4409.0</v>
      </c>
      <c r="B6493" s="2" t="s">
        <v>26470</v>
      </c>
      <c r="C6493" s="2" t="s">
        <v>26471</v>
      </c>
      <c r="D6493" s="2" t="s">
        <v>26472</v>
      </c>
      <c r="E6493" s="2" t="s">
        <v>26473</v>
      </c>
      <c r="F6493" s="2" t="b">
        <v>1</v>
      </c>
      <c r="G6493" s="2" t="b">
        <v>0</v>
      </c>
      <c r="H6493" s="2" t="s">
        <v>37</v>
      </c>
      <c r="I6493" s="2" t="s">
        <v>22</v>
      </c>
      <c r="J6493" s="2" t="s">
        <v>2002</v>
      </c>
      <c r="K6493" s="2" t="s">
        <v>495</v>
      </c>
      <c r="L6493" s="13" t="s">
        <v>496</v>
      </c>
      <c r="M6493" s="2" t="s">
        <v>26</v>
      </c>
      <c r="N6493" s="29"/>
      <c r="O6493" s="29"/>
      <c r="P6493" s="5" t="str">
        <f>IFERROR(__xludf.DUMMYFUNCTION("TEXTJOIN("" | "",TRUE,IF(OR(D6493="""",E6493="""",I6493="""",J6493="""",H6493=""""),""ফাঁকা ঘর"",""""),IF(AND(C6493&lt;&gt;"""",D6493&lt;&gt;"""",C6493=D6493),""gloss=figurative"",""""),IF(LEN(D6493)&lt;15,""figurative ছোট"",""""),IF(AND(I6493=""Positive"",REGEXMATCH(H6"&amp;"493,""মূর্খ|ভণ্ড|প্রতার|অলস|লোভ|স্বার্থ|অক্ষম|অযোগ্য|বোকা|কৃপণ|হিংস"")),""valence-target অমিল"",""""),IF(COUNTIF($B:$B,B6493)&gt;1,""ডুপ্লিকেট"",""""))"),"")</f>
        <v/>
      </c>
      <c r="Q6493" s="5" t="str">
        <f t="shared" si="1"/>
        <v>২ পরে</v>
      </c>
    </row>
    <row r="6494">
      <c r="A6494" s="4">
        <v>4410.0</v>
      </c>
      <c r="B6494" s="2" t="s">
        <v>26474</v>
      </c>
      <c r="C6494" s="2" t="s">
        <v>26475</v>
      </c>
      <c r="D6494" s="2" t="s">
        <v>26476</v>
      </c>
      <c r="E6494" s="2" t="s">
        <v>26477</v>
      </c>
      <c r="F6494" s="2" t="b">
        <v>1</v>
      </c>
      <c r="G6494" s="2" t="b">
        <v>0</v>
      </c>
      <c r="H6494" s="2" t="s">
        <v>37</v>
      </c>
      <c r="I6494" s="2" t="s">
        <v>22</v>
      </c>
      <c r="J6494" s="2" t="s">
        <v>6010</v>
      </c>
      <c r="K6494" s="2" t="s">
        <v>495</v>
      </c>
      <c r="L6494" s="13" t="s">
        <v>496</v>
      </c>
      <c r="M6494" s="2" t="s">
        <v>26</v>
      </c>
      <c r="N6494" s="29"/>
      <c r="O6494" s="29"/>
      <c r="P6494" s="5" t="str">
        <f>IFERROR(__xludf.DUMMYFUNCTION("TEXTJOIN("" | "",TRUE,IF(OR(D6494="""",E6494="""",I6494="""",J6494="""",H6494=""""),""ফাঁকা ঘর"",""""),IF(AND(C6494&lt;&gt;"""",D6494&lt;&gt;"""",C6494=D6494),""gloss=figurative"",""""),IF(LEN(D6494)&lt;15,""figurative ছোট"",""""),IF(AND(I6494=""Positive"",REGEXMATCH(H6"&amp;"494,""মূর্খ|ভণ্ড|প্রতার|অলস|লোভ|স্বার্থ|অক্ষম|অযোগ্য|বোকা|কৃপণ|হিংস"")),""valence-target অমিল"",""""),IF(COUNTIF($B:$B,B6494)&gt;1,""ডুপ্লিকেট"",""""))"),"")</f>
        <v/>
      </c>
      <c r="Q6494" s="5" t="str">
        <f t="shared" si="1"/>
        <v>২ পরে</v>
      </c>
    </row>
    <row r="6495">
      <c r="A6495" s="4">
        <v>4411.0</v>
      </c>
      <c r="B6495" s="2" t="s">
        <v>26478</v>
      </c>
      <c r="C6495" s="2" t="s">
        <v>26479</v>
      </c>
      <c r="D6495" s="2" t="s">
        <v>26480</v>
      </c>
      <c r="E6495" s="2" t="s">
        <v>26481</v>
      </c>
      <c r="F6495" s="2" t="b">
        <v>1</v>
      </c>
      <c r="G6495" s="2" t="b">
        <v>0</v>
      </c>
      <c r="H6495" s="2" t="s">
        <v>37</v>
      </c>
      <c r="I6495" s="2" t="s">
        <v>22</v>
      </c>
      <c r="J6495" s="2" t="s">
        <v>565</v>
      </c>
      <c r="K6495" s="2" t="s">
        <v>495</v>
      </c>
      <c r="L6495" s="13" t="s">
        <v>496</v>
      </c>
      <c r="M6495" s="2" t="s">
        <v>26</v>
      </c>
      <c r="N6495" s="29"/>
      <c r="O6495" s="29"/>
      <c r="P6495" s="5" t="str">
        <f>IFERROR(__xludf.DUMMYFUNCTION("TEXTJOIN("" | "",TRUE,IF(OR(D6495="""",E6495="""",I6495="""",J6495="""",H6495=""""),""ফাঁকা ঘর"",""""),IF(AND(C6495&lt;&gt;"""",D6495&lt;&gt;"""",C6495=D6495),""gloss=figurative"",""""),IF(LEN(D6495)&lt;15,""figurative ছোট"",""""),IF(AND(I6495=""Positive"",REGEXMATCH(H6"&amp;"495,""মূর্খ|ভণ্ড|প্রতার|অলস|লোভ|স্বার্থ|অক্ষম|অযোগ্য|বোকা|কৃপণ|হিংস"")),""valence-target অমিল"",""""),IF(COUNTIF($B:$B,B6495)&gt;1,""ডুপ্লিকেট"",""""))"),"")</f>
        <v/>
      </c>
      <c r="Q6495" s="5" t="str">
        <f t="shared" si="1"/>
        <v>২ পরে</v>
      </c>
    </row>
    <row r="6496">
      <c r="A6496" s="4">
        <v>4412.0</v>
      </c>
      <c r="B6496" s="2" t="s">
        <v>26482</v>
      </c>
      <c r="C6496" s="2" t="s">
        <v>26483</v>
      </c>
      <c r="D6496" s="2" t="s">
        <v>26484</v>
      </c>
      <c r="E6496" s="2" t="s">
        <v>26485</v>
      </c>
      <c r="F6496" s="2" t="b">
        <v>1</v>
      </c>
      <c r="G6496" s="2" t="b">
        <v>0</v>
      </c>
      <c r="H6496" s="2" t="s">
        <v>37</v>
      </c>
      <c r="I6496" s="2" t="s">
        <v>22</v>
      </c>
      <c r="J6496" s="2" t="s">
        <v>1038</v>
      </c>
      <c r="K6496" s="2" t="s">
        <v>495</v>
      </c>
      <c r="L6496" s="13" t="s">
        <v>496</v>
      </c>
      <c r="M6496" s="2" t="s">
        <v>26</v>
      </c>
      <c r="N6496" s="29"/>
      <c r="O6496" s="29"/>
      <c r="P6496" s="5" t="str">
        <f>IFERROR(__xludf.DUMMYFUNCTION("TEXTJOIN("" | "",TRUE,IF(OR(D6496="""",E6496="""",I6496="""",J6496="""",H6496=""""),""ফাঁকা ঘর"",""""),IF(AND(C6496&lt;&gt;"""",D6496&lt;&gt;"""",C6496=D6496),""gloss=figurative"",""""),IF(LEN(D6496)&lt;15,""figurative ছোট"",""""),IF(AND(I6496=""Positive"",REGEXMATCH(H6"&amp;"496,""মূর্খ|ভণ্ড|প্রতার|অলস|লোভ|স্বার্থ|অক্ষম|অযোগ্য|বোকা|কৃপণ|হিংস"")),""valence-target অমিল"",""""),IF(COUNTIF($B:$B,B6496)&gt;1,""ডুপ্লিকেট"",""""))"),"")</f>
        <v/>
      </c>
      <c r="Q6496" s="5" t="str">
        <f t="shared" si="1"/>
        <v>২ পরে</v>
      </c>
    </row>
    <row r="6497">
      <c r="A6497" s="4">
        <v>4413.0</v>
      </c>
      <c r="B6497" s="2" t="s">
        <v>26486</v>
      </c>
      <c r="C6497" s="2" t="s">
        <v>26487</v>
      </c>
      <c r="D6497" s="2" t="s">
        <v>26488</v>
      </c>
      <c r="E6497" s="2" t="s">
        <v>26489</v>
      </c>
      <c r="F6497" s="2" t="b">
        <v>1</v>
      </c>
      <c r="G6497" s="2" t="b">
        <v>0</v>
      </c>
      <c r="H6497" s="2" t="s">
        <v>37</v>
      </c>
      <c r="I6497" s="2" t="s">
        <v>22</v>
      </c>
      <c r="J6497" s="2" t="s">
        <v>739</v>
      </c>
      <c r="K6497" s="2" t="s">
        <v>495</v>
      </c>
      <c r="L6497" s="13" t="s">
        <v>496</v>
      </c>
      <c r="M6497" s="2" t="s">
        <v>26</v>
      </c>
      <c r="N6497" s="29"/>
      <c r="O6497" s="29"/>
      <c r="P6497" s="5" t="str">
        <f>IFERROR(__xludf.DUMMYFUNCTION("TEXTJOIN("" | "",TRUE,IF(OR(D6497="""",E6497="""",I6497="""",J6497="""",H6497=""""),""ফাঁকা ঘর"",""""),IF(AND(C6497&lt;&gt;"""",D6497&lt;&gt;"""",C6497=D6497),""gloss=figurative"",""""),IF(LEN(D6497)&lt;15,""figurative ছোট"",""""),IF(AND(I6497=""Positive"",REGEXMATCH(H6"&amp;"497,""মূর্খ|ভণ্ড|প্রতার|অলস|লোভ|স্বার্থ|অক্ষম|অযোগ্য|বোকা|কৃপণ|হিংস"")),""valence-target অমিল"",""""),IF(COUNTIF($B:$B,B6497)&gt;1,""ডুপ্লিকেট"",""""))"),"")</f>
        <v/>
      </c>
      <c r="Q6497" s="5" t="str">
        <f t="shared" si="1"/>
        <v>২ পরে</v>
      </c>
    </row>
    <row r="6498">
      <c r="A6498" s="4">
        <v>4414.0</v>
      </c>
      <c r="B6498" s="2" t="s">
        <v>26490</v>
      </c>
      <c r="C6498" s="2" t="s">
        <v>26491</v>
      </c>
      <c r="D6498" s="2" t="s">
        <v>26492</v>
      </c>
      <c r="E6498" s="2" t="s">
        <v>26493</v>
      </c>
      <c r="F6498" s="2" t="b">
        <v>1</v>
      </c>
      <c r="G6498" s="2" t="b">
        <v>0</v>
      </c>
      <c r="H6498" s="2" t="s">
        <v>37</v>
      </c>
      <c r="I6498" s="2" t="s">
        <v>22</v>
      </c>
      <c r="J6498" s="2" t="s">
        <v>1438</v>
      </c>
      <c r="K6498" s="2" t="s">
        <v>495</v>
      </c>
      <c r="L6498" s="13" t="s">
        <v>496</v>
      </c>
      <c r="M6498" s="2" t="s">
        <v>26</v>
      </c>
      <c r="N6498" s="29"/>
      <c r="O6498" s="29"/>
      <c r="P6498" s="5" t="str">
        <f>IFERROR(__xludf.DUMMYFUNCTION("TEXTJOIN("" | "",TRUE,IF(OR(D6498="""",E6498="""",I6498="""",J6498="""",H6498=""""),""ফাঁকা ঘর"",""""),IF(AND(C6498&lt;&gt;"""",D6498&lt;&gt;"""",C6498=D6498),""gloss=figurative"",""""),IF(LEN(D6498)&lt;15,""figurative ছোট"",""""),IF(AND(I6498=""Positive"",REGEXMATCH(H6"&amp;"498,""মূর্খ|ভণ্ড|প্রতার|অলস|লোভ|স্বার্থ|অক্ষম|অযোগ্য|বোকা|কৃপণ|হিংস"")),""valence-target অমিল"",""""),IF(COUNTIF($B:$B,B6498)&gt;1,""ডুপ্লিকেট"",""""))"),"")</f>
        <v/>
      </c>
      <c r="Q6498" s="5" t="str">
        <f t="shared" si="1"/>
        <v>২ পরে</v>
      </c>
    </row>
    <row r="6499">
      <c r="A6499" s="4">
        <v>4415.0</v>
      </c>
      <c r="B6499" s="2" t="s">
        <v>26494</v>
      </c>
      <c r="C6499" s="2" t="s">
        <v>26495</v>
      </c>
      <c r="D6499" s="2" t="s">
        <v>26496</v>
      </c>
      <c r="E6499" s="2" t="s">
        <v>26497</v>
      </c>
      <c r="F6499" s="2" t="b">
        <v>1</v>
      </c>
      <c r="G6499" s="2" t="b">
        <v>0</v>
      </c>
      <c r="H6499" s="2" t="s">
        <v>37</v>
      </c>
      <c r="I6499" s="2" t="s">
        <v>22</v>
      </c>
      <c r="J6499" s="2" t="s">
        <v>1686</v>
      </c>
      <c r="K6499" s="2" t="s">
        <v>495</v>
      </c>
      <c r="L6499" s="13" t="s">
        <v>496</v>
      </c>
      <c r="M6499" s="2" t="s">
        <v>26</v>
      </c>
      <c r="N6499" s="29"/>
      <c r="O6499" s="29"/>
      <c r="P6499" s="5" t="str">
        <f>IFERROR(__xludf.DUMMYFUNCTION("TEXTJOIN("" | "",TRUE,IF(OR(D6499="""",E6499="""",I6499="""",J6499="""",H6499=""""),""ফাঁকা ঘর"",""""),IF(AND(C6499&lt;&gt;"""",D6499&lt;&gt;"""",C6499=D6499),""gloss=figurative"",""""),IF(LEN(D6499)&lt;15,""figurative ছোট"",""""),IF(AND(I6499=""Positive"",REGEXMATCH(H6"&amp;"499,""মূর্খ|ভণ্ড|প্রতার|অলস|লোভ|স্বার্থ|অক্ষম|অযোগ্য|বোকা|কৃপণ|হিংস"")),""valence-target অমিল"",""""),IF(COUNTIF($B:$B,B6499)&gt;1,""ডুপ্লিকেট"",""""))"),"")</f>
        <v/>
      </c>
      <c r="Q6499" s="5" t="str">
        <f t="shared" si="1"/>
        <v>২ পরে</v>
      </c>
    </row>
    <row r="6500">
      <c r="A6500" s="4">
        <v>4416.0</v>
      </c>
      <c r="B6500" s="2" t="s">
        <v>26498</v>
      </c>
      <c r="C6500" s="2" t="s">
        <v>26499</v>
      </c>
      <c r="D6500" s="2" t="s">
        <v>26500</v>
      </c>
      <c r="E6500" s="2" t="s">
        <v>26501</v>
      </c>
      <c r="F6500" s="2" t="b">
        <v>1</v>
      </c>
      <c r="G6500" s="2" t="b">
        <v>0</v>
      </c>
      <c r="H6500" s="2" t="s">
        <v>37</v>
      </c>
      <c r="I6500" s="2" t="s">
        <v>49</v>
      </c>
      <c r="J6500" s="2" t="s">
        <v>7033</v>
      </c>
      <c r="K6500" s="2" t="s">
        <v>495</v>
      </c>
      <c r="L6500" s="13" t="s">
        <v>496</v>
      </c>
      <c r="M6500" s="2" t="s">
        <v>26</v>
      </c>
      <c r="N6500" s="29"/>
      <c r="O6500" s="29"/>
      <c r="P6500" s="5" t="str">
        <f>IFERROR(__xludf.DUMMYFUNCTION("TEXTJOIN("" | "",TRUE,IF(OR(D6500="""",E6500="""",I6500="""",J6500="""",H6500=""""),""ফাঁকা ঘর"",""""),IF(AND(C6500&lt;&gt;"""",D6500&lt;&gt;"""",C6500=D6500),""gloss=figurative"",""""),IF(LEN(D6500)&lt;15,""figurative ছোট"",""""),IF(AND(I6500=""Positive"",REGEXMATCH(H6"&amp;"500,""মূর্খ|ভণ্ড|প্রতার|অলস|লোভ|স্বার্থ|অক্ষম|অযোগ্য|বোকা|কৃপণ|হিংস"")),""valence-target অমিল"",""""),IF(COUNTIF($B:$B,B6500)&gt;1,""ডুপ্লিকেট"",""""))"),"")</f>
        <v/>
      </c>
      <c r="Q6500" s="5" t="str">
        <f t="shared" si="1"/>
        <v>২ পরে</v>
      </c>
    </row>
    <row r="6501">
      <c r="A6501" s="4">
        <v>4418.0</v>
      </c>
      <c r="B6501" s="2" t="s">
        <v>26502</v>
      </c>
      <c r="C6501" s="2" t="s">
        <v>26503</v>
      </c>
      <c r="D6501" s="2" t="s">
        <v>26504</v>
      </c>
      <c r="E6501" s="2" t="s">
        <v>26505</v>
      </c>
      <c r="F6501" s="2" t="b">
        <v>1</v>
      </c>
      <c r="G6501" s="2" t="b">
        <v>0</v>
      </c>
      <c r="H6501" s="2" t="s">
        <v>37</v>
      </c>
      <c r="I6501" s="2" t="s">
        <v>22</v>
      </c>
      <c r="J6501" s="2" t="s">
        <v>8409</v>
      </c>
      <c r="K6501" s="2" t="s">
        <v>495</v>
      </c>
      <c r="L6501" s="13" t="s">
        <v>496</v>
      </c>
      <c r="M6501" s="2" t="s">
        <v>26</v>
      </c>
      <c r="N6501" s="29"/>
      <c r="O6501" s="29"/>
      <c r="P6501" s="5" t="str">
        <f>IFERROR(__xludf.DUMMYFUNCTION("TEXTJOIN("" | "",TRUE,IF(OR(D6501="""",E6501="""",I6501="""",J6501="""",H6501=""""),""ফাঁকা ঘর"",""""),IF(AND(C6501&lt;&gt;"""",D6501&lt;&gt;"""",C6501=D6501),""gloss=figurative"",""""),IF(LEN(D6501)&lt;15,""figurative ছোট"",""""),IF(AND(I6501=""Positive"",REGEXMATCH(H6"&amp;"501,""মূর্খ|ভণ্ড|প্রতার|অলস|লোভ|স্বার্থ|অক্ষম|অযোগ্য|বোকা|কৃপণ|হিংস"")),""valence-target অমিল"",""""),IF(COUNTIF($B:$B,B6501)&gt;1,""ডুপ্লিকেট"",""""))"),"")</f>
        <v/>
      </c>
      <c r="Q6501" s="5" t="str">
        <f t="shared" si="1"/>
        <v>২ পরে</v>
      </c>
    </row>
    <row r="6502">
      <c r="A6502" s="4">
        <v>4421.0</v>
      </c>
      <c r="B6502" s="2" t="s">
        <v>26506</v>
      </c>
      <c r="C6502" s="2" t="s">
        <v>26507</v>
      </c>
      <c r="D6502" s="2" t="s">
        <v>26508</v>
      </c>
      <c r="E6502" s="2" t="s">
        <v>26509</v>
      </c>
      <c r="F6502" s="2" t="b">
        <v>1</v>
      </c>
      <c r="G6502" s="2" t="b">
        <v>0</v>
      </c>
      <c r="H6502" s="2" t="s">
        <v>37</v>
      </c>
      <c r="I6502" s="2" t="s">
        <v>22</v>
      </c>
      <c r="J6502" s="2" t="s">
        <v>1438</v>
      </c>
      <c r="K6502" s="2" t="s">
        <v>495</v>
      </c>
      <c r="L6502" s="13" t="s">
        <v>496</v>
      </c>
      <c r="M6502" s="2" t="s">
        <v>26</v>
      </c>
      <c r="N6502" s="29"/>
      <c r="O6502" s="29"/>
      <c r="P6502" s="5" t="str">
        <f>IFERROR(__xludf.DUMMYFUNCTION("TEXTJOIN("" | "",TRUE,IF(OR(D6502="""",E6502="""",I6502="""",J6502="""",H6502=""""),""ফাঁকা ঘর"",""""),IF(AND(C6502&lt;&gt;"""",D6502&lt;&gt;"""",C6502=D6502),""gloss=figurative"",""""),IF(LEN(D6502)&lt;15,""figurative ছোট"",""""),IF(AND(I6502=""Positive"",REGEXMATCH(H6"&amp;"502,""মূর্খ|ভণ্ড|প্রতার|অলস|লোভ|স্বার্থ|অক্ষম|অযোগ্য|বোকা|কৃপণ|হিংস"")),""valence-target অমিল"",""""),IF(COUNTIF($B:$B,B6502)&gt;1,""ডুপ্লিকেট"",""""))"),"")</f>
        <v/>
      </c>
      <c r="Q6502" s="5" t="str">
        <f t="shared" si="1"/>
        <v>২ পরে</v>
      </c>
    </row>
    <row r="6503">
      <c r="A6503" s="4">
        <v>4422.0</v>
      </c>
      <c r="B6503" s="2" t="s">
        <v>26510</v>
      </c>
      <c r="C6503" s="2" t="s">
        <v>26510</v>
      </c>
      <c r="D6503" s="2" t="s">
        <v>26511</v>
      </c>
      <c r="E6503" s="2" t="s">
        <v>26512</v>
      </c>
      <c r="F6503" s="2" t="b">
        <v>1</v>
      </c>
      <c r="G6503" s="2" t="b">
        <v>0</v>
      </c>
      <c r="H6503" s="2" t="s">
        <v>37</v>
      </c>
      <c r="I6503" s="2" t="s">
        <v>49</v>
      </c>
      <c r="J6503" s="2" t="s">
        <v>1060</v>
      </c>
      <c r="K6503" s="2" t="s">
        <v>495</v>
      </c>
      <c r="L6503" s="13" t="s">
        <v>496</v>
      </c>
      <c r="M6503" s="2" t="s">
        <v>26</v>
      </c>
      <c r="N6503" s="29"/>
      <c r="O6503" s="29"/>
      <c r="P6503" s="5" t="str">
        <f>IFERROR(__xludf.DUMMYFUNCTION("TEXTJOIN("" | "",TRUE,IF(OR(D6503="""",E6503="""",I6503="""",J6503="""",H6503=""""),""ফাঁকা ঘর"",""""),IF(AND(C6503&lt;&gt;"""",D6503&lt;&gt;"""",C6503=D6503),""gloss=figurative"",""""),IF(LEN(D6503)&lt;15,""figurative ছোট"",""""),IF(AND(I6503=""Positive"",REGEXMATCH(H6"&amp;"503,""মূর্খ|ভণ্ড|প্রতার|অলস|লোভ|স্বার্থ|অক্ষম|অযোগ্য|বোকা|কৃপণ|হিংস"")),""valence-target অমিল"",""""),IF(COUNTIF($B:$B,B6503)&gt;1,""ডুপ্লিকেট"",""""))"),"")</f>
        <v/>
      </c>
      <c r="Q6503" s="5" t="str">
        <f t="shared" si="1"/>
        <v>২ পরে</v>
      </c>
    </row>
    <row r="6504">
      <c r="A6504" s="4">
        <v>4423.0</v>
      </c>
      <c r="B6504" s="2" t="s">
        <v>26513</v>
      </c>
      <c r="C6504" s="2" t="s">
        <v>26514</v>
      </c>
      <c r="D6504" s="2" t="s">
        <v>26515</v>
      </c>
      <c r="E6504" s="2" t="s">
        <v>26516</v>
      </c>
      <c r="F6504" s="2" t="b">
        <v>1</v>
      </c>
      <c r="G6504" s="2" t="b">
        <v>0</v>
      </c>
      <c r="H6504" s="2" t="s">
        <v>37</v>
      </c>
      <c r="I6504" s="2" t="s">
        <v>22</v>
      </c>
      <c r="J6504" s="2" t="s">
        <v>842</v>
      </c>
      <c r="K6504" s="2" t="s">
        <v>495</v>
      </c>
      <c r="L6504" s="13" t="s">
        <v>496</v>
      </c>
      <c r="M6504" s="2" t="s">
        <v>26</v>
      </c>
      <c r="N6504" s="29"/>
      <c r="O6504" s="29"/>
      <c r="P6504" s="5" t="str">
        <f>IFERROR(__xludf.DUMMYFUNCTION("TEXTJOIN("" | "",TRUE,IF(OR(D6504="""",E6504="""",I6504="""",J6504="""",H6504=""""),""ফাঁকা ঘর"",""""),IF(AND(C6504&lt;&gt;"""",D6504&lt;&gt;"""",C6504=D6504),""gloss=figurative"",""""),IF(LEN(D6504)&lt;15,""figurative ছোট"",""""),IF(AND(I6504=""Positive"",REGEXMATCH(H6"&amp;"504,""মূর্খ|ভণ্ড|প্রতার|অলস|লোভ|স্বার্থ|অক্ষম|অযোগ্য|বোকা|কৃপণ|হিংস"")),""valence-target অমিল"",""""),IF(COUNTIF($B:$B,B6504)&gt;1,""ডুপ্লিকেট"",""""))"),"")</f>
        <v/>
      </c>
      <c r="Q6504" s="5" t="str">
        <f t="shared" si="1"/>
        <v>২ পরে</v>
      </c>
    </row>
    <row r="6505">
      <c r="A6505" s="4">
        <v>4424.0</v>
      </c>
      <c r="B6505" s="2" t="s">
        <v>26517</v>
      </c>
      <c r="C6505" s="2" t="s">
        <v>26518</v>
      </c>
      <c r="D6505" s="2" t="s">
        <v>26519</v>
      </c>
      <c r="E6505" s="2" t="s">
        <v>26520</v>
      </c>
      <c r="F6505" s="2" t="b">
        <v>1</v>
      </c>
      <c r="G6505" s="2" t="b">
        <v>0</v>
      </c>
      <c r="H6505" s="2" t="s">
        <v>37</v>
      </c>
      <c r="I6505" s="2" t="s">
        <v>22</v>
      </c>
      <c r="J6505" s="2" t="s">
        <v>1126</v>
      </c>
      <c r="K6505" s="2" t="s">
        <v>495</v>
      </c>
      <c r="L6505" s="13" t="s">
        <v>496</v>
      </c>
      <c r="M6505" s="2" t="s">
        <v>26</v>
      </c>
      <c r="N6505" s="29"/>
      <c r="O6505" s="29"/>
      <c r="P6505" s="5" t="str">
        <f>IFERROR(__xludf.DUMMYFUNCTION("TEXTJOIN("" | "",TRUE,IF(OR(D6505="""",E6505="""",I6505="""",J6505="""",H6505=""""),""ফাঁকা ঘর"",""""),IF(AND(C6505&lt;&gt;"""",D6505&lt;&gt;"""",C6505=D6505),""gloss=figurative"",""""),IF(LEN(D6505)&lt;15,""figurative ছোট"",""""),IF(AND(I6505=""Positive"",REGEXMATCH(H6"&amp;"505,""মূর্খ|ভণ্ড|প্রতার|অলস|লোভ|স্বার্থ|অক্ষম|অযোগ্য|বোকা|কৃপণ|হিংস"")),""valence-target অমিল"",""""),IF(COUNTIF($B:$B,B6505)&gt;1,""ডুপ্লিকেট"",""""))"),"")</f>
        <v/>
      </c>
      <c r="Q6505" s="5" t="str">
        <f t="shared" si="1"/>
        <v>২ পরে</v>
      </c>
    </row>
    <row r="6506">
      <c r="A6506" s="4">
        <v>4425.0</v>
      </c>
      <c r="B6506" s="2" t="s">
        <v>26521</v>
      </c>
      <c r="C6506" s="2" t="s">
        <v>26522</v>
      </c>
      <c r="D6506" s="2" t="s">
        <v>26523</v>
      </c>
      <c r="E6506" s="2" t="s">
        <v>26524</v>
      </c>
      <c r="F6506" s="2" t="b">
        <v>1</v>
      </c>
      <c r="G6506" s="2" t="b">
        <v>0</v>
      </c>
      <c r="H6506" s="2" t="s">
        <v>37</v>
      </c>
      <c r="I6506" s="2" t="s">
        <v>22</v>
      </c>
      <c r="J6506" s="2" t="s">
        <v>4946</v>
      </c>
      <c r="K6506" s="2" t="s">
        <v>495</v>
      </c>
      <c r="L6506" s="13" t="s">
        <v>496</v>
      </c>
      <c r="M6506" s="2" t="s">
        <v>26</v>
      </c>
      <c r="N6506" s="29"/>
      <c r="O6506" s="29"/>
      <c r="P6506" s="5" t="str">
        <f>IFERROR(__xludf.DUMMYFUNCTION("TEXTJOIN("" | "",TRUE,IF(OR(D6506="""",E6506="""",I6506="""",J6506="""",H6506=""""),""ফাঁকা ঘর"",""""),IF(AND(C6506&lt;&gt;"""",D6506&lt;&gt;"""",C6506=D6506),""gloss=figurative"",""""),IF(LEN(D6506)&lt;15,""figurative ছোট"",""""),IF(AND(I6506=""Positive"",REGEXMATCH(H6"&amp;"506,""মূর্খ|ভণ্ড|প্রতার|অলস|লোভ|স্বার্থ|অক্ষম|অযোগ্য|বোকা|কৃপণ|হিংস"")),""valence-target অমিল"",""""),IF(COUNTIF($B:$B,B6506)&gt;1,""ডুপ্লিকেট"",""""))"),"")</f>
        <v/>
      </c>
      <c r="Q6506" s="5" t="str">
        <f t="shared" si="1"/>
        <v>২ পরে</v>
      </c>
    </row>
    <row r="6507">
      <c r="A6507" s="4">
        <v>4426.0</v>
      </c>
      <c r="B6507" s="2" t="s">
        <v>26525</v>
      </c>
      <c r="C6507" s="2" t="s">
        <v>26526</v>
      </c>
      <c r="D6507" s="2" t="s">
        <v>26527</v>
      </c>
      <c r="E6507" s="2" t="s">
        <v>26528</v>
      </c>
      <c r="F6507" s="2" t="b">
        <v>1</v>
      </c>
      <c r="G6507" s="2" t="b">
        <v>0</v>
      </c>
      <c r="H6507" s="2" t="s">
        <v>37</v>
      </c>
      <c r="I6507" s="2" t="s">
        <v>32</v>
      </c>
      <c r="J6507" s="2" t="s">
        <v>1443</v>
      </c>
      <c r="K6507" s="2" t="s">
        <v>495</v>
      </c>
      <c r="L6507" s="13" t="s">
        <v>496</v>
      </c>
      <c r="M6507" s="2" t="s">
        <v>26</v>
      </c>
      <c r="N6507" s="29"/>
      <c r="O6507" s="29"/>
      <c r="P6507" s="5" t="str">
        <f>IFERROR(__xludf.DUMMYFUNCTION("TEXTJOIN("" | "",TRUE,IF(OR(D6507="""",E6507="""",I6507="""",J6507="""",H6507=""""),""ফাঁকা ঘর"",""""),IF(AND(C6507&lt;&gt;"""",D6507&lt;&gt;"""",C6507=D6507),""gloss=figurative"",""""),IF(LEN(D6507)&lt;15,""figurative ছোট"",""""),IF(AND(I6507=""Positive"",REGEXMATCH(H6"&amp;"507,""মূর্খ|ভণ্ড|প্রতার|অলস|লোভ|স্বার্থ|অক্ষম|অযোগ্য|বোকা|কৃপণ|হিংস"")),""valence-target অমিল"",""""),IF(COUNTIF($B:$B,B6507)&gt;1,""ডুপ্লিকেট"",""""))"),"")</f>
        <v/>
      </c>
      <c r="Q6507" s="5" t="str">
        <f t="shared" si="1"/>
        <v>২ পরে</v>
      </c>
    </row>
    <row r="6508">
      <c r="A6508" s="4">
        <v>4427.0</v>
      </c>
      <c r="B6508" s="2" t="s">
        <v>26529</v>
      </c>
      <c r="C6508" s="2" t="s">
        <v>26530</v>
      </c>
      <c r="D6508" s="2" t="s">
        <v>26531</v>
      </c>
      <c r="E6508" s="2" t="s">
        <v>26532</v>
      </c>
      <c r="F6508" s="2" t="b">
        <v>1</v>
      </c>
      <c r="G6508" s="2" t="b">
        <v>0</v>
      </c>
      <c r="H6508" s="2" t="s">
        <v>37</v>
      </c>
      <c r="I6508" s="2" t="s">
        <v>49</v>
      </c>
      <c r="J6508" s="2" t="s">
        <v>208</v>
      </c>
      <c r="K6508" s="2" t="s">
        <v>495</v>
      </c>
      <c r="L6508" s="13" t="s">
        <v>496</v>
      </c>
      <c r="M6508" s="2" t="s">
        <v>26</v>
      </c>
      <c r="N6508" s="29"/>
      <c r="O6508" s="29"/>
      <c r="P6508" s="5" t="str">
        <f>IFERROR(__xludf.DUMMYFUNCTION("TEXTJOIN("" | "",TRUE,IF(OR(D6508="""",E6508="""",I6508="""",J6508="""",H6508=""""),""ফাঁকা ঘর"",""""),IF(AND(C6508&lt;&gt;"""",D6508&lt;&gt;"""",C6508=D6508),""gloss=figurative"",""""),IF(LEN(D6508)&lt;15,""figurative ছোট"",""""),IF(AND(I6508=""Positive"",REGEXMATCH(H6"&amp;"508,""মূর্খ|ভণ্ড|প্রতার|অলস|লোভ|স্বার্থ|অক্ষম|অযোগ্য|বোকা|কৃপণ|হিংস"")),""valence-target অমিল"",""""),IF(COUNTIF($B:$B,B6508)&gt;1,""ডুপ্লিকেট"",""""))"),"")</f>
        <v/>
      </c>
      <c r="Q6508" s="5" t="str">
        <f t="shared" si="1"/>
        <v>২ পরে</v>
      </c>
    </row>
    <row r="6509">
      <c r="A6509" s="4">
        <v>4428.0</v>
      </c>
      <c r="B6509" s="2" t="s">
        <v>26533</v>
      </c>
      <c r="C6509" s="2" t="s">
        <v>26534</v>
      </c>
      <c r="D6509" s="2" t="s">
        <v>26535</v>
      </c>
      <c r="E6509" s="2" t="s">
        <v>26536</v>
      </c>
      <c r="F6509" s="2" t="b">
        <v>1</v>
      </c>
      <c r="G6509" s="2" t="b">
        <v>0</v>
      </c>
      <c r="H6509" s="2" t="s">
        <v>37</v>
      </c>
      <c r="I6509" s="2" t="s">
        <v>49</v>
      </c>
      <c r="J6509" s="2" t="s">
        <v>565</v>
      </c>
      <c r="K6509" s="2" t="s">
        <v>495</v>
      </c>
      <c r="L6509" s="13" t="s">
        <v>496</v>
      </c>
      <c r="M6509" s="2" t="s">
        <v>26</v>
      </c>
      <c r="N6509" s="29"/>
      <c r="O6509" s="29"/>
      <c r="P6509" s="5" t="str">
        <f>IFERROR(__xludf.DUMMYFUNCTION("TEXTJOIN("" | "",TRUE,IF(OR(D6509="""",E6509="""",I6509="""",J6509="""",H6509=""""),""ফাঁকা ঘর"",""""),IF(AND(C6509&lt;&gt;"""",D6509&lt;&gt;"""",C6509=D6509),""gloss=figurative"",""""),IF(LEN(D6509)&lt;15,""figurative ছোট"",""""),IF(AND(I6509=""Positive"",REGEXMATCH(H6"&amp;"509,""মূর্খ|ভণ্ড|প্রতার|অলস|লোভ|স্বার্থ|অক্ষম|অযোগ্য|বোকা|কৃপণ|হিংস"")),""valence-target অমিল"",""""),IF(COUNTIF($B:$B,B6509)&gt;1,""ডুপ্লিকেট"",""""))"),"")</f>
        <v/>
      </c>
      <c r="Q6509" s="5" t="str">
        <f t="shared" si="1"/>
        <v>২ পরে</v>
      </c>
    </row>
    <row r="6510">
      <c r="A6510" s="4">
        <v>4429.0</v>
      </c>
      <c r="B6510" s="2" t="s">
        <v>26537</v>
      </c>
      <c r="C6510" s="2" t="s">
        <v>26538</v>
      </c>
      <c r="D6510" s="2" t="s">
        <v>26539</v>
      </c>
      <c r="E6510" s="2" t="s">
        <v>26540</v>
      </c>
      <c r="F6510" s="2" t="b">
        <v>1</v>
      </c>
      <c r="G6510" s="2" t="b">
        <v>0</v>
      </c>
      <c r="H6510" s="2" t="s">
        <v>37</v>
      </c>
      <c r="I6510" s="2" t="s">
        <v>22</v>
      </c>
      <c r="J6510" s="2" t="s">
        <v>10509</v>
      </c>
      <c r="K6510" s="2" t="s">
        <v>495</v>
      </c>
      <c r="L6510" s="13" t="s">
        <v>496</v>
      </c>
      <c r="M6510" s="2" t="s">
        <v>26</v>
      </c>
      <c r="N6510" s="29"/>
      <c r="O6510" s="29"/>
      <c r="P6510" s="5" t="str">
        <f>IFERROR(__xludf.DUMMYFUNCTION("TEXTJOIN("" | "",TRUE,IF(OR(D6510="""",E6510="""",I6510="""",J6510="""",H6510=""""),""ফাঁকা ঘর"",""""),IF(AND(C6510&lt;&gt;"""",D6510&lt;&gt;"""",C6510=D6510),""gloss=figurative"",""""),IF(LEN(D6510)&lt;15,""figurative ছোট"",""""),IF(AND(I6510=""Positive"",REGEXMATCH(H6"&amp;"510,""মূর্খ|ভণ্ড|প্রতার|অলস|লোভ|স্বার্থ|অক্ষম|অযোগ্য|বোকা|কৃপণ|হিংস"")),""valence-target অমিল"",""""),IF(COUNTIF($B:$B,B6510)&gt;1,""ডুপ্লিকেট"",""""))"),"")</f>
        <v/>
      </c>
      <c r="Q6510" s="5" t="str">
        <f t="shared" si="1"/>
        <v>২ পরে</v>
      </c>
    </row>
    <row r="6511">
      <c r="A6511" s="4">
        <v>4430.0</v>
      </c>
      <c r="B6511" s="2" t="s">
        <v>26541</v>
      </c>
      <c r="C6511" s="2" t="s">
        <v>26541</v>
      </c>
      <c r="D6511" s="2" t="s">
        <v>26542</v>
      </c>
      <c r="E6511" s="2" t="s">
        <v>26543</v>
      </c>
      <c r="F6511" s="2" t="b">
        <v>1</v>
      </c>
      <c r="G6511" s="2" t="b">
        <v>0</v>
      </c>
      <c r="H6511" s="2" t="s">
        <v>37</v>
      </c>
      <c r="I6511" s="2" t="s">
        <v>22</v>
      </c>
      <c r="J6511" s="2" t="s">
        <v>830</v>
      </c>
      <c r="K6511" s="2" t="s">
        <v>495</v>
      </c>
      <c r="L6511" s="13" t="s">
        <v>496</v>
      </c>
      <c r="M6511" s="2" t="s">
        <v>26</v>
      </c>
      <c r="N6511" s="29"/>
      <c r="O6511" s="29"/>
      <c r="P6511" s="5" t="str">
        <f>IFERROR(__xludf.DUMMYFUNCTION("TEXTJOIN("" | "",TRUE,IF(OR(D6511="""",E6511="""",I6511="""",J6511="""",H6511=""""),""ফাঁকা ঘর"",""""),IF(AND(C6511&lt;&gt;"""",D6511&lt;&gt;"""",C6511=D6511),""gloss=figurative"",""""),IF(LEN(D6511)&lt;15,""figurative ছোট"",""""),IF(AND(I6511=""Positive"",REGEXMATCH(H6"&amp;"511,""মূর্খ|ভণ্ড|প্রতার|অলস|লোভ|স্বার্থ|অক্ষম|অযোগ্য|বোকা|কৃপণ|হিংস"")),""valence-target অমিল"",""""),IF(COUNTIF($B:$B,B6511)&gt;1,""ডুপ্লিকেট"",""""))"),"")</f>
        <v/>
      </c>
      <c r="Q6511" s="5" t="str">
        <f t="shared" si="1"/>
        <v>২ পরে</v>
      </c>
    </row>
    <row r="6512">
      <c r="A6512" s="4">
        <v>4431.0</v>
      </c>
      <c r="B6512" s="2" t="s">
        <v>26544</v>
      </c>
      <c r="C6512" s="2" t="s">
        <v>26545</v>
      </c>
      <c r="D6512" s="2" t="s">
        <v>26546</v>
      </c>
      <c r="E6512" s="2" t="s">
        <v>26547</v>
      </c>
      <c r="F6512" s="2" t="b">
        <v>1</v>
      </c>
      <c r="G6512" s="2" t="b">
        <v>0</v>
      </c>
      <c r="H6512" s="2" t="s">
        <v>37</v>
      </c>
      <c r="I6512" s="2" t="s">
        <v>49</v>
      </c>
      <c r="J6512" s="2" t="s">
        <v>2165</v>
      </c>
      <c r="K6512" s="2" t="s">
        <v>495</v>
      </c>
      <c r="L6512" s="13" t="s">
        <v>496</v>
      </c>
      <c r="M6512" s="2" t="s">
        <v>26</v>
      </c>
      <c r="N6512" s="29"/>
      <c r="O6512" s="29"/>
      <c r="P6512" s="5" t="str">
        <f>IFERROR(__xludf.DUMMYFUNCTION("TEXTJOIN("" | "",TRUE,IF(OR(D6512="""",E6512="""",I6512="""",J6512="""",H6512=""""),""ফাঁকা ঘর"",""""),IF(AND(C6512&lt;&gt;"""",D6512&lt;&gt;"""",C6512=D6512),""gloss=figurative"",""""),IF(LEN(D6512)&lt;15,""figurative ছোট"",""""),IF(AND(I6512=""Positive"",REGEXMATCH(H6"&amp;"512,""মূর্খ|ভণ্ড|প্রতার|অলস|লোভ|স্বার্থ|অক্ষম|অযোগ্য|বোকা|কৃপণ|হিংস"")),""valence-target অমিল"",""""),IF(COUNTIF($B:$B,B6512)&gt;1,""ডুপ্লিকেট"",""""))"),"")</f>
        <v/>
      </c>
      <c r="Q6512" s="5" t="str">
        <f t="shared" si="1"/>
        <v>২ পরে</v>
      </c>
    </row>
    <row r="6513">
      <c r="A6513" s="4">
        <v>4432.0</v>
      </c>
      <c r="B6513" s="2" t="s">
        <v>26548</v>
      </c>
      <c r="C6513" s="2" t="s">
        <v>26549</v>
      </c>
      <c r="D6513" s="2" t="s">
        <v>26550</v>
      </c>
      <c r="E6513" s="2" t="s">
        <v>26551</v>
      </c>
      <c r="F6513" s="2" t="b">
        <v>1</v>
      </c>
      <c r="G6513" s="2" t="b">
        <v>0</v>
      </c>
      <c r="H6513" s="2" t="s">
        <v>37</v>
      </c>
      <c r="I6513" s="2" t="s">
        <v>22</v>
      </c>
      <c r="J6513" s="2" t="s">
        <v>2857</v>
      </c>
      <c r="K6513" s="2" t="s">
        <v>495</v>
      </c>
      <c r="L6513" s="13" t="s">
        <v>496</v>
      </c>
      <c r="M6513" s="2" t="s">
        <v>26</v>
      </c>
      <c r="N6513" s="29"/>
      <c r="O6513" s="29"/>
      <c r="P6513" s="5" t="str">
        <f>IFERROR(__xludf.DUMMYFUNCTION("TEXTJOIN("" | "",TRUE,IF(OR(D6513="""",E6513="""",I6513="""",J6513="""",H6513=""""),""ফাঁকা ঘর"",""""),IF(AND(C6513&lt;&gt;"""",D6513&lt;&gt;"""",C6513=D6513),""gloss=figurative"",""""),IF(LEN(D6513)&lt;15,""figurative ছোট"",""""),IF(AND(I6513=""Positive"",REGEXMATCH(H6"&amp;"513,""মূর্খ|ভণ্ড|প্রতার|অলস|লোভ|স্বার্থ|অক্ষম|অযোগ্য|বোকা|কৃপণ|হিংস"")),""valence-target অমিল"",""""),IF(COUNTIF($B:$B,B6513)&gt;1,""ডুপ্লিকেট"",""""))"),"")</f>
        <v/>
      </c>
      <c r="Q6513" s="5" t="str">
        <f t="shared" si="1"/>
        <v>২ পরে</v>
      </c>
    </row>
    <row r="6514">
      <c r="A6514" s="4">
        <v>4433.0</v>
      </c>
      <c r="B6514" s="2" t="s">
        <v>26552</v>
      </c>
      <c r="C6514" s="2" t="s">
        <v>26553</v>
      </c>
      <c r="D6514" s="2" t="s">
        <v>26554</v>
      </c>
      <c r="E6514" s="2" t="s">
        <v>26555</v>
      </c>
      <c r="F6514" s="2" t="b">
        <v>1</v>
      </c>
      <c r="G6514" s="2" t="b">
        <v>0</v>
      </c>
      <c r="H6514" s="2" t="s">
        <v>37</v>
      </c>
      <c r="I6514" s="2" t="s">
        <v>22</v>
      </c>
      <c r="J6514" s="2" t="s">
        <v>729</v>
      </c>
      <c r="K6514" s="2" t="s">
        <v>495</v>
      </c>
      <c r="L6514" s="13" t="s">
        <v>496</v>
      </c>
      <c r="M6514" s="2" t="s">
        <v>26</v>
      </c>
      <c r="N6514" s="29"/>
      <c r="O6514" s="29"/>
      <c r="P6514" s="5" t="str">
        <f>IFERROR(__xludf.DUMMYFUNCTION("TEXTJOIN("" | "",TRUE,IF(OR(D6514="""",E6514="""",I6514="""",J6514="""",H6514=""""),""ফাঁকা ঘর"",""""),IF(AND(C6514&lt;&gt;"""",D6514&lt;&gt;"""",C6514=D6514),""gloss=figurative"",""""),IF(LEN(D6514)&lt;15,""figurative ছোট"",""""),IF(AND(I6514=""Positive"",REGEXMATCH(H6"&amp;"514,""মূর্খ|ভণ্ড|প্রতার|অলস|লোভ|স্বার্থ|অক্ষম|অযোগ্য|বোকা|কৃপণ|হিংস"")),""valence-target অমিল"",""""),IF(COUNTIF($B:$B,B6514)&gt;1,""ডুপ্লিকেট"",""""))"),"")</f>
        <v/>
      </c>
      <c r="Q6514" s="5" t="str">
        <f t="shared" si="1"/>
        <v>২ পরে</v>
      </c>
    </row>
    <row r="6515">
      <c r="A6515" s="4">
        <v>4434.0</v>
      </c>
      <c r="B6515" s="2" t="s">
        <v>26556</v>
      </c>
      <c r="C6515" s="2" t="s">
        <v>26557</v>
      </c>
      <c r="D6515" s="2" t="s">
        <v>26558</v>
      </c>
      <c r="E6515" s="2" t="s">
        <v>26559</v>
      </c>
      <c r="F6515" s="2" t="b">
        <v>1</v>
      </c>
      <c r="G6515" s="2" t="b">
        <v>0</v>
      </c>
      <c r="H6515" s="2" t="s">
        <v>37</v>
      </c>
      <c r="I6515" s="2" t="s">
        <v>22</v>
      </c>
      <c r="J6515" s="2" t="s">
        <v>3506</v>
      </c>
      <c r="K6515" s="2" t="s">
        <v>495</v>
      </c>
      <c r="L6515" s="13" t="s">
        <v>496</v>
      </c>
      <c r="M6515" s="2" t="s">
        <v>26</v>
      </c>
      <c r="N6515" s="29"/>
      <c r="O6515" s="29"/>
      <c r="P6515" s="5" t="str">
        <f>IFERROR(__xludf.DUMMYFUNCTION("TEXTJOIN("" | "",TRUE,IF(OR(D6515="""",E6515="""",I6515="""",J6515="""",H6515=""""),""ফাঁকা ঘর"",""""),IF(AND(C6515&lt;&gt;"""",D6515&lt;&gt;"""",C6515=D6515),""gloss=figurative"",""""),IF(LEN(D6515)&lt;15,""figurative ছোট"",""""),IF(AND(I6515=""Positive"",REGEXMATCH(H6"&amp;"515,""মূর্খ|ভণ্ড|প্রতার|অলস|লোভ|স্বার্থ|অক্ষম|অযোগ্য|বোকা|কৃপণ|হিংস"")),""valence-target অমিল"",""""),IF(COUNTIF($B:$B,B6515)&gt;1,""ডুপ্লিকেট"",""""))"),"")</f>
        <v/>
      </c>
      <c r="Q6515" s="5" t="str">
        <f t="shared" si="1"/>
        <v>২ পরে</v>
      </c>
    </row>
    <row r="6516">
      <c r="A6516" s="4">
        <v>4435.0</v>
      </c>
      <c r="B6516" s="2" t="s">
        <v>26560</v>
      </c>
      <c r="C6516" s="2" t="s">
        <v>26561</v>
      </c>
      <c r="D6516" s="2" t="s">
        <v>26562</v>
      </c>
      <c r="E6516" s="2" t="s">
        <v>26563</v>
      </c>
      <c r="F6516" s="2" t="b">
        <v>1</v>
      </c>
      <c r="G6516" s="2" t="b">
        <v>0</v>
      </c>
      <c r="H6516" s="2" t="s">
        <v>37</v>
      </c>
      <c r="I6516" s="2" t="s">
        <v>22</v>
      </c>
      <c r="J6516" s="2" t="s">
        <v>836</v>
      </c>
      <c r="K6516" s="2" t="s">
        <v>495</v>
      </c>
      <c r="L6516" s="13" t="s">
        <v>496</v>
      </c>
      <c r="M6516" s="2" t="s">
        <v>26</v>
      </c>
      <c r="N6516" s="29"/>
      <c r="O6516" s="29"/>
      <c r="P6516" s="5" t="str">
        <f>IFERROR(__xludf.DUMMYFUNCTION("TEXTJOIN("" | "",TRUE,IF(OR(D6516="""",E6516="""",I6516="""",J6516="""",H6516=""""),""ফাঁকা ঘর"",""""),IF(AND(C6516&lt;&gt;"""",D6516&lt;&gt;"""",C6516=D6516),""gloss=figurative"",""""),IF(LEN(D6516)&lt;15,""figurative ছোট"",""""),IF(AND(I6516=""Positive"",REGEXMATCH(H6"&amp;"516,""মূর্খ|ভণ্ড|প্রতার|অলস|লোভ|স্বার্থ|অক্ষম|অযোগ্য|বোকা|কৃপণ|হিংস"")),""valence-target অমিল"",""""),IF(COUNTIF($B:$B,B6516)&gt;1,""ডুপ্লিকেট"",""""))"),"")</f>
        <v/>
      </c>
      <c r="Q6516" s="5" t="str">
        <f t="shared" si="1"/>
        <v>২ পরে</v>
      </c>
    </row>
    <row r="6517">
      <c r="A6517" s="4">
        <v>4436.0</v>
      </c>
      <c r="B6517" s="2" t="s">
        <v>26564</v>
      </c>
      <c r="C6517" s="2" t="s">
        <v>26565</v>
      </c>
      <c r="D6517" s="2" t="s">
        <v>26566</v>
      </c>
      <c r="E6517" s="2" t="s">
        <v>26567</v>
      </c>
      <c r="F6517" s="2" t="b">
        <v>1</v>
      </c>
      <c r="G6517" s="2" t="b">
        <v>0</v>
      </c>
      <c r="H6517" s="2" t="s">
        <v>1368</v>
      </c>
      <c r="I6517" s="2" t="s">
        <v>22</v>
      </c>
      <c r="J6517" s="2" t="s">
        <v>669</v>
      </c>
      <c r="K6517" s="2" t="s">
        <v>495</v>
      </c>
      <c r="L6517" s="13" t="s">
        <v>496</v>
      </c>
      <c r="M6517" s="2" t="s">
        <v>26</v>
      </c>
      <c r="N6517" s="29"/>
      <c r="O6517" s="29"/>
      <c r="P6517" s="5" t="str">
        <f>IFERROR(__xludf.DUMMYFUNCTION("TEXTJOIN("" | "",TRUE,IF(OR(D6517="""",E6517="""",I6517="""",J6517="""",H6517=""""),""ফাঁকা ঘর"",""""),IF(AND(C6517&lt;&gt;"""",D6517&lt;&gt;"""",C6517=D6517),""gloss=figurative"",""""),IF(LEN(D6517)&lt;15,""figurative ছোট"",""""),IF(AND(I6517=""Positive"",REGEXMATCH(H6"&amp;"517,""মূর্খ|ভণ্ড|প্রতার|অলস|লোভ|স্বার্থ|অক্ষম|অযোগ্য|বোকা|কৃপণ|হিংস"")),""valence-target অমিল"",""""),IF(COUNTIF($B:$B,B6517)&gt;1,""ডুপ্লিকেট"",""""))"),"")</f>
        <v/>
      </c>
      <c r="Q6517" s="5" t="str">
        <f t="shared" si="1"/>
        <v>২ পরে</v>
      </c>
    </row>
    <row r="6518">
      <c r="A6518" s="4">
        <v>4437.0</v>
      </c>
      <c r="B6518" s="2" t="s">
        <v>26568</v>
      </c>
      <c r="C6518" s="2" t="s">
        <v>26569</v>
      </c>
      <c r="D6518" s="2" t="s">
        <v>26570</v>
      </c>
      <c r="E6518" s="2" t="s">
        <v>26571</v>
      </c>
      <c r="F6518" s="2" t="b">
        <v>1</v>
      </c>
      <c r="G6518" s="2" t="b">
        <v>0</v>
      </c>
      <c r="H6518" s="2" t="s">
        <v>37</v>
      </c>
      <c r="I6518" s="2" t="s">
        <v>22</v>
      </c>
      <c r="J6518" s="2" t="s">
        <v>590</v>
      </c>
      <c r="K6518" s="2" t="s">
        <v>495</v>
      </c>
      <c r="L6518" s="13" t="s">
        <v>496</v>
      </c>
      <c r="M6518" s="2" t="s">
        <v>26</v>
      </c>
      <c r="N6518" s="29"/>
      <c r="O6518" s="29"/>
      <c r="P6518" s="5" t="str">
        <f>IFERROR(__xludf.DUMMYFUNCTION("TEXTJOIN("" | "",TRUE,IF(OR(D6518="""",E6518="""",I6518="""",J6518="""",H6518=""""),""ফাঁকা ঘর"",""""),IF(AND(C6518&lt;&gt;"""",D6518&lt;&gt;"""",C6518=D6518),""gloss=figurative"",""""),IF(LEN(D6518)&lt;15,""figurative ছোট"",""""),IF(AND(I6518=""Positive"",REGEXMATCH(H6"&amp;"518,""মূর্খ|ভণ্ড|প্রতার|অলস|লোভ|স্বার্থ|অক্ষম|অযোগ্য|বোকা|কৃপণ|হিংস"")),""valence-target অমিল"",""""),IF(COUNTIF($B:$B,B6518)&gt;1,""ডুপ্লিকেট"",""""))"),"")</f>
        <v/>
      </c>
      <c r="Q6518" s="5" t="str">
        <f t="shared" si="1"/>
        <v>২ পরে</v>
      </c>
    </row>
    <row r="6519">
      <c r="A6519" s="4">
        <v>4438.0</v>
      </c>
      <c r="B6519" s="2" t="s">
        <v>26572</v>
      </c>
      <c r="C6519" s="2" t="s">
        <v>26573</v>
      </c>
      <c r="D6519" s="2" t="s">
        <v>26574</v>
      </c>
      <c r="E6519" s="2" t="s">
        <v>26575</v>
      </c>
      <c r="F6519" s="2" t="b">
        <v>1</v>
      </c>
      <c r="G6519" s="2" t="b">
        <v>0</v>
      </c>
      <c r="H6519" s="2" t="s">
        <v>37</v>
      </c>
      <c r="I6519" s="2" t="s">
        <v>22</v>
      </c>
      <c r="J6519" s="2" t="s">
        <v>4551</v>
      </c>
      <c r="K6519" s="2" t="s">
        <v>495</v>
      </c>
      <c r="L6519" s="13" t="s">
        <v>496</v>
      </c>
      <c r="M6519" s="2" t="s">
        <v>26</v>
      </c>
      <c r="N6519" s="29"/>
      <c r="O6519" s="29"/>
      <c r="P6519" s="5" t="str">
        <f>IFERROR(__xludf.DUMMYFUNCTION("TEXTJOIN("" | "",TRUE,IF(OR(D6519="""",E6519="""",I6519="""",J6519="""",H6519=""""),""ফাঁকা ঘর"",""""),IF(AND(C6519&lt;&gt;"""",D6519&lt;&gt;"""",C6519=D6519),""gloss=figurative"",""""),IF(LEN(D6519)&lt;15,""figurative ছোট"",""""),IF(AND(I6519=""Positive"",REGEXMATCH(H6"&amp;"519,""মূর্খ|ভণ্ড|প্রতার|অলস|লোভ|স্বার্থ|অক্ষম|অযোগ্য|বোকা|কৃপণ|হিংস"")),""valence-target অমিল"",""""),IF(COUNTIF($B:$B,B6519)&gt;1,""ডুপ্লিকেট"",""""))"),"")</f>
        <v/>
      </c>
      <c r="Q6519" s="5" t="str">
        <f t="shared" si="1"/>
        <v>২ পরে</v>
      </c>
    </row>
    <row r="6520">
      <c r="A6520" s="4">
        <v>4440.0</v>
      </c>
      <c r="B6520" s="2" t="s">
        <v>26576</v>
      </c>
      <c r="C6520" s="2" t="s">
        <v>26576</v>
      </c>
      <c r="D6520" s="2" t="s">
        <v>26577</v>
      </c>
      <c r="E6520" s="2" t="s">
        <v>26578</v>
      </c>
      <c r="F6520" s="2" t="b">
        <v>1</v>
      </c>
      <c r="G6520" s="2" t="b">
        <v>0</v>
      </c>
      <c r="H6520" s="2" t="s">
        <v>37</v>
      </c>
      <c r="I6520" s="2" t="s">
        <v>22</v>
      </c>
      <c r="J6520" s="2" t="s">
        <v>22328</v>
      </c>
      <c r="K6520" s="2" t="s">
        <v>495</v>
      </c>
      <c r="L6520" s="13" t="s">
        <v>496</v>
      </c>
      <c r="M6520" s="2" t="s">
        <v>26</v>
      </c>
      <c r="N6520" s="29"/>
      <c r="O6520" s="29"/>
      <c r="P6520" s="5" t="str">
        <f>IFERROR(__xludf.DUMMYFUNCTION("TEXTJOIN("" | "",TRUE,IF(OR(D6520="""",E6520="""",I6520="""",J6520="""",H6520=""""),""ফাঁকা ঘর"",""""),IF(AND(C6520&lt;&gt;"""",D6520&lt;&gt;"""",C6520=D6520),""gloss=figurative"",""""),IF(LEN(D6520)&lt;15,""figurative ছোট"",""""),IF(AND(I6520=""Positive"",REGEXMATCH(H6"&amp;"520,""মূর্খ|ভণ্ড|প্রতার|অলস|লোভ|স্বার্থ|অক্ষম|অযোগ্য|বোকা|কৃপণ|হিংস"")),""valence-target অমিল"",""""),IF(COUNTIF($B:$B,B6520)&gt;1,""ডুপ্লিকেট"",""""))"),"")</f>
        <v/>
      </c>
      <c r="Q6520" s="5" t="str">
        <f t="shared" si="1"/>
        <v>২ পরে</v>
      </c>
    </row>
    <row r="6521">
      <c r="A6521" s="4">
        <v>4441.0</v>
      </c>
      <c r="B6521" s="2" t="s">
        <v>26579</v>
      </c>
      <c r="C6521" s="2" t="s">
        <v>26580</v>
      </c>
      <c r="D6521" s="2" t="s">
        <v>26581</v>
      </c>
      <c r="E6521" s="2" t="s">
        <v>26582</v>
      </c>
      <c r="F6521" s="2" t="b">
        <v>1</v>
      </c>
      <c r="G6521" s="2" t="b">
        <v>0</v>
      </c>
      <c r="H6521" s="2" t="s">
        <v>37</v>
      </c>
      <c r="I6521" s="2" t="s">
        <v>22</v>
      </c>
      <c r="J6521" s="2" t="s">
        <v>20727</v>
      </c>
      <c r="K6521" s="2" t="s">
        <v>495</v>
      </c>
      <c r="L6521" s="13" t="s">
        <v>496</v>
      </c>
      <c r="M6521" s="2" t="s">
        <v>26</v>
      </c>
      <c r="N6521" s="29"/>
      <c r="O6521" s="29"/>
      <c r="P6521" s="5" t="str">
        <f>IFERROR(__xludf.DUMMYFUNCTION("TEXTJOIN("" | "",TRUE,IF(OR(D6521="""",E6521="""",I6521="""",J6521="""",H6521=""""),""ফাঁকা ঘর"",""""),IF(AND(C6521&lt;&gt;"""",D6521&lt;&gt;"""",C6521=D6521),""gloss=figurative"",""""),IF(LEN(D6521)&lt;15,""figurative ছোট"",""""),IF(AND(I6521=""Positive"",REGEXMATCH(H6"&amp;"521,""মূর্খ|ভণ্ড|প্রতার|অলস|লোভ|স্বার্থ|অক্ষম|অযোগ্য|বোকা|কৃপণ|হিংস"")),""valence-target অমিল"",""""),IF(COUNTIF($B:$B,B6521)&gt;1,""ডুপ্লিকেট"",""""))"),"")</f>
        <v/>
      </c>
      <c r="Q6521" s="5" t="str">
        <f t="shared" si="1"/>
        <v>২ পরে</v>
      </c>
    </row>
    <row r="6522">
      <c r="A6522" s="4">
        <v>4442.0</v>
      </c>
      <c r="B6522" s="2" t="s">
        <v>26583</v>
      </c>
      <c r="C6522" s="2" t="s">
        <v>26584</v>
      </c>
      <c r="D6522" s="2" t="s">
        <v>26585</v>
      </c>
      <c r="E6522" s="2" t="s">
        <v>26586</v>
      </c>
      <c r="F6522" s="2" t="b">
        <v>1</v>
      </c>
      <c r="G6522" s="2" t="b">
        <v>0</v>
      </c>
      <c r="H6522" s="2" t="s">
        <v>37</v>
      </c>
      <c r="I6522" s="2" t="s">
        <v>22</v>
      </c>
      <c r="J6522" s="2" t="s">
        <v>3501</v>
      </c>
      <c r="K6522" s="2" t="s">
        <v>495</v>
      </c>
      <c r="L6522" s="13" t="s">
        <v>496</v>
      </c>
      <c r="M6522" s="2" t="s">
        <v>26</v>
      </c>
      <c r="N6522" s="29"/>
      <c r="O6522" s="29"/>
      <c r="P6522" s="5" t="str">
        <f>IFERROR(__xludf.DUMMYFUNCTION("TEXTJOIN("" | "",TRUE,IF(OR(D6522="""",E6522="""",I6522="""",J6522="""",H6522=""""),""ফাঁকা ঘর"",""""),IF(AND(C6522&lt;&gt;"""",D6522&lt;&gt;"""",C6522=D6522),""gloss=figurative"",""""),IF(LEN(D6522)&lt;15,""figurative ছোট"",""""),IF(AND(I6522=""Positive"",REGEXMATCH(H6"&amp;"522,""মূর্খ|ভণ্ড|প্রতার|অলস|লোভ|স্বার্থ|অক্ষম|অযোগ্য|বোকা|কৃপণ|হিংস"")),""valence-target অমিল"",""""),IF(COUNTIF($B:$B,B6522)&gt;1,""ডুপ্লিকেট"",""""))"),"")</f>
        <v/>
      </c>
      <c r="Q6522" s="5" t="str">
        <f t="shared" si="1"/>
        <v>২ পরে</v>
      </c>
    </row>
    <row r="6523">
      <c r="A6523" s="4">
        <v>4443.0</v>
      </c>
      <c r="B6523" s="2" t="s">
        <v>26587</v>
      </c>
      <c r="C6523" s="2" t="s">
        <v>26588</v>
      </c>
      <c r="D6523" s="2" t="s">
        <v>26589</v>
      </c>
      <c r="E6523" s="2" t="s">
        <v>26590</v>
      </c>
      <c r="F6523" s="2" t="b">
        <v>1</v>
      </c>
      <c r="G6523" s="2" t="b">
        <v>0</v>
      </c>
      <c r="H6523" s="2" t="s">
        <v>37</v>
      </c>
      <c r="I6523" s="2" t="s">
        <v>22</v>
      </c>
      <c r="J6523" s="2" t="s">
        <v>842</v>
      </c>
      <c r="K6523" s="2" t="s">
        <v>495</v>
      </c>
      <c r="L6523" s="13" t="s">
        <v>496</v>
      </c>
      <c r="M6523" s="2" t="s">
        <v>26</v>
      </c>
      <c r="N6523" s="29"/>
      <c r="O6523" s="29"/>
      <c r="P6523" s="5" t="str">
        <f>IFERROR(__xludf.DUMMYFUNCTION("TEXTJOIN("" | "",TRUE,IF(OR(D6523="""",E6523="""",I6523="""",J6523="""",H6523=""""),""ফাঁকা ঘর"",""""),IF(AND(C6523&lt;&gt;"""",D6523&lt;&gt;"""",C6523=D6523),""gloss=figurative"",""""),IF(LEN(D6523)&lt;15,""figurative ছোট"",""""),IF(AND(I6523=""Positive"",REGEXMATCH(H6"&amp;"523,""মূর্খ|ভণ্ড|প্রতার|অলস|লোভ|স্বার্থ|অক্ষম|অযোগ্য|বোকা|কৃপণ|হিংস"")),""valence-target অমিল"",""""),IF(COUNTIF($B:$B,B6523)&gt;1,""ডুপ্লিকেট"",""""))"),"")</f>
        <v/>
      </c>
      <c r="Q6523" s="5" t="str">
        <f t="shared" si="1"/>
        <v>২ পরে</v>
      </c>
    </row>
    <row r="6524">
      <c r="A6524" s="4">
        <v>4444.0</v>
      </c>
      <c r="B6524" s="2" t="s">
        <v>26591</v>
      </c>
      <c r="C6524" s="2" t="s">
        <v>26592</v>
      </c>
      <c r="D6524" s="2" t="s">
        <v>26593</v>
      </c>
      <c r="E6524" s="2" t="s">
        <v>26594</v>
      </c>
      <c r="F6524" s="2" t="b">
        <v>1</v>
      </c>
      <c r="G6524" s="2" t="b">
        <v>0</v>
      </c>
      <c r="H6524" s="2" t="s">
        <v>37</v>
      </c>
      <c r="I6524" s="2" t="s">
        <v>22</v>
      </c>
      <c r="J6524" s="2" t="s">
        <v>26595</v>
      </c>
      <c r="K6524" s="2" t="s">
        <v>495</v>
      </c>
      <c r="L6524" s="13" t="s">
        <v>496</v>
      </c>
      <c r="M6524" s="2" t="s">
        <v>26</v>
      </c>
      <c r="N6524" s="29"/>
      <c r="O6524" s="29"/>
      <c r="P6524" s="5" t="str">
        <f>IFERROR(__xludf.DUMMYFUNCTION("TEXTJOIN("" | "",TRUE,IF(OR(D6524="""",E6524="""",I6524="""",J6524="""",H6524=""""),""ফাঁকা ঘর"",""""),IF(AND(C6524&lt;&gt;"""",D6524&lt;&gt;"""",C6524=D6524),""gloss=figurative"",""""),IF(LEN(D6524)&lt;15,""figurative ছোট"",""""),IF(AND(I6524=""Positive"",REGEXMATCH(H6"&amp;"524,""মূর্খ|ভণ্ড|প্রতার|অলস|লোভ|স্বার্থ|অক্ষম|অযোগ্য|বোকা|কৃপণ|হিংস"")),""valence-target অমিল"",""""),IF(COUNTIF($B:$B,B6524)&gt;1,""ডুপ্লিকেট"",""""))"),"")</f>
        <v/>
      </c>
      <c r="Q6524" s="5" t="str">
        <f t="shared" si="1"/>
        <v>২ পরে</v>
      </c>
    </row>
    <row r="6525">
      <c r="A6525" s="4">
        <v>4445.0</v>
      </c>
      <c r="B6525" s="2" t="s">
        <v>26596</v>
      </c>
      <c r="C6525" s="2" t="s">
        <v>26597</v>
      </c>
      <c r="D6525" s="2" t="s">
        <v>26598</v>
      </c>
      <c r="E6525" s="2" t="s">
        <v>26599</v>
      </c>
      <c r="F6525" s="2" t="b">
        <v>1</v>
      </c>
      <c r="G6525" s="2" t="b">
        <v>0</v>
      </c>
      <c r="H6525" s="2" t="s">
        <v>37</v>
      </c>
      <c r="I6525" s="2" t="s">
        <v>32</v>
      </c>
      <c r="J6525" s="2" t="s">
        <v>26600</v>
      </c>
      <c r="K6525" s="2" t="s">
        <v>495</v>
      </c>
      <c r="L6525" s="13" t="s">
        <v>496</v>
      </c>
      <c r="M6525" s="2" t="s">
        <v>26</v>
      </c>
      <c r="N6525" s="29"/>
      <c r="O6525" s="29"/>
      <c r="P6525" s="5" t="str">
        <f>IFERROR(__xludf.DUMMYFUNCTION("TEXTJOIN("" | "",TRUE,IF(OR(D6525="""",E6525="""",I6525="""",J6525="""",H6525=""""),""ফাঁকা ঘর"",""""),IF(AND(C6525&lt;&gt;"""",D6525&lt;&gt;"""",C6525=D6525),""gloss=figurative"",""""),IF(LEN(D6525)&lt;15,""figurative ছোট"",""""),IF(AND(I6525=""Positive"",REGEXMATCH(H6"&amp;"525,""মূর্খ|ভণ্ড|প্রতার|অলস|লোভ|স্বার্থ|অক্ষম|অযোগ্য|বোকা|কৃপণ|হিংস"")),""valence-target অমিল"",""""),IF(COUNTIF($B:$B,B6525)&gt;1,""ডুপ্লিকেট"",""""))"),"")</f>
        <v/>
      </c>
      <c r="Q6525" s="5" t="str">
        <f t="shared" si="1"/>
        <v>২ পরে</v>
      </c>
    </row>
    <row r="6526">
      <c r="A6526" s="4">
        <v>4446.0</v>
      </c>
      <c r="B6526" s="2" t="s">
        <v>26601</v>
      </c>
      <c r="C6526" s="2" t="s">
        <v>26601</v>
      </c>
      <c r="D6526" s="2" t="s">
        <v>26602</v>
      </c>
      <c r="E6526" s="2" t="s">
        <v>26603</v>
      </c>
      <c r="F6526" s="2" t="b">
        <v>1</v>
      </c>
      <c r="G6526" s="2" t="b">
        <v>0</v>
      </c>
      <c r="H6526" s="2" t="s">
        <v>37</v>
      </c>
      <c r="I6526" s="2" t="s">
        <v>32</v>
      </c>
      <c r="J6526" s="2" t="s">
        <v>1679</v>
      </c>
      <c r="K6526" s="2" t="s">
        <v>495</v>
      </c>
      <c r="L6526" s="13" t="s">
        <v>496</v>
      </c>
      <c r="M6526" s="2" t="s">
        <v>26</v>
      </c>
      <c r="N6526" s="29"/>
      <c r="O6526" s="29"/>
      <c r="P6526" s="5" t="str">
        <f>IFERROR(__xludf.DUMMYFUNCTION("TEXTJOIN("" | "",TRUE,IF(OR(D6526="""",E6526="""",I6526="""",J6526="""",H6526=""""),""ফাঁকা ঘর"",""""),IF(AND(C6526&lt;&gt;"""",D6526&lt;&gt;"""",C6526=D6526),""gloss=figurative"",""""),IF(LEN(D6526)&lt;15,""figurative ছোট"",""""),IF(AND(I6526=""Positive"",REGEXMATCH(H6"&amp;"526,""মূর্খ|ভণ্ড|প্রতার|অলস|লোভ|স্বার্থ|অক্ষম|অযোগ্য|বোকা|কৃপণ|হিংস"")),""valence-target অমিল"",""""),IF(COUNTIF($B:$B,B6526)&gt;1,""ডুপ্লিকেট"",""""))"),"")</f>
        <v/>
      </c>
      <c r="Q6526" s="5" t="str">
        <f t="shared" si="1"/>
        <v>২ পরে</v>
      </c>
    </row>
    <row r="6527">
      <c r="A6527" s="4">
        <v>4447.0</v>
      </c>
      <c r="B6527" s="2" t="s">
        <v>26604</v>
      </c>
      <c r="C6527" s="2" t="s">
        <v>26605</v>
      </c>
      <c r="D6527" s="2" t="s">
        <v>26606</v>
      </c>
      <c r="E6527" s="2" t="s">
        <v>26607</v>
      </c>
      <c r="F6527" s="2" t="b">
        <v>1</v>
      </c>
      <c r="G6527" s="2" t="b">
        <v>0</v>
      </c>
      <c r="H6527" s="2" t="s">
        <v>37</v>
      </c>
      <c r="I6527" s="2" t="s">
        <v>22</v>
      </c>
      <c r="J6527" s="2" t="s">
        <v>1934</v>
      </c>
      <c r="K6527" s="2" t="s">
        <v>495</v>
      </c>
      <c r="L6527" s="13" t="s">
        <v>496</v>
      </c>
      <c r="M6527" s="2" t="s">
        <v>26</v>
      </c>
      <c r="N6527" s="29"/>
      <c r="O6527" s="29"/>
      <c r="P6527" s="5" t="str">
        <f>IFERROR(__xludf.DUMMYFUNCTION("TEXTJOIN("" | "",TRUE,IF(OR(D6527="""",E6527="""",I6527="""",J6527="""",H6527=""""),""ফাঁকা ঘর"",""""),IF(AND(C6527&lt;&gt;"""",D6527&lt;&gt;"""",C6527=D6527),""gloss=figurative"",""""),IF(LEN(D6527)&lt;15,""figurative ছোট"",""""),IF(AND(I6527=""Positive"",REGEXMATCH(H6"&amp;"527,""মূর্খ|ভণ্ড|প্রতার|অলস|লোভ|স্বার্থ|অক্ষম|অযোগ্য|বোকা|কৃপণ|হিংস"")),""valence-target অমিল"",""""),IF(COUNTIF($B:$B,B6527)&gt;1,""ডুপ্লিকেট"",""""))"),"")</f>
        <v/>
      </c>
      <c r="Q6527" s="5" t="str">
        <f t="shared" si="1"/>
        <v>২ পরে</v>
      </c>
    </row>
    <row r="6528">
      <c r="A6528" s="4">
        <v>4448.0</v>
      </c>
      <c r="B6528" s="2" t="s">
        <v>26608</v>
      </c>
      <c r="C6528" s="2" t="s">
        <v>26609</v>
      </c>
      <c r="D6528" s="2" t="s">
        <v>26610</v>
      </c>
      <c r="E6528" s="2" t="s">
        <v>26611</v>
      </c>
      <c r="F6528" s="2" t="b">
        <v>1</v>
      </c>
      <c r="G6528" s="2" t="b">
        <v>0</v>
      </c>
      <c r="H6528" s="2" t="s">
        <v>37</v>
      </c>
      <c r="I6528" s="2" t="s">
        <v>49</v>
      </c>
      <c r="J6528" s="2" t="s">
        <v>26612</v>
      </c>
      <c r="K6528" s="2" t="s">
        <v>495</v>
      </c>
      <c r="L6528" s="13" t="s">
        <v>496</v>
      </c>
      <c r="M6528" s="2" t="s">
        <v>26</v>
      </c>
      <c r="N6528" s="29"/>
      <c r="O6528" s="29"/>
      <c r="P6528" s="5" t="str">
        <f>IFERROR(__xludf.DUMMYFUNCTION("TEXTJOIN("" | "",TRUE,IF(OR(D6528="""",E6528="""",I6528="""",J6528="""",H6528=""""),""ফাঁকা ঘর"",""""),IF(AND(C6528&lt;&gt;"""",D6528&lt;&gt;"""",C6528=D6528),""gloss=figurative"",""""),IF(LEN(D6528)&lt;15,""figurative ছোট"",""""),IF(AND(I6528=""Positive"",REGEXMATCH(H6"&amp;"528,""মূর্খ|ভণ্ড|প্রতার|অলস|লোভ|স্বার্থ|অক্ষম|অযোগ্য|বোকা|কৃপণ|হিংস"")),""valence-target অমিল"",""""),IF(COUNTIF($B:$B,B6528)&gt;1,""ডুপ্লিকেট"",""""))"),"")</f>
        <v/>
      </c>
      <c r="Q6528" s="5" t="str">
        <f t="shared" si="1"/>
        <v>২ পরে</v>
      </c>
    </row>
    <row r="6529">
      <c r="A6529" s="4">
        <v>4449.0</v>
      </c>
      <c r="B6529" s="2" t="s">
        <v>26613</v>
      </c>
      <c r="C6529" s="2" t="s">
        <v>26614</v>
      </c>
      <c r="D6529" s="2" t="s">
        <v>26615</v>
      </c>
      <c r="E6529" s="2" t="s">
        <v>26616</v>
      </c>
      <c r="F6529" s="2" t="b">
        <v>1</v>
      </c>
      <c r="G6529" s="2" t="b">
        <v>0</v>
      </c>
      <c r="H6529" s="2" t="s">
        <v>37</v>
      </c>
      <c r="I6529" s="2" t="s">
        <v>22</v>
      </c>
      <c r="J6529" s="2" t="s">
        <v>1117</v>
      </c>
      <c r="K6529" s="2" t="s">
        <v>495</v>
      </c>
      <c r="L6529" s="13" t="s">
        <v>496</v>
      </c>
      <c r="M6529" s="2" t="s">
        <v>26</v>
      </c>
      <c r="N6529" s="29"/>
      <c r="O6529" s="29"/>
      <c r="P6529" s="5" t="str">
        <f>IFERROR(__xludf.DUMMYFUNCTION("TEXTJOIN("" | "",TRUE,IF(OR(D6529="""",E6529="""",I6529="""",J6529="""",H6529=""""),""ফাঁকা ঘর"",""""),IF(AND(C6529&lt;&gt;"""",D6529&lt;&gt;"""",C6529=D6529),""gloss=figurative"",""""),IF(LEN(D6529)&lt;15,""figurative ছোট"",""""),IF(AND(I6529=""Positive"",REGEXMATCH(H6"&amp;"529,""মূর্খ|ভণ্ড|প্রতার|অলস|লোভ|স্বার্থ|অক্ষম|অযোগ্য|বোকা|কৃপণ|হিংস"")),""valence-target অমিল"",""""),IF(COUNTIF($B:$B,B6529)&gt;1,""ডুপ্লিকেট"",""""))"),"")</f>
        <v/>
      </c>
      <c r="Q6529" s="5" t="str">
        <f t="shared" si="1"/>
        <v>২ পরে</v>
      </c>
    </row>
    <row r="6530">
      <c r="A6530" s="4">
        <v>4450.0</v>
      </c>
      <c r="B6530" s="2" t="s">
        <v>26617</v>
      </c>
      <c r="C6530" s="2" t="s">
        <v>26618</v>
      </c>
      <c r="D6530" s="2" t="s">
        <v>26619</v>
      </c>
      <c r="E6530" s="2" t="s">
        <v>26620</v>
      </c>
      <c r="F6530" s="2" t="b">
        <v>1</v>
      </c>
      <c r="G6530" s="2" t="b">
        <v>0</v>
      </c>
      <c r="H6530" s="2" t="s">
        <v>37</v>
      </c>
      <c r="I6530" s="2" t="s">
        <v>49</v>
      </c>
      <c r="J6530" s="2" t="s">
        <v>1060</v>
      </c>
      <c r="K6530" s="2" t="s">
        <v>495</v>
      </c>
      <c r="L6530" s="13" t="s">
        <v>496</v>
      </c>
      <c r="M6530" s="2" t="s">
        <v>26</v>
      </c>
      <c r="N6530" s="29"/>
      <c r="O6530" s="29"/>
      <c r="P6530" s="5" t="str">
        <f>IFERROR(__xludf.DUMMYFUNCTION("TEXTJOIN("" | "",TRUE,IF(OR(D6530="""",E6530="""",I6530="""",J6530="""",H6530=""""),""ফাঁকা ঘর"",""""),IF(AND(C6530&lt;&gt;"""",D6530&lt;&gt;"""",C6530=D6530),""gloss=figurative"",""""),IF(LEN(D6530)&lt;15,""figurative ছোট"",""""),IF(AND(I6530=""Positive"",REGEXMATCH(H6"&amp;"530,""মূর্খ|ভণ্ড|প্রতার|অলস|লোভ|স্বার্থ|অক্ষম|অযোগ্য|বোকা|কৃপণ|হিংস"")),""valence-target অমিল"",""""),IF(COUNTIF($B:$B,B6530)&gt;1,""ডুপ্লিকেট"",""""))"),"")</f>
        <v/>
      </c>
      <c r="Q6530" s="5" t="str">
        <f t="shared" si="1"/>
        <v>২ পরে</v>
      </c>
    </row>
    <row r="6531">
      <c r="A6531" s="4">
        <v>4451.0</v>
      </c>
      <c r="B6531" s="2" t="s">
        <v>26621</v>
      </c>
      <c r="C6531" s="2" t="s">
        <v>26622</v>
      </c>
      <c r="D6531" s="2" t="s">
        <v>26623</v>
      </c>
      <c r="E6531" s="2" t="s">
        <v>26624</v>
      </c>
      <c r="F6531" s="2" t="b">
        <v>1</v>
      </c>
      <c r="G6531" s="2" t="b">
        <v>0</v>
      </c>
      <c r="H6531" s="2" t="s">
        <v>37</v>
      </c>
      <c r="I6531" s="2" t="s">
        <v>22</v>
      </c>
      <c r="J6531" s="2" t="s">
        <v>842</v>
      </c>
      <c r="K6531" s="2" t="s">
        <v>495</v>
      </c>
      <c r="L6531" s="13" t="s">
        <v>496</v>
      </c>
      <c r="M6531" s="2" t="s">
        <v>26</v>
      </c>
      <c r="N6531" s="29"/>
      <c r="O6531" s="29"/>
      <c r="P6531" s="5" t="str">
        <f>IFERROR(__xludf.DUMMYFUNCTION("TEXTJOIN("" | "",TRUE,IF(OR(D6531="""",E6531="""",I6531="""",J6531="""",H6531=""""),""ফাঁকা ঘর"",""""),IF(AND(C6531&lt;&gt;"""",D6531&lt;&gt;"""",C6531=D6531),""gloss=figurative"",""""),IF(LEN(D6531)&lt;15,""figurative ছোট"",""""),IF(AND(I6531=""Positive"",REGEXMATCH(H6"&amp;"531,""মূর্খ|ভণ্ড|প্রতার|অলস|লোভ|স্বার্থ|অক্ষম|অযোগ্য|বোকা|কৃপণ|হিংস"")),""valence-target অমিল"",""""),IF(COUNTIF($B:$B,B6531)&gt;1,""ডুপ্লিকেট"",""""))"),"")</f>
        <v/>
      </c>
      <c r="Q6531" s="5" t="str">
        <f t="shared" si="1"/>
        <v>২ পরে</v>
      </c>
    </row>
    <row r="6532">
      <c r="A6532" s="4">
        <v>4452.0</v>
      </c>
      <c r="B6532" s="2" t="s">
        <v>26625</v>
      </c>
      <c r="C6532" s="2" t="s">
        <v>26625</v>
      </c>
      <c r="D6532" s="2" t="s">
        <v>26626</v>
      </c>
      <c r="E6532" s="2" t="s">
        <v>26627</v>
      </c>
      <c r="F6532" s="2" t="b">
        <v>1</v>
      </c>
      <c r="G6532" s="2" t="b">
        <v>0</v>
      </c>
      <c r="H6532" s="2" t="s">
        <v>37</v>
      </c>
      <c r="I6532" s="2" t="s">
        <v>32</v>
      </c>
      <c r="J6532" s="2" t="s">
        <v>891</v>
      </c>
      <c r="K6532" s="2" t="s">
        <v>495</v>
      </c>
      <c r="L6532" s="13" t="s">
        <v>496</v>
      </c>
      <c r="M6532" s="2" t="s">
        <v>26</v>
      </c>
      <c r="N6532" s="29"/>
      <c r="O6532" s="29"/>
      <c r="P6532" s="5" t="str">
        <f>IFERROR(__xludf.DUMMYFUNCTION("TEXTJOIN("" | "",TRUE,IF(OR(D6532="""",E6532="""",I6532="""",J6532="""",H6532=""""),""ফাঁকা ঘর"",""""),IF(AND(C6532&lt;&gt;"""",D6532&lt;&gt;"""",C6532=D6532),""gloss=figurative"",""""),IF(LEN(D6532)&lt;15,""figurative ছোট"",""""),IF(AND(I6532=""Positive"",REGEXMATCH(H6"&amp;"532,""মূর্খ|ভণ্ড|প্রতার|অলস|লোভ|স্বার্থ|অক্ষম|অযোগ্য|বোকা|কৃপণ|হিংস"")),""valence-target অমিল"",""""),IF(COUNTIF($B:$B,B6532)&gt;1,""ডুপ্লিকেট"",""""))"),"")</f>
        <v/>
      </c>
      <c r="Q6532" s="5" t="str">
        <f t="shared" si="1"/>
        <v>২ পরে</v>
      </c>
    </row>
    <row r="6533">
      <c r="A6533" s="4">
        <v>4453.0</v>
      </c>
      <c r="B6533" s="2" t="s">
        <v>26628</v>
      </c>
      <c r="C6533" s="2" t="s">
        <v>26628</v>
      </c>
      <c r="D6533" s="2" t="s">
        <v>26629</v>
      </c>
      <c r="E6533" s="2" t="s">
        <v>26630</v>
      </c>
      <c r="F6533" s="2" t="b">
        <v>1</v>
      </c>
      <c r="G6533" s="2" t="b">
        <v>0</v>
      </c>
      <c r="H6533" s="2" t="s">
        <v>37</v>
      </c>
      <c r="I6533" s="2" t="s">
        <v>22</v>
      </c>
      <c r="J6533" s="2" t="s">
        <v>964</v>
      </c>
      <c r="K6533" s="2" t="s">
        <v>495</v>
      </c>
      <c r="L6533" s="13" t="s">
        <v>496</v>
      </c>
      <c r="M6533" s="2" t="s">
        <v>26</v>
      </c>
      <c r="N6533" s="29"/>
      <c r="O6533" s="29"/>
      <c r="P6533" s="5" t="str">
        <f>IFERROR(__xludf.DUMMYFUNCTION("TEXTJOIN("" | "",TRUE,IF(OR(D6533="""",E6533="""",I6533="""",J6533="""",H6533=""""),""ফাঁকা ঘর"",""""),IF(AND(C6533&lt;&gt;"""",D6533&lt;&gt;"""",C6533=D6533),""gloss=figurative"",""""),IF(LEN(D6533)&lt;15,""figurative ছোট"",""""),IF(AND(I6533=""Positive"",REGEXMATCH(H6"&amp;"533,""মূর্খ|ভণ্ড|প্রতার|অলস|লোভ|স্বার্থ|অক্ষম|অযোগ্য|বোকা|কৃপণ|হিংস"")),""valence-target অমিল"",""""),IF(COUNTIF($B:$B,B6533)&gt;1,""ডুপ্লিকেট"",""""))"),"")</f>
        <v/>
      </c>
      <c r="Q6533" s="5" t="str">
        <f t="shared" si="1"/>
        <v>২ পরে</v>
      </c>
    </row>
    <row r="6534">
      <c r="A6534" s="4">
        <v>4454.0</v>
      </c>
      <c r="B6534" s="2" t="s">
        <v>26631</v>
      </c>
      <c r="C6534" s="2" t="s">
        <v>26632</v>
      </c>
      <c r="D6534" s="2" t="s">
        <v>26633</v>
      </c>
      <c r="E6534" s="2" t="s">
        <v>26634</v>
      </c>
      <c r="F6534" s="2" t="b">
        <v>1</v>
      </c>
      <c r="G6534" s="2" t="b">
        <v>0</v>
      </c>
      <c r="H6534" s="2" t="s">
        <v>37</v>
      </c>
      <c r="I6534" s="2" t="s">
        <v>32</v>
      </c>
      <c r="J6534" s="2" t="s">
        <v>729</v>
      </c>
      <c r="K6534" s="2" t="s">
        <v>495</v>
      </c>
      <c r="L6534" s="13" t="s">
        <v>496</v>
      </c>
      <c r="M6534" s="2" t="s">
        <v>26</v>
      </c>
      <c r="N6534" s="29"/>
      <c r="O6534" s="29"/>
      <c r="P6534" s="5" t="str">
        <f>IFERROR(__xludf.DUMMYFUNCTION("TEXTJOIN("" | "",TRUE,IF(OR(D6534="""",E6534="""",I6534="""",J6534="""",H6534=""""),""ফাঁকা ঘর"",""""),IF(AND(C6534&lt;&gt;"""",D6534&lt;&gt;"""",C6534=D6534),""gloss=figurative"",""""),IF(LEN(D6534)&lt;15,""figurative ছোট"",""""),IF(AND(I6534=""Positive"",REGEXMATCH(H6"&amp;"534,""মূর্খ|ভণ্ড|প্রতার|অলস|লোভ|স্বার্থ|অক্ষম|অযোগ্য|বোকা|কৃপণ|হিংস"")),""valence-target অমিল"",""""),IF(COUNTIF($B:$B,B6534)&gt;1,""ডুপ্লিকেট"",""""))"),"")</f>
        <v/>
      </c>
      <c r="Q6534" s="5" t="str">
        <f t="shared" si="1"/>
        <v>২ পরে</v>
      </c>
    </row>
    <row r="6535">
      <c r="A6535" s="4">
        <v>4455.0</v>
      </c>
      <c r="B6535" s="2" t="s">
        <v>26635</v>
      </c>
      <c r="C6535" s="2" t="s">
        <v>26636</v>
      </c>
      <c r="D6535" s="2" t="s">
        <v>26637</v>
      </c>
      <c r="E6535" s="2" t="s">
        <v>26638</v>
      </c>
      <c r="F6535" s="2" t="b">
        <v>1</v>
      </c>
      <c r="G6535" s="2" t="b">
        <v>0</v>
      </c>
      <c r="H6535" s="2" t="s">
        <v>37</v>
      </c>
      <c r="I6535" s="2" t="s">
        <v>22</v>
      </c>
      <c r="J6535" s="2" t="s">
        <v>1471</v>
      </c>
      <c r="K6535" s="2" t="s">
        <v>495</v>
      </c>
      <c r="L6535" s="13" t="s">
        <v>496</v>
      </c>
      <c r="M6535" s="2" t="s">
        <v>26</v>
      </c>
      <c r="N6535" s="29"/>
      <c r="O6535" s="29"/>
      <c r="P6535" s="5" t="str">
        <f>IFERROR(__xludf.DUMMYFUNCTION("TEXTJOIN("" | "",TRUE,IF(OR(D6535="""",E6535="""",I6535="""",J6535="""",H6535=""""),""ফাঁকা ঘর"",""""),IF(AND(C6535&lt;&gt;"""",D6535&lt;&gt;"""",C6535=D6535),""gloss=figurative"",""""),IF(LEN(D6535)&lt;15,""figurative ছোট"",""""),IF(AND(I6535=""Positive"",REGEXMATCH(H6"&amp;"535,""মূর্খ|ভণ্ড|প্রতার|অলস|লোভ|স্বার্থ|অক্ষম|অযোগ্য|বোকা|কৃপণ|হিংস"")),""valence-target অমিল"",""""),IF(COUNTIF($B:$B,B6535)&gt;1,""ডুপ্লিকেট"",""""))"),"")</f>
        <v/>
      </c>
      <c r="Q6535" s="5" t="str">
        <f t="shared" si="1"/>
        <v>২ পরে</v>
      </c>
    </row>
    <row r="6536">
      <c r="A6536" s="4">
        <v>4456.0</v>
      </c>
      <c r="B6536" s="2" t="s">
        <v>26639</v>
      </c>
      <c r="C6536" s="2" t="s">
        <v>26640</v>
      </c>
      <c r="D6536" s="2" t="s">
        <v>26641</v>
      </c>
      <c r="E6536" s="2" t="s">
        <v>26642</v>
      </c>
      <c r="F6536" s="2" t="b">
        <v>1</v>
      </c>
      <c r="G6536" s="2" t="b">
        <v>0</v>
      </c>
      <c r="H6536" s="2" t="s">
        <v>37</v>
      </c>
      <c r="I6536" s="2" t="s">
        <v>22</v>
      </c>
      <c r="J6536" s="2" t="s">
        <v>1471</v>
      </c>
      <c r="K6536" s="2" t="s">
        <v>495</v>
      </c>
      <c r="L6536" s="13" t="s">
        <v>496</v>
      </c>
      <c r="M6536" s="2" t="s">
        <v>26</v>
      </c>
      <c r="N6536" s="29"/>
      <c r="O6536" s="29"/>
      <c r="P6536" s="5" t="str">
        <f>IFERROR(__xludf.DUMMYFUNCTION("TEXTJOIN("" | "",TRUE,IF(OR(D6536="""",E6536="""",I6536="""",J6536="""",H6536=""""),""ফাঁকা ঘর"",""""),IF(AND(C6536&lt;&gt;"""",D6536&lt;&gt;"""",C6536=D6536),""gloss=figurative"",""""),IF(LEN(D6536)&lt;15,""figurative ছোট"",""""),IF(AND(I6536=""Positive"",REGEXMATCH(H6"&amp;"536,""মূর্খ|ভণ্ড|প্রতার|অলস|লোভ|স্বার্থ|অক্ষম|অযোগ্য|বোকা|কৃপণ|হিংস"")),""valence-target অমিল"",""""),IF(COUNTIF($B:$B,B6536)&gt;1,""ডুপ্লিকেট"",""""))"),"")</f>
        <v/>
      </c>
      <c r="Q6536" s="5" t="str">
        <f t="shared" si="1"/>
        <v>২ পরে</v>
      </c>
    </row>
    <row r="6537">
      <c r="A6537" s="4">
        <v>4457.0</v>
      </c>
      <c r="B6537" s="2" t="s">
        <v>26643</v>
      </c>
      <c r="C6537" s="2" t="s">
        <v>26644</v>
      </c>
      <c r="D6537" s="2" t="s">
        <v>26127</v>
      </c>
      <c r="E6537" s="2" t="s">
        <v>26645</v>
      </c>
      <c r="F6537" s="2" t="b">
        <v>1</v>
      </c>
      <c r="G6537" s="2" t="b">
        <v>0</v>
      </c>
      <c r="H6537" s="2" t="s">
        <v>37</v>
      </c>
      <c r="I6537" s="2" t="s">
        <v>49</v>
      </c>
      <c r="J6537" s="2" t="s">
        <v>1476</v>
      </c>
      <c r="K6537" s="2" t="s">
        <v>495</v>
      </c>
      <c r="L6537" s="13" t="s">
        <v>496</v>
      </c>
      <c r="M6537" s="2" t="s">
        <v>26</v>
      </c>
      <c r="N6537" s="29"/>
      <c r="O6537" s="29"/>
      <c r="P6537" s="5" t="str">
        <f>IFERROR(__xludf.DUMMYFUNCTION("TEXTJOIN("" | "",TRUE,IF(OR(D6537="""",E6537="""",I6537="""",J6537="""",H6537=""""),""ফাঁকা ঘর"",""""),IF(AND(C6537&lt;&gt;"""",D6537&lt;&gt;"""",C6537=D6537),""gloss=figurative"",""""),IF(LEN(D6537)&lt;15,""figurative ছোট"",""""),IF(AND(I6537=""Positive"",REGEXMATCH(H6"&amp;"537,""মূর্খ|ভণ্ড|প্রতার|অলস|লোভ|স্বার্থ|অক্ষম|অযোগ্য|বোকা|কৃপণ|হিংস"")),""valence-target অমিল"",""""),IF(COUNTIF($B:$B,B6537)&gt;1,""ডুপ্লিকেট"",""""))"),"")</f>
        <v/>
      </c>
      <c r="Q6537" s="5" t="str">
        <f t="shared" si="1"/>
        <v>২ পরে</v>
      </c>
    </row>
    <row r="6538">
      <c r="A6538" s="4">
        <v>4458.0</v>
      </c>
      <c r="B6538" s="2" t="s">
        <v>26646</v>
      </c>
      <c r="C6538" s="2" t="s">
        <v>26646</v>
      </c>
      <c r="D6538" s="2" t="s">
        <v>26647</v>
      </c>
      <c r="E6538" s="2" t="s">
        <v>26648</v>
      </c>
      <c r="F6538" s="2" t="b">
        <v>1</v>
      </c>
      <c r="G6538" s="2" t="b">
        <v>0</v>
      </c>
      <c r="H6538" s="2" t="s">
        <v>37</v>
      </c>
      <c r="I6538" s="2" t="s">
        <v>32</v>
      </c>
      <c r="J6538" s="2" t="s">
        <v>1414</v>
      </c>
      <c r="K6538" s="2" t="s">
        <v>495</v>
      </c>
      <c r="L6538" s="13" t="s">
        <v>496</v>
      </c>
      <c r="M6538" s="2" t="s">
        <v>26</v>
      </c>
      <c r="N6538" s="29"/>
      <c r="O6538" s="29"/>
      <c r="P6538" s="5" t="str">
        <f>IFERROR(__xludf.DUMMYFUNCTION("TEXTJOIN("" | "",TRUE,IF(OR(D6538="""",E6538="""",I6538="""",J6538="""",H6538=""""),""ফাঁকা ঘর"",""""),IF(AND(C6538&lt;&gt;"""",D6538&lt;&gt;"""",C6538=D6538),""gloss=figurative"",""""),IF(LEN(D6538)&lt;15,""figurative ছোট"",""""),IF(AND(I6538=""Positive"",REGEXMATCH(H6"&amp;"538,""মূর্খ|ভণ্ড|প্রতার|অলস|লোভ|স্বার্থ|অক্ষম|অযোগ্য|বোকা|কৃপণ|হিংস"")),""valence-target অমিল"",""""),IF(COUNTIF($B:$B,B6538)&gt;1,""ডুপ্লিকেট"",""""))"),"")</f>
        <v/>
      </c>
      <c r="Q6538" s="5" t="str">
        <f t="shared" si="1"/>
        <v>২ পরে</v>
      </c>
    </row>
    <row r="6539">
      <c r="A6539" s="4">
        <v>4459.0</v>
      </c>
      <c r="B6539" s="2" t="s">
        <v>26649</v>
      </c>
      <c r="C6539" s="2" t="s">
        <v>26649</v>
      </c>
      <c r="D6539" s="2" t="s">
        <v>26650</v>
      </c>
      <c r="E6539" s="2" t="s">
        <v>26651</v>
      </c>
      <c r="F6539" s="2" t="b">
        <v>1</v>
      </c>
      <c r="G6539" s="2" t="b">
        <v>0</v>
      </c>
      <c r="H6539" s="2" t="s">
        <v>37</v>
      </c>
      <c r="I6539" s="2" t="s">
        <v>32</v>
      </c>
      <c r="J6539" s="2" t="s">
        <v>26652</v>
      </c>
      <c r="K6539" s="2" t="s">
        <v>495</v>
      </c>
      <c r="L6539" s="13" t="s">
        <v>496</v>
      </c>
      <c r="M6539" s="2" t="s">
        <v>26</v>
      </c>
      <c r="N6539" s="29"/>
      <c r="O6539" s="29"/>
      <c r="P6539" s="5" t="str">
        <f>IFERROR(__xludf.DUMMYFUNCTION("TEXTJOIN("" | "",TRUE,IF(OR(D6539="""",E6539="""",I6539="""",J6539="""",H6539=""""),""ফাঁকা ঘর"",""""),IF(AND(C6539&lt;&gt;"""",D6539&lt;&gt;"""",C6539=D6539),""gloss=figurative"",""""),IF(LEN(D6539)&lt;15,""figurative ছোট"",""""),IF(AND(I6539=""Positive"",REGEXMATCH(H6"&amp;"539,""মূর্খ|ভণ্ড|প্রতার|অলস|লোভ|স্বার্থ|অক্ষম|অযোগ্য|বোকা|কৃপণ|হিংস"")),""valence-target অমিল"",""""),IF(COUNTIF($B:$B,B6539)&gt;1,""ডুপ্লিকেট"",""""))"),"")</f>
        <v/>
      </c>
      <c r="Q6539" s="5" t="str">
        <f t="shared" si="1"/>
        <v>২ পরে</v>
      </c>
    </row>
    <row r="6540">
      <c r="A6540" s="4">
        <v>4460.0</v>
      </c>
      <c r="B6540" s="2" t="s">
        <v>26653</v>
      </c>
      <c r="C6540" s="2" t="s">
        <v>26654</v>
      </c>
      <c r="D6540" s="2" t="s">
        <v>26655</v>
      </c>
      <c r="E6540" s="2" t="s">
        <v>26656</v>
      </c>
      <c r="F6540" s="2" t="b">
        <v>1</v>
      </c>
      <c r="G6540" s="2" t="b">
        <v>0</v>
      </c>
      <c r="H6540" s="2" t="s">
        <v>37</v>
      </c>
      <c r="I6540" s="2" t="s">
        <v>49</v>
      </c>
      <c r="J6540" s="2" t="s">
        <v>1060</v>
      </c>
      <c r="K6540" s="2" t="s">
        <v>495</v>
      </c>
      <c r="L6540" s="13" t="s">
        <v>496</v>
      </c>
      <c r="M6540" s="2" t="s">
        <v>26</v>
      </c>
      <c r="N6540" s="29"/>
      <c r="O6540" s="29"/>
      <c r="P6540" s="5" t="str">
        <f>IFERROR(__xludf.DUMMYFUNCTION("TEXTJOIN("" | "",TRUE,IF(OR(D6540="""",E6540="""",I6540="""",J6540="""",H6540=""""),""ফাঁকা ঘর"",""""),IF(AND(C6540&lt;&gt;"""",D6540&lt;&gt;"""",C6540=D6540),""gloss=figurative"",""""),IF(LEN(D6540)&lt;15,""figurative ছোট"",""""),IF(AND(I6540=""Positive"",REGEXMATCH(H6"&amp;"540,""মূর্খ|ভণ্ড|প্রতার|অলস|লোভ|স্বার্থ|অক্ষম|অযোগ্য|বোকা|কৃপণ|হিংস"")),""valence-target অমিল"",""""),IF(COUNTIF($B:$B,B6540)&gt;1,""ডুপ্লিকেট"",""""))"),"")</f>
        <v/>
      </c>
      <c r="Q6540" s="5" t="str">
        <f t="shared" si="1"/>
        <v>২ পরে</v>
      </c>
    </row>
    <row r="6541">
      <c r="A6541" s="4">
        <v>4461.0</v>
      </c>
      <c r="B6541" s="2" t="s">
        <v>26657</v>
      </c>
      <c r="C6541" s="2" t="s">
        <v>26658</v>
      </c>
      <c r="D6541" s="2" t="s">
        <v>26659</v>
      </c>
      <c r="E6541" s="2" t="s">
        <v>26660</v>
      </c>
      <c r="F6541" s="2" t="b">
        <v>1</v>
      </c>
      <c r="G6541" s="2" t="b">
        <v>0</v>
      </c>
      <c r="H6541" s="2" t="s">
        <v>37</v>
      </c>
      <c r="I6541" s="2" t="s">
        <v>49</v>
      </c>
      <c r="J6541" s="2" t="s">
        <v>1553</v>
      </c>
      <c r="K6541" s="2" t="s">
        <v>495</v>
      </c>
      <c r="L6541" s="13" t="s">
        <v>496</v>
      </c>
      <c r="M6541" s="2" t="s">
        <v>26</v>
      </c>
      <c r="N6541" s="29"/>
      <c r="O6541" s="29"/>
      <c r="P6541" s="5" t="str">
        <f>IFERROR(__xludf.DUMMYFUNCTION("TEXTJOIN("" | "",TRUE,IF(OR(D6541="""",E6541="""",I6541="""",J6541="""",H6541=""""),""ফাঁকা ঘর"",""""),IF(AND(C6541&lt;&gt;"""",D6541&lt;&gt;"""",C6541=D6541),""gloss=figurative"",""""),IF(LEN(D6541)&lt;15,""figurative ছোট"",""""),IF(AND(I6541=""Positive"",REGEXMATCH(H6"&amp;"541,""মূর্খ|ভণ্ড|প্রতার|অলস|লোভ|স্বার্থ|অক্ষম|অযোগ্য|বোকা|কৃপণ|হিংস"")),""valence-target অমিল"",""""),IF(COUNTIF($B:$B,B6541)&gt;1,""ডুপ্লিকেট"",""""))"),"")</f>
        <v/>
      </c>
      <c r="Q6541" s="5" t="str">
        <f t="shared" si="1"/>
        <v>২ পরে</v>
      </c>
    </row>
    <row r="6542">
      <c r="A6542" s="4">
        <v>4462.0</v>
      </c>
      <c r="B6542" s="2" t="s">
        <v>26661</v>
      </c>
      <c r="C6542" s="2" t="s">
        <v>26662</v>
      </c>
      <c r="D6542" s="2" t="s">
        <v>26663</v>
      </c>
      <c r="E6542" s="2" t="s">
        <v>26664</v>
      </c>
      <c r="F6542" s="2" t="b">
        <v>1</v>
      </c>
      <c r="G6542" s="2" t="b">
        <v>0</v>
      </c>
      <c r="H6542" s="2" t="s">
        <v>37</v>
      </c>
      <c r="I6542" s="2" t="s">
        <v>22</v>
      </c>
      <c r="J6542" s="2" t="s">
        <v>15237</v>
      </c>
      <c r="K6542" s="2" t="s">
        <v>495</v>
      </c>
      <c r="L6542" s="13" t="s">
        <v>496</v>
      </c>
      <c r="M6542" s="2" t="s">
        <v>26</v>
      </c>
      <c r="N6542" s="29"/>
      <c r="O6542" s="29"/>
      <c r="P6542" s="5" t="str">
        <f>IFERROR(__xludf.DUMMYFUNCTION("TEXTJOIN("" | "",TRUE,IF(OR(D6542="""",E6542="""",I6542="""",J6542="""",H6542=""""),""ফাঁকা ঘর"",""""),IF(AND(C6542&lt;&gt;"""",D6542&lt;&gt;"""",C6542=D6542),""gloss=figurative"",""""),IF(LEN(D6542)&lt;15,""figurative ছোট"",""""),IF(AND(I6542=""Positive"",REGEXMATCH(H6"&amp;"542,""মূর্খ|ভণ্ড|প্রতার|অলস|লোভ|স্বার্থ|অক্ষম|অযোগ্য|বোকা|কৃপণ|হিংস"")),""valence-target অমিল"",""""),IF(COUNTIF($B:$B,B6542)&gt;1,""ডুপ্লিকেট"",""""))"),"")</f>
        <v/>
      </c>
      <c r="Q6542" s="5" t="str">
        <f t="shared" si="1"/>
        <v>২ পরে</v>
      </c>
    </row>
    <row r="6543">
      <c r="A6543" s="4">
        <v>4463.0</v>
      </c>
      <c r="B6543" s="2" t="s">
        <v>26665</v>
      </c>
      <c r="C6543" s="2" t="s">
        <v>26666</v>
      </c>
      <c r="D6543" s="2" t="s">
        <v>24691</v>
      </c>
      <c r="E6543" s="2" t="s">
        <v>26667</v>
      </c>
      <c r="F6543" s="2" t="b">
        <v>1</v>
      </c>
      <c r="G6543" s="2" t="b">
        <v>0</v>
      </c>
      <c r="H6543" s="2" t="s">
        <v>819</v>
      </c>
      <c r="I6543" s="2" t="s">
        <v>32</v>
      </c>
      <c r="J6543" s="2" t="s">
        <v>1603</v>
      </c>
      <c r="K6543" s="2" t="s">
        <v>495</v>
      </c>
      <c r="L6543" s="13" t="s">
        <v>496</v>
      </c>
      <c r="M6543" s="2" t="s">
        <v>26</v>
      </c>
      <c r="N6543" s="29"/>
      <c r="O6543" s="29"/>
      <c r="P6543" s="5" t="str">
        <f>IFERROR(__xludf.DUMMYFUNCTION("TEXTJOIN("" | "",TRUE,IF(OR(D6543="""",E6543="""",I6543="""",J6543="""",H6543=""""),""ফাঁকা ঘর"",""""),IF(AND(C6543&lt;&gt;"""",D6543&lt;&gt;"""",C6543=D6543),""gloss=figurative"",""""),IF(LEN(D6543)&lt;15,""figurative ছোট"",""""),IF(AND(I6543=""Positive"",REGEXMATCH(H6"&amp;"543,""মূর্খ|ভণ্ড|প্রতার|অলস|লোভ|স্বার্থ|অক্ষম|অযোগ্য|বোকা|কৃপণ|হিংস"")),""valence-target অমিল"",""""),IF(COUNTIF($B:$B,B6543)&gt;1,""ডুপ্লিকেট"",""""))"),"")</f>
        <v/>
      </c>
      <c r="Q6543" s="5" t="str">
        <f t="shared" si="1"/>
        <v>২ পরে</v>
      </c>
    </row>
    <row r="6544">
      <c r="A6544" s="4">
        <v>4464.0</v>
      </c>
      <c r="B6544" s="2" t="s">
        <v>26668</v>
      </c>
      <c r="C6544" s="2" t="s">
        <v>26669</v>
      </c>
      <c r="D6544" s="2" t="s">
        <v>26670</v>
      </c>
      <c r="E6544" s="2" t="s">
        <v>26671</v>
      </c>
      <c r="F6544" s="2" t="b">
        <v>1</v>
      </c>
      <c r="G6544" s="2" t="b">
        <v>0</v>
      </c>
      <c r="H6544" s="2" t="s">
        <v>37</v>
      </c>
      <c r="I6544" s="2" t="s">
        <v>22</v>
      </c>
      <c r="J6544" s="2" t="s">
        <v>1060</v>
      </c>
      <c r="K6544" s="2" t="s">
        <v>495</v>
      </c>
      <c r="L6544" s="13" t="s">
        <v>496</v>
      </c>
      <c r="M6544" s="2" t="s">
        <v>26</v>
      </c>
      <c r="N6544" s="29"/>
      <c r="O6544" s="29"/>
      <c r="P6544" s="5" t="str">
        <f>IFERROR(__xludf.DUMMYFUNCTION("TEXTJOIN("" | "",TRUE,IF(OR(D6544="""",E6544="""",I6544="""",J6544="""",H6544=""""),""ফাঁকা ঘর"",""""),IF(AND(C6544&lt;&gt;"""",D6544&lt;&gt;"""",C6544=D6544),""gloss=figurative"",""""),IF(LEN(D6544)&lt;15,""figurative ছোট"",""""),IF(AND(I6544=""Positive"",REGEXMATCH(H6"&amp;"544,""মূর্খ|ভণ্ড|প্রতার|অলস|লোভ|স্বার্থ|অক্ষম|অযোগ্য|বোকা|কৃপণ|হিংস"")),""valence-target অমিল"",""""),IF(COUNTIF($B:$B,B6544)&gt;1,""ডুপ্লিকেট"",""""))"),"")</f>
        <v/>
      </c>
      <c r="Q6544" s="5" t="str">
        <f t="shared" si="1"/>
        <v>২ পরে</v>
      </c>
    </row>
    <row r="6545">
      <c r="A6545" s="4">
        <v>4465.0</v>
      </c>
      <c r="B6545" s="2" t="s">
        <v>26672</v>
      </c>
      <c r="C6545" s="2" t="s">
        <v>26673</v>
      </c>
      <c r="D6545" s="2" t="s">
        <v>26674</v>
      </c>
      <c r="E6545" s="2" t="s">
        <v>26675</v>
      </c>
      <c r="F6545" s="2" t="b">
        <v>1</v>
      </c>
      <c r="G6545" s="2" t="b">
        <v>0</v>
      </c>
      <c r="H6545" s="2" t="s">
        <v>37</v>
      </c>
      <c r="I6545" s="2" t="s">
        <v>49</v>
      </c>
      <c r="J6545" s="2" t="s">
        <v>553</v>
      </c>
      <c r="K6545" s="2" t="s">
        <v>495</v>
      </c>
      <c r="L6545" s="13" t="s">
        <v>496</v>
      </c>
      <c r="M6545" s="2" t="s">
        <v>26</v>
      </c>
      <c r="N6545" s="29"/>
      <c r="O6545" s="29"/>
      <c r="P6545" s="5" t="str">
        <f>IFERROR(__xludf.DUMMYFUNCTION("TEXTJOIN("" | "",TRUE,IF(OR(D6545="""",E6545="""",I6545="""",J6545="""",H6545=""""),""ফাঁকা ঘর"",""""),IF(AND(C6545&lt;&gt;"""",D6545&lt;&gt;"""",C6545=D6545),""gloss=figurative"",""""),IF(LEN(D6545)&lt;15,""figurative ছোট"",""""),IF(AND(I6545=""Positive"",REGEXMATCH(H6"&amp;"545,""মূর্খ|ভণ্ড|প্রতার|অলস|লোভ|স্বার্থ|অক্ষম|অযোগ্য|বোকা|কৃপণ|হিংস"")),""valence-target অমিল"",""""),IF(COUNTIF($B:$B,B6545)&gt;1,""ডুপ্লিকেট"",""""))"),"")</f>
        <v/>
      </c>
      <c r="Q6545" s="5" t="str">
        <f t="shared" si="1"/>
        <v>২ পরে</v>
      </c>
    </row>
    <row r="6546">
      <c r="A6546" s="4">
        <v>4466.0</v>
      </c>
      <c r="B6546" s="2" t="s">
        <v>26676</v>
      </c>
      <c r="C6546" s="2" t="s">
        <v>26676</v>
      </c>
      <c r="D6546" s="2" t="s">
        <v>26677</v>
      </c>
      <c r="E6546" s="2" t="s">
        <v>26678</v>
      </c>
      <c r="F6546" s="2" t="b">
        <v>1</v>
      </c>
      <c r="G6546" s="2" t="b">
        <v>0</v>
      </c>
      <c r="H6546" s="2" t="s">
        <v>37</v>
      </c>
      <c r="I6546" s="2" t="s">
        <v>22</v>
      </c>
      <c r="J6546" s="2" t="s">
        <v>5207</v>
      </c>
      <c r="K6546" s="2" t="s">
        <v>495</v>
      </c>
      <c r="L6546" s="13" t="s">
        <v>496</v>
      </c>
      <c r="M6546" s="2" t="s">
        <v>26</v>
      </c>
      <c r="N6546" s="29"/>
      <c r="O6546" s="29"/>
      <c r="P6546" s="5" t="str">
        <f>IFERROR(__xludf.DUMMYFUNCTION("TEXTJOIN("" | "",TRUE,IF(OR(D6546="""",E6546="""",I6546="""",J6546="""",H6546=""""),""ফাঁকা ঘর"",""""),IF(AND(C6546&lt;&gt;"""",D6546&lt;&gt;"""",C6546=D6546),""gloss=figurative"",""""),IF(LEN(D6546)&lt;15,""figurative ছোট"",""""),IF(AND(I6546=""Positive"",REGEXMATCH(H6"&amp;"546,""মূর্খ|ভণ্ড|প্রতার|অলস|লোভ|স্বার্থ|অক্ষম|অযোগ্য|বোকা|কৃপণ|হিংস"")),""valence-target অমিল"",""""),IF(COUNTIF($B:$B,B6546)&gt;1,""ডুপ্লিকেট"",""""))"),"")</f>
        <v/>
      </c>
      <c r="Q6546" s="5" t="str">
        <f t="shared" si="1"/>
        <v>২ পরে</v>
      </c>
    </row>
    <row r="6547">
      <c r="A6547" s="4">
        <v>4467.0</v>
      </c>
      <c r="B6547" s="2" t="s">
        <v>26679</v>
      </c>
      <c r="C6547" s="2" t="s">
        <v>26680</v>
      </c>
      <c r="D6547" s="2" t="s">
        <v>26681</v>
      </c>
      <c r="E6547" s="2" t="s">
        <v>26682</v>
      </c>
      <c r="F6547" s="2" t="b">
        <v>1</v>
      </c>
      <c r="G6547" s="2" t="b">
        <v>0</v>
      </c>
      <c r="H6547" s="2" t="s">
        <v>37</v>
      </c>
      <c r="I6547" s="2" t="s">
        <v>32</v>
      </c>
      <c r="J6547" s="2" t="s">
        <v>4112</v>
      </c>
      <c r="K6547" s="2" t="s">
        <v>495</v>
      </c>
      <c r="L6547" s="13" t="s">
        <v>496</v>
      </c>
      <c r="M6547" s="2" t="s">
        <v>26</v>
      </c>
      <c r="N6547" s="29"/>
      <c r="O6547" s="29"/>
      <c r="P6547" s="5" t="str">
        <f>IFERROR(__xludf.DUMMYFUNCTION("TEXTJOIN("" | "",TRUE,IF(OR(D6547="""",E6547="""",I6547="""",J6547="""",H6547=""""),""ফাঁকা ঘর"",""""),IF(AND(C6547&lt;&gt;"""",D6547&lt;&gt;"""",C6547=D6547),""gloss=figurative"",""""),IF(LEN(D6547)&lt;15,""figurative ছোট"",""""),IF(AND(I6547=""Positive"",REGEXMATCH(H6"&amp;"547,""মূর্খ|ভণ্ড|প্রতার|অলস|লোভ|স্বার্থ|অক্ষম|অযোগ্য|বোকা|কৃপণ|হিংস"")),""valence-target অমিল"",""""),IF(COUNTIF($B:$B,B6547)&gt;1,""ডুপ্লিকেট"",""""))"),"")</f>
        <v/>
      </c>
      <c r="Q6547" s="5" t="str">
        <f t="shared" si="1"/>
        <v>২ পরে</v>
      </c>
    </row>
    <row r="6548">
      <c r="A6548" s="4">
        <v>4468.0</v>
      </c>
      <c r="B6548" s="2" t="s">
        <v>10113</v>
      </c>
      <c r="C6548" s="2" t="s">
        <v>10113</v>
      </c>
      <c r="D6548" s="2" t="s">
        <v>26683</v>
      </c>
      <c r="E6548" s="2" t="s">
        <v>26684</v>
      </c>
      <c r="F6548" s="2" t="b">
        <v>1</v>
      </c>
      <c r="G6548" s="2" t="b">
        <v>0</v>
      </c>
      <c r="H6548" s="2" t="s">
        <v>37</v>
      </c>
      <c r="I6548" s="2" t="s">
        <v>22</v>
      </c>
      <c r="J6548" s="2" t="s">
        <v>553</v>
      </c>
      <c r="K6548" s="2" t="s">
        <v>495</v>
      </c>
      <c r="L6548" s="13" t="s">
        <v>496</v>
      </c>
      <c r="M6548" s="2" t="s">
        <v>26</v>
      </c>
      <c r="N6548" s="29"/>
      <c r="O6548" s="29"/>
      <c r="P6548" s="5" t="str">
        <f>IFERROR(__xludf.DUMMYFUNCTION("TEXTJOIN("" | "",TRUE,IF(OR(D6548="""",E6548="""",I6548="""",J6548="""",H6548=""""),""ফাঁকা ঘর"",""""),IF(AND(C6548&lt;&gt;"""",D6548&lt;&gt;"""",C6548=D6548),""gloss=figurative"",""""),IF(LEN(D6548)&lt;15,""figurative ছোট"",""""),IF(AND(I6548=""Positive"",REGEXMATCH(H6"&amp;"548,""মূর্খ|ভণ্ড|প্রতার|অলস|লোভ|স্বার্থ|অক্ষম|অযোগ্য|বোকা|কৃপণ|হিংস"")),""valence-target অমিল"",""""),IF(COUNTIF($B:$B,B6548)&gt;1,""ডুপ্লিকেট"",""""))"),"")</f>
        <v/>
      </c>
      <c r="Q6548" s="5" t="str">
        <f t="shared" si="1"/>
        <v>২ পরে</v>
      </c>
    </row>
    <row r="6549">
      <c r="A6549" s="4">
        <v>4469.0</v>
      </c>
      <c r="B6549" s="2" t="s">
        <v>26685</v>
      </c>
      <c r="C6549" s="2" t="s">
        <v>26686</v>
      </c>
      <c r="D6549" s="2" t="s">
        <v>26687</v>
      </c>
      <c r="E6549" s="2" t="s">
        <v>26688</v>
      </c>
      <c r="F6549" s="2" t="b">
        <v>1</v>
      </c>
      <c r="G6549" s="2" t="b">
        <v>0</v>
      </c>
      <c r="H6549" s="2" t="s">
        <v>37</v>
      </c>
      <c r="I6549" s="2" t="s">
        <v>22</v>
      </c>
      <c r="J6549" s="2" t="s">
        <v>43</v>
      </c>
      <c r="K6549" s="2" t="s">
        <v>495</v>
      </c>
      <c r="L6549" s="13" t="s">
        <v>496</v>
      </c>
      <c r="M6549" s="2" t="s">
        <v>26</v>
      </c>
      <c r="N6549" s="29"/>
      <c r="O6549" s="29"/>
      <c r="P6549" s="5" t="str">
        <f>IFERROR(__xludf.DUMMYFUNCTION("TEXTJOIN("" | "",TRUE,IF(OR(D6549="""",E6549="""",I6549="""",J6549="""",H6549=""""),""ফাঁকা ঘর"",""""),IF(AND(C6549&lt;&gt;"""",D6549&lt;&gt;"""",C6549=D6549),""gloss=figurative"",""""),IF(LEN(D6549)&lt;15,""figurative ছোট"",""""),IF(AND(I6549=""Positive"",REGEXMATCH(H6"&amp;"549,""মূর্খ|ভণ্ড|প্রতার|অলস|লোভ|স্বার্থ|অক্ষম|অযোগ্য|বোকা|কৃপণ|হিংস"")),""valence-target অমিল"",""""),IF(COUNTIF($B:$B,B6549)&gt;1,""ডুপ্লিকেট"",""""))"),"")</f>
        <v/>
      </c>
      <c r="Q6549" s="5" t="str">
        <f t="shared" si="1"/>
        <v>২ পরে</v>
      </c>
    </row>
    <row r="6550">
      <c r="A6550" s="4">
        <v>4470.0</v>
      </c>
      <c r="B6550" s="2" t="s">
        <v>26689</v>
      </c>
      <c r="C6550" s="2" t="s">
        <v>26690</v>
      </c>
      <c r="D6550" s="2" t="s">
        <v>26691</v>
      </c>
      <c r="E6550" s="2" t="s">
        <v>26692</v>
      </c>
      <c r="F6550" s="2" t="b">
        <v>1</v>
      </c>
      <c r="G6550" s="2" t="b">
        <v>0</v>
      </c>
      <c r="H6550" s="2" t="s">
        <v>37</v>
      </c>
      <c r="I6550" s="2" t="s">
        <v>22</v>
      </c>
      <c r="J6550" s="2" t="s">
        <v>990</v>
      </c>
      <c r="K6550" s="2" t="s">
        <v>495</v>
      </c>
      <c r="L6550" s="13" t="s">
        <v>496</v>
      </c>
      <c r="M6550" s="2" t="s">
        <v>26</v>
      </c>
      <c r="N6550" s="29"/>
      <c r="O6550" s="29"/>
      <c r="P6550" s="5" t="str">
        <f>IFERROR(__xludf.DUMMYFUNCTION("TEXTJOIN("" | "",TRUE,IF(OR(D6550="""",E6550="""",I6550="""",J6550="""",H6550=""""),""ফাঁকা ঘর"",""""),IF(AND(C6550&lt;&gt;"""",D6550&lt;&gt;"""",C6550=D6550),""gloss=figurative"",""""),IF(LEN(D6550)&lt;15,""figurative ছোট"",""""),IF(AND(I6550=""Positive"",REGEXMATCH(H6"&amp;"550,""মূর্খ|ভণ্ড|প্রতার|অলস|লোভ|স্বার্থ|অক্ষম|অযোগ্য|বোকা|কৃপণ|হিংস"")),""valence-target অমিল"",""""),IF(COUNTIF($B:$B,B6550)&gt;1,""ডুপ্লিকেট"",""""))"),"")</f>
        <v/>
      </c>
      <c r="Q6550" s="5" t="str">
        <f t="shared" si="1"/>
        <v>২ পরে</v>
      </c>
    </row>
    <row r="6551">
      <c r="A6551" s="4">
        <v>4471.0</v>
      </c>
      <c r="B6551" s="2" t="s">
        <v>26693</v>
      </c>
      <c r="C6551" s="2" t="s">
        <v>26694</v>
      </c>
      <c r="D6551" s="2" t="s">
        <v>26695</v>
      </c>
      <c r="E6551" s="2" t="s">
        <v>26696</v>
      </c>
      <c r="F6551" s="2" t="b">
        <v>1</v>
      </c>
      <c r="G6551" s="2" t="b">
        <v>0</v>
      </c>
      <c r="H6551" s="2" t="s">
        <v>37</v>
      </c>
      <c r="I6551" s="2" t="s">
        <v>32</v>
      </c>
      <c r="J6551" s="2" t="s">
        <v>708</v>
      </c>
      <c r="K6551" s="2" t="s">
        <v>495</v>
      </c>
      <c r="L6551" s="13" t="s">
        <v>496</v>
      </c>
      <c r="M6551" s="2" t="s">
        <v>26</v>
      </c>
      <c r="N6551" s="29"/>
      <c r="O6551" s="29"/>
      <c r="P6551" s="5" t="str">
        <f>IFERROR(__xludf.DUMMYFUNCTION("TEXTJOIN("" | "",TRUE,IF(OR(D6551="""",E6551="""",I6551="""",J6551="""",H6551=""""),""ফাঁকা ঘর"",""""),IF(AND(C6551&lt;&gt;"""",D6551&lt;&gt;"""",C6551=D6551),""gloss=figurative"",""""),IF(LEN(D6551)&lt;15,""figurative ছোট"",""""),IF(AND(I6551=""Positive"",REGEXMATCH(H6"&amp;"551,""মূর্খ|ভণ্ড|প্রতার|অলস|লোভ|স্বার্থ|অক্ষম|অযোগ্য|বোকা|কৃপণ|হিংস"")),""valence-target অমিল"",""""),IF(COUNTIF($B:$B,B6551)&gt;1,""ডুপ্লিকেট"",""""))"),"")</f>
        <v/>
      </c>
      <c r="Q6551" s="5" t="str">
        <f t="shared" si="1"/>
        <v>২ পরে</v>
      </c>
    </row>
    <row r="6552">
      <c r="A6552" s="4">
        <v>4472.0</v>
      </c>
      <c r="B6552" s="2" t="s">
        <v>26697</v>
      </c>
      <c r="C6552" s="2" t="s">
        <v>26698</v>
      </c>
      <c r="D6552" s="2" t="s">
        <v>26699</v>
      </c>
      <c r="E6552" s="2" t="s">
        <v>26700</v>
      </c>
      <c r="F6552" s="2" t="b">
        <v>1</v>
      </c>
      <c r="G6552" s="2" t="b">
        <v>0</v>
      </c>
      <c r="H6552" s="2" t="s">
        <v>1484</v>
      </c>
      <c r="I6552" s="2" t="s">
        <v>22</v>
      </c>
      <c r="J6552" s="2" t="s">
        <v>990</v>
      </c>
      <c r="K6552" s="2" t="s">
        <v>495</v>
      </c>
      <c r="L6552" s="13" t="s">
        <v>496</v>
      </c>
      <c r="M6552" s="2" t="s">
        <v>26</v>
      </c>
      <c r="N6552" s="29"/>
      <c r="O6552" s="29"/>
      <c r="P6552" s="5" t="str">
        <f>IFERROR(__xludf.DUMMYFUNCTION("TEXTJOIN("" | "",TRUE,IF(OR(D6552="""",E6552="""",I6552="""",J6552="""",H6552=""""),""ফাঁকা ঘর"",""""),IF(AND(C6552&lt;&gt;"""",D6552&lt;&gt;"""",C6552=D6552),""gloss=figurative"",""""),IF(LEN(D6552)&lt;15,""figurative ছোট"",""""),IF(AND(I6552=""Positive"",REGEXMATCH(H6"&amp;"552,""মূর্খ|ভণ্ড|প্রতার|অলস|লোভ|স্বার্থ|অক্ষম|অযোগ্য|বোকা|কৃপণ|হিংস"")),""valence-target অমিল"",""""),IF(COUNTIF($B:$B,B6552)&gt;1,""ডুপ্লিকেট"",""""))"),"")</f>
        <v/>
      </c>
      <c r="Q6552" s="5" t="str">
        <f t="shared" si="1"/>
        <v>২ পরে</v>
      </c>
    </row>
    <row r="6553">
      <c r="A6553" s="4">
        <v>4473.0</v>
      </c>
      <c r="B6553" s="2" t="s">
        <v>26701</v>
      </c>
      <c r="C6553" s="2" t="s">
        <v>26701</v>
      </c>
      <c r="D6553" s="2" t="s">
        <v>26702</v>
      </c>
      <c r="E6553" s="2" t="s">
        <v>26703</v>
      </c>
      <c r="F6553" s="2" t="b">
        <v>1</v>
      </c>
      <c r="G6553" s="2" t="b">
        <v>0</v>
      </c>
      <c r="H6553" s="2" t="s">
        <v>37</v>
      </c>
      <c r="I6553" s="2" t="s">
        <v>22</v>
      </c>
      <c r="J6553" s="2" t="s">
        <v>1117</v>
      </c>
      <c r="K6553" s="2" t="s">
        <v>495</v>
      </c>
      <c r="L6553" s="13" t="s">
        <v>496</v>
      </c>
      <c r="M6553" s="2" t="s">
        <v>26</v>
      </c>
      <c r="N6553" s="29"/>
      <c r="O6553" s="29"/>
      <c r="P6553" s="5" t="str">
        <f>IFERROR(__xludf.DUMMYFUNCTION("TEXTJOIN("" | "",TRUE,IF(OR(D6553="""",E6553="""",I6553="""",J6553="""",H6553=""""),""ফাঁকা ঘর"",""""),IF(AND(C6553&lt;&gt;"""",D6553&lt;&gt;"""",C6553=D6553),""gloss=figurative"",""""),IF(LEN(D6553)&lt;15,""figurative ছোট"",""""),IF(AND(I6553=""Positive"",REGEXMATCH(H6"&amp;"553,""মূর্খ|ভণ্ড|প্রতার|অলস|লোভ|স্বার্থ|অক্ষম|অযোগ্য|বোকা|কৃপণ|হিংস"")),""valence-target অমিল"",""""),IF(COUNTIF($B:$B,B6553)&gt;1,""ডুপ্লিকেট"",""""))"),"")</f>
        <v/>
      </c>
      <c r="Q6553" s="5" t="str">
        <f t="shared" si="1"/>
        <v>২ পরে</v>
      </c>
    </row>
    <row r="6554">
      <c r="A6554" s="4">
        <v>4474.0</v>
      </c>
      <c r="B6554" s="2" t="s">
        <v>26704</v>
      </c>
      <c r="C6554" s="2" t="s">
        <v>26705</v>
      </c>
      <c r="D6554" s="2" t="s">
        <v>26706</v>
      </c>
      <c r="E6554" s="2" t="s">
        <v>26707</v>
      </c>
      <c r="F6554" s="2" t="b">
        <v>1</v>
      </c>
      <c r="G6554" s="2" t="b">
        <v>0</v>
      </c>
      <c r="H6554" s="2" t="s">
        <v>37</v>
      </c>
      <c r="I6554" s="2" t="s">
        <v>32</v>
      </c>
      <c r="J6554" s="2" t="s">
        <v>1239</v>
      </c>
      <c r="K6554" s="2" t="s">
        <v>495</v>
      </c>
      <c r="L6554" s="13" t="s">
        <v>496</v>
      </c>
      <c r="M6554" s="2" t="s">
        <v>26</v>
      </c>
      <c r="N6554" s="29"/>
      <c r="O6554" s="29"/>
      <c r="P6554" s="5" t="str">
        <f>IFERROR(__xludf.DUMMYFUNCTION("TEXTJOIN("" | "",TRUE,IF(OR(D6554="""",E6554="""",I6554="""",J6554="""",H6554=""""),""ফাঁকা ঘর"",""""),IF(AND(C6554&lt;&gt;"""",D6554&lt;&gt;"""",C6554=D6554),""gloss=figurative"",""""),IF(LEN(D6554)&lt;15,""figurative ছোট"",""""),IF(AND(I6554=""Positive"",REGEXMATCH(H6"&amp;"554,""মূর্খ|ভণ্ড|প্রতার|অলস|লোভ|স্বার্থ|অক্ষম|অযোগ্য|বোকা|কৃপণ|হিংস"")),""valence-target অমিল"",""""),IF(COUNTIF($B:$B,B6554)&gt;1,""ডুপ্লিকেট"",""""))"),"")</f>
        <v/>
      </c>
      <c r="Q6554" s="5" t="str">
        <f t="shared" si="1"/>
        <v>২ পরে</v>
      </c>
    </row>
    <row r="6555">
      <c r="A6555" s="4">
        <v>4475.0</v>
      </c>
      <c r="B6555" s="2" t="s">
        <v>26708</v>
      </c>
      <c r="C6555" s="2" t="s">
        <v>26709</v>
      </c>
      <c r="D6555" s="2" t="s">
        <v>26710</v>
      </c>
      <c r="E6555" s="2" t="s">
        <v>26711</v>
      </c>
      <c r="F6555" s="2" t="b">
        <v>1</v>
      </c>
      <c r="G6555" s="2" t="b">
        <v>0</v>
      </c>
      <c r="H6555" s="2" t="s">
        <v>37</v>
      </c>
      <c r="I6555" s="2" t="s">
        <v>22</v>
      </c>
      <c r="J6555" s="2" t="s">
        <v>3506</v>
      </c>
      <c r="K6555" s="2" t="s">
        <v>495</v>
      </c>
      <c r="L6555" s="13" t="s">
        <v>496</v>
      </c>
      <c r="M6555" s="2" t="s">
        <v>26</v>
      </c>
      <c r="N6555" s="29"/>
      <c r="O6555" s="29"/>
      <c r="P6555" s="5" t="str">
        <f>IFERROR(__xludf.DUMMYFUNCTION("TEXTJOIN("" | "",TRUE,IF(OR(D6555="""",E6555="""",I6555="""",J6555="""",H6555=""""),""ফাঁকা ঘর"",""""),IF(AND(C6555&lt;&gt;"""",D6555&lt;&gt;"""",C6555=D6555),""gloss=figurative"",""""),IF(LEN(D6555)&lt;15,""figurative ছোট"",""""),IF(AND(I6555=""Positive"",REGEXMATCH(H6"&amp;"555,""মূর্খ|ভণ্ড|প্রতার|অলস|লোভ|স্বার্থ|অক্ষম|অযোগ্য|বোকা|কৃপণ|হিংস"")),""valence-target অমিল"",""""),IF(COUNTIF($B:$B,B6555)&gt;1,""ডুপ্লিকেট"",""""))"),"")</f>
        <v/>
      </c>
      <c r="Q6555" s="5" t="str">
        <f t="shared" si="1"/>
        <v>২ পরে</v>
      </c>
    </row>
    <row r="6556">
      <c r="A6556" s="4">
        <v>4476.0</v>
      </c>
      <c r="B6556" s="2" t="s">
        <v>26712</v>
      </c>
      <c r="C6556" s="2" t="s">
        <v>26713</v>
      </c>
      <c r="D6556" s="2" t="s">
        <v>26714</v>
      </c>
      <c r="E6556" s="2" t="s">
        <v>26715</v>
      </c>
      <c r="F6556" s="2" t="b">
        <v>1</v>
      </c>
      <c r="G6556" s="2" t="b">
        <v>0</v>
      </c>
      <c r="H6556" s="2" t="s">
        <v>37</v>
      </c>
      <c r="I6556" s="2" t="s">
        <v>22</v>
      </c>
      <c r="J6556" s="2" t="s">
        <v>3506</v>
      </c>
      <c r="K6556" s="2" t="s">
        <v>495</v>
      </c>
      <c r="L6556" s="13" t="s">
        <v>496</v>
      </c>
      <c r="M6556" s="2" t="s">
        <v>26</v>
      </c>
      <c r="N6556" s="29"/>
      <c r="O6556" s="29"/>
      <c r="P6556" s="5" t="str">
        <f>IFERROR(__xludf.DUMMYFUNCTION("TEXTJOIN("" | "",TRUE,IF(OR(D6556="""",E6556="""",I6556="""",J6556="""",H6556=""""),""ফাঁকা ঘর"",""""),IF(AND(C6556&lt;&gt;"""",D6556&lt;&gt;"""",C6556=D6556),""gloss=figurative"",""""),IF(LEN(D6556)&lt;15,""figurative ছোট"",""""),IF(AND(I6556=""Positive"",REGEXMATCH(H6"&amp;"556,""মূর্খ|ভণ্ড|প্রতার|অলস|লোভ|স্বার্থ|অক্ষম|অযোগ্য|বোকা|কৃপণ|হিংস"")),""valence-target অমিল"",""""),IF(COUNTIF($B:$B,B6556)&gt;1,""ডুপ্লিকেট"",""""))"),"")</f>
        <v/>
      </c>
      <c r="Q6556" s="5" t="str">
        <f t="shared" si="1"/>
        <v>২ পরে</v>
      </c>
    </row>
    <row r="6557">
      <c r="A6557" s="4">
        <v>4477.0</v>
      </c>
      <c r="B6557" s="2" t="s">
        <v>26716</v>
      </c>
      <c r="C6557" s="2" t="s">
        <v>26716</v>
      </c>
      <c r="D6557" s="2" t="s">
        <v>26717</v>
      </c>
      <c r="E6557" s="2" t="s">
        <v>26718</v>
      </c>
      <c r="F6557" s="2" t="b">
        <v>1</v>
      </c>
      <c r="G6557" s="2" t="b">
        <v>0</v>
      </c>
      <c r="H6557" s="2" t="s">
        <v>37</v>
      </c>
      <c r="I6557" s="2" t="s">
        <v>32</v>
      </c>
      <c r="J6557" s="2" t="s">
        <v>20678</v>
      </c>
      <c r="K6557" s="2" t="s">
        <v>495</v>
      </c>
      <c r="L6557" s="13" t="s">
        <v>496</v>
      </c>
      <c r="M6557" s="2" t="s">
        <v>26</v>
      </c>
      <c r="N6557" s="29"/>
      <c r="O6557" s="29"/>
      <c r="P6557" s="5" t="str">
        <f>IFERROR(__xludf.DUMMYFUNCTION("TEXTJOIN("" | "",TRUE,IF(OR(D6557="""",E6557="""",I6557="""",J6557="""",H6557=""""),""ফাঁকা ঘর"",""""),IF(AND(C6557&lt;&gt;"""",D6557&lt;&gt;"""",C6557=D6557),""gloss=figurative"",""""),IF(LEN(D6557)&lt;15,""figurative ছোট"",""""),IF(AND(I6557=""Positive"",REGEXMATCH(H6"&amp;"557,""মূর্খ|ভণ্ড|প্রতার|অলস|লোভ|স্বার্থ|অক্ষম|অযোগ্য|বোকা|কৃপণ|হিংস"")),""valence-target অমিল"",""""),IF(COUNTIF($B:$B,B6557)&gt;1,""ডুপ্লিকেট"",""""))"),"")</f>
        <v/>
      </c>
      <c r="Q6557" s="5" t="str">
        <f t="shared" si="1"/>
        <v>২ পরে</v>
      </c>
    </row>
    <row r="6558">
      <c r="A6558" s="4">
        <v>4478.0</v>
      </c>
      <c r="B6558" s="2" t="s">
        <v>26719</v>
      </c>
      <c r="C6558" s="2" t="s">
        <v>26719</v>
      </c>
      <c r="D6558" s="2" t="s">
        <v>26720</v>
      </c>
      <c r="E6558" s="2" t="s">
        <v>26721</v>
      </c>
      <c r="F6558" s="2" t="b">
        <v>1</v>
      </c>
      <c r="G6558" s="2" t="b">
        <v>0</v>
      </c>
      <c r="H6558" s="2" t="s">
        <v>37</v>
      </c>
      <c r="I6558" s="2" t="s">
        <v>22</v>
      </c>
      <c r="J6558" s="2" t="s">
        <v>3105</v>
      </c>
      <c r="K6558" s="2" t="s">
        <v>495</v>
      </c>
      <c r="L6558" s="13" t="s">
        <v>496</v>
      </c>
      <c r="M6558" s="2" t="s">
        <v>26</v>
      </c>
      <c r="N6558" s="29"/>
      <c r="O6558" s="29"/>
      <c r="P6558" s="5" t="str">
        <f>IFERROR(__xludf.DUMMYFUNCTION("TEXTJOIN("" | "",TRUE,IF(OR(D6558="""",E6558="""",I6558="""",J6558="""",H6558=""""),""ফাঁকা ঘর"",""""),IF(AND(C6558&lt;&gt;"""",D6558&lt;&gt;"""",C6558=D6558),""gloss=figurative"",""""),IF(LEN(D6558)&lt;15,""figurative ছোট"",""""),IF(AND(I6558=""Positive"",REGEXMATCH(H6"&amp;"558,""মূর্খ|ভণ্ড|প্রতার|অলস|লোভ|স্বার্থ|অক্ষম|অযোগ্য|বোকা|কৃপণ|হিংস"")),""valence-target অমিল"",""""),IF(COUNTIF($B:$B,B6558)&gt;1,""ডুপ্লিকেট"",""""))"),"")</f>
        <v/>
      </c>
      <c r="Q6558" s="5" t="str">
        <f t="shared" si="1"/>
        <v>২ পরে</v>
      </c>
    </row>
    <row r="6559">
      <c r="A6559" s="4">
        <v>4479.0</v>
      </c>
      <c r="B6559" s="2" t="s">
        <v>26722</v>
      </c>
      <c r="C6559" s="2" t="s">
        <v>26723</v>
      </c>
      <c r="D6559" s="2" t="s">
        <v>26724</v>
      </c>
      <c r="E6559" s="2" t="s">
        <v>26725</v>
      </c>
      <c r="F6559" s="2" t="b">
        <v>1</v>
      </c>
      <c r="G6559" s="2" t="b">
        <v>1</v>
      </c>
      <c r="H6559" s="2" t="s">
        <v>26726</v>
      </c>
      <c r="I6559" s="2" t="s">
        <v>32</v>
      </c>
      <c r="J6559" s="2" t="s">
        <v>1679</v>
      </c>
      <c r="K6559" s="2" t="s">
        <v>495</v>
      </c>
      <c r="L6559" s="13" t="s">
        <v>496</v>
      </c>
      <c r="M6559" s="2" t="s">
        <v>26</v>
      </c>
      <c r="N6559" s="29"/>
      <c r="O6559" s="29"/>
      <c r="P6559" s="5" t="str">
        <f>IFERROR(__xludf.DUMMYFUNCTION("TEXTJOIN("" | "",TRUE,IF(OR(D6559="""",E6559="""",I6559="""",J6559="""",H6559=""""),""ফাঁকা ঘর"",""""),IF(AND(C6559&lt;&gt;"""",D6559&lt;&gt;"""",C6559=D6559),""gloss=figurative"",""""),IF(LEN(D6559)&lt;15,""figurative ছোট"",""""),IF(AND(I6559=""Positive"",REGEXMATCH(H6"&amp;"559,""মূর্খ|ভণ্ড|প্রতার|অলস|লোভ|স্বার্থ|অক্ষম|অযোগ্য|বোকা|কৃপণ|হিংস"")),""valence-target অমিল"",""""),IF(COUNTIF($B:$B,B6559)&gt;1,""ডুপ্লিকেট"",""""))"),"")</f>
        <v/>
      </c>
      <c r="Q6559" s="5" t="str">
        <f t="shared" si="1"/>
        <v>২ পরে</v>
      </c>
    </row>
    <row r="6560">
      <c r="A6560" s="4">
        <v>4480.0</v>
      </c>
      <c r="B6560" s="2" t="s">
        <v>26727</v>
      </c>
      <c r="C6560" s="2" t="s">
        <v>26728</v>
      </c>
      <c r="D6560" s="2" t="s">
        <v>26729</v>
      </c>
      <c r="E6560" s="2" t="s">
        <v>26730</v>
      </c>
      <c r="F6560" s="2" t="b">
        <v>1</v>
      </c>
      <c r="G6560" s="2" t="b">
        <v>0</v>
      </c>
      <c r="H6560" s="2" t="s">
        <v>37</v>
      </c>
      <c r="I6560" s="2" t="s">
        <v>22</v>
      </c>
      <c r="J6560" s="2" t="s">
        <v>655</v>
      </c>
      <c r="K6560" s="2" t="s">
        <v>495</v>
      </c>
      <c r="L6560" s="13" t="s">
        <v>496</v>
      </c>
      <c r="M6560" s="2" t="s">
        <v>26</v>
      </c>
      <c r="N6560" s="29"/>
      <c r="O6560" s="29"/>
      <c r="P6560" s="5" t="str">
        <f>IFERROR(__xludf.DUMMYFUNCTION("TEXTJOIN("" | "",TRUE,IF(OR(D6560="""",E6560="""",I6560="""",J6560="""",H6560=""""),""ফাঁকা ঘর"",""""),IF(AND(C6560&lt;&gt;"""",D6560&lt;&gt;"""",C6560=D6560),""gloss=figurative"",""""),IF(LEN(D6560)&lt;15,""figurative ছোট"",""""),IF(AND(I6560=""Positive"",REGEXMATCH(H6"&amp;"560,""মূর্খ|ভণ্ড|প্রতার|অলস|লোভ|স্বার্থ|অক্ষম|অযোগ্য|বোকা|কৃপণ|হিংস"")),""valence-target অমিল"",""""),IF(COUNTIF($B:$B,B6560)&gt;1,""ডুপ্লিকেট"",""""))"),"")</f>
        <v/>
      </c>
      <c r="Q6560" s="5" t="str">
        <f t="shared" si="1"/>
        <v>২ পরে</v>
      </c>
    </row>
    <row r="6561">
      <c r="A6561" s="4">
        <v>4481.0</v>
      </c>
      <c r="B6561" s="2" t="s">
        <v>26731</v>
      </c>
      <c r="C6561" s="2" t="s">
        <v>26732</v>
      </c>
      <c r="D6561" s="2" t="s">
        <v>26733</v>
      </c>
      <c r="E6561" s="2" t="s">
        <v>26734</v>
      </c>
      <c r="F6561" s="2" t="b">
        <v>1</v>
      </c>
      <c r="G6561" s="2" t="b">
        <v>0</v>
      </c>
      <c r="H6561" s="2" t="s">
        <v>37</v>
      </c>
      <c r="I6561" s="2" t="s">
        <v>49</v>
      </c>
      <c r="J6561" s="2" t="s">
        <v>528</v>
      </c>
      <c r="K6561" s="2" t="s">
        <v>495</v>
      </c>
      <c r="L6561" s="13" t="s">
        <v>496</v>
      </c>
      <c r="M6561" s="2" t="s">
        <v>26</v>
      </c>
      <c r="N6561" s="29"/>
      <c r="O6561" s="29"/>
      <c r="P6561" s="5" t="str">
        <f>IFERROR(__xludf.DUMMYFUNCTION("TEXTJOIN("" | "",TRUE,IF(OR(D6561="""",E6561="""",I6561="""",J6561="""",H6561=""""),""ফাঁকা ঘর"",""""),IF(AND(C6561&lt;&gt;"""",D6561&lt;&gt;"""",C6561=D6561),""gloss=figurative"",""""),IF(LEN(D6561)&lt;15,""figurative ছোট"",""""),IF(AND(I6561=""Positive"",REGEXMATCH(H6"&amp;"561,""মূর্খ|ভণ্ড|প্রতার|অলস|লোভ|স্বার্থ|অক্ষম|অযোগ্য|বোকা|কৃপণ|হিংস"")),""valence-target অমিল"",""""),IF(COUNTIF($B:$B,B6561)&gt;1,""ডুপ্লিকেট"",""""))"),"")</f>
        <v/>
      </c>
      <c r="Q6561" s="5" t="str">
        <f t="shared" si="1"/>
        <v>২ পরে</v>
      </c>
    </row>
    <row r="6562">
      <c r="A6562" s="4">
        <v>4482.0</v>
      </c>
      <c r="B6562" s="2" t="s">
        <v>26735</v>
      </c>
      <c r="C6562" s="2" t="s">
        <v>26736</v>
      </c>
      <c r="D6562" s="2" t="s">
        <v>26737</v>
      </c>
      <c r="E6562" s="2" t="s">
        <v>26738</v>
      </c>
      <c r="F6562" s="2" t="b">
        <v>1</v>
      </c>
      <c r="G6562" s="2" t="b">
        <v>0</v>
      </c>
      <c r="H6562" s="2" t="s">
        <v>1985</v>
      </c>
      <c r="I6562" s="2" t="s">
        <v>22</v>
      </c>
      <c r="J6562" s="2" t="s">
        <v>5235</v>
      </c>
      <c r="K6562" s="2" t="s">
        <v>495</v>
      </c>
      <c r="L6562" s="13" t="s">
        <v>496</v>
      </c>
      <c r="M6562" s="2" t="s">
        <v>26</v>
      </c>
      <c r="N6562" s="29"/>
      <c r="O6562" s="29"/>
      <c r="P6562" s="5" t="str">
        <f>IFERROR(__xludf.DUMMYFUNCTION("TEXTJOIN("" | "",TRUE,IF(OR(D6562="""",E6562="""",I6562="""",J6562="""",H6562=""""),""ফাঁকা ঘর"",""""),IF(AND(C6562&lt;&gt;"""",D6562&lt;&gt;"""",C6562=D6562),""gloss=figurative"",""""),IF(LEN(D6562)&lt;15,""figurative ছোট"",""""),IF(AND(I6562=""Positive"",REGEXMATCH(H6"&amp;"562,""মূর্খ|ভণ্ড|প্রতার|অলস|লোভ|স্বার্থ|অক্ষম|অযোগ্য|বোকা|কৃপণ|হিংস"")),""valence-target অমিল"",""""),IF(COUNTIF($B:$B,B6562)&gt;1,""ডুপ্লিকেট"",""""))"),"")</f>
        <v/>
      </c>
      <c r="Q6562" s="5" t="str">
        <f t="shared" si="1"/>
        <v>২ পরে</v>
      </c>
    </row>
    <row r="6563">
      <c r="A6563" s="4">
        <v>4483.0</v>
      </c>
      <c r="B6563" s="2" t="s">
        <v>26739</v>
      </c>
      <c r="C6563" s="2" t="s">
        <v>26740</v>
      </c>
      <c r="D6563" s="2" t="s">
        <v>26741</v>
      </c>
      <c r="E6563" s="2" t="s">
        <v>26742</v>
      </c>
      <c r="F6563" s="2" t="b">
        <v>1</v>
      </c>
      <c r="G6563" s="2" t="b">
        <v>0</v>
      </c>
      <c r="H6563" s="2" t="s">
        <v>1985</v>
      </c>
      <c r="I6563" s="2" t="s">
        <v>22</v>
      </c>
      <c r="J6563" s="2" t="s">
        <v>2671</v>
      </c>
      <c r="K6563" s="2" t="s">
        <v>495</v>
      </c>
      <c r="L6563" s="13" t="s">
        <v>496</v>
      </c>
      <c r="M6563" s="2" t="s">
        <v>26</v>
      </c>
      <c r="N6563" s="29"/>
      <c r="O6563" s="29"/>
      <c r="P6563" s="5" t="str">
        <f>IFERROR(__xludf.DUMMYFUNCTION("TEXTJOIN("" | "",TRUE,IF(OR(D6563="""",E6563="""",I6563="""",J6563="""",H6563=""""),""ফাঁকা ঘর"",""""),IF(AND(C6563&lt;&gt;"""",D6563&lt;&gt;"""",C6563=D6563),""gloss=figurative"",""""),IF(LEN(D6563)&lt;15,""figurative ছোট"",""""),IF(AND(I6563=""Positive"",REGEXMATCH(H6"&amp;"563,""মূর্খ|ভণ্ড|প্রতার|অলস|লোভ|স্বার্থ|অক্ষম|অযোগ্য|বোকা|কৃপণ|হিংস"")),""valence-target অমিল"",""""),IF(COUNTIF($B:$B,B6563)&gt;1,""ডুপ্লিকেট"",""""))"),"")</f>
        <v/>
      </c>
      <c r="Q6563" s="5" t="str">
        <f t="shared" si="1"/>
        <v>২ পরে</v>
      </c>
    </row>
    <row r="6564">
      <c r="A6564" s="4">
        <v>4484.0</v>
      </c>
      <c r="B6564" s="2" t="s">
        <v>26743</v>
      </c>
      <c r="C6564" s="2" t="s">
        <v>26744</v>
      </c>
      <c r="D6564" s="2" t="s">
        <v>26745</v>
      </c>
      <c r="E6564" s="2" t="s">
        <v>26746</v>
      </c>
      <c r="F6564" s="2" t="b">
        <v>1</v>
      </c>
      <c r="G6564" s="2" t="b">
        <v>0</v>
      </c>
      <c r="H6564" s="2" t="s">
        <v>37</v>
      </c>
      <c r="I6564" s="2" t="s">
        <v>32</v>
      </c>
      <c r="J6564" s="2" t="s">
        <v>669</v>
      </c>
      <c r="K6564" s="2" t="s">
        <v>495</v>
      </c>
      <c r="L6564" s="13" t="s">
        <v>496</v>
      </c>
      <c r="M6564" s="2" t="s">
        <v>26</v>
      </c>
      <c r="N6564" s="29"/>
      <c r="O6564" s="29"/>
      <c r="P6564" s="5" t="str">
        <f>IFERROR(__xludf.DUMMYFUNCTION("TEXTJOIN("" | "",TRUE,IF(OR(D6564="""",E6564="""",I6564="""",J6564="""",H6564=""""),""ফাঁকা ঘর"",""""),IF(AND(C6564&lt;&gt;"""",D6564&lt;&gt;"""",C6564=D6564),""gloss=figurative"",""""),IF(LEN(D6564)&lt;15,""figurative ছোট"",""""),IF(AND(I6564=""Positive"",REGEXMATCH(H6"&amp;"564,""মূর্খ|ভণ্ড|প্রতার|অলস|লোভ|স্বার্থ|অক্ষম|অযোগ্য|বোকা|কৃপণ|হিংস"")),""valence-target অমিল"",""""),IF(COUNTIF($B:$B,B6564)&gt;1,""ডুপ্লিকেট"",""""))"),"")</f>
        <v/>
      </c>
      <c r="Q6564" s="5" t="str">
        <f t="shared" si="1"/>
        <v>২ পরে</v>
      </c>
    </row>
    <row r="6565">
      <c r="A6565" s="4">
        <v>4485.0</v>
      </c>
      <c r="B6565" s="2" t="s">
        <v>26747</v>
      </c>
      <c r="C6565" s="2" t="s">
        <v>26748</v>
      </c>
      <c r="D6565" s="2" t="s">
        <v>26749</v>
      </c>
      <c r="E6565" s="2" t="s">
        <v>26750</v>
      </c>
      <c r="F6565" s="2" t="b">
        <v>1</v>
      </c>
      <c r="G6565" s="2" t="b">
        <v>0</v>
      </c>
      <c r="H6565" s="2" t="s">
        <v>37</v>
      </c>
      <c r="I6565" s="2" t="s">
        <v>22</v>
      </c>
      <c r="J6565" s="2" t="s">
        <v>1117</v>
      </c>
      <c r="K6565" s="2" t="s">
        <v>495</v>
      </c>
      <c r="L6565" s="13" t="s">
        <v>496</v>
      </c>
      <c r="M6565" s="2" t="s">
        <v>26</v>
      </c>
      <c r="N6565" s="29"/>
      <c r="O6565" s="29"/>
      <c r="P6565" s="5" t="str">
        <f>IFERROR(__xludf.DUMMYFUNCTION("TEXTJOIN("" | "",TRUE,IF(OR(D6565="""",E6565="""",I6565="""",J6565="""",H6565=""""),""ফাঁকা ঘর"",""""),IF(AND(C6565&lt;&gt;"""",D6565&lt;&gt;"""",C6565=D6565),""gloss=figurative"",""""),IF(LEN(D6565)&lt;15,""figurative ছোট"",""""),IF(AND(I6565=""Positive"",REGEXMATCH(H6"&amp;"565,""মূর্খ|ভণ্ড|প্রতার|অলস|লোভ|স্বার্থ|অক্ষম|অযোগ্য|বোকা|কৃপণ|হিংস"")),""valence-target অমিল"",""""),IF(COUNTIF($B:$B,B6565)&gt;1,""ডুপ্লিকেট"",""""))"),"")</f>
        <v/>
      </c>
      <c r="Q6565" s="5" t="str">
        <f t="shared" si="1"/>
        <v>২ পরে</v>
      </c>
    </row>
    <row r="6566">
      <c r="A6566" s="4">
        <v>4487.0</v>
      </c>
      <c r="B6566" s="2" t="s">
        <v>26751</v>
      </c>
      <c r="C6566" s="2" t="s">
        <v>26752</v>
      </c>
      <c r="D6566" s="2" t="s">
        <v>26753</v>
      </c>
      <c r="E6566" s="2" t="s">
        <v>26754</v>
      </c>
      <c r="F6566" s="2" t="b">
        <v>1</v>
      </c>
      <c r="G6566" s="2" t="b">
        <v>0</v>
      </c>
      <c r="H6566" s="2" t="s">
        <v>17281</v>
      </c>
      <c r="I6566" s="2" t="s">
        <v>22</v>
      </c>
      <c r="J6566" s="2" t="s">
        <v>26755</v>
      </c>
      <c r="K6566" s="2" t="s">
        <v>495</v>
      </c>
      <c r="L6566" s="13" t="s">
        <v>496</v>
      </c>
      <c r="M6566" s="2" t="s">
        <v>26</v>
      </c>
      <c r="N6566" s="29"/>
      <c r="O6566" s="29"/>
      <c r="P6566" s="5" t="str">
        <f>IFERROR(__xludf.DUMMYFUNCTION("TEXTJOIN("" | "",TRUE,IF(OR(D6566="""",E6566="""",I6566="""",J6566="""",H6566=""""),""ফাঁকা ঘর"",""""),IF(AND(C6566&lt;&gt;"""",D6566&lt;&gt;"""",C6566=D6566),""gloss=figurative"",""""),IF(LEN(D6566)&lt;15,""figurative ছোট"",""""),IF(AND(I6566=""Positive"",REGEXMATCH(H6"&amp;"566,""মূর্খ|ভণ্ড|প্রতার|অলস|লোভ|স্বার্থ|অক্ষম|অযোগ্য|বোকা|কৃপণ|হিংস"")),""valence-target অমিল"",""""),IF(COUNTIF($B:$B,B6566)&gt;1,""ডুপ্লিকেট"",""""))"),"")</f>
        <v/>
      </c>
      <c r="Q6566" s="5" t="str">
        <f t="shared" si="1"/>
        <v>২ পরে</v>
      </c>
    </row>
    <row r="6567">
      <c r="A6567" s="4">
        <v>4488.0</v>
      </c>
      <c r="B6567" s="2" t="s">
        <v>26756</v>
      </c>
      <c r="C6567" s="2" t="s">
        <v>26756</v>
      </c>
      <c r="D6567" s="2" t="s">
        <v>26757</v>
      </c>
      <c r="E6567" s="2" t="s">
        <v>26758</v>
      </c>
      <c r="F6567" s="2" t="b">
        <v>1</v>
      </c>
      <c r="G6567" s="2" t="b">
        <v>0</v>
      </c>
      <c r="H6567" s="2" t="s">
        <v>37</v>
      </c>
      <c r="I6567" s="2" t="s">
        <v>32</v>
      </c>
      <c r="J6567" s="2" t="s">
        <v>2381</v>
      </c>
      <c r="K6567" s="2" t="s">
        <v>495</v>
      </c>
      <c r="L6567" s="13" t="s">
        <v>496</v>
      </c>
      <c r="M6567" s="2" t="s">
        <v>26</v>
      </c>
      <c r="N6567" s="29"/>
      <c r="O6567" s="29"/>
      <c r="P6567" s="5" t="str">
        <f>IFERROR(__xludf.DUMMYFUNCTION("TEXTJOIN("" | "",TRUE,IF(OR(D6567="""",E6567="""",I6567="""",J6567="""",H6567=""""),""ফাঁকা ঘর"",""""),IF(AND(C6567&lt;&gt;"""",D6567&lt;&gt;"""",C6567=D6567),""gloss=figurative"",""""),IF(LEN(D6567)&lt;15,""figurative ছোট"",""""),IF(AND(I6567=""Positive"",REGEXMATCH(H6"&amp;"567,""মূর্খ|ভণ্ড|প্রতার|অলস|লোভ|স্বার্থ|অক্ষম|অযোগ্য|বোকা|কৃপণ|হিংস"")),""valence-target অমিল"",""""),IF(COUNTIF($B:$B,B6567)&gt;1,""ডুপ্লিকেট"",""""))"),"")</f>
        <v/>
      </c>
      <c r="Q6567" s="5" t="str">
        <f t="shared" si="1"/>
        <v>২ পরে</v>
      </c>
    </row>
    <row r="6568">
      <c r="A6568" s="4">
        <v>4489.0</v>
      </c>
      <c r="B6568" s="2" t="s">
        <v>26759</v>
      </c>
      <c r="C6568" s="2" t="s">
        <v>26760</v>
      </c>
      <c r="D6568" s="2" t="s">
        <v>26761</v>
      </c>
      <c r="E6568" s="2" t="s">
        <v>26762</v>
      </c>
      <c r="F6568" s="2" t="b">
        <v>1</v>
      </c>
      <c r="G6568" s="2" t="b">
        <v>0</v>
      </c>
      <c r="H6568" s="2" t="s">
        <v>37</v>
      </c>
      <c r="I6568" s="2" t="s">
        <v>32</v>
      </c>
      <c r="J6568" s="2" t="s">
        <v>528</v>
      </c>
      <c r="K6568" s="2" t="s">
        <v>495</v>
      </c>
      <c r="L6568" s="13" t="s">
        <v>496</v>
      </c>
      <c r="M6568" s="2" t="s">
        <v>26</v>
      </c>
      <c r="N6568" s="29"/>
      <c r="O6568" s="29"/>
      <c r="P6568" s="5" t="str">
        <f>IFERROR(__xludf.DUMMYFUNCTION("TEXTJOIN("" | "",TRUE,IF(OR(D6568="""",E6568="""",I6568="""",J6568="""",H6568=""""),""ফাঁকা ঘর"",""""),IF(AND(C6568&lt;&gt;"""",D6568&lt;&gt;"""",C6568=D6568),""gloss=figurative"",""""),IF(LEN(D6568)&lt;15,""figurative ছোট"",""""),IF(AND(I6568=""Positive"",REGEXMATCH(H6"&amp;"568,""মূর্খ|ভণ্ড|প্রতার|অলস|লোভ|স্বার্থ|অক্ষম|অযোগ্য|বোকা|কৃপণ|হিংস"")),""valence-target অমিল"",""""),IF(COUNTIF($B:$B,B6568)&gt;1,""ডুপ্লিকেট"",""""))"),"")</f>
        <v/>
      </c>
      <c r="Q6568" s="5" t="str">
        <f t="shared" si="1"/>
        <v>২ পরে</v>
      </c>
    </row>
    <row r="6569">
      <c r="A6569" s="4">
        <v>4490.0</v>
      </c>
      <c r="B6569" s="2" t="s">
        <v>26763</v>
      </c>
      <c r="C6569" s="2" t="s">
        <v>26764</v>
      </c>
      <c r="D6569" s="2" t="s">
        <v>26765</v>
      </c>
      <c r="E6569" s="2" t="s">
        <v>26766</v>
      </c>
      <c r="F6569" s="2" t="b">
        <v>1</v>
      </c>
      <c r="G6569" s="2" t="b">
        <v>0</v>
      </c>
      <c r="H6569" s="2" t="s">
        <v>37</v>
      </c>
      <c r="I6569" s="2" t="s">
        <v>49</v>
      </c>
      <c r="J6569" s="2" t="s">
        <v>26767</v>
      </c>
      <c r="K6569" s="2" t="s">
        <v>495</v>
      </c>
      <c r="L6569" s="13" t="s">
        <v>496</v>
      </c>
      <c r="M6569" s="2" t="s">
        <v>26</v>
      </c>
      <c r="N6569" s="29"/>
      <c r="O6569" s="29"/>
      <c r="P6569" s="5" t="str">
        <f>IFERROR(__xludf.DUMMYFUNCTION("TEXTJOIN("" | "",TRUE,IF(OR(D6569="""",E6569="""",I6569="""",J6569="""",H6569=""""),""ফাঁকা ঘর"",""""),IF(AND(C6569&lt;&gt;"""",D6569&lt;&gt;"""",C6569=D6569),""gloss=figurative"",""""),IF(LEN(D6569)&lt;15,""figurative ছোট"",""""),IF(AND(I6569=""Positive"",REGEXMATCH(H6"&amp;"569,""মূর্খ|ভণ্ড|প্রতার|অলস|লোভ|স্বার্থ|অক্ষম|অযোগ্য|বোকা|কৃপণ|হিংস"")),""valence-target অমিল"",""""),IF(COUNTIF($B:$B,B6569)&gt;1,""ডুপ্লিকেট"",""""))"),"")</f>
        <v/>
      </c>
      <c r="Q6569" s="5" t="str">
        <f t="shared" si="1"/>
        <v>২ পরে</v>
      </c>
    </row>
    <row r="6570">
      <c r="A6570" s="4">
        <v>4491.0</v>
      </c>
      <c r="B6570" s="2" t="s">
        <v>26768</v>
      </c>
      <c r="C6570" s="2" t="s">
        <v>26769</v>
      </c>
      <c r="D6570" s="2" t="s">
        <v>26770</v>
      </c>
      <c r="E6570" s="2" t="s">
        <v>26771</v>
      </c>
      <c r="F6570" s="2" t="b">
        <v>1</v>
      </c>
      <c r="G6570" s="2" t="b">
        <v>0</v>
      </c>
      <c r="H6570" s="2" t="s">
        <v>37</v>
      </c>
      <c r="I6570" s="2" t="s">
        <v>49</v>
      </c>
      <c r="J6570" s="2" t="s">
        <v>300</v>
      </c>
      <c r="K6570" s="2" t="s">
        <v>495</v>
      </c>
      <c r="L6570" s="13" t="s">
        <v>496</v>
      </c>
      <c r="M6570" s="2" t="s">
        <v>26</v>
      </c>
      <c r="N6570" s="29"/>
      <c r="O6570" s="29"/>
      <c r="P6570" s="5" t="str">
        <f>IFERROR(__xludf.DUMMYFUNCTION("TEXTJOIN("" | "",TRUE,IF(OR(D6570="""",E6570="""",I6570="""",J6570="""",H6570=""""),""ফাঁকা ঘর"",""""),IF(AND(C6570&lt;&gt;"""",D6570&lt;&gt;"""",C6570=D6570),""gloss=figurative"",""""),IF(LEN(D6570)&lt;15,""figurative ছোট"",""""),IF(AND(I6570=""Positive"",REGEXMATCH(H6"&amp;"570,""মূর্খ|ভণ্ড|প্রতার|অলস|লোভ|স্বার্থ|অক্ষম|অযোগ্য|বোকা|কৃপণ|হিংস"")),""valence-target অমিল"",""""),IF(COUNTIF($B:$B,B6570)&gt;1,""ডুপ্লিকেট"",""""))"),"")</f>
        <v/>
      </c>
      <c r="Q6570" s="5" t="str">
        <f t="shared" si="1"/>
        <v>২ পরে</v>
      </c>
    </row>
    <row r="6571">
      <c r="A6571" s="4">
        <v>4492.0</v>
      </c>
      <c r="B6571" s="2" t="s">
        <v>26772</v>
      </c>
      <c r="C6571" s="2" t="s">
        <v>26773</v>
      </c>
      <c r="D6571" s="2" t="s">
        <v>26774</v>
      </c>
      <c r="E6571" s="2" t="s">
        <v>26775</v>
      </c>
      <c r="F6571" s="2" t="b">
        <v>1</v>
      </c>
      <c r="G6571" s="2" t="b">
        <v>0</v>
      </c>
      <c r="H6571" s="2" t="s">
        <v>37</v>
      </c>
      <c r="I6571" s="2" t="s">
        <v>49</v>
      </c>
      <c r="J6571" s="2" t="s">
        <v>528</v>
      </c>
      <c r="K6571" s="2" t="s">
        <v>495</v>
      </c>
      <c r="L6571" s="13" t="s">
        <v>496</v>
      </c>
      <c r="M6571" s="2" t="s">
        <v>26</v>
      </c>
      <c r="N6571" s="29"/>
      <c r="O6571" s="29"/>
      <c r="P6571" s="5" t="str">
        <f>IFERROR(__xludf.DUMMYFUNCTION("TEXTJOIN("" | "",TRUE,IF(OR(D6571="""",E6571="""",I6571="""",J6571="""",H6571=""""),""ফাঁকা ঘর"",""""),IF(AND(C6571&lt;&gt;"""",D6571&lt;&gt;"""",C6571=D6571),""gloss=figurative"",""""),IF(LEN(D6571)&lt;15,""figurative ছোট"",""""),IF(AND(I6571=""Positive"",REGEXMATCH(H6"&amp;"571,""মূর্খ|ভণ্ড|প্রতার|অলস|লোভ|স্বার্থ|অক্ষম|অযোগ্য|বোকা|কৃপণ|হিংস"")),""valence-target অমিল"",""""),IF(COUNTIF($B:$B,B6571)&gt;1,""ডুপ্লিকেট"",""""))"),"")</f>
        <v/>
      </c>
      <c r="Q6571" s="5" t="str">
        <f t="shared" si="1"/>
        <v>২ পরে</v>
      </c>
    </row>
    <row r="6572">
      <c r="A6572" s="4">
        <v>4493.0</v>
      </c>
      <c r="B6572" s="2" t="s">
        <v>26776</v>
      </c>
      <c r="C6572" s="2" t="s">
        <v>26776</v>
      </c>
      <c r="D6572" s="2" t="s">
        <v>26777</v>
      </c>
      <c r="E6572" s="2" t="s">
        <v>26778</v>
      </c>
      <c r="F6572" s="2" t="b">
        <v>1</v>
      </c>
      <c r="G6572" s="2" t="b">
        <v>0</v>
      </c>
      <c r="H6572" s="2" t="s">
        <v>37</v>
      </c>
      <c r="I6572" s="2" t="s">
        <v>32</v>
      </c>
      <c r="J6572" s="2" t="s">
        <v>2540</v>
      </c>
      <c r="K6572" s="2" t="s">
        <v>495</v>
      </c>
      <c r="L6572" s="13" t="s">
        <v>496</v>
      </c>
      <c r="M6572" s="2" t="s">
        <v>26</v>
      </c>
      <c r="N6572" s="29"/>
      <c r="O6572" s="29"/>
      <c r="P6572" s="5" t="str">
        <f>IFERROR(__xludf.DUMMYFUNCTION("TEXTJOIN("" | "",TRUE,IF(OR(D6572="""",E6572="""",I6572="""",J6572="""",H6572=""""),""ফাঁকা ঘর"",""""),IF(AND(C6572&lt;&gt;"""",D6572&lt;&gt;"""",C6572=D6572),""gloss=figurative"",""""),IF(LEN(D6572)&lt;15,""figurative ছোট"",""""),IF(AND(I6572=""Positive"",REGEXMATCH(H6"&amp;"572,""মূর্খ|ভণ্ড|প্রতার|অলস|লোভ|স্বার্থ|অক্ষম|অযোগ্য|বোকা|কৃপণ|হিংস"")),""valence-target অমিল"",""""),IF(COUNTIF($B:$B,B6572)&gt;1,""ডুপ্লিকেট"",""""))"),"")</f>
        <v/>
      </c>
      <c r="Q6572" s="5" t="str">
        <f t="shared" si="1"/>
        <v>২ পরে</v>
      </c>
    </row>
    <row r="6573">
      <c r="A6573" s="4">
        <v>4494.0</v>
      </c>
      <c r="B6573" s="2" t="s">
        <v>26779</v>
      </c>
      <c r="C6573" s="2" t="s">
        <v>26780</v>
      </c>
      <c r="D6573" s="2" t="s">
        <v>26781</v>
      </c>
      <c r="E6573" s="2" t="s">
        <v>26782</v>
      </c>
      <c r="F6573" s="2" t="b">
        <v>1</v>
      </c>
      <c r="G6573" s="2" t="b">
        <v>0</v>
      </c>
      <c r="H6573" s="2" t="s">
        <v>37</v>
      </c>
      <c r="I6573" s="2" t="s">
        <v>22</v>
      </c>
      <c r="J6573" s="2" t="s">
        <v>447</v>
      </c>
      <c r="K6573" s="2" t="s">
        <v>495</v>
      </c>
      <c r="L6573" s="13" t="s">
        <v>496</v>
      </c>
      <c r="M6573" s="2" t="s">
        <v>26</v>
      </c>
      <c r="N6573" s="29"/>
      <c r="O6573" s="29"/>
      <c r="P6573" s="5" t="str">
        <f>IFERROR(__xludf.DUMMYFUNCTION("TEXTJOIN("" | "",TRUE,IF(OR(D6573="""",E6573="""",I6573="""",J6573="""",H6573=""""),""ফাঁকা ঘর"",""""),IF(AND(C6573&lt;&gt;"""",D6573&lt;&gt;"""",C6573=D6573),""gloss=figurative"",""""),IF(LEN(D6573)&lt;15,""figurative ছোট"",""""),IF(AND(I6573=""Positive"",REGEXMATCH(H6"&amp;"573,""মূর্খ|ভণ্ড|প্রতার|অলস|লোভ|স্বার্থ|অক্ষম|অযোগ্য|বোকা|কৃপণ|হিংস"")),""valence-target অমিল"",""""),IF(COUNTIF($B:$B,B6573)&gt;1,""ডুপ্লিকেট"",""""))"),"")</f>
        <v/>
      </c>
      <c r="Q6573" s="5" t="str">
        <f t="shared" si="1"/>
        <v>২ পরে</v>
      </c>
    </row>
    <row r="6574">
      <c r="A6574" s="4">
        <v>4495.0</v>
      </c>
      <c r="B6574" s="2" t="s">
        <v>26783</v>
      </c>
      <c r="C6574" s="2" t="s">
        <v>26784</v>
      </c>
      <c r="D6574" s="2" t="s">
        <v>26785</v>
      </c>
      <c r="E6574" s="2" t="s">
        <v>26786</v>
      </c>
      <c r="F6574" s="2" t="b">
        <v>1</v>
      </c>
      <c r="G6574" s="2" t="b">
        <v>0</v>
      </c>
      <c r="H6574" s="2" t="s">
        <v>37</v>
      </c>
      <c r="I6574" s="2" t="s">
        <v>32</v>
      </c>
      <c r="J6574" s="2" t="s">
        <v>26787</v>
      </c>
      <c r="K6574" s="2" t="s">
        <v>495</v>
      </c>
      <c r="L6574" s="13" t="s">
        <v>496</v>
      </c>
      <c r="M6574" s="2" t="s">
        <v>26</v>
      </c>
      <c r="N6574" s="29"/>
      <c r="O6574" s="29"/>
      <c r="P6574" s="5" t="str">
        <f>IFERROR(__xludf.DUMMYFUNCTION("TEXTJOIN("" | "",TRUE,IF(OR(D6574="""",E6574="""",I6574="""",J6574="""",H6574=""""),""ফাঁকা ঘর"",""""),IF(AND(C6574&lt;&gt;"""",D6574&lt;&gt;"""",C6574=D6574),""gloss=figurative"",""""),IF(LEN(D6574)&lt;15,""figurative ছোট"",""""),IF(AND(I6574=""Positive"",REGEXMATCH(H6"&amp;"574,""মূর্খ|ভণ্ড|প্রতার|অলস|লোভ|স্বার্থ|অক্ষম|অযোগ্য|বোকা|কৃপণ|হিংস"")),""valence-target অমিল"",""""),IF(COUNTIF($B:$B,B6574)&gt;1,""ডুপ্লিকেট"",""""))"),"")</f>
        <v/>
      </c>
      <c r="Q6574" s="5" t="str">
        <f t="shared" si="1"/>
        <v>২ পরে</v>
      </c>
    </row>
    <row r="6575">
      <c r="A6575" s="4">
        <v>4496.0</v>
      </c>
      <c r="B6575" s="2" t="s">
        <v>26788</v>
      </c>
      <c r="C6575" s="2" t="s">
        <v>26789</v>
      </c>
      <c r="D6575" s="2" t="s">
        <v>26790</v>
      </c>
      <c r="E6575" s="2" t="s">
        <v>26791</v>
      </c>
      <c r="F6575" s="2" t="b">
        <v>1</v>
      </c>
      <c r="G6575" s="2" t="b">
        <v>0</v>
      </c>
      <c r="H6575" s="2" t="s">
        <v>37</v>
      </c>
      <c r="I6575" s="2" t="s">
        <v>32</v>
      </c>
      <c r="J6575" s="2" t="s">
        <v>1934</v>
      </c>
      <c r="K6575" s="2" t="s">
        <v>495</v>
      </c>
      <c r="L6575" s="13" t="s">
        <v>496</v>
      </c>
      <c r="M6575" s="2" t="s">
        <v>26</v>
      </c>
      <c r="N6575" s="29"/>
      <c r="O6575" s="29"/>
      <c r="P6575" s="5" t="str">
        <f>IFERROR(__xludf.DUMMYFUNCTION("TEXTJOIN("" | "",TRUE,IF(OR(D6575="""",E6575="""",I6575="""",J6575="""",H6575=""""),""ফাঁকা ঘর"",""""),IF(AND(C6575&lt;&gt;"""",D6575&lt;&gt;"""",C6575=D6575),""gloss=figurative"",""""),IF(LEN(D6575)&lt;15,""figurative ছোট"",""""),IF(AND(I6575=""Positive"",REGEXMATCH(H6"&amp;"575,""মূর্খ|ভণ্ড|প্রতার|অলস|লোভ|স্বার্থ|অক্ষম|অযোগ্য|বোকা|কৃপণ|হিংস"")),""valence-target অমিল"",""""),IF(COUNTIF($B:$B,B6575)&gt;1,""ডুপ্লিকেট"",""""))"),"")</f>
        <v/>
      </c>
      <c r="Q6575" s="5" t="str">
        <f t="shared" si="1"/>
        <v>২ পরে</v>
      </c>
    </row>
    <row r="6576">
      <c r="A6576" s="4">
        <v>4497.0</v>
      </c>
      <c r="B6576" s="2" t="s">
        <v>26792</v>
      </c>
      <c r="C6576" s="2" t="s">
        <v>26793</v>
      </c>
      <c r="D6576" s="2" t="s">
        <v>26794</v>
      </c>
      <c r="E6576" s="2" t="s">
        <v>26795</v>
      </c>
      <c r="F6576" s="2" t="b">
        <v>1</v>
      </c>
      <c r="G6576" s="2" t="b">
        <v>0</v>
      </c>
      <c r="H6576" s="2" t="s">
        <v>37</v>
      </c>
      <c r="I6576" s="2" t="s">
        <v>32</v>
      </c>
      <c r="J6576" s="2" t="s">
        <v>891</v>
      </c>
      <c r="K6576" s="2" t="s">
        <v>495</v>
      </c>
      <c r="L6576" s="13" t="s">
        <v>496</v>
      </c>
      <c r="M6576" s="2" t="s">
        <v>26</v>
      </c>
      <c r="N6576" s="29"/>
      <c r="O6576" s="29"/>
      <c r="P6576" s="5" t="str">
        <f>IFERROR(__xludf.DUMMYFUNCTION("TEXTJOIN("" | "",TRUE,IF(OR(D6576="""",E6576="""",I6576="""",J6576="""",H6576=""""),""ফাঁকা ঘর"",""""),IF(AND(C6576&lt;&gt;"""",D6576&lt;&gt;"""",C6576=D6576),""gloss=figurative"",""""),IF(LEN(D6576)&lt;15,""figurative ছোট"",""""),IF(AND(I6576=""Positive"",REGEXMATCH(H6"&amp;"576,""মূর্খ|ভণ্ড|প্রতার|অলস|লোভ|স্বার্থ|অক্ষম|অযোগ্য|বোকা|কৃপণ|হিংস"")),""valence-target অমিল"",""""),IF(COUNTIF($B:$B,B6576)&gt;1,""ডুপ্লিকেট"",""""))"),"")</f>
        <v/>
      </c>
      <c r="Q6576" s="5" t="str">
        <f t="shared" si="1"/>
        <v>২ পরে</v>
      </c>
    </row>
    <row r="6577">
      <c r="A6577" s="4">
        <v>4498.0</v>
      </c>
      <c r="B6577" s="2" t="s">
        <v>26796</v>
      </c>
      <c r="C6577" s="2" t="s">
        <v>26797</v>
      </c>
      <c r="D6577" s="2" t="s">
        <v>26798</v>
      </c>
      <c r="E6577" s="2" t="s">
        <v>26799</v>
      </c>
      <c r="F6577" s="2" t="b">
        <v>1</v>
      </c>
      <c r="G6577" s="2" t="b">
        <v>0</v>
      </c>
      <c r="H6577" s="2" t="s">
        <v>37</v>
      </c>
      <c r="I6577" s="2" t="s">
        <v>32</v>
      </c>
      <c r="J6577" s="2" t="s">
        <v>891</v>
      </c>
      <c r="K6577" s="2" t="s">
        <v>495</v>
      </c>
      <c r="L6577" s="13" t="s">
        <v>496</v>
      </c>
      <c r="M6577" s="2" t="s">
        <v>26</v>
      </c>
      <c r="N6577" s="29"/>
      <c r="O6577" s="29"/>
      <c r="P6577" s="5" t="str">
        <f>IFERROR(__xludf.DUMMYFUNCTION("TEXTJOIN("" | "",TRUE,IF(OR(D6577="""",E6577="""",I6577="""",J6577="""",H6577=""""),""ফাঁকা ঘর"",""""),IF(AND(C6577&lt;&gt;"""",D6577&lt;&gt;"""",C6577=D6577),""gloss=figurative"",""""),IF(LEN(D6577)&lt;15,""figurative ছোট"",""""),IF(AND(I6577=""Positive"",REGEXMATCH(H6"&amp;"577,""মূর্খ|ভণ্ড|প্রতার|অলস|লোভ|স্বার্থ|অক্ষম|অযোগ্য|বোকা|কৃপণ|হিংস"")),""valence-target অমিল"",""""),IF(COUNTIF($B:$B,B6577)&gt;1,""ডুপ্লিকেট"",""""))"),"")</f>
        <v/>
      </c>
      <c r="Q6577" s="5" t="str">
        <f t="shared" si="1"/>
        <v>২ পরে</v>
      </c>
    </row>
    <row r="6578">
      <c r="A6578" s="4">
        <v>4500.0</v>
      </c>
      <c r="B6578" s="2" t="s">
        <v>26800</v>
      </c>
      <c r="C6578" s="2" t="s">
        <v>26801</v>
      </c>
      <c r="D6578" s="2" t="s">
        <v>26802</v>
      </c>
      <c r="E6578" s="2" t="s">
        <v>26803</v>
      </c>
      <c r="F6578" s="2" t="b">
        <v>1</v>
      </c>
      <c r="G6578" s="2" t="b">
        <v>0</v>
      </c>
      <c r="H6578" s="2" t="s">
        <v>1284</v>
      </c>
      <c r="I6578" s="2" t="s">
        <v>22</v>
      </c>
      <c r="J6578" s="2" t="s">
        <v>1471</v>
      </c>
      <c r="K6578" s="2" t="s">
        <v>495</v>
      </c>
      <c r="L6578" s="13" t="s">
        <v>496</v>
      </c>
      <c r="M6578" s="2" t="s">
        <v>26</v>
      </c>
      <c r="N6578" s="29"/>
      <c r="O6578" s="29"/>
      <c r="P6578" s="5" t="str">
        <f>IFERROR(__xludf.DUMMYFUNCTION("TEXTJOIN("" | "",TRUE,IF(OR(D6578="""",E6578="""",I6578="""",J6578="""",H6578=""""),""ফাঁকা ঘর"",""""),IF(AND(C6578&lt;&gt;"""",D6578&lt;&gt;"""",C6578=D6578),""gloss=figurative"",""""),IF(LEN(D6578)&lt;15,""figurative ছোট"",""""),IF(AND(I6578=""Positive"",REGEXMATCH(H6"&amp;"578,""মূর্খ|ভণ্ড|প্রতার|অলস|লোভ|স্বার্থ|অক্ষম|অযোগ্য|বোকা|কৃপণ|হিংস"")),""valence-target অমিল"",""""),IF(COUNTIF($B:$B,B6578)&gt;1,""ডুপ্লিকেট"",""""))"),"")</f>
        <v/>
      </c>
      <c r="Q6578" s="5" t="str">
        <f t="shared" si="1"/>
        <v>২ পরে</v>
      </c>
    </row>
    <row r="6579">
      <c r="A6579" s="4">
        <v>4501.0</v>
      </c>
      <c r="B6579" s="2" t="s">
        <v>26804</v>
      </c>
      <c r="C6579" s="2" t="s">
        <v>26805</v>
      </c>
      <c r="D6579" s="2" t="s">
        <v>26806</v>
      </c>
      <c r="E6579" s="2" t="s">
        <v>26807</v>
      </c>
      <c r="F6579" s="2" t="b">
        <v>1</v>
      </c>
      <c r="G6579" s="2" t="b">
        <v>0</v>
      </c>
      <c r="H6579" s="2" t="s">
        <v>1284</v>
      </c>
      <c r="I6579" s="2" t="s">
        <v>22</v>
      </c>
      <c r="J6579" s="2" t="s">
        <v>1471</v>
      </c>
      <c r="K6579" s="2" t="s">
        <v>495</v>
      </c>
      <c r="L6579" s="13" t="s">
        <v>496</v>
      </c>
      <c r="M6579" s="2" t="s">
        <v>26</v>
      </c>
      <c r="N6579" s="29"/>
      <c r="O6579" s="29"/>
      <c r="P6579" s="5" t="str">
        <f>IFERROR(__xludf.DUMMYFUNCTION("TEXTJOIN("" | "",TRUE,IF(OR(D6579="""",E6579="""",I6579="""",J6579="""",H6579=""""),""ফাঁকা ঘর"",""""),IF(AND(C6579&lt;&gt;"""",D6579&lt;&gt;"""",C6579=D6579),""gloss=figurative"",""""),IF(LEN(D6579)&lt;15,""figurative ছোট"",""""),IF(AND(I6579=""Positive"",REGEXMATCH(H6"&amp;"579,""মূর্খ|ভণ্ড|প্রতার|অলস|লোভ|স্বার্থ|অক্ষম|অযোগ্য|বোকা|কৃপণ|হিংস"")),""valence-target অমিল"",""""),IF(COUNTIF($B:$B,B6579)&gt;1,""ডুপ্লিকেট"",""""))"),"")</f>
        <v/>
      </c>
      <c r="Q6579" s="5" t="str">
        <f t="shared" si="1"/>
        <v>২ পরে</v>
      </c>
    </row>
    <row r="6580">
      <c r="A6580" s="4">
        <v>4502.0</v>
      </c>
      <c r="B6580" s="2" t="s">
        <v>26808</v>
      </c>
      <c r="C6580" s="2" t="s">
        <v>26808</v>
      </c>
      <c r="D6580" s="2" t="s">
        <v>26809</v>
      </c>
      <c r="E6580" s="2" t="s">
        <v>26810</v>
      </c>
      <c r="F6580" s="2" t="b">
        <v>1</v>
      </c>
      <c r="G6580" s="2" t="b">
        <v>0</v>
      </c>
      <c r="H6580" s="2" t="s">
        <v>37</v>
      </c>
      <c r="I6580" s="2" t="s">
        <v>49</v>
      </c>
      <c r="J6580" s="2" t="s">
        <v>1443</v>
      </c>
      <c r="K6580" s="2" t="s">
        <v>495</v>
      </c>
      <c r="L6580" s="13" t="s">
        <v>496</v>
      </c>
      <c r="M6580" s="2" t="s">
        <v>26</v>
      </c>
      <c r="N6580" s="29"/>
      <c r="O6580" s="29"/>
      <c r="P6580" s="5" t="str">
        <f>IFERROR(__xludf.DUMMYFUNCTION("TEXTJOIN("" | "",TRUE,IF(OR(D6580="""",E6580="""",I6580="""",J6580="""",H6580=""""),""ফাঁকা ঘর"",""""),IF(AND(C6580&lt;&gt;"""",D6580&lt;&gt;"""",C6580=D6580),""gloss=figurative"",""""),IF(LEN(D6580)&lt;15,""figurative ছোট"",""""),IF(AND(I6580=""Positive"",REGEXMATCH(H6"&amp;"580,""মূর্খ|ভণ্ড|প্রতার|অলস|লোভ|স্বার্থ|অক্ষম|অযোগ্য|বোকা|কৃপণ|হিংস"")),""valence-target অমিল"",""""),IF(COUNTIF($B:$B,B6580)&gt;1,""ডুপ্লিকেট"",""""))"),"")</f>
        <v/>
      </c>
      <c r="Q6580" s="5" t="str">
        <f t="shared" si="1"/>
        <v>২ পরে</v>
      </c>
    </row>
    <row r="6581">
      <c r="A6581" s="4">
        <v>4503.0</v>
      </c>
      <c r="B6581" s="2" t="s">
        <v>26811</v>
      </c>
      <c r="C6581" s="2" t="s">
        <v>26811</v>
      </c>
      <c r="D6581" s="2" t="s">
        <v>26812</v>
      </c>
      <c r="E6581" s="2" t="s">
        <v>26813</v>
      </c>
      <c r="F6581" s="2" t="b">
        <v>1</v>
      </c>
      <c r="G6581" s="2" t="b">
        <v>0</v>
      </c>
      <c r="H6581" s="2" t="s">
        <v>26814</v>
      </c>
      <c r="I6581" s="2" t="s">
        <v>22</v>
      </c>
      <c r="J6581" s="2" t="s">
        <v>836</v>
      </c>
      <c r="K6581" s="2" t="s">
        <v>495</v>
      </c>
      <c r="L6581" s="13" t="s">
        <v>496</v>
      </c>
      <c r="M6581" s="2" t="s">
        <v>26</v>
      </c>
      <c r="N6581" s="29"/>
      <c r="O6581" s="29"/>
      <c r="P6581" s="5" t="str">
        <f>IFERROR(__xludf.DUMMYFUNCTION("TEXTJOIN("" | "",TRUE,IF(OR(D6581="""",E6581="""",I6581="""",J6581="""",H6581=""""),""ফাঁকা ঘর"",""""),IF(AND(C6581&lt;&gt;"""",D6581&lt;&gt;"""",C6581=D6581),""gloss=figurative"",""""),IF(LEN(D6581)&lt;15,""figurative ছোট"",""""),IF(AND(I6581=""Positive"",REGEXMATCH(H6"&amp;"581,""মূর্খ|ভণ্ড|প্রতার|অলস|লোভ|স্বার্থ|অক্ষম|অযোগ্য|বোকা|কৃপণ|হিংস"")),""valence-target অমিল"",""""),IF(COUNTIF($B:$B,B6581)&gt;1,""ডুপ্লিকেট"",""""))"),"")</f>
        <v/>
      </c>
      <c r="Q6581" s="5" t="str">
        <f t="shared" si="1"/>
        <v>২ পরে</v>
      </c>
    </row>
    <row r="6582">
      <c r="A6582" s="4">
        <v>4504.0</v>
      </c>
      <c r="B6582" s="2" t="s">
        <v>26815</v>
      </c>
      <c r="C6582" s="2" t="s">
        <v>26816</v>
      </c>
      <c r="D6582" s="2" t="s">
        <v>26817</v>
      </c>
      <c r="E6582" s="2" t="s">
        <v>26818</v>
      </c>
      <c r="F6582" s="2" t="b">
        <v>1</v>
      </c>
      <c r="G6582" s="2" t="b">
        <v>0</v>
      </c>
      <c r="H6582" s="2" t="s">
        <v>37</v>
      </c>
      <c r="I6582" s="2" t="s">
        <v>22</v>
      </c>
      <c r="J6582" s="2" t="s">
        <v>2638</v>
      </c>
      <c r="K6582" s="2" t="s">
        <v>495</v>
      </c>
      <c r="L6582" s="13" t="s">
        <v>496</v>
      </c>
      <c r="M6582" s="2" t="s">
        <v>26</v>
      </c>
      <c r="N6582" s="29"/>
      <c r="O6582" s="29"/>
      <c r="P6582" s="5" t="str">
        <f>IFERROR(__xludf.DUMMYFUNCTION("TEXTJOIN("" | "",TRUE,IF(OR(D6582="""",E6582="""",I6582="""",J6582="""",H6582=""""),""ফাঁকা ঘর"",""""),IF(AND(C6582&lt;&gt;"""",D6582&lt;&gt;"""",C6582=D6582),""gloss=figurative"",""""),IF(LEN(D6582)&lt;15,""figurative ছোট"",""""),IF(AND(I6582=""Positive"",REGEXMATCH(H6"&amp;"582,""মূর্খ|ভণ্ড|প্রতার|অলস|লোভ|স্বার্থ|অক্ষম|অযোগ্য|বোকা|কৃপণ|হিংস"")),""valence-target অমিল"",""""),IF(COUNTIF($B:$B,B6582)&gt;1,""ডুপ্লিকেট"",""""))"),"")</f>
        <v/>
      </c>
      <c r="Q6582" s="5" t="str">
        <f t="shared" si="1"/>
        <v>২ পরে</v>
      </c>
    </row>
    <row r="6583">
      <c r="A6583" s="4">
        <v>4505.0</v>
      </c>
      <c r="B6583" s="2" t="s">
        <v>26819</v>
      </c>
      <c r="C6583" s="2" t="s">
        <v>26820</v>
      </c>
      <c r="D6583" s="2" t="s">
        <v>26821</v>
      </c>
      <c r="E6583" s="2" t="s">
        <v>26822</v>
      </c>
      <c r="F6583" s="2" t="b">
        <v>1</v>
      </c>
      <c r="G6583" s="2" t="b">
        <v>0</v>
      </c>
      <c r="H6583" s="2" t="s">
        <v>37</v>
      </c>
      <c r="I6583" s="2" t="s">
        <v>49</v>
      </c>
      <c r="J6583" s="2" t="s">
        <v>528</v>
      </c>
      <c r="K6583" s="2" t="s">
        <v>495</v>
      </c>
      <c r="L6583" s="13" t="s">
        <v>496</v>
      </c>
      <c r="M6583" s="2" t="s">
        <v>26</v>
      </c>
      <c r="N6583" s="29"/>
      <c r="O6583" s="29"/>
      <c r="P6583" s="5" t="str">
        <f>IFERROR(__xludf.DUMMYFUNCTION("TEXTJOIN("" | "",TRUE,IF(OR(D6583="""",E6583="""",I6583="""",J6583="""",H6583=""""),""ফাঁকা ঘর"",""""),IF(AND(C6583&lt;&gt;"""",D6583&lt;&gt;"""",C6583=D6583),""gloss=figurative"",""""),IF(LEN(D6583)&lt;15,""figurative ছোট"",""""),IF(AND(I6583=""Positive"",REGEXMATCH(H6"&amp;"583,""মূর্খ|ভণ্ড|প্রতার|অলস|লোভ|স্বার্থ|অক্ষম|অযোগ্য|বোকা|কৃপণ|হিংস"")),""valence-target অমিল"",""""),IF(COUNTIF($B:$B,B6583)&gt;1,""ডুপ্লিকেট"",""""))"),"")</f>
        <v/>
      </c>
      <c r="Q6583" s="5" t="str">
        <f t="shared" si="1"/>
        <v>২ পরে</v>
      </c>
    </row>
    <row r="6584">
      <c r="A6584" s="4">
        <v>4506.0</v>
      </c>
      <c r="B6584" s="2" t="s">
        <v>26823</v>
      </c>
      <c r="C6584" s="2" t="s">
        <v>10063</v>
      </c>
      <c r="D6584" s="2" t="s">
        <v>26824</v>
      </c>
      <c r="E6584" s="2" t="s">
        <v>26825</v>
      </c>
      <c r="F6584" s="2" t="b">
        <v>1</v>
      </c>
      <c r="G6584" s="2" t="b">
        <v>0</v>
      </c>
      <c r="H6584" s="2" t="s">
        <v>37</v>
      </c>
      <c r="I6584" s="2" t="s">
        <v>32</v>
      </c>
      <c r="J6584" s="2" t="s">
        <v>26826</v>
      </c>
      <c r="K6584" s="2" t="s">
        <v>495</v>
      </c>
      <c r="L6584" s="13" t="s">
        <v>496</v>
      </c>
      <c r="M6584" s="2" t="s">
        <v>26</v>
      </c>
      <c r="N6584" s="29"/>
      <c r="O6584" s="29"/>
      <c r="P6584" s="5" t="str">
        <f>IFERROR(__xludf.DUMMYFUNCTION("TEXTJOIN("" | "",TRUE,IF(OR(D6584="""",E6584="""",I6584="""",J6584="""",H6584=""""),""ফাঁকা ঘর"",""""),IF(AND(C6584&lt;&gt;"""",D6584&lt;&gt;"""",C6584=D6584),""gloss=figurative"",""""),IF(LEN(D6584)&lt;15,""figurative ছোট"",""""),IF(AND(I6584=""Positive"",REGEXMATCH(H6"&amp;"584,""মূর্খ|ভণ্ড|প্রতার|অলস|লোভ|স্বার্থ|অক্ষম|অযোগ্য|বোকা|কৃপণ|হিংস"")),""valence-target অমিল"",""""),IF(COUNTIF($B:$B,B6584)&gt;1,""ডুপ্লিকেট"",""""))"),"")</f>
        <v/>
      </c>
      <c r="Q6584" s="5" t="str">
        <f t="shared" si="1"/>
        <v>২ পরে</v>
      </c>
    </row>
    <row r="6585">
      <c r="A6585" s="4">
        <v>4507.0</v>
      </c>
      <c r="B6585" s="2" t="s">
        <v>26827</v>
      </c>
      <c r="C6585" s="2" t="s">
        <v>26828</v>
      </c>
      <c r="D6585" s="2" t="s">
        <v>26829</v>
      </c>
      <c r="E6585" s="2" t="s">
        <v>26830</v>
      </c>
      <c r="F6585" s="2" t="b">
        <v>1</v>
      </c>
      <c r="G6585" s="2" t="b">
        <v>0</v>
      </c>
      <c r="H6585" s="2" t="s">
        <v>37</v>
      </c>
      <c r="I6585" s="2" t="s">
        <v>22</v>
      </c>
      <c r="J6585" s="2" t="s">
        <v>1471</v>
      </c>
      <c r="K6585" s="2" t="s">
        <v>495</v>
      </c>
      <c r="L6585" s="13" t="s">
        <v>496</v>
      </c>
      <c r="M6585" s="2" t="s">
        <v>26</v>
      </c>
      <c r="N6585" s="29"/>
      <c r="O6585" s="29"/>
      <c r="P6585" s="5" t="str">
        <f>IFERROR(__xludf.DUMMYFUNCTION("TEXTJOIN("" | "",TRUE,IF(OR(D6585="""",E6585="""",I6585="""",J6585="""",H6585=""""),""ফাঁকা ঘর"",""""),IF(AND(C6585&lt;&gt;"""",D6585&lt;&gt;"""",C6585=D6585),""gloss=figurative"",""""),IF(LEN(D6585)&lt;15,""figurative ছোট"",""""),IF(AND(I6585=""Positive"",REGEXMATCH(H6"&amp;"585,""মূর্খ|ভণ্ড|প্রতার|অলস|লোভ|স্বার্থ|অক্ষম|অযোগ্য|বোকা|কৃপণ|হিংস"")),""valence-target অমিল"",""""),IF(COUNTIF($B:$B,B6585)&gt;1,""ডুপ্লিকেট"",""""))"),"")</f>
        <v/>
      </c>
      <c r="Q6585" s="5" t="str">
        <f t="shared" si="1"/>
        <v>২ পরে</v>
      </c>
    </row>
    <row r="6586">
      <c r="A6586" s="4">
        <v>4508.0</v>
      </c>
      <c r="B6586" s="2" t="s">
        <v>26831</v>
      </c>
      <c r="C6586" s="2" t="s">
        <v>26832</v>
      </c>
      <c r="D6586" s="2" t="s">
        <v>26833</v>
      </c>
      <c r="E6586" s="2" t="s">
        <v>26834</v>
      </c>
      <c r="F6586" s="2" t="b">
        <v>1</v>
      </c>
      <c r="G6586" s="2" t="b">
        <v>0</v>
      </c>
      <c r="H6586" s="2" t="s">
        <v>37</v>
      </c>
      <c r="I6586" s="2" t="s">
        <v>22</v>
      </c>
      <c r="J6586" s="2" t="s">
        <v>2675</v>
      </c>
      <c r="K6586" s="2" t="s">
        <v>495</v>
      </c>
      <c r="L6586" s="13" t="s">
        <v>496</v>
      </c>
      <c r="M6586" s="2" t="s">
        <v>26</v>
      </c>
      <c r="N6586" s="29"/>
      <c r="O6586" s="29"/>
      <c r="P6586" s="5" t="str">
        <f>IFERROR(__xludf.DUMMYFUNCTION("TEXTJOIN("" | "",TRUE,IF(OR(D6586="""",E6586="""",I6586="""",J6586="""",H6586=""""),""ফাঁকা ঘর"",""""),IF(AND(C6586&lt;&gt;"""",D6586&lt;&gt;"""",C6586=D6586),""gloss=figurative"",""""),IF(LEN(D6586)&lt;15,""figurative ছোট"",""""),IF(AND(I6586=""Positive"",REGEXMATCH(H6"&amp;"586,""মূর্খ|ভণ্ড|প্রতার|অলস|লোভ|স্বার্থ|অক্ষম|অযোগ্য|বোকা|কৃপণ|হিংস"")),""valence-target অমিল"",""""),IF(COUNTIF($B:$B,B6586)&gt;1,""ডুপ্লিকেট"",""""))"),"")</f>
        <v/>
      </c>
      <c r="Q6586" s="5" t="str">
        <f t="shared" si="1"/>
        <v>২ পরে</v>
      </c>
    </row>
    <row r="6587">
      <c r="A6587" s="4">
        <v>4509.0</v>
      </c>
      <c r="B6587" s="2" t="s">
        <v>26835</v>
      </c>
      <c r="C6587" s="2" t="s">
        <v>26836</v>
      </c>
      <c r="D6587" s="2" t="s">
        <v>26837</v>
      </c>
      <c r="E6587" s="2" t="s">
        <v>26838</v>
      </c>
      <c r="F6587" s="2" t="b">
        <v>1</v>
      </c>
      <c r="G6587" s="2" t="b">
        <v>0</v>
      </c>
      <c r="H6587" s="2" t="s">
        <v>37</v>
      </c>
      <c r="I6587" s="2" t="s">
        <v>22</v>
      </c>
      <c r="J6587" s="2" t="s">
        <v>1146</v>
      </c>
      <c r="K6587" s="2" t="s">
        <v>495</v>
      </c>
      <c r="L6587" s="13" t="s">
        <v>496</v>
      </c>
      <c r="M6587" s="2" t="s">
        <v>26</v>
      </c>
      <c r="N6587" s="29"/>
      <c r="O6587" s="29"/>
      <c r="P6587" s="5" t="str">
        <f>IFERROR(__xludf.DUMMYFUNCTION("TEXTJOIN("" | "",TRUE,IF(OR(D6587="""",E6587="""",I6587="""",J6587="""",H6587=""""),""ফাঁকা ঘর"",""""),IF(AND(C6587&lt;&gt;"""",D6587&lt;&gt;"""",C6587=D6587),""gloss=figurative"",""""),IF(LEN(D6587)&lt;15,""figurative ছোট"",""""),IF(AND(I6587=""Positive"",REGEXMATCH(H6"&amp;"587,""মূর্খ|ভণ্ড|প্রতার|অলস|লোভ|স্বার্থ|অক্ষম|অযোগ্য|বোকা|কৃপণ|হিংস"")),""valence-target অমিল"",""""),IF(COUNTIF($B:$B,B6587)&gt;1,""ডুপ্লিকেট"",""""))"),"")</f>
        <v/>
      </c>
      <c r="Q6587" s="5" t="str">
        <f t="shared" si="1"/>
        <v>২ পরে</v>
      </c>
    </row>
    <row r="6588">
      <c r="A6588" s="4">
        <v>4510.0</v>
      </c>
      <c r="B6588" s="2" t="s">
        <v>26839</v>
      </c>
      <c r="C6588" s="2" t="s">
        <v>26839</v>
      </c>
      <c r="D6588" s="2" t="s">
        <v>26840</v>
      </c>
      <c r="E6588" s="2" t="s">
        <v>26841</v>
      </c>
      <c r="F6588" s="2" t="b">
        <v>1</v>
      </c>
      <c r="G6588" s="2" t="b">
        <v>0</v>
      </c>
      <c r="H6588" s="2" t="s">
        <v>37</v>
      </c>
      <c r="I6588" s="2" t="s">
        <v>49</v>
      </c>
      <c r="J6588" s="2" t="s">
        <v>1060</v>
      </c>
      <c r="K6588" s="2" t="s">
        <v>495</v>
      </c>
      <c r="L6588" s="13" t="s">
        <v>496</v>
      </c>
      <c r="M6588" s="2" t="s">
        <v>26</v>
      </c>
      <c r="N6588" s="29"/>
      <c r="O6588" s="29"/>
      <c r="P6588" s="5" t="str">
        <f>IFERROR(__xludf.DUMMYFUNCTION("TEXTJOIN("" | "",TRUE,IF(OR(D6588="""",E6588="""",I6588="""",J6588="""",H6588=""""),""ফাঁকা ঘর"",""""),IF(AND(C6588&lt;&gt;"""",D6588&lt;&gt;"""",C6588=D6588),""gloss=figurative"",""""),IF(LEN(D6588)&lt;15,""figurative ছোট"",""""),IF(AND(I6588=""Positive"",REGEXMATCH(H6"&amp;"588,""মূর্খ|ভণ্ড|প্রতার|অলস|লোভ|স্বার্থ|অক্ষম|অযোগ্য|বোকা|কৃপণ|হিংস"")),""valence-target অমিল"",""""),IF(COUNTIF($B:$B,B6588)&gt;1,""ডুপ্লিকেট"",""""))"),"")</f>
        <v/>
      </c>
      <c r="Q6588" s="5" t="str">
        <f t="shared" si="1"/>
        <v>২ পরে</v>
      </c>
    </row>
    <row r="6589">
      <c r="A6589" s="4">
        <v>4511.0</v>
      </c>
      <c r="B6589" s="2" t="s">
        <v>26842</v>
      </c>
      <c r="C6589" s="2" t="s">
        <v>26843</v>
      </c>
      <c r="D6589" s="2" t="s">
        <v>26844</v>
      </c>
      <c r="E6589" s="2" t="s">
        <v>26845</v>
      </c>
      <c r="F6589" s="2" t="b">
        <v>1</v>
      </c>
      <c r="G6589" s="2" t="b">
        <v>0</v>
      </c>
      <c r="H6589" s="2" t="s">
        <v>37</v>
      </c>
      <c r="I6589" s="2" t="s">
        <v>49</v>
      </c>
      <c r="J6589" s="2" t="s">
        <v>1784</v>
      </c>
      <c r="K6589" s="2" t="s">
        <v>495</v>
      </c>
      <c r="L6589" s="13" t="s">
        <v>496</v>
      </c>
      <c r="M6589" s="2" t="s">
        <v>26</v>
      </c>
      <c r="N6589" s="29"/>
      <c r="O6589" s="29"/>
      <c r="P6589" s="5" t="str">
        <f>IFERROR(__xludf.DUMMYFUNCTION("TEXTJOIN("" | "",TRUE,IF(OR(D6589="""",E6589="""",I6589="""",J6589="""",H6589=""""),""ফাঁকা ঘর"",""""),IF(AND(C6589&lt;&gt;"""",D6589&lt;&gt;"""",C6589=D6589),""gloss=figurative"",""""),IF(LEN(D6589)&lt;15,""figurative ছোট"",""""),IF(AND(I6589=""Positive"",REGEXMATCH(H6"&amp;"589,""মূর্খ|ভণ্ড|প্রতার|অলস|লোভ|স্বার্থ|অক্ষম|অযোগ্য|বোকা|কৃপণ|হিংস"")),""valence-target অমিল"",""""),IF(COUNTIF($B:$B,B6589)&gt;1,""ডুপ্লিকেট"",""""))"),"")</f>
        <v/>
      </c>
      <c r="Q6589" s="5" t="str">
        <f t="shared" si="1"/>
        <v>২ পরে</v>
      </c>
    </row>
    <row r="6590">
      <c r="A6590" s="4">
        <v>4512.0</v>
      </c>
      <c r="B6590" s="2" t="s">
        <v>26846</v>
      </c>
      <c r="C6590" s="2" t="s">
        <v>26847</v>
      </c>
      <c r="D6590" s="2" t="s">
        <v>26848</v>
      </c>
      <c r="E6590" s="2" t="s">
        <v>26849</v>
      </c>
      <c r="F6590" s="2" t="b">
        <v>1</v>
      </c>
      <c r="G6590" s="2" t="b">
        <v>0</v>
      </c>
      <c r="H6590" s="2" t="s">
        <v>3161</v>
      </c>
      <c r="I6590" s="2" t="s">
        <v>22</v>
      </c>
      <c r="J6590" s="2" t="s">
        <v>601</v>
      </c>
      <c r="K6590" s="2" t="s">
        <v>495</v>
      </c>
      <c r="L6590" s="13" t="s">
        <v>496</v>
      </c>
      <c r="M6590" s="2" t="s">
        <v>26</v>
      </c>
      <c r="N6590" s="29"/>
      <c r="O6590" s="29"/>
      <c r="P6590" s="5" t="str">
        <f>IFERROR(__xludf.DUMMYFUNCTION("TEXTJOIN("" | "",TRUE,IF(OR(D6590="""",E6590="""",I6590="""",J6590="""",H6590=""""),""ফাঁকা ঘর"",""""),IF(AND(C6590&lt;&gt;"""",D6590&lt;&gt;"""",C6590=D6590),""gloss=figurative"",""""),IF(LEN(D6590)&lt;15,""figurative ছোট"",""""),IF(AND(I6590=""Positive"",REGEXMATCH(H6"&amp;"590,""মূর্খ|ভণ্ড|প্রতার|অলস|লোভ|স্বার্থ|অক্ষম|অযোগ্য|বোকা|কৃপণ|হিংস"")),""valence-target অমিল"",""""),IF(COUNTIF($B:$B,B6590)&gt;1,""ডুপ্লিকেট"",""""))"),"")</f>
        <v/>
      </c>
      <c r="Q6590" s="5" t="str">
        <f t="shared" si="1"/>
        <v>২ পরে</v>
      </c>
    </row>
    <row r="6591">
      <c r="A6591" s="4">
        <v>4513.0</v>
      </c>
      <c r="B6591" s="2" t="s">
        <v>26850</v>
      </c>
      <c r="C6591" s="2" t="s">
        <v>26851</v>
      </c>
      <c r="D6591" s="2" t="s">
        <v>26852</v>
      </c>
      <c r="E6591" s="2" t="s">
        <v>26853</v>
      </c>
      <c r="F6591" s="2" t="b">
        <v>1</v>
      </c>
      <c r="G6591" s="2" t="b">
        <v>0</v>
      </c>
      <c r="H6591" s="2" t="s">
        <v>37</v>
      </c>
      <c r="I6591" s="2" t="s">
        <v>22</v>
      </c>
      <c r="J6591" s="2" t="s">
        <v>590</v>
      </c>
      <c r="K6591" s="2" t="s">
        <v>495</v>
      </c>
      <c r="L6591" s="13" t="s">
        <v>496</v>
      </c>
      <c r="M6591" s="2" t="s">
        <v>26</v>
      </c>
      <c r="N6591" s="29"/>
      <c r="O6591" s="29"/>
      <c r="P6591" s="5" t="str">
        <f>IFERROR(__xludf.DUMMYFUNCTION("TEXTJOIN("" | "",TRUE,IF(OR(D6591="""",E6591="""",I6591="""",J6591="""",H6591=""""),""ফাঁকা ঘর"",""""),IF(AND(C6591&lt;&gt;"""",D6591&lt;&gt;"""",C6591=D6591),""gloss=figurative"",""""),IF(LEN(D6591)&lt;15,""figurative ছোট"",""""),IF(AND(I6591=""Positive"",REGEXMATCH(H6"&amp;"591,""মূর্খ|ভণ্ড|প্রতার|অলস|লোভ|স্বার্থ|অক্ষম|অযোগ্য|বোকা|কৃপণ|হিংস"")),""valence-target অমিল"",""""),IF(COUNTIF($B:$B,B6591)&gt;1,""ডুপ্লিকেট"",""""))"),"")</f>
        <v/>
      </c>
      <c r="Q6591" s="5" t="str">
        <f t="shared" si="1"/>
        <v>২ পরে</v>
      </c>
    </row>
    <row r="6592">
      <c r="A6592" s="4">
        <v>4514.0</v>
      </c>
      <c r="B6592" s="2" t="s">
        <v>26854</v>
      </c>
      <c r="C6592" s="2" t="s">
        <v>26855</v>
      </c>
      <c r="D6592" s="2" t="s">
        <v>26856</v>
      </c>
      <c r="E6592" s="2" t="s">
        <v>26857</v>
      </c>
      <c r="F6592" s="2" t="b">
        <v>1</v>
      </c>
      <c r="G6592" s="2" t="b">
        <v>0</v>
      </c>
      <c r="H6592" s="2" t="s">
        <v>37</v>
      </c>
      <c r="I6592" s="2" t="s">
        <v>22</v>
      </c>
      <c r="J6592" s="2" t="s">
        <v>20727</v>
      </c>
      <c r="K6592" s="2" t="s">
        <v>495</v>
      </c>
      <c r="L6592" s="13" t="s">
        <v>496</v>
      </c>
      <c r="M6592" s="2" t="s">
        <v>26</v>
      </c>
      <c r="N6592" s="29"/>
      <c r="O6592" s="29"/>
      <c r="P6592" s="5" t="str">
        <f>IFERROR(__xludf.DUMMYFUNCTION("TEXTJOIN("" | "",TRUE,IF(OR(D6592="""",E6592="""",I6592="""",J6592="""",H6592=""""),""ফাঁকা ঘর"",""""),IF(AND(C6592&lt;&gt;"""",D6592&lt;&gt;"""",C6592=D6592),""gloss=figurative"",""""),IF(LEN(D6592)&lt;15,""figurative ছোট"",""""),IF(AND(I6592=""Positive"",REGEXMATCH(H6"&amp;"592,""মূর্খ|ভণ্ড|প্রতার|অলস|লোভ|স্বার্থ|অক্ষম|অযোগ্য|বোকা|কৃপণ|হিংস"")),""valence-target অমিল"",""""),IF(COUNTIF($B:$B,B6592)&gt;1,""ডুপ্লিকেট"",""""))"),"")</f>
        <v/>
      </c>
      <c r="Q6592" s="5" t="str">
        <f t="shared" si="1"/>
        <v>২ পরে</v>
      </c>
    </row>
    <row r="6593">
      <c r="A6593" s="4">
        <v>4515.0</v>
      </c>
      <c r="B6593" s="2" t="s">
        <v>26858</v>
      </c>
      <c r="C6593" s="2" t="s">
        <v>26859</v>
      </c>
      <c r="D6593" s="2" t="s">
        <v>26860</v>
      </c>
      <c r="E6593" s="2" t="s">
        <v>26861</v>
      </c>
      <c r="F6593" s="2" t="b">
        <v>1</v>
      </c>
      <c r="G6593" s="2" t="b">
        <v>0</v>
      </c>
      <c r="H6593" s="2" t="s">
        <v>37</v>
      </c>
      <c r="I6593" s="2" t="s">
        <v>22</v>
      </c>
      <c r="J6593" s="2" t="s">
        <v>20727</v>
      </c>
      <c r="K6593" s="2" t="s">
        <v>495</v>
      </c>
      <c r="L6593" s="13" t="s">
        <v>496</v>
      </c>
      <c r="M6593" s="2" t="s">
        <v>26</v>
      </c>
      <c r="N6593" s="29"/>
      <c r="O6593" s="29"/>
      <c r="P6593" s="5" t="str">
        <f>IFERROR(__xludf.DUMMYFUNCTION("TEXTJOIN("" | "",TRUE,IF(OR(D6593="""",E6593="""",I6593="""",J6593="""",H6593=""""),""ফাঁকা ঘর"",""""),IF(AND(C6593&lt;&gt;"""",D6593&lt;&gt;"""",C6593=D6593),""gloss=figurative"",""""),IF(LEN(D6593)&lt;15,""figurative ছোট"",""""),IF(AND(I6593=""Positive"",REGEXMATCH(H6"&amp;"593,""মূর্খ|ভণ্ড|প্রতার|অলস|লোভ|স্বার্থ|অক্ষম|অযোগ্য|বোকা|কৃপণ|হিংস"")),""valence-target অমিল"",""""),IF(COUNTIF($B:$B,B6593)&gt;1,""ডুপ্লিকেট"",""""))"),"")</f>
        <v/>
      </c>
      <c r="Q6593" s="5" t="str">
        <f t="shared" si="1"/>
        <v>২ পরে</v>
      </c>
    </row>
    <row r="6594">
      <c r="A6594" s="4">
        <v>4516.0</v>
      </c>
      <c r="B6594" s="2" t="s">
        <v>26862</v>
      </c>
      <c r="C6594" s="2" t="s">
        <v>26863</v>
      </c>
      <c r="D6594" s="2" t="s">
        <v>26864</v>
      </c>
      <c r="E6594" s="2" t="s">
        <v>26865</v>
      </c>
      <c r="F6594" s="2" t="b">
        <v>1</v>
      </c>
      <c r="G6594" s="2" t="b">
        <v>0</v>
      </c>
      <c r="H6594" s="2" t="s">
        <v>37</v>
      </c>
      <c r="I6594" s="2" t="s">
        <v>32</v>
      </c>
      <c r="J6594" s="2" t="s">
        <v>646</v>
      </c>
      <c r="K6594" s="2" t="s">
        <v>495</v>
      </c>
      <c r="L6594" s="13" t="s">
        <v>496</v>
      </c>
      <c r="M6594" s="2" t="s">
        <v>26</v>
      </c>
      <c r="N6594" s="29"/>
      <c r="O6594" s="29"/>
      <c r="P6594" s="5" t="str">
        <f>IFERROR(__xludf.DUMMYFUNCTION("TEXTJOIN("" | "",TRUE,IF(OR(D6594="""",E6594="""",I6594="""",J6594="""",H6594=""""),""ফাঁকা ঘর"",""""),IF(AND(C6594&lt;&gt;"""",D6594&lt;&gt;"""",C6594=D6594),""gloss=figurative"",""""),IF(LEN(D6594)&lt;15,""figurative ছোট"",""""),IF(AND(I6594=""Positive"",REGEXMATCH(H6"&amp;"594,""মূর্খ|ভণ্ড|প্রতার|অলস|লোভ|স্বার্থ|অক্ষম|অযোগ্য|বোকা|কৃপণ|হিংস"")),""valence-target অমিল"",""""),IF(COUNTIF($B:$B,B6594)&gt;1,""ডুপ্লিকেট"",""""))"),"")</f>
        <v/>
      </c>
      <c r="Q6594" s="5" t="str">
        <f t="shared" si="1"/>
        <v>২ পরে</v>
      </c>
    </row>
    <row r="6595">
      <c r="A6595" s="4">
        <v>4517.0</v>
      </c>
      <c r="B6595" s="2" t="s">
        <v>26866</v>
      </c>
      <c r="C6595" s="2" t="s">
        <v>12766</v>
      </c>
      <c r="D6595" s="2" t="s">
        <v>26867</v>
      </c>
      <c r="E6595" s="2" t="s">
        <v>26868</v>
      </c>
      <c r="F6595" s="2" t="b">
        <v>1</v>
      </c>
      <c r="G6595" s="2" t="b">
        <v>0</v>
      </c>
      <c r="H6595" s="2" t="s">
        <v>37</v>
      </c>
      <c r="I6595" s="2" t="s">
        <v>32</v>
      </c>
      <c r="J6595" s="2" t="s">
        <v>8124</v>
      </c>
      <c r="K6595" s="2" t="s">
        <v>495</v>
      </c>
      <c r="L6595" s="13" t="s">
        <v>496</v>
      </c>
      <c r="M6595" s="2" t="s">
        <v>26</v>
      </c>
      <c r="N6595" s="29"/>
      <c r="O6595" s="29"/>
      <c r="P6595" s="5" t="str">
        <f>IFERROR(__xludf.DUMMYFUNCTION("TEXTJOIN("" | "",TRUE,IF(OR(D6595="""",E6595="""",I6595="""",J6595="""",H6595=""""),""ফাঁকা ঘর"",""""),IF(AND(C6595&lt;&gt;"""",D6595&lt;&gt;"""",C6595=D6595),""gloss=figurative"",""""),IF(LEN(D6595)&lt;15,""figurative ছোট"",""""),IF(AND(I6595=""Positive"",REGEXMATCH(H6"&amp;"595,""মূর্খ|ভণ্ড|প্রতার|অলস|লোভ|স্বার্থ|অক্ষম|অযোগ্য|বোকা|কৃপণ|হিংস"")),""valence-target অমিল"",""""),IF(COUNTIF($B:$B,B6595)&gt;1,""ডুপ্লিকেট"",""""))"),"")</f>
        <v/>
      </c>
      <c r="Q6595" s="5" t="str">
        <f t="shared" si="1"/>
        <v>২ পরে</v>
      </c>
    </row>
    <row r="6596">
      <c r="A6596" s="4">
        <v>4518.0</v>
      </c>
      <c r="B6596" s="2" t="s">
        <v>26869</v>
      </c>
      <c r="C6596" s="2" t="s">
        <v>26870</v>
      </c>
      <c r="D6596" s="2" t="s">
        <v>26871</v>
      </c>
      <c r="E6596" s="2" t="s">
        <v>26872</v>
      </c>
      <c r="F6596" s="2" t="b">
        <v>1</v>
      </c>
      <c r="G6596" s="2" t="b">
        <v>0</v>
      </c>
      <c r="H6596" s="2" t="s">
        <v>37</v>
      </c>
      <c r="I6596" s="2" t="s">
        <v>49</v>
      </c>
      <c r="J6596" s="2" t="s">
        <v>26873</v>
      </c>
      <c r="K6596" s="2" t="s">
        <v>495</v>
      </c>
      <c r="L6596" s="13" t="s">
        <v>496</v>
      </c>
      <c r="M6596" s="2" t="s">
        <v>26</v>
      </c>
      <c r="N6596" s="29"/>
      <c r="O6596" s="29"/>
      <c r="P6596" s="5" t="str">
        <f>IFERROR(__xludf.DUMMYFUNCTION("TEXTJOIN("" | "",TRUE,IF(OR(D6596="""",E6596="""",I6596="""",J6596="""",H6596=""""),""ফাঁকা ঘর"",""""),IF(AND(C6596&lt;&gt;"""",D6596&lt;&gt;"""",C6596=D6596),""gloss=figurative"",""""),IF(LEN(D6596)&lt;15,""figurative ছোট"",""""),IF(AND(I6596=""Positive"",REGEXMATCH(H6"&amp;"596,""মূর্খ|ভণ্ড|প্রতার|অলস|লোভ|স্বার্থ|অক্ষম|অযোগ্য|বোকা|কৃপণ|হিংস"")),""valence-target অমিল"",""""),IF(COUNTIF($B:$B,B6596)&gt;1,""ডুপ্লিকেট"",""""))"),"")</f>
        <v/>
      </c>
      <c r="Q6596" s="5" t="str">
        <f t="shared" si="1"/>
        <v>২ পরে</v>
      </c>
    </row>
    <row r="6597">
      <c r="A6597" s="4">
        <v>4519.0</v>
      </c>
      <c r="B6597" s="2" t="s">
        <v>26874</v>
      </c>
      <c r="C6597" s="2" t="s">
        <v>26875</v>
      </c>
      <c r="D6597" s="2" t="s">
        <v>26876</v>
      </c>
      <c r="E6597" s="2" t="s">
        <v>26877</v>
      </c>
      <c r="F6597" s="2" t="b">
        <v>1</v>
      </c>
      <c r="G6597" s="2" t="b">
        <v>0</v>
      </c>
      <c r="H6597" s="2" t="s">
        <v>37</v>
      </c>
      <c r="I6597" s="2" t="s">
        <v>22</v>
      </c>
      <c r="J6597" s="2" t="s">
        <v>2675</v>
      </c>
      <c r="K6597" s="2" t="s">
        <v>495</v>
      </c>
      <c r="L6597" s="13" t="s">
        <v>496</v>
      </c>
      <c r="M6597" s="2" t="s">
        <v>26</v>
      </c>
      <c r="N6597" s="29"/>
      <c r="O6597" s="29"/>
      <c r="P6597" s="5" t="str">
        <f>IFERROR(__xludf.DUMMYFUNCTION("TEXTJOIN("" | "",TRUE,IF(OR(D6597="""",E6597="""",I6597="""",J6597="""",H6597=""""),""ফাঁকা ঘর"",""""),IF(AND(C6597&lt;&gt;"""",D6597&lt;&gt;"""",C6597=D6597),""gloss=figurative"",""""),IF(LEN(D6597)&lt;15,""figurative ছোট"",""""),IF(AND(I6597=""Positive"",REGEXMATCH(H6"&amp;"597,""মূর্খ|ভণ্ড|প্রতার|অলস|লোভ|স্বার্থ|অক্ষম|অযোগ্য|বোকা|কৃপণ|হিংস"")),""valence-target অমিল"",""""),IF(COUNTIF($B:$B,B6597)&gt;1,""ডুপ্লিকেট"",""""))"),"")</f>
        <v/>
      </c>
      <c r="Q6597" s="5" t="str">
        <f t="shared" si="1"/>
        <v>২ পরে</v>
      </c>
    </row>
    <row r="6598">
      <c r="A6598" s="4">
        <v>4520.0</v>
      </c>
      <c r="B6598" s="2" t="s">
        <v>26878</v>
      </c>
      <c r="C6598" s="2" t="s">
        <v>26879</v>
      </c>
      <c r="D6598" s="2" t="s">
        <v>26880</v>
      </c>
      <c r="E6598" s="2" t="s">
        <v>26881</v>
      </c>
      <c r="F6598" s="2" t="b">
        <v>1</v>
      </c>
      <c r="G6598" s="2" t="b">
        <v>0</v>
      </c>
      <c r="H6598" s="2" t="s">
        <v>37</v>
      </c>
      <c r="I6598" s="2" t="s">
        <v>22</v>
      </c>
      <c r="J6598" s="2" t="s">
        <v>848</v>
      </c>
      <c r="K6598" s="2" t="s">
        <v>495</v>
      </c>
      <c r="L6598" s="13" t="s">
        <v>496</v>
      </c>
      <c r="M6598" s="2" t="s">
        <v>26</v>
      </c>
      <c r="N6598" s="29"/>
      <c r="O6598" s="29"/>
      <c r="P6598" s="5" t="str">
        <f>IFERROR(__xludf.DUMMYFUNCTION("TEXTJOIN("" | "",TRUE,IF(OR(D6598="""",E6598="""",I6598="""",J6598="""",H6598=""""),""ফাঁকা ঘর"",""""),IF(AND(C6598&lt;&gt;"""",D6598&lt;&gt;"""",C6598=D6598),""gloss=figurative"",""""),IF(LEN(D6598)&lt;15,""figurative ছোট"",""""),IF(AND(I6598=""Positive"",REGEXMATCH(H6"&amp;"598,""মূর্খ|ভণ্ড|প্রতার|অলস|লোভ|স্বার্থ|অক্ষম|অযোগ্য|বোকা|কৃপণ|হিংস"")),""valence-target অমিল"",""""),IF(COUNTIF($B:$B,B6598)&gt;1,""ডুপ্লিকেট"",""""))"),"")</f>
        <v/>
      </c>
      <c r="Q6598" s="5" t="str">
        <f t="shared" si="1"/>
        <v>২ পরে</v>
      </c>
    </row>
    <row r="6599">
      <c r="A6599" s="4">
        <v>4522.0</v>
      </c>
      <c r="B6599" s="2" t="s">
        <v>26882</v>
      </c>
      <c r="C6599" s="2" t="s">
        <v>26883</v>
      </c>
      <c r="D6599" s="2" t="s">
        <v>26884</v>
      </c>
      <c r="E6599" s="2" t="s">
        <v>26885</v>
      </c>
      <c r="F6599" s="2" t="b">
        <v>1</v>
      </c>
      <c r="G6599" s="2" t="b">
        <v>0</v>
      </c>
      <c r="H6599" s="2" t="s">
        <v>37</v>
      </c>
      <c r="I6599" s="2" t="s">
        <v>32</v>
      </c>
      <c r="J6599" s="2" t="s">
        <v>891</v>
      </c>
      <c r="K6599" s="2" t="s">
        <v>495</v>
      </c>
      <c r="L6599" s="13" t="s">
        <v>496</v>
      </c>
      <c r="M6599" s="2" t="s">
        <v>26</v>
      </c>
      <c r="N6599" s="29"/>
      <c r="O6599" s="29"/>
      <c r="P6599" s="5" t="str">
        <f>IFERROR(__xludf.DUMMYFUNCTION("TEXTJOIN("" | "",TRUE,IF(OR(D6599="""",E6599="""",I6599="""",J6599="""",H6599=""""),""ফাঁকা ঘর"",""""),IF(AND(C6599&lt;&gt;"""",D6599&lt;&gt;"""",C6599=D6599),""gloss=figurative"",""""),IF(LEN(D6599)&lt;15,""figurative ছোট"",""""),IF(AND(I6599=""Positive"",REGEXMATCH(H6"&amp;"599,""মূর্খ|ভণ্ড|প্রতার|অলস|লোভ|স্বার্থ|অক্ষম|অযোগ্য|বোকা|কৃপণ|হিংস"")),""valence-target অমিল"",""""),IF(COUNTIF($B:$B,B6599)&gt;1,""ডুপ্লিকেট"",""""))"),"")</f>
        <v/>
      </c>
      <c r="Q6599" s="5" t="str">
        <f t="shared" si="1"/>
        <v>২ পরে</v>
      </c>
    </row>
    <row r="6600">
      <c r="A6600" s="4">
        <v>4524.0</v>
      </c>
      <c r="B6600" s="2" t="s">
        <v>26886</v>
      </c>
      <c r="C6600" s="2" t="s">
        <v>26887</v>
      </c>
      <c r="D6600" s="2" t="s">
        <v>26888</v>
      </c>
      <c r="E6600" s="2" t="s">
        <v>26889</v>
      </c>
      <c r="F6600" s="2" t="b">
        <v>1</v>
      </c>
      <c r="G6600" s="2" t="b">
        <v>0</v>
      </c>
      <c r="H6600" s="2" t="s">
        <v>37</v>
      </c>
      <c r="I6600" s="2" t="s">
        <v>22</v>
      </c>
      <c r="J6600" s="2" t="s">
        <v>590</v>
      </c>
      <c r="K6600" s="2" t="s">
        <v>495</v>
      </c>
      <c r="L6600" s="13" t="s">
        <v>496</v>
      </c>
      <c r="M6600" s="2" t="s">
        <v>26</v>
      </c>
      <c r="N6600" s="29"/>
      <c r="O6600" s="29"/>
      <c r="P6600" s="5" t="str">
        <f>IFERROR(__xludf.DUMMYFUNCTION("TEXTJOIN("" | "",TRUE,IF(OR(D6600="""",E6600="""",I6600="""",J6600="""",H6600=""""),""ফাঁকা ঘর"",""""),IF(AND(C6600&lt;&gt;"""",D6600&lt;&gt;"""",C6600=D6600),""gloss=figurative"",""""),IF(LEN(D6600)&lt;15,""figurative ছোট"",""""),IF(AND(I6600=""Positive"",REGEXMATCH(H6"&amp;"600,""মূর্খ|ভণ্ড|প্রতার|অলস|লোভ|স্বার্থ|অক্ষম|অযোগ্য|বোকা|কৃপণ|হিংস"")),""valence-target অমিল"",""""),IF(COUNTIF($B:$B,B6600)&gt;1,""ডুপ্লিকেট"",""""))"),"")</f>
        <v/>
      </c>
      <c r="Q6600" s="5" t="str">
        <f t="shared" si="1"/>
        <v>২ পরে</v>
      </c>
    </row>
    <row r="6601">
      <c r="A6601" s="4">
        <v>4526.0</v>
      </c>
      <c r="B6601" s="2" t="s">
        <v>26890</v>
      </c>
      <c r="C6601" s="2" t="s">
        <v>26891</v>
      </c>
      <c r="D6601" s="2" t="s">
        <v>26892</v>
      </c>
      <c r="E6601" s="2" t="s">
        <v>26893</v>
      </c>
      <c r="F6601" s="2" t="b">
        <v>1</v>
      </c>
      <c r="G6601" s="2" t="b">
        <v>0</v>
      </c>
      <c r="H6601" s="2" t="s">
        <v>37</v>
      </c>
      <c r="I6601" s="2" t="s">
        <v>49</v>
      </c>
      <c r="J6601" s="2" t="s">
        <v>3245</v>
      </c>
      <c r="K6601" s="2" t="s">
        <v>495</v>
      </c>
      <c r="L6601" s="13" t="s">
        <v>496</v>
      </c>
      <c r="M6601" s="2" t="s">
        <v>26</v>
      </c>
      <c r="N6601" s="29"/>
      <c r="O6601" s="29"/>
      <c r="P6601" s="5" t="str">
        <f>IFERROR(__xludf.DUMMYFUNCTION("TEXTJOIN("" | "",TRUE,IF(OR(D6601="""",E6601="""",I6601="""",J6601="""",H6601=""""),""ফাঁকা ঘর"",""""),IF(AND(C6601&lt;&gt;"""",D6601&lt;&gt;"""",C6601=D6601),""gloss=figurative"",""""),IF(LEN(D6601)&lt;15,""figurative ছোট"",""""),IF(AND(I6601=""Positive"",REGEXMATCH(H6"&amp;"601,""মূর্খ|ভণ্ড|প্রতার|অলস|লোভ|স্বার্থ|অক্ষম|অযোগ্য|বোকা|কৃপণ|হিংস"")),""valence-target অমিল"",""""),IF(COUNTIF($B:$B,B6601)&gt;1,""ডুপ্লিকেট"",""""))"),"")</f>
        <v/>
      </c>
      <c r="Q6601" s="5" t="str">
        <f t="shared" si="1"/>
        <v>২ পরে</v>
      </c>
    </row>
    <row r="6602">
      <c r="A6602" s="4">
        <v>4528.0</v>
      </c>
      <c r="B6602" s="2" t="s">
        <v>26894</v>
      </c>
      <c r="C6602" s="2" t="s">
        <v>26895</v>
      </c>
      <c r="D6602" s="2" t="s">
        <v>26896</v>
      </c>
      <c r="E6602" s="2" t="s">
        <v>26897</v>
      </c>
      <c r="F6602" s="2" t="b">
        <v>1</v>
      </c>
      <c r="G6602" s="2" t="b">
        <v>0</v>
      </c>
      <c r="H6602" s="2" t="s">
        <v>37</v>
      </c>
      <c r="I6602" s="2" t="s">
        <v>22</v>
      </c>
      <c r="J6602" s="2" t="s">
        <v>26898</v>
      </c>
      <c r="K6602" s="2" t="s">
        <v>495</v>
      </c>
      <c r="L6602" s="13" t="s">
        <v>496</v>
      </c>
      <c r="M6602" s="2" t="s">
        <v>26</v>
      </c>
      <c r="N6602" s="29"/>
      <c r="O6602" s="29"/>
      <c r="P6602" s="5" t="str">
        <f>IFERROR(__xludf.DUMMYFUNCTION("TEXTJOIN("" | "",TRUE,IF(OR(D6602="""",E6602="""",I6602="""",J6602="""",H6602=""""),""ফাঁকা ঘর"",""""),IF(AND(C6602&lt;&gt;"""",D6602&lt;&gt;"""",C6602=D6602),""gloss=figurative"",""""),IF(LEN(D6602)&lt;15,""figurative ছোট"",""""),IF(AND(I6602=""Positive"",REGEXMATCH(H6"&amp;"602,""মূর্খ|ভণ্ড|প্রতার|অলস|লোভ|স্বার্থ|অক্ষম|অযোগ্য|বোকা|কৃপণ|হিংস"")),""valence-target অমিল"",""""),IF(COUNTIF($B:$B,B6602)&gt;1,""ডুপ্লিকেট"",""""))"),"")</f>
        <v/>
      </c>
      <c r="Q6602" s="5" t="str">
        <f t="shared" si="1"/>
        <v>২ পরে</v>
      </c>
    </row>
    <row r="6603">
      <c r="A6603" s="4">
        <v>4530.0</v>
      </c>
      <c r="B6603" s="2" t="s">
        <v>26899</v>
      </c>
      <c r="C6603" s="2" t="s">
        <v>9543</v>
      </c>
      <c r="D6603" s="2" t="s">
        <v>26900</v>
      </c>
      <c r="E6603" s="2" t="s">
        <v>26901</v>
      </c>
      <c r="F6603" s="2" t="b">
        <v>1</v>
      </c>
      <c r="G6603" s="2" t="b">
        <v>0</v>
      </c>
      <c r="H6603" s="2" t="s">
        <v>37</v>
      </c>
      <c r="I6603" s="2" t="s">
        <v>32</v>
      </c>
      <c r="J6603" s="2" t="s">
        <v>565</v>
      </c>
      <c r="K6603" s="2" t="s">
        <v>495</v>
      </c>
      <c r="L6603" s="13" t="s">
        <v>496</v>
      </c>
      <c r="M6603" s="2" t="s">
        <v>26</v>
      </c>
      <c r="N6603" s="29"/>
      <c r="O6603" s="29"/>
      <c r="P6603" s="5" t="str">
        <f>IFERROR(__xludf.DUMMYFUNCTION("TEXTJOIN("" | "",TRUE,IF(OR(D6603="""",E6603="""",I6603="""",J6603="""",H6603=""""),""ফাঁকা ঘর"",""""),IF(AND(C6603&lt;&gt;"""",D6603&lt;&gt;"""",C6603=D6603),""gloss=figurative"",""""),IF(LEN(D6603)&lt;15,""figurative ছোট"",""""),IF(AND(I6603=""Positive"",REGEXMATCH(H6"&amp;"603,""মূর্খ|ভণ্ড|প্রতার|অলস|লোভ|স্বার্থ|অক্ষম|অযোগ্য|বোকা|কৃপণ|হিংস"")),""valence-target অমিল"",""""),IF(COUNTIF($B:$B,B6603)&gt;1,""ডুপ্লিকেট"",""""))"),"")</f>
        <v/>
      </c>
      <c r="Q6603" s="5" t="str">
        <f t="shared" si="1"/>
        <v>২ পরে</v>
      </c>
    </row>
    <row r="6604">
      <c r="A6604" s="4">
        <v>4531.0</v>
      </c>
      <c r="B6604" s="2" t="s">
        <v>26902</v>
      </c>
      <c r="C6604" s="2" t="s">
        <v>26903</v>
      </c>
      <c r="D6604" s="2" t="s">
        <v>26904</v>
      </c>
      <c r="E6604" s="2" t="s">
        <v>26905</v>
      </c>
      <c r="F6604" s="2" t="b">
        <v>1</v>
      </c>
      <c r="G6604" s="2" t="b">
        <v>0</v>
      </c>
      <c r="H6604" s="2" t="s">
        <v>37</v>
      </c>
      <c r="I6604" s="2" t="s">
        <v>49</v>
      </c>
      <c r="J6604" s="2" t="s">
        <v>3701</v>
      </c>
      <c r="K6604" s="2" t="s">
        <v>495</v>
      </c>
      <c r="L6604" s="13" t="s">
        <v>496</v>
      </c>
      <c r="M6604" s="2" t="s">
        <v>26</v>
      </c>
      <c r="N6604" s="29"/>
      <c r="O6604" s="29"/>
      <c r="P6604" s="5" t="str">
        <f>IFERROR(__xludf.DUMMYFUNCTION("TEXTJOIN("" | "",TRUE,IF(OR(D6604="""",E6604="""",I6604="""",J6604="""",H6604=""""),""ফাঁকা ঘর"",""""),IF(AND(C6604&lt;&gt;"""",D6604&lt;&gt;"""",C6604=D6604),""gloss=figurative"",""""),IF(LEN(D6604)&lt;15,""figurative ছোট"",""""),IF(AND(I6604=""Positive"",REGEXMATCH(H6"&amp;"604,""মূর্খ|ভণ্ড|প্রতার|অলস|লোভ|স্বার্থ|অক্ষম|অযোগ্য|বোকা|কৃপণ|হিংস"")),""valence-target অমিল"",""""),IF(COUNTIF($B:$B,B6604)&gt;1,""ডুপ্লিকেট"",""""))"),"")</f>
        <v/>
      </c>
      <c r="Q6604" s="5" t="str">
        <f t="shared" si="1"/>
        <v>২ পরে</v>
      </c>
    </row>
    <row r="6605">
      <c r="A6605" s="4">
        <v>4532.0</v>
      </c>
      <c r="B6605" s="2" t="s">
        <v>26906</v>
      </c>
      <c r="C6605" s="2" t="s">
        <v>26907</v>
      </c>
      <c r="D6605" s="2" t="s">
        <v>26908</v>
      </c>
      <c r="E6605" s="2" t="s">
        <v>26909</v>
      </c>
      <c r="F6605" s="2" t="b">
        <v>1</v>
      </c>
      <c r="G6605" s="2" t="b">
        <v>0</v>
      </c>
      <c r="H6605" s="2" t="s">
        <v>37</v>
      </c>
      <c r="I6605" s="2" t="s">
        <v>22</v>
      </c>
      <c r="J6605" s="2" t="s">
        <v>646</v>
      </c>
      <c r="K6605" s="2" t="s">
        <v>495</v>
      </c>
      <c r="L6605" s="13" t="s">
        <v>496</v>
      </c>
      <c r="M6605" s="2" t="s">
        <v>26</v>
      </c>
      <c r="N6605" s="29"/>
      <c r="O6605" s="29"/>
      <c r="P6605" s="5" t="str">
        <f>IFERROR(__xludf.DUMMYFUNCTION("TEXTJOIN("" | "",TRUE,IF(OR(D6605="""",E6605="""",I6605="""",J6605="""",H6605=""""),""ফাঁকা ঘর"",""""),IF(AND(C6605&lt;&gt;"""",D6605&lt;&gt;"""",C6605=D6605),""gloss=figurative"",""""),IF(LEN(D6605)&lt;15,""figurative ছোট"",""""),IF(AND(I6605=""Positive"",REGEXMATCH(H6"&amp;"605,""মূর্খ|ভণ্ড|প্রতার|অলস|লোভ|স্বার্থ|অক্ষম|অযোগ্য|বোকা|কৃপণ|হিংস"")),""valence-target অমিল"",""""),IF(COUNTIF($B:$B,B6605)&gt;1,""ডুপ্লিকেট"",""""))"),"")</f>
        <v/>
      </c>
      <c r="Q6605" s="5" t="str">
        <f t="shared" si="1"/>
        <v>২ পরে</v>
      </c>
    </row>
    <row r="6606">
      <c r="A6606" s="4">
        <v>4533.0</v>
      </c>
      <c r="B6606" s="2" t="s">
        <v>26910</v>
      </c>
      <c r="C6606" s="2" t="s">
        <v>26911</v>
      </c>
      <c r="D6606" s="2" t="s">
        <v>26912</v>
      </c>
      <c r="E6606" s="2" t="s">
        <v>26913</v>
      </c>
      <c r="F6606" s="2" t="b">
        <v>1</v>
      </c>
      <c r="G6606" s="2" t="b">
        <v>0</v>
      </c>
      <c r="H6606" s="2" t="s">
        <v>37</v>
      </c>
      <c r="I6606" s="2" t="s">
        <v>22</v>
      </c>
      <c r="J6606" s="2" t="s">
        <v>26914</v>
      </c>
      <c r="K6606" s="2" t="s">
        <v>495</v>
      </c>
      <c r="L6606" s="13" t="s">
        <v>496</v>
      </c>
      <c r="M6606" s="2" t="s">
        <v>26</v>
      </c>
      <c r="N6606" s="29"/>
      <c r="O6606" s="29"/>
      <c r="P6606" s="5" t="str">
        <f>IFERROR(__xludf.DUMMYFUNCTION("TEXTJOIN("" | "",TRUE,IF(OR(D6606="""",E6606="""",I6606="""",J6606="""",H6606=""""),""ফাঁকা ঘর"",""""),IF(AND(C6606&lt;&gt;"""",D6606&lt;&gt;"""",C6606=D6606),""gloss=figurative"",""""),IF(LEN(D6606)&lt;15,""figurative ছোট"",""""),IF(AND(I6606=""Positive"",REGEXMATCH(H6"&amp;"606,""মূর্খ|ভণ্ড|প্রতার|অলস|লোভ|স্বার্থ|অক্ষম|অযোগ্য|বোকা|কৃপণ|হিংস"")),""valence-target অমিল"",""""),IF(COUNTIF($B:$B,B6606)&gt;1,""ডুপ্লিকেট"",""""))"),"")</f>
        <v/>
      </c>
      <c r="Q6606" s="5" t="str">
        <f t="shared" si="1"/>
        <v>২ পরে</v>
      </c>
    </row>
    <row r="6607">
      <c r="A6607" s="4">
        <v>4534.0</v>
      </c>
      <c r="B6607" s="2" t="s">
        <v>26915</v>
      </c>
      <c r="C6607" s="2" t="s">
        <v>26916</v>
      </c>
      <c r="D6607" s="2" t="s">
        <v>26917</v>
      </c>
      <c r="E6607" s="2" t="s">
        <v>26918</v>
      </c>
      <c r="F6607" s="2" t="b">
        <v>1</v>
      </c>
      <c r="G6607" s="2" t="b">
        <v>0</v>
      </c>
      <c r="H6607" s="2" t="s">
        <v>37</v>
      </c>
      <c r="I6607" s="2" t="s">
        <v>49</v>
      </c>
      <c r="J6607" s="2" t="s">
        <v>26914</v>
      </c>
      <c r="K6607" s="2" t="s">
        <v>495</v>
      </c>
      <c r="L6607" s="13" t="s">
        <v>496</v>
      </c>
      <c r="M6607" s="2" t="s">
        <v>26</v>
      </c>
      <c r="N6607" s="29"/>
      <c r="O6607" s="29"/>
      <c r="P6607" s="5" t="str">
        <f>IFERROR(__xludf.DUMMYFUNCTION("TEXTJOIN("" | "",TRUE,IF(OR(D6607="""",E6607="""",I6607="""",J6607="""",H6607=""""),""ফাঁকা ঘর"",""""),IF(AND(C6607&lt;&gt;"""",D6607&lt;&gt;"""",C6607=D6607),""gloss=figurative"",""""),IF(LEN(D6607)&lt;15,""figurative ছোট"",""""),IF(AND(I6607=""Positive"",REGEXMATCH(H6"&amp;"607,""মূর্খ|ভণ্ড|প্রতার|অলস|লোভ|স্বার্থ|অক্ষম|অযোগ্য|বোকা|কৃপণ|হিংস"")),""valence-target অমিল"",""""),IF(COUNTIF($B:$B,B6607)&gt;1,""ডুপ্লিকেট"",""""))"),"")</f>
        <v/>
      </c>
      <c r="Q6607" s="5" t="str">
        <f t="shared" si="1"/>
        <v>২ পরে</v>
      </c>
    </row>
    <row r="6608">
      <c r="A6608" s="4">
        <v>4535.0</v>
      </c>
      <c r="B6608" s="2" t="s">
        <v>26919</v>
      </c>
      <c r="C6608" s="2" t="s">
        <v>26920</v>
      </c>
      <c r="D6608" s="2" t="s">
        <v>26921</v>
      </c>
      <c r="E6608" s="2" t="s">
        <v>26922</v>
      </c>
      <c r="F6608" s="2" t="b">
        <v>1</v>
      </c>
      <c r="G6608" s="2" t="b">
        <v>0</v>
      </c>
      <c r="H6608" s="2" t="s">
        <v>37</v>
      </c>
      <c r="I6608" s="2" t="s">
        <v>22</v>
      </c>
      <c r="J6608" s="2" t="s">
        <v>1363</v>
      </c>
      <c r="K6608" s="2" t="s">
        <v>495</v>
      </c>
      <c r="L6608" s="13" t="s">
        <v>496</v>
      </c>
      <c r="M6608" s="2" t="s">
        <v>26</v>
      </c>
      <c r="N6608" s="29"/>
      <c r="O6608" s="29"/>
      <c r="P6608" s="5" t="str">
        <f>IFERROR(__xludf.DUMMYFUNCTION("TEXTJOIN("" | "",TRUE,IF(OR(D6608="""",E6608="""",I6608="""",J6608="""",H6608=""""),""ফাঁকা ঘর"",""""),IF(AND(C6608&lt;&gt;"""",D6608&lt;&gt;"""",C6608=D6608),""gloss=figurative"",""""),IF(LEN(D6608)&lt;15,""figurative ছোট"",""""),IF(AND(I6608=""Positive"",REGEXMATCH(H6"&amp;"608,""মূর্খ|ভণ্ড|প্রতার|অলস|লোভ|স্বার্থ|অক্ষম|অযোগ্য|বোকা|কৃপণ|হিংস"")),""valence-target অমিল"",""""),IF(COUNTIF($B:$B,B6608)&gt;1,""ডুপ্লিকেট"",""""))"),"")</f>
        <v/>
      </c>
      <c r="Q6608" s="5" t="str">
        <f t="shared" si="1"/>
        <v>২ পরে</v>
      </c>
    </row>
    <row r="6609">
      <c r="A6609" s="4">
        <v>4536.0</v>
      </c>
      <c r="B6609" s="2" t="s">
        <v>26923</v>
      </c>
      <c r="C6609" s="2" t="s">
        <v>26924</v>
      </c>
      <c r="D6609" s="2" t="s">
        <v>26925</v>
      </c>
      <c r="E6609" s="2" t="s">
        <v>26926</v>
      </c>
      <c r="F6609" s="2" t="b">
        <v>1</v>
      </c>
      <c r="G6609" s="2" t="b">
        <v>0</v>
      </c>
      <c r="H6609" s="2" t="s">
        <v>37</v>
      </c>
      <c r="I6609" s="2" t="s">
        <v>22</v>
      </c>
      <c r="J6609" s="2" t="s">
        <v>1915</v>
      </c>
      <c r="K6609" s="2" t="s">
        <v>495</v>
      </c>
      <c r="L6609" s="13" t="s">
        <v>496</v>
      </c>
      <c r="M6609" s="2" t="s">
        <v>26</v>
      </c>
      <c r="N6609" s="29"/>
      <c r="O6609" s="29"/>
      <c r="P6609" s="5" t="str">
        <f>IFERROR(__xludf.DUMMYFUNCTION("TEXTJOIN("" | "",TRUE,IF(OR(D6609="""",E6609="""",I6609="""",J6609="""",H6609=""""),""ফাঁকা ঘর"",""""),IF(AND(C6609&lt;&gt;"""",D6609&lt;&gt;"""",C6609=D6609),""gloss=figurative"",""""),IF(LEN(D6609)&lt;15,""figurative ছোট"",""""),IF(AND(I6609=""Positive"",REGEXMATCH(H6"&amp;"609,""মূর্খ|ভণ্ড|প্রতার|অলস|লোভ|স্বার্থ|অক্ষম|অযোগ্য|বোকা|কৃপণ|হিংস"")),""valence-target অমিল"",""""),IF(COUNTIF($B:$B,B6609)&gt;1,""ডুপ্লিকেট"",""""))"),"")</f>
        <v/>
      </c>
      <c r="Q6609" s="5" t="str">
        <f t="shared" si="1"/>
        <v>২ পরে</v>
      </c>
    </row>
    <row r="6610">
      <c r="A6610" s="4">
        <v>4538.0</v>
      </c>
      <c r="B6610" s="2" t="s">
        <v>26927</v>
      </c>
      <c r="C6610" s="2" t="s">
        <v>26928</v>
      </c>
      <c r="D6610" s="2" t="s">
        <v>26929</v>
      </c>
      <c r="E6610" s="2" t="s">
        <v>18701</v>
      </c>
      <c r="F6610" s="2" t="b">
        <v>1</v>
      </c>
      <c r="G6610" s="2" t="b">
        <v>0</v>
      </c>
      <c r="H6610" s="2" t="s">
        <v>37</v>
      </c>
      <c r="I6610" s="2" t="s">
        <v>22</v>
      </c>
      <c r="J6610" s="2" t="s">
        <v>1008</v>
      </c>
      <c r="K6610" s="2" t="s">
        <v>495</v>
      </c>
      <c r="L6610" s="13" t="s">
        <v>496</v>
      </c>
      <c r="M6610" s="2" t="s">
        <v>26</v>
      </c>
      <c r="N6610" s="29"/>
      <c r="O6610" s="29"/>
      <c r="P6610" s="5" t="str">
        <f>IFERROR(__xludf.DUMMYFUNCTION("TEXTJOIN("" | "",TRUE,IF(OR(D6610="""",E6610="""",I6610="""",J6610="""",H6610=""""),""ফাঁকা ঘর"",""""),IF(AND(C6610&lt;&gt;"""",D6610&lt;&gt;"""",C6610=D6610),""gloss=figurative"",""""),IF(LEN(D6610)&lt;15,""figurative ছোট"",""""),IF(AND(I6610=""Positive"",REGEXMATCH(H6"&amp;"610,""মূর্খ|ভণ্ড|প্রতার|অলস|লোভ|স্বার্থ|অক্ষম|অযোগ্য|বোকা|কৃপণ|হিংস"")),""valence-target অমিল"",""""),IF(COUNTIF($B:$B,B6610)&gt;1,""ডুপ্লিকেট"",""""))"),"")</f>
        <v/>
      </c>
      <c r="Q6610" s="5" t="str">
        <f t="shared" si="1"/>
        <v>২ পরে</v>
      </c>
    </row>
    <row r="6611">
      <c r="A6611" s="4">
        <v>4539.0</v>
      </c>
      <c r="B6611" s="2" t="s">
        <v>26930</v>
      </c>
      <c r="C6611" s="2" t="s">
        <v>26931</v>
      </c>
      <c r="D6611" s="2" t="s">
        <v>26932</v>
      </c>
      <c r="E6611" s="2" t="s">
        <v>19065</v>
      </c>
      <c r="F6611" s="2" t="b">
        <v>1</v>
      </c>
      <c r="G6611" s="2" t="b">
        <v>0</v>
      </c>
      <c r="H6611" s="2" t="s">
        <v>37</v>
      </c>
      <c r="I6611" s="2" t="s">
        <v>49</v>
      </c>
      <c r="J6611" s="2" t="s">
        <v>2732</v>
      </c>
      <c r="K6611" s="2" t="s">
        <v>495</v>
      </c>
      <c r="L6611" s="13" t="s">
        <v>496</v>
      </c>
      <c r="M6611" s="2" t="s">
        <v>26</v>
      </c>
      <c r="N6611" s="29"/>
      <c r="O6611" s="29"/>
      <c r="P6611" s="5" t="str">
        <f>IFERROR(__xludf.DUMMYFUNCTION("TEXTJOIN("" | "",TRUE,IF(OR(D6611="""",E6611="""",I6611="""",J6611="""",H6611=""""),""ফাঁকা ঘর"",""""),IF(AND(C6611&lt;&gt;"""",D6611&lt;&gt;"""",C6611=D6611),""gloss=figurative"",""""),IF(LEN(D6611)&lt;15,""figurative ছোট"",""""),IF(AND(I6611=""Positive"",REGEXMATCH(H6"&amp;"611,""মূর্খ|ভণ্ড|প্রতার|অলস|লোভ|স্বার্থ|অক্ষম|অযোগ্য|বোকা|কৃপণ|হিংস"")),""valence-target অমিল"",""""),IF(COUNTIF($B:$B,B6611)&gt;1,""ডুপ্লিকেট"",""""))"),"")</f>
        <v/>
      </c>
      <c r="Q6611" s="5" t="str">
        <f t="shared" si="1"/>
        <v>২ পরে</v>
      </c>
    </row>
    <row r="6612">
      <c r="A6612" s="4">
        <v>4541.0</v>
      </c>
      <c r="B6612" s="2" t="s">
        <v>26933</v>
      </c>
      <c r="C6612" s="2" t="s">
        <v>26934</v>
      </c>
      <c r="D6612" s="2" t="s">
        <v>26935</v>
      </c>
      <c r="E6612" s="2" t="s">
        <v>26936</v>
      </c>
      <c r="F6612" s="2" t="b">
        <v>1</v>
      </c>
      <c r="G6612" s="2" t="b">
        <v>0</v>
      </c>
      <c r="H6612" s="2" t="s">
        <v>37</v>
      </c>
      <c r="I6612" s="2" t="s">
        <v>22</v>
      </c>
      <c r="J6612" s="2" t="s">
        <v>548</v>
      </c>
      <c r="K6612" s="2" t="s">
        <v>495</v>
      </c>
      <c r="L6612" s="13" t="s">
        <v>496</v>
      </c>
      <c r="M6612" s="2" t="s">
        <v>26</v>
      </c>
      <c r="N6612" s="29"/>
      <c r="O6612" s="29"/>
      <c r="P6612" s="5" t="str">
        <f>IFERROR(__xludf.DUMMYFUNCTION("TEXTJOIN("" | "",TRUE,IF(OR(D6612="""",E6612="""",I6612="""",J6612="""",H6612=""""),""ফাঁকা ঘর"",""""),IF(AND(C6612&lt;&gt;"""",D6612&lt;&gt;"""",C6612=D6612),""gloss=figurative"",""""),IF(LEN(D6612)&lt;15,""figurative ছোট"",""""),IF(AND(I6612=""Positive"",REGEXMATCH(H6"&amp;"612,""মূর্খ|ভণ্ড|প্রতার|অলস|লোভ|স্বার্থ|অক্ষম|অযোগ্য|বোকা|কৃপণ|হিংস"")),""valence-target অমিল"",""""),IF(COUNTIF($B:$B,B6612)&gt;1,""ডুপ্লিকেট"",""""))"),"")</f>
        <v/>
      </c>
      <c r="Q6612" s="5" t="str">
        <f t="shared" si="1"/>
        <v>২ পরে</v>
      </c>
    </row>
    <row r="6613">
      <c r="A6613" s="4">
        <v>4542.0</v>
      </c>
      <c r="B6613" s="2" t="s">
        <v>26937</v>
      </c>
      <c r="C6613" s="2" t="s">
        <v>26938</v>
      </c>
      <c r="D6613" s="2" t="s">
        <v>26939</v>
      </c>
      <c r="E6613" s="2" t="s">
        <v>26940</v>
      </c>
      <c r="F6613" s="2" t="b">
        <v>1</v>
      </c>
      <c r="G6613" s="2" t="b">
        <v>0</v>
      </c>
      <c r="H6613" s="2" t="s">
        <v>37</v>
      </c>
      <c r="I6613" s="2" t="s">
        <v>32</v>
      </c>
      <c r="J6613" s="2" t="s">
        <v>1244</v>
      </c>
      <c r="K6613" s="2" t="s">
        <v>495</v>
      </c>
      <c r="L6613" s="13" t="s">
        <v>496</v>
      </c>
      <c r="M6613" s="2" t="s">
        <v>26</v>
      </c>
      <c r="N6613" s="29"/>
      <c r="O6613" s="29"/>
      <c r="P6613" s="5" t="str">
        <f>IFERROR(__xludf.DUMMYFUNCTION("TEXTJOIN("" | "",TRUE,IF(OR(D6613="""",E6613="""",I6613="""",J6613="""",H6613=""""),""ফাঁকা ঘর"",""""),IF(AND(C6613&lt;&gt;"""",D6613&lt;&gt;"""",C6613=D6613),""gloss=figurative"",""""),IF(LEN(D6613)&lt;15,""figurative ছোট"",""""),IF(AND(I6613=""Positive"",REGEXMATCH(H6"&amp;"613,""মূর্খ|ভণ্ড|প্রতার|অলস|লোভ|স্বার্থ|অক্ষম|অযোগ্য|বোকা|কৃপণ|হিংস"")),""valence-target অমিল"",""""),IF(COUNTIF($B:$B,B6613)&gt;1,""ডুপ্লিকেট"",""""))"),"")</f>
        <v/>
      </c>
      <c r="Q6613" s="5" t="str">
        <f t="shared" si="1"/>
        <v>২ পরে</v>
      </c>
    </row>
    <row r="6614">
      <c r="A6614" s="4">
        <v>4543.0</v>
      </c>
      <c r="B6614" s="2" t="s">
        <v>26941</v>
      </c>
      <c r="C6614" s="2" t="s">
        <v>26942</v>
      </c>
      <c r="D6614" s="2" t="s">
        <v>26943</v>
      </c>
      <c r="E6614" s="2" t="s">
        <v>26944</v>
      </c>
      <c r="F6614" s="2" t="b">
        <v>1</v>
      </c>
      <c r="G6614" s="2" t="b">
        <v>0</v>
      </c>
      <c r="H6614" s="2" t="s">
        <v>37</v>
      </c>
      <c r="I6614" s="2" t="s">
        <v>32</v>
      </c>
      <c r="J6614" s="2" t="s">
        <v>1244</v>
      </c>
      <c r="K6614" s="2" t="s">
        <v>495</v>
      </c>
      <c r="L6614" s="13" t="s">
        <v>496</v>
      </c>
      <c r="M6614" s="2" t="s">
        <v>26</v>
      </c>
      <c r="N6614" s="29"/>
      <c r="O6614" s="29"/>
      <c r="P6614" s="5" t="str">
        <f>IFERROR(__xludf.DUMMYFUNCTION("TEXTJOIN("" | "",TRUE,IF(OR(D6614="""",E6614="""",I6614="""",J6614="""",H6614=""""),""ফাঁকা ঘর"",""""),IF(AND(C6614&lt;&gt;"""",D6614&lt;&gt;"""",C6614=D6614),""gloss=figurative"",""""),IF(LEN(D6614)&lt;15,""figurative ছোট"",""""),IF(AND(I6614=""Positive"",REGEXMATCH(H6"&amp;"614,""মূর্খ|ভণ্ড|প্রতার|অলস|লোভ|স্বার্থ|অক্ষম|অযোগ্য|বোকা|কৃপণ|হিংস"")),""valence-target অমিল"",""""),IF(COUNTIF($B:$B,B6614)&gt;1,""ডুপ্লিকেট"",""""))"),"")</f>
        <v/>
      </c>
      <c r="Q6614" s="5" t="str">
        <f t="shared" si="1"/>
        <v>২ পরে</v>
      </c>
    </row>
    <row r="6615">
      <c r="A6615" s="4">
        <v>4544.0</v>
      </c>
      <c r="B6615" s="2" t="s">
        <v>26945</v>
      </c>
      <c r="C6615" s="2" t="s">
        <v>26945</v>
      </c>
      <c r="D6615" s="2" t="s">
        <v>26946</v>
      </c>
      <c r="E6615" s="2" t="s">
        <v>26947</v>
      </c>
      <c r="F6615" s="2" t="b">
        <v>1</v>
      </c>
      <c r="G6615" s="2" t="b">
        <v>0</v>
      </c>
      <c r="H6615" s="2" t="s">
        <v>37</v>
      </c>
      <c r="I6615" s="2" t="s">
        <v>49</v>
      </c>
      <c r="J6615" s="2" t="s">
        <v>565</v>
      </c>
      <c r="K6615" s="2" t="s">
        <v>495</v>
      </c>
      <c r="L6615" s="13" t="s">
        <v>496</v>
      </c>
      <c r="M6615" s="2" t="s">
        <v>26</v>
      </c>
      <c r="N6615" s="29"/>
      <c r="O6615" s="29"/>
      <c r="P6615" s="5" t="str">
        <f>IFERROR(__xludf.DUMMYFUNCTION("TEXTJOIN("" | "",TRUE,IF(OR(D6615="""",E6615="""",I6615="""",J6615="""",H6615=""""),""ফাঁকা ঘর"",""""),IF(AND(C6615&lt;&gt;"""",D6615&lt;&gt;"""",C6615=D6615),""gloss=figurative"",""""),IF(LEN(D6615)&lt;15,""figurative ছোট"",""""),IF(AND(I6615=""Positive"",REGEXMATCH(H6"&amp;"615,""মূর্খ|ভণ্ড|প্রতার|অলস|লোভ|স্বার্থ|অক্ষম|অযোগ্য|বোকা|কৃপণ|হিংস"")),""valence-target অমিল"",""""),IF(COUNTIF($B:$B,B6615)&gt;1,""ডুপ্লিকেট"",""""))"),"")</f>
        <v/>
      </c>
      <c r="Q6615" s="5" t="str">
        <f t="shared" si="1"/>
        <v>২ পরে</v>
      </c>
    </row>
    <row r="6616">
      <c r="A6616" s="4">
        <v>4546.0</v>
      </c>
      <c r="B6616" s="2" t="s">
        <v>26948</v>
      </c>
      <c r="C6616" s="2" t="s">
        <v>26949</v>
      </c>
      <c r="D6616" s="2" t="s">
        <v>26950</v>
      </c>
      <c r="E6616" s="2" t="s">
        <v>26951</v>
      </c>
      <c r="F6616" s="2" t="b">
        <v>1</v>
      </c>
      <c r="G6616" s="2" t="b">
        <v>0</v>
      </c>
      <c r="H6616" s="2" t="s">
        <v>37</v>
      </c>
      <c r="I6616" s="2" t="s">
        <v>49</v>
      </c>
      <c r="J6616" s="2" t="s">
        <v>1249</v>
      </c>
      <c r="K6616" s="2" t="s">
        <v>495</v>
      </c>
      <c r="L6616" s="13" t="s">
        <v>496</v>
      </c>
      <c r="M6616" s="2" t="s">
        <v>26</v>
      </c>
      <c r="N6616" s="29"/>
      <c r="O6616" s="29"/>
      <c r="P6616" s="5" t="str">
        <f>IFERROR(__xludf.DUMMYFUNCTION("TEXTJOIN("" | "",TRUE,IF(OR(D6616="""",E6616="""",I6616="""",J6616="""",H6616=""""),""ফাঁকা ঘর"",""""),IF(AND(C6616&lt;&gt;"""",D6616&lt;&gt;"""",C6616=D6616),""gloss=figurative"",""""),IF(LEN(D6616)&lt;15,""figurative ছোট"",""""),IF(AND(I6616=""Positive"",REGEXMATCH(H6"&amp;"616,""মূর্খ|ভণ্ড|প্রতার|অলস|লোভ|স্বার্থ|অক্ষম|অযোগ্য|বোকা|কৃপণ|হিংস"")),""valence-target অমিল"",""""),IF(COUNTIF($B:$B,B6616)&gt;1,""ডুপ্লিকেট"",""""))"),"")</f>
        <v/>
      </c>
      <c r="Q6616" s="5" t="str">
        <f t="shared" si="1"/>
        <v>২ পরে</v>
      </c>
    </row>
    <row r="6617">
      <c r="A6617" s="4">
        <v>4547.0</v>
      </c>
      <c r="B6617" s="2" t="s">
        <v>26952</v>
      </c>
      <c r="C6617" s="2" t="s">
        <v>26952</v>
      </c>
      <c r="D6617" s="2" t="s">
        <v>26953</v>
      </c>
      <c r="E6617" s="2" t="s">
        <v>26954</v>
      </c>
      <c r="F6617" s="2" t="b">
        <v>1</v>
      </c>
      <c r="G6617" s="2" t="b">
        <v>0</v>
      </c>
      <c r="H6617" s="2" t="s">
        <v>37</v>
      </c>
      <c r="I6617" s="2" t="s">
        <v>22</v>
      </c>
      <c r="J6617" s="2" t="s">
        <v>1038</v>
      </c>
      <c r="K6617" s="2" t="s">
        <v>495</v>
      </c>
      <c r="L6617" s="13" t="s">
        <v>496</v>
      </c>
      <c r="M6617" s="2" t="s">
        <v>26</v>
      </c>
      <c r="N6617" s="29"/>
      <c r="O6617" s="29"/>
      <c r="P6617" s="5" t="str">
        <f>IFERROR(__xludf.DUMMYFUNCTION("TEXTJOIN("" | "",TRUE,IF(OR(D6617="""",E6617="""",I6617="""",J6617="""",H6617=""""),""ফাঁকা ঘর"",""""),IF(AND(C6617&lt;&gt;"""",D6617&lt;&gt;"""",C6617=D6617),""gloss=figurative"",""""),IF(LEN(D6617)&lt;15,""figurative ছোট"",""""),IF(AND(I6617=""Positive"",REGEXMATCH(H6"&amp;"617,""মূর্খ|ভণ্ড|প্রতার|অলস|লোভ|স্বার্থ|অক্ষম|অযোগ্য|বোকা|কৃপণ|হিংস"")),""valence-target অমিল"",""""),IF(COUNTIF($B:$B,B6617)&gt;1,""ডুপ্লিকেট"",""""))"),"")</f>
        <v/>
      </c>
      <c r="Q6617" s="5" t="str">
        <f t="shared" si="1"/>
        <v>২ পরে</v>
      </c>
    </row>
    <row r="6618">
      <c r="A6618" s="4">
        <v>4548.0</v>
      </c>
      <c r="B6618" s="2" t="s">
        <v>26955</v>
      </c>
      <c r="C6618" s="2" t="s">
        <v>26956</v>
      </c>
      <c r="D6618" s="2" t="s">
        <v>21360</v>
      </c>
      <c r="E6618" s="2" t="s">
        <v>26957</v>
      </c>
      <c r="F6618" s="2" t="b">
        <v>1</v>
      </c>
      <c r="G6618" s="2" t="b">
        <v>0</v>
      </c>
      <c r="H6618" s="2" t="s">
        <v>37</v>
      </c>
      <c r="I6618" s="2" t="s">
        <v>49</v>
      </c>
      <c r="J6618" s="2" t="s">
        <v>1770</v>
      </c>
      <c r="K6618" s="2" t="s">
        <v>495</v>
      </c>
      <c r="L6618" s="13" t="s">
        <v>496</v>
      </c>
      <c r="M6618" s="2" t="s">
        <v>26</v>
      </c>
      <c r="N6618" s="29"/>
      <c r="O6618" s="29"/>
      <c r="P6618" s="5" t="str">
        <f>IFERROR(__xludf.DUMMYFUNCTION("TEXTJOIN("" | "",TRUE,IF(OR(D6618="""",E6618="""",I6618="""",J6618="""",H6618=""""),""ফাঁকা ঘর"",""""),IF(AND(C6618&lt;&gt;"""",D6618&lt;&gt;"""",C6618=D6618),""gloss=figurative"",""""),IF(LEN(D6618)&lt;15,""figurative ছোট"",""""),IF(AND(I6618=""Positive"",REGEXMATCH(H6"&amp;"618,""মূর্খ|ভণ্ড|প্রতার|অলস|লোভ|স্বার্থ|অক্ষম|অযোগ্য|বোকা|কৃপণ|হিংস"")),""valence-target অমিল"",""""),IF(COUNTIF($B:$B,B6618)&gt;1,""ডুপ্লিকেট"",""""))"),"")</f>
        <v/>
      </c>
      <c r="Q6618" s="5" t="str">
        <f t="shared" si="1"/>
        <v>২ পরে</v>
      </c>
    </row>
    <row r="6619">
      <c r="A6619" s="4">
        <v>4549.0</v>
      </c>
      <c r="B6619" s="2" t="s">
        <v>26958</v>
      </c>
      <c r="C6619" s="2" t="s">
        <v>26958</v>
      </c>
      <c r="D6619" s="2" t="s">
        <v>26959</v>
      </c>
      <c r="E6619" s="2" t="s">
        <v>26960</v>
      </c>
      <c r="F6619" s="2" t="b">
        <v>1</v>
      </c>
      <c r="G6619" s="2" t="b">
        <v>0</v>
      </c>
      <c r="H6619" s="2" t="s">
        <v>37</v>
      </c>
      <c r="I6619" s="2" t="s">
        <v>22</v>
      </c>
      <c r="J6619" s="2" t="s">
        <v>4026</v>
      </c>
      <c r="K6619" s="2" t="s">
        <v>495</v>
      </c>
      <c r="L6619" s="13" t="s">
        <v>496</v>
      </c>
      <c r="M6619" s="2" t="s">
        <v>26</v>
      </c>
      <c r="N6619" s="29"/>
      <c r="O6619" s="29"/>
      <c r="P6619" s="5" t="str">
        <f>IFERROR(__xludf.DUMMYFUNCTION("TEXTJOIN("" | "",TRUE,IF(OR(D6619="""",E6619="""",I6619="""",J6619="""",H6619=""""),""ফাঁকা ঘর"",""""),IF(AND(C6619&lt;&gt;"""",D6619&lt;&gt;"""",C6619=D6619),""gloss=figurative"",""""),IF(LEN(D6619)&lt;15,""figurative ছোট"",""""),IF(AND(I6619=""Positive"",REGEXMATCH(H6"&amp;"619,""মূর্খ|ভণ্ড|প্রতার|অলস|লোভ|স্বার্থ|অক্ষম|অযোগ্য|বোকা|কৃপণ|হিংস"")),""valence-target অমিল"",""""),IF(COUNTIF($B:$B,B6619)&gt;1,""ডুপ্লিকেট"",""""))"),"")</f>
        <v/>
      </c>
      <c r="Q6619" s="5" t="str">
        <f t="shared" si="1"/>
        <v>২ পরে</v>
      </c>
    </row>
    <row r="6620">
      <c r="A6620" s="4">
        <v>4550.0</v>
      </c>
      <c r="B6620" s="2" t="s">
        <v>26961</v>
      </c>
      <c r="C6620" s="2" t="s">
        <v>26962</v>
      </c>
      <c r="D6620" s="2" t="s">
        <v>26963</v>
      </c>
      <c r="E6620" s="2" t="s">
        <v>26964</v>
      </c>
      <c r="F6620" s="2" t="b">
        <v>1</v>
      </c>
      <c r="G6620" s="2" t="b">
        <v>0</v>
      </c>
      <c r="H6620" s="2" t="s">
        <v>37</v>
      </c>
      <c r="I6620" s="2" t="s">
        <v>22</v>
      </c>
      <c r="J6620" s="2" t="s">
        <v>1038</v>
      </c>
      <c r="K6620" s="2" t="s">
        <v>495</v>
      </c>
      <c r="L6620" s="13" t="s">
        <v>496</v>
      </c>
      <c r="M6620" s="2" t="s">
        <v>26</v>
      </c>
      <c r="N6620" s="29"/>
      <c r="O6620" s="29"/>
      <c r="P6620" s="5" t="str">
        <f>IFERROR(__xludf.DUMMYFUNCTION("TEXTJOIN("" | "",TRUE,IF(OR(D6620="""",E6620="""",I6620="""",J6620="""",H6620=""""),""ফাঁকা ঘর"",""""),IF(AND(C6620&lt;&gt;"""",D6620&lt;&gt;"""",C6620=D6620),""gloss=figurative"",""""),IF(LEN(D6620)&lt;15,""figurative ছোট"",""""),IF(AND(I6620=""Positive"",REGEXMATCH(H6"&amp;"620,""মূর্খ|ভণ্ড|প্রতার|অলস|লোভ|স্বার্থ|অক্ষম|অযোগ্য|বোকা|কৃপণ|হিংস"")),""valence-target অমিল"",""""),IF(COUNTIF($B:$B,B6620)&gt;1,""ডুপ্লিকেট"",""""))"),"")</f>
        <v/>
      </c>
      <c r="Q6620" s="5" t="str">
        <f t="shared" si="1"/>
        <v>২ পরে</v>
      </c>
    </row>
    <row r="6621">
      <c r="A6621" s="4">
        <v>4551.0</v>
      </c>
      <c r="B6621" s="2" t="s">
        <v>26965</v>
      </c>
      <c r="C6621" s="2" t="s">
        <v>26965</v>
      </c>
      <c r="D6621" s="2" t="s">
        <v>26966</v>
      </c>
      <c r="E6621" s="2" t="s">
        <v>26967</v>
      </c>
      <c r="F6621" s="2" t="b">
        <v>1</v>
      </c>
      <c r="G6621" s="2" t="b">
        <v>0</v>
      </c>
      <c r="H6621" s="2" t="s">
        <v>37</v>
      </c>
      <c r="I6621" s="2" t="s">
        <v>49</v>
      </c>
      <c r="J6621" s="2" t="s">
        <v>3701</v>
      </c>
      <c r="K6621" s="2" t="s">
        <v>495</v>
      </c>
      <c r="L6621" s="13" t="s">
        <v>496</v>
      </c>
      <c r="M6621" s="2" t="s">
        <v>26</v>
      </c>
      <c r="N6621" s="29"/>
      <c r="O6621" s="29"/>
      <c r="P6621" s="5" t="str">
        <f>IFERROR(__xludf.DUMMYFUNCTION("TEXTJOIN("" | "",TRUE,IF(OR(D6621="""",E6621="""",I6621="""",J6621="""",H6621=""""),""ফাঁকা ঘর"",""""),IF(AND(C6621&lt;&gt;"""",D6621&lt;&gt;"""",C6621=D6621),""gloss=figurative"",""""),IF(LEN(D6621)&lt;15,""figurative ছোট"",""""),IF(AND(I6621=""Positive"",REGEXMATCH(H6"&amp;"621,""মূর্খ|ভণ্ড|প্রতার|অলস|লোভ|স্বার্থ|অক্ষম|অযোগ্য|বোকা|কৃপণ|হিংস"")),""valence-target অমিল"",""""),IF(COUNTIF($B:$B,B6621)&gt;1,""ডুপ্লিকেট"",""""))"),"")</f>
        <v/>
      </c>
      <c r="Q6621" s="5" t="str">
        <f t="shared" si="1"/>
        <v>২ পরে</v>
      </c>
    </row>
    <row r="6622">
      <c r="A6622" s="4">
        <v>4552.0</v>
      </c>
      <c r="B6622" s="2" t="s">
        <v>10789</v>
      </c>
      <c r="C6622" s="2" t="s">
        <v>10789</v>
      </c>
      <c r="D6622" s="2" t="s">
        <v>26968</v>
      </c>
      <c r="E6622" s="2" t="s">
        <v>26969</v>
      </c>
      <c r="F6622" s="2" t="b">
        <v>1</v>
      </c>
      <c r="G6622" s="2" t="b">
        <v>0</v>
      </c>
      <c r="H6622" s="2" t="s">
        <v>37</v>
      </c>
      <c r="I6622" s="2" t="s">
        <v>49</v>
      </c>
      <c r="J6622" s="2" t="s">
        <v>1254</v>
      </c>
      <c r="K6622" s="2" t="s">
        <v>495</v>
      </c>
      <c r="L6622" s="13" t="s">
        <v>496</v>
      </c>
      <c r="M6622" s="2" t="s">
        <v>26</v>
      </c>
      <c r="N6622" s="29"/>
      <c r="O6622" s="29"/>
      <c r="P6622" s="5" t="str">
        <f>IFERROR(__xludf.DUMMYFUNCTION("TEXTJOIN("" | "",TRUE,IF(OR(D6622="""",E6622="""",I6622="""",J6622="""",H6622=""""),""ফাঁকা ঘর"",""""),IF(AND(C6622&lt;&gt;"""",D6622&lt;&gt;"""",C6622=D6622),""gloss=figurative"",""""),IF(LEN(D6622)&lt;15,""figurative ছোট"",""""),IF(AND(I6622=""Positive"",REGEXMATCH(H6"&amp;"622,""মূর্খ|ভণ্ড|প্রতার|অলস|লোভ|স্বার্থ|অক্ষম|অযোগ্য|বোকা|কৃপণ|হিংস"")),""valence-target অমিল"",""""),IF(COUNTIF($B:$B,B6622)&gt;1,""ডুপ্লিকেট"",""""))"),"")</f>
        <v/>
      </c>
      <c r="Q6622" s="5" t="str">
        <f t="shared" si="1"/>
        <v>২ পরে</v>
      </c>
    </row>
    <row r="6623">
      <c r="A6623" s="4">
        <v>4553.0</v>
      </c>
      <c r="B6623" s="2" t="s">
        <v>26970</v>
      </c>
      <c r="C6623" s="2" t="s">
        <v>26970</v>
      </c>
      <c r="D6623" s="2" t="s">
        <v>21812</v>
      </c>
      <c r="E6623" s="2" t="s">
        <v>21813</v>
      </c>
      <c r="F6623" s="2" t="b">
        <v>1</v>
      </c>
      <c r="G6623" s="2" t="b">
        <v>0</v>
      </c>
      <c r="H6623" s="2" t="s">
        <v>37</v>
      </c>
      <c r="I6623" s="2" t="s">
        <v>22</v>
      </c>
      <c r="J6623" s="2" t="s">
        <v>3694</v>
      </c>
      <c r="K6623" s="2" t="s">
        <v>495</v>
      </c>
      <c r="L6623" s="13" t="s">
        <v>496</v>
      </c>
      <c r="M6623" s="2" t="s">
        <v>26</v>
      </c>
      <c r="N6623" s="29"/>
      <c r="O6623" s="29"/>
      <c r="P6623" s="5" t="str">
        <f>IFERROR(__xludf.DUMMYFUNCTION("TEXTJOIN("" | "",TRUE,IF(OR(D6623="""",E6623="""",I6623="""",J6623="""",H6623=""""),""ফাঁকা ঘর"",""""),IF(AND(C6623&lt;&gt;"""",D6623&lt;&gt;"""",C6623=D6623),""gloss=figurative"",""""),IF(LEN(D6623)&lt;15,""figurative ছোট"",""""),IF(AND(I6623=""Positive"",REGEXMATCH(H6"&amp;"623,""মূর্খ|ভণ্ড|প্রতার|অলস|লোভ|স্বার্থ|অক্ষম|অযোগ্য|বোকা|কৃপণ|হিংস"")),""valence-target অমিল"",""""),IF(COUNTIF($B:$B,B6623)&gt;1,""ডুপ্লিকেট"",""""))"),"")</f>
        <v/>
      </c>
      <c r="Q6623" s="5" t="str">
        <f t="shared" si="1"/>
        <v>২ পরে</v>
      </c>
    </row>
    <row r="6624">
      <c r="A6624" s="4">
        <v>4554.0</v>
      </c>
      <c r="B6624" s="2" t="s">
        <v>26971</v>
      </c>
      <c r="C6624" s="2" t="s">
        <v>26972</v>
      </c>
      <c r="D6624" s="2" t="s">
        <v>26973</v>
      </c>
      <c r="E6624" s="2" t="s">
        <v>26974</v>
      </c>
      <c r="F6624" s="2" t="b">
        <v>1</v>
      </c>
      <c r="G6624" s="2" t="b">
        <v>0</v>
      </c>
      <c r="H6624" s="2" t="s">
        <v>37</v>
      </c>
      <c r="I6624" s="2" t="s">
        <v>32</v>
      </c>
      <c r="J6624" s="2" t="s">
        <v>868</v>
      </c>
      <c r="K6624" s="2" t="s">
        <v>495</v>
      </c>
      <c r="L6624" s="13" t="s">
        <v>496</v>
      </c>
      <c r="M6624" s="2" t="s">
        <v>26</v>
      </c>
      <c r="N6624" s="29"/>
      <c r="O6624" s="29"/>
      <c r="P6624" s="5" t="str">
        <f>IFERROR(__xludf.DUMMYFUNCTION("TEXTJOIN("" | "",TRUE,IF(OR(D6624="""",E6624="""",I6624="""",J6624="""",H6624=""""),""ফাঁকা ঘর"",""""),IF(AND(C6624&lt;&gt;"""",D6624&lt;&gt;"""",C6624=D6624),""gloss=figurative"",""""),IF(LEN(D6624)&lt;15,""figurative ছোট"",""""),IF(AND(I6624=""Positive"",REGEXMATCH(H6"&amp;"624,""মূর্খ|ভণ্ড|প্রতার|অলস|লোভ|স্বার্থ|অক্ষম|অযোগ্য|বোকা|কৃপণ|হিংস"")),""valence-target অমিল"",""""),IF(COUNTIF($B:$B,B6624)&gt;1,""ডুপ্লিকেট"",""""))"),"")</f>
        <v/>
      </c>
      <c r="Q6624" s="5" t="str">
        <f t="shared" si="1"/>
        <v>২ পরে</v>
      </c>
    </row>
    <row r="6625">
      <c r="A6625" s="4">
        <v>4555.0</v>
      </c>
      <c r="B6625" s="2" t="s">
        <v>26975</v>
      </c>
      <c r="C6625" s="2" t="s">
        <v>26976</v>
      </c>
      <c r="D6625" s="2" t="s">
        <v>26977</v>
      </c>
      <c r="E6625" s="2" t="s">
        <v>26978</v>
      </c>
      <c r="F6625" s="2" t="b">
        <v>1</v>
      </c>
      <c r="G6625" s="2" t="b">
        <v>0</v>
      </c>
      <c r="H6625" s="2" t="s">
        <v>37</v>
      </c>
      <c r="I6625" s="2" t="s">
        <v>49</v>
      </c>
      <c r="J6625" s="2" t="s">
        <v>528</v>
      </c>
      <c r="K6625" s="2" t="s">
        <v>495</v>
      </c>
      <c r="L6625" s="13" t="s">
        <v>496</v>
      </c>
      <c r="M6625" s="2" t="s">
        <v>26</v>
      </c>
      <c r="N6625" s="29"/>
      <c r="O6625" s="29"/>
      <c r="P6625" s="5" t="str">
        <f>IFERROR(__xludf.DUMMYFUNCTION("TEXTJOIN("" | "",TRUE,IF(OR(D6625="""",E6625="""",I6625="""",J6625="""",H6625=""""),""ফাঁকা ঘর"",""""),IF(AND(C6625&lt;&gt;"""",D6625&lt;&gt;"""",C6625=D6625),""gloss=figurative"",""""),IF(LEN(D6625)&lt;15,""figurative ছোট"",""""),IF(AND(I6625=""Positive"",REGEXMATCH(H6"&amp;"625,""মূর্খ|ভণ্ড|প্রতার|অলস|লোভ|স্বার্থ|অক্ষম|অযোগ্য|বোকা|কৃপণ|হিংস"")),""valence-target অমিল"",""""),IF(COUNTIF($B:$B,B6625)&gt;1,""ডুপ্লিকেট"",""""))"),"")</f>
        <v/>
      </c>
      <c r="Q6625" s="5" t="str">
        <f t="shared" si="1"/>
        <v>২ পরে</v>
      </c>
    </row>
    <row r="6626">
      <c r="A6626" s="4">
        <v>4556.0</v>
      </c>
      <c r="B6626" s="2" t="s">
        <v>26979</v>
      </c>
      <c r="C6626" s="2" t="s">
        <v>26980</v>
      </c>
      <c r="D6626" s="2" t="s">
        <v>26981</v>
      </c>
      <c r="E6626" s="2" t="s">
        <v>26982</v>
      </c>
      <c r="F6626" s="2" t="b">
        <v>1</v>
      </c>
      <c r="G6626" s="2" t="b">
        <v>0</v>
      </c>
      <c r="H6626" s="2" t="s">
        <v>37</v>
      </c>
      <c r="I6626" s="2" t="s">
        <v>22</v>
      </c>
      <c r="J6626" s="2" t="s">
        <v>2113</v>
      </c>
      <c r="K6626" s="2" t="s">
        <v>495</v>
      </c>
      <c r="L6626" s="13" t="s">
        <v>496</v>
      </c>
      <c r="M6626" s="2" t="s">
        <v>26</v>
      </c>
      <c r="N6626" s="29"/>
      <c r="O6626" s="29"/>
      <c r="P6626" s="5" t="str">
        <f>IFERROR(__xludf.DUMMYFUNCTION("TEXTJOIN("" | "",TRUE,IF(OR(D6626="""",E6626="""",I6626="""",J6626="""",H6626=""""),""ফাঁকা ঘর"",""""),IF(AND(C6626&lt;&gt;"""",D6626&lt;&gt;"""",C6626=D6626),""gloss=figurative"",""""),IF(LEN(D6626)&lt;15,""figurative ছোট"",""""),IF(AND(I6626=""Positive"",REGEXMATCH(H6"&amp;"626,""মূর্খ|ভণ্ড|প্রতার|অলস|লোভ|স্বার্থ|অক্ষম|অযোগ্য|বোকা|কৃপণ|হিংস"")),""valence-target অমিল"",""""),IF(COUNTIF($B:$B,B6626)&gt;1,""ডুপ্লিকেট"",""""))"),"")</f>
        <v/>
      </c>
      <c r="Q6626" s="5" t="str">
        <f t="shared" si="1"/>
        <v>২ পরে</v>
      </c>
    </row>
    <row r="6627">
      <c r="A6627" s="4">
        <v>4557.0</v>
      </c>
      <c r="B6627" s="2" t="s">
        <v>26983</v>
      </c>
      <c r="C6627" s="2" t="s">
        <v>26984</v>
      </c>
      <c r="D6627" s="2" t="s">
        <v>26985</v>
      </c>
      <c r="E6627" s="2" t="s">
        <v>26986</v>
      </c>
      <c r="F6627" s="2" t="b">
        <v>1</v>
      </c>
      <c r="G6627" s="2" t="b">
        <v>0</v>
      </c>
      <c r="H6627" s="2" t="s">
        <v>3407</v>
      </c>
      <c r="I6627" s="2" t="s">
        <v>22</v>
      </c>
      <c r="J6627" s="2" t="s">
        <v>669</v>
      </c>
      <c r="K6627" s="2" t="s">
        <v>495</v>
      </c>
      <c r="L6627" s="13" t="s">
        <v>496</v>
      </c>
      <c r="M6627" s="2" t="s">
        <v>26</v>
      </c>
      <c r="N6627" s="29"/>
      <c r="O6627" s="29"/>
      <c r="P6627" s="5" t="str">
        <f>IFERROR(__xludf.DUMMYFUNCTION("TEXTJOIN("" | "",TRUE,IF(OR(D6627="""",E6627="""",I6627="""",J6627="""",H6627=""""),""ফাঁকা ঘর"",""""),IF(AND(C6627&lt;&gt;"""",D6627&lt;&gt;"""",C6627=D6627),""gloss=figurative"",""""),IF(LEN(D6627)&lt;15,""figurative ছোট"",""""),IF(AND(I6627=""Positive"",REGEXMATCH(H6"&amp;"627,""মূর্খ|ভণ্ড|প্রতার|অলস|লোভ|স্বার্থ|অক্ষম|অযোগ্য|বোকা|কৃপণ|হিংস"")),""valence-target অমিল"",""""),IF(COUNTIF($B:$B,B6627)&gt;1,""ডুপ্লিকেট"",""""))"),"")</f>
        <v/>
      </c>
      <c r="Q6627" s="5" t="str">
        <f t="shared" si="1"/>
        <v>২ পরে</v>
      </c>
    </row>
    <row r="6628">
      <c r="A6628" s="4">
        <v>4558.0</v>
      </c>
      <c r="B6628" s="2" t="s">
        <v>26987</v>
      </c>
      <c r="C6628" s="2" t="s">
        <v>26988</v>
      </c>
      <c r="D6628" s="2" t="s">
        <v>26989</v>
      </c>
      <c r="E6628" s="2" t="s">
        <v>26990</v>
      </c>
      <c r="F6628" s="2" t="b">
        <v>1</v>
      </c>
      <c r="G6628" s="2" t="b">
        <v>0</v>
      </c>
      <c r="H6628" s="2" t="s">
        <v>37</v>
      </c>
      <c r="I6628" s="2" t="s">
        <v>32</v>
      </c>
      <c r="J6628" s="2" t="s">
        <v>1679</v>
      </c>
      <c r="K6628" s="2" t="s">
        <v>495</v>
      </c>
      <c r="L6628" s="13" t="s">
        <v>496</v>
      </c>
      <c r="M6628" s="2" t="s">
        <v>26</v>
      </c>
      <c r="N6628" s="29"/>
      <c r="O6628" s="29"/>
      <c r="P6628" s="5" t="str">
        <f>IFERROR(__xludf.DUMMYFUNCTION("TEXTJOIN("" | "",TRUE,IF(OR(D6628="""",E6628="""",I6628="""",J6628="""",H6628=""""),""ফাঁকা ঘর"",""""),IF(AND(C6628&lt;&gt;"""",D6628&lt;&gt;"""",C6628=D6628),""gloss=figurative"",""""),IF(LEN(D6628)&lt;15,""figurative ছোট"",""""),IF(AND(I6628=""Positive"",REGEXMATCH(H6"&amp;"628,""মূর্খ|ভণ্ড|প্রতার|অলস|লোভ|স্বার্থ|অক্ষম|অযোগ্য|বোকা|কৃপণ|হিংস"")),""valence-target অমিল"",""""),IF(COUNTIF($B:$B,B6628)&gt;1,""ডুপ্লিকেট"",""""))"),"")</f>
        <v/>
      </c>
      <c r="Q6628" s="5" t="str">
        <f t="shared" si="1"/>
        <v>২ পরে</v>
      </c>
    </row>
    <row r="6629">
      <c r="A6629" s="4">
        <v>4559.0</v>
      </c>
      <c r="B6629" s="2" t="s">
        <v>26991</v>
      </c>
      <c r="C6629" s="2" t="s">
        <v>26992</v>
      </c>
      <c r="D6629" s="2" t="s">
        <v>26993</v>
      </c>
      <c r="E6629" s="2" t="s">
        <v>26994</v>
      </c>
      <c r="F6629" s="2" t="b">
        <v>1</v>
      </c>
      <c r="G6629" s="2" t="b">
        <v>0</v>
      </c>
      <c r="H6629" s="2" t="s">
        <v>37</v>
      </c>
      <c r="I6629" s="2" t="s">
        <v>49</v>
      </c>
      <c r="J6629" s="2" t="s">
        <v>695</v>
      </c>
      <c r="K6629" s="2" t="s">
        <v>495</v>
      </c>
      <c r="L6629" s="13" t="s">
        <v>496</v>
      </c>
      <c r="M6629" s="2" t="s">
        <v>26</v>
      </c>
      <c r="N6629" s="29"/>
      <c r="O6629" s="29"/>
      <c r="P6629" s="5" t="str">
        <f>IFERROR(__xludf.DUMMYFUNCTION("TEXTJOIN("" | "",TRUE,IF(OR(D6629="""",E6629="""",I6629="""",J6629="""",H6629=""""),""ফাঁকা ঘর"",""""),IF(AND(C6629&lt;&gt;"""",D6629&lt;&gt;"""",C6629=D6629),""gloss=figurative"",""""),IF(LEN(D6629)&lt;15,""figurative ছোট"",""""),IF(AND(I6629=""Positive"",REGEXMATCH(H6"&amp;"629,""মূর্খ|ভণ্ড|প্রতার|অলস|লোভ|স্বার্থ|অক্ষম|অযোগ্য|বোকা|কৃপণ|হিংস"")),""valence-target অমিল"",""""),IF(COUNTIF($B:$B,B6629)&gt;1,""ডুপ্লিকেট"",""""))"),"")</f>
        <v/>
      </c>
      <c r="Q6629" s="5" t="str">
        <f t="shared" si="1"/>
        <v>২ পরে</v>
      </c>
    </row>
    <row r="6630">
      <c r="A6630" s="4">
        <v>4560.0</v>
      </c>
      <c r="B6630" s="2" t="s">
        <v>26995</v>
      </c>
      <c r="C6630" s="2" t="s">
        <v>26996</v>
      </c>
      <c r="D6630" s="2" t="s">
        <v>26997</v>
      </c>
      <c r="E6630" s="2" t="s">
        <v>26998</v>
      </c>
      <c r="F6630" s="2" t="b">
        <v>1</v>
      </c>
      <c r="G6630" s="2" t="b">
        <v>0</v>
      </c>
      <c r="H6630" s="2" t="s">
        <v>37</v>
      </c>
      <c r="I6630" s="2" t="s">
        <v>49</v>
      </c>
      <c r="J6630" s="2" t="s">
        <v>502</v>
      </c>
      <c r="K6630" s="2" t="s">
        <v>495</v>
      </c>
      <c r="L6630" s="13" t="s">
        <v>496</v>
      </c>
      <c r="M6630" s="2" t="s">
        <v>26</v>
      </c>
      <c r="N6630" s="29"/>
      <c r="O6630" s="29"/>
      <c r="P6630" s="5" t="str">
        <f>IFERROR(__xludf.DUMMYFUNCTION("TEXTJOIN("" | "",TRUE,IF(OR(D6630="""",E6630="""",I6630="""",J6630="""",H6630=""""),""ফাঁকা ঘর"",""""),IF(AND(C6630&lt;&gt;"""",D6630&lt;&gt;"""",C6630=D6630),""gloss=figurative"",""""),IF(LEN(D6630)&lt;15,""figurative ছোট"",""""),IF(AND(I6630=""Positive"",REGEXMATCH(H6"&amp;"630,""মূর্খ|ভণ্ড|প্রতার|অলস|লোভ|স্বার্থ|অক্ষম|অযোগ্য|বোকা|কৃপণ|হিংস"")),""valence-target অমিল"",""""),IF(COUNTIF($B:$B,B6630)&gt;1,""ডুপ্লিকেট"",""""))"),"")</f>
        <v/>
      </c>
      <c r="Q6630" s="5" t="str">
        <f t="shared" si="1"/>
        <v>২ পরে</v>
      </c>
    </row>
    <row r="6631">
      <c r="A6631" s="4">
        <v>4563.0</v>
      </c>
      <c r="B6631" s="2" t="s">
        <v>26999</v>
      </c>
      <c r="C6631" s="2" t="s">
        <v>27000</v>
      </c>
      <c r="D6631" s="2" t="s">
        <v>27001</v>
      </c>
      <c r="E6631" s="2" t="s">
        <v>27002</v>
      </c>
      <c r="F6631" s="2" t="b">
        <v>1</v>
      </c>
      <c r="G6631" s="2" t="b">
        <v>0</v>
      </c>
      <c r="H6631" s="2" t="s">
        <v>37</v>
      </c>
      <c r="I6631" s="2" t="s">
        <v>22</v>
      </c>
      <c r="J6631" s="2" t="s">
        <v>1013</v>
      </c>
      <c r="K6631" s="2" t="s">
        <v>495</v>
      </c>
      <c r="L6631" s="13" t="s">
        <v>496</v>
      </c>
      <c r="M6631" s="2" t="s">
        <v>26</v>
      </c>
      <c r="N6631" s="29"/>
      <c r="O6631" s="29"/>
      <c r="P6631" s="5" t="str">
        <f>IFERROR(__xludf.DUMMYFUNCTION("TEXTJOIN("" | "",TRUE,IF(OR(D6631="""",E6631="""",I6631="""",J6631="""",H6631=""""),""ফাঁকা ঘর"",""""),IF(AND(C6631&lt;&gt;"""",D6631&lt;&gt;"""",C6631=D6631),""gloss=figurative"",""""),IF(LEN(D6631)&lt;15,""figurative ছোট"",""""),IF(AND(I6631=""Positive"",REGEXMATCH(H6"&amp;"631,""মূর্খ|ভণ্ড|প্রতার|অলস|লোভ|স্বার্থ|অক্ষম|অযোগ্য|বোকা|কৃপণ|হিংস"")),""valence-target অমিল"",""""),IF(COUNTIF($B:$B,B6631)&gt;1,""ডুপ্লিকেট"",""""))"),"")</f>
        <v/>
      </c>
      <c r="Q6631" s="5" t="str">
        <f t="shared" si="1"/>
        <v>২ পরে</v>
      </c>
    </row>
    <row r="6632">
      <c r="A6632" s="4">
        <v>4564.0</v>
      </c>
      <c r="B6632" s="2" t="s">
        <v>27003</v>
      </c>
      <c r="C6632" s="2" t="s">
        <v>27004</v>
      </c>
      <c r="D6632" s="2" t="s">
        <v>27005</v>
      </c>
      <c r="E6632" s="2" t="s">
        <v>27006</v>
      </c>
      <c r="F6632" s="2" t="b">
        <v>1</v>
      </c>
      <c r="G6632" s="2" t="b">
        <v>0</v>
      </c>
      <c r="H6632" s="2" t="s">
        <v>37</v>
      </c>
      <c r="I6632" s="2" t="s">
        <v>49</v>
      </c>
      <c r="J6632" s="2" t="s">
        <v>265</v>
      </c>
      <c r="K6632" s="2" t="s">
        <v>495</v>
      </c>
      <c r="L6632" s="13" t="s">
        <v>496</v>
      </c>
      <c r="M6632" s="2" t="s">
        <v>26</v>
      </c>
      <c r="N6632" s="29"/>
      <c r="O6632" s="29"/>
      <c r="P6632" s="5" t="str">
        <f>IFERROR(__xludf.DUMMYFUNCTION("TEXTJOIN("" | "",TRUE,IF(OR(D6632="""",E6632="""",I6632="""",J6632="""",H6632=""""),""ফাঁকা ঘর"",""""),IF(AND(C6632&lt;&gt;"""",D6632&lt;&gt;"""",C6632=D6632),""gloss=figurative"",""""),IF(LEN(D6632)&lt;15,""figurative ছোট"",""""),IF(AND(I6632=""Positive"",REGEXMATCH(H6"&amp;"632,""মূর্খ|ভণ্ড|প্রতার|অলস|লোভ|স্বার্থ|অক্ষম|অযোগ্য|বোকা|কৃপণ|হিংস"")),""valence-target অমিল"",""""),IF(COUNTIF($B:$B,B6632)&gt;1,""ডুপ্লিকেট"",""""))"),"")</f>
        <v/>
      </c>
      <c r="Q6632" s="5" t="str">
        <f t="shared" si="1"/>
        <v>২ পরে</v>
      </c>
    </row>
    <row r="6633">
      <c r="A6633" s="4">
        <v>4565.0</v>
      </c>
      <c r="B6633" s="2" t="s">
        <v>27007</v>
      </c>
      <c r="C6633" s="2" t="s">
        <v>27008</v>
      </c>
      <c r="D6633" s="2" t="s">
        <v>27009</v>
      </c>
      <c r="E6633" s="2" t="s">
        <v>27010</v>
      </c>
      <c r="F6633" s="2" t="b">
        <v>1</v>
      </c>
      <c r="G6633" s="2" t="b">
        <v>0</v>
      </c>
      <c r="H6633" s="2" t="s">
        <v>37</v>
      </c>
      <c r="I6633" s="2" t="s">
        <v>49</v>
      </c>
      <c r="J6633" s="2" t="s">
        <v>4743</v>
      </c>
      <c r="K6633" s="2" t="s">
        <v>495</v>
      </c>
      <c r="L6633" s="13" t="s">
        <v>496</v>
      </c>
      <c r="M6633" s="2" t="s">
        <v>26</v>
      </c>
      <c r="N6633" s="29"/>
      <c r="O6633" s="29"/>
      <c r="P6633" s="5" t="str">
        <f>IFERROR(__xludf.DUMMYFUNCTION("TEXTJOIN("" | "",TRUE,IF(OR(D6633="""",E6633="""",I6633="""",J6633="""",H6633=""""),""ফাঁকা ঘর"",""""),IF(AND(C6633&lt;&gt;"""",D6633&lt;&gt;"""",C6633=D6633),""gloss=figurative"",""""),IF(LEN(D6633)&lt;15,""figurative ছোট"",""""),IF(AND(I6633=""Positive"",REGEXMATCH(H6"&amp;"633,""মূর্খ|ভণ্ড|প্রতার|অলস|লোভ|স্বার্থ|অক্ষম|অযোগ্য|বোকা|কৃপণ|হিংস"")),""valence-target অমিল"",""""),IF(COUNTIF($B:$B,B6633)&gt;1,""ডুপ্লিকেট"",""""))"),"")</f>
        <v/>
      </c>
      <c r="Q6633" s="5" t="str">
        <f t="shared" si="1"/>
        <v>২ পরে</v>
      </c>
    </row>
    <row r="6634">
      <c r="A6634" s="4">
        <v>4566.0</v>
      </c>
      <c r="B6634" s="2" t="s">
        <v>27011</v>
      </c>
      <c r="C6634" s="2" t="s">
        <v>27012</v>
      </c>
      <c r="D6634" s="2" t="s">
        <v>27013</v>
      </c>
      <c r="E6634" s="2" t="s">
        <v>27014</v>
      </c>
      <c r="F6634" s="2" t="b">
        <v>1</v>
      </c>
      <c r="G6634" s="2" t="b">
        <v>0</v>
      </c>
      <c r="H6634" s="2" t="s">
        <v>37</v>
      </c>
      <c r="I6634" s="2" t="s">
        <v>49</v>
      </c>
      <c r="J6634" s="2" t="s">
        <v>3684</v>
      </c>
      <c r="K6634" s="2" t="s">
        <v>495</v>
      </c>
      <c r="L6634" s="13" t="s">
        <v>496</v>
      </c>
      <c r="M6634" s="2" t="s">
        <v>26</v>
      </c>
      <c r="N6634" s="29"/>
      <c r="O6634" s="29"/>
      <c r="P6634" s="5" t="str">
        <f>IFERROR(__xludf.DUMMYFUNCTION("TEXTJOIN("" | "",TRUE,IF(OR(D6634="""",E6634="""",I6634="""",J6634="""",H6634=""""),""ফাঁকা ঘর"",""""),IF(AND(C6634&lt;&gt;"""",D6634&lt;&gt;"""",C6634=D6634),""gloss=figurative"",""""),IF(LEN(D6634)&lt;15,""figurative ছোট"",""""),IF(AND(I6634=""Positive"",REGEXMATCH(H6"&amp;"634,""মূর্খ|ভণ্ড|প্রতার|অলস|লোভ|স্বার্থ|অক্ষম|অযোগ্য|বোকা|কৃপণ|হিংস"")),""valence-target অমিল"",""""),IF(COUNTIF($B:$B,B6634)&gt;1,""ডুপ্লিকেট"",""""))"),"")</f>
        <v/>
      </c>
      <c r="Q6634" s="5" t="str">
        <f t="shared" si="1"/>
        <v>২ পরে</v>
      </c>
    </row>
    <row r="6635">
      <c r="A6635" s="4">
        <v>4567.0</v>
      </c>
      <c r="B6635" s="2" t="s">
        <v>27015</v>
      </c>
      <c r="C6635" s="2" t="s">
        <v>27016</v>
      </c>
      <c r="D6635" s="2" t="s">
        <v>21410</v>
      </c>
      <c r="E6635" s="2" t="s">
        <v>27017</v>
      </c>
      <c r="F6635" s="2" t="b">
        <v>1</v>
      </c>
      <c r="G6635" s="2" t="b">
        <v>0</v>
      </c>
      <c r="H6635" s="2" t="s">
        <v>37</v>
      </c>
      <c r="I6635" s="2" t="s">
        <v>22</v>
      </c>
      <c r="J6635" s="2" t="s">
        <v>669</v>
      </c>
      <c r="K6635" s="2" t="s">
        <v>495</v>
      </c>
      <c r="L6635" s="13" t="s">
        <v>496</v>
      </c>
      <c r="M6635" s="2" t="s">
        <v>26</v>
      </c>
      <c r="N6635" s="29"/>
      <c r="O6635" s="29"/>
      <c r="P6635" s="5" t="str">
        <f>IFERROR(__xludf.DUMMYFUNCTION("TEXTJOIN("" | "",TRUE,IF(OR(D6635="""",E6635="""",I6635="""",J6635="""",H6635=""""),""ফাঁকা ঘর"",""""),IF(AND(C6635&lt;&gt;"""",D6635&lt;&gt;"""",C6635=D6635),""gloss=figurative"",""""),IF(LEN(D6635)&lt;15,""figurative ছোট"",""""),IF(AND(I6635=""Positive"",REGEXMATCH(H6"&amp;"635,""মূর্খ|ভণ্ড|প্রতার|অলস|লোভ|স্বার্থ|অক্ষম|অযোগ্য|বোকা|কৃপণ|হিংস"")),""valence-target অমিল"",""""),IF(COUNTIF($B:$B,B6635)&gt;1,""ডুপ্লিকেট"",""""))"),"")</f>
        <v/>
      </c>
      <c r="Q6635" s="5" t="str">
        <f t="shared" si="1"/>
        <v>২ পরে</v>
      </c>
    </row>
    <row r="6636">
      <c r="A6636" s="4">
        <v>4568.0</v>
      </c>
      <c r="B6636" s="2" t="s">
        <v>27018</v>
      </c>
      <c r="C6636" s="2" t="s">
        <v>27018</v>
      </c>
      <c r="D6636" s="2" t="s">
        <v>27019</v>
      </c>
      <c r="E6636" s="2" t="s">
        <v>27020</v>
      </c>
      <c r="F6636" s="2" t="b">
        <v>1</v>
      </c>
      <c r="G6636" s="2" t="b">
        <v>0</v>
      </c>
      <c r="H6636" s="2" t="s">
        <v>37</v>
      </c>
      <c r="I6636" s="2" t="s">
        <v>22</v>
      </c>
      <c r="J6636" s="2" t="s">
        <v>1027</v>
      </c>
      <c r="K6636" s="2" t="s">
        <v>495</v>
      </c>
      <c r="L6636" s="13" t="s">
        <v>496</v>
      </c>
      <c r="M6636" s="2" t="s">
        <v>26</v>
      </c>
      <c r="N6636" s="29"/>
      <c r="O6636" s="29"/>
      <c r="P6636" s="5" t="str">
        <f>IFERROR(__xludf.DUMMYFUNCTION("TEXTJOIN("" | "",TRUE,IF(OR(D6636="""",E6636="""",I6636="""",J6636="""",H6636=""""),""ফাঁকা ঘর"",""""),IF(AND(C6636&lt;&gt;"""",D6636&lt;&gt;"""",C6636=D6636),""gloss=figurative"",""""),IF(LEN(D6636)&lt;15,""figurative ছোট"",""""),IF(AND(I6636=""Positive"",REGEXMATCH(H6"&amp;"636,""মূর্খ|ভণ্ড|প্রতার|অলস|লোভ|স্বার্থ|অক্ষম|অযোগ্য|বোকা|কৃপণ|হিংস"")),""valence-target অমিল"",""""),IF(COUNTIF($B:$B,B6636)&gt;1,""ডুপ্লিকেট"",""""))"),"")</f>
        <v/>
      </c>
      <c r="Q6636" s="5" t="str">
        <f t="shared" si="1"/>
        <v>২ পরে</v>
      </c>
    </row>
    <row r="6637">
      <c r="A6637" s="4">
        <v>4569.0</v>
      </c>
      <c r="B6637" s="2" t="s">
        <v>10702</v>
      </c>
      <c r="C6637" s="2" t="s">
        <v>10702</v>
      </c>
      <c r="D6637" s="2" t="s">
        <v>27021</v>
      </c>
      <c r="E6637" s="2" t="s">
        <v>27022</v>
      </c>
      <c r="F6637" s="2" t="b">
        <v>1</v>
      </c>
      <c r="G6637" s="2" t="b">
        <v>0</v>
      </c>
      <c r="H6637" s="2" t="s">
        <v>37</v>
      </c>
      <c r="I6637" s="2" t="s">
        <v>22</v>
      </c>
      <c r="J6637" s="2" t="s">
        <v>27023</v>
      </c>
      <c r="K6637" s="2" t="s">
        <v>495</v>
      </c>
      <c r="L6637" s="13" t="s">
        <v>496</v>
      </c>
      <c r="M6637" s="2" t="s">
        <v>26</v>
      </c>
      <c r="N6637" s="29"/>
      <c r="O6637" s="29"/>
      <c r="P6637" s="5" t="str">
        <f>IFERROR(__xludf.DUMMYFUNCTION("TEXTJOIN("" | "",TRUE,IF(OR(D6637="""",E6637="""",I6637="""",J6637="""",H6637=""""),""ফাঁকা ঘর"",""""),IF(AND(C6637&lt;&gt;"""",D6637&lt;&gt;"""",C6637=D6637),""gloss=figurative"",""""),IF(LEN(D6637)&lt;15,""figurative ছোট"",""""),IF(AND(I6637=""Positive"",REGEXMATCH(H6"&amp;"637,""মূর্খ|ভণ্ড|প্রতার|অলস|লোভ|স্বার্থ|অক্ষম|অযোগ্য|বোকা|কৃপণ|হিংস"")),""valence-target অমিল"",""""),IF(COUNTIF($B:$B,B6637)&gt;1,""ডুপ্লিকেট"",""""))"),"")</f>
        <v/>
      </c>
      <c r="Q6637" s="5" t="str">
        <f t="shared" si="1"/>
        <v>২ পরে</v>
      </c>
    </row>
    <row r="6638">
      <c r="A6638" s="4">
        <v>4570.0</v>
      </c>
      <c r="B6638" s="2" t="s">
        <v>27024</v>
      </c>
      <c r="C6638" s="2" t="s">
        <v>27024</v>
      </c>
      <c r="D6638" s="2" t="s">
        <v>27025</v>
      </c>
      <c r="E6638" s="2" t="s">
        <v>27026</v>
      </c>
      <c r="F6638" s="2" t="b">
        <v>1</v>
      </c>
      <c r="G6638" s="2" t="b">
        <v>0</v>
      </c>
      <c r="H6638" s="2" t="s">
        <v>37</v>
      </c>
      <c r="I6638" s="2" t="s">
        <v>22</v>
      </c>
      <c r="J6638" s="2" t="s">
        <v>4039</v>
      </c>
      <c r="K6638" s="2" t="s">
        <v>495</v>
      </c>
      <c r="L6638" s="13" t="s">
        <v>496</v>
      </c>
      <c r="M6638" s="2" t="s">
        <v>26</v>
      </c>
      <c r="N6638" s="29"/>
      <c r="O6638" s="29"/>
      <c r="P6638" s="5" t="str">
        <f>IFERROR(__xludf.DUMMYFUNCTION("TEXTJOIN("" | "",TRUE,IF(OR(D6638="""",E6638="""",I6638="""",J6638="""",H6638=""""),""ফাঁকা ঘর"",""""),IF(AND(C6638&lt;&gt;"""",D6638&lt;&gt;"""",C6638=D6638),""gloss=figurative"",""""),IF(LEN(D6638)&lt;15,""figurative ছোট"",""""),IF(AND(I6638=""Positive"",REGEXMATCH(H6"&amp;"638,""মূর্খ|ভণ্ড|প্রতার|অলস|লোভ|স্বার্থ|অক্ষম|অযোগ্য|বোকা|কৃপণ|হিংস"")),""valence-target অমিল"",""""),IF(COUNTIF($B:$B,B6638)&gt;1,""ডুপ্লিকেট"",""""))"),"")</f>
        <v/>
      </c>
      <c r="Q6638" s="5" t="str">
        <f t="shared" si="1"/>
        <v>২ পরে</v>
      </c>
    </row>
    <row r="6639">
      <c r="A6639" s="4">
        <v>4571.0</v>
      </c>
      <c r="B6639" s="2" t="s">
        <v>27027</v>
      </c>
      <c r="C6639" s="2" t="s">
        <v>27028</v>
      </c>
      <c r="D6639" s="2" t="s">
        <v>27029</v>
      </c>
      <c r="E6639" s="2" t="s">
        <v>27030</v>
      </c>
      <c r="F6639" s="2" t="b">
        <v>1</v>
      </c>
      <c r="G6639" s="2" t="b">
        <v>0</v>
      </c>
      <c r="H6639" s="2" t="s">
        <v>37</v>
      </c>
      <c r="I6639" s="2" t="s">
        <v>32</v>
      </c>
      <c r="J6639" s="2" t="s">
        <v>1249</v>
      </c>
      <c r="K6639" s="2" t="s">
        <v>495</v>
      </c>
      <c r="L6639" s="13" t="s">
        <v>496</v>
      </c>
      <c r="M6639" s="2" t="s">
        <v>26</v>
      </c>
      <c r="N6639" s="29"/>
      <c r="O6639" s="29"/>
      <c r="P6639" s="5" t="str">
        <f>IFERROR(__xludf.DUMMYFUNCTION("TEXTJOIN("" | "",TRUE,IF(OR(D6639="""",E6639="""",I6639="""",J6639="""",H6639=""""),""ফাঁকা ঘর"",""""),IF(AND(C6639&lt;&gt;"""",D6639&lt;&gt;"""",C6639=D6639),""gloss=figurative"",""""),IF(LEN(D6639)&lt;15,""figurative ছোট"",""""),IF(AND(I6639=""Positive"",REGEXMATCH(H6"&amp;"639,""মূর্খ|ভণ্ড|প্রতার|অলস|লোভ|স্বার্থ|অক্ষম|অযোগ্য|বোকা|কৃপণ|হিংস"")),""valence-target অমিল"",""""),IF(COUNTIF($B:$B,B6639)&gt;1,""ডুপ্লিকেট"",""""))"),"")</f>
        <v/>
      </c>
      <c r="Q6639" s="5" t="str">
        <f t="shared" si="1"/>
        <v>২ পরে</v>
      </c>
    </row>
    <row r="6640">
      <c r="A6640" s="4">
        <v>4572.0</v>
      </c>
      <c r="B6640" s="2" t="s">
        <v>27031</v>
      </c>
      <c r="C6640" s="2" t="s">
        <v>27032</v>
      </c>
      <c r="D6640" s="2" t="s">
        <v>27033</v>
      </c>
      <c r="E6640" s="2" t="s">
        <v>27034</v>
      </c>
      <c r="F6640" s="2" t="b">
        <v>1</v>
      </c>
      <c r="G6640" s="2" t="b">
        <v>0</v>
      </c>
      <c r="H6640" s="2" t="s">
        <v>37</v>
      </c>
      <c r="I6640" s="2" t="s">
        <v>22</v>
      </c>
      <c r="J6640" s="2" t="s">
        <v>723</v>
      </c>
      <c r="K6640" s="2" t="s">
        <v>495</v>
      </c>
      <c r="L6640" s="13" t="s">
        <v>496</v>
      </c>
      <c r="M6640" s="2" t="s">
        <v>26</v>
      </c>
      <c r="N6640" s="29"/>
      <c r="O6640" s="29"/>
      <c r="P6640" s="5" t="str">
        <f>IFERROR(__xludf.DUMMYFUNCTION("TEXTJOIN("" | "",TRUE,IF(OR(D6640="""",E6640="""",I6640="""",J6640="""",H6640=""""),""ফাঁকা ঘর"",""""),IF(AND(C6640&lt;&gt;"""",D6640&lt;&gt;"""",C6640=D6640),""gloss=figurative"",""""),IF(LEN(D6640)&lt;15,""figurative ছোট"",""""),IF(AND(I6640=""Positive"",REGEXMATCH(H6"&amp;"640,""মূর্খ|ভণ্ড|প্রতার|অলস|লোভ|স্বার্থ|অক্ষম|অযোগ্য|বোকা|কৃপণ|হিংস"")),""valence-target অমিল"",""""),IF(COUNTIF($B:$B,B6640)&gt;1,""ডুপ্লিকেট"",""""))"),"")</f>
        <v/>
      </c>
      <c r="Q6640" s="5" t="str">
        <f t="shared" si="1"/>
        <v>২ পরে</v>
      </c>
    </row>
    <row r="6641">
      <c r="A6641" s="4">
        <v>4573.0</v>
      </c>
      <c r="B6641" s="2" t="s">
        <v>27035</v>
      </c>
      <c r="C6641" s="2" t="s">
        <v>27036</v>
      </c>
      <c r="D6641" s="2" t="s">
        <v>27037</v>
      </c>
      <c r="E6641" s="2" t="s">
        <v>27038</v>
      </c>
      <c r="F6641" s="2" t="b">
        <v>1</v>
      </c>
      <c r="G6641" s="2" t="b">
        <v>0</v>
      </c>
      <c r="H6641" s="2" t="s">
        <v>37</v>
      </c>
      <c r="I6641" s="2" t="s">
        <v>22</v>
      </c>
      <c r="J6641" s="2" t="s">
        <v>1630</v>
      </c>
      <c r="K6641" s="2" t="s">
        <v>495</v>
      </c>
      <c r="L6641" s="13" t="s">
        <v>496</v>
      </c>
      <c r="M6641" s="2" t="s">
        <v>26</v>
      </c>
      <c r="N6641" s="29"/>
      <c r="O6641" s="29"/>
      <c r="P6641" s="5" t="str">
        <f>IFERROR(__xludf.DUMMYFUNCTION("TEXTJOIN("" | "",TRUE,IF(OR(D6641="""",E6641="""",I6641="""",J6641="""",H6641=""""),""ফাঁকা ঘর"",""""),IF(AND(C6641&lt;&gt;"""",D6641&lt;&gt;"""",C6641=D6641),""gloss=figurative"",""""),IF(LEN(D6641)&lt;15,""figurative ছোট"",""""),IF(AND(I6641=""Positive"",REGEXMATCH(H6"&amp;"641,""মূর্খ|ভণ্ড|প্রতার|অলস|লোভ|স্বার্থ|অক্ষম|অযোগ্য|বোকা|কৃপণ|হিংস"")),""valence-target অমিল"",""""),IF(COUNTIF($B:$B,B6641)&gt;1,""ডুপ্লিকেট"",""""))"),"")</f>
        <v/>
      </c>
      <c r="Q6641" s="5" t="str">
        <f t="shared" si="1"/>
        <v>২ পরে</v>
      </c>
    </row>
    <row r="6642">
      <c r="A6642" s="4">
        <v>4574.0</v>
      </c>
      <c r="B6642" s="2" t="s">
        <v>27039</v>
      </c>
      <c r="C6642" s="2" t="s">
        <v>27040</v>
      </c>
      <c r="D6642" s="2" t="s">
        <v>27041</v>
      </c>
      <c r="E6642" s="2" t="s">
        <v>27042</v>
      </c>
      <c r="F6642" s="2" t="b">
        <v>1</v>
      </c>
      <c r="G6642" s="2" t="b">
        <v>0</v>
      </c>
      <c r="H6642" s="2" t="s">
        <v>37</v>
      </c>
      <c r="I6642" s="2" t="s">
        <v>32</v>
      </c>
      <c r="J6642" s="2" t="s">
        <v>27043</v>
      </c>
      <c r="K6642" s="2" t="s">
        <v>495</v>
      </c>
      <c r="L6642" s="13" t="s">
        <v>496</v>
      </c>
      <c r="M6642" s="2" t="s">
        <v>26</v>
      </c>
      <c r="N6642" s="29"/>
      <c r="O6642" s="29"/>
      <c r="P6642" s="5" t="str">
        <f>IFERROR(__xludf.DUMMYFUNCTION("TEXTJOIN("" | "",TRUE,IF(OR(D6642="""",E6642="""",I6642="""",J6642="""",H6642=""""),""ফাঁকা ঘর"",""""),IF(AND(C6642&lt;&gt;"""",D6642&lt;&gt;"""",C6642=D6642),""gloss=figurative"",""""),IF(LEN(D6642)&lt;15,""figurative ছোট"",""""),IF(AND(I6642=""Positive"",REGEXMATCH(H6"&amp;"642,""মূর্খ|ভণ্ড|প্রতার|অলস|লোভ|স্বার্থ|অক্ষম|অযোগ্য|বোকা|কৃপণ|হিংস"")),""valence-target অমিল"",""""),IF(COUNTIF($B:$B,B6642)&gt;1,""ডুপ্লিকেট"",""""))"),"")</f>
        <v/>
      </c>
      <c r="Q6642" s="5" t="str">
        <f t="shared" si="1"/>
        <v>২ পরে</v>
      </c>
    </row>
    <row r="6643">
      <c r="A6643" s="4">
        <v>4575.0</v>
      </c>
      <c r="B6643" s="2" t="s">
        <v>27044</v>
      </c>
      <c r="C6643" s="2" t="s">
        <v>27045</v>
      </c>
      <c r="D6643" s="2" t="s">
        <v>27046</v>
      </c>
      <c r="E6643" s="2" t="s">
        <v>27047</v>
      </c>
      <c r="F6643" s="2" t="b">
        <v>1</v>
      </c>
      <c r="G6643" s="2" t="b">
        <v>0</v>
      </c>
      <c r="H6643" s="2" t="s">
        <v>37</v>
      </c>
      <c r="I6643" s="2" t="s">
        <v>22</v>
      </c>
      <c r="J6643" s="2" t="s">
        <v>3710</v>
      </c>
      <c r="K6643" s="2" t="s">
        <v>495</v>
      </c>
      <c r="L6643" s="13" t="s">
        <v>496</v>
      </c>
      <c r="M6643" s="2" t="s">
        <v>26</v>
      </c>
      <c r="N6643" s="29"/>
      <c r="O6643" s="29"/>
      <c r="P6643" s="5" t="str">
        <f>IFERROR(__xludf.DUMMYFUNCTION("TEXTJOIN("" | "",TRUE,IF(OR(D6643="""",E6643="""",I6643="""",J6643="""",H6643=""""),""ফাঁকা ঘর"",""""),IF(AND(C6643&lt;&gt;"""",D6643&lt;&gt;"""",C6643=D6643),""gloss=figurative"",""""),IF(LEN(D6643)&lt;15,""figurative ছোট"",""""),IF(AND(I6643=""Positive"",REGEXMATCH(H6"&amp;"643,""মূর্খ|ভণ্ড|প্রতার|অলস|লোভ|স্বার্থ|অক্ষম|অযোগ্য|বোকা|কৃপণ|হিংস"")),""valence-target অমিল"",""""),IF(COUNTIF($B:$B,B6643)&gt;1,""ডুপ্লিকেট"",""""))"),"")</f>
        <v/>
      </c>
      <c r="Q6643" s="5" t="str">
        <f t="shared" si="1"/>
        <v>২ পরে</v>
      </c>
    </row>
    <row r="6644">
      <c r="A6644" s="4">
        <v>4576.0</v>
      </c>
      <c r="B6644" s="2" t="s">
        <v>27048</v>
      </c>
      <c r="C6644" s="2" t="s">
        <v>27048</v>
      </c>
      <c r="D6644" s="2" t="s">
        <v>27049</v>
      </c>
      <c r="E6644" s="2" t="s">
        <v>27050</v>
      </c>
      <c r="F6644" s="2" t="b">
        <v>1</v>
      </c>
      <c r="G6644" s="2" t="b">
        <v>0</v>
      </c>
      <c r="H6644" s="2" t="s">
        <v>37</v>
      </c>
      <c r="I6644" s="2" t="s">
        <v>22</v>
      </c>
      <c r="J6644" s="2" t="s">
        <v>1775</v>
      </c>
      <c r="K6644" s="2" t="s">
        <v>495</v>
      </c>
      <c r="L6644" s="13" t="s">
        <v>496</v>
      </c>
      <c r="M6644" s="2" t="s">
        <v>26</v>
      </c>
      <c r="N6644" s="29"/>
      <c r="O6644" s="29"/>
      <c r="P6644" s="5" t="str">
        <f>IFERROR(__xludf.DUMMYFUNCTION("TEXTJOIN("" | "",TRUE,IF(OR(D6644="""",E6644="""",I6644="""",J6644="""",H6644=""""),""ফাঁকা ঘর"",""""),IF(AND(C6644&lt;&gt;"""",D6644&lt;&gt;"""",C6644=D6644),""gloss=figurative"",""""),IF(LEN(D6644)&lt;15,""figurative ছোট"",""""),IF(AND(I6644=""Positive"",REGEXMATCH(H6"&amp;"644,""মূর্খ|ভণ্ড|প্রতার|অলস|লোভ|স্বার্থ|অক্ষম|অযোগ্য|বোকা|কৃপণ|হিংস"")),""valence-target অমিল"",""""),IF(COUNTIF($B:$B,B6644)&gt;1,""ডুপ্লিকেট"",""""))"),"")</f>
        <v/>
      </c>
      <c r="Q6644" s="5" t="str">
        <f t="shared" si="1"/>
        <v>২ পরে</v>
      </c>
    </row>
    <row r="6645">
      <c r="A6645" s="4">
        <v>4577.0</v>
      </c>
      <c r="B6645" s="2" t="s">
        <v>27051</v>
      </c>
      <c r="C6645" s="2" t="s">
        <v>27052</v>
      </c>
      <c r="D6645" s="2" t="s">
        <v>27053</v>
      </c>
      <c r="E6645" s="2" t="s">
        <v>27054</v>
      </c>
      <c r="F6645" s="2" t="b">
        <v>1</v>
      </c>
      <c r="G6645" s="2" t="b">
        <v>0</v>
      </c>
      <c r="H6645" s="2" t="s">
        <v>37</v>
      </c>
      <c r="I6645" s="2" t="s">
        <v>22</v>
      </c>
      <c r="J6645" s="2" t="s">
        <v>2667</v>
      </c>
      <c r="K6645" s="2" t="s">
        <v>495</v>
      </c>
      <c r="L6645" s="13" t="s">
        <v>496</v>
      </c>
      <c r="M6645" s="2" t="s">
        <v>26</v>
      </c>
      <c r="N6645" s="29"/>
      <c r="O6645" s="29"/>
      <c r="P6645" s="5" t="str">
        <f>IFERROR(__xludf.DUMMYFUNCTION("TEXTJOIN("" | "",TRUE,IF(OR(D6645="""",E6645="""",I6645="""",J6645="""",H6645=""""),""ফাঁকা ঘর"",""""),IF(AND(C6645&lt;&gt;"""",D6645&lt;&gt;"""",C6645=D6645),""gloss=figurative"",""""),IF(LEN(D6645)&lt;15,""figurative ছোট"",""""),IF(AND(I6645=""Positive"",REGEXMATCH(H6"&amp;"645,""মূর্খ|ভণ্ড|প্রতার|অলস|লোভ|স্বার্থ|অক্ষম|অযোগ্য|বোকা|কৃপণ|হিংস"")),""valence-target অমিল"",""""),IF(COUNTIF($B:$B,B6645)&gt;1,""ডুপ্লিকেট"",""""))"),"")</f>
        <v/>
      </c>
      <c r="Q6645" s="5" t="str">
        <f t="shared" si="1"/>
        <v>২ পরে</v>
      </c>
    </row>
    <row r="6646">
      <c r="A6646" s="4">
        <v>4578.0</v>
      </c>
      <c r="B6646" s="2" t="s">
        <v>27055</v>
      </c>
      <c r="C6646" s="2" t="s">
        <v>27056</v>
      </c>
      <c r="D6646" s="2" t="s">
        <v>27057</v>
      </c>
      <c r="E6646" s="2" t="s">
        <v>27058</v>
      </c>
      <c r="F6646" s="2" t="b">
        <v>1</v>
      </c>
      <c r="G6646" s="2" t="b">
        <v>0</v>
      </c>
      <c r="H6646" s="2" t="s">
        <v>37</v>
      </c>
      <c r="I6646" s="2" t="s">
        <v>32</v>
      </c>
      <c r="J6646" s="2" t="s">
        <v>1443</v>
      </c>
      <c r="K6646" s="2" t="s">
        <v>495</v>
      </c>
      <c r="L6646" s="13" t="s">
        <v>496</v>
      </c>
      <c r="M6646" s="2" t="s">
        <v>26</v>
      </c>
      <c r="N6646" s="29"/>
      <c r="O6646" s="29"/>
      <c r="P6646" s="5" t="str">
        <f>IFERROR(__xludf.DUMMYFUNCTION("TEXTJOIN("" | "",TRUE,IF(OR(D6646="""",E6646="""",I6646="""",J6646="""",H6646=""""),""ফাঁকা ঘর"",""""),IF(AND(C6646&lt;&gt;"""",D6646&lt;&gt;"""",C6646=D6646),""gloss=figurative"",""""),IF(LEN(D6646)&lt;15,""figurative ছোট"",""""),IF(AND(I6646=""Positive"",REGEXMATCH(H6"&amp;"646,""মূর্খ|ভণ্ড|প্রতার|অলস|লোভ|স্বার্থ|অক্ষম|অযোগ্য|বোকা|কৃপণ|হিংস"")),""valence-target অমিল"",""""),IF(COUNTIF($B:$B,B6646)&gt;1,""ডুপ্লিকেট"",""""))"),"")</f>
        <v/>
      </c>
      <c r="Q6646" s="5" t="str">
        <f t="shared" si="1"/>
        <v>২ পরে</v>
      </c>
    </row>
    <row r="6647">
      <c r="A6647" s="4">
        <v>4579.0</v>
      </c>
      <c r="B6647" s="2" t="s">
        <v>27059</v>
      </c>
      <c r="C6647" s="2" t="s">
        <v>27060</v>
      </c>
      <c r="D6647" s="2" t="s">
        <v>27061</v>
      </c>
      <c r="E6647" s="2" t="s">
        <v>27062</v>
      </c>
      <c r="F6647" s="2" t="b">
        <v>1</v>
      </c>
      <c r="G6647" s="2" t="b">
        <v>0</v>
      </c>
      <c r="H6647" s="2" t="s">
        <v>3407</v>
      </c>
      <c r="I6647" s="2" t="s">
        <v>22</v>
      </c>
      <c r="J6647" s="2" t="s">
        <v>565</v>
      </c>
      <c r="K6647" s="2" t="s">
        <v>495</v>
      </c>
      <c r="L6647" s="13" t="s">
        <v>496</v>
      </c>
      <c r="M6647" s="2" t="s">
        <v>26</v>
      </c>
      <c r="N6647" s="29"/>
      <c r="O6647" s="29"/>
      <c r="P6647" s="5" t="str">
        <f>IFERROR(__xludf.DUMMYFUNCTION("TEXTJOIN("" | "",TRUE,IF(OR(D6647="""",E6647="""",I6647="""",J6647="""",H6647=""""),""ফাঁকা ঘর"",""""),IF(AND(C6647&lt;&gt;"""",D6647&lt;&gt;"""",C6647=D6647),""gloss=figurative"",""""),IF(LEN(D6647)&lt;15,""figurative ছোট"",""""),IF(AND(I6647=""Positive"",REGEXMATCH(H6"&amp;"647,""মূর্খ|ভণ্ড|প্রতার|অলস|লোভ|স্বার্থ|অক্ষম|অযোগ্য|বোকা|কৃপণ|হিংস"")),""valence-target অমিল"",""""),IF(COUNTIF($B:$B,B6647)&gt;1,""ডুপ্লিকেট"",""""))"),"")</f>
        <v/>
      </c>
      <c r="Q6647" s="5" t="str">
        <f t="shared" si="1"/>
        <v>২ পরে</v>
      </c>
    </row>
    <row r="6648">
      <c r="A6648" s="4">
        <v>4581.0</v>
      </c>
      <c r="B6648" s="2" t="s">
        <v>27063</v>
      </c>
      <c r="C6648" s="2" t="s">
        <v>27064</v>
      </c>
      <c r="D6648" s="2" t="s">
        <v>27065</v>
      </c>
      <c r="E6648" s="2" t="s">
        <v>27066</v>
      </c>
      <c r="F6648" s="2" t="b">
        <v>1</v>
      </c>
      <c r="G6648" s="2" t="b">
        <v>1</v>
      </c>
      <c r="H6648" s="2" t="s">
        <v>995</v>
      </c>
      <c r="I6648" s="2" t="s">
        <v>32</v>
      </c>
      <c r="J6648" s="2" t="s">
        <v>1194</v>
      </c>
      <c r="K6648" s="2" t="s">
        <v>495</v>
      </c>
      <c r="L6648" s="13" t="s">
        <v>496</v>
      </c>
      <c r="M6648" s="2" t="s">
        <v>26</v>
      </c>
      <c r="N6648" s="29"/>
      <c r="O6648" s="29"/>
      <c r="P6648" s="5" t="str">
        <f>IFERROR(__xludf.DUMMYFUNCTION("TEXTJOIN("" | "",TRUE,IF(OR(D6648="""",E6648="""",I6648="""",J6648="""",H6648=""""),""ফাঁকা ঘর"",""""),IF(AND(C6648&lt;&gt;"""",D6648&lt;&gt;"""",C6648=D6648),""gloss=figurative"",""""),IF(LEN(D6648)&lt;15,""figurative ছোট"",""""),IF(AND(I6648=""Positive"",REGEXMATCH(H6"&amp;"648,""মূর্খ|ভণ্ড|প্রতার|অলস|লোভ|স্বার্থ|অক্ষম|অযোগ্য|বোকা|কৃপণ|হিংস"")),""valence-target অমিল"",""""),IF(COUNTIF($B:$B,B6648)&gt;1,""ডুপ্লিকেট"",""""))"),"")</f>
        <v/>
      </c>
      <c r="Q6648" s="5" t="str">
        <f t="shared" si="1"/>
        <v>২ পরে</v>
      </c>
    </row>
    <row r="6649">
      <c r="A6649" s="4">
        <v>4582.0</v>
      </c>
      <c r="B6649" s="2" t="s">
        <v>27067</v>
      </c>
      <c r="C6649" s="2" t="s">
        <v>27068</v>
      </c>
      <c r="D6649" s="2" t="s">
        <v>27069</v>
      </c>
      <c r="E6649" s="2" t="s">
        <v>27070</v>
      </c>
      <c r="F6649" s="2" t="b">
        <v>1</v>
      </c>
      <c r="G6649" s="2" t="b">
        <v>0</v>
      </c>
      <c r="H6649" s="2" t="s">
        <v>37</v>
      </c>
      <c r="I6649" s="2" t="s">
        <v>49</v>
      </c>
      <c r="J6649" s="2" t="s">
        <v>1111</v>
      </c>
      <c r="K6649" s="2" t="s">
        <v>495</v>
      </c>
      <c r="L6649" s="13" t="s">
        <v>496</v>
      </c>
      <c r="M6649" s="2" t="s">
        <v>26</v>
      </c>
      <c r="N6649" s="29"/>
      <c r="O6649" s="29"/>
      <c r="P6649" s="5" t="str">
        <f>IFERROR(__xludf.DUMMYFUNCTION("TEXTJOIN("" | "",TRUE,IF(OR(D6649="""",E6649="""",I6649="""",J6649="""",H6649=""""),""ফাঁকা ঘর"",""""),IF(AND(C6649&lt;&gt;"""",D6649&lt;&gt;"""",C6649=D6649),""gloss=figurative"",""""),IF(LEN(D6649)&lt;15,""figurative ছোট"",""""),IF(AND(I6649=""Positive"",REGEXMATCH(H6"&amp;"649,""মূর্খ|ভণ্ড|প্রতার|অলস|লোভ|স্বার্থ|অক্ষম|অযোগ্য|বোকা|কৃপণ|হিংস"")),""valence-target অমিল"",""""),IF(COUNTIF($B:$B,B6649)&gt;1,""ডুপ্লিকেট"",""""))"),"")</f>
        <v/>
      </c>
      <c r="Q6649" s="5" t="str">
        <f t="shared" si="1"/>
        <v>২ পরে</v>
      </c>
    </row>
    <row r="6650">
      <c r="A6650" s="4">
        <v>4583.0</v>
      </c>
      <c r="B6650" s="2" t="s">
        <v>27071</v>
      </c>
      <c r="C6650" s="2" t="s">
        <v>27072</v>
      </c>
      <c r="D6650" s="2" t="s">
        <v>27073</v>
      </c>
      <c r="E6650" s="2" t="s">
        <v>25680</v>
      </c>
      <c r="F6650" s="2" t="b">
        <v>1</v>
      </c>
      <c r="G6650" s="2" t="b">
        <v>0</v>
      </c>
      <c r="H6650" s="2" t="s">
        <v>37</v>
      </c>
      <c r="I6650" s="2" t="s">
        <v>49</v>
      </c>
      <c r="J6650" s="2" t="s">
        <v>357</v>
      </c>
      <c r="K6650" s="2" t="s">
        <v>495</v>
      </c>
      <c r="L6650" s="13" t="s">
        <v>496</v>
      </c>
      <c r="M6650" s="2" t="s">
        <v>26</v>
      </c>
      <c r="N6650" s="29"/>
      <c r="O6650" s="29"/>
      <c r="P6650" s="5" t="str">
        <f>IFERROR(__xludf.DUMMYFUNCTION("TEXTJOIN("" | "",TRUE,IF(OR(D6650="""",E6650="""",I6650="""",J6650="""",H6650=""""),""ফাঁকা ঘর"",""""),IF(AND(C6650&lt;&gt;"""",D6650&lt;&gt;"""",C6650=D6650),""gloss=figurative"",""""),IF(LEN(D6650)&lt;15,""figurative ছোট"",""""),IF(AND(I6650=""Positive"",REGEXMATCH(H6"&amp;"650,""মূর্খ|ভণ্ড|প্রতার|অলস|লোভ|স্বার্থ|অক্ষম|অযোগ্য|বোকা|কৃপণ|হিংস"")),""valence-target অমিল"",""""),IF(COUNTIF($B:$B,B6650)&gt;1,""ডুপ্লিকেট"",""""))"),"")</f>
        <v/>
      </c>
      <c r="Q6650" s="5" t="str">
        <f t="shared" si="1"/>
        <v>২ পরে</v>
      </c>
    </row>
    <row r="6651">
      <c r="A6651" s="4">
        <v>4584.0</v>
      </c>
      <c r="B6651" s="2" t="s">
        <v>27074</v>
      </c>
      <c r="C6651" s="2" t="s">
        <v>27075</v>
      </c>
      <c r="D6651" s="2" t="s">
        <v>27076</v>
      </c>
      <c r="E6651" s="2" t="s">
        <v>27077</v>
      </c>
      <c r="F6651" s="2" t="b">
        <v>1</v>
      </c>
      <c r="G6651" s="2" t="b">
        <v>0</v>
      </c>
      <c r="H6651" s="2" t="s">
        <v>37</v>
      </c>
      <c r="I6651" s="2" t="s">
        <v>49</v>
      </c>
      <c r="J6651" s="2" t="s">
        <v>565</v>
      </c>
      <c r="K6651" s="2" t="s">
        <v>495</v>
      </c>
      <c r="L6651" s="13" t="s">
        <v>496</v>
      </c>
      <c r="M6651" s="2" t="s">
        <v>26</v>
      </c>
      <c r="N6651" s="29"/>
      <c r="O6651" s="29"/>
      <c r="P6651" s="5" t="str">
        <f>IFERROR(__xludf.DUMMYFUNCTION("TEXTJOIN("" | "",TRUE,IF(OR(D6651="""",E6651="""",I6651="""",J6651="""",H6651=""""),""ফাঁকা ঘর"",""""),IF(AND(C6651&lt;&gt;"""",D6651&lt;&gt;"""",C6651=D6651),""gloss=figurative"",""""),IF(LEN(D6651)&lt;15,""figurative ছোট"",""""),IF(AND(I6651=""Positive"",REGEXMATCH(H6"&amp;"651,""মূর্খ|ভণ্ড|প্রতার|অলস|লোভ|স্বার্থ|অক্ষম|অযোগ্য|বোকা|কৃপণ|হিংস"")),""valence-target অমিল"",""""),IF(COUNTIF($B:$B,B6651)&gt;1,""ডুপ্লিকেট"",""""))"),"")</f>
        <v/>
      </c>
      <c r="Q6651" s="5" t="str">
        <f t="shared" si="1"/>
        <v>২ পরে</v>
      </c>
    </row>
    <row r="6652">
      <c r="A6652" s="4">
        <v>4585.0</v>
      </c>
      <c r="B6652" s="2" t="s">
        <v>27078</v>
      </c>
      <c r="C6652" s="2" t="s">
        <v>27079</v>
      </c>
      <c r="D6652" s="2" t="s">
        <v>27080</v>
      </c>
      <c r="E6652" s="2" t="s">
        <v>27081</v>
      </c>
      <c r="F6652" s="2" t="b">
        <v>1</v>
      </c>
      <c r="G6652" s="2" t="b">
        <v>0</v>
      </c>
      <c r="H6652" s="2" t="s">
        <v>3407</v>
      </c>
      <c r="I6652" s="2" t="s">
        <v>22</v>
      </c>
      <c r="J6652" s="2" t="s">
        <v>447</v>
      </c>
      <c r="K6652" s="2" t="s">
        <v>495</v>
      </c>
      <c r="L6652" s="13" t="s">
        <v>496</v>
      </c>
      <c r="M6652" s="2" t="s">
        <v>26</v>
      </c>
      <c r="N6652" s="29"/>
      <c r="O6652" s="29"/>
      <c r="P6652" s="5" t="str">
        <f>IFERROR(__xludf.DUMMYFUNCTION("TEXTJOIN("" | "",TRUE,IF(OR(D6652="""",E6652="""",I6652="""",J6652="""",H6652=""""),""ফাঁকা ঘর"",""""),IF(AND(C6652&lt;&gt;"""",D6652&lt;&gt;"""",C6652=D6652),""gloss=figurative"",""""),IF(LEN(D6652)&lt;15,""figurative ছোট"",""""),IF(AND(I6652=""Positive"",REGEXMATCH(H6"&amp;"652,""মূর্খ|ভণ্ড|প্রতার|অলস|লোভ|স্বার্থ|অক্ষম|অযোগ্য|বোকা|কৃপণ|হিংস"")),""valence-target অমিল"",""""),IF(COUNTIF($B:$B,B6652)&gt;1,""ডুপ্লিকেট"",""""))"),"")</f>
        <v/>
      </c>
      <c r="Q6652" s="5" t="str">
        <f t="shared" si="1"/>
        <v>২ পরে</v>
      </c>
    </row>
    <row r="6653">
      <c r="A6653" s="4">
        <v>4586.0</v>
      </c>
      <c r="B6653" s="2" t="s">
        <v>27082</v>
      </c>
      <c r="C6653" s="2" t="s">
        <v>27083</v>
      </c>
      <c r="D6653" s="2" t="s">
        <v>20416</v>
      </c>
      <c r="E6653" s="2" t="s">
        <v>27084</v>
      </c>
      <c r="F6653" s="2" t="b">
        <v>1</v>
      </c>
      <c r="G6653" s="2" t="b">
        <v>0</v>
      </c>
      <c r="H6653" s="2" t="s">
        <v>37</v>
      </c>
      <c r="I6653" s="2" t="s">
        <v>32</v>
      </c>
      <c r="J6653" s="2" t="s">
        <v>739</v>
      </c>
      <c r="K6653" s="2" t="s">
        <v>495</v>
      </c>
      <c r="L6653" s="13" t="s">
        <v>496</v>
      </c>
      <c r="M6653" s="2" t="s">
        <v>26</v>
      </c>
      <c r="N6653" s="29"/>
      <c r="O6653" s="29"/>
      <c r="P6653" s="5" t="str">
        <f>IFERROR(__xludf.DUMMYFUNCTION("TEXTJOIN("" | "",TRUE,IF(OR(D6653="""",E6653="""",I6653="""",J6653="""",H6653=""""),""ফাঁকা ঘর"",""""),IF(AND(C6653&lt;&gt;"""",D6653&lt;&gt;"""",C6653=D6653),""gloss=figurative"",""""),IF(LEN(D6653)&lt;15,""figurative ছোট"",""""),IF(AND(I6653=""Positive"",REGEXMATCH(H6"&amp;"653,""মূর্খ|ভণ্ড|প্রতার|অলস|লোভ|স্বার্থ|অক্ষম|অযোগ্য|বোকা|কৃপণ|হিংস"")),""valence-target অমিল"",""""),IF(COUNTIF($B:$B,B6653)&gt;1,""ডুপ্লিকেট"",""""))"),"")</f>
        <v/>
      </c>
      <c r="Q6653" s="5" t="str">
        <f t="shared" si="1"/>
        <v>২ পরে</v>
      </c>
    </row>
    <row r="6654">
      <c r="A6654" s="4">
        <v>4587.0</v>
      </c>
      <c r="B6654" s="2" t="s">
        <v>27085</v>
      </c>
      <c r="C6654" s="2" t="s">
        <v>27086</v>
      </c>
      <c r="D6654" s="2" t="s">
        <v>27087</v>
      </c>
      <c r="E6654" s="2" t="s">
        <v>27088</v>
      </c>
      <c r="F6654" s="2" t="b">
        <v>1</v>
      </c>
      <c r="G6654" s="2" t="b">
        <v>0</v>
      </c>
      <c r="H6654" s="2" t="s">
        <v>37</v>
      </c>
      <c r="I6654" s="2" t="s">
        <v>32</v>
      </c>
      <c r="J6654" s="2" t="s">
        <v>10509</v>
      </c>
      <c r="K6654" s="2" t="s">
        <v>495</v>
      </c>
      <c r="L6654" s="13" t="s">
        <v>496</v>
      </c>
      <c r="M6654" s="2" t="s">
        <v>26</v>
      </c>
      <c r="N6654" s="29"/>
      <c r="O6654" s="29"/>
      <c r="P6654" s="5" t="str">
        <f>IFERROR(__xludf.DUMMYFUNCTION("TEXTJOIN("" | "",TRUE,IF(OR(D6654="""",E6654="""",I6654="""",J6654="""",H6654=""""),""ফাঁকা ঘর"",""""),IF(AND(C6654&lt;&gt;"""",D6654&lt;&gt;"""",C6654=D6654),""gloss=figurative"",""""),IF(LEN(D6654)&lt;15,""figurative ছোট"",""""),IF(AND(I6654=""Positive"",REGEXMATCH(H6"&amp;"654,""মূর্খ|ভণ্ড|প্রতার|অলস|লোভ|স্বার্থ|অক্ষম|অযোগ্য|বোকা|কৃপণ|হিংস"")),""valence-target অমিল"",""""),IF(COUNTIF($B:$B,B6654)&gt;1,""ডুপ্লিকেট"",""""))"),"")</f>
        <v/>
      </c>
      <c r="Q6654" s="5" t="str">
        <f t="shared" si="1"/>
        <v>২ পরে</v>
      </c>
    </row>
    <row r="6655">
      <c r="A6655" s="4">
        <v>4588.0</v>
      </c>
      <c r="B6655" s="2" t="s">
        <v>27089</v>
      </c>
      <c r="C6655" s="2" t="s">
        <v>27090</v>
      </c>
      <c r="D6655" s="2" t="s">
        <v>27091</v>
      </c>
      <c r="E6655" s="2" t="s">
        <v>27092</v>
      </c>
      <c r="F6655" s="2" t="b">
        <v>1</v>
      </c>
      <c r="G6655" s="2" t="b">
        <v>0</v>
      </c>
      <c r="H6655" s="2" t="s">
        <v>37</v>
      </c>
      <c r="I6655" s="2" t="s">
        <v>22</v>
      </c>
      <c r="J6655" s="2" t="s">
        <v>2075</v>
      </c>
      <c r="K6655" s="2" t="s">
        <v>495</v>
      </c>
      <c r="L6655" s="13" t="s">
        <v>496</v>
      </c>
      <c r="M6655" s="2" t="s">
        <v>26</v>
      </c>
      <c r="N6655" s="29"/>
      <c r="O6655" s="29"/>
      <c r="P6655" s="5" t="str">
        <f>IFERROR(__xludf.DUMMYFUNCTION("TEXTJOIN("" | "",TRUE,IF(OR(D6655="""",E6655="""",I6655="""",J6655="""",H6655=""""),""ফাঁকা ঘর"",""""),IF(AND(C6655&lt;&gt;"""",D6655&lt;&gt;"""",C6655=D6655),""gloss=figurative"",""""),IF(LEN(D6655)&lt;15,""figurative ছোট"",""""),IF(AND(I6655=""Positive"",REGEXMATCH(H6"&amp;"655,""মূর্খ|ভণ্ড|প্রতার|অলস|লোভ|স্বার্থ|অক্ষম|অযোগ্য|বোকা|কৃপণ|হিংস"")),""valence-target অমিল"",""""),IF(COUNTIF($B:$B,B6655)&gt;1,""ডুপ্লিকেট"",""""))"),"")</f>
        <v/>
      </c>
      <c r="Q6655" s="5" t="str">
        <f t="shared" si="1"/>
        <v>২ পরে</v>
      </c>
    </row>
    <row r="6656">
      <c r="A6656" s="4">
        <v>4589.0</v>
      </c>
      <c r="B6656" s="2" t="s">
        <v>27093</v>
      </c>
      <c r="C6656" s="2" t="s">
        <v>27094</v>
      </c>
      <c r="D6656" s="2" t="s">
        <v>27095</v>
      </c>
      <c r="E6656" s="2" t="s">
        <v>27096</v>
      </c>
      <c r="F6656" s="2" t="b">
        <v>1</v>
      </c>
      <c r="G6656" s="2" t="b">
        <v>0</v>
      </c>
      <c r="H6656" s="2" t="s">
        <v>1484</v>
      </c>
      <c r="I6656" s="2" t="s">
        <v>22</v>
      </c>
      <c r="J6656" s="2" t="s">
        <v>27097</v>
      </c>
      <c r="K6656" s="2" t="s">
        <v>495</v>
      </c>
      <c r="L6656" s="13" t="s">
        <v>496</v>
      </c>
      <c r="M6656" s="2" t="s">
        <v>26</v>
      </c>
      <c r="N6656" s="29"/>
      <c r="O6656" s="29"/>
      <c r="P6656" s="5" t="str">
        <f>IFERROR(__xludf.DUMMYFUNCTION("TEXTJOIN("" | "",TRUE,IF(OR(D6656="""",E6656="""",I6656="""",J6656="""",H6656=""""),""ফাঁকা ঘর"",""""),IF(AND(C6656&lt;&gt;"""",D6656&lt;&gt;"""",C6656=D6656),""gloss=figurative"",""""),IF(LEN(D6656)&lt;15,""figurative ছোট"",""""),IF(AND(I6656=""Positive"",REGEXMATCH(H6"&amp;"656,""মূর্খ|ভণ্ড|প্রতার|অলস|লোভ|স্বার্থ|অক্ষম|অযোগ্য|বোকা|কৃপণ|হিংস"")),""valence-target অমিল"",""""),IF(COUNTIF($B:$B,B6656)&gt;1,""ডুপ্লিকেট"",""""))"),"")</f>
        <v/>
      </c>
      <c r="Q6656" s="5" t="str">
        <f t="shared" si="1"/>
        <v>২ পরে</v>
      </c>
    </row>
    <row r="6657">
      <c r="A6657" s="4">
        <v>4590.0</v>
      </c>
      <c r="B6657" s="2" t="s">
        <v>27098</v>
      </c>
      <c r="C6657" s="2" t="s">
        <v>27098</v>
      </c>
      <c r="D6657" s="2" t="s">
        <v>27099</v>
      </c>
      <c r="E6657" s="2" t="s">
        <v>27100</v>
      </c>
      <c r="F6657" s="2" t="b">
        <v>1</v>
      </c>
      <c r="G6657" s="2" t="b">
        <v>0</v>
      </c>
      <c r="H6657" s="2" t="s">
        <v>37</v>
      </c>
      <c r="I6657" s="2" t="s">
        <v>32</v>
      </c>
      <c r="J6657" s="2" t="s">
        <v>27101</v>
      </c>
      <c r="K6657" s="2" t="s">
        <v>495</v>
      </c>
      <c r="L6657" s="13" t="s">
        <v>496</v>
      </c>
      <c r="M6657" s="2" t="s">
        <v>26</v>
      </c>
      <c r="N6657" s="29"/>
      <c r="O6657" s="29"/>
      <c r="P6657" s="5" t="str">
        <f>IFERROR(__xludf.DUMMYFUNCTION("TEXTJOIN("" | "",TRUE,IF(OR(D6657="""",E6657="""",I6657="""",J6657="""",H6657=""""),""ফাঁকা ঘর"",""""),IF(AND(C6657&lt;&gt;"""",D6657&lt;&gt;"""",C6657=D6657),""gloss=figurative"",""""),IF(LEN(D6657)&lt;15,""figurative ছোট"",""""),IF(AND(I6657=""Positive"",REGEXMATCH(H6"&amp;"657,""মূর্খ|ভণ্ড|প্রতার|অলস|লোভ|স্বার্থ|অক্ষম|অযোগ্য|বোকা|কৃপণ|হিংস"")),""valence-target অমিল"",""""),IF(COUNTIF($B:$B,B6657)&gt;1,""ডুপ্লিকেট"",""""))"),"")</f>
        <v/>
      </c>
      <c r="Q6657" s="5" t="str">
        <f t="shared" si="1"/>
        <v>২ পরে</v>
      </c>
    </row>
    <row r="6658">
      <c r="A6658" s="4">
        <v>4591.0</v>
      </c>
      <c r="B6658" s="2" t="s">
        <v>27102</v>
      </c>
      <c r="C6658" s="2" t="s">
        <v>27103</v>
      </c>
      <c r="D6658" s="2" t="s">
        <v>27104</v>
      </c>
      <c r="E6658" s="2" t="s">
        <v>27105</v>
      </c>
      <c r="F6658" s="2" t="b">
        <v>1</v>
      </c>
      <c r="G6658" s="2" t="b">
        <v>0</v>
      </c>
      <c r="H6658" s="2" t="s">
        <v>37</v>
      </c>
      <c r="I6658" s="2" t="s">
        <v>22</v>
      </c>
      <c r="J6658" s="2" t="s">
        <v>2671</v>
      </c>
      <c r="K6658" s="2" t="s">
        <v>495</v>
      </c>
      <c r="L6658" s="13" t="s">
        <v>496</v>
      </c>
      <c r="M6658" s="2" t="s">
        <v>26</v>
      </c>
      <c r="N6658" s="29"/>
      <c r="O6658" s="29"/>
      <c r="P6658" s="5" t="str">
        <f>IFERROR(__xludf.DUMMYFUNCTION("TEXTJOIN("" | "",TRUE,IF(OR(D6658="""",E6658="""",I6658="""",J6658="""",H6658=""""),""ফাঁকা ঘর"",""""),IF(AND(C6658&lt;&gt;"""",D6658&lt;&gt;"""",C6658=D6658),""gloss=figurative"",""""),IF(LEN(D6658)&lt;15,""figurative ছোট"",""""),IF(AND(I6658=""Positive"",REGEXMATCH(H6"&amp;"658,""মূর্খ|ভণ্ড|প্রতার|অলস|লোভ|স্বার্থ|অক্ষম|অযোগ্য|বোকা|কৃপণ|হিংস"")),""valence-target অমিল"",""""),IF(COUNTIF($B:$B,B6658)&gt;1,""ডুপ্লিকেট"",""""))"),"")</f>
        <v/>
      </c>
      <c r="Q6658" s="5" t="str">
        <f t="shared" si="1"/>
        <v>২ পরে</v>
      </c>
    </row>
    <row r="6659">
      <c r="A6659" s="4">
        <v>4592.0</v>
      </c>
      <c r="B6659" s="2" t="s">
        <v>27106</v>
      </c>
      <c r="C6659" s="2" t="s">
        <v>27106</v>
      </c>
      <c r="D6659" s="2" t="s">
        <v>27107</v>
      </c>
      <c r="E6659" s="2" t="s">
        <v>27108</v>
      </c>
      <c r="F6659" s="2" t="b">
        <v>1</v>
      </c>
      <c r="G6659" s="2" t="b">
        <v>0</v>
      </c>
      <c r="H6659" s="2" t="s">
        <v>37</v>
      </c>
      <c r="I6659" s="2" t="s">
        <v>49</v>
      </c>
      <c r="J6659" s="2" t="s">
        <v>2629</v>
      </c>
      <c r="K6659" s="2" t="s">
        <v>495</v>
      </c>
      <c r="L6659" s="13" t="s">
        <v>496</v>
      </c>
      <c r="M6659" s="2" t="s">
        <v>26</v>
      </c>
      <c r="N6659" s="29"/>
      <c r="O6659" s="29"/>
      <c r="P6659" s="5" t="str">
        <f>IFERROR(__xludf.DUMMYFUNCTION("TEXTJOIN("" | "",TRUE,IF(OR(D6659="""",E6659="""",I6659="""",J6659="""",H6659=""""),""ফাঁকা ঘর"",""""),IF(AND(C6659&lt;&gt;"""",D6659&lt;&gt;"""",C6659=D6659),""gloss=figurative"",""""),IF(LEN(D6659)&lt;15,""figurative ছোট"",""""),IF(AND(I6659=""Positive"",REGEXMATCH(H6"&amp;"659,""মূর্খ|ভণ্ড|প্রতার|অলস|লোভ|স্বার্থ|অক্ষম|অযোগ্য|বোকা|কৃপণ|হিংস"")),""valence-target অমিল"",""""),IF(COUNTIF($B:$B,B6659)&gt;1,""ডুপ্লিকেট"",""""))"),"")</f>
        <v/>
      </c>
      <c r="Q6659" s="5" t="str">
        <f t="shared" si="1"/>
        <v>২ পরে</v>
      </c>
    </row>
    <row r="6660">
      <c r="A6660" s="4">
        <v>4593.0</v>
      </c>
      <c r="B6660" s="2" t="s">
        <v>27109</v>
      </c>
      <c r="C6660" s="2" t="s">
        <v>27110</v>
      </c>
      <c r="D6660" s="2" t="s">
        <v>27111</v>
      </c>
      <c r="E6660" s="2" t="s">
        <v>27112</v>
      </c>
      <c r="F6660" s="2" t="b">
        <v>1</v>
      </c>
      <c r="G6660" s="2" t="b">
        <v>0</v>
      </c>
      <c r="H6660" s="2" t="s">
        <v>37</v>
      </c>
      <c r="I6660" s="2" t="s">
        <v>22</v>
      </c>
      <c r="J6660" s="2" t="s">
        <v>2732</v>
      </c>
      <c r="K6660" s="2" t="s">
        <v>495</v>
      </c>
      <c r="L6660" s="13" t="s">
        <v>496</v>
      </c>
      <c r="M6660" s="2" t="s">
        <v>26</v>
      </c>
      <c r="N6660" s="29"/>
      <c r="O6660" s="29"/>
      <c r="P6660" s="5" t="str">
        <f>IFERROR(__xludf.DUMMYFUNCTION("TEXTJOIN("" | "",TRUE,IF(OR(D6660="""",E6660="""",I6660="""",J6660="""",H6660=""""),""ফাঁকা ঘর"",""""),IF(AND(C6660&lt;&gt;"""",D6660&lt;&gt;"""",C6660=D6660),""gloss=figurative"",""""),IF(LEN(D6660)&lt;15,""figurative ছোট"",""""),IF(AND(I6660=""Positive"",REGEXMATCH(H6"&amp;"660,""মূর্খ|ভণ্ড|প্রতার|অলস|লোভ|স্বার্থ|অক্ষম|অযোগ্য|বোকা|কৃপণ|হিংস"")),""valence-target অমিল"",""""),IF(COUNTIF($B:$B,B6660)&gt;1,""ডুপ্লিকেট"",""""))"),"")</f>
        <v/>
      </c>
      <c r="Q6660" s="5" t="str">
        <f t="shared" si="1"/>
        <v>২ পরে</v>
      </c>
    </row>
    <row r="6661">
      <c r="A6661" s="4">
        <v>4594.0</v>
      </c>
      <c r="B6661" s="2" t="s">
        <v>27113</v>
      </c>
      <c r="C6661" s="2" t="s">
        <v>27114</v>
      </c>
      <c r="D6661" s="2" t="s">
        <v>27115</v>
      </c>
      <c r="E6661" s="2" t="s">
        <v>27116</v>
      </c>
      <c r="F6661" s="2" t="b">
        <v>1</v>
      </c>
      <c r="G6661" s="2" t="b">
        <v>0</v>
      </c>
      <c r="H6661" s="2" t="s">
        <v>37</v>
      </c>
      <c r="I6661" s="2" t="s">
        <v>32</v>
      </c>
      <c r="J6661" s="2" t="s">
        <v>1621</v>
      </c>
      <c r="K6661" s="2" t="s">
        <v>495</v>
      </c>
      <c r="L6661" s="13" t="s">
        <v>496</v>
      </c>
      <c r="M6661" s="2" t="s">
        <v>26</v>
      </c>
      <c r="N6661" s="29"/>
      <c r="O6661" s="29"/>
      <c r="P6661" s="5" t="str">
        <f>IFERROR(__xludf.DUMMYFUNCTION("TEXTJOIN("" | "",TRUE,IF(OR(D6661="""",E6661="""",I6661="""",J6661="""",H6661=""""),""ফাঁকা ঘর"",""""),IF(AND(C6661&lt;&gt;"""",D6661&lt;&gt;"""",C6661=D6661),""gloss=figurative"",""""),IF(LEN(D6661)&lt;15,""figurative ছোট"",""""),IF(AND(I6661=""Positive"",REGEXMATCH(H6"&amp;"661,""মূর্খ|ভণ্ড|প্রতার|অলস|লোভ|স্বার্থ|অক্ষম|অযোগ্য|বোকা|কৃপণ|হিংস"")),""valence-target অমিল"",""""),IF(COUNTIF($B:$B,B6661)&gt;1,""ডুপ্লিকেট"",""""))"),"")</f>
        <v/>
      </c>
      <c r="Q6661" s="5" t="str">
        <f t="shared" si="1"/>
        <v>২ পরে</v>
      </c>
    </row>
    <row r="6662">
      <c r="A6662" s="4">
        <v>4595.0</v>
      </c>
      <c r="B6662" s="2" t="s">
        <v>27117</v>
      </c>
      <c r="C6662" s="2" t="s">
        <v>27118</v>
      </c>
      <c r="D6662" s="2" t="s">
        <v>27119</v>
      </c>
      <c r="E6662" s="2" t="s">
        <v>27120</v>
      </c>
      <c r="F6662" s="2" t="b">
        <v>1</v>
      </c>
      <c r="G6662" s="2" t="b">
        <v>0</v>
      </c>
      <c r="H6662" s="2" t="s">
        <v>37</v>
      </c>
      <c r="I6662" s="2" t="s">
        <v>32</v>
      </c>
      <c r="J6662" s="2" t="s">
        <v>1679</v>
      </c>
      <c r="K6662" s="2" t="s">
        <v>495</v>
      </c>
      <c r="L6662" s="13" t="s">
        <v>496</v>
      </c>
      <c r="M6662" s="2" t="s">
        <v>26</v>
      </c>
      <c r="N6662" s="29"/>
      <c r="O6662" s="29"/>
      <c r="P6662" s="5" t="str">
        <f>IFERROR(__xludf.DUMMYFUNCTION("TEXTJOIN("" | "",TRUE,IF(OR(D6662="""",E6662="""",I6662="""",J6662="""",H6662=""""),""ফাঁকা ঘর"",""""),IF(AND(C6662&lt;&gt;"""",D6662&lt;&gt;"""",C6662=D6662),""gloss=figurative"",""""),IF(LEN(D6662)&lt;15,""figurative ছোট"",""""),IF(AND(I6662=""Positive"",REGEXMATCH(H6"&amp;"662,""মূর্খ|ভণ্ড|প্রতার|অলস|লোভ|স্বার্থ|অক্ষম|অযোগ্য|বোকা|কৃপণ|হিংস"")),""valence-target অমিল"",""""),IF(COUNTIF($B:$B,B6662)&gt;1,""ডুপ্লিকেট"",""""))"),"")</f>
        <v/>
      </c>
      <c r="Q6662" s="5" t="str">
        <f t="shared" si="1"/>
        <v>২ পরে</v>
      </c>
    </row>
    <row r="6663">
      <c r="A6663" s="4">
        <v>4597.0</v>
      </c>
      <c r="B6663" s="2" t="s">
        <v>27121</v>
      </c>
      <c r="C6663" s="2" t="s">
        <v>27122</v>
      </c>
      <c r="D6663" s="2" t="s">
        <v>27123</v>
      </c>
      <c r="E6663" s="2" t="s">
        <v>27124</v>
      </c>
      <c r="F6663" s="2" t="b">
        <v>1</v>
      </c>
      <c r="G6663" s="2" t="b">
        <v>0</v>
      </c>
      <c r="H6663" s="2" t="s">
        <v>37</v>
      </c>
      <c r="I6663" s="2" t="s">
        <v>32</v>
      </c>
      <c r="J6663" s="2" t="s">
        <v>1249</v>
      </c>
      <c r="K6663" s="2" t="s">
        <v>495</v>
      </c>
      <c r="L6663" s="13" t="s">
        <v>496</v>
      </c>
      <c r="M6663" s="2" t="s">
        <v>26</v>
      </c>
      <c r="N6663" s="29"/>
      <c r="O6663" s="29"/>
      <c r="P6663" s="5" t="str">
        <f>IFERROR(__xludf.DUMMYFUNCTION("TEXTJOIN("" | "",TRUE,IF(OR(D6663="""",E6663="""",I6663="""",J6663="""",H6663=""""),""ফাঁকা ঘর"",""""),IF(AND(C6663&lt;&gt;"""",D6663&lt;&gt;"""",C6663=D6663),""gloss=figurative"",""""),IF(LEN(D6663)&lt;15,""figurative ছোট"",""""),IF(AND(I6663=""Positive"",REGEXMATCH(H6"&amp;"663,""মূর্খ|ভণ্ড|প্রতার|অলস|লোভ|স্বার্থ|অক্ষম|অযোগ্য|বোকা|কৃপণ|হিংস"")),""valence-target অমিল"",""""),IF(COUNTIF($B:$B,B6663)&gt;1,""ডুপ্লিকেট"",""""))"),"")</f>
        <v/>
      </c>
      <c r="Q6663" s="5" t="str">
        <f t="shared" si="1"/>
        <v>২ পরে</v>
      </c>
    </row>
    <row r="6664">
      <c r="A6664" s="4">
        <v>4599.0</v>
      </c>
      <c r="B6664" s="2" t="s">
        <v>27125</v>
      </c>
      <c r="C6664" s="2" t="s">
        <v>27126</v>
      </c>
      <c r="D6664" s="2" t="s">
        <v>27127</v>
      </c>
      <c r="E6664" s="2" t="s">
        <v>27128</v>
      </c>
      <c r="F6664" s="2" t="b">
        <v>1</v>
      </c>
      <c r="G6664" s="2" t="b">
        <v>0</v>
      </c>
      <c r="H6664" s="2" t="s">
        <v>37</v>
      </c>
      <c r="I6664" s="2" t="s">
        <v>32</v>
      </c>
      <c r="J6664" s="2" t="s">
        <v>300</v>
      </c>
      <c r="K6664" s="2" t="s">
        <v>495</v>
      </c>
      <c r="L6664" s="13" t="s">
        <v>496</v>
      </c>
      <c r="M6664" s="2" t="s">
        <v>26</v>
      </c>
      <c r="N6664" s="29"/>
      <c r="O6664" s="29"/>
      <c r="P6664" s="5" t="str">
        <f>IFERROR(__xludf.DUMMYFUNCTION("TEXTJOIN("" | "",TRUE,IF(OR(D6664="""",E6664="""",I6664="""",J6664="""",H6664=""""),""ফাঁকা ঘর"",""""),IF(AND(C6664&lt;&gt;"""",D6664&lt;&gt;"""",C6664=D6664),""gloss=figurative"",""""),IF(LEN(D6664)&lt;15,""figurative ছোট"",""""),IF(AND(I6664=""Positive"",REGEXMATCH(H6"&amp;"664,""মূর্খ|ভণ্ড|প্রতার|অলস|লোভ|স্বার্থ|অক্ষম|অযোগ্য|বোকা|কৃপণ|হিংস"")),""valence-target অমিল"",""""),IF(COUNTIF($B:$B,B6664)&gt;1,""ডুপ্লিকেট"",""""))"),"")</f>
        <v/>
      </c>
      <c r="Q6664" s="5" t="str">
        <f t="shared" si="1"/>
        <v>২ পরে</v>
      </c>
    </row>
    <row r="6665">
      <c r="A6665" s="4">
        <v>4600.0</v>
      </c>
      <c r="B6665" s="2" t="s">
        <v>27129</v>
      </c>
      <c r="C6665" s="2" t="s">
        <v>27130</v>
      </c>
      <c r="D6665" s="2" t="s">
        <v>27131</v>
      </c>
      <c r="E6665" s="2" t="s">
        <v>27132</v>
      </c>
      <c r="F6665" s="2" t="b">
        <v>1</v>
      </c>
      <c r="G6665" s="2" t="b">
        <v>0</v>
      </c>
      <c r="H6665" s="2" t="s">
        <v>37</v>
      </c>
      <c r="I6665" s="2" t="s">
        <v>22</v>
      </c>
      <c r="J6665" s="2" t="s">
        <v>820</v>
      </c>
      <c r="K6665" s="2" t="s">
        <v>495</v>
      </c>
      <c r="L6665" s="13" t="s">
        <v>496</v>
      </c>
      <c r="M6665" s="2" t="s">
        <v>26</v>
      </c>
      <c r="N6665" s="29"/>
      <c r="O6665" s="29"/>
      <c r="P6665" s="5" t="str">
        <f>IFERROR(__xludf.DUMMYFUNCTION("TEXTJOIN("" | "",TRUE,IF(OR(D6665="""",E6665="""",I6665="""",J6665="""",H6665=""""),""ফাঁকা ঘর"",""""),IF(AND(C6665&lt;&gt;"""",D6665&lt;&gt;"""",C6665=D6665),""gloss=figurative"",""""),IF(LEN(D6665)&lt;15,""figurative ছোট"",""""),IF(AND(I6665=""Positive"",REGEXMATCH(H6"&amp;"665,""মূর্খ|ভণ্ড|প্রতার|অলস|লোভ|স্বার্থ|অক্ষম|অযোগ্য|বোকা|কৃপণ|হিংস"")),""valence-target অমিল"",""""),IF(COUNTIF($B:$B,B6665)&gt;1,""ডুপ্লিকেট"",""""))"),"")</f>
        <v/>
      </c>
      <c r="Q6665" s="5" t="str">
        <f t="shared" si="1"/>
        <v>২ পরে</v>
      </c>
    </row>
    <row r="6666">
      <c r="A6666" s="4">
        <v>4601.0</v>
      </c>
      <c r="B6666" s="2" t="s">
        <v>27133</v>
      </c>
      <c r="C6666" s="2" t="s">
        <v>27134</v>
      </c>
      <c r="D6666" s="2" t="s">
        <v>27135</v>
      </c>
      <c r="E6666" s="2" t="s">
        <v>27136</v>
      </c>
      <c r="F6666" s="2" t="b">
        <v>1</v>
      </c>
      <c r="G6666" s="2" t="b">
        <v>0</v>
      </c>
      <c r="H6666" s="2" t="s">
        <v>37</v>
      </c>
      <c r="I6666" s="2" t="s">
        <v>22</v>
      </c>
      <c r="J6666" s="2" t="s">
        <v>820</v>
      </c>
      <c r="K6666" s="2" t="s">
        <v>495</v>
      </c>
      <c r="L6666" s="13" t="s">
        <v>496</v>
      </c>
      <c r="M6666" s="2" t="s">
        <v>26</v>
      </c>
      <c r="N6666" s="29"/>
      <c r="O6666" s="29"/>
      <c r="P6666" s="5" t="str">
        <f>IFERROR(__xludf.DUMMYFUNCTION("TEXTJOIN("" | "",TRUE,IF(OR(D6666="""",E6666="""",I6666="""",J6666="""",H6666=""""),""ফাঁকা ঘর"",""""),IF(AND(C6666&lt;&gt;"""",D6666&lt;&gt;"""",C6666=D6666),""gloss=figurative"",""""),IF(LEN(D6666)&lt;15,""figurative ছোট"",""""),IF(AND(I6666=""Positive"",REGEXMATCH(H6"&amp;"666,""মূর্খ|ভণ্ড|প্রতার|অলস|লোভ|স্বার্থ|অক্ষম|অযোগ্য|বোকা|কৃপণ|হিংস"")),""valence-target অমিল"",""""),IF(COUNTIF($B:$B,B6666)&gt;1,""ডুপ্লিকেট"",""""))"),"")</f>
        <v/>
      </c>
      <c r="Q6666" s="5" t="str">
        <f t="shared" si="1"/>
        <v>২ পরে</v>
      </c>
    </row>
    <row r="6667">
      <c r="A6667" s="4">
        <v>4602.0</v>
      </c>
      <c r="B6667" s="2" t="s">
        <v>27137</v>
      </c>
      <c r="C6667" s="2" t="s">
        <v>27138</v>
      </c>
      <c r="D6667" s="2" t="s">
        <v>27139</v>
      </c>
      <c r="E6667" s="2" t="s">
        <v>27140</v>
      </c>
      <c r="F6667" s="2" t="b">
        <v>1</v>
      </c>
      <c r="G6667" s="2" t="b">
        <v>0</v>
      </c>
      <c r="H6667" s="2" t="s">
        <v>37</v>
      </c>
      <c r="I6667" s="2" t="s">
        <v>49</v>
      </c>
      <c r="J6667" s="2" t="s">
        <v>2165</v>
      </c>
      <c r="K6667" s="2" t="s">
        <v>495</v>
      </c>
      <c r="L6667" s="13" t="s">
        <v>496</v>
      </c>
      <c r="M6667" s="2" t="s">
        <v>26</v>
      </c>
      <c r="N6667" s="29"/>
      <c r="O6667" s="29"/>
      <c r="P6667" s="5" t="str">
        <f>IFERROR(__xludf.DUMMYFUNCTION("TEXTJOIN("" | "",TRUE,IF(OR(D6667="""",E6667="""",I6667="""",J6667="""",H6667=""""),""ফাঁকা ঘর"",""""),IF(AND(C6667&lt;&gt;"""",D6667&lt;&gt;"""",C6667=D6667),""gloss=figurative"",""""),IF(LEN(D6667)&lt;15,""figurative ছোট"",""""),IF(AND(I6667=""Positive"",REGEXMATCH(H6"&amp;"667,""মূর্খ|ভণ্ড|প্রতার|অলস|লোভ|স্বার্থ|অক্ষম|অযোগ্য|বোকা|কৃপণ|হিংস"")),""valence-target অমিল"",""""),IF(COUNTIF($B:$B,B6667)&gt;1,""ডুপ্লিকেট"",""""))"),"")</f>
        <v/>
      </c>
      <c r="Q6667" s="5" t="str">
        <f t="shared" si="1"/>
        <v>২ পরে</v>
      </c>
    </row>
    <row r="6668">
      <c r="A6668" s="4">
        <v>4603.0</v>
      </c>
      <c r="B6668" s="2" t="s">
        <v>27141</v>
      </c>
      <c r="C6668" s="2" t="s">
        <v>27142</v>
      </c>
      <c r="D6668" s="2" t="s">
        <v>27143</v>
      </c>
      <c r="E6668" s="2" t="s">
        <v>27144</v>
      </c>
      <c r="F6668" s="2" t="b">
        <v>1</v>
      </c>
      <c r="G6668" s="2" t="b">
        <v>0</v>
      </c>
      <c r="H6668" s="2" t="s">
        <v>37</v>
      </c>
      <c r="I6668" s="2" t="s">
        <v>49</v>
      </c>
      <c r="J6668" s="2" t="s">
        <v>3410</v>
      </c>
      <c r="K6668" s="2" t="s">
        <v>495</v>
      </c>
      <c r="L6668" s="13" t="s">
        <v>496</v>
      </c>
      <c r="M6668" s="2" t="s">
        <v>26</v>
      </c>
      <c r="N6668" s="29"/>
      <c r="O6668" s="29"/>
      <c r="P6668" s="5" t="str">
        <f>IFERROR(__xludf.DUMMYFUNCTION("TEXTJOIN("" | "",TRUE,IF(OR(D6668="""",E6668="""",I6668="""",J6668="""",H6668=""""),""ফাঁকা ঘর"",""""),IF(AND(C6668&lt;&gt;"""",D6668&lt;&gt;"""",C6668=D6668),""gloss=figurative"",""""),IF(LEN(D6668)&lt;15,""figurative ছোট"",""""),IF(AND(I6668=""Positive"",REGEXMATCH(H6"&amp;"668,""মূর্খ|ভণ্ড|প্রতার|অলস|লোভ|স্বার্থ|অক্ষম|অযোগ্য|বোকা|কৃপণ|হিংস"")),""valence-target অমিল"",""""),IF(COUNTIF($B:$B,B6668)&gt;1,""ডুপ্লিকেট"",""""))"),"")</f>
        <v/>
      </c>
      <c r="Q6668" s="5" t="str">
        <f t="shared" si="1"/>
        <v>২ পরে</v>
      </c>
    </row>
    <row r="6669">
      <c r="A6669" s="4">
        <v>4604.0</v>
      </c>
      <c r="B6669" s="2" t="s">
        <v>27145</v>
      </c>
      <c r="C6669" s="2" t="s">
        <v>27146</v>
      </c>
      <c r="D6669" s="2" t="s">
        <v>22191</v>
      </c>
      <c r="E6669" s="2" t="s">
        <v>27147</v>
      </c>
      <c r="F6669" s="2" t="b">
        <v>1</v>
      </c>
      <c r="G6669" s="2" t="b">
        <v>0</v>
      </c>
      <c r="H6669" s="2" t="s">
        <v>37</v>
      </c>
      <c r="I6669" s="2" t="s">
        <v>49</v>
      </c>
      <c r="J6669" s="2" t="s">
        <v>4617</v>
      </c>
      <c r="K6669" s="2" t="s">
        <v>495</v>
      </c>
      <c r="L6669" s="13" t="s">
        <v>496</v>
      </c>
      <c r="M6669" s="2" t="s">
        <v>26</v>
      </c>
      <c r="N6669" s="29"/>
      <c r="O6669" s="29"/>
      <c r="P6669" s="5" t="str">
        <f>IFERROR(__xludf.DUMMYFUNCTION("TEXTJOIN("" | "",TRUE,IF(OR(D6669="""",E6669="""",I6669="""",J6669="""",H6669=""""),""ফাঁকা ঘর"",""""),IF(AND(C6669&lt;&gt;"""",D6669&lt;&gt;"""",C6669=D6669),""gloss=figurative"",""""),IF(LEN(D6669)&lt;15,""figurative ছোট"",""""),IF(AND(I6669=""Positive"",REGEXMATCH(H6"&amp;"669,""মূর্খ|ভণ্ড|প্রতার|অলস|লোভ|স্বার্থ|অক্ষম|অযোগ্য|বোকা|কৃপণ|হিংস"")),""valence-target অমিল"",""""),IF(COUNTIF($B:$B,B6669)&gt;1,""ডুপ্লিকেট"",""""))"),"")</f>
        <v/>
      </c>
      <c r="Q6669" s="5" t="str">
        <f t="shared" si="1"/>
        <v>২ পরে</v>
      </c>
    </row>
    <row r="6670">
      <c r="A6670" s="4">
        <v>4606.0</v>
      </c>
      <c r="B6670" s="2" t="s">
        <v>27148</v>
      </c>
      <c r="C6670" s="2" t="s">
        <v>27149</v>
      </c>
      <c r="D6670" s="2" t="s">
        <v>27150</v>
      </c>
      <c r="E6670" s="2" t="s">
        <v>27151</v>
      </c>
      <c r="F6670" s="2" t="b">
        <v>1</v>
      </c>
      <c r="G6670" s="2" t="b">
        <v>0</v>
      </c>
      <c r="H6670" s="2" t="s">
        <v>37</v>
      </c>
      <c r="I6670" s="2" t="s">
        <v>22</v>
      </c>
      <c r="J6670" s="2" t="s">
        <v>43</v>
      </c>
      <c r="K6670" s="2" t="s">
        <v>495</v>
      </c>
      <c r="L6670" s="13" t="s">
        <v>496</v>
      </c>
      <c r="M6670" s="2" t="s">
        <v>26</v>
      </c>
      <c r="N6670" s="29"/>
      <c r="O6670" s="29"/>
      <c r="P6670" s="5" t="str">
        <f>IFERROR(__xludf.DUMMYFUNCTION("TEXTJOIN("" | "",TRUE,IF(OR(D6670="""",E6670="""",I6670="""",J6670="""",H6670=""""),""ফাঁকা ঘর"",""""),IF(AND(C6670&lt;&gt;"""",D6670&lt;&gt;"""",C6670=D6670),""gloss=figurative"",""""),IF(LEN(D6670)&lt;15,""figurative ছোট"",""""),IF(AND(I6670=""Positive"",REGEXMATCH(H6"&amp;"670,""মূর্খ|ভণ্ড|প্রতার|অলস|লোভ|স্বার্থ|অক্ষম|অযোগ্য|বোকা|কৃপণ|হিংস"")),""valence-target অমিল"",""""),IF(COUNTIF($B:$B,B6670)&gt;1,""ডুপ্লিকেট"",""""))"),"")</f>
        <v/>
      </c>
      <c r="Q6670" s="5" t="str">
        <f t="shared" si="1"/>
        <v>২ পরে</v>
      </c>
    </row>
    <row r="6671">
      <c r="A6671" s="4">
        <v>4607.0</v>
      </c>
      <c r="B6671" s="2" t="s">
        <v>27152</v>
      </c>
      <c r="C6671" s="2" t="s">
        <v>27152</v>
      </c>
      <c r="D6671" s="2" t="s">
        <v>27153</v>
      </c>
      <c r="E6671" s="2" t="s">
        <v>27154</v>
      </c>
      <c r="F6671" s="2" t="b">
        <v>1</v>
      </c>
      <c r="G6671" s="2" t="b">
        <v>0</v>
      </c>
      <c r="H6671" s="2" t="s">
        <v>37</v>
      </c>
      <c r="I6671" s="2" t="s">
        <v>49</v>
      </c>
      <c r="J6671" s="2" t="s">
        <v>762</v>
      </c>
      <c r="K6671" s="2" t="s">
        <v>495</v>
      </c>
      <c r="L6671" s="13" t="s">
        <v>496</v>
      </c>
      <c r="M6671" s="2" t="s">
        <v>26</v>
      </c>
      <c r="N6671" s="29"/>
      <c r="O6671" s="29"/>
      <c r="P6671" s="5" t="str">
        <f>IFERROR(__xludf.DUMMYFUNCTION("TEXTJOIN("" | "",TRUE,IF(OR(D6671="""",E6671="""",I6671="""",J6671="""",H6671=""""),""ফাঁকা ঘর"",""""),IF(AND(C6671&lt;&gt;"""",D6671&lt;&gt;"""",C6671=D6671),""gloss=figurative"",""""),IF(LEN(D6671)&lt;15,""figurative ছোট"",""""),IF(AND(I6671=""Positive"",REGEXMATCH(H6"&amp;"671,""মূর্খ|ভণ্ড|প্রতার|অলস|লোভ|স্বার্থ|অক্ষম|অযোগ্য|বোকা|কৃপণ|হিংস"")),""valence-target অমিল"",""""),IF(COUNTIF($B:$B,B6671)&gt;1,""ডুপ্লিকেট"",""""))"),"")</f>
        <v/>
      </c>
      <c r="Q6671" s="5" t="str">
        <f t="shared" si="1"/>
        <v>২ পরে</v>
      </c>
    </row>
    <row r="6672">
      <c r="A6672" s="4">
        <v>4608.0</v>
      </c>
      <c r="B6672" s="2" t="s">
        <v>27155</v>
      </c>
      <c r="C6672" s="2" t="s">
        <v>27156</v>
      </c>
      <c r="D6672" s="2" t="s">
        <v>27157</v>
      </c>
      <c r="E6672" s="2" t="s">
        <v>27158</v>
      </c>
      <c r="F6672" s="2" t="b">
        <v>1</v>
      </c>
      <c r="G6672" s="2" t="b">
        <v>0</v>
      </c>
      <c r="H6672" s="2" t="s">
        <v>854</v>
      </c>
      <c r="I6672" s="2" t="s">
        <v>22</v>
      </c>
      <c r="J6672" s="2" t="s">
        <v>300</v>
      </c>
      <c r="K6672" s="2" t="s">
        <v>495</v>
      </c>
      <c r="L6672" s="13" t="s">
        <v>496</v>
      </c>
      <c r="M6672" s="2" t="s">
        <v>26</v>
      </c>
      <c r="N6672" s="29"/>
      <c r="O6672" s="29"/>
      <c r="P6672" s="5" t="str">
        <f>IFERROR(__xludf.DUMMYFUNCTION("TEXTJOIN("" | "",TRUE,IF(OR(D6672="""",E6672="""",I6672="""",J6672="""",H6672=""""),""ফাঁকা ঘর"",""""),IF(AND(C6672&lt;&gt;"""",D6672&lt;&gt;"""",C6672=D6672),""gloss=figurative"",""""),IF(LEN(D6672)&lt;15,""figurative ছোট"",""""),IF(AND(I6672=""Positive"",REGEXMATCH(H6"&amp;"672,""মূর্খ|ভণ্ড|প্রতার|অলস|লোভ|স্বার্থ|অক্ষম|অযোগ্য|বোকা|কৃপণ|হিংস"")),""valence-target অমিল"",""""),IF(COUNTIF($B:$B,B6672)&gt;1,""ডুপ্লিকেট"",""""))"),"")</f>
        <v/>
      </c>
      <c r="Q6672" s="5" t="str">
        <f t="shared" si="1"/>
        <v>২ পরে</v>
      </c>
    </row>
    <row r="6673">
      <c r="A6673" s="4">
        <v>4609.0</v>
      </c>
      <c r="B6673" s="2" t="s">
        <v>27159</v>
      </c>
      <c r="C6673" s="2" t="s">
        <v>27160</v>
      </c>
      <c r="D6673" s="2" t="s">
        <v>27161</v>
      </c>
      <c r="E6673" s="2" t="s">
        <v>27162</v>
      </c>
      <c r="F6673" s="2" t="b">
        <v>1</v>
      </c>
      <c r="G6673" s="2" t="b">
        <v>0</v>
      </c>
      <c r="H6673" s="2" t="s">
        <v>37</v>
      </c>
      <c r="I6673" s="2" t="s">
        <v>22</v>
      </c>
      <c r="J6673" s="2" t="s">
        <v>820</v>
      </c>
      <c r="K6673" s="2" t="s">
        <v>495</v>
      </c>
      <c r="L6673" s="13" t="s">
        <v>496</v>
      </c>
      <c r="M6673" s="2" t="s">
        <v>26</v>
      </c>
      <c r="N6673" s="29"/>
      <c r="O6673" s="29"/>
      <c r="P6673" s="5" t="str">
        <f>IFERROR(__xludf.DUMMYFUNCTION("TEXTJOIN("" | "",TRUE,IF(OR(D6673="""",E6673="""",I6673="""",J6673="""",H6673=""""),""ফাঁকা ঘর"",""""),IF(AND(C6673&lt;&gt;"""",D6673&lt;&gt;"""",C6673=D6673),""gloss=figurative"",""""),IF(LEN(D6673)&lt;15,""figurative ছোট"",""""),IF(AND(I6673=""Positive"",REGEXMATCH(H6"&amp;"673,""মূর্খ|ভণ্ড|প্রতার|অলস|লোভ|স্বার্থ|অক্ষম|অযোগ্য|বোকা|কৃপণ|হিংস"")),""valence-target অমিল"",""""),IF(COUNTIF($B:$B,B6673)&gt;1,""ডুপ্লিকেট"",""""))"),"")</f>
        <v/>
      </c>
      <c r="Q6673" s="5" t="str">
        <f t="shared" si="1"/>
        <v>২ পরে</v>
      </c>
    </row>
    <row r="6674">
      <c r="A6674" s="4">
        <v>4610.0</v>
      </c>
      <c r="B6674" s="2" t="s">
        <v>27163</v>
      </c>
      <c r="C6674" s="2" t="s">
        <v>27164</v>
      </c>
      <c r="D6674" s="2" t="s">
        <v>27165</v>
      </c>
      <c r="E6674" s="2" t="s">
        <v>27166</v>
      </c>
      <c r="F6674" s="2" t="b">
        <v>1</v>
      </c>
      <c r="G6674" s="2" t="b">
        <v>0</v>
      </c>
      <c r="H6674" s="2" t="s">
        <v>37</v>
      </c>
      <c r="I6674" s="2" t="s">
        <v>32</v>
      </c>
      <c r="J6674" s="2" t="s">
        <v>739</v>
      </c>
      <c r="K6674" s="2" t="s">
        <v>495</v>
      </c>
      <c r="L6674" s="13" t="s">
        <v>496</v>
      </c>
      <c r="M6674" s="2" t="s">
        <v>26</v>
      </c>
      <c r="N6674" s="29"/>
      <c r="O6674" s="29"/>
      <c r="P6674" s="5" t="str">
        <f>IFERROR(__xludf.DUMMYFUNCTION("TEXTJOIN("" | "",TRUE,IF(OR(D6674="""",E6674="""",I6674="""",J6674="""",H6674=""""),""ফাঁকা ঘর"",""""),IF(AND(C6674&lt;&gt;"""",D6674&lt;&gt;"""",C6674=D6674),""gloss=figurative"",""""),IF(LEN(D6674)&lt;15,""figurative ছোট"",""""),IF(AND(I6674=""Positive"",REGEXMATCH(H6"&amp;"674,""মূর্খ|ভণ্ড|প্রতার|অলস|লোভ|স্বার্থ|অক্ষম|অযোগ্য|বোকা|কৃপণ|হিংস"")),""valence-target অমিল"",""""),IF(COUNTIF($B:$B,B6674)&gt;1,""ডুপ্লিকেট"",""""))"),"")</f>
        <v/>
      </c>
      <c r="Q6674" s="5" t="str">
        <f t="shared" si="1"/>
        <v>২ পরে</v>
      </c>
    </row>
    <row r="6675">
      <c r="A6675" s="4">
        <v>4611.0</v>
      </c>
      <c r="B6675" s="2" t="s">
        <v>27167</v>
      </c>
      <c r="C6675" s="2" t="s">
        <v>27168</v>
      </c>
      <c r="D6675" s="2" t="s">
        <v>27169</v>
      </c>
      <c r="E6675" s="2" t="s">
        <v>27170</v>
      </c>
      <c r="F6675" s="2" t="b">
        <v>1</v>
      </c>
      <c r="G6675" s="2" t="b">
        <v>0</v>
      </c>
      <c r="H6675" s="2" t="s">
        <v>3807</v>
      </c>
      <c r="I6675" s="2" t="s">
        <v>22</v>
      </c>
      <c r="J6675" s="2" t="s">
        <v>27171</v>
      </c>
      <c r="K6675" s="2" t="s">
        <v>495</v>
      </c>
      <c r="L6675" s="13" t="s">
        <v>496</v>
      </c>
      <c r="M6675" s="2" t="s">
        <v>26</v>
      </c>
      <c r="N6675" s="29"/>
      <c r="O6675" s="29"/>
      <c r="P6675" s="5" t="str">
        <f>IFERROR(__xludf.DUMMYFUNCTION("TEXTJOIN("" | "",TRUE,IF(OR(D6675="""",E6675="""",I6675="""",J6675="""",H6675=""""),""ফাঁকা ঘর"",""""),IF(AND(C6675&lt;&gt;"""",D6675&lt;&gt;"""",C6675=D6675),""gloss=figurative"",""""),IF(LEN(D6675)&lt;15,""figurative ছোট"",""""),IF(AND(I6675=""Positive"",REGEXMATCH(H6"&amp;"675,""মূর্খ|ভণ্ড|প্রতার|অলস|লোভ|স্বার্থ|অক্ষম|অযোগ্য|বোকা|কৃপণ|হিংস"")),""valence-target অমিল"",""""),IF(COUNTIF($B:$B,B6675)&gt;1,""ডুপ্লিকেট"",""""))"),"")</f>
        <v/>
      </c>
      <c r="Q6675" s="5" t="str">
        <f t="shared" si="1"/>
        <v>২ পরে</v>
      </c>
    </row>
    <row r="6676">
      <c r="A6676" s="4">
        <v>4612.0</v>
      </c>
      <c r="B6676" s="2" t="s">
        <v>27172</v>
      </c>
      <c r="C6676" s="2" t="s">
        <v>27173</v>
      </c>
      <c r="D6676" s="2" t="s">
        <v>27174</v>
      </c>
      <c r="E6676" s="2" t="s">
        <v>27175</v>
      </c>
      <c r="F6676" s="2" t="b">
        <v>1</v>
      </c>
      <c r="G6676" s="2" t="b">
        <v>0</v>
      </c>
      <c r="H6676" s="2" t="s">
        <v>27176</v>
      </c>
      <c r="I6676" s="2" t="s">
        <v>22</v>
      </c>
      <c r="J6676" s="2" t="s">
        <v>1363</v>
      </c>
      <c r="K6676" s="2" t="s">
        <v>495</v>
      </c>
      <c r="L6676" s="13" t="s">
        <v>496</v>
      </c>
      <c r="M6676" s="2" t="s">
        <v>26</v>
      </c>
      <c r="N6676" s="29"/>
      <c r="O6676" s="29"/>
      <c r="P6676" s="5" t="str">
        <f>IFERROR(__xludf.DUMMYFUNCTION("TEXTJOIN("" | "",TRUE,IF(OR(D6676="""",E6676="""",I6676="""",J6676="""",H6676=""""),""ফাঁকা ঘর"",""""),IF(AND(C6676&lt;&gt;"""",D6676&lt;&gt;"""",C6676=D6676),""gloss=figurative"",""""),IF(LEN(D6676)&lt;15,""figurative ছোট"",""""),IF(AND(I6676=""Positive"",REGEXMATCH(H6"&amp;"676,""মূর্খ|ভণ্ড|প্রতার|অলস|লোভ|স্বার্থ|অক্ষম|অযোগ্য|বোকা|কৃপণ|হিংস"")),""valence-target অমিল"",""""),IF(COUNTIF($B:$B,B6676)&gt;1,""ডুপ্লিকেট"",""""))"),"")</f>
        <v/>
      </c>
      <c r="Q6676" s="5" t="str">
        <f t="shared" si="1"/>
        <v>২ পরে</v>
      </c>
    </row>
    <row r="6677">
      <c r="A6677" s="4">
        <v>4613.0</v>
      </c>
      <c r="B6677" s="2" t="s">
        <v>27177</v>
      </c>
      <c r="C6677" s="2" t="s">
        <v>27178</v>
      </c>
      <c r="D6677" s="2" t="s">
        <v>27179</v>
      </c>
      <c r="E6677" s="2" t="s">
        <v>27180</v>
      </c>
      <c r="F6677" s="2" t="b">
        <v>1</v>
      </c>
      <c r="G6677" s="2" t="b">
        <v>0</v>
      </c>
      <c r="H6677" s="2" t="s">
        <v>37</v>
      </c>
      <c r="I6677" s="2" t="s">
        <v>32</v>
      </c>
      <c r="J6677" s="2" t="s">
        <v>3156</v>
      </c>
      <c r="K6677" s="2" t="s">
        <v>495</v>
      </c>
      <c r="L6677" s="13" t="s">
        <v>496</v>
      </c>
      <c r="M6677" s="2" t="s">
        <v>26</v>
      </c>
      <c r="N6677" s="29"/>
      <c r="O6677" s="29"/>
      <c r="P6677" s="5" t="str">
        <f>IFERROR(__xludf.DUMMYFUNCTION("TEXTJOIN("" | "",TRUE,IF(OR(D6677="""",E6677="""",I6677="""",J6677="""",H6677=""""),""ফাঁকা ঘর"",""""),IF(AND(C6677&lt;&gt;"""",D6677&lt;&gt;"""",C6677=D6677),""gloss=figurative"",""""),IF(LEN(D6677)&lt;15,""figurative ছোট"",""""),IF(AND(I6677=""Positive"",REGEXMATCH(H6"&amp;"677,""মূর্খ|ভণ্ড|প্রতার|অলস|লোভ|স্বার্থ|অক্ষম|অযোগ্য|বোকা|কৃপণ|হিংস"")),""valence-target অমিল"",""""),IF(COUNTIF($B:$B,B6677)&gt;1,""ডুপ্লিকেট"",""""))"),"")</f>
        <v/>
      </c>
      <c r="Q6677" s="5" t="str">
        <f t="shared" si="1"/>
        <v>২ পরে</v>
      </c>
    </row>
    <row r="6678">
      <c r="A6678" s="4">
        <v>4614.0</v>
      </c>
      <c r="B6678" s="2" t="s">
        <v>27181</v>
      </c>
      <c r="C6678" s="2" t="s">
        <v>27182</v>
      </c>
      <c r="D6678" s="2" t="s">
        <v>27183</v>
      </c>
      <c r="E6678" s="2" t="s">
        <v>27184</v>
      </c>
      <c r="F6678" s="2" t="b">
        <v>1</v>
      </c>
      <c r="G6678" s="2" t="b">
        <v>0</v>
      </c>
      <c r="H6678" s="2" t="s">
        <v>37</v>
      </c>
      <c r="I6678" s="2" t="s">
        <v>49</v>
      </c>
      <c r="J6678" s="2" t="s">
        <v>762</v>
      </c>
      <c r="K6678" s="2" t="s">
        <v>495</v>
      </c>
      <c r="L6678" s="13" t="s">
        <v>496</v>
      </c>
      <c r="M6678" s="2" t="s">
        <v>26</v>
      </c>
      <c r="N6678" s="29"/>
      <c r="O6678" s="29"/>
      <c r="P6678" s="5" t="str">
        <f>IFERROR(__xludf.DUMMYFUNCTION("TEXTJOIN("" | "",TRUE,IF(OR(D6678="""",E6678="""",I6678="""",J6678="""",H6678=""""),""ফাঁকা ঘর"",""""),IF(AND(C6678&lt;&gt;"""",D6678&lt;&gt;"""",C6678=D6678),""gloss=figurative"",""""),IF(LEN(D6678)&lt;15,""figurative ছোট"",""""),IF(AND(I6678=""Positive"",REGEXMATCH(H6"&amp;"678,""মূর্খ|ভণ্ড|প্রতার|অলস|লোভ|স্বার্থ|অক্ষম|অযোগ্য|বোকা|কৃপণ|হিংস"")),""valence-target অমিল"",""""),IF(COUNTIF($B:$B,B6678)&gt;1,""ডুপ্লিকেট"",""""))"),"")</f>
        <v/>
      </c>
      <c r="Q6678" s="5" t="str">
        <f t="shared" si="1"/>
        <v>২ পরে</v>
      </c>
    </row>
    <row r="6679">
      <c r="A6679" s="4">
        <v>4615.0</v>
      </c>
      <c r="B6679" s="2" t="s">
        <v>27185</v>
      </c>
      <c r="C6679" s="2" t="s">
        <v>27186</v>
      </c>
      <c r="D6679" s="2" t="s">
        <v>27187</v>
      </c>
      <c r="E6679" s="2" t="s">
        <v>27188</v>
      </c>
      <c r="F6679" s="2" t="b">
        <v>1</v>
      </c>
      <c r="G6679" s="2" t="b">
        <v>0</v>
      </c>
      <c r="H6679" s="2" t="s">
        <v>37</v>
      </c>
      <c r="I6679" s="2" t="s">
        <v>49</v>
      </c>
      <c r="J6679" s="2" t="s">
        <v>3416</v>
      </c>
      <c r="K6679" s="2" t="s">
        <v>495</v>
      </c>
      <c r="L6679" s="13" t="s">
        <v>496</v>
      </c>
      <c r="M6679" s="2" t="s">
        <v>26</v>
      </c>
      <c r="N6679" s="29"/>
      <c r="O6679" s="29"/>
      <c r="P6679" s="5" t="str">
        <f>IFERROR(__xludf.DUMMYFUNCTION("TEXTJOIN("" | "",TRUE,IF(OR(D6679="""",E6679="""",I6679="""",J6679="""",H6679=""""),""ফাঁকা ঘর"",""""),IF(AND(C6679&lt;&gt;"""",D6679&lt;&gt;"""",C6679=D6679),""gloss=figurative"",""""),IF(LEN(D6679)&lt;15,""figurative ছোট"",""""),IF(AND(I6679=""Positive"",REGEXMATCH(H6"&amp;"679,""মূর্খ|ভণ্ড|প্রতার|অলস|লোভ|স্বার্থ|অক্ষম|অযোগ্য|বোকা|কৃপণ|হিংস"")),""valence-target অমিল"",""""),IF(COUNTIF($B:$B,B6679)&gt;1,""ডুপ্লিকেট"",""""))"),"")</f>
        <v/>
      </c>
      <c r="Q6679" s="5" t="str">
        <f t="shared" si="1"/>
        <v>২ পরে</v>
      </c>
    </row>
    <row r="6680">
      <c r="A6680" s="4">
        <v>4616.0</v>
      </c>
      <c r="B6680" s="2" t="s">
        <v>27189</v>
      </c>
      <c r="C6680" s="2" t="s">
        <v>27190</v>
      </c>
      <c r="D6680" s="2" t="s">
        <v>27191</v>
      </c>
      <c r="E6680" s="2" t="s">
        <v>27192</v>
      </c>
      <c r="F6680" s="2" t="b">
        <v>1</v>
      </c>
      <c r="G6680" s="2" t="b">
        <v>0</v>
      </c>
      <c r="H6680" s="2" t="s">
        <v>37</v>
      </c>
      <c r="I6680" s="2" t="s">
        <v>32</v>
      </c>
      <c r="J6680" s="2" t="s">
        <v>3615</v>
      </c>
      <c r="K6680" s="2" t="s">
        <v>495</v>
      </c>
      <c r="L6680" s="13" t="s">
        <v>496</v>
      </c>
      <c r="M6680" s="2" t="s">
        <v>26</v>
      </c>
      <c r="N6680" s="29"/>
      <c r="O6680" s="29"/>
      <c r="P6680" s="5" t="str">
        <f>IFERROR(__xludf.DUMMYFUNCTION("TEXTJOIN("" | "",TRUE,IF(OR(D6680="""",E6680="""",I6680="""",J6680="""",H6680=""""),""ফাঁকা ঘর"",""""),IF(AND(C6680&lt;&gt;"""",D6680&lt;&gt;"""",C6680=D6680),""gloss=figurative"",""""),IF(LEN(D6680)&lt;15,""figurative ছোট"",""""),IF(AND(I6680=""Positive"",REGEXMATCH(H6"&amp;"680,""মূর্খ|ভণ্ড|প্রতার|অলস|লোভ|স্বার্থ|অক্ষম|অযোগ্য|বোকা|কৃপণ|হিংস"")),""valence-target অমিল"",""""),IF(COUNTIF($B:$B,B6680)&gt;1,""ডুপ্লিকেট"",""""))"),"")</f>
        <v/>
      </c>
      <c r="Q6680" s="5" t="str">
        <f t="shared" si="1"/>
        <v>২ পরে</v>
      </c>
    </row>
    <row r="6681">
      <c r="A6681" s="4">
        <v>4617.0</v>
      </c>
      <c r="B6681" s="2" t="s">
        <v>27193</v>
      </c>
      <c r="C6681" s="2" t="s">
        <v>27194</v>
      </c>
      <c r="D6681" s="2" t="s">
        <v>27195</v>
      </c>
      <c r="E6681" s="2" t="s">
        <v>27196</v>
      </c>
      <c r="F6681" s="2" t="b">
        <v>1</v>
      </c>
      <c r="G6681" s="2" t="b">
        <v>0</v>
      </c>
      <c r="H6681" s="2" t="s">
        <v>27197</v>
      </c>
      <c r="I6681" s="2" t="s">
        <v>22</v>
      </c>
      <c r="J6681" s="2" t="s">
        <v>43</v>
      </c>
      <c r="K6681" s="2" t="s">
        <v>495</v>
      </c>
      <c r="L6681" s="13" t="s">
        <v>496</v>
      </c>
      <c r="M6681" s="2" t="s">
        <v>26</v>
      </c>
      <c r="N6681" s="29"/>
      <c r="O6681" s="29"/>
      <c r="P6681" s="5" t="str">
        <f>IFERROR(__xludf.DUMMYFUNCTION("TEXTJOIN("" | "",TRUE,IF(OR(D6681="""",E6681="""",I6681="""",J6681="""",H6681=""""),""ফাঁকা ঘর"",""""),IF(AND(C6681&lt;&gt;"""",D6681&lt;&gt;"""",C6681=D6681),""gloss=figurative"",""""),IF(LEN(D6681)&lt;15,""figurative ছোট"",""""),IF(AND(I6681=""Positive"",REGEXMATCH(H6"&amp;"681,""মূর্খ|ভণ্ড|প্রতার|অলস|লোভ|স্বার্থ|অক্ষম|অযোগ্য|বোকা|কৃপণ|হিংস"")),""valence-target অমিল"",""""),IF(COUNTIF($B:$B,B6681)&gt;1,""ডুপ্লিকেট"",""""))"),"")</f>
        <v/>
      </c>
      <c r="Q6681" s="5" t="str">
        <f t="shared" si="1"/>
        <v>২ পরে</v>
      </c>
    </row>
    <row r="6682">
      <c r="A6682" s="4">
        <v>4618.0</v>
      </c>
      <c r="B6682" s="2" t="s">
        <v>27198</v>
      </c>
      <c r="C6682" s="2" t="s">
        <v>27198</v>
      </c>
      <c r="D6682" s="2" t="s">
        <v>27199</v>
      </c>
      <c r="E6682" s="2" t="s">
        <v>27200</v>
      </c>
      <c r="F6682" s="2" t="b">
        <v>1</v>
      </c>
      <c r="G6682" s="2" t="b">
        <v>0</v>
      </c>
      <c r="H6682" s="2" t="s">
        <v>37</v>
      </c>
      <c r="I6682" s="2" t="s">
        <v>22</v>
      </c>
      <c r="J6682" s="2" t="s">
        <v>1363</v>
      </c>
      <c r="K6682" s="2" t="s">
        <v>495</v>
      </c>
      <c r="L6682" s="13" t="s">
        <v>496</v>
      </c>
      <c r="M6682" s="2" t="s">
        <v>26</v>
      </c>
      <c r="N6682" s="29"/>
      <c r="O6682" s="29"/>
      <c r="P6682" s="5" t="str">
        <f>IFERROR(__xludf.DUMMYFUNCTION("TEXTJOIN("" | "",TRUE,IF(OR(D6682="""",E6682="""",I6682="""",J6682="""",H6682=""""),""ফাঁকা ঘর"",""""),IF(AND(C6682&lt;&gt;"""",D6682&lt;&gt;"""",C6682=D6682),""gloss=figurative"",""""),IF(LEN(D6682)&lt;15,""figurative ছোট"",""""),IF(AND(I6682=""Positive"",REGEXMATCH(H6"&amp;"682,""মূর্খ|ভণ্ড|প্রতার|অলস|লোভ|স্বার্থ|অক্ষম|অযোগ্য|বোকা|কৃপণ|হিংস"")),""valence-target অমিল"",""""),IF(COUNTIF($B:$B,B6682)&gt;1,""ডুপ্লিকেট"",""""))"),"")</f>
        <v/>
      </c>
      <c r="Q6682" s="5" t="str">
        <f t="shared" si="1"/>
        <v>২ পরে</v>
      </c>
    </row>
    <row r="6683">
      <c r="A6683" s="4">
        <v>4619.0</v>
      </c>
      <c r="B6683" s="2" t="s">
        <v>27201</v>
      </c>
      <c r="C6683" s="2" t="s">
        <v>27202</v>
      </c>
      <c r="D6683" s="2" t="s">
        <v>27203</v>
      </c>
      <c r="E6683" s="2" t="s">
        <v>27204</v>
      </c>
      <c r="F6683" s="2" t="b">
        <v>1</v>
      </c>
      <c r="G6683" s="2" t="b">
        <v>0</v>
      </c>
      <c r="H6683" s="2" t="s">
        <v>37</v>
      </c>
      <c r="I6683" s="2" t="s">
        <v>32</v>
      </c>
      <c r="J6683" s="2" t="s">
        <v>3506</v>
      </c>
      <c r="K6683" s="2" t="s">
        <v>495</v>
      </c>
      <c r="L6683" s="13" t="s">
        <v>496</v>
      </c>
      <c r="M6683" s="2" t="s">
        <v>26</v>
      </c>
      <c r="N6683" s="29"/>
      <c r="O6683" s="29"/>
      <c r="P6683" s="5" t="str">
        <f>IFERROR(__xludf.DUMMYFUNCTION("TEXTJOIN("" | "",TRUE,IF(OR(D6683="""",E6683="""",I6683="""",J6683="""",H6683=""""),""ফাঁকা ঘর"",""""),IF(AND(C6683&lt;&gt;"""",D6683&lt;&gt;"""",C6683=D6683),""gloss=figurative"",""""),IF(LEN(D6683)&lt;15,""figurative ছোট"",""""),IF(AND(I6683=""Positive"",REGEXMATCH(H6"&amp;"683,""মূর্খ|ভণ্ড|প্রতার|অলস|লোভ|স্বার্থ|অক্ষম|অযোগ্য|বোকা|কৃপণ|হিংস"")),""valence-target অমিল"",""""),IF(COUNTIF($B:$B,B6683)&gt;1,""ডুপ্লিকেট"",""""))"),"")</f>
        <v/>
      </c>
      <c r="Q6683" s="5" t="str">
        <f t="shared" si="1"/>
        <v>২ পরে</v>
      </c>
    </row>
    <row r="6684">
      <c r="A6684" s="4">
        <v>4620.0</v>
      </c>
      <c r="B6684" s="2" t="s">
        <v>27205</v>
      </c>
      <c r="C6684" s="2" t="s">
        <v>27206</v>
      </c>
      <c r="D6684" s="2" t="s">
        <v>26774</v>
      </c>
      <c r="E6684" s="2" t="s">
        <v>27207</v>
      </c>
      <c r="F6684" s="2" t="b">
        <v>1</v>
      </c>
      <c r="G6684" s="2" t="b">
        <v>0</v>
      </c>
      <c r="H6684" s="2" t="s">
        <v>37</v>
      </c>
      <c r="I6684" s="2" t="s">
        <v>49</v>
      </c>
      <c r="J6684" s="2" t="s">
        <v>528</v>
      </c>
      <c r="K6684" s="2" t="s">
        <v>495</v>
      </c>
      <c r="L6684" s="13" t="s">
        <v>496</v>
      </c>
      <c r="M6684" s="2" t="s">
        <v>26</v>
      </c>
      <c r="N6684" s="29"/>
      <c r="O6684" s="29"/>
      <c r="P6684" s="5" t="str">
        <f>IFERROR(__xludf.DUMMYFUNCTION("TEXTJOIN("" | "",TRUE,IF(OR(D6684="""",E6684="""",I6684="""",J6684="""",H6684=""""),""ফাঁকা ঘর"",""""),IF(AND(C6684&lt;&gt;"""",D6684&lt;&gt;"""",C6684=D6684),""gloss=figurative"",""""),IF(LEN(D6684)&lt;15,""figurative ছোট"",""""),IF(AND(I6684=""Positive"",REGEXMATCH(H6"&amp;"684,""মূর্খ|ভণ্ড|প্রতার|অলস|লোভ|স্বার্থ|অক্ষম|অযোগ্য|বোকা|কৃপণ|হিংস"")),""valence-target অমিল"",""""),IF(COUNTIF($B:$B,B6684)&gt;1,""ডুপ্লিকেট"",""""))"),"")</f>
        <v/>
      </c>
      <c r="Q6684" s="5" t="str">
        <f t="shared" si="1"/>
        <v>২ পরে</v>
      </c>
    </row>
    <row r="6685">
      <c r="A6685" s="4">
        <v>4621.0</v>
      </c>
      <c r="B6685" s="2" t="s">
        <v>27208</v>
      </c>
      <c r="C6685" s="2" t="s">
        <v>27209</v>
      </c>
      <c r="D6685" s="2" t="s">
        <v>27210</v>
      </c>
      <c r="E6685" s="2" t="s">
        <v>27211</v>
      </c>
      <c r="F6685" s="2" t="b">
        <v>1</v>
      </c>
      <c r="G6685" s="2" t="b">
        <v>0</v>
      </c>
      <c r="H6685" s="2" t="s">
        <v>1284</v>
      </c>
      <c r="I6685" s="2" t="s">
        <v>22</v>
      </c>
      <c r="J6685" s="2" t="s">
        <v>1471</v>
      </c>
      <c r="K6685" s="2" t="s">
        <v>495</v>
      </c>
      <c r="L6685" s="13" t="s">
        <v>496</v>
      </c>
      <c r="M6685" s="2" t="s">
        <v>26</v>
      </c>
      <c r="N6685" s="29"/>
      <c r="O6685" s="29"/>
      <c r="P6685" s="5" t="str">
        <f>IFERROR(__xludf.DUMMYFUNCTION("TEXTJOIN("" | "",TRUE,IF(OR(D6685="""",E6685="""",I6685="""",J6685="""",H6685=""""),""ফাঁকা ঘর"",""""),IF(AND(C6685&lt;&gt;"""",D6685&lt;&gt;"""",C6685=D6685),""gloss=figurative"",""""),IF(LEN(D6685)&lt;15,""figurative ছোট"",""""),IF(AND(I6685=""Positive"",REGEXMATCH(H6"&amp;"685,""মূর্খ|ভণ্ড|প্রতার|অলস|লোভ|স্বার্থ|অক্ষম|অযোগ্য|বোকা|কৃপণ|হিংস"")),""valence-target অমিল"",""""),IF(COUNTIF($B:$B,B6685)&gt;1,""ডুপ্লিকেট"",""""))"),"")</f>
        <v/>
      </c>
      <c r="Q6685" s="5" t="str">
        <f t="shared" si="1"/>
        <v>২ পরে</v>
      </c>
    </row>
    <row r="6686">
      <c r="A6686" s="4">
        <v>4624.0</v>
      </c>
      <c r="B6686" s="2" t="s">
        <v>27212</v>
      </c>
      <c r="C6686" s="2" t="s">
        <v>27212</v>
      </c>
      <c r="D6686" s="2" t="s">
        <v>27213</v>
      </c>
      <c r="E6686" s="2" t="s">
        <v>27214</v>
      </c>
      <c r="F6686" s="2" t="b">
        <v>1</v>
      </c>
      <c r="G6686" s="2" t="b">
        <v>0</v>
      </c>
      <c r="H6686" s="2" t="s">
        <v>1188</v>
      </c>
      <c r="I6686" s="2" t="s">
        <v>22</v>
      </c>
      <c r="J6686" s="2" t="s">
        <v>1895</v>
      </c>
      <c r="K6686" s="2" t="s">
        <v>495</v>
      </c>
      <c r="L6686" s="13" t="s">
        <v>496</v>
      </c>
      <c r="M6686" s="2" t="s">
        <v>26</v>
      </c>
      <c r="N6686" s="29"/>
      <c r="O6686" s="29"/>
      <c r="P6686" s="5" t="str">
        <f>IFERROR(__xludf.DUMMYFUNCTION("TEXTJOIN("" | "",TRUE,IF(OR(D6686="""",E6686="""",I6686="""",J6686="""",H6686=""""),""ফাঁকা ঘর"",""""),IF(AND(C6686&lt;&gt;"""",D6686&lt;&gt;"""",C6686=D6686),""gloss=figurative"",""""),IF(LEN(D6686)&lt;15,""figurative ছোট"",""""),IF(AND(I6686=""Positive"",REGEXMATCH(H6"&amp;"686,""মূর্খ|ভণ্ড|প্রতার|অলস|লোভ|স্বার্থ|অক্ষম|অযোগ্য|বোকা|কৃপণ|হিংস"")),""valence-target অমিল"",""""),IF(COUNTIF($B:$B,B6686)&gt;1,""ডুপ্লিকেট"",""""))"),"")</f>
        <v/>
      </c>
      <c r="Q6686" s="5" t="str">
        <f t="shared" si="1"/>
        <v>২ পরে</v>
      </c>
    </row>
    <row r="6687">
      <c r="A6687" s="4">
        <v>4625.0</v>
      </c>
      <c r="B6687" s="2" t="s">
        <v>27215</v>
      </c>
      <c r="C6687" s="2" t="s">
        <v>27216</v>
      </c>
      <c r="D6687" s="2" t="s">
        <v>27217</v>
      </c>
      <c r="E6687" s="2" t="s">
        <v>27218</v>
      </c>
      <c r="F6687" s="2" t="b">
        <v>1</v>
      </c>
      <c r="G6687" s="2" t="b">
        <v>0</v>
      </c>
      <c r="H6687" s="2" t="s">
        <v>37</v>
      </c>
      <c r="I6687" s="2" t="s">
        <v>32</v>
      </c>
      <c r="J6687" s="2" t="s">
        <v>436</v>
      </c>
      <c r="K6687" s="2" t="s">
        <v>495</v>
      </c>
      <c r="L6687" s="13" t="s">
        <v>496</v>
      </c>
      <c r="M6687" s="2" t="s">
        <v>26</v>
      </c>
      <c r="N6687" s="29"/>
      <c r="O6687" s="29"/>
      <c r="P6687" s="5" t="str">
        <f>IFERROR(__xludf.DUMMYFUNCTION("TEXTJOIN("" | "",TRUE,IF(OR(D6687="""",E6687="""",I6687="""",J6687="""",H6687=""""),""ফাঁকা ঘর"",""""),IF(AND(C6687&lt;&gt;"""",D6687&lt;&gt;"""",C6687=D6687),""gloss=figurative"",""""),IF(LEN(D6687)&lt;15,""figurative ছোট"",""""),IF(AND(I6687=""Positive"",REGEXMATCH(H6"&amp;"687,""মূর্খ|ভণ্ড|প্রতার|অলস|লোভ|স্বার্থ|অক্ষম|অযোগ্য|বোকা|কৃপণ|হিংস"")),""valence-target অমিল"",""""),IF(COUNTIF($B:$B,B6687)&gt;1,""ডুপ্লিকেট"",""""))"),"")</f>
        <v/>
      </c>
      <c r="Q6687" s="5" t="str">
        <f t="shared" si="1"/>
        <v>২ পরে</v>
      </c>
    </row>
    <row r="6688">
      <c r="A6688" s="4">
        <v>4626.0</v>
      </c>
      <c r="B6688" s="2" t="s">
        <v>27219</v>
      </c>
      <c r="C6688" s="2" t="s">
        <v>27220</v>
      </c>
      <c r="D6688" s="2" t="s">
        <v>27221</v>
      </c>
      <c r="E6688" s="2" t="s">
        <v>27222</v>
      </c>
      <c r="F6688" s="2" t="b">
        <v>1</v>
      </c>
      <c r="G6688" s="2" t="b">
        <v>0</v>
      </c>
      <c r="H6688" s="2" t="s">
        <v>37</v>
      </c>
      <c r="I6688" s="2" t="s">
        <v>22</v>
      </c>
      <c r="J6688" s="2" t="s">
        <v>836</v>
      </c>
      <c r="K6688" s="2" t="s">
        <v>495</v>
      </c>
      <c r="L6688" s="13" t="s">
        <v>496</v>
      </c>
      <c r="M6688" s="2" t="s">
        <v>26</v>
      </c>
      <c r="N6688" s="29"/>
      <c r="O6688" s="29"/>
      <c r="P6688" s="5" t="str">
        <f>IFERROR(__xludf.DUMMYFUNCTION("TEXTJOIN("" | "",TRUE,IF(OR(D6688="""",E6688="""",I6688="""",J6688="""",H6688=""""),""ফাঁকা ঘর"",""""),IF(AND(C6688&lt;&gt;"""",D6688&lt;&gt;"""",C6688=D6688),""gloss=figurative"",""""),IF(LEN(D6688)&lt;15,""figurative ছোট"",""""),IF(AND(I6688=""Positive"",REGEXMATCH(H6"&amp;"688,""মূর্খ|ভণ্ড|প্রতার|অলস|লোভ|স্বার্থ|অক্ষম|অযোগ্য|বোকা|কৃপণ|হিংস"")),""valence-target অমিল"",""""),IF(COUNTIF($B:$B,B6688)&gt;1,""ডুপ্লিকেট"",""""))"),"")</f>
        <v/>
      </c>
      <c r="Q6688" s="5" t="str">
        <f t="shared" si="1"/>
        <v>২ পরে</v>
      </c>
    </row>
    <row r="6689">
      <c r="A6689" s="4">
        <v>4627.0</v>
      </c>
      <c r="B6689" s="2" t="s">
        <v>27223</v>
      </c>
      <c r="C6689" s="2" t="s">
        <v>27224</v>
      </c>
      <c r="D6689" s="2" t="s">
        <v>27225</v>
      </c>
      <c r="E6689" s="2" t="s">
        <v>27226</v>
      </c>
      <c r="F6689" s="2" t="b">
        <v>1</v>
      </c>
      <c r="G6689" s="2" t="b">
        <v>0</v>
      </c>
      <c r="H6689" s="2" t="s">
        <v>37</v>
      </c>
      <c r="I6689" s="2" t="s">
        <v>49</v>
      </c>
      <c r="J6689" s="2" t="s">
        <v>729</v>
      </c>
      <c r="K6689" s="2" t="s">
        <v>495</v>
      </c>
      <c r="L6689" s="13" t="s">
        <v>496</v>
      </c>
      <c r="M6689" s="2" t="s">
        <v>26</v>
      </c>
      <c r="N6689" s="29"/>
      <c r="O6689" s="29"/>
      <c r="P6689" s="5" t="str">
        <f>IFERROR(__xludf.DUMMYFUNCTION("TEXTJOIN("" | "",TRUE,IF(OR(D6689="""",E6689="""",I6689="""",J6689="""",H6689=""""),""ফাঁকা ঘর"",""""),IF(AND(C6689&lt;&gt;"""",D6689&lt;&gt;"""",C6689=D6689),""gloss=figurative"",""""),IF(LEN(D6689)&lt;15,""figurative ছোট"",""""),IF(AND(I6689=""Positive"",REGEXMATCH(H6"&amp;"689,""মূর্খ|ভণ্ড|প্রতার|অলস|লোভ|স্বার্থ|অক্ষম|অযোগ্য|বোকা|কৃপণ|হিংস"")),""valence-target অমিল"",""""),IF(COUNTIF($B:$B,B6689)&gt;1,""ডুপ্লিকেট"",""""))"),"")</f>
        <v/>
      </c>
      <c r="Q6689" s="5" t="str">
        <f t="shared" si="1"/>
        <v>২ পরে</v>
      </c>
    </row>
    <row r="6690">
      <c r="A6690" s="4">
        <v>4628.0</v>
      </c>
      <c r="B6690" s="2" t="s">
        <v>27227</v>
      </c>
      <c r="C6690" s="2" t="s">
        <v>27228</v>
      </c>
      <c r="D6690" s="2" t="s">
        <v>27229</v>
      </c>
      <c r="E6690" s="2" t="s">
        <v>27230</v>
      </c>
      <c r="F6690" s="2" t="b">
        <v>1</v>
      </c>
      <c r="G6690" s="2" t="b">
        <v>0</v>
      </c>
      <c r="H6690" s="2" t="s">
        <v>37</v>
      </c>
      <c r="I6690" s="2" t="s">
        <v>32</v>
      </c>
      <c r="J6690" s="2" t="s">
        <v>4039</v>
      </c>
      <c r="K6690" s="2" t="s">
        <v>495</v>
      </c>
      <c r="L6690" s="13" t="s">
        <v>496</v>
      </c>
      <c r="M6690" s="2" t="s">
        <v>26</v>
      </c>
      <c r="N6690" s="29"/>
      <c r="O6690" s="29"/>
      <c r="P6690" s="5" t="str">
        <f>IFERROR(__xludf.DUMMYFUNCTION("TEXTJOIN("" | "",TRUE,IF(OR(D6690="""",E6690="""",I6690="""",J6690="""",H6690=""""),""ফাঁকা ঘর"",""""),IF(AND(C6690&lt;&gt;"""",D6690&lt;&gt;"""",C6690=D6690),""gloss=figurative"",""""),IF(LEN(D6690)&lt;15,""figurative ছোট"",""""),IF(AND(I6690=""Positive"",REGEXMATCH(H6"&amp;"690,""মূর্খ|ভণ্ড|প্রতার|অলস|লোভ|স্বার্থ|অক্ষম|অযোগ্য|বোকা|কৃপণ|হিংস"")),""valence-target অমিল"",""""),IF(COUNTIF($B:$B,B6690)&gt;1,""ডুপ্লিকেট"",""""))"),"")</f>
        <v/>
      </c>
      <c r="Q6690" s="5" t="str">
        <f t="shared" si="1"/>
        <v>২ পরে</v>
      </c>
    </row>
    <row r="6691">
      <c r="A6691" s="4">
        <v>4629.0</v>
      </c>
      <c r="B6691" s="2" t="s">
        <v>27231</v>
      </c>
      <c r="C6691" s="2" t="s">
        <v>27232</v>
      </c>
      <c r="D6691" s="2" t="s">
        <v>27233</v>
      </c>
      <c r="E6691" s="2" t="s">
        <v>27234</v>
      </c>
      <c r="F6691" s="2" t="b">
        <v>1</v>
      </c>
      <c r="G6691" s="2" t="b">
        <v>0</v>
      </c>
      <c r="H6691" s="2" t="s">
        <v>37</v>
      </c>
      <c r="I6691" s="2" t="s">
        <v>22</v>
      </c>
      <c r="J6691" s="2" t="s">
        <v>1074</v>
      </c>
      <c r="K6691" s="2" t="s">
        <v>495</v>
      </c>
      <c r="L6691" s="13" t="s">
        <v>496</v>
      </c>
      <c r="M6691" s="2" t="s">
        <v>26</v>
      </c>
      <c r="N6691" s="29"/>
      <c r="O6691" s="29"/>
      <c r="P6691" s="5" t="str">
        <f>IFERROR(__xludf.DUMMYFUNCTION("TEXTJOIN("" | "",TRUE,IF(OR(D6691="""",E6691="""",I6691="""",J6691="""",H6691=""""),""ফাঁকা ঘর"",""""),IF(AND(C6691&lt;&gt;"""",D6691&lt;&gt;"""",C6691=D6691),""gloss=figurative"",""""),IF(LEN(D6691)&lt;15,""figurative ছোট"",""""),IF(AND(I6691=""Positive"",REGEXMATCH(H6"&amp;"691,""মূর্খ|ভণ্ড|প্রতার|অলস|লোভ|স্বার্থ|অক্ষম|অযোগ্য|বোকা|কৃপণ|হিংস"")),""valence-target অমিল"",""""),IF(COUNTIF($B:$B,B6691)&gt;1,""ডুপ্লিকেট"",""""))"),"")</f>
        <v/>
      </c>
      <c r="Q6691" s="5" t="str">
        <f t="shared" si="1"/>
        <v>২ পরে</v>
      </c>
    </row>
    <row r="6692">
      <c r="A6692" s="4">
        <v>4630.0</v>
      </c>
      <c r="B6692" s="2" t="s">
        <v>27235</v>
      </c>
      <c r="C6692" s="2" t="s">
        <v>27236</v>
      </c>
      <c r="D6692" s="2" t="s">
        <v>27237</v>
      </c>
      <c r="E6692" s="2" t="s">
        <v>27238</v>
      </c>
      <c r="F6692" s="2" t="b">
        <v>1</v>
      </c>
      <c r="G6692" s="2" t="b">
        <v>0</v>
      </c>
      <c r="H6692" s="2" t="s">
        <v>1985</v>
      </c>
      <c r="I6692" s="2" t="s">
        <v>22</v>
      </c>
      <c r="J6692" s="2" t="s">
        <v>750</v>
      </c>
      <c r="K6692" s="2" t="s">
        <v>495</v>
      </c>
      <c r="L6692" s="13" t="s">
        <v>496</v>
      </c>
      <c r="M6692" s="2" t="s">
        <v>26</v>
      </c>
      <c r="N6692" s="29"/>
      <c r="O6692" s="29"/>
      <c r="P6692" s="5" t="str">
        <f>IFERROR(__xludf.DUMMYFUNCTION("TEXTJOIN("" | "",TRUE,IF(OR(D6692="""",E6692="""",I6692="""",J6692="""",H6692=""""),""ফাঁকা ঘর"",""""),IF(AND(C6692&lt;&gt;"""",D6692&lt;&gt;"""",C6692=D6692),""gloss=figurative"",""""),IF(LEN(D6692)&lt;15,""figurative ছোট"",""""),IF(AND(I6692=""Positive"",REGEXMATCH(H6"&amp;"692,""মূর্খ|ভণ্ড|প্রতার|অলস|লোভ|স্বার্থ|অক্ষম|অযোগ্য|বোকা|কৃপণ|হিংস"")),""valence-target অমিল"",""""),IF(COUNTIF($B:$B,B6692)&gt;1,""ডুপ্লিকেট"",""""))"),"")</f>
        <v/>
      </c>
      <c r="Q6692" s="5" t="str">
        <f t="shared" si="1"/>
        <v>২ পরে</v>
      </c>
    </row>
    <row r="6693">
      <c r="A6693" s="4">
        <v>4631.0</v>
      </c>
      <c r="B6693" s="2" t="s">
        <v>27239</v>
      </c>
      <c r="C6693" s="2" t="s">
        <v>27240</v>
      </c>
      <c r="D6693" s="2" t="s">
        <v>27241</v>
      </c>
      <c r="E6693" s="2" t="s">
        <v>27242</v>
      </c>
      <c r="F6693" s="2" t="b">
        <v>1</v>
      </c>
      <c r="G6693" s="2" t="b">
        <v>0</v>
      </c>
      <c r="H6693" s="2" t="s">
        <v>37</v>
      </c>
      <c r="I6693" s="2" t="s">
        <v>49</v>
      </c>
      <c r="J6693" s="2" t="s">
        <v>1387</v>
      </c>
      <c r="K6693" s="2" t="s">
        <v>495</v>
      </c>
      <c r="L6693" s="13" t="s">
        <v>496</v>
      </c>
      <c r="M6693" s="2" t="s">
        <v>26</v>
      </c>
      <c r="N6693" s="29"/>
      <c r="O6693" s="29"/>
      <c r="P6693" s="5" t="str">
        <f>IFERROR(__xludf.DUMMYFUNCTION("TEXTJOIN("" | "",TRUE,IF(OR(D6693="""",E6693="""",I6693="""",J6693="""",H6693=""""),""ফাঁকা ঘর"",""""),IF(AND(C6693&lt;&gt;"""",D6693&lt;&gt;"""",C6693=D6693),""gloss=figurative"",""""),IF(LEN(D6693)&lt;15,""figurative ছোট"",""""),IF(AND(I6693=""Positive"",REGEXMATCH(H6"&amp;"693,""মূর্খ|ভণ্ড|প্রতার|অলস|লোভ|স্বার্থ|অক্ষম|অযোগ্য|বোকা|কৃপণ|হিংস"")),""valence-target অমিল"",""""),IF(COUNTIF($B:$B,B6693)&gt;1,""ডুপ্লিকেট"",""""))"),"")</f>
        <v/>
      </c>
      <c r="Q6693" s="5" t="str">
        <f t="shared" si="1"/>
        <v>২ পরে</v>
      </c>
    </row>
    <row r="6694">
      <c r="A6694" s="4">
        <v>4632.0</v>
      </c>
      <c r="B6694" s="2" t="s">
        <v>27243</v>
      </c>
      <c r="C6694" s="2" t="s">
        <v>27244</v>
      </c>
      <c r="D6694" s="2" t="s">
        <v>27245</v>
      </c>
      <c r="E6694" s="2" t="s">
        <v>27246</v>
      </c>
      <c r="F6694" s="2" t="b">
        <v>1</v>
      </c>
      <c r="G6694" s="2" t="b">
        <v>0</v>
      </c>
      <c r="H6694" s="2" t="s">
        <v>27247</v>
      </c>
      <c r="I6694" s="2" t="s">
        <v>32</v>
      </c>
      <c r="J6694" s="2" t="s">
        <v>3111</v>
      </c>
      <c r="K6694" s="2" t="s">
        <v>495</v>
      </c>
      <c r="L6694" s="13" t="s">
        <v>496</v>
      </c>
      <c r="M6694" s="2" t="s">
        <v>26</v>
      </c>
      <c r="N6694" s="29"/>
      <c r="O6694" s="29"/>
      <c r="P6694" s="5" t="str">
        <f>IFERROR(__xludf.DUMMYFUNCTION("TEXTJOIN("" | "",TRUE,IF(OR(D6694="""",E6694="""",I6694="""",J6694="""",H6694=""""),""ফাঁকা ঘর"",""""),IF(AND(C6694&lt;&gt;"""",D6694&lt;&gt;"""",C6694=D6694),""gloss=figurative"",""""),IF(LEN(D6694)&lt;15,""figurative ছোট"",""""),IF(AND(I6694=""Positive"",REGEXMATCH(H6"&amp;"694,""মূর্খ|ভণ্ড|প্রতার|অলস|লোভ|স্বার্থ|অক্ষম|অযোগ্য|বোকা|কৃপণ|হিংস"")),""valence-target অমিল"",""""),IF(COUNTIF($B:$B,B6694)&gt;1,""ডুপ্লিকেট"",""""))"),"")</f>
        <v/>
      </c>
      <c r="Q6694" s="5" t="str">
        <f t="shared" si="1"/>
        <v>২ পরে</v>
      </c>
    </row>
    <row r="6695">
      <c r="A6695" s="4">
        <v>4633.0</v>
      </c>
      <c r="B6695" s="2" t="s">
        <v>27248</v>
      </c>
      <c r="C6695" s="2" t="s">
        <v>27249</v>
      </c>
      <c r="D6695" s="2" t="s">
        <v>27250</v>
      </c>
      <c r="E6695" s="2" t="s">
        <v>27251</v>
      </c>
      <c r="F6695" s="2" t="b">
        <v>1</v>
      </c>
      <c r="G6695" s="2" t="b">
        <v>0</v>
      </c>
      <c r="H6695" s="2" t="s">
        <v>27252</v>
      </c>
      <c r="I6695" s="2" t="s">
        <v>22</v>
      </c>
      <c r="J6695" s="2" t="s">
        <v>1686</v>
      </c>
      <c r="K6695" s="2" t="s">
        <v>495</v>
      </c>
      <c r="L6695" s="13" t="s">
        <v>496</v>
      </c>
      <c r="M6695" s="2" t="s">
        <v>26</v>
      </c>
      <c r="N6695" s="29"/>
      <c r="O6695" s="29"/>
      <c r="P6695" s="5" t="str">
        <f>IFERROR(__xludf.DUMMYFUNCTION("TEXTJOIN("" | "",TRUE,IF(OR(D6695="""",E6695="""",I6695="""",J6695="""",H6695=""""),""ফাঁকা ঘর"",""""),IF(AND(C6695&lt;&gt;"""",D6695&lt;&gt;"""",C6695=D6695),""gloss=figurative"",""""),IF(LEN(D6695)&lt;15,""figurative ছোট"",""""),IF(AND(I6695=""Positive"",REGEXMATCH(H6"&amp;"695,""মূর্খ|ভণ্ড|প্রতার|অলস|লোভ|স্বার্থ|অক্ষম|অযোগ্য|বোকা|কৃপণ|হিংস"")),""valence-target অমিল"",""""),IF(COUNTIF($B:$B,B6695)&gt;1,""ডুপ্লিকেট"",""""))"),"")</f>
        <v/>
      </c>
      <c r="Q6695" s="5" t="str">
        <f t="shared" si="1"/>
        <v>২ পরে</v>
      </c>
    </row>
    <row r="6696">
      <c r="A6696" s="4">
        <v>4634.0</v>
      </c>
      <c r="B6696" s="2" t="s">
        <v>27253</v>
      </c>
      <c r="C6696" s="2" t="s">
        <v>27253</v>
      </c>
      <c r="D6696" s="2" t="s">
        <v>27254</v>
      </c>
      <c r="E6696" s="2" t="s">
        <v>27255</v>
      </c>
      <c r="F6696" s="2" t="b">
        <v>1</v>
      </c>
      <c r="G6696" s="2" t="b">
        <v>0</v>
      </c>
      <c r="H6696" s="2" t="s">
        <v>37</v>
      </c>
      <c r="I6696" s="2" t="s">
        <v>32</v>
      </c>
      <c r="J6696" s="2" t="s">
        <v>27256</v>
      </c>
      <c r="K6696" s="2" t="s">
        <v>495</v>
      </c>
      <c r="L6696" s="13" t="s">
        <v>496</v>
      </c>
      <c r="M6696" s="2" t="s">
        <v>26</v>
      </c>
      <c r="N6696" s="29"/>
      <c r="O6696" s="29"/>
      <c r="P6696" s="5" t="str">
        <f>IFERROR(__xludf.DUMMYFUNCTION("TEXTJOIN("" | "",TRUE,IF(OR(D6696="""",E6696="""",I6696="""",J6696="""",H6696=""""),""ফাঁকা ঘর"",""""),IF(AND(C6696&lt;&gt;"""",D6696&lt;&gt;"""",C6696=D6696),""gloss=figurative"",""""),IF(LEN(D6696)&lt;15,""figurative ছোট"",""""),IF(AND(I6696=""Positive"",REGEXMATCH(H6"&amp;"696,""মূর্খ|ভণ্ড|প্রতার|অলস|লোভ|স্বার্থ|অক্ষম|অযোগ্য|বোকা|কৃপণ|হিংস"")),""valence-target অমিল"",""""),IF(COUNTIF($B:$B,B6696)&gt;1,""ডুপ্লিকেট"",""""))"),"")</f>
        <v/>
      </c>
      <c r="Q6696" s="5" t="str">
        <f t="shared" si="1"/>
        <v>২ পরে</v>
      </c>
    </row>
    <row r="6697">
      <c r="A6697" s="4">
        <v>4635.0</v>
      </c>
      <c r="B6697" s="2" t="s">
        <v>27257</v>
      </c>
      <c r="C6697" s="2" t="s">
        <v>27258</v>
      </c>
      <c r="D6697" s="2" t="s">
        <v>27259</v>
      </c>
      <c r="E6697" s="2" t="s">
        <v>27260</v>
      </c>
      <c r="F6697" s="2" t="b">
        <v>1</v>
      </c>
      <c r="G6697" s="2" t="b">
        <v>0</v>
      </c>
      <c r="H6697" s="2" t="s">
        <v>37</v>
      </c>
      <c r="I6697" s="2" t="s">
        <v>49</v>
      </c>
      <c r="J6697" s="2" t="s">
        <v>836</v>
      </c>
      <c r="K6697" s="2" t="s">
        <v>495</v>
      </c>
      <c r="L6697" s="13" t="s">
        <v>496</v>
      </c>
      <c r="M6697" s="2" t="s">
        <v>26</v>
      </c>
      <c r="N6697" s="29"/>
      <c r="O6697" s="29"/>
      <c r="P6697" s="5" t="str">
        <f>IFERROR(__xludf.DUMMYFUNCTION("TEXTJOIN("" | "",TRUE,IF(OR(D6697="""",E6697="""",I6697="""",J6697="""",H6697=""""),""ফাঁকা ঘর"",""""),IF(AND(C6697&lt;&gt;"""",D6697&lt;&gt;"""",C6697=D6697),""gloss=figurative"",""""),IF(LEN(D6697)&lt;15,""figurative ছোট"",""""),IF(AND(I6697=""Positive"",REGEXMATCH(H6"&amp;"697,""মূর্খ|ভণ্ড|প্রতার|অলস|লোভ|স্বার্থ|অক্ষম|অযোগ্য|বোকা|কৃপণ|হিংস"")),""valence-target অমিল"",""""),IF(COUNTIF($B:$B,B6697)&gt;1,""ডুপ্লিকেট"",""""))"),"")</f>
        <v/>
      </c>
      <c r="Q6697" s="5" t="str">
        <f t="shared" si="1"/>
        <v>২ পরে</v>
      </c>
    </row>
    <row r="6698">
      <c r="A6698" s="4">
        <v>4636.0</v>
      </c>
      <c r="B6698" s="2" t="s">
        <v>27261</v>
      </c>
      <c r="C6698" s="2" t="s">
        <v>27261</v>
      </c>
      <c r="D6698" s="2" t="s">
        <v>27262</v>
      </c>
      <c r="E6698" s="2" t="s">
        <v>27263</v>
      </c>
      <c r="F6698" s="2" t="b">
        <v>1</v>
      </c>
      <c r="G6698" s="2" t="b">
        <v>0</v>
      </c>
      <c r="H6698" s="2" t="s">
        <v>37</v>
      </c>
      <c r="I6698" s="2" t="s">
        <v>32</v>
      </c>
      <c r="J6698" s="2" t="s">
        <v>729</v>
      </c>
      <c r="K6698" s="2" t="s">
        <v>495</v>
      </c>
      <c r="L6698" s="13" t="s">
        <v>496</v>
      </c>
      <c r="M6698" s="2" t="s">
        <v>26</v>
      </c>
      <c r="N6698" s="29"/>
      <c r="O6698" s="29"/>
      <c r="P6698" s="5" t="str">
        <f>IFERROR(__xludf.DUMMYFUNCTION("TEXTJOIN("" | "",TRUE,IF(OR(D6698="""",E6698="""",I6698="""",J6698="""",H6698=""""),""ফাঁকা ঘর"",""""),IF(AND(C6698&lt;&gt;"""",D6698&lt;&gt;"""",C6698=D6698),""gloss=figurative"",""""),IF(LEN(D6698)&lt;15,""figurative ছোট"",""""),IF(AND(I6698=""Positive"",REGEXMATCH(H6"&amp;"698,""মূর্খ|ভণ্ড|প্রতার|অলস|লোভ|স্বার্থ|অক্ষম|অযোগ্য|বোকা|কৃপণ|হিংস"")),""valence-target অমিল"",""""),IF(COUNTIF($B:$B,B6698)&gt;1,""ডুপ্লিকেট"",""""))"),"")</f>
        <v/>
      </c>
      <c r="Q6698" s="5" t="str">
        <f t="shared" si="1"/>
        <v>২ পরে</v>
      </c>
    </row>
    <row r="6699">
      <c r="A6699" s="4">
        <v>4637.0</v>
      </c>
      <c r="B6699" s="2" t="s">
        <v>27264</v>
      </c>
      <c r="C6699" s="2" t="s">
        <v>27265</v>
      </c>
      <c r="D6699" s="2" t="s">
        <v>27266</v>
      </c>
      <c r="E6699" s="2" t="s">
        <v>27267</v>
      </c>
      <c r="F6699" s="2" t="b">
        <v>1</v>
      </c>
      <c r="G6699" s="2" t="b">
        <v>0</v>
      </c>
      <c r="H6699" s="2" t="s">
        <v>37</v>
      </c>
      <c r="I6699" s="2" t="s">
        <v>49</v>
      </c>
      <c r="J6699" s="2" t="s">
        <v>3684</v>
      </c>
      <c r="K6699" s="2" t="s">
        <v>495</v>
      </c>
      <c r="L6699" s="13" t="s">
        <v>496</v>
      </c>
      <c r="M6699" s="2" t="s">
        <v>26</v>
      </c>
      <c r="N6699" s="29"/>
      <c r="O6699" s="29"/>
      <c r="P6699" s="5" t="str">
        <f>IFERROR(__xludf.DUMMYFUNCTION("TEXTJOIN("" | "",TRUE,IF(OR(D6699="""",E6699="""",I6699="""",J6699="""",H6699=""""),""ফাঁকা ঘর"",""""),IF(AND(C6699&lt;&gt;"""",D6699&lt;&gt;"""",C6699=D6699),""gloss=figurative"",""""),IF(LEN(D6699)&lt;15,""figurative ছোট"",""""),IF(AND(I6699=""Positive"",REGEXMATCH(H6"&amp;"699,""মূর্খ|ভণ্ড|প্রতার|অলস|লোভ|স্বার্থ|অক্ষম|অযোগ্য|বোকা|কৃপণ|হিংস"")),""valence-target অমিল"",""""),IF(COUNTIF($B:$B,B6699)&gt;1,""ডুপ্লিকেট"",""""))"),"")</f>
        <v/>
      </c>
      <c r="Q6699" s="5" t="str">
        <f t="shared" si="1"/>
        <v>২ পরে</v>
      </c>
    </row>
    <row r="6700">
      <c r="A6700" s="4">
        <v>4638.0</v>
      </c>
      <c r="B6700" s="2" t="s">
        <v>27268</v>
      </c>
      <c r="C6700" s="2" t="s">
        <v>27269</v>
      </c>
      <c r="D6700" s="2" t="s">
        <v>27270</v>
      </c>
      <c r="E6700" s="2" t="s">
        <v>27271</v>
      </c>
      <c r="F6700" s="2" t="b">
        <v>1</v>
      </c>
      <c r="G6700" s="2" t="b">
        <v>0</v>
      </c>
      <c r="H6700" s="2" t="s">
        <v>37</v>
      </c>
      <c r="I6700" s="2" t="s">
        <v>49</v>
      </c>
      <c r="J6700" s="2" t="s">
        <v>913</v>
      </c>
      <c r="K6700" s="2" t="s">
        <v>495</v>
      </c>
      <c r="L6700" s="13" t="s">
        <v>496</v>
      </c>
      <c r="M6700" s="2" t="s">
        <v>26</v>
      </c>
      <c r="N6700" s="29"/>
      <c r="O6700" s="29"/>
      <c r="P6700" s="5" t="str">
        <f>IFERROR(__xludf.DUMMYFUNCTION("TEXTJOIN("" | "",TRUE,IF(OR(D6700="""",E6700="""",I6700="""",J6700="""",H6700=""""),""ফাঁকা ঘর"",""""),IF(AND(C6700&lt;&gt;"""",D6700&lt;&gt;"""",C6700=D6700),""gloss=figurative"",""""),IF(LEN(D6700)&lt;15,""figurative ছোট"",""""),IF(AND(I6700=""Positive"",REGEXMATCH(H6"&amp;"700,""মূর্খ|ভণ্ড|প্রতার|অলস|লোভ|স্বার্থ|অক্ষম|অযোগ্য|বোকা|কৃপণ|হিংস"")),""valence-target অমিল"",""""),IF(COUNTIF($B:$B,B6700)&gt;1,""ডুপ্লিকেট"",""""))"),"")</f>
        <v/>
      </c>
      <c r="Q6700" s="5" t="str">
        <f t="shared" si="1"/>
        <v>২ পরে</v>
      </c>
    </row>
    <row r="6701">
      <c r="A6701" s="4">
        <v>4639.0</v>
      </c>
      <c r="B6701" s="2" t="s">
        <v>27272</v>
      </c>
      <c r="C6701" s="2" t="s">
        <v>27273</v>
      </c>
      <c r="D6701" s="2" t="s">
        <v>27274</v>
      </c>
      <c r="E6701" s="2" t="s">
        <v>27275</v>
      </c>
      <c r="F6701" s="2" t="b">
        <v>1</v>
      </c>
      <c r="G6701" s="2" t="b">
        <v>0</v>
      </c>
      <c r="H6701" s="2" t="s">
        <v>37</v>
      </c>
      <c r="I6701" s="2" t="s">
        <v>49</v>
      </c>
      <c r="J6701" s="2" t="s">
        <v>2742</v>
      </c>
      <c r="K6701" s="2" t="s">
        <v>495</v>
      </c>
      <c r="L6701" s="13" t="s">
        <v>496</v>
      </c>
      <c r="M6701" s="2" t="s">
        <v>26</v>
      </c>
      <c r="N6701" s="29"/>
      <c r="O6701" s="29"/>
      <c r="P6701" s="5" t="str">
        <f>IFERROR(__xludf.DUMMYFUNCTION("TEXTJOIN("" | "",TRUE,IF(OR(D6701="""",E6701="""",I6701="""",J6701="""",H6701=""""),""ফাঁকা ঘর"",""""),IF(AND(C6701&lt;&gt;"""",D6701&lt;&gt;"""",C6701=D6701),""gloss=figurative"",""""),IF(LEN(D6701)&lt;15,""figurative ছোট"",""""),IF(AND(I6701=""Positive"",REGEXMATCH(H6"&amp;"701,""মূর্খ|ভণ্ড|প্রতার|অলস|লোভ|স্বার্থ|অক্ষম|অযোগ্য|বোকা|কৃপণ|হিংস"")),""valence-target অমিল"",""""),IF(COUNTIF($B:$B,B6701)&gt;1,""ডুপ্লিকেট"",""""))"),"")</f>
        <v/>
      </c>
      <c r="Q6701" s="5" t="str">
        <f t="shared" si="1"/>
        <v>২ পরে</v>
      </c>
    </row>
    <row r="6702">
      <c r="A6702" s="4">
        <v>4640.0</v>
      </c>
      <c r="B6702" s="2" t="s">
        <v>27276</v>
      </c>
      <c r="C6702" s="2" t="s">
        <v>27277</v>
      </c>
      <c r="D6702" s="2" t="s">
        <v>27278</v>
      </c>
      <c r="E6702" s="2" t="s">
        <v>27279</v>
      </c>
      <c r="F6702" s="2" t="b">
        <v>1</v>
      </c>
      <c r="G6702" s="2" t="b">
        <v>0</v>
      </c>
      <c r="H6702" s="2" t="s">
        <v>37</v>
      </c>
      <c r="I6702" s="2" t="s">
        <v>32</v>
      </c>
      <c r="J6702" s="2" t="s">
        <v>708</v>
      </c>
      <c r="K6702" s="2" t="s">
        <v>495</v>
      </c>
      <c r="L6702" s="13" t="s">
        <v>496</v>
      </c>
      <c r="M6702" s="2" t="s">
        <v>26</v>
      </c>
      <c r="N6702" s="29"/>
      <c r="O6702" s="29"/>
      <c r="P6702" s="5" t="str">
        <f>IFERROR(__xludf.DUMMYFUNCTION("TEXTJOIN("" | "",TRUE,IF(OR(D6702="""",E6702="""",I6702="""",J6702="""",H6702=""""),""ফাঁকা ঘর"",""""),IF(AND(C6702&lt;&gt;"""",D6702&lt;&gt;"""",C6702=D6702),""gloss=figurative"",""""),IF(LEN(D6702)&lt;15,""figurative ছোট"",""""),IF(AND(I6702=""Positive"",REGEXMATCH(H6"&amp;"702,""মূর্খ|ভণ্ড|প্রতার|অলস|লোভ|স্বার্থ|অক্ষম|অযোগ্য|বোকা|কৃপণ|হিংস"")),""valence-target অমিল"",""""),IF(COUNTIF($B:$B,B6702)&gt;1,""ডুপ্লিকেট"",""""))"),"")</f>
        <v/>
      </c>
      <c r="Q6702" s="5" t="str">
        <f t="shared" si="1"/>
        <v>২ পরে</v>
      </c>
    </row>
    <row r="6703">
      <c r="A6703" s="4">
        <v>4641.0</v>
      </c>
      <c r="B6703" s="2" t="s">
        <v>27280</v>
      </c>
      <c r="C6703" s="2" t="s">
        <v>27281</v>
      </c>
      <c r="D6703" s="2" t="s">
        <v>27282</v>
      </c>
      <c r="E6703" s="2" t="s">
        <v>27283</v>
      </c>
      <c r="F6703" s="2" t="b">
        <v>1</v>
      </c>
      <c r="G6703" s="2" t="b">
        <v>0</v>
      </c>
      <c r="H6703" s="2" t="s">
        <v>37</v>
      </c>
      <c r="I6703" s="2" t="s">
        <v>49</v>
      </c>
      <c r="J6703" s="2" t="s">
        <v>27284</v>
      </c>
      <c r="K6703" s="2" t="s">
        <v>495</v>
      </c>
      <c r="L6703" s="13" t="s">
        <v>496</v>
      </c>
      <c r="M6703" s="2" t="s">
        <v>26</v>
      </c>
      <c r="N6703" s="29"/>
      <c r="O6703" s="29"/>
      <c r="P6703" s="5" t="str">
        <f>IFERROR(__xludf.DUMMYFUNCTION("TEXTJOIN("" | "",TRUE,IF(OR(D6703="""",E6703="""",I6703="""",J6703="""",H6703=""""),""ফাঁকা ঘর"",""""),IF(AND(C6703&lt;&gt;"""",D6703&lt;&gt;"""",C6703=D6703),""gloss=figurative"",""""),IF(LEN(D6703)&lt;15,""figurative ছোট"",""""),IF(AND(I6703=""Positive"",REGEXMATCH(H6"&amp;"703,""মূর্খ|ভণ্ড|প্রতার|অলস|লোভ|স্বার্থ|অক্ষম|অযোগ্য|বোকা|কৃপণ|হিংস"")),""valence-target অমিল"",""""),IF(COUNTIF($B:$B,B6703)&gt;1,""ডুপ্লিকেট"",""""))"),"")</f>
        <v/>
      </c>
      <c r="Q6703" s="5" t="str">
        <f t="shared" si="1"/>
        <v>২ পরে</v>
      </c>
    </row>
    <row r="6704">
      <c r="A6704" s="4">
        <v>4642.0</v>
      </c>
      <c r="B6704" s="2" t="s">
        <v>27285</v>
      </c>
      <c r="C6704" s="2" t="s">
        <v>27286</v>
      </c>
      <c r="D6704" s="2" t="s">
        <v>27287</v>
      </c>
      <c r="E6704" s="2" t="s">
        <v>27288</v>
      </c>
      <c r="F6704" s="2" t="b">
        <v>1</v>
      </c>
      <c r="G6704" s="2" t="b">
        <v>0</v>
      </c>
      <c r="H6704" s="2" t="s">
        <v>37</v>
      </c>
      <c r="I6704" s="2" t="s">
        <v>32</v>
      </c>
      <c r="J6704" s="2" t="s">
        <v>708</v>
      </c>
      <c r="K6704" s="2" t="s">
        <v>495</v>
      </c>
      <c r="L6704" s="13" t="s">
        <v>496</v>
      </c>
      <c r="M6704" s="2" t="s">
        <v>26</v>
      </c>
      <c r="N6704" s="29"/>
      <c r="O6704" s="29"/>
      <c r="P6704" s="5" t="str">
        <f>IFERROR(__xludf.DUMMYFUNCTION("TEXTJOIN("" | "",TRUE,IF(OR(D6704="""",E6704="""",I6704="""",J6704="""",H6704=""""),""ফাঁকা ঘর"",""""),IF(AND(C6704&lt;&gt;"""",D6704&lt;&gt;"""",C6704=D6704),""gloss=figurative"",""""),IF(LEN(D6704)&lt;15,""figurative ছোট"",""""),IF(AND(I6704=""Positive"",REGEXMATCH(H6"&amp;"704,""মূর্খ|ভণ্ড|প্রতার|অলস|লোভ|স্বার্থ|অক্ষম|অযোগ্য|বোকা|কৃপণ|হিংস"")),""valence-target অমিল"",""""),IF(COUNTIF($B:$B,B6704)&gt;1,""ডুপ্লিকেট"",""""))"),"")</f>
        <v/>
      </c>
      <c r="Q6704" s="5" t="str">
        <f t="shared" si="1"/>
        <v>২ পরে</v>
      </c>
    </row>
    <row r="6705">
      <c r="A6705" s="4">
        <v>4643.0</v>
      </c>
      <c r="B6705" s="2" t="s">
        <v>27289</v>
      </c>
      <c r="C6705" s="2" t="s">
        <v>27290</v>
      </c>
      <c r="D6705" s="2" t="s">
        <v>27291</v>
      </c>
      <c r="E6705" s="2" t="s">
        <v>27292</v>
      </c>
      <c r="F6705" s="2" t="b">
        <v>1</v>
      </c>
      <c r="G6705" s="2" t="b">
        <v>0</v>
      </c>
      <c r="H6705" s="2" t="s">
        <v>37</v>
      </c>
      <c r="I6705" s="2" t="s">
        <v>22</v>
      </c>
      <c r="J6705" s="2" t="s">
        <v>43</v>
      </c>
      <c r="K6705" s="2" t="s">
        <v>495</v>
      </c>
      <c r="L6705" s="13" t="s">
        <v>496</v>
      </c>
      <c r="M6705" s="2" t="s">
        <v>26</v>
      </c>
      <c r="N6705" s="29"/>
      <c r="O6705" s="29"/>
      <c r="P6705" s="5" t="str">
        <f>IFERROR(__xludf.DUMMYFUNCTION("TEXTJOIN("" | "",TRUE,IF(OR(D6705="""",E6705="""",I6705="""",J6705="""",H6705=""""),""ফাঁকা ঘর"",""""),IF(AND(C6705&lt;&gt;"""",D6705&lt;&gt;"""",C6705=D6705),""gloss=figurative"",""""),IF(LEN(D6705)&lt;15,""figurative ছোট"",""""),IF(AND(I6705=""Positive"",REGEXMATCH(H6"&amp;"705,""মূর্খ|ভণ্ড|প্রতার|অলস|লোভ|স্বার্থ|অক্ষম|অযোগ্য|বোকা|কৃপণ|হিংস"")),""valence-target অমিল"",""""),IF(COUNTIF($B:$B,B6705)&gt;1,""ডুপ্লিকেট"",""""))"),"")</f>
        <v/>
      </c>
      <c r="Q6705" s="5" t="str">
        <f t="shared" si="1"/>
        <v>২ পরে</v>
      </c>
    </row>
    <row r="6706">
      <c r="A6706" s="4">
        <v>4644.0</v>
      </c>
      <c r="B6706" s="2" t="s">
        <v>27293</v>
      </c>
      <c r="C6706" s="2" t="s">
        <v>27294</v>
      </c>
      <c r="D6706" s="2" t="s">
        <v>27295</v>
      </c>
      <c r="E6706" s="2" t="s">
        <v>27296</v>
      </c>
      <c r="F6706" s="2" t="b">
        <v>1</v>
      </c>
      <c r="G6706" s="2" t="b">
        <v>0</v>
      </c>
      <c r="H6706" s="2" t="s">
        <v>1612</v>
      </c>
      <c r="I6706" s="2" t="s">
        <v>22</v>
      </c>
      <c r="J6706" s="2" t="s">
        <v>836</v>
      </c>
      <c r="K6706" s="2" t="s">
        <v>495</v>
      </c>
      <c r="L6706" s="13" t="s">
        <v>496</v>
      </c>
      <c r="M6706" s="2" t="s">
        <v>26</v>
      </c>
      <c r="N6706" s="29"/>
      <c r="O6706" s="29"/>
      <c r="P6706" s="5" t="str">
        <f>IFERROR(__xludf.DUMMYFUNCTION("TEXTJOIN("" | "",TRUE,IF(OR(D6706="""",E6706="""",I6706="""",J6706="""",H6706=""""),""ফাঁকা ঘর"",""""),IF(AND(C6706&lt;&gt;"""",D6706&lt;&gt;"""",C6706=D6706),""gloss=figurative"",""""),IF(LEN(D6706)&lt;15,""figurative ছোট"",""""),IF(AND(I6706=""Positive"",REGEXMATCH(H6"&amp;"706,""মূর্খ|ভণ্ড|প্রতার|অলস|লোভ|স্বার্থ|অক্ষম|অযোগ্য|বোকা|কৃপণ|হিংস"")),""valence-target অমিল"",""""),IF(COUNTIF($B:$B,B6706)&gt;1,""ডুপ্লিকেট"",""""))"),"")</f>
        <v/>
      </c>
      <c r="Q6706" s="5" t="str">
        <f t="shared" si="1"/>
        <v>২ পরে</v>
      </c>
    </row>
    <row r="6707">
      <c r="A6707" s="4">
        <v>4645.0</v>
      </c>
      <c r="B6707" s="2" t="s">
        <v>27297</v>
      </c>
      <c r="C6707" s="2" t="s">
        <v>27298</v>
      </c>
      <c r="D6707" s="2" t="s">
        <v>27299</v>
      </c>
      <c r="E6707" s="2" t="s">
        <v>27300</v>
      </c>
      <c r="F6707" s="2" t="b">
        <v>1</v>
      </c>
      <c r="G6707" s="2" t="b">
        <v>0</v>
      </c>
      <c r="H6707" s="2" t="s">
        <v>4703</v>
      </c>
      <c r="I6707" s="2" t="s">
        <v>22</v>
      </c>
      <c r="J6707" s="2" t="s">
        <v>1233</v>
      </c>
      <c r="K6707" s="2" t="s">
        <v>495</v>
      </c>
      <c r="L6707" s="13" t="s">
        <v>496</v>
      </c>
      <c r="M6707" s="2" t="s">
        <v>26</v>
      </c>
      <c r="N6707" s="29"/>
      <c r="O6707" s="29"/>
      <c r="P6707" s="5" t="str">
        <f>IFERROR(__xludf.DUMMYFUNCTION("TEXTJOIN("" | "",TRUE,IF(OR(D6707="""",E6707="""",I6707="""",J6707="""",H6707=""""),""ফাঁকা ঘর"",""""),IF(AND(C6707&lt;&gt;"""",D6707&lt;&gt;"""",C6707=D6707),""gloss=figurative"",""""),IF(LEN(D6707)&lt;15,""figurative ছোট"",""""),IF(AND(I6707=""Positive"",REGEXMATCH(H6"&amp;"707,""মূর্খ|ভণ্ড|প্রতার|অলস|লোভ|স্বার্থ|অক্ষম|অযোগ্য|বোকা|কৃপণ|হিংস"")),""valence-target অমিল"",""""),IF(COUNTIF($B:$B,B6707)&gt;1,""ডুপ্লিকেট"",""""))"),"")</f>
        <v/>
      </c>
      <c r="Q6707" s="5" t="str">
        <f t="shared" si="1"/>
        <v>২ পরে</v>
      </c>
    </row>
    <row r="6708">
      <c r="A6708" s="4">
        <v>4646.0</v>
      </c>
      <c r="B6708" s="2" t="s">
        <v>27301</v>
      </c>
      <c r="C6708" s="2" t="s">
        <v>27301</v>
      </c>
      <c r="D6708" s="2" t="s">
        <v>27302</v>
      </c>
      <c r="E6708" s="2" t="s">
        <v>27303</v>
      </c>
      <c r="F6708" s="2" t="b">
        <v>1</v>
      </c>
      <c r="G6708" s="2" t="b">
        <v>0</v>
      </c>
      <c r="H6708" s="2" t="s">
        <v>37</v>
      </c>
      <c r="I6708" s="2" t="s">
        <v>22</v>
      </c>
      <c r="J6708" s="2" t="s">
        <v>27304</v>
      </c>
      <c r="K6708" s="2" t="s">
        <v>495</v>
      </c>
      <c r="L6708" s="13" t="s">
        <v>496</v>
      </c>
      <c r="M6708" s="2" t="s">
        <v>26</v>
      </c>
      <c r="N6708" s="29"/>
      <c r="O6708" s="29"/>
      <c r="P6708" s="5" t="str">
        <f>IFERROR(__xludf.DUMMYFUNCTION("TEXTJOIN("" | "",TRUE,IF(OR(D6708="""",E6708="""",I6708="""",J6708="""",H6708=""""),""ফাঁকা ঘর"",""""),IF(AND(C6708&lt;&gt;"""",D6708&lt;&gt;"""",C6708=D6708),""gloss=figurative"",""""),IF(LEN(D6708)&lt;15,""figurative ছোট"",""""),IF(AND(I6708=""Positive"",REGEXMATCH(H6"&amp;"708,""মূর্খ|ভণ্ড|প্রতার|অলস|লোভ|স্বার্থ|অক্ষম|অযোগ্য|বোকা|কৃপণ|হিংস"")),""valence-target অমিল"",""""),IF(COUNTIF($B:$B,B6708)&gt;1,""ডুপ্লিকেট"",""""))"),"")</f>
        <v/>
      </c>
      <c r="Q6708" s="5" t="str">
        <f t="shared" si="1"/>
        <v>২ পরে</v>
      </c>
    </row>
    <row r="6709">
      <c r="A6709" s="4">
        <v>4647.0</v>
      </c>
      <c r="B6709" s="2" t="s">
        <v>27305</v>
      </c>
      <c r="C6709" s="2" t="s">
        <v>27306</v>
      </c>
      <c r="D6709" s="2" t="s">
        <v>27307</v>
      </c>
      <c r="E6709" s="2" t="s">
        <v>27308</v>
      </c>
      <c r="F6709" s="2" t="b">
        <v>1</v>
      </c>
      <c r="G6709" s="2" t="b">
        <v>0</v>
      </c>
      <c r="H6709" s="2" t="s">
        <v>37</v>
      </c>
      <c r="I6709" s="2" t="s">
        <v>49</v>
      </c>
      <c r="J6709" s="2" t="s">
        <v>3680</v>
      </c>
      <c r="K6709" s="2" t="s">
        <v>495</v>
      </c>
      <c r="L6709" s="13" t="s">
        <v>496</v>
      </c>
      <c r="M6709" s="2" t="s">
        <v>26</v>
      </c>
      <c r="N6709" s="29"/>
      <c r="O6709" s="29"/>
      <c r="P6709" s="5" t="str">
        <f>IFERROR(__xludf.DUMMYFUNCTION("TEXTJOIN("" | "",TRUE,IF(OR(D6709="""",E6709="""",I6709="""",J6709="""",H6709=""""),""ফাঁকা ঘর"",""""),IF(AND(C6709&lt;&gt;"""",D6709&lt;&gt;"""",C6709=D6709),""gloss=figurative"",""""),IF(LEN(D6709)&lt;15,""figurative ছোট"",""""),IF(AND(I6709=""Positive"",REGEXMATCH(H6"&amp;"709,""মূর্খ|ভণ্ড|প্রতার|অলস|লোভ|স্বার্থ|অক্ষম|অযোগ্য|বোকা|কৃপণ|হিংস"")),""valence-target অমিল"",""""),IF(COUNTIF($B:$B,B6709)&gt;1,""ডুপ্লিকেট"",""""))"),"")</f>
        <v/>
      </c>
      <c r="Q6709" s="5" t="str">
        <f t="shared" si="1"/>
        <v>২ পরে</v>
      </c>
    </row>
    <row r="6710">
      <c r="A6710" s="4">
        <v>4648.0</v>
      </c>
      <c r="B6710" s="2" t="s">
        <v>27309</v>
      </c>
      <c r="C6710" s="2" t="s">
        <v>27310</v>
      </c>
      <c r="D6710" s="2" t="s">
        <v>27311</v>
      </c>
      <c r="E6710" s="2" t="s">
        <v>27312</v>
      </c>
      <c r="F6710" s="2" t="b">
        <v>1</v>
      </c>
      <c r="G6710" s="2" t="b">
        <v>0</v>
      </c>
      <c r="H6710" s="2" t="s">
        <v>37</v>
      </c>
      <c r="I6710" s="2" t="s">
        <v>49</v>
      </c>
      <c r="J6710" s="2" t="s">
        <v>1239</v>
      </c>
      <c r="K6710" s="2" t="s">
        <v>495</v>
      </c>
      <c r="L6710" s="13" t="s">
        <v>496</v>
      </c>
      <c r="M6710" s="2" t="s">
        <v>26</v>
      </c>
      <c r="N6710" s="29"/>
      <c r="O6710" s="29"/>
      <c r="P6710" s="5" t="str">
        <f>IFERROR(__xludf.DUMMYFUNCTION("TEXTJOIN("" | "",TRUE,IF(OR(D6710="""",E6710="""",I6710="""",J6710="""",H6710=""""),""ফাঁকা ঘর"",""""),IF(AND(C6710&lt;&gt;"""",D6710&lt;&gt;"""",C6710=D6710),""gloss=figurative"",""""),IF(LEN(D6710)&lt;15,""figurative ছোট"",""""),IF(AND(I6710=""Positive"",REGEXMATCH(H6"&amp;"710,""মূর্খ|ভণ্ড|প্রতার|অলস|লোভ|স্বার্থ|অক্ষম|অযোগ্য|বোকা|কৃপণ|হিংস"")),""valence-target অমিল"",""""),IF(COUNTIF($B:$B,B6710)&gt;1,""ডুপ্লিকেট"",""""))"),"")</f>
        <v/>
      </c>
      <c r="Q6710" s="5" t="str">
        <f t="shared" si="1"/>
        <v>২ পরে</v>
      </c>
    </row>
    <row r="6711">
      <c r="A6711" s="4">
        <v>4649.0</v>
      </c>
      <c r="B6711" s="2" t="s">
        <v>27313</v>
      </c>
      <c r="C6711" s="2" t="s">
        <v>27314</v>
      </c>
      <c r="D6711" s="2" t="s">
        <v>27315</v>
      </c>
      <c r="E6711" s="2" t="s">
        <v>27316</v>
      </c>
      <c r="F6711" s="2" t="b">
        <v>1</v>
      </c>
      <c r="G6711" s="2" t="b">
        <v>0</v>
      </c>
      <c r="H6711" s="2" t="s">
        <v>1334</v>
      </c>
      <c r="I6711" s="2" t="s">
        <v>22</v>
      </c>
      <c r="J6711" s="2" t="s">
        <v>820</v>
      </c>
      <c r="K6711" s="2" t="s">
        <v>495</v>
      </c>
      <c r="L6711" s="13" t="s">
        <v>496</v>
      </c>
      <c r="M6711" s="2" t="s">
        <v>26</v>
      </c>
      <c r="N6711" s="29"/>
      <c r="O6711" s="29"/>
      <c r="P6711" s="5" t="str">
        <f>IFERROR(__xludf.DUMMYFUNCTION("TEXTJOIN("" | "",TRUE,IF(OR(D6711="""",E6711="""",I6711="""",J6711="""",H6711=""""),""ফাঁকা ঘর"",""""),IF(AND(C6711&lt;&gt;"""",D6711&lt;&gt;"""",C6711=D6711),""gloss=figurative"",""""),IF(LEN(D6711)&lt;15,""figurative ছোট"",""""),IF(AND(I6711=""Positive"",REGEXMATCH(H6"&amp;"711,""মূর্খ|ভণ্ড|প্রতার|অলস|লোভ|স্বার্থ|অক্ষম|অযোগ্য|বোকা|কৃপণ|হিংস"")),""valence-target অমিল"",""""),IF(COUNTIF($B:$B,B6711)&gt;1,""ডুপ্লিকেট"",""""))"),"")</f>
        <v/>
      </c>
      <c r="Q6711" s="5" t="str">
        <f t="shared" si="1"/>
        <v>২ পরে</v>
      </c>
    </row>
    <row r="6712">
      <c r="A6712" s="4">
        <v>4650.0</v>
      </c>
      <c r="B6712" s="2" t="s">
        <v>27317</v>
      </c>
      <c r="C6712" s="2" t="s">
        <v>27318</v>
      </c>
      <c r="D6712" s="2" t="s">
        <v>10981</v>
      </c>
      <c r="E6712" s="2" t="s">
        <v>27319</v>
      </c>
      <c r="F6712" s="2" t="b">
        <v>1</v>
      </c>
      <c r="G6712" s="2" t="b">
        <v>0</v>
      </c>
      <c r="H6712" s="2" t="s">
        <v>37</v>
      </c>
      <c r="I6712" s="2" t="s">
        <v>49</v>
      </c>
      <c r="J6712" s="2" t="s">
        <v>447</v>
      </c>
      <c r="K6712" s="2" t="s">
        <v>495</v>
      </c>
      <c r="L6712" s="13" t="s">
        <v>496</v>
      </c>
      <c r="M6712" s="2" t="s">
        <v>26</v>
      </c>
      <c r="N6712" s="29"/>
      <c r="O6712" s="29"/>
      <c r="P6712" s="5" t="str">
        <f>IFERROR(__xludf.DUMMYFUNCTION("TEXTJOIN("" | "",TRUE,IF(OR(D6712="""",E6712="""",I6712="""",J6712="""",H6712=""""),""ফাঁকা ঘর"",""""),IF(AND(C6712&lt;&gt;"""",D6712&lt;&gt;"""",C6712=D6712),""gloss=figurative"",""""),IF(LEN(D6712)&lt;15,""figurative ছোট"",""""),IF(AND(I6712=""Positive"",REGEXMATCH(H6"&amp;"712,""মূর্খ|ভণ্ড|প্রতার|অলস|লোভ|স্বার্থ|অক্ষম|অযোগ্য|বোকা|কৃপণ|হিংস"")),""valence-target অমিল"",""""),IF(COUNTIF($B:$B,B6712)&gt;1,""ডুপ্লিকেট"",""""))"),"")</f>
        <v/>
      </c>
      <c r="Q6712" s="5" t="str">
        <f t="shared" si="1"/>
        <v>২ পরে</v>
      </c>
    </row>
    <row r="6713">
      <c r="A6713" s="4">
        <v>4651.0</v>
      </c>
      <c r="B6713" s="2" t="s">
        <v>27320</v>
      </c>
      <c r="C6713" s="2" t="s">
        <v>27321</v>
      </c>
      <c r="D6713" s="2" t="s">
        <v>27322</v>
      </c>
      <c r="E6713" s="2" t="s">
        <v>27323</v>
      </c>
      <c r="F6713" s="2" t="b">
        <v>1</v>
      </c>
      <c r="G6713" s="2" t="b">
        <v>0</v>
      </c>
      <c r="H6713" s="2" t="s">
        <v>37</v>
      </c>
      <c r="I6713" s="2" t="s">
        <v>49</v>
      </c>
      <c r="J6713" s="2" t="s">
        <v>1060</v>
      </c>
      <c r="K6713" s="2" t="s">
        <v>495</v>
      </c>
      <c r="L6713" s="13" t="s">
        <v>496</v>
      </c>
      <c r="M6713" s="2" t="s">
        <v>26</v>
      </c>
      <c r="N6713" s="29"/>
      <c r="O6713" s="29"/>
      <c r="P6713" s="5" t="str">
        <f>IFERROR(__xludf.DUMMYFUNCTION("TEXTJOIN("" | "",TRUE,IF(OR(D6713="""",E6713="""",I6713="""",J6713="""",H6713=""""),""ফাঁকা ঘর"",""""),IF(AND(C6713&lt;&gt;"""",D6713&lt;&gt;"""",C6713=D6713),""gloss=figurative"",""""),IF(LEN(D6713)&lt;15,""figurative ছোট"",""""),IF(AND(I6713=""Positive"",REGEXMATCH(H6"&amp;"713,""মূর্খ|ভণ্ড|প্রতার|অলস|লোভ|স্বার্থ|অক্ষম|অযোগ্য|বোকা|কৃপণ|হিংস"")),""valence-target অমিল"",""""),IF(COUNTIF($B:$B,B6713)&gt;1,""ডুপ্লিকেট"",""""))"),"")</f>
        <v/>
      </c>
      <c r="Q6713" s="5" t="str">
        <f t="shared" si="1"/>
        <v>২ পরে</v>
      </c>
    </row>
    <row r="6714">
      <c r="A6714" s="4">
        <v>4654.0</v>
      </c>
      <c r="B6714" s="2" t="s">
        <v>27324</v>
      </c>
      <c r="C6714" s="2" t="s">
        <v>27325</v>
      </c>
      <c r="D6714" s="2" t="s">
        <v>27326</v>
      </c>
      <c r="E6714" s="2" t="s">
        <v>27327</v>
      </c>
      <c r="F6714" s="2" t="b">
        <v>1</v>
      </c>
      <c r="G6714" s="2" t="b">
        <v>0</v>
      </c>
      <c r="H6714" s="2" t="s">
        <v>37</v>
      </c>
      <c r="I6714" s="2" t="s">
        <v>32</v>
      </c>
      <c r="J6714" s="2" t="s">
        <v>1060</v>
      </c>
      <c r="K6714" s="2" t="s">
        <v>495</v>
      </c>
      <c r="L6714" s="13" t="s">
        <v>496</v>
      </c>
      <c r="M6714" s="2" t="s">
        <v>26</v>
      </c>
      <c r="N6714" s="29"/>
      <c r="O6714" s="29"/>
      <c r="P6714" s="5" t="str">
        <f>IFERROR(__xludf.DUMMYFUNCTION("TEXTJOIN("" | "",TRUE,IF(OR(D6714="""",E6714="""",I6714="""",J6714="""",H6714=""""),""ফাঁকা ঘর"",""""),IF(AND(C6714&lt;&gt;"""",D6714&lt;&gt;"""",C6714=D6714),""gloss=figurative"",""""),IF(LEN(D6714)&lt;15,""figurative ছোট"",""""),IF(AND(I6714=""Positive"",REGEXMATCH(H6"&amp;"714,""মূর্খ|ভণ্ড|প্রতার|অলস|লোভ|স্বার্থ|অক্ষম|অযোগ্য|বোকা|কৃপণ|হিংস"")),""valence-target অমিল"",""""),IF(COUNTIF($B:$B,B6714)&gt;1,""ডুপ্লিকেট"",""""))"),"")</f>
        <v/>
      </c>
      <c r="Q6714" s="5" t="str">
        <f t="shared" si="1"/>
        <v>২ পরে</v>
      </c>
    </row>
    <row r="6715">
      <c r="A6715" s="4">
        <v>4655.0</v>
      </c>
      <c r="B6715" s="2" t="s">
        <v>27328</v>
      </c>
      <c r="C6715" s="2" t="s">
        <v>27329</v>
      </c>
      <c r="D6715" s="2" t="s">
        <v>27330</v>
      </c>
      <c r="E6715" s="2" t="s">
        <v>27331</v>
      </c>
      <c r="F6715" s="2" t="b">
        <v>1</v>
      </c>
      <c r="G6715" s="2" t="b">
        <v>0</v>
      </c>
      <c r="H6715" s="2" t="s">
        <v>37</v>
      </c>
      <c r="I6715" s="2" t="s">
        <v>22</v>
      </c>
      <c r="J6715" s="2" t="s">
        <v>1060</v>
      </c>
      <c r="K6715" s="2" t="s">
        <v>495</v>
      </c>
      <c r="L6715" s="13" t="s">
        <v>496</v>
      </c>
      <c r="M6715" s="2" t="s">
        <v>26</v>
      </c>
      <c r="N6715" s="29"/>
      <c r="O6715" s="29"/>
      <c r="P6715" s="5" t="str">
        <f>IFERROR(__xludf.DUMMYFUNCTION("TEXTJOIN("" | "",TRUE,IF(OR(D6715="""",E6715="""",I6715="""",J6715="""",H6715=""""),""ফাঁকা ঘর"",""""),IF(AND(C6715&lt;&gt;"""",D6715&lt;&gt;"""",C6715=D6715),""gloss=figurative"",""""),IF(LEN(D6715)&lt;15,""figurative ছোট"",""""),IF(AND(I6715=""Positive"",REGEXMATCH(H6"&amp;"715,""মূর্খ|ভণ্ড|প্রতার|অলস|লোভ|স্বার্থ|অক্ষম|অযোগ্য|বোকা|কৃপণ|হিংস"")),""valence-target অমিল"",""""),IF(COUNTIF($B:$B,B6715)&gt;1,""ডুপ্লিকেট"",""""))"),"")</f>
        <v/>
      </c>
      <c r="Q6715" s="5" t="str">
        <f t="shared" si="1"/>
        <v>২ পরে</v>
      </c>
    </row>
    <row r="6716">
      <c r="A6716" s="4">
        <v>4656.0</v>
      </c>
      <c r="B6716" s="2" t="s">
        <v>27332</v>
      </c>
      <c r="C6716" s="2" t="s">
        <v>27332</v>
      </c>
      <c r="D6716" s="2" t="s">
        <v>27333</v>
      </c>
      <c r="E6716" s="2" t="s">
        <v>27334</v>
      </c>
      <c r="F6716" s="2" t="b">
        <v>1</v>
      </c>
      <c r="G6716" s="2" t="b">
        <v>0</v>
      </c>
      <c r="H6716" s="2" t="s">
        <v>1025</v>
      </c>
      <c r="I6716" s="2" t="s">
        <v>22</v>
      </c>
      <c r="J6716" s="2" t="s">
        <v>1027</v>
      </c>
      <c r="K6716" s="2" t="s">
        <v>495</v>
      </c>
      <c r="L6716" s="13" t="s">
        <v>496</v>
      </c>
      <c r="M6716" s="2" t="s">
        <v>26</v>
      </c>
      <c r="N6716" s="29"/>
      <c r="O6716" s="29"/>
      <c r="P6716" s="5" t="str">
        <f>IFERROR(__xludf.DUMMYFUNCTION("TEXTJOIN("" | "",TRUE,IF(OR(D6716="""",E6716="""",I6716="""",J6716="""",H6716=""""),""ফাঁকা ঘর"",""""),IF(AND(C6716&lt;&gt;"""",D6716&lt;&gt;"""",C6716=D6716),""gloss=figurative"",""""),IF(LEN(D6716)&lt;15,""figurative ছোট"",""""),IF(AND(I6716=""Positive"",REGEXMATCH(H6"&amp;"716,""মূর্খ|ভণ্ড|প্রতার|অলস|লোভ|স্বার্থ|অক্ষম|অযোগ্য|বোকা|কৃপণ|হিংস"")),""valence-target অমিল"",""""),IF(COUNTIF($B:$B,B6716)&gt;1,""ডুপ্লিকেট"",""""))"),"")</f>
        <v/>
      </c>
      <c r="Q6716" s="5" t="str">
        <f t="shared" si="1"/>
        <v>২ পরে</v>
      </c>
    </row>
    <row r="6717">
      <c r="A6717" s="4">
        <v>4657.0</v>
      </c>
      <c r="B6717" s="2" t="s">
        <v>27335</v>
      </c>
      <c r="C6717" s="2" t="s">
        <v>27336</v>
      </c>
      <c r="D6717" s="2" t="s">
        <v>27337</v>
      </c>
      <c r="E6717" s="2" t="s">
        <v>27338</v>
      </c>
      <c r="F6717" s="2" t="b">
        <v>1</v>
      </c>
      <c r="G6717" s="2" t="b">
        <v>0</v>
      </c>
      <c r="H6717" s="2" t="s">
        <v>37</v>
      </c>
      <c r="I6717" s="2" t="s">
        <v>49</v>
      </c>
      <c r="J6717" s="2" t="s">
        <v>1060</v>
      </c>
      <c r="K6717" s="2" t="s">
        <v>495</v>
      </c>
      <c r="L6717" s="13" t="s">
        <v>496</v>
      </c>
      <c r="M6717" s="2" t="s">
        <v>26</v>
      </c>
      <c r="N6717" s="29"/>
      <c r="O6717" s="29"/>
      <c r="P6717" s="5" t="str">
        <f>IFERROR(__xludf.DUMMYFUNCTION("TEXTJOIN("" | "",TRUE,IF(OR(D6717="""",E6717="""",I6717="""",J6717="""",H6717=""""),""ফাঁকা ঘর"",""""),IF(AND(C6717&lt;&gt;"""",D6717&lt;&gt;"""",C6717=D6717),""gloss=figurative"",""""),IF(LEN(D6717)&lt;15,""figurative ছোট"",""""),IF(AND(I6717=""Positive"",REGEXMATCH(H6"&amp;"717,""মূর্খ|ভণ্ড|প্রতার|অলস|লোভ|স্বার্থ|অক্ষম|অযোগ্য|বোকা|কৃপণ|হিংস"")),""valence-target অমিল"",""""),IF(COUNTIF($B:$B,B6717)&gt;1,""ডুপ্লিকেট"",""""))"),"")</f>
        <v/>
      </c>
      <c r="Q6717" s="5" t="str">
        <f t="shared" si="1"/>
        <v>২ পরে</v>
      </c>
    </row>
    <row r="6718">
      <c r="A6718" s="4">
        <v>4658.0</v>
      </c>
      <c r="B6718" s="2" t="s">
        <v>27339</v>
      </c>
      <c r="C6718" s="2" t="s">
        <v>27340</v>
      </c>
      <c r="D6718" s="2" t="s">
        <v>27341</v>
      </c>
      <c r="E6718" s="2" t="s">
        <v>27342</v>
      </c>
      <c r="F6718" s="2" t="b">
        <v>1</v>
      </c>
      <c r="G6718" s="2" t="b">
        <v>0</v>
      </c>
      <c r="H6718" s="2" t="s">
        <v>1334</v>
      </c>
      <c r="I6718" s="2" t="s">
        <v>22</v>
      </c>
      <c r="J6718" s="2" t="s">
        <v>820</v>
      </c>
      <c r="K6718" s="2" t="s">
        <v>495</v>
      </c>
      <c r="L6718" s="13" t="s">
        <v>496</v>
      </c>
      <c r="M6718" s="2" t="s">
        <v>26</v>
      </c>
      <c r="N6718" s="29"/>
      <c r="O6718" s="29"/>
      <c r="P6718" s="5" t="str">
        <f>IFERROR(__xludf.DUMMYFUNCTION("TEXTJOIN("" | "",TRUE,IF(OR(D6718="""",E6718="""",I6718="""",J6718="""",H6718=""""),""ফাঁকা ঘর"",""""),IF(AND(C6718&lt;&gt;"""",D6718&lt;&gt;"""",C6718=D6718),""gloss=figurative"",""""),IF(LEN(D6718)&lt;15,""figurative ছোট"",""""),IF(AND(I6718=""Positive"",REGEXMATCH(H6"&amp;"718,""মূর্খ|ভণ্ড|প্রতার|অলস|লোভ|স্বার্থ|অক্ষম|অযোগ্য|বোকা|কৃপণ|হিংস"")),""valence-target অমিল"",""""),IF(COUNTIF($B:$B,B6718)&gt;1,""ডুপ্লিকেট"",""""))"),"")</f>
        <v/>
      </c>
      <c r="Q6718" s="5" t="str">
        <f t="shared" si="1"/>
        <v>২ পরে</v>
      </c>
    </row>
    <row r="6719">
      <c r="A6719" s="4">
        <v>4659.0</v>
      </c>
      <c r="B6719" s="2" t="s">
        <v>27343</v>
      </c>
      <c r="C6719" s="2" t="s">
        <v>27344</v>
      </c>
      <c r="D6719" s="2" t="s">
        <v>27345</v>
      </c>
      <c r="E6719" s="2" t="s">
        <v>27346</v>
      </c>
      <c r="F6719" s="2" t="b">
        <v>1</v>
      </c>
      <c r="G6719" s="2" t="b">
        <v>0</v>
      </c>
      <c r="H6719" s="2" t="s">
        <v>1334</v>
      </c>
      <c r="I6719" s="2" t="s">
        <v>22</v>
      </c>
      <c r="J6719" s="2" t="s">
        <v>820</v>
      </c>
      <c r="K6719" s="2" t="s">
        <v>495</v>
      </c>
      <c r="L6719" s="13" t="s">
        <v>496</v>
      </c>
      <c r="M6719" s="2" t="s">
        <v>26</v>
      </c>
      <c r="N6719" s="29"/>
      <c r="O6719" s="29"/>
      <c r="P6719" s="5" t="str">
        <f>IFERROR(__xludf.DUMMYFUNCTION("TEXTJOIN("" | "",TRUE,IF(OR(D6719="""",E6719="""",I6719="""",J6719="""",H6719=""""),""ফাঁকা ঘর"",""""),IF(AND(C6719&lt;&gt;"""",D6719&lt;&gt;"""",C6719=D6719),""gloss=figurative"",""""),IF(LEN(D6719)&lt;15,""figurative ছোট"",""""),IF(AND(I6719=""Positive"",REGEXMATCH(H6"&amp;"719,""মূর্খ|ভণ্ড|প্রতার|অলস|লোভ|স্বার্থ|অক্ষম|অযোগ্য|বোকা|কৃপণ|হিংস"")),""valence-target অমিল"",""""),IF(COUNTIF($B:$B,B6719)&gt;1,""ডুপ্লিকেট"",""""))"),"")</f>
        <v/>
      </c>
      <c r="Q6719" s="5" t="str">
        <f t="shared" si="1"/>
        <v>২ পরে</v>
      </c>
    </row>
    <row r="6720">
      <c r="A6720" s="4">
        <v>4660.0</v>
      </c>
      <c r="B6720" s="2" t="s">
        <v>27347</v>
      </c>
      <c r="C6720" s="2" t="s">
        <v>27347</v>
      </c>
      <c r="D6720" s="2" t="s">
        <v>27348</v>
      </c>
      <c r="E6720" s="2" t="s">
        <v>27349</v>
      </c>
      <c r="F6720" s="2" t="b">
        <v>1</v>
      </c>
      <c r="G6720" s="2" t="b">
        <v>0</v>
      </c>
      <c r="H6720" s="2" t="s">
        <v>37</v>
      </c>
      <c r="I6720" s="2" t="s">
        <v>49</v>
      </c>
      <c r="J6720" s="2" t="s">
        <v>1060</v>
      </c>
      <c r="K6720" s="2" t="s">
        <v>495</v>
      </c>
      <c r="L6720" s="13" t="s">
        <v>496</v>
      </c>
      <c r="M6720" s="2" t="s">
        <v>26</v>
      </c>
      <c r="N6720" s="29"/>
      <c r="O6720" s="29"/>
      <c r="P6720" s="5" t="str">
        <f>IFERROR(__xludf.DUMMYFUNCTION("TEXTJOIN("" | "",TRUE,IF(OR(D6720="""",E6720="""",I6720="""",J6720="""",H6720=""""),""ফাঁকা ঘর"",""""),IF(AND(C6720&lt;&gt;"""",D6720&lt;&gt;"""",C6720=D6720),""gloss=figurative"",""""),IF(LEN(D6720)&lt;15,""figurative ছোট"",""""),IF(AND(I6720=""Positive"",REGEXMATCH(H6"&amp;"720,""মূর্খ|ভণ্ড|প্রতার|অলস|লোভ|স্বার্থ|অক্ষম|অযোগ্য|বোকা|কৃপণ|হিংস"")),""valence-target অমিল"",""""),IF(COUNTIF($B:$B,B6720)&gt;1,""ডুপ্লিকেট"",""""))"),"")</f>
        <v/>
      </c>
      <c r="Q6720" s="5" t="str">
        <f t="shared" si="1"/>
        <v>২ পরে</v>
      </c>
    </row>
    <row r="6721">
      <c r="A6721" s="4">
        <v>4661.0</v>
      </c>
      <c r="B6721" s="2" t="s">
        <v>27350</v>
      </c>
      <c r="C6721" s="2" t="s">
        <v>27351</v>
      </c>
      <c r="D6721" s="2" t="s">
        <v>27352</v>
      </c>
      <c r="E6721" s="2" t="s">
        <v>27353</v>
      </c>
      <c r="F6721" s="2" t="b">
        <v>1</v>
      </c>
      <c r="G6721" s="2" t="b">
        <v>0</v>
      </c>
      <c r="H6721" s="2" t="s">
        <v>37</v>
      </c>
      <c r="I6721" s="2" t="s">
        <v>49</v>
      </c>
      <c r="J6721" s="2" t="s">
        <v>1060</v>
      </c>
      <c r="K6721" s="2" t="s">
        <v>495</v>
      </c>
      <c r="L6721" s="13" t="s">
        <v>496</v>
      </c>
      <c r="M6721" s="2" t="s">
        <v>26</v>
      </c>
      <c r="N6721" s="29"/>
      <c r="O6721" s="29"/>
      <c r="P6721" s="5" t="str">
        <f>IFERROR(__xludf.DUMMYFUNCTION("TEXTJOIN("" | "",TRUE,IF(OR(D6721="""",E6721="""",I6721="""",J6721="""",H6721=""""),""ফাঁকা ঘর"",""""),IF(AND(C6721&lt;&gt;"""",D6721&lt;&gt;"""",C6721=D6721),""gloss=figurative"",""""),IF(LEN(D6721)&lt;15,""figurative ছোট"",""""),IF(AND(I6721=""Positive"",REGEXMATCH(H6"&amp;"721,""মূর্খ|ভণ্ড|প্রতার|অলস|লোভ|স্বার্থ|অক্ষম|অযোগ্য|বোকা|কৃপণ|হিংস"")),""valence-target অমিল"",""""),IF(COUNTIF($B:$B,B6721)&gt;1,""ডুপ্লিকেট"",""""))"),"")</f>
        <v/>
      </c>
      <c r="Q6721" s="5" t="str">
        <f t="shared" si="1"/>
        <v>২ পরে</v>
      </c>
    </row>
    <row r="6722">
      <c r="A6722" s="4">
        <v>4663.0</v>
      </c>
      <c r="B6722" s="2" t="s">
        <v>27354</v>
      </c>
      <c r="C6722" s="2" t="s">
        <v>27355</v>
      </c>
      <c r="D6722" s="2" t="s">
        <v>27356</v>
      </c>
      <c r="E6722" s="2" t="s">
        <v>27357</v>
      </c>
      <c r="F6722" s="2" t="b">
        <v>1</v>
      </c>
      <c r="G6722" s="2" t="b">
        <v>0</v>
      </c>
      <c r="H6722" s="2" t="s">
        <v>37</v>
      </c>
      <c r="I6722" s="2" t="s">
        <v>49</v>
      </c>
      <c r="J6722" s="2" t="s">
        <v>1060</v>
      </c>
      <c r="K6722" s="2" t="s">
        <v>495</v>
      </c>
      <c r="L6722" s="13" t="s">
        <v>496</v>
      </c>
      <c r="M6722" s="2" t="s">
        <v>26</v>
      </c>
      <c r="N6722" s="29"/>
      <c r="O6722" s="29"/>
      <c r="P6722" s="5" t="str">
        <f>IFERROR(__xludf.DUMMYFUNCTION("TEXTJOIN("" | "",TRUE,IF(OR(D6722="""",E6722="""",I6722="""",J6722="""",H6722=""""),""ফাঁকা ঘর"",""""),IF(AND(C6722&lt;&gt;"""",D6722&lt;&gt;"""",C6722=D6722),""gloss=figurative"",""""),IF(LEN(D6722)&lt;15,""figurative ছোট"",""""),IF(AND(I6722=""Positive"",REGEXMATCH(H6"&amp;"722,""মূর্খ|ভণ্ড|প্রতার|অলস|লোভ|স্বার্থ|অক্ষম|অযোগ্য|বোকা|কৃপণ|হিংস"")),""valence-target অমিল"",""""),IF(COUNTIF($B:$B,B6722)&gt;1,""ডুপ্লিকেট"",""""))"),"")</f>
        <v/>
      </c>
      <c r="Q6722" s="5" t="str">
        <f t="shared" si="1"/>
        <v>২ পরে</v>
      </c>
    </row>
    <row r="6723">
      <c r="A6723" s="4">
        <v>4664.0</v>
      </c>
      <c r="B6723" s="2" t="s">
        <v>27358</v>
      </c>
      <c r="C6723" s="2" t="s">
        <v>27358</v>
      </c>
      <c r="D6723" s="2" t="s">
        <v>27359</v>
      </c>
      <c r="E6723" s="2" t="s">
        <v>27360</v>
      </c>
      <c r="F6723" s="2" t="b">
        <v>1</v>
      </c>
      <c r="G6723" s="2" t="b">
        <v>0</v>
      </c>
      <c r="H6723" s="2" t="s">
        <v>1334</v>
      </c>
      <c r="I6723" s="2" t="s">
        <v>22</v>
      </c>
      <c r="J6723" s="2" t="s">
        <v>820</v>
      </c>
      <c r="K6723" s="2" t="s">
        <v>495</v>
      </c>
      <c r="L6723" s="13" t="s">
        <v>496</v>
      </c>
      <c r="M6723" s="2" t="s">
        <v>26</v>
      </c>
      <c r="N6723" s="29"/>
      <c r="O6723" s="29"/>
      <c r="P6723" s="5" t="str">
        <f>IFERROR(__xludf.DUMMYFUNCTION("TEXTJOIN("" | "",TRUE,IF(OR(D6723="""",E6723="""",I6723="""",J6723="""",H6723=""""),""ফাঁকা ঘর"",""""),IF(AND(C6723&lt;&gt;"""",D6723&lt;&gt;"""",C6723=D6723),""gloss=figurative"",""""),IF(LEN(D6723)&lt;15,""figurative ছোট"",""""),IF(AND(I6723=""Positive"",REGEXMATCH(H6"&amp;"723,""মূর্খ|ভণ্ড|প্রতার|অলস|লোভ|স্বার্থ|অক্ষম|অযোগ্য|বোকা|কৃপণ|হিংস"")),""valence-target অমিল"",""""),IF(COUNTIF($B:$B,B6723)&gt;1,""ডুপ্লিকেট"",""""))"),"")</f>
        <v/>
      </c>
      <c r="Q6723" s="5" t="str">
        <f t="shared" si="1"/>
        <v>২ পরে</v>
      </c>
    </row>
    <row r="6724">
      <c r="A6724" s="4">
        <v>4665.0</v>
      </c>
      <c r="B6724" s="2" t="s">
        <v>27361</v>
      </c>
      <c r="C6724" s="2" t="s">
        <v>27361</v>
      </c>
      <c r="D6724" s="2" t="s">
        <v>27362</v>
      </c>
      <c r="E6724" s="2" t="s">
        <v>27363</v>
      </c>
      <c r="F6724" s="2" t="b">
        <v>1</v>
      </c>
      <c r="G6724" s="2" t="b">
        <v>0</v>
      </c>
      <c r="H6724" s="2" t="s">
        <v>37</v>
      </c>
      <c r="I6724" s="2" t="s">
        <v>32</v>
      </c>
      <c r="J6724" s="2" t="s">
        <v>1060</v>
      </c>
      <c r="K6724" s="2" t="s">
        <v>495</v>
      </c>
      <c r="L6724" s="13" t="s">
        <v>496</v>
      </c>
      <c r="M6724" s="2" t="s">
        <v>26</v>
      </c>
      <c r="N6724" s="29"/>
      <c r="O6724" s="29"/>
      <c r="P6724" s="5" t="str">
        <f>IFERROR(__xludf.DUMMYFUNCTION("TEXTJOIN("" | "",TRUE,IF(OR(D6724="""",E6724="""",I6724="""",J6724="""",H6724=""""),""ফাঁকা ঘর"",""""),IF(AND(C6724&lt;&gt;"""",D6724&lt;&gt;"""",C6724=D6724),""gloss=figurative"",""""),IF(LEN(D6724)&lt;15,""figurative ছোট"",""""),IF(AND(I6724=""Positive"",REGEXMATCH(H6"&amp;"724,""মূর্খ|ভণ্ড|প্রতার|অলস|লোভ|স্বার্থ|অক্ষম|অযোগ্য|বোকা|কৃপণ|হিংস"")),""valence-target অমিল"",""""),IF(COUNTIF($B:$B,B6724)&gt;1,""ডুপ্লিকেট"",""""))"),"")</f>
        <v/>
      </c>
      <c r="Q6724" s="5" t="str">
        <f t="shared" si="1"/>
        <v>২ পরে</v>
      </c>
    </row>
    <row r="6725">
      <c r="A6725" s="4">
        <v>4667.0</v>
      </c>
      <c r="B6725" s="2" t="s">
        <v>27364</v>
      </c>
      <c r="C6725" s="2" t="s">
        <v>27365</v>
      </c>
      <c r="D6725" s="2" t="s">
        <v>27366</v>
      </c>
      <c r="E6725" s="2" t="s">
        <v>27367</v>
      </c>
      <c r="F6725" s="2" t="b">
        <v>1</v>
      </c>
      <c r="G6725" s="2" t="b">
        <v>0</v>
      </c>
      <c r="H6725" s="2" t="s">
        <v>37</v>
      </c>
      <c r="I6725" s="2" t="s">
        <v>32</v>
      </c>
      <c r="J6725" s="2" t="s">
        <v>1060</v>
      </c>
      <c r="K6725" s="2" t="s">
        <v>495</v>
      </c>
      <c r="L6725" s="13" t="s">
        <v>496</v>
      </c>
      <c r="M6725" s="2" t="s">
        <v>26</v>
      </c>
      <c r="N6725" s="29"/>
      <c r="O6725" s="29"/>
      <c r="P6725" s="5" t="str">
        <f>IFERROR(__xludf.DUMMYFUNCTION("TEXTJOIN("" | "",TRUE,IF(OR(D6725="""",E6725="""",I6725="""",J6725="""",H6725=""""),""ফাঁকা ঘর"",""""),IF(AND(C6725&lt;&gt;"""",D6725&lt;&gt;"""",C6725=D6725),""gloss=figurative"",""""),IF(LEN(D6725)&lt;15,""figurative ছোট"",""""),IF(AND(I6725=""Positive"",REGEXMATCH(H6"&amp;"725,""মূর্খ|ভণ্ড|প্রতার|অলস|লোভ|স্বার্থ|অক্ষম|অযোগ্য|বোকা|কৃপণ|হিংস"")),""valence-target অমিল"",""""),IF(COUNTIF($B:$B,B6725)&gt;1,""ডুপ্লিকেট"",""""))"),"")</f>
        <v/>
      </c>
      <c r="Q6725" s="5" t="str">
        <f t="shared" si="1"/>
        <v>২ পরে</v>
      </c>
    </row>
    <row r="6726">
      <c r="A6726" s="4">
        <v>4668.0</v>
      </c>
      <c r="B6726" s="2" t="s">
        <v>27368</v>
      </c>
      <c r="C6726" s="2" t="s">
        <v>27369</v>
      </c>
      <c r="D6726" s="2" t="s">
        <v>27370</v>
      </c>
      <c r="E6726" s="2" t="s">
        <v>27371</v>
      </c>
      <c r="F6726" s="2" t="b">
        <v>1</v>
      </c>
      <c r="G6726" s="2" t="b">
        <v>1</v>
      </c>
      <c r="H6726" s="2" t="s">
        <v>27372</v>
      </c>
      <c r="I6726" s="2" t="s">
        <v>32</v>
      </c>
      <c r="J6726" s="2" t="s">
        <v>1679</v>
      </c>
      <c r="K6726" s="2" t="s">
        <v>495</v>
      </c>
      <c r="L6726" s="13" t="s">
        <v>496</v>
      </c>
      <c r="M6726" s="2" t="s">
        <v>26</v>
      </c>
      <c r="N6726" s="29"/>
      <c r="O6726" s="29"/>
      <c r="P6726" s="5" t="str">
        <f>IFERROR(__xludf.DUMMYFUNCTION("TEXTJOIN("" | "",TRUE,IF(OR(D6726="""",E6726="""",I6726="""",J6726="""",H6726=""""),""ফাঁকা ঘর"",""""),IF(AND(C6726&lt;&gt;"""",D6726&lt;&gt;"""",C6726=D6726),""gloss=figurative"",""""),IF(LEN(D6726)&lt;15,""figurative ছোট"",""""),IF(AND(I6726=""Positive"",REGEXMATCH(H6"&amp;"726,""মূর্খ|ভণ্ড|প্রতার|অলস|লোভ|স্বার্থ|অক্ষম|অযোগ্য|বোকা|কৃপণ|হিংস"")),""valence-target অমিল"",""""),IF(COUNTIF($B:$B,B6726)&gt;1,""ডুপ্লিকেট"",""""))"),"")</f>
        <v/>
      </c>
      <c r="Q6726" s="5" t="str">
        <f t="shared" si="1"/>
        <v>২ পরে</v>
      </c>
    </row>
    <row r="6727">
      <c r="A6727" s="4">
        <v>4669.0</v>
      </c>
      <c r="B6727" s="2" t="s">
        <v>27373</v>
      </c>
      <c r="C6727" s="2" t="s">
        <v>27373</v>
      </c>
      <c r="D6727" s="2" t="s">
        <v>27374</v>
      </c>
      <c r="E6727" s="2" t="s">
        <v>27375</v>
      </c>
      <c r="F6727" s="2" t="b">
        <v>1</v>
      </c>
      <c r="G6727" s="2" t="b">
        <v>0</v>
      </c>
      <c r="H6727" s="2" t="s">
        <v>37</v>
      </c>
      <c r="I6727" s="2" t="s">
        <v>22</v>
      </c>
      <c r="J6727" s="2" t="s">
        <v>27376</v>
      </c>
      <c r="K6727" s="2" t="s">
        <v>495</v>
      </c>
      <c r="L6727" s="13" t="s">
        <v>496</v>
      </c>
      <c r="M6727" s="2" t="s">
        <v>26</v>
      </c>
      <c r="N6727" s="29"/>
      <c r="O6727" s="29"/>
      <c r="P6727" s="5" t="str">
        <f>IFERROR(__xludf.DUMMYFUNCTION("TEXTJOIN("" | "",TRUE,IF(OR(D6727="""",E6727="""",I6727="""",J6727="""",H6727=""""),""ফাঁকা ঘর"",""""),IF(AND(C6727&lt;&gt;"""",D6727&lt;&gt;"""",C6727=D6727),""gloss=figurative"",""""),IF(LEN(D6727)&lt;15,""figurative ছোট"",""""),IF(AND(I6727=""Positive"",REGEXMATCH(H6"&amp;"727,""মূর্খ|ভণ্ড|প্রতার|অলস|লোভ|স্বার্থ|অক্ষম|অযোগ্য|বোকা|কৃপণ|হিংস"")),""valence-target অমিল"",""""),IF(COUNTIF($B:$B,B6727)&gt;1,""ডুপ্লিকেট"",""""))"),"")</f>
        <v/>
      </c>
      <c r="Q6727" s="5" t="str">
        <f t="shared" si="1"/>
        <v>২ পরে</v>
      </c>
    </row>
    <row r="6728">
      <c r="A6728" s="4">
        <v>4672.0</v>
      </c>
      <c r="B6728" s="2" t="s">
        <v>27377</v>
      </c>
      <c r="C6728" s="2" t="s">
        <v>27378</v>
      </c>
      <c r="D6728" s="2" t="s">
        <v>27379</v>
      </c>
      <c r="E6728" s="2" t="s">
        <v>27380</v>
      </c>
      <c r="F6728" s="2" t="b">
        <v>1</v>
      </c>
      <c r="G6728" s="2" t="b">
        <v>0</v>
      </c>
      <c r="H6728" s="2" t="s">
        <v>37</v>
      </c>
      <c r="I6728" s="2" t="s">
        <v>22</v>
      </c>
      <c r="J6728" s="2" t="s">
        <v>20727</v>
      </c>
      <c r="K6728" s="2" t="s">
        <v>495</v>
      </c>
      <c r="L6728" s="13" t="s">
        <v>496</v>
      </c>
      <c r="M6728" s="2" t="s">
        <v>26</v>
      </c>
      <c r="N6728" s="29"/>
      <c r="O6728" s="29"/>
      <c r="P6728" s="5" t="str">
        <f>IFERROR(__xludf.DUMMYFUNCTION("TEXTJOIN("" | "",TRUE,IF(OR(D6728="""",E6728="""",I6728="""",J6728="""",H6728=""""),""ফাঁকা ঘর"",""""),IF(AND(C6728&lt;&gt;"""",D6728&lt;&gt;"""",C6728=D6728),""gloss=figurative"",""""),IF(LEN(D6728)&lt;15,""figurative ছোট"",""""),IF(AND(I6728=""Positive"",REGEXMATCH(H6"&amp;"728,""মূর্খ|ভণ্ড|প্রতার|অলস|লোভ|স্বার্থ|অক্ষম|অযোগ্য|বোকা|কৃপণ|হিংস"")),""valence-target অমিল"",""""),IF(COUNTIF($B:$B,B6728)&gt;1,""ডুপ্লিকেট"",""""))"),"")</f>
        <v/>
      </c>
      <c r="Q6728" s="5" t="str">
        <f t="shared" si="1"/>
        <v>২ পরে</v>
      </c>
    </row>
    <row r="6729">
      <c r="A6729" s="4">
        <v>4674.0</v>
      </c>
      <c r="B6729" s="2" t="s">
        <v>27381</v>
      </c>
      <c r="C6729" s="2" t="s">
        <v>27381</v>
      </c>
      <c r="D6729" s="2" t="s">
        <v>27382</v>
      </c>
      <c r="E6729" s="2" t="s">
        <v>27383</v>
      </c>
      <c r="F6729" s="2" t="b">
        <v>1</v>
      </c>
      <c r="G6729" s="2" t="b">
        <v>0</v>
      </c>
      <c r="H6729" s="2" t="s">
        <v>37</v>
      </c>
      <c r="I6729" s="2" t="s">
        <v>22</v>
      </c>
      <c r="J6729" s="2" t="s">
        <v>674</v>
      </c>
      <c r="K6729" s="2" t="s">
        <v>495</v>
      </c>
      <c r="L6729" s="13" t="s">
        <v>496</v>
      </c>
      <c r="M6729" s="2" t="s">
        <v>26</v>
      </c>
      <c r="N6729" s="29"/>
      <c r="O6729" s="29"/>
      <c r="P6729" s="5" t="str">
        <f>IFERROR(__xludf.DUMMYFUNCTION("TEXTJOIN("" | "",TRUE,IF(OR(D6729="""",E6729="""",I6729="""",J6729="""",H6729=""""),""ফাঁকা ঘর"",""""),IF(AND(C6729&lt;&gt;"""",D6729&lt;&gt;"""",C6729=D6729),""gloss=figurative"",""""),IF(LEN(D6729)&lt;15,""figurative ছোট"",""""),IF(AND(I6729=""Positive"",REGEXMATCH(H6"&amp;"729,""মূর্খ|ভণ্ড|প্রতার|অলস|লোভ|স্বার্থ|অক্ষম|অযোগ্য|বোকা|কৃপণ|হিংস"")),""valence-target অমিল"",""""),IF(COUNTIF($B:$B,B6729)&gt;1,""ডুপ্লিকেট"",""""))"),"")</f>
        <v/>
      </c>
      <c r="Q6729" s="5" t="str">
        <f t="shared" si="1"/>
        <v>২ পরে</v>
      </c>
    </row>
    <row r="6730">
      <c r="A6730" s="4">
        <v>4675.0</v>
      </c>
      <c r="B6730" s="2" t="s">
        <v>27384</v>
      </c>
      <c r="C6730" s="2" t="s">
        <v>27384</v>
      </c>
      <c r="D6730" s="2" t="s">
        <v>27385</v>
      </c>
      <c r="E6730" s="2" t="s">
        <v>27386</v>
      </c>
      <c r="F6730" s="2" t="b">
        <v>1</v>
      </c>
      <c r="G6730" s="2" t="b">
        <v>0</v>
      </c>
      <c r="H6730" s="2" t="s">
        <v>37</v>
      </c>
      <c r="I6730" s="2" t="s">
        <v>32</v>
      </c>
      <c r="J6730" s="2" t="s">
        <v>1621</v>
      </c>
      <c r="K6730" s="2" t="s">
        <v>495</v>
      </c>
      <c r="L6730" s="13" t="s">
        <v>496</v>
      </c>
      <c r="M6730" s="2" t="s">
        <v>26</v>
      </c>
      <c r="N6730" s="29"/>
      <c r="O6730" s="29"/>
      <c r="P6730" s="5" t="str">
        <f>IFERROR(__xludf.DUMMYFUNCTION("TEXTJOIN("" | "",TRUE,IF(OR(D6730="""",E6730="""",I6730="""",J6730="""",H6730=""""),""ফাঁকা ঘর"",""""),IF(AND(C6730&lt;&gt;"""",D6730&lt;&gt;"""",C6730=D6730),""gloss=figurative"",""""),IF(LEN(D6730)&lt;15,""figurative ছোট"",""""),IF(AND(I6730=""Positive"",REGEXMATCH(H6"&amp;"730,""মূর্খ|ভণ্ড|প্রতার|অলস|লোভ|স্বার্থ|অক্ষম|অযোগ্য|বোকা|কৃপণ|হিংস"")),""valence-target অমিল"",""""),IF(COUNTIF($B:$B,B6730)&gt;1,""ডুপ্লিকেট"",""""))"),"")</f>
        <v/>
      </c>
      <c r="Q6730" s="5" t="str">
        <f t="shared" si="1"/>
        <v>২ পরে</v>
      </c>
    </row>
    <row r="6731">
      <c r="A6731" s="4">
        <v>4676.0</v>
      </c>
      <c r="B6731" s="2" t="s">
        <v>27387</v>
      </c>
      <c r="C6731" s="2" t="s">
        <v>27388</v>
      </c>
      <c r="D6731" s="2" t="s">
        <v>27389</v>
      </c>
      <c r="E6731" s="2" t="s">
        <v>27390</v>
      </c>
      <c r="F6731" s="2" t="b">
        <v>1</v>
      </c>
      <c r="G6731" s="2" t="b">
        <v>0</v>
      </c>
      <c r="H6731" s="2" t="s">
        <v>37</v>
      </c>
      <c r="I6731" s="2" t="s">
        <v>22</v>
      </c>
      <c r="J6731" s="2" t="s">
        <v>836</v>
      </c>
      <c r="K6731" s="2" t="s">
        <v>495</v>
      </c>
      <c r="L6731" s="13" t="s">
        <v>496</v>
      </c>
      <c r="M6731" s="2" t="s">
        <v>26</v>
      </c>
      <c r="N6731" s="29"/>
      <c r="O6731" s="29"/>
      <c r="P6731" s="5" t="str">
        <f>IFERROR(__xludf.DUMMYFUNCTION("TEXTJOIN("" | "",TRUE,IF(OR(D6731="""",E6731="""",I6731="""",J6731="""",H6731=""""),""ফাঁকা ঘর"",""""),IF(AND(C6731&lt;&gt;"""",D6731&lt;&gt;"""",C6731=D6731),""gloss=figurative"",""""),IF(LEN(D6731)&lt;15,""figurative ছোট"",""""),IF(AND(I6731=""Positive"",REGEXMATCH(H6"&amp;"731,""মূর্খ|ভণ্ড|প্রতার|অলস|লোভ|স্বার্থ|অক্ষম|অযোগ্য|বোকা|কৃপণ|হিংস"")),""valence-target অমিল"",""""),IF(COUNTIF($B:$B,B6731)&gt;1,""ডুপ্লিকেট"",""""))"),"")</f>
        <v/>
      </c>
      <c r="Q6731" s="5" t="str">
        <f t="shared" si="1"/>
        <v>২ পরে</v>
      </c>
    </row>
    <row r="6732">
      <c r="A6732" s="4">
        <v>4677.0</v>
      </c>
      <c r="B6732" s="2" t="s">
        <v>27391</v>
      </c>
      <c r="C6732" s="2" t="s">
        <v>27391</v>
      </c>
      <c r="D6732" s="2" t="s">
        <v>27392</v>
      </c>
      <c r="E6732" s="2" t="s">
        <v>27393</v>
      </c>
      <c r="F6732" s="2" t="b">
        <v>1</v>
      </c>
      <c r="G6732" s="2" t="b">
        <v>0</v>
      </c>
      <c r="H6732" s="2" t="s">
        <v>37</v>
      </c>
      <c r="I6732" s="2" t="s">
        <v>22</v>
      </c>
      <c r="J6732" s="2" t="s">
        <v>3869</v>
      </c>
      <c r="K6732" s="2" t="s">
        <v>495</v>
      </c>
      <c r="L6732" s="13" t="s">
        <v>496</v>
      </c>
      <c r="M6732" s="2" t="s">
        <v>26</v>
      </c>
      <c r="N6732" s="29"/>
      <c r="O6732" s="29"/>
      <c r="P6732" s="5" t="str">
        <f>IFERROR(__xludf.DUMMYFUNCTION("TEXTJOIN("" | "",TRUE,IF(OR(D6732="""",E6732="""",I6732="""",J6732="""",H6732=""""),""ফাঁকা ঘর"",""""),IF(AND(C6732&lt;&gt;"""",D6732&lt;&gt;"""",C6732=D6732),""gloss=figurative"",""""),IF(LEN(D6732)&lt;15,""figurative ছোট"",""""),IF(AND(I6732=""Positive"",REGEXMATCH(H6"&amp;"732,""মূর্খ|ভণ্ড|প্রতার|অলস|লোভ|স্বার্থ|অক্ষম|অযোগ্য|বোকা|কৃপণ|হিংস"")),""valence-target অমিল"",""""),IF(COUNTIF($B:$B,B6732)&gt;1,""ডুপ্লিকেট"",""""))"),"")</f>
        <v/>
      </c>
      <c r="Q6732" s="5" t="str">
        <f t="shared" si="1"/>
        <v>২ পরে</v>
      </c>
    </row>
    <row r="6733">
      <c r="A6733" s="4">
        <v>4678.0</v>
      </c>
      <c r="B6733" s="2" t="s">
        <v>27394</v>
      </c>
      <c r="C6733" s="2" t="s">
        <v>27394</v>
      </c>
      <c r="D6733" s="2" t="s">
        <v>27395</v>
      </c>
      <c r="E6733" s="2" t="s">
        <v>27396</v>
      </c>
      <c r="F6733" s="2" t="b">
        <v>1</v>
      </c>
      <c r="G6733" s="2" t="b">
        <v>0</v>
      </c>
      <c r="H6733" s="2" t="s">
        <v>37</v>
      </c>
      <c r="I6733" s="2" t="s">
        <v>22</v>
      </c>
      <c r="J6733" s="2" t="s">
        <v>27397</v>
      </c>
      <c r="K6733" s="2" t="s">
        <v>495</v>
      </c>
      <c r="L6733" s="13" t="s">
        <v>496</v>
      </c>
      <c r="M6733" s="2" t="s">
        <v>26</v>
      </c>
      <c r="N6733" s="29"/>
      <c r="O6733" s="29"/>
      <c r="P6733" s="5" t="str">
        <f>IFERROR(__xludf.DUMMYFUNCTION("TEXTJOIN("" | "",TRUE,IF(OR(D6733="""",E6733="""",I6733="""",J6733="""",H6733=""""),""ফাঁকা ঘর"",""""),IF(AND(C6733&lt;&gt;"""",D6733&lt;&gt;"""",C6733=D6733),""gloss=figurative"",""""),IF(LEN(D6733)&lt;15,""figurative ছোট"",""""),IF(AND(I6733=""Positive"",REGEXMATCH(H6"&amp;"733,""মূর্খ|ভণ্ড|প্রতার|অলস|লোভ|স্বার্থ|অক্ষম|অযোগ্য|বোকা|কৃপণ|হিংস"")),""valence-target অমিল"",""""),IF(COUNTIF($B:$B,B6733)&gt;1,""ডুপ্লিকেট"",""""))"),"")</f>
        <v/>
      </c>
      <c r="Q6733" s="5" t="str">
        <f t="shared" si="1"/>
        <v>২ পরে</v>
      </c>
    </row>
    <row r="6734">
      <c r="A6734" s="4">
        <v>4679.0</v>
      </c>
      <c r="B6734" s="2" t="s">
        <v>27398</v>
      </c>
      <c r="C6734" s="2" t="s">
        <v>27399</v>
      </c>
      <c r="D6734" s="2" t="s">
        <v>27400</v>
      </c>
      <c r="E6734" s="2" t="s">
        <v>27401</v>
      </c>
      <c r="F6734" s="2" t="b">
        <v>1</v>
      </c>
      <c r="G6734" s="2" t="b">
        <v>0</v>
      </c>
      <c r="H6734" s="2" t="s">
        <v>37</v>
      </c>
      <c r="I6734" s="2" t="s">
        <v>32</v>
      </c>
      <c r="J6734" s="2" t="s">
        <v>5820</v>
      </c>
      <c r="K6734" s="2" t="s">
        <v>495</v>
      </c>
      <c r="L6734" s="13" t="s">
        <v>496</v>
      </c>
      <c r="M6734" s="2" t="s">
        <v>26</v>
      </c>
      <c r="N6734" s="29"/>
      <c r="O6734" s="29"/>
      <c r="P6734" s="5" t="str">
        <f>IFERROR(__xludf.DUMMYFUNCTION("TEXTJOIN("" | "",TRUE,IF(OR(D6734="""",E6734="""",I6734="""",J6734="""",H6734=""""),""ফাঁকা ঘর"",""""),IF(AND(C6734&lt;&gt;"""",D6734&lt;&gt;"""",C6734=D6734),""gloss=figurative"",""""),IF(LEN(D6734)&lt;15,""figurative ছোট"",""""),IF(AND(I6734=""Positive"",REGEXMATCH(H6"&amp;"734,""মূর্খ|ভণ্ড|প্রতার|অলস|লোভ|স্বার্থ|অক্ষম|অযোগ্য|বোকা|কৃপণ|হিংস"")),""valence-target অমিল"",""""),IF(COUNTIF($B:$B,B6734)&gt;1,""ডুপ্লিকেট"",""""))"),"")</f>
        <v/>
      </c>
      <c r="Q6734" s="5" t="str">
        <f t="shared" si="1"/>
        <v>২ পরে</v>
      </c>
    </row>
    <row r="6735">
      <c r="A6735" s="4">
        <v>4680.0</v>
      </c>
      <c r="B6735" s="2" t="s">
        <v>27402</v>
      </c>
      <c r="C6735" s="2" t="s">
        <v>27402</v>
      </c>
      <c r="D6735" s="2" t="s">
        <v>27403</v>
      </c>
      <c r="E6735" s="2" t="s">
        <v>27404</v>
      </c>
      <c r="F6735" s="2" t="b">
        <v>1</v>
      </c>
      <c r="G6735" s="2" t="b">
        <v>0</v>
      </c>
      <c r="H6735" s="2" t="s">
        <v>854</v>
      </c>
      <c r="I6735" s="2" t="s">
        <v>22</v>
      </c>
      <c r="J6735" s="2" t="s">
        <v>855</v>
      </c>
      <c r="K6735" s="2" t="s">
        <v>495</v>
      </c>
      <c r="L6735" s="13" t="s">
        <v>496</v>
      </c>
      <c r="M6735" s="2" t="s">
        <v>26</v>
      </c>
      <c r="N6735" s="29"/>
      <c r="O6735" s="29"/>
      <c r="P6735" s="5" t="str">
        <f>IFERROR(__xludf.DUMMYFUNCTION("TEXTJOIN("" | "",TRUE,IF(OR(D6735="""",E6735="""",I6735="""",J6735="""",H6735=""""),""ফাঁকা ঘর"",""""),IF(AND(C6735&lt;&gt;"""",D6735&lt;&gt;"""",C6735=D6735),""gloss=figurative"",""""),IF(LEN(D6735)&lt;15,""figurative ছোট"",""""),IF(AND(I6735=""Positive"",REGEXMATCH(H6"&amp;"735,""মূর্খ|ভণ্ড|প্রতার|অলস|লোভ|স্বার্থ|অক্ষম|অযোগ্য|বোকা|কৃপণ|হিংস"")),""valence-target অমিল"",""""),IF(COUNTIF($B:$B,B6735)&gt;1,""ডুপ্লিকেট"",""""))"),"")</f>
        <v/>
      </c>
      <c r="Q6735" s="5" t="str">
        <f t="shared" si="1"/>
        <v>২ পরে</v>
      </c>
    </row>
    <row r="6736">
      <c r="A6736" s="4">
        <v>4681.0</v>
      </c>
      <c r="B6736" s="2" t="s">
        <v>27405</v>
      </c>
      <c r="C6736" s="2" t="s">
        <v>27406</v>
      </c>
      <c r="D6736" s="2" t="s">
        <v>27407</v>
      </c>
      <c r="E6736" s="2" t="s">
        <v>27408</v>
      </c>
      <c r="F6736" s="2" t="b">
        <v>1</v>
      </c>
      <c r="G6736" s="2" t="b">
        <v>0</v>
      </c>
      <c r="H6736" s="2" t="s">
        <v>2424</v>
      </c>
      <c r="I6736" s="2" t="s">
        <v>22</v>
      </c>
      <c r="J6736" s="2" t="s">
        <v>43</v>
      </c>
      <c r="K6736" s="2" t="s">
        <v>495</v>
      </c>
      <c r="L6736" s="13" t="s">
        <v>496</v>
      </c>
      <c r="M6736" s="2" t="s">
        <v>26</v>
      </c>
      <c r="N6736" s="29"/>
      <c r="O6736" s="29"/>
      <c r="P6736" s="5" t="str">
        <f>IFERROR(__xludf.DUMMYFUNCTION("TEXTJOIN("" | "",TRUE,IF(OR(D6736="""",E6736="""",I6736="""",J6736="""",H6736=""""),""ফাঁকা ঘর"",""""),IF(AND(C6736&lt;&gt;"""",D6736&lt;&gt;"""",C6736=D6736),""gloss=figurative"",""""),IF(LEN(D6736)&lt;15,""figurative ছোট"",""""),IF(AND(I6736=""Positive"",REGEXMATCH(H6"&amp;"736,""মূর্খ|ভণ্ড|প্রতার|অলস|লোভ|স্বার্থ|অক্ষম|অযোগ্য|বোকা|কৃপণ|হিংস"")),""valence-target অমিল"",""""),IF(COUNTIF($B:$B,B6736)&gt;1,""ডুপ্লিকেট"",""""))"),"")</f>
        <v/>
      </c>
      <c r="Q6736" s="5" t="str">
        <f t="shared" si="1"/>
        <v>২ পরে</v>
      </c>
    </row>
    <row r="6737">
      <c r="A6737" s="4">
        <v>4682.0</v>
      </c>
      <c r="B6737" s="2" t="s">
        <v>27409</v>
      </c>
      <c r="C6737" s="2" t="s">
        <v>27410</v>
      </c>
      <c r="D6737" s="2" t="s">
        <v>27411</v>
      </c>
      <c r="E6737" s="2" t="s">
        <v>27412</v>
      </c>
      <c r="F6737" s="2" t="b">
        <v>1</v>
      </c>
      <c r="G6737" s="2" t="b">
        <v>0</v>
      </c>
      <c r="H6737" s="2" t="s">
        <v>37</v>
      </c>
      <c r="I6737" s="2" t="s">
        <v>22</v>
      </c>
      <c r="J6737" s="2" t="s">
        <v>2122</v>
      </c>
      <c r="K6737" s="2" t="s">
        <v>495</v>
      </c>
      <c r="L6737" s="13" t="s">
        <v>496</v>
      </c>
      <c r="M6737" s="2" t="s">
        <v>26</v>
      </c>
      <c r="N6737" s="29"/>
      <c r="O6737" s="29"/>
      <c r="P6737" s="5" t="str">
        <f>IFERROR(__xludf.DUMMYFUNCTION("TEXTJOIN("" | "",TRUE,IF(OR(D6737="""",E6737="""",I6737="""",J6737="""",H6737=""""),""ফাঁকা ঘর"",""""),IF(AND(C6737&lt;&gt;"""",D6737&lt;&gt;"""",C6737=D6737),""gloss=figurative"",""""),IF(LEN(D6737)&lt;15,""figurative ছোট"",""""),IF(AND(I6737=""Positive"",REGEXMATCH(H6"&amp;"737,""মূর্খ|ভণ্ড|প্রতার|অলস|লোভ|স্বার্থ|অক্ষম|অযোগ্য|বোকা|কৃপণ|হিংস"")),""valence-target অমিল"",""""),IF(COUNTIF($B:$B,B6737)&gt;1,""ডুপ্লিকেট"",""""))"),"")</f>
        <v/>
      </c>
      <c r="Q6737" s="5" t="str">
        <f t="shared" si="1"/>
        <v>২ পরে</v>
      </c>
    </row>
    <row r="6738">
      <c r="A6738" s="4">
        <v>4684.0</v>
      </c>
      <c r="B6738" s="2" t="s">
        <v>27413</v>
      </c>
      <c r="C6738" s="2" t="s">
        <v>27413</v>
      </c>
      <c r="D6738" s="2" t="s">
        <v>27414</v>
      </c>
      <c r="E6738" s="2" t="s">
        <v>27415</v>
      </c>
      <c r="F6738" s="2" t="b">
        <v>1</v>
      </c>
      <c r="G6738" s="2" t="b">
        <v>0</v>
      </c>
      <c r="H6738" s="2" t="s">
        <v>27416</v>
      </c>
      <c r="I6738" s="2" t="s">
        <v>22</v>
      </c>
      <c r="J6738" s="2" t="s">
        <v>729</v>
      </c>
      <c r="K6738" s="2" t="s">
        <v>495</v>
      </c>
      <c r="L6738" s="13" t="s">
        <v>496</v>
      </c>
      <c r="M6738" s="2" t="s">
        <v>26</v>
      </c>
      <c r="N6738" s="29"/>
      <c r="O6738" s="29"/>
      <c r="P6738" s="5" t="str">
        <f>IFERROR(__xludf.DUMMYFUNCTION("TEXTJOIN("" | "",TRUE,IF(OR(D6738="""",E6738="""",I6738="""",J6738="""",H6738=""""),""ফাঁকা ঘর"",""""),IF(AND(C6738&lt;&gt;"""",D6738&lt;&gt;"""",C6738=D6738),""gloss=figurative"",""""),IF(LEN(D6738)&lt;15,""figurative ছোট"",""""),IF(AND(I6738=""Positive"",REGEXMATCH(H6"&amp;"738,""মূর্খ|ভণ্ড|প্রতার|অলস|লোভ|স্বার্থ|অক্ষম|অযোগ্য|বোকা|কৃপণ|হিংস"")),""valence-target অমিল"",""""),IF(COUNTIF($B:$B,B6738)&gt;1,""ডুপ্লিকেট"",""""))"),"")</f>
        <v/>
      </c>
      <c r="Q6738" s="5" t="str">
        <f t="shared" si="1"/>
        <v>২ পরে</v>
      </c>
    </row>
    <row r="6739">
      <c r="A6739" s="4">
        <v>4685.0</v>
      </c>
      <c r="B6739" s="2" t="s">
        <v>27417</v>
      </c>
      <c r="C6739" s="2" t="s">
        <v>27418</v>
      </c>
      <c r="D6739" s="2" t="s">
        <v>27419</v>
      </c>
      <c r="E6739" s="2" t="s">
        <v>27420</v>
      </c>
      <c r="F6739" s="2" t="b">
        <v>1</v>
      </c>
      <c r="G6739" s="2" t="b">
        <v>0</v>
      </c>
      <c r="H6739" s="2" t="s">
        <v>37</v>
      </c>
      <c r="I6739" s="2" t="s">
        <v>49</v>
      </c>
      <c r="J6739" s="2" t="s">
        <v>5524</v>
      </c>
      <c r="K6739" s="2" t="s">
        <v>495</v>
      </c>
      <c r="L6739" s="13" t="s">
        <v>496</v>
      </c>
      <c r="M6739" s="2" t="s">
        <v>26</v>
      </c>
      <c r="N6739" s="29"/>
      <c r="O6739" s="29"/>
      <c r="P6739" s="5" t="str">
        <f>IFERROR(__xludf.DUMMYFUNCTION("TEXTJOIN("" | "",TRUE,IF(OR(D6739="""",E6739="""",I6739="""",J6739="""",H6739=""""),""ফাঁকা ঘর"",""""),IF(AND(C6739&lt;&gt;"""",D6739&lt;&gt;"""",C6739=D6739),""gloss=figurative"",""""),IF(LEN(D6739)&lt;15,""figurative ছোট"",""""),IF(AND(I6739=""Positive"",REGEXMATCH(H6"&amp;"739,""মূর্খ|ভণ্ড|প্রতার|অলস|লোভ|স্বার্থ|অক্ষম|অযোগ্য|বোকা|কৃপণ|হিংস"")),""valence-target অমিল"",""""),IF(COUNTIF($B:$B,B6739)&gt;1,""ডুপ্লিকেট"",""""))"),"")</f>
        <v/>
      </c>
      <c r="Q6739" s="5" t="str">
        <f t="shared" si="1"/>
        <v>২ পরে</v>
      </c>
    </row>
    <row r="6740">
      <c r="A6740" s="4">
        <v>4688.0</v>
      </c>
      <c r="B6740" s="2" t="s">
        <v>27421</v>
      </c>
      <c r="C6740" s="2" t="s">
        <v>27422</v>
      </c>
      <c r="D6740" s="2" t="s">
        <v>27423</v>
      </c>
      <c r="E6740" s="2" t="s">
        <v>27424</v>
      </c>
      <c r="F6740" s="2" t="b">
        <v>1</v>
      </c>
      <c r="G6740" s="2" t="b">
        <v>0</v>
      </c>
      <c r="H6740" s="2" t="s">
        <v>27425</v>
      </c>
      <c r="I6740" s="2" t="s">
        <v>22</v>
      </c>
      <c r="J6740" s="2" t="s">
        <v>300</v>
      </c>
      <c r="K6740" s="2" t="s">
        <v>495</v>
      </c>
      <c r="L6740" s="13" t="s">
        <v>496</v>
      </c>
      <c r="M6740" s="2" t="s">
        <v>26</v>
      </c>
      <c r="N6740" s="29"/>
      <c r="O6740" s="29"/>
      <c r="P6740" s="5" t="str">
        <f>IFERROR(__xludf.DUMMYFUNCTION("TEXTJOIN("" | "",TRUE,IF(OR(D6740="""",E6740="""",I6740="""",J6740="""",H6740=""""),""ফাঁকা ঘর"",""""),IF(AND(C6740&lt;&gt;"""",D6740&lt;&gt;"""",C6740=D6740),""gloss=figurative"",""""),IF(LEN(D6740)&lt;15,""figurative ছোট"",""""),IF(AND(I6740=""Positive"",REGEXMATCH(H6"&amp;"740,""মূর্খ|ভণ্ড|প্রতার|অলস|লোভ|স্বার্থ|অক্ষম|অযোগ্য|বোকা|কৃপণ|হিংস"")),""valence-target অমিল"",""""),IF(COUNTIF($B:$B,B6740)&gt;1,""ডুপ্লিকেট"",""""))"),"")</f>
        <v/>
      </c>
      <c r="Q6740" s="5" t="str">
        <f t="shared" si="1"/>
        <v>২ পরে</v>
      </c>
    </row>
    <row r="6741">
      <c r="A6741" s="4">
        <v>4689.0</v>
      </c>
      <c r="B6741" s="2" t="s">
        <v>27426</v>
      </c>
      <c r="C6741" s="2" t="s">
        <v>27427</v>
      </c>
      <c r="D6741" s="2" t="s">
        <v>27428</v>
      </c>
      <c r="E6741" s="2" t="s">
        <v>27429</v>
      </c>
      <c r="F6741" s="2" t="b">
        <v>1</v>
      </c>
      <c r="G6741" s="2" t="b">
        <v>0</v>
      </c>
      <c r="H6741" s="2" t="s">
        <v>37</v>
      </c>
      <c r="I6741" s="2" t="s">
        <v>49</v>
      </c>
      <c r="J6741" s="2" t="s">
        <v>4670</v>
      </c>
      <c r="K6741" s="2" t="s">
        <v>495</v>
      </c>
      <c r="L6741" s="13" t="s">
        <v>496</v>
      </c>
      <c r="M6741" s="2" t="s">
        <v>26</v>
      </c>
      <c r="N6741" s="29"/>
      <c r="O6741" s="29"/>
      <c r="P6741" s="5" t="str">
        <f>IFERROR(__xludf.DUMMYFUNCTION("TEXTJOIN("" | "",TRUE,IF(OR(D6741="""",E6741="""",I6741="""",J6741="""",H6741=""""),""ফাঁকা ঘর"",""""),IF(AND(C6741&lt;&gt;"""",D6741&lt;&gt;"""",C6741=D6741),""gloss=figurative"",""""),IF(LEN(D6741)&lt;15,""figurative ছোট"",""""),IF(AND(I6741=""Positive"",REGEXMATCH(H6"&amp;"741,""মূর্খ|ভণ্ড|প্রতার|অলস|লোভ|স্বার্থ|অক্ষম|অযোগ্য|বোকা|কৃপণ|হিংস"")),""valence-target অমিল"",""""),IF(COUNTIF($B:$B,B6741)&gt;1,""ডুপ্লিকেট"",""""))"),"")</f>
        <v/>
      </c>
      <c r="Q6741" s="5" t="str">
        <f t="shared" si="1"/>
        <v>২ পরে</v>
      </c>
    </row>
    <row r="6742">
      <c r="A6742" s="4">
        <v>4690.0</v>
      </c>
      <c r="B6742" s="2" t="s">
        <v>27430</v>
      </c>
      <c r="C6742" s="2" t="s">
        <v>27431</v>
      </c>
      <c r="D6742" s="2" t="s">
        <v>27432</v>
      </c>
      <c r="E6742" s="2" t="s">
        <v>27433</v>
      </c>
      <c r="F6742" s="2" t="b">
        <v>1</v>
      </c>
      <c r="G6742" s="2" t="b">
        <v>0</v>
      </c>
      <c r="H6742" s="2" t="s">
        <v>37</v>
      </c>
      <c r="I6742" s="2" t="s">
        <v>49</v>
      </c>
      <c r="J6742" s="2" t="s">
        <v>762</v>
      </c>
      <c r="K6742" s="2" t="s">
        <v>495</v>
      </c>
      <c r="L6742" s="13" t="s">
        <v>496</v>
      </c>
      <c r="M6742" s="2" t="s">
        <v>26</v>
      </c>
      <c r="N6742" s="29"/>
      <c r="O6742" s="29"/>
      <c r="P6742" s="5" t="str">
        <f>IFERROR(__xludf.DUMMYFUNCTION("TEXTJOIN("" | "",TRUE,IF(OR(D6742="""",E6742="""",I6742="""",J6742="""",H6742=""""),""ফাঁকা ঘর"",""""),IF(AND(C6742&lt;&gt;"""",D6742&lt;&gt;"""",C6742=D6742),""gloss=figurative"",""""),IF(LEN(D6742)&lt;15,""figurative ছোট"",""""),IF(AND(I6742=""Positive"",REGEXMATCH(H6"&amp;"742,""মূর্খ|ভণ্ড|প্রতার|অলস|লোভ|স্বার্থ|অক্ষম|অযোগ্য|বোকা|কৃপণ|হিংস"")),""valence-target অমিল"",""""),IF(COUNTIF($B:$B,B6742)&gt;1,""ডুপ্লিকেট"",""""))"),"")</f>
        <v/>
      </c>
      <c r="Q6742" s="5" t="str">
        <f t="shared" si="1"/>
        <v>২ পরে</v>
      </c>
    </row>
    <row r="6743">
      <c r="A6743" s="4">
        <v>4691.0</v>
      </c>
      <c r="B6743" s="2" t="s">
        <v>27434</v>
      </c>
      <c r="C6743" s="2" t="s">
        <v>27435</v>
      </c>
      <c r="D6743" s="2" t="s">
        <v>27436</v>
      </c>
      <c r="E6743" s="2" t="s">
        <v>27437</v>
      </c>
      <c r="F6743" s="2" t="b">
        <v>1</v>
      </c>
      <c r="G6743" s="2" t="b">
        <v>0</v>
      </c>
      <c r="H6743" s="2" t="s">
        <v>37</v>
      </c>
      <c r="I6743" s="2" t="s">
        <v>49</v>
      </c>
      <c r="J6743" s="2" t="s">
        <v>1666</v>
      </c>
      <c r="K6743" s="2" t="s">
        <v>495</v>
      </c>
      <c r="L6743" s="13" t="s">
        <v>496</v>
      </c>
      <c r="M6743" s="2" t="s">
        <v>26</v>
      </c>
      <c r="N6743" s="29"/>
      <c r="O6743" s="29"/>
      <c r="P6743" s="5" t="str">
        <f>IFERROR(__xludf.DUMMYFUNCTION("TEXTJOIN("" | "",TRUE,IF(OR(D6743="""",E6743="""",I6743="""",J6743="""",H6743=""""),""ফাঁকা ঘর"",""""),IF(AND(C6743&lt;&gt;"""",D6743&lt;&gt;"""",C6743=D6743),""gloss=figurative"",""""),IF(LEN(D6743)&lt;15,""figurative ছোট"",""""),IF(AND(I6743=""Positive"",REGEXMATCH(H6"&amp;"743,""মূর্খ|ভণ্ড|প্রতার|অলস|লোভ|স্বার্থ|অক্ষম|অযোগ্য|বোকা|কৃপণ|হিংস"")),""valence-target অমিল"",""""),IF(COUNTIF($B:$B,B6743)&gt;1,""ডুপ্লিকেট"",""""))"),"")</f>
        <v/>
      </c>
      <c r="Q6743" s="5" t="str">
        <f t="shared" si="1"/>
        <v>২ পরে</v>
      </c>
    </row>
    <row r="6744">
      <c r="A6744" s="4">
        <v>4692.0</v>
      </c>
      <c r="B6744" s="2" t="s">
        <v>27438</v>
      </c>
      <c r="C6744" s="2" t="s">
        <v>27439</v>
      </c>
      <c r="D6744" s="2" t="s">
        <v>27440</v>
      </c>
      <c r="E6744" s="2" t="s">
        <v>27441</v>
      </c>
      <c r="F6744" s="2" t="b">
        <v>1</v>
      </c>
      <c r="G6744" s="2" t="b">
        <v>0</v>
      </c>
      <c r="H6744" s="2" t="s">
        <v>37</v>
      </c>
      <c r="I6744" s="2" t="s">
        <v>49</v>
      </c>
      <c r="J6744" s="2" t="s">
        <v>208</v>
      </c>
      <c r="K6744" s="2" t="s">
        <v>495</v>
      </c>
      <c r="L6744" s="13" t="s">
        <v>496</v>
      </c>
      <c r="M6744" s="2" t="s">
        <v>26</v>
      </c>
      <c r="N6744" s="29"/>
      <c r="O6744" s="29"/>
      <c r="P6744" s="5" t="str">
        <f>IFERROR(__xludf.DUMMYFUNCTION("TEXTJOIN("" | "",TRUE,IF(OR(D6744="""",E6744="""",I6744="""",J6744="""",H6744=""""),""ফাঁকা ঘর"",""""),IF(AND(C6744&lt;&gt;"""",D6744&lt;&gt;"""",C6744=D6744),""gloss=figurative"",""""),IF(LEN(D6744)&lt;15,""figurative ছোট"",""""),IF(AND(I6744=""Positive"",REGEXMATCH(H6"&amp;"744,""মূর্খ|ভণ্ড|প্রতার|অলস|লোভ|স্বার্থ|অক্ষম|অযোগ্য|বোকা|কৃপণ|হিংস"")),""valence-target অমিল"",""""),IF(COUNTIF($B:$B,B6744)&gt;1,""ডুপ্লিকেট"",""""))"),"")</f>
        <v/>
      </c>
      <c r="Q6744" s="5" t="str">
        <f t="shared" si="1"/>
        <v>২ পরে</v>
      </c>
    </row>
    <row r="6745">
      <c r="A6745" s="4">
        <v>4693.0</v>
      </c>
      <c r="B6745" s="2" t="s">
        <v>27442</v>
      </c>
      <c r="C6745" s="2" t="s">
        <v>27443</v>
      </c>
      <c r="D6745" s="2" t="s">
        <v>27444</v>
      </c>
      <c r="E6745" s="2" t="s">
        <v>27445</v>
      </c>
      <c r="F6745" s="2" t="b">
        <v>1</v>
      </c>
      <c r="G6745" s="2" t="b">
        <v>0</v>
      </c>
      <c r="H6745" s="2" t="s">
        <v>37</v>
      </c>
      <c r="I6745" s="2" t="s">
        <v>49</v>
      </c>
      <c r="J6745" s="2" t="s">
        <v>4670</v>
      </c>
      <c r="K6745" s="2" t="s">
        <v>495</v>
      </c>
      <c r="L6745" s="13" t="s">
        <v>496</v>
      </c>
      <c r="M6745" s="2" t="s">
        <v>26</v>
      </c>
      <c r="N6745" s="29"/>
      <c r="O6745" s="29"/>
      <c r="P6745" s="5" t="str">
        <f>IFERROR(__xludf.DUMMYFUNCTION("TEXTJOIN("" | "",TRUE,IF(OR(D6745="""",E6745="""",I6745="""",J6745="""",H6745=""""),""ফাঁকা ঘর"",""""),IF(AND(C6745&lt;&gt;"""",D6745&lt;&gt;"""",C6745=D6745),""gloss=figurative"",""""),IF(LEN(D6745)&lt;15,""figurative ছোট"",""""),IF(AND(I6745=""Positive"",REGEXMATCH(H6"&amp;"745,""মূর্খ|ভণ্ড|প্রতার|অলস|লোভ|স্বার্থ|অক্ষম|অযোগ্য|বোকা|কৃপণ|হিংস"")),""valence-target অমিল"",""""),IF(COUNTIF($B:$B,B6745)&gt;1,""ডুপ্লিকেট"",""""))"),"")</f>
        <v/>
      </c>
      <c r="Q6745" s="5" t="str">
        <f t="shared" si="1"/>
        <v>২ পরে</v>
      </c>
    </row>
    <row r="6746">
      <c r="A6746" s="4">
        <v>4694.0</v>
      </c>
      <c r="B6746" s="2" t="s">
        <v>27446</v>
      </c>
      <c r="C6746" s="2" t="s">
        <v>27447</v>
      </c>
      <c r="D6746" s="2" t="s">
        <v>24964</v>
      </c>
      <c r="E6746" s="2" t="s">
        <v>27448</v>
      </c>
      <c r="F6746" s="2" t="b">
        <v>1</v>
      </c>
      <c r="G6746" s="2" t="b">
        <v>0</v>
      </c>
      <c r="H6746" s="2" t="s">
        <v>37</v>
      </c>
      <c r="I6746" s="2" t="s">
        <v>22</v>
      </c>
      <c r="J6746" s="2" t="s">
        <v>1397</v>
      </c>
      <c r="K6746" s="2" t="s">
        <v>495</v>
      </c>
      <c r="L6746" s="13" t="s">
        <v>496</v>
      </c>
      <c r="M6746" s="2" t="s">
        <v>26</v>
      </c>
      <c r="N6746" s="29"/>
      <c r="O6746" s="29"/>
      <c r="P6746" s="5" t="str">
        <f>IFERROR(__xludf.DUMMYFUNCTION("TEXTJOIN("" | "",TRUE,IF(OR(D6746="""",E6746="""",I6746="""",J6746="""",H6746=""""),""ফাঁকা ঘর"",""""),IF(AND(C6746&lt;&gt;"""",D6746&lt;&gt;"""",C6746=D6746),""gloss=figurative"",""""),IF(LEN(D6746)&lt;15,""figurative ছোট"",""""),IF(AND(I6746=""Positive"",REGEXMATCH(H6"&amp;"746,""মূর্খ|ভণ্ড|প্রতার|অলস|লোভ|স্বার্থ|অক্ষম|অযোগ্য|বোকা|কৃপণ|হিংস"")),""valence-target অমিল"",""""),IF(COUNTIF($B:$B,B6746)&gt;1,""ডুপ্লিকেট"",""""))"),"")</f>
        <v/>
      </c>
      <c r="Q6746" s="5" t="str">
        <f t="shared" si="1"/>
        <v>২ পরে</v>
      </c>
    </row>
    <row r="6747">
      <c r="A6747" s="4">
        <v>4695.0</v>
      </c>
      <c r="B6747" s="2" t="s">
        <v>27449</v>
      </c>
      <c r="C6747" s="2" t="s">
        <v>27450</v>
      </c>
      <c r="D6747" s="2" t="s">
        <v>27451</v>
      </c>
      <c r="E6747" s="2" t="s">
        <v>27452</v>
      </c>
      <c r="F6747" s="2" t="b">
        <v>1</v>
      </c>
      <c r="G6747" s="2" t="b">
        <v>0</v>
      </c>
      <c r="H6747" s="2" t="s">
        <v>37</v>
      </c>
      <c r="I6747" s="2" t="s">
        <v>49</v>
      </c>
      <c r="J6747" s="2" t="s">
        <v>739</v>
      </c>
      <c r="K6747" s="2" t="s">
        <v>495</v>
      </c>
      <c r="L6747" s="13" t="s">
        <v>496</v>
      </c>
      <c r="M6747" s="2" t="s">
        <v>26</v>
      </c>
      <c r="N6747" s="29"/>
      <c r="O6747" s="29"/>
      <c r="P6747" s="5" t="str">
        <f>IFERROR(__xludf.DUMMYFUNCTION("TEXTJOIN("" | "",TRUE,IF(OR(D6747="""",E6747="""",I6747="""",J6747="""",H6747=""""),""ফাঁকা ঘর"",""""),IF(AND(C6747&lt;&gt;"""",D6747&lt;&gt;"""",C6747=D6747),""gloss=figurative"",""""),IF(LEN(D6747)&lt;15,""figurative ছোট"",""""),IF(AND(I6747=""Positive"",REGEXMATCH(H6"&amp;"747,""মূর্খ|ভণ্ড|প্রতার|অলস|লোভ|স্বার্থ|অক্ষম|অযোগ্য|বোকা|কৃপণ|হিংস"")),""valence-target অমিল"",""""),IF(COUNTIF($B:$B,B6747)&gt;1,""ডুপ্লিকেট"",""""))"),"")</f>
        <v/>
      </c>
      <c r="Q6747" s="5" t="str">
        <f t="shared" si="1"/>
        <v>২ পরে</v>
      </c>
    </row>
    <row r="6748">
      <c r="A6748" s="4">
        <v>4696.0</v>
      </c>
      <c r="B6748" s="2" t="s">
        <v>27453</v>
      </c>
      <c r="C6748" s="2" t="s">
        <v>27454</v>
      </c>
      <c r="D6748" s="2" t="s">
        <v>27455</v>
      </c>
      <c r="E6748" s="2" t="s">
        <v>27456</v>
      </c>
      <c r="F6748" s="2" t="b">
        <v>1</v>
      </c>
      <c r="G6748" s="2" t="b">
        <v>0</v>
      </c>
      <c r="H6748" s="2" t="s">
        <v>37</v>
      </c>
      <c r="I6748" s="2" t="s">
        <v>22</v>
      </c>
      <c r="J6748" s="2" t="s">
        <v>848</v>
      </c>
      <c r="K6748" s="2" t="s">
        <v>495</v>
      </c>
      <c r="L6748" s="13" t="s">
        <v>496</v>
      </c>
      <c r="M6748" s="2" t="s">
        <v>26</v>
      </c>
      <c r="N6748" s="29"/>
      <c r="O6748" s="29"/>
      <c r="P6748" s="5" t="str">
        <f>IFERROR(__xludf.DUMMYFUNCTION("TEXTJOIN("" | "",TRUE,IF(OR(D6748="""",E6748="""",I6748="""",J6748="""",H6748=""""),""ফাঁকা ঘর"",""""),IF(AND(C6748&lt;&gt;"""",D6748&lt;&gt;"""",C6748=D6748),""gloss=figurative"",""""),IF(LEN(D6748)&lt;15,""figurative ছোট"",""""),IF(AND(I6748=""Positive"",REGEXMATCH(H6"&amp;"748,""মূর্খ|ভণ্ড|প্রতার|অলস|লোভ|স্বার্থ|অক্ষম|অযোগ্য|বোকা|কৃপণ|হিংস"")),""valence-target অমিল"",""""),IF(COUNTIF($B:$B,B6748)&gt;1,""ডুপ্লিকেট"",""""))"),"")</f>
        <v/>
      </c>
      <c r="Q6748" s="5" t="str">
        <f t="shared" si="1"/>
        <v>২ পরে</v>
      </c>
    </row>
    <row r="6749">
      <c r="A6749" s="4">
        <v>4697.0</v>
      </c>
      <c r="B6749" s="2" t="s">
        <v>27457</v>
      </c>
      <c r="C6749" s="2" t="s">
        <v>27458</v>
      </c>
      <c r="D6749" s="2" t="s">
        <v>27459</v>
      </c>
      <c r="E6749" s="2" t="s">
        <v>27460</v>
      </c>
      <c r="F6749" s="2" t="b">
        <v>1</v>
      </c>
      <c r="G6749" s="2" t="b">
        <v>0</v>
      </c>
      <c r="H6749" s="2" t="s">
        <v>37</v>
      </c>
      <c r="I6749" s="2" t="s">
        <v>49</v>
      </c>
      <c r="J6749" s="2" t="s">
        <v>1387</v>
      </c>
      <c r="K6749" s="2" t="s">
        <v>495</v>
      </c>
      <c r="L6749" s="13" t="s">
        <v>496</v>
      </c>
      <c r="M6749" s="2" t="s">
        <v>26</v>
      </c>
      <c r="N6749" s="29"/>
      <c r="O6749" s="29"/>
      <c r="P6749" s="5" t="str">
        <f>IFERROR(__xludf.DUMMYFUNCTION("TEXTJOIN("" | "",TRUE,IF(OR(D6749="""",E6749="""",I6749="""",J6749="""",H6749=""""),""ফাঁকা ঘর"",""""),IF(AND(C6749&lt;&gt;"""",D6749&lt;&gt;"""",C6749=D6749),""gloss=figurative"",""""),IF(LEN(D6749)&lt;15,""figurative ছোট"",""""),IF(AND(I6749=""Positive"",REGEXMATCH(H6"&amp;"749,""মূর্খ|ভণ্ড|প্রতার|অলস|লোভ|স্বার্থ|অক্ষম|অযোগ্য|বোকা|কৃপণ|হিংস"")),""valence-target অমিল"",""""),IF(COUNTIF($B:$B,B6749)&gt;1,""ডুপ্লিকেট"",""""))"),"")</f>
        <v/>
      </c>
      <c r="Q6749" s="5" t="str">
        <f t="shared" si="1"/>
        <v>২ পরে</v>
      </c>
    </row>
    <row r="6750">
      <c r="A6750" s="4">
        <v>4698.0</v>
      </c>
      <c r="B6750" s="2" t="s">
        <v>27461</v>
      </c>
      <c r="C6750" s="2" t="s">
        <v>27461</v>
      </c>
      <c r="D6750" s="2" t="s">
        <v>27462</v>
      </c>
      <c r="E6750" s="2" t="s">
        <v>27463</v>
      </c>
      <c r="F6750" s="2" t="b">
        <v>1</v>
      </c>
      <c r="G6750" s="2" t="b">
        <v>0</v>
      </c>
      <c r="H6750" s="2" t="s">
        <v>37</v>
      </c>
      <c r="I6750" s="2" t="s">
        <v>22</v>
      </c>
      <c r="J6750" s="2" t="s">
        <v>2857</v>
      </c>
      <c r="K6750" s="2" t="s">
        <v>495</v>
      </c>
      <c r="L6750" s="13" t="s">
        <v>496</v>
      </c>
      <c r="M6750" s="2" t="s">
        <v>26</v>
      </c>
      <c r="N6750" s="29"/>
      <c r="O6750" s="29"/>
      <c r="P6750" s="5" t="str">
        <f>IFERROR(__xludf.DUMMYFUNCTION("TEXTJOIN("" | "",TRUE,IF(OR(D6750="""",E6750="""",I6750="""",J6750="""",H6750=""""),""ফাঁকা ঘর"",""""),IF(AND(C6750&lt;&gt;"""",D6750&lt;&gt;"""",C6750=D6750),""gloss=figurative"",""""),IF(LEN(D6750)&lt;15,""figurative ছোট"",""""),IF(AND(I6750=""Positive"",REGEXMATCH(H6"&amp;"750,""মূর্খ|ভণ্ড|প্রতার|অলস|লোভ|স্বার্থ|অক্ষম|অযোগ্য|বোকা|কৃপণ|হিংস"")),""valence-target অমিল"",""""),IF(COUNTIF($B:$B,B6750)&gt;1,""ডুপ্লিকেট"",""""))"),"")</f>
        <v/>
      </c>
      <c r="Q6750" s="5" t="str">
        <f t="shared" si="1"/>
        <v>২ পরে</v>
      </c>
    </row>
    <row r="6751">
      <c r="A6751" s="4">
        <v>4699.0</v>
      </c>
      <c r="B6751" s="2" t="s">
        <v>27464</v>
      </c>
      <c r="C6751" s="2" t="s">
        <v>27464</v>
      </c>
      <c r="D6751" s="2" t="s">
        <v>27465</v>
      </c>
      <c r="E6751" s="2" t="s">
        <v>27466</v>
      </c>
      <c r="F6751" s="2" t="b">
        <v>1</v>
      </c>
      <c r="G6751" s="2" t="b">
        <v>0</v>
      </c>
      <c r="H6751" s="2" t="s">
        <v>37</v>
      </c>
      <c r="I6751" s="2" t="s">
        <v>22</v>
      </c>
      <c r="J6751" s="2" t="s">
        <v>1397</v>
      </c>
      <c r="K6751" s="2" t="s">
        <v>495</v>
      </c>
      <c r="L6751" s="13" t="s">
        <v>496</v>
      </c>
      <c r="M6751" s="2" t="s">
        <v>26</v>
      </c>
      <c r="N6751" s="29"/>
      <c r="O6751" s="29"/>
      <c r="P6751" s="5" t="str">
        <f>IFERROR(__xludf.DUMMYFUNCTION("TEXTJOIN("" | "",TRUE,IF(OR(D6751="""",E6751="""",I6751="""",J6751="""",H6751=""""),""ফাঁকা ঘর"",""""),IF(AND(C6751&lt;&gt;"""",D6751&lt;&gt;"""",C6751=D6751),""gloss=figurative"",""""),IF(LEN(D6751)&lt;15,""figurative ছোট"",""""),IF(AND(I6751=""Positive"",REGEXMATCH(H6"&amp;"751,""মূর্খ|ভণ্ড|প্রতার|অলস|লোভ|স্বার্থ|অক্ষম|অযোগ্য|বোকা|কৃপণ|হিংস"")),""valence-target অমিল"",""""),IF(COUNTIF($B:$B,B6751)&gt;1,""ডুপ্লিকেট"",""""))"),"")</f>
        <v/>
      </c>
      <c r="Q6751" s="5" t="str">
        <f t="shared" si="1"/>
        <v>২ পরে</v>
      </c>
    </row>
    <row r="6752">
      <c r="A6752" s="4">
        <v>4700.0</v>
      </c>
      <c r="B6752" s="2" t="s">
        <v>27467</v>
      </c>
      <c r="C6752" s="2" t="s">
        <v>27468</v>
      </c>
      <c r="D6752" s="2" t="s">
        <v>27469</v>
      </c>
      <c r="E6752" s="2" t="s">
        <v>27470</v>
      </c>
      <c r="F6752" s="2" t="b">
        <v>1</v>
      </c>
      <c r="G6752" s="2" t="b">
        <v>0</v>
      </c>
      <c r="H6752" s="2" t="s">
        <v>37</v>
      </c>
      <c r="I6752" s="2" t="s">
        <v>49</v>
      </c>
      <c r="J6752" s="2" t="s">
        <v>208</v>
      </c>
      <c r="K6752" s="2" t="s">
        <v>495</v>
      </c>
      <c r="L6752" s="13" t="s">
        <v>496</v>
      </c>
      <c r="M6752" s="2" t="s">
        <v>26</v>
      </c>
      <c r="N6752" s="29"/>
      <c r="O6752" s="29"/>
      <c r="P6752" s="5" t="str">
        <f>IFERROR(__xludf.DUMMYFUNCTION("TEXTJOIN("" | "",TRUE,IF(OR(D6752="""",E6752="""",I6752="""",J6752="""",H6752=""""),""ফাঁকা ঘর"",""""),IF(AND(C6752&lt;&gt;"""",D6752&lt;&gt;"""",C6752=D6752),""gloss=figurative"",""""),IF(LEN(D6752)&lt;15,""figurative ছোট"",""""),IF(AND(I6752=""Positive"",REGEXMATCH(H6"&amp;"752,""মূর্খ|ভণ্ড|প্রতার|অলস|লোভ|স্বার্থ|অক্ষম|অযোগ্য|বোকা|কৃপণ|হিংস"")),""valence-target অমিল"",""""),IF(COUNTIF($B:$B,B6752)&gt;1,""ডুপ্লিকেট"",""""))"),"")</f>
        <v/>
      </c>
      <c r="Q6752" s="5" t="str">
        <f t="shared" si="1"/>
        <v>২ পরে</v>
      </c>
    </row>
    <row r="6753">
      <c r="A6753" s="4">
        <v>4702.0</v>
      </c>
      <c r="B6753" s="2" t="s">
        <v>27471</v>
      </c>
      <c r="C6753" s="2" t="s">
        <v>27472</v>
      </c>
      <c r="D6753" s="2" t="s">
        <v>27473</v>
      </c>
      <c r="E6753" s="2" t="s">
        <v>27474</v>
      </c>
      <c r="F6753" s="2" t="b">
        <v>1</v>
      </c>
      <c r="G6753" s="2" t="b">
        <v>0</v>
      </c>
      <c r="H6753" s="2" t="s">
        <v>37</v>
      </c>
      <c r="I6753" s="2" t="s">
        <v>49</v>
      </c>
      <c r="J6753" s="2" t="s">
        <v>208</v>
      </c>
      <c r="K6753" s="2" t="s">
        <v>495</v>
      </c>
      <c r="L6753" s="13" t="s">
        <v>496</v>
      </c>
      <c r="M6753" s="2" t="s">
        <v>26</v>
      </c>
      <c r="N6753" s="29"/>
      <c r="O6753" s="29"/>
      <c r="P6753" s="5" t="str">
        <f>IFERROR(__xludf.DUMMYFUNCTION("TEXTJOIN("" | "",TRUE,IF(OR(D6753="""",E6753="""",I6753="""",J6753="""",H6753=""""),""ফাঁকা ঘর"",""""),IF(AND(C6753&lt;&gt;"""",D6753&lt;&gt;"""",C6753=D6753),""gloss=figurative"",""""),IF(LEN(D6753)&lt;15,""figurative ছোট"",""""),IF(AND(I6753=""Positive"",REGEXMATCH(H6"&amp;"753,""মূর্খ|ভণ্ড|প্রতার|অলস|লোভ|স্বার্থ|অক্ষম|অযোগ্য|বোকা|কৃপণ|হিংস"")),""valence-target অমিল"",""""),IF(COUNTIF($B:$B,B6753)&gt;1,""ডুপ্লিকেট"",""""))"),"")</f>
        <v/>
      </c>
      <c r="Q6753" s="5" t="str">
        <f t="shared" si="1"/>
        <v>২ পরে</v>
      </c>
    </row>
    <row r="6754">
      <c r="A6754" s="4">
        <v>4703.0</v>
      </c>
      <c r="B6754" s="2" t="s">
        <v>27475</v>
      </c>
      <c r="C6754" s="2" t="s">
        <v>27475</v>
      </c>
      <c r="D6754" s="2" t="s">
        <v>21224</v>
      </c>
      <c r="E6754" s="2" t="s">
        <v>27476</v>
      </c>
      <c r="F6754" s="2" t="b">
        <v>1</v>
      </c>
      <c r="G6754" s="2" t="b">
        <v>0</v>
      </c>
      <c r="H6754" s="2" t="s">
        <v>37</v>
      </c>
      <c r="I6754" s="2" t="s">
        <v>22</v>
      </c>
      <c r="J6754" s="2" t="s">
        <v>10509</v>
      </c>
      <c r="K6754" s="2" t="s">
        <v>495</v>
      </c>
      <c r="L6754" s="13" t="s">
        <v>496</v>
      </c>
      <c r="M6754" s="2" t="s">
        <v>26</v>
      </c>
      <c r="N6754" s="29"/>
      <c r="O6754" s="29"/>
      <c r="P6754" s="5" t="str">
        <f>IFERROR(__xludf.DUMMYFUNCTION("TEXTJOIN("" | "",TRUE,IF(OR(D6754="""",E6754="""",I6754="""",J6754="""",H6754=""""),""ফাঁকা ঘর"",""""),IF(AND(C6754&lt;&gt;"""",D6754&lt;&gt;"""",C6754=D6754),""gloss=figurative"",""""),IF(LEN(D6754)&lt;15,""figurative ছোট"",""""),IF(AND(I6754=""Positive"",REGEXMATCH(H6"&amp;"754,""মূর্খ|ভণ্ড|প্রতার|অলস|লোভ|স্বার্থ|অক্ষম|অযোগ্য|বোকা|কৃপণ|হিংস"")),""valence-target অমিল"",""""),IF(COUNTIF($B:$B,B6754)&gt;1,""ডুপ্লিকেট"",""""))"),"")</f>
        <v/>
      </c>
      <c r="Q6754" s="5" t="str">
        <f t="shared" si="1"/>
        <v>২ পরে</v>
      </c>
    </row>
    <row r="6755">
      <c r="A6755" s="4">
        <v>4704.0</v>
      </c>
      <c r="B6755" s="2" t="s">
        <v>27477</v>
      </c>
      <c r="C6755" s="2" t="s">
        <v>27478</v>
      </c>
      <c r="D6755" s="2" t="s">
        <v>27479</v>
      </c>
      <c r="E6755" s="2" t="s">
        <v>27480</v>
      </c>
      <c r="F6755" s="2" t="b">
        <v>1</v>
      </c>
      <c r="G6755" s="2" t="b">
        <v>0</v>
      </c>
      <c r="H6755" s="2" t="s">
        <v>37</v>
      </c>
      <c r="I6755" s="2" t="s">
        <v>32</v>
      </c>
      <c r="J6755" s="2" t="s">
        <v>4804</v>
      </c>
      <c r="K6755" s="2" t="s">
        <v>495</v>
      </c>
      <c r="L6755" s="13" t="s">
        <v>496</v>
      </c>
      <c r="M6755" s="2" t="s">
        <v>26</v>
      </c>
      <c r="N6755" s="29"/>
      <c r="O6755" s="29"/>
      <c r="P6755" s="5" t="str">
        <f>IFERROR(__xludf.DUMMYFUNCTION("TEXTJOIN("" | "",TRUE,IF(OR(D6755="""",E6755="""",I6755="""",J6755="""",H6755=""""),""ফাঁকা ঘর"",""""),IF(AND(C6755&lt;&gt;"""",D6755&lt;&gt;"""",C6755=D6755),""gloss=figurative"",""""),IF(LEN(D6755)&lt;15,""figurative ছোট"",""""),IF(AND(I6755=""Positive"",REGEXMATCH(H6"&amp;"755,""মূর্খ|ভণ্ড|প্রতার|অলস|লোভ|স্বার্থ|অক্ষম|অযোগ্য|বোকা|কৃপণ|হিংস"")),""valence-target অমিল"",""""),IF(COUNTIF($B:$B,B6755)&gt;1,""ডুপ্লিকেট"",""""))"),"")</f>
        <v/>
      </c>
      <c r="Q6755" s="5" t="str">
        <f t="shared" si="1"/>
        <v>২ পরে</v>
      </c>
    </row>
    <row r="6756">
      <c r="A6756" s="4">
        <v>4705.0</v>
      </c>
      <c r="B6756" s="2" t="s">
        <v>27481</v>
      </c>
      <c r="C6756" s="2" t="s">
        <v>27482</v>
      </c>
      <c r="D6756" s="2" t="s">
        <v>27483</v>
      </c>
      <c r="E6756" s="2" t="s">
        <v>27484</v>
      </c>
      <c r="F6756" s="2" t="b">
        <v>1</v>
      </c>
      <c r="G6756" s="2" t="b">
        <v>0</v>
      </c>
      <c r="H6756" s="2" t="s">
        <v>37</v>
      </c>
      <c r="I6756" s="2" t="s">
        <v>22</v>
      </c>
      <c r="J6756" s="2" t="s">
        <v>4026</v>
      </c>
      <c r="K6756" s="2" t="s">
        <v>495</v>
      </c>
      <c r="L6756" s="13" t="s">
        <v>496</v>
      </c>
      <c r="M6756" s="2" t="s">
        <v>26</v>
      </c>
      <c r="N6756" s="29"/>
      <c r="O6756" s="29"/>
      <c r="P6756" s="5" t="str">
        <f>IFERROR(__xludf.DUMMYFUNCTION("TEXTJOIN("" | "",TRUE,IF(OR(D6756="""",E6756="""",I6756="""",J6756="""",H6756=""""),""ফাঁকা ঘর"",""""),IF(AND(C6756&lt;&gt;"""",D6756&lt;&gt;"""",C6756=D6756),""gloss=figurative"",""""),IF(LEN(D6756)&lt;15,""figurative ছোট"",""""),IF(AND(I6756=""Positive"",REGEXMATCH(H6"&amp;"756,""মূর্খ|ভণ্ড|প্রতার|অলস|লোভ|স্বার্থ|অক্ষম|অযোগ্য|বোকা|কৃপণ|হিংস"")),""valence-target অমিল"",""""),IF(COUNTIF($B:$B,B6756)&gt;1,""ডুপ্লিকেট"",""""))"),"")</f>
        <v/>
      </c>
      <c r="Q6756" s="5" t="str">
        <f t="shared" si="1"/>
        <v>২ পরে</v>
      </c>
    </row>
    <row r="6757">
      <c r="A6757" s="4">
        <v>4706.0</v>
      </c>
      <c r="B6757" s="2" t="s">
        <v>27485</v>
      </c>
      <c r="C6757" s="2" t="s">
        <v>27486</v>
      </c>
      <c r="D6757" s="2" t="s">
        <v>27487</v>
      </c>
      <c r="E6757" s="2" t="s">
        <v>27488</v>
      </c>
      <c r="F6757" s="2" t="b">
        <v>1</v>
      </c>
      <c r="G6757" s="2" t="b">
        <v>0</v>
      </c>
      <c r="H6757" s="2" t="s">
        <v>8617</v>
      </c>
      <c r="I6757" s="2" t="s">
        <v>22</v>
      </c>
      <c r="J6757" s="2" t="s">
        <v>669</v>
      </c>
      <c r="K6757" s="2" t="s">
        <v>495</v>
      </c>
      <c r="L6757" s="13" t="s">
        <v>496</v>
      </c>
      <c r="M6757" s="2" t="s">
        <v>26</v>
      </c>
      <c r="N6757" s="29"/>
      <c r="O6757" s="29"/>
      <c r="P6757" s="5" t="str">
        <f>IFERROR(__xludf.DUMMYFUNCTION("TEXTJOIN("" | "",TRUE,IF(OR(D6757="""",E6757="""",I6757="""",J6757="""",H6757=""""),""ফাঁকা ঘর"",""""),IF(AND(C6757&lt;&gt;"""",D6757&lt;&gt;"""",C6757=D6757),""gloss=figurative"",""""),IF(LEN(D6757)&lt;15,""figurative ছোট"",""""),IF(AND(I6757=""Positive"",REGEXMATCH(H6"&amp;"757,""মূর্খ|ভণ্ড|প্রতার|অলস|লোভ|স্বার্থ|অক্ষম|অযোগ্য|বোকা|কৃপণ|হিংস"")),""valence-target অমিল"",""""),IF(COUNTIF($B:$B,B6757)&gt;1,""ডুপ্লিকেট"",""""))"),"")</f>
        <v/>
      </c>
      <c r="Q6757" s="5" t="str">
        <f t="shared" si="1"/>
        <v>২ পরে</v>
      </c>
    </row>
    <row r="6758">
      <c r="A6758" s="4">
        <v>4707.0</v>
      </c>
      <c r="B6758" s="2" t="s">
        <v>27489</v>
      </c>
      <c r="C6758" s="2" t="s">
        <v>27490</v>
      </c>
      <c r="D6758" s="2" t="s">
        <v>27491</v>
      </c>
      <c r="E6758" s="2" t="s">
        <v>27492</v>
      </c>
      <c r="F6758" s="2" t="b">
        <v>1</v>
      </c>
      <c r="G6758" s="2" t="b">
        <v>0</v>
      </c>
      <c r="H6758" s="2" t="s">
        <v>8617</v>
      </c>
      <c r="I6758" s="2" t="s">
        <v>22</v>
      </c>
      <c r="J6758" s="2" t="s">
        <v>669</v>
      </c>
      <c r="K6758" s="2" t="s">
        <v>495</v>
      </c>
      <c r="L6758" s="13" t="s">
        <v>496</v>
      </c>
      <c r="M6758" s="2" t="s">
        <v>26</v>
      </c>
      <c r="N6758" s="29"/>
      <c r="O6758" s="29"/>
      <c r="P6758" s="5" t="str">
        <f>IFERROR(__xludf.DUMMYFUNCTION("TEXTJOIN("" | "",TRUE,IF(OR(D6758="""",E6758="""",I6758="""",J6758="""",H6758=""""),""ফাঁকা ঘর"",""""),IF(AND(C6758&lt;&gt;"""",D6758&lt;&gt;"""",C6758=D6758),""gloss=figurative"",""""),IF(LEN(D6758)&lt;15,""figurative ছোট"",""""),IF(AND(I6758=""Positive"",REGEXMATCH(H6"&amp;"758,""মূর্খ|ভণ্ড|প্রতার|অলস|লোভ|স্বার্থ|অক্ষম|অযোগ্য|বোকা|কৃপণ|হিংস"")),""valence-target অমিল"",""""),IF(COUNTIF($B:$B,B6758)&gt;1,""ডুপ্লিকেট"",""""))"),"")</f>
        <v/>
      </c>
      <c r="Q6758" s="5" t="str">
        <f t="shared" si="1"/>
        <v>২ পরে</v>
      </c>
    </row>
    <row r="6759">
      <c r="A6759" s="4">
        <v>4709.0</v>
      </c>
      <c r="B6759" s="2" t="s">
        <v>27493</v>
      </c>
      <c r="C6759" s="2" t="s">
        <v>27494</v>
      </c>
      <c r="D6759" s="2" t="s">
        <v>27495</v>
      </c>
      <c r="E6759" s="2" t="s">
        <v>27496</v>
      </c>
      <c r="F6759" s="2" t="b">
        <v>1</v>
      </c>
      <c r="G6759" s="2" t="b">
        <v>0</v>
      </c>
      <c r="H6759" s="2" t="s">
        <v>37</v>
      </c>
      <c r="I6759" s="2" t="s">
        <v>32</v>
      </c>
      <c r="J6759" s="2" t="s">
        <v>1603</v>
      </c>
      <c r="K6759" s="2" t="s">
        <v>495</v>
      </c>
      <c r="L6759" s="13" t="s">
        <v>496</v>
      </c>
      <c r="M6759" s="2" t="s">
        <v>26</v>
      </c>
      <c r="N6759" s="29"/>
      <c r="O6759" s="29"/>
      <c r="P6759" s="5" t="str">
        <f>IFERROR(__xludf.DUMMYFUNCTION("TEXTJOIN("" | "",TRUE,IF(OR(D6759="""",E6759="""",I6759="""",J6759="""",H6759=""""),""ফাঁকা ঘর"",""""),IF(AND(C6759&lt;&gt;"""",D6759&lt;&gt;"""",C6759=D6759),""gloss=figurative"",""""),IF(LEN(D6759)&lt;15,""figurative ছোট"",""""),IF(AND(I6759=""Positive"",REGEXMATCH(H6"&amp;"759,""মূর্খ|ভণ্ড|প্রতার|অলস|লোভ|স্বার্থ|অক্ষম|অযোগ্য|বোকা|কৃপণ|হিংস"")),""valence-target অমিল"",""""),IF(COUNTIF($B:$B,B6759)&gt;1,""ডুপ্লিকেট"",""""))"),"")</f>
        <v/>
      </c>
      <c r="Q6759" s="5" t="str">
        <f t="shared" si="1"/>
        <v>২ পরে</v>
      </c>
    </row>
    <row r="6760">
      <c r="A6760" s="4">
        <v>4710.0</v>
      </c>
      <c r="B6760" s="2" t="s">
        <v>27497</v>
      </c>
      <c r="C6760" s="2" t="s">
        <v>27497</v>
      </c>
      <c r="D6760" s="2" t="s">
        <v>27498</v>
      </c>
      <c r="E6760" s="2" t="s">
        <v>27499</v>
      </c>
      <c r="F6760" s="2" t="b">
        <v>1</v>
      </c>
      <c r="G6760" s="2" t="b">
        <v>0</v>
      </c>
      <c r="H6760" s="2" t="s">
        <v>37</v>
      </c>
      <c r="I6760" s="2" t="s">
        <v>32</v>
      </c>
      <c r="J6760" s="2" t="s">
        <v>340</v>
      </c>
      <c r="K6760" s="2" t="s">
        <v>495</v>
      </c>
      <c r="L6760" s="13" t="s">
        <v>496</v>
      </c>
      <c r="M6760" s="2" t="s">
        <v>26</v>
      </c>
      <c r="N6760" s="29"/>
      <c r="O6760" s="29"/>
      <c r="P6760" s="5" t="str">
        <f>IFERROR(__xludf.DUMMYFUNCTION("TEXTJOIN("" | "",TRUE,IF(OR(D6760="""",E6760="""",I6760="""",J6760="""",H6760=""""),""ফাঁকা ঘর"",""""),IF(AND(C6760&lt;&gt;"""",D6760&lt;&gt;"""",C6760=D6760),""gloss=figurative"",""""),IF(LEN(D6760)&lt;15,""figurative ছোট"",""""),IF(AND(I6760=""Positive"",REGEXMATCH(H6"&amp;"760,""মূর্খ|ভণ্ড|প্রতার|অলস|লোভ|স্বার্থ|অক্ষম|অযোগ্য|বোকা|কৃপণ|হিংস"")),""valence-target অমিল"",""""),IF(COUNTIF($B:$B,B6760)&gt;1,""ডুপ্লিকেট"",""""))"),"")</f>
        <v/>
      </c>
      <c r="Q6760" s="5" t="str">
        <f t="shared" si="1"/>
        <v>২ পরে</v>
      </c>
    </row>
    <row r="6761">
      <c r="A6761" s="4">
        <v>4711.0</v>
      </c>
      <c r="B6761" s="2" t="s">
        <v>27500</v>
      </c>
      <c r="C6761" s="2" t="s">
        <v>27501</v>
      </c>
      <c r="D6761" s="2" t="s">
        <v>27502</v>
      </c>
      <c r="E6761" s="2" t="s">
        <v>27503</v>
      </c>
      <c r="F6761" s="2" t="b">
        <v>1</v>
      </c>
      <c r="G6761" s="2" t="b">
        <v>0</v>
      </c>
      <c r="H6761" s="2" t="s">
        <v>1612</v>
      </c>
      <c r="I6761" s="2" t="s">
        <v>22</v>
      </c>
      <c r="J6761" s="2" t="s">
        <v>836</v>
      </c>
      <c r="K6761" s="2" t="s">
        <v>495</v>
      </c>
      <c r="L6761" s="13" t="s">
        <v>496</v>
      </c>
      <c r="M6761" s="2" t="s">
        <v>26</v>
      </c>
      <c r="N6761" s="29"/>
      <c r="O6761" s="29"/>
      <c r="P6761" s="5" t="str">
        <f>IFERROR(__xludf.DUMMYFUNCTION("TEXTJOIN("" | "",TRUE,IF(OR(D6761="""",E6761="""",I6761="""",J6761="""",H6761=""""),""ফাঁকা ঘর"",""""),IF(AND(C6761&lt;&gt;"""",D6761&lt;&gt;"""",C6761=D6761),""gloss=figurative"",""""),IF(LEN(D6761)&lt;15,""figurative ছোট"",""""),IF(AND(I6761=""Positive"",REGEXMATCH(H6"&amp;"761,""মূর্খ|ভণ্ড|প্রতার|অলস|লোভ|স্বার্থ|অক্ষম|অযোগ্য|বোকা|কৃপণ|হিংস"")),""valence-target অমিল"",""""),IF(COUNTIF($B:$B,B6761)&gt;1,""ডুপ্লিকেট"",""""))"),"")</f>
        <v/>
      </c>
      <c r="Q6761" s="5" t="str">
        <f t="shared" si="1"/>
        <v>২ পরে</v>
      </c>
    </row>
    <row r="6762">
      <c r="A6762" s="4">
        <v>4712.0</v>
      </c>
      <c r="B6762" s="2" t="s">
        <v>27504</v>
      </c>
      <c r="C6762" s="2" t="s">
        <v>27505</v>
      </c>
      <c r="D6762" s="2" t="s">
        <v>27506</v>
      </c>
      <c r="E6762" s="2" t="s">
        <v>27507</v>
      </c>
      <c r="F6762" s="2" t="b">
        <v>1</v>
      </c>
      <c r="G6762" s="2" t="b">
        <v>0</v>
      </c>
      <c r="H6762" s="2" t="s">
        <v>37</v>
      </c>
      <c r="I6762" s="2" t="s">
        <v>49</v>
      </c>
      <c r="J6762" s="2" t="s">
        <v>565</v>
      </c>
      <c r="K6762" s="2" t="s">
        <v>495</v>
      </c>
      <c r="L6762" s="13" t="s">
        <v>496</v>
      </c>
      <c r="M6762" s="2" t="s">
        <v>26</v>
      </c>
      <c r="N6762" s="29"/>
      <c r="O6762" s="29"/>
      <c r="P6762" s="5" t="str">
        <f>IFERROR(__xludf.DUMMYFUNCTION("TEXTJOIN("" | "",TRUE,IF(OR(D6762="""",E6762="""",I6762="""",J6762="""",H6762=""""),""ফাঁকা ঘর"",""""),IF(AND(C6762&lt;&gt;"""",D6762&lt;&gt;"""",C6762=D6762),""gloss=figurative"",""""),IF(LEN(D6762)&lt;15,""figurative ছোট"",""""),IF(AND(I6762=""Positive"",REGEXMATCH(H6"&amp;"762,""মূর্খ|ভণ্ড|প্রতার|অলস|লোভ|স্বার্থ|অক্ষম|অযোগ্য|বোকা|কৃপণ|হিংস"")),""valence-target অমিল"",""""),IF(COUNTIF($B:$B,B6762)&gt;1,""ডুপ্লিকেট"",""""))"),"")</f>
        <v/>
      </c>
      <c r="Q6762" s="5" t="str">
        <f t="shared" si="1"/>
        <v>২ পরে</v>
      </c>
    </row>
    <row r="6763">
      <c r="A6763" s="4">
        <v>4713.0</v>
      </c>
      <c r="B6763" s="2" t="s">
        <v>27508</v>
      </c>
      <c r="C6763" s="2" t="s">
        <v>27509</v>
      </c>
      <c r="D6763" s="2" t="s">
        <v>27510</v>
      </c>
      <c r="E6763" s="2" t="s">
        <v>27511</v>
      </c>
      <c r="F6763" s="2" t="b">
        <v>1</v>
      </c>
      <c r="G6763" s="2" t="b">
        <v>0</v>
      </c>
      <c r="H6763" s="2" t="s">
        <v>1334</v>
      </c>
      <c r="I6763" s="2" t="s">
        <v>22</v>
      </c>
      <c r="J6763" s="2" t="s">
        <v>820</v>
      </c>
      <c r="K6763" s="2" t="s">
        <v>495</v>
      </c>
      <c r="L6763" s="13" t="s">
        <v>496</v>
      </c>
      <c r="M6763" s="2" t="s">
        <v>26</v>
      </c>
      <c r="N6763" s="29"/>
      <c r="O6763" s="29"/>
      <c r="P6763" s="5" t="str">
        <f>IFERROR(__xludf.DUMMYFUNCTION("TEXTJOIN("" | "",TRUE,IF(OR(D6763="""",E6763="""",I6763="""",J6763="""",H6763=""""),""ফাঁকা ঘর"",""""),IF(AND(C6763&lt;&gt;"""",D6763&lt;&gt;"""",C6763=D6763),""gloss=figurative"",""""),IF(LEN(D6763)&lt;15,""figurative ছোট"",""""),IF(AND(I6763=""Positive"",REGEXMATCH(H6"&amp;"763,""মূর্খ|ভণ্ড|প্রতার|অলস|লোভ|স্বার্থ|অক্ষম|অযোগ্য|বোকা|কৃপণ|হিংস"")),""valence-target অমিল"",""""),IF(COUNTIF($B:$B,B6763)&gt;1,""ডুপ্লিকেট"",""""))"),"")</f>
        <v/>
      </c>
      <c r="Q6763" s="5" t="str">
        <f t="shared" si="1"/>
        <v>২ পরে</v>
      </c>
    </row>
    <row r="6764">
      <c r="A6764" s="4">
        <v>4714.0</v>
      </c>
      <c r="B6764" s="2" t="s">
        <v>27512</v>
      </c>
      <c r="C6764" s="2" t="s">
        <v>27513</v>
      </c>
      <c r="D6764" s="2" t="s">
        <v>27514</v>
      </c>
      <c r="E6764" s="2" t="s">
        <v>27515</v>
      </c>
      <c r="F6764" s="2" t="b">
        <v>1</v>
      </c>
      <c r="G6764" s="2" t="b">
        <v>0</v>
      </c>
      <c r="H6764" s="2" t="s">
        <v>37</v>
      </c>
      <c r="I6764" s="2" t="s">
        <v>32</v>
      </c>
      <c r="J6764" s="2" t="s">
        <v>1239</v>
      </c>
      <c r="K6764" s="2" t="s">
        <v>495</v>
      </c>
      <c r="L6764" s="13" t="s">
        <v>496</v>
      </c>
      <c r="M6764" s="2" t="s">
        <v>26</v>
      </c>
      <c r="N6764" s="29"/>
      <c r="O6764" s="29"/>
      <c r="P6764" s="5" t="str">
        <f>IFERROR(__xludf.DUMMYFUNCTION("TEXTJOIN("" | "",TRUE,IF(OR(D6764="""",E6764="""",I6764="""",J6764="""",H6764=""""),""ফাঁকা ঘর"",""""),IF(AND(C6764&lt;&gt;"""",D6764&lt;&gt;"""",C6764=D6764),""gloss=figurative"",""""),IF(LEN(D6764)&lt;15,""figurative ছোট"",""""),IF(AND(I6764=""Positive"",REGEXMATCH(H6"&amp;"764,""মূর্খ|ভণ্ড|প্রতার|অলস|লোভ|স্বার্থ|অক্ষম|অযোগ্য|বোকা|কৃপণ|হিংস"")),""valence-target অমিল"",""""),IF(COUNTIF($B:$B,B6764)&gt;1,""ডুপ্লিকেট"",""""))"),"")</f>
        <v/>
      </c>
      <c r="Q6764" s="5" t="str">
        <f t="shared" si="1"/>
        <v>২ পরে</v>
      </c>
    </row>
    <row r="6765">
      <c r="A6765" s="4">
        <v>4715.0</v>
      </c>
      <c r="B6765" s="2" t="s">
        <v>27516</v>
      </c>
      <c r="C6765" s="2" t="s">
        <v>27517</v>
      </c>
      <c r="D6765" s="2" t="s">
        <v>27518</v>
      </c>
      <c r="E6765" s="2" t="s">
        <v>27519</v>
      </c>
      <c r="F6765" s="2" t="b">
        <v>1</v>
      </c>
      <c r="G6765" s="2" t="b">
        <v>0</v>
      </c>
      <c r="H6765" s="2" t="s">
        <v>1334</v>
      </c>
      <c r="I6765" s="2" t="s">
        <v>22</v>
      </c>
      <c r="J6765" s="2" t="s">
        <v>820</v>
      </c>
      <c r="K6765" s="2" t="s">
        <v>495</v>
      </c>
      <c r="L6765" s="13" t="s">
        <v>496</v>
      </c>
      <c r="M6765" s="2" t="s">
        <v>26</v>
      </c>
      <c r="N6765" s="29"/>
      <c r="O6765" s="29"/>
      <c r="P6765" s="5" t="str">
        <f>IFERROR(__xludf.DUMMYFUNCTION("TEXTJOIN("" | "",TRUE,IF(OR(D6765="""",E6765="""",I6765="""",J6765="""",H6765=""""),""ফাঁকা ঘর"",""""),IF(AND(C6765&lt;&gt;"""",D6765&lt;&gt;"""",C6765=D6765),""gloss=figurative"",""""),IF(LEN(D6765)&lt;15,""figurative ছোট"",""""),IF(AND(I6765=""Positive"",REGEXMATCH(H6"&amp;"765,""মূর্খ|ভণ্ড|প্রতার|অলস|লোভ|স্বার্থ|অক্ষম|অযোগ্য|বোকা|কৃপণ|হিংস"")),""valence-target অমিল"",""""),IF(COUNTIF($B:$B,B6765)&gt;1,""ডুপ্লিকেট"",""""))"),"")</f>
        <v/>
      </c>
      <c r="Q6765" s="5" t="str">
        <f t="shared" si="1"/>
        <v>২ পরে</v>
      </c>
    </row>
    <row r="6766">
      <c r="A6766" s="4">
        <v>4717.0</v>
      </c>
      <c r="B6766" s="2" t="s">
        <v>27520</v>
      </c>
      <c r="C6766" s="2" t="s">
        <v>27521</v>
      </c>
      <c r="D6766" s="2" t="s">
        <v>27522</v>
      </c>
      <c r="E6766" s="2" t="s">
        <v>27523</v>
      </c>
      <c r="F6766" s="2" t="b">
        <v>1</v>
      </c>
      <c r="G6766" s="2" t="b">
        <v>1</v>
      </c>
      <c r="H6766" s="2" t="s">
        <v>3079</v>
      </c>
      <c r="I6766" s="2" t="s">
        <v>32</v>
      </c>
      <c r="J6766" s="2" t="s">
        <v>1315</v>
      </c>
      <c r="K6766" s="2" t="s">
        <v>495</v>
      </c>
      <c r="L6766" s="13" t="s">
        <v>496</v>
      </c>
      <c r="M6766" s="2" t="s">
        <v>26</v>
      </c>
      <c r="N6766" s="29"/>
      <c r="O6766" s="29"/>
      <c r="P6766" s="5" t="str">
        <f>IFERROR(__xludf.DUMMYFUNCTION("TEXTJOIN("" | "",TRUE,IF(OR(D6766="""",E6766="""",I6766="""",J6766="""",H6766=""""),""ফাঁকা ঘর"",""""),IF(AND(C6766&lt;&gt;"""",D6766&lt;&gt;"""",C6766=D6766),""gloss=figurative"",""""),IF(LEN(D6766)&lt;15,""figurative ছোট"",""""),IF(AND(I6766=""Positive"",REGEXMATCH(H6"&amp;"766,""মূর্খ|ভণ্ড|প্রতার|অলস|লোভ|স্বার্থ|অক্ষম|অযোগ্য|বোকা|কৃপণ|হিংস"")),""valence-target অমিল"",""""),IF(COUNTIF($B:$B,B6766)&gt;1,""ডুপ্লিকেট"",""""))"),"")</f>
        <v/>
      </c>
      <c r="Q6766" s="5" t="str">
        <f t="shared" si="1"/>
        <v>২ পরে</v>
      </c>
    </row>
    <row r="6767">
      <c r="A6767" s="4">
        <v>4718.0</v>
      </c>
      <c r="B6767" s="2" t="s">
        <v>27524</v>
      </c>
      <c r="C6767" s="2" t="s">
        <v>27524</v>
      </c>
      <c r="D6767" s="2" t="s">
        <v>27525</v>
      </c>
      <c r="E6767" s="2" t="s">
        <v>27526</v>
      </c>
      <c r="F6767" s="2" t="b">
        <v>1</v>
      </c>
      <c r="G6767" s="2" t="b">
        <v>0</v>
      </c>
      <c r="H6767" s="2" t="s">
        <v>37</v>
      </c>
      <c r="I6767" s="2" t="s">
        <v>22</v>
      </c>
      <c r="J6767" s="2" t="s">
        <v>1857</v>
      </c>
      <c r="K6767" s="2" t="s">
        <v>495</v>
      </c>
      <c r="L6767" s="13" t="s">
        <v>496</v>
      </c>
      <c r="M6767" s="2" t="s">
        <v>26</v>
      </c>
      <c r="N6767" s="29"/>
      <c r="O6767" s="29"/>
      <c r="P6767" s="5" t="str">
        <f>IFERROR(__xludf.DUMMYFUNCTION("TEXTJOIN("" | "",TRUE,IF(OR(D6767="""",E6767="""",I6767="""",J6767="""",H6767=""""),""ফাঁকা ঘর"",""""),IF(AND(C6767&lt;&gt;"""",D6767&lt;&gt;"""",C6767=D6767),""gloss=figurative"",""""),IF(LEN(D6767)&lt;15,""figurative ছোট"",""""),IF(AND(I6767=""Positive"",REGEXMATCH(H6"&amp;"767,""মূর্খ|ভণ্ড|প্রতার|অলস|লোভ|স্বার্থ|অক্ষম|অযোগ্য|বোকা|কৃপণ|হিংস"")),""valence-target অমিল"",""""),IF(COUNTIF($B:$B,B6767)&gt;1,""ডুপ্লিকেট"",""""))"),"")</f>
        <v/>
      </c>
      <c r="Q6767" s="5" t="str">
        <f t="shared" si="1"/>
        <v>২ পরে</v>
      </c>
    </row>
    <row r="6768">
      <c r="A6768" s="4">
        <v>4719.0</v>
      </c>
      <c r="B6768" s="2" t="s">
        <v>27527</v>
      </c>
      <c r="C6768" s="2" t="s">
        <v>27528</v>
      </c>
      <c r="D6768" s="2" t="s">
        <v>27529</v>
      </c>
      <c r="E6768" s="2" t="s">
        <v>27530</v>
      </c>
      <c r="F6768" s="2" t="b">
        <v>1</v>
      </c>
      <c r="G6768" s="2" t="b">
        <v>0</v>
      </c>
      <c r="H6768" s="2" t="s">
        <v>37</v>
      </c>
      <c r="I6768" s="2" t="s">
        <v>32</v>
      </c>
      <c r="J6768" s="2" t="s">
        <v>565</v>
      </c>
      <c r="K6768" s="2" t="s">
        <v>495</v>
      </c>
      <c r="L6768" s="13" t="s">
        <v>496</v>
      </c>
      <c r="M6768" s="2" t="s">
        <v>26</v>
      </c>
      <c r="N6768" s="29"/>
      <c r="O6768" s="29"/>
      <c r="P6768" s="5" t="str">
        <f>IFERROR(__xludf.DUMMYFUNCTION("TEXTJOIN("" | "",TRUE,IF(OR(D6768="""",E6768="""",I6768="""",J6768="""",H6768=""""),""ফাঁকা ঘর"",""""),IF(AND(C6768&lt;&gt;"""",D6768&lt;&gt;"""",C6768=D6768),""gloss=figurative"",""""),IF(LEN(D6768)&lt;15,""figurative ছোট"",""""),IF(AND(I6768=""Positive"",REGEXMATCH(H6"&amp;"768,""মূর্খ|ভণ্ড|প্রতার|অলস|লোভ|স্বার্থ|অক্ষম|অযোগ্য|বোকা|কৃপণ|হিংস"")),""valence-target অমিল"",""""),IF(COUNTIF($B:$B,B6768)&gt;1,""ডুপ্লিকেট"",""""))"),"")</f>
        <v/>
      </c>
      <c r="Q6768" s="5" t="str">
        <f t="shared" si="1"/>
        <v>২ পরে</v>
      </c>
    </row>
    <row r="6769">
      <c r="A6769" s="4">
        <v>4720.0</v>
      </c>
      <c r="B6769" s="2" t="s">
        <v>27531</v>
      </c>
      <c r="C6769" s="2" t="s">
        <v>27532</v>
      </c>
      <c r="D6769" s="2" t="s">
        <v>27533</v>
      </c>
      <c r="E6769" s="2" t="s">
        <v>27534</v>
      </c>
      <c r="F6769" s="2" t="b">
        <v>1</v>
      </c>
      <c r="G6769" s="2" t="b">
        <v>0</v>
      </c>
      <c r="H6769" s="2" t="s">
        <v>37</v>
      </c>
      <c r="I6769" s="2" t="s">
        <v>22</v>
      </c>
      <c r="J6769" s="2" t="s">
        <v>842</v>
      </c>
      <c r="K6769" s="2" t="s">
        <v>495</v>
      </c>
      <c r="L6769" s="13" t="s">
        <v>496</v>
      </c>
      <c r="M6769" s="2" t="s">
        <v>26</v>
      </c>
      <c r="N6769" s="29"/>
      <c r="O6769" s="29"/>
      <c r="P6769" s="5" t="str">
        <f>IFERROR(__xludf.DUMMYFUNCTION("TEXTJOIN("" | "",TRUE,IF(OR(D6769="""",E6769="""",I6769="""",J6769="""",H6769=""""),""ফাঁকা ঘর"",""""),IF(AND(C6769&lt;&gt;"""",D6769&lt;&gt;"""",C6769=D6769),""gloss=figurative"",""""),IF(LEN(D6769)&lt;15,""figurative ছোট"",""""),IF(AND(I6769=""Positive"",REGEXMATCH(H6"&amp;"769,""মূর্খ|ভণ্ড|প্রতার|অলস|লোভ|স্বার্থ|অক্ষম|অযোগ্য|বোকা|কৃপণ|হিংস"")),""valence-target অমিল"",""""),IF(COUNTIF($B:$B,B6769)&gt;1,""ডুপ্লিকেট"",""""))"),"")</f>
        <v/>
      </c>
      <c r="Q6769" s="5" t="str">
        <f t="shared" si="1"/>
        <v>২ পরে</v>
      </c>
    </row>
    <row r="6770">
      <c r="A6770" s="4">
        <v>4722.0</v>
      </c>
      <c r="B6770" s="2" t="s">
        <v>27535</v>
      </c>
      <c r="C6770" s="2" t="s">
        <v>27536</v>
      </c>
      <c r="D6770" s="2" t="s">
        <v>27537</v>
      </c>
      <c r="E6770" s="2" t="s">
        <v>27538</v>
      </c>
      <c r="F6770" s="2" t="b">
        <v>1</v>
      </c>
      <c r="G6770" s="2" t="b">
        <v>0</v>
      </c>
      <c r="H6770" s="2" t="s">
        <v>37</v>
      </c>
      <c r="I6770" s="2" t="s">
        <v>49</v>
      </c>
      <c r="J6770" s="2" t="s">
        <v>1212</v>
      </c>
      <c r="K6770" s="2" t="s">
        <v>495</v>
      </c>
      <c r="L6770" s="13" t="s">
        <v>496</v>
      </c>
      <c r="M6770" s="2" t="s">
        <v>26</v>
      </c>
      <c r="N6770" s="29"/>
      <c r="O6770" s="29"/>
      <c r="P6770" s="5" t="str">
        <f>IFERROR(__xludf.DUMMYFUNCTION("TEXTJOIN("" | "",TRUE,IF(OR(D6770="""",E6770="""",I6770="""",J6770="""",H6770=""""),""ফাঁকা ঘর"",""""),IF(AND(C6770&lt;&gt;"""",D6770&lt;&gt;"""",C6770=D6770),""gloss=figurative"",""""),IF(LEN(D6770)&lt;15,""figurative ছোট"",""""),IF(AND(I6770=""Positive"",REGEXMATCH(H6"&amp;"770,""মূর্খ|ভণ্ড|প্রতার|অলস|লোভ|স্বার্থ|অক্ষম|অযোগ্য|বোকা|কৃপণ|হিংস"")),""valence-target অমিল"",""""),IF(COUNTIF($B:$B,B6770)&gt;1,""ডুপ্লিকেট"",""""))"),"")</f>
        <v/>
      </c>
      <c r="Q6770" s="5" t="str">
        <f t="shared" si="1"/>
        <v>২ পরে</v>
      </c>
    </row>
    <row r="6771">
      <c r="A6771" s="4">
        <v>4723.0</v>
      </c>
      <c r="B6771" s="2" t="s">
        <v>27539</v>
      </c>
      <c r="C6771" s="2" t="s">
        <v>27540</v>
      </c>
      <c r="D6771" s="2" t="s">
        <v>27541</v>
      </c>
      <c r="E6771" s="2" t="s">
        <v>27542</v>
      </c>
      <c r="F6771" s="2" t="b">
        <v>1</v>
      </c>
      <c r="G6771" s="2" t="b">
        <v>0</v>
      </c>
      <c r="H6771" s="2" t="s">
        <v>37</v>
      </c>
      <c r="I6771" s="2" t="s">
        <v>32</v>
      </c>
      <c r="J6771" s="2" t="s">
        <v>739</v>
      </c>
      <c r="K6771" s="2" t="s">
        <v>495</v>
      </c>
      <c r="L6771" s="13" t="s">
        <v>496</v>
      </c>
      <c r="M6771" s="2" t="s">
        <v>26</v>
      </c>
      <c r="N6771" s="29"/>
      <c r="O6771" s="29"/>
      <c r="P6771" s="5" t="str">
        <f>IFERROR(__xludf.DUMMYFUNCTION("TEXTJOIN("" | "",TRUE,IF(OR(D6771="""",E6771="""",I6771="""",J6771="""",H6771=""""),""ফাঁকা ঘর"",""""),IF(AND(C6771&lt;&gt;"""",D6771&lt;&gt;"""",C6771=D6771),""gloss=figurative"",""""),IF(LEN(D6771)&lt;15,""figurative ছোট"",""""),IF(AND(I6771=""Positive"",REGEXMATCH(H6"&amp;"771,""মূর্খ|ভণ্ড|প্রতার|অলস|লোভ|স্বার্থ|অক্ষম|অযোগ্য|বোকা|কৃপণ|হিংস"")),""valence-target অমিল"",""""),IF(COUNTIF($B:$B,B6771)&gt;1,""ডুপ্লিকেট"",""""))"),"")</f>
        <v/>
      </c>
      <c r="Q6771" s="5" t="str">
        <f t="shared" si="1"/>
        <v>২ পরে</v>
      </c>
    </row>
    <row r="6772">
      <c r="A6772" s="4">
        <v>4724.0</v>
      </c>
      <c r="B6772" s="2" t="s">
        <v>27543</v>
      </c>
      <c r="C6772" s="2" t="s">
        <v>27544</v>
      </c>
      <c r="D6772" s="2" t="s">
        <v>27545</v>
      </c>
      <c r="E6772" s="2" t="s">
        <v>27546</v>
      </c>
      <c r="F6772" s="2" t="b">
        <v>1</v>
      </c>
      <c r="G6772" s="2" t="b">
        <v>0</v>
      </c>
      <c r="H6772" s="2" t="s">
        <v>37</v>
      </c>
      <c r="I6772" s="2" t="s">
        <v>49</v>
      </c>
      <c r="J6772" s="2" t="s">
        <v>300</v>
      </c>
      <c r="K6772" s="2" t="s">
        <v>495</v>
      </c>
      <c r="L6772" s="13" t="s">
        <v>496</v>
      </c>
      <c r="M6772" s="2" t="s">
        <v>26</v>
      </c>
      <c r="N6772" s="29"/>
      <c r="O6772" s="29"/>
      <c r="P6772" s="5" t="str">
        <f>IFERROR(__xludf.DUMMYFUNCTION("TEXTJOIN("" | "",TRUE,IF(OR(D6772="""",E6772="""",I6772="""",J6772="""",H6772=""""),""ফাঁকা ঘর"",""""),IF(AND(C6772&lt;&gt;"""",D6772&lt;&gt;"""",C6772=D6772),""gloss=figurative"",""""),IF(LEN(D6772)&lt;15,""figurative ছোট"",""""),IF(AND(I6772=""Positive"",REGEXMATCH(H6"&amp;"772,""মূর্খ|ভণ্ড|প্রতার|অলস|লোভ|স্বার্থ|অক্ষম|অযোগ্য|বোকা|কৃপণ|হিংস"")),""valence-target অমিল"",""""),IF(COUNTIF($B:$B,B6772)&gt;1,""ডুপ্লিকেট"",""""))"),"")</f>
        <v/>
      </c>
      <c r="Q6772" s="5" t="str">
        <f t="shared" si="1"/>
        <v>২ পরে</v>
      </c>
    </row>
    <row r="6773">
      <c r="A6773" s="4">
        <v>4725.0</v>
      </c>
      <c r="B6773" s="2" t="s">
        <v>27547</v>
      </c>
      <c r="C6773" s="2" t="s">
        <v>27548</v>
      </c>
      <c r="D6773" s="2" t="s">
        <v>27549</v>
      </c>
      <c r="E6773" s="2" t="s">
        <v>27550</v>
      </c>
      <c r="F6773" s="2" t="b">
        <v>1</v>
      </c>
      <c r="G6773" s="2" t="b">
        <v>0</v>
      </c>
      <c r="H6773" s="2" t="s">
        <v>37</v>
      </c>
      <c r="I6773" s="2" t="s">
        <v>22</v>
      </c>
      <c r="J6773" s="2" t="s">
        <v>1008</v>
      </c>
      <c r="K6773" s="2" t="s">
        <v>495</v>
      </c>
      <c r="L6773" s="13" t="s">
        <v>496</v>
      </c>
      <c r="M6773" s="2" t="s">
        <v>26</v>
      </c>
      <c r="N6773" s="29"/>
      <c r="O6773" s="29"/>
      <c r="P6773" s="5" t="str">
        <f>IFERROR(__xludf.DUMMYFUNCTION("TEXTJOIN("" | "",TRUE,IF(OR(D6773="""",E6773="""",I6773="""",J6773="""",H6773=""""),""ফাঁকা ঘর"",""""),IF(AND(C6773&lt;&gt;"""",D6773&lt;&gt;"""",C6773=D6773),""gloss=figurative"",""""),IF(LEN(D6773)&lt;15,""figurative ছোট"",""""),IF(AND(I6773=""Positive"",REGEXMATCH(H6"&amp;"773,""মূর্খ|ভণ্ড|প্রতার|অলস|লোভ|স্বার্থ|অক্ষম|অযোগ্য|বোকা|কৃপণ|হিংস"")),""valence-target অমিল"",""""),IF(COUNTIF($B:$B,B6773)&gt;1,""ডুপ্লিকেট"",""""))"),"")</f>
        <v/>
      </c>
      <c r="Q6773" s="5" t="str">
        <f t="shared" si="1"/>
        <v>২ পরে</v>
      </c>
    </row>
    <row r="6774">
      <c r="A6774" s="4">
        <v>4727.0</v>
      </c>
      <c r="B6774" s="2" t="s">
        <v>27551</v>
      </c>
      <c r="C6774" s="2" t="s">
        <v>27552</v>
      </c>
      <c r="D6774" s="2" t="s">
        <v>27553</v>
      </c>
      <c r="E6774" s="2" t="s">
        <v>27554</v>
      </c>
      <c r="F6774" s="2" t="b">
        <v>1</v>
      </c>
      <c r="G6774" s="2" t="b">
        <v>0</v>
      </c>
      <c r="H6774" s="2" t="s">
        <v>37</v>
      </c>
      <c r="I6774" s="2" t="s">
        <v>49</v>
      </c>
      <c r="J6774" s="2" t="s">
        <v>565</v>
      </c>
      <c r="K6774" s="2" t="s">
        <v>495</v>
      </c>
      <c r="L6774" s="13" t="s">
        <v>496</v>
      </c>
      <c r="M6774" s="2" t="s">
        <v>26</v>
      </c>
      <c r="N6774" s="29"/>
      <c r="O6774" s="29"/>
      <c r="P6774" s="5" t="str">
        <f>IFERROR(__xludf.DUMMYFUNCTION("TEXTJOIN("" | "",TRUE,IF(OR(D6774="""",E6774="""",I6774="""",J6774="""",H6774=""""),""ফাঁকা ঘর"",""""),IF(AND(C6774&lt;&gt;"""",D6774&lt;&gt;"""",C6774=D6774),""gloss=figurative"",""""),IF(LEN(D6774)&lt;15,""figurative ছোট"",""""),IF(AND(I6774=""Positive"",REGEXMATCH(H6"&amp;"774,""মূর্খ|ভণ্ড|প্রতার|অলস|লোভ|স্বার্থ|অক্ষম|অযোগ্য|বোকা|কৃপণ|হিংস"")),""valence-target অমিল"",""""),IF(COUNTIF($B:$B,B6774)&gt;1,""ডুপ্লিকেট"",""""))"),"")</f>
        <v/>
      </c>
      <c r="Q6774" s="5" t="str">
        <f t="shared" si="1"/>
        <v>২ পরে</v>
      </c>
    </row>
    <row r="6775">
      <c r="A6775" s="4">
        <v>4728.0</v>
      </c>
      <c r="B6775" s="2" t="s">
        <v>27555</v>
      </c>
      <c r="C6775" s="2" t="s">
        <v>27556</v>
      </c>
      <c r="D6775" s="2" t="s">
        <v>27557</v>
      </c>
      <c r="E6775" s="2" t="s">
        <v>27558</v>
      </c>
      <c r="F6775" s="2" t="b">
        <v>1</v>
      </c>
      <c r="G6775" s="2" t="b">
        <v>0</v>
      </c>
      <c r="H6775" s="2" t="s">
        <v>37</v>
      </c>
      <c r="I6775" s="2" t="s">
        <v>22</v>
      </c>
      <c r="J6775" s="2" t="s">
        <v>723</v>
      </c>
      <c r="K6775" s="2" t="s">
        <v>495</v>
      </c>
      <c r="L6775" s="13" t="s">
        <v>496</v>
      </c>
      <c r="M6775" s="2" t="s">
        <v>26</v>
      </c>
      <c r="N6775" s="29"/>
      <c r="O6775" s="29"/>
      <c r="P6775" s="5" t="str">
        <f>IFERROR(__xludf.DUMMYFUNCTION("TEXTJOIN("" | "",TRUE,IF(OR(D6775="""",E6775="""",I6775="""",J6775="""",H6775=""""),""ফাঁকা ঘর"",""""),IF(AND(C6775&lt;&gt;"""",D6775&lt;&gt;"""",C6775=D6775),""gloss=figurative"",""""),IF(LEN(D6775)&lt;15,""figurative ছোট"",""""),IF(AND(I6775=""Positive"",REGEXMATCH(H6"&amp;"775,""মূর্খ|ভণ্ড|প্রতার|অলস|লোভ|স্বার্থ|অক্ষম|অযোগ্য|বোকা|কৃপণ|হিংস"")),""valence-target অমিল"",""""),IF(COUNTIF($B:$B,B6775)&gt;1,""ডুপ্লিকেট"",""""))"),"")</f>
        <v/>
      </c>
      <c r="Q6775" s="5" t="str">
        <f t="shared" si="1"/>
        <v>২ পরে</v>
      </c>
    </row>
    <row r="6776">
      <c r="A6776" s="4">
        <v>4729.0</v>
      </c>
      <c r="B6776" s="2" t="s">
        <v>27559</v>
      </c>
      <c r="C6776" s="2" t="s">
        <v>27560</v>
      </c>
      <c r="D6776" s="2" t="s">
        <v>27561</v>
      </c>
      <c r="E6776" s="2" t="s">
        <v>27562</v>
      </c>
      <c r="F6776" s="2" t="b">
        <v>1</v>
      </c>
      <c r="G6776" s="2" t="b">
        <v>0</v>
      </c>
      <c r="H6776" s="2" t="s">
        <v>37</v>
      </c>
      <c r="I6776" s="2" t="s">
        <v>49</v>
      </c>
      <c r="J6776" s="2" t="s">
        <v>1387</v>
      </c>
      <c r="K6776" s="2" t="s">
        <v>495</v>
      </c>
      <c r="L6776" s="13" t="s">
        <v>496</v>
      </c>
      <c r="M6776" s="2" t="s">
        <v>26</v>
      </c>
      <c r="N6776" s="29"/>
      <c r="O6776" s="29"/>
      <c r="P6776" s="5" t="str">
        <f>IFERROR(__xludf.DUMMYFUNCTION("TEXTJOIN("" | "",TRUE,IF(OR(D6776="""",E6776="""",I6776="""",J6776="""",H6776=""""),""ফাঁকা ঘর"",""""),IF(AND(C6776&lt;&gt;"""",D6776&lt;&gt;"""",C6776=D6776),""gloss=figurative"",""""),IF(LEN(D6776)&lt;15,""figurative ছোট"",""""),IF(AND(I6776=""Positive"",REGEXMATCH(H6"&amp;"776,""মূর্খ|ভণ্ড|প্রতার|অলস|লোভ|স্বার্থ|অক্ষম|অযোগ্য|বোকা|কৃপণ|হিংস"")),""valence-target অমিল"",""""),IF(COUNTIF($B:$B,B6776)&gt;1,""ডুপ্লিকেট"",""""))"),"")</f>
        <v/>
      </c>
      <c r="Q6776" s="5" t="str">
        <f t="shared" si="1"/>
        <v>২ পরে</v>
      </c>
    </row>
    <row r="6777">
      <c r="A6777" s="4">
        <v>4730.0</v>
      </c>
      <c r="B6777" s="2" t="s">
        <v>27563</v>
      </c>
      <c r="C6777" s="2" t="s">
        <v>27563</v>
      </c>
      <c r="D6777" s="2" t="s">
        <v>27564</v>
      </c>
      <c r="E6777" s="2" t="s">
        <v>27565</v>
      </c>
      <c r="F6777" s="2" t="b">
        <v>1</v>
      </c>
      <c r="G6777" s="2" t="b">
        <v>0</v>
      </c>
      <c r="H6777" s="2" t="s">
        <v>37</v>
      </c>
      <c r="I6777" s="2" t="s">
        <v>32</v>
      </c>
      <c r="J6777" s="2" t="s">
        <v>190</v>
      </c>
      <c r="K6777" s="2" t="s">
        <v>495</v>
      </c>
      <c r="L6777" s="13" t="s">
        <v>496</v>
      </c>
      <c r="M6777" s="2" t="s">
        <v>26</v>
      </c>
      <c r="N6777" s="29"/>
      <c r="O6777" s="29"/>
      <c r="P6777" s="5" t="str">
        <f>IFERROR(__xludf.DUMMYFUNCTION("TEXTJOIN("" | "",TRUE,IF(OR(D6777="""",E6777="""",I6777="""",J6777="""",H6777=""""),""ফাঁকা ঘর"",""""),IF(AND(C6777&lt;&gt;"""",D6777&lt;&gt;"""",C6777=D6777),""gloss=figurative"",""""),IF(LEN(D6777)&lt;15,""figurative ছোট"",""""),IF(AND(I6777=""Positive"",REGEXMATCH(H6"&amp;"777,""মূর্খ|ভণ্ড|প্রতার|অলস|লোভ|স্বার্থ|অক্ষম|অযোগ্য|বোকা|কৃপণ|হিংস"")),""valence-target অমিল"",""""),IF(COUNTIF($B:$B,B6777)&gt;1,""ডুপ্লিকেট"",""""))"),"")</f>
        <v/>
      </c>
      <c r="Q6777" s="5" t="str">
        <f t="shared" si="1"/>
        <v>২ পরে</v>
      </c>
    </row>
    <row r="6778">
      <c r="A6778" s="4">
        <v>4731.0</v>
      </c>
      <c r="B6778" s="2" t="s">
        <v>27566</v>
      </c>
      <c r="C6778" s="2" t="s">
        <v>27567</v>
      </c>
      <c r="D6778" s="2" t="s">
        <v>27568</v>
      </c>
      <c r="E6778" s="2" t="s">
        <v>27569</v>
      </c>
      <c r="F6778" s="2" t="b">
        <v>1</v>
      </c>
      <c r="G6778" s="2" t="b">
        <v>0</v>
      </c>
      <c r="H6778" s="2" t="s">
        <v>989</v>
      </c>
      <c r="I6778" s="2" t="s">
        <v>22</v>
      </c>
      <c r="J6778" s="2" t="s">
        <v>990</v>
      </c>
      <c r="K6778" s="2" t="s">
        <v>495</v>
      </c>
      <c r="L6778" s="13" t="s">
        <v>496</v>
      </c>
      <c r="M6778" s="2" t="s">
        <v>26</v>
      </c>
      <c r="N6778" s="29"/>
      <c r="O6778" s="29"/>
      <c r="P6778" s="5" t="str">
        <f>IFERROR(__xludf.DUMMYFUNCTION("TEXTJOIN("" | "",TRUE,IF(OR(D6778="""",E6778="""",I6778="""",J6778="""",H6778=""""),""ফাঁকা ঘর"",""""),IF(AND(C6778&lt;&gt;"""",D6778&lt;&gt;"""",C6778=D6778),""gloss=figurative"",""""),IF(LEN(D6778)&lt;15,""figurative ছোট"",""""),IF(AND(I6778=""Positive"",REGEXMATCH(H6"&amp;"778,""মূর্খ|ভণ্ড|প্রতার|অলস|লোভ|স্বার্থ|অক্ষম|অযোগ্য|বোকা|কৃপণ|হিংস"")),""valence-target অমিল"",""""),IF(COUNTIF($B:$B,B6778)&gt;1,""ডুপ্লিকেট"",""""))"),"")</f>
        <v/>
      </c>
      <c r="Q6778" s="5" t="str">
        <f t="shared" si="1"/>
        <v>২ পরে</v>
      </c>
    </row>
    <row r="6779">
      <c r="A6779" s="4">
        <v>4732.0</v>
      </c>
      <c r="B6779" s="2" t="s">
        <v>27570</v>
      </c>
      <c r="C6779" s="2" t="s">
        <v>27571</v>
      </c>
      <c r="D6779" s="2" t="s">
        <v>27572</v>
      </c>
      <c r="E6779" s="2" t="s">
        <v>27573</v>
      </c>
      <c r="F6779" s="2" t="b">
        <v>1</v>
      </c>
      <c r="G6779" s="2" t="b">
        <v>0</v>
      </c>
      <c r="H6779" s="2" t="s">
        <v>1484</v>
      </c>
      <c r="I6779" s="2" t="s">
        <v>22</v>
      </c>
      <c r="J6779" s="2" t="s">
        <v>990</v>
      </c>
      <c r="K6779" s="2" t="s">
        <v>495</v>
      </c>
      <c r="L6779" s="13" t="s">
        <v>496</v>
      </c>
      <c r="M6779" s="2" t="s">
        <v>26</v>
      </c>
      <c r="N6779" s="29"/>
      <c r="O6779" s="29"/>
      <c r="P6779" s="5" t="str">
        <f>IFERROR(__xludf.DUMMYFUNCTION("TEXTJOIN("" | "",TRUE,IF(OR(D6779="""",E6779="""",I6779="""",J6779="""",H6779=""""),""ফাঁকা ঘর"",""""),IF(AND(C6779&lt;&gt;"""",D6779&lt;&gt;"""",C6779=D6779),""gloss=figurative"",""""),IF(LEN(D6779)&lt;15,""figurative ছোট"",""""),IF(AND(I6779=""Positive"",REGEXMATCH(H6"&amp;"779,""মূর্খ|ভণ্ড|প্রতার|অলস|লোভ|স্বার্থ|অক্ষম|অযোগ্য|বোকা|কৃপণ|হিংস"")),""valence-target অমিল"",""""),IF(COUNTIF($B:$B,B6779)&gt;1,""ডুপ্লিকেট"",""""))"),"")</f>
        <v/>
      </c>
      <c r="Q6779" s="5" t="str">
        <f t="shared" si="1"/>
        <v>২ পরে</v>
      </c>
    </row>
    <row r="6780">
      <c r="A6780" s="4">
        <v>4733.0</v>
      </c>
      <c r="B6780" s="2" t="s">
        <v>27574</v>
      </c>
      <c r="C6780" s="2" t="s">
        <v>27574</v>
      </c>
      <c r="D6780" s="2" t="s">
        <v>27575</v>
      </c>
      <c r="E6780" s="2" t="s">
        <v>27576</v>
      </c>
      <c r="F6780" s="2" t="b">
        <v>1</v>
      </c>
      <c r="G6780" s="2" t="b">
        <v>0</v>
      </c>
      <c r="H6780" s="2" t="s">
        <v>37</v>
      </c>
      <c r="I6780" s="2" t="s">
        <v>49</v>
      </c>
      <c r="J6780" s="2" t="s">
        <v>7460</v>
      </c>
      <c r="K6780" s="2" t="s">
        <v>495</v>
      </c>
      <c r="L6780" s="13" t="s">
        <v>496</v>
      </c>
      <c r="M6780" s="2" t="s">
        <v>26</v>
      </c>
      <c r="N6780" s="29"/>
      <c r="O6780" s="29"/>
      <c r="P6780" s="5" t="str">
        <f>IFERROR(__xludf.DUMMYFUNCTION("TEXTJOIN("" | "",TRUE,IF(OR(D6780="""",E6780="""",I6780="""",J6780="""",H6780=""""),""ফাঁকা ঘর"",""""),IF(AND(C6780&lt;&gt;"""",D6780&lt;&gt;"""",C6780=D6780),""gloss=figurative"",""""),IF(LEN(D6780)&lt;15,""figurative ছোট"",""""),IF(AND(I6780=""Positive"",REGEXMATCH(H6"&amp;"780,""মূর্খ|ভণ্ড|প্রতার|অলস|লোভ|স্বার্থ|অক্ষম|অযোগ্য|বোকা|কৃপণ|হিংস"")),""valence-target অমিল"",""""),IF(COUNTIF($B:$B,B6780)&gt;1,""ডুপ্লিকেট"",""""))"),"")</f>
        <v/>
      </c>
      <c r="Q6780" s="5" t="str">
        <f t="shared" si="1"/>
        <v>২ পরে</v>
      </c>
    </row>
    <row r="6781">
      <c r="A6781" s="4">
        <v>4734.0</v>
      </c>
      <c r="B6781" s="2" t="s">
        <v>27577</v>
      </c>
      <c r="C6781" s="2" t="s">
        <v>27578</v>
      </c>
      <c r="D6781" s="2" t="s">
        <v>27579</v>
      </c>
      <c r="E6781" s="2" t="s">
        <v>27580</v>
      </c>
      <c r="F6781" s="2" t="b">
        <v>1</v>
      </c>
      <c r="G6781" s="2" t="b">
        <v>0</v>
      </c>
      <c r="H6781" s="2" t="s">
        <v>37</v>
      </c>
      <c r="I6781" s="2" t="s">
        <v>32</v>
      </c>
      <c r="J6781" s="2" t="s">
        <v>3506</v>
      </c>
      <c r="K6781" s="2" t="s">
        <v>495</v>
      </c>
      <c r="L6781" s="13" t="s">
        <v>496</v>
      </c>
      <c r="M6781" s="2" t="s">
        <v>26</v>
      </c>
      <c r="N6781" s="29"/>
      <c r="O6781" s="29"/>
      <c r="P6781" s="5" t="str">
        <f>IFERROR(__xludf.DUMMYFUNCTION("TEXTJOIN("" | "",TRUE,IF(OR(D6781="""",E6781="""",I6781="""",J6781="""",H6781=""""),""ফাঁকা ঘর"",""""),IF(AND(C6781&lt;&gt;"""",D6781&lt;&gt;"""",C6781=D6781),""gloss=figurative"",""""),IF(LEN(D6781)&lt;15,""figurative ছোট"",""""),IF(AND(I6781=""Positive"",REGEXMATCH(H6"&amp;"781,""মূর্খ|ভণ্ড|প্রতার|অলস|লোভ|স্বার্থ|অক্ষম|অযোগ্য|বোকা|কৃপণ|হিংস"")),""valence-target অমিল"",""""),IF(COUNTIF($B:$B,B6781)&gt;1,""ডুপ্লিকেট"",""""))"),"")</f>
        <v/>
      </c>
      <c r="Q6781" s="5" t="str">
        <f t="shared" si="1"/>
        <v>২ পরে</v>
      </c>
    </row>
    <row r="6782">
      <c r="A6782" s="4">
        <v>4735.0</v>
      </c>
      <c r="B6782" s="2" t="s">
        <v>27581</v>
      </c>
      <c r="C6782" s="2" t="s">
        <v>27582</v>
      </c>
      <c r="D6782" s="2" t="s">
        <v>27583</v>
      </c>
      <c r="E6782" s="2" t="s">
        <v>1220</v>
      </c>
      <c r="F6782" s="2" t="b">
        <v>1</v>
      </c>
      <c r="G6782" s="2" t="b">
        <v>0</v>
      </c>
      <c r="H6782" s="2" t="s">
        <v>37</v>
      </c>
      <c r="I6782" s="2" t="s">
        <v>22</v>
      </c>
      <c r="J6782" s="2" t="s">
        <v>1221</v>
      </c>
      <c r="K6782" s="2" t="s">
        <v>495</v>
      </c>
      <c r="L6782" s="13" t="s">
        <v>496</v>
      </c>
      <c r="M6782" s="2" t="s">
        <v>26</v>
      </c>
      <c r="N6782" s="29"/>
      <c r="O6782" s="29"/>
      <c r="P6782" s="5" t="str">
        <f>IFERROR(__xludf.DUMMYFUNCTION("TEXTJOIN("" | "",TRUE,IF(OR(D6782="""",E6782="""",I6782="""",J6782="""",H6782=""""),""ফাঁকা ঘর"",""""),IF(AND(C6782&lt;&gt;"""",D6782&lt;&gt;"""",C6782=D6782),""gloss=figurative"",""""),IF(LEN(D6782)&lt;15,""figurative ছোট"",""""),IF(AND(I6782=""Positive"",REGEXMATCH(H6"&amp;"782,""মূর্খ|ভণ্ড|প্রতার|অলস|লোভ|স্বার্থ|অক্ষম|অযোগ্য|বোকা|কৃপণ|হিংস"")),""valence-target অমিল"",""""),IF(COUNTIF($B:$B,B6782)&gt;1,""ডুপ্লিকেট"",""""))"),"")</f>
        <v/>
      </c>
      <c r="Q6782" s="5" t="str">
        <f t="shared" si="1"/>
        <v>২ পরে</v>
      </c>
    </row>
    <row r="6783">
      <c r="A6783" s="4">
        <v>4736.0</v>
      </c>
      <c r="B6783" s="2" t="s">
        <v>27584</v>
      </c>
      <c r="C6783" s="2" t="s">
        <v>27585</v>
      </c>
      <c r="D6783" s="2" t="s">
        <v>27586</v>
      </c>
      <c r="E6783" s="2" t="s">
        <v>27587</v>
      </c>
      <c r="F6783" s="2" t="b">
        <v>1</v>
      </c>
      <c r="G6783" s="2" t="b">
        <v>0</v>
      </c>
      <c r="H6783" s="2" t="s">
        <v>37</v>
      </c>
      <c r="I6783" s="2" t="s">
        <v>32</v>
      </c>
      <c r="J6783" s="2" t="s">
        <v>1151</v>
      </c>
      <c r="K6783" s="2" t="s">
        <v>495</v>
      </c>
      <c r="L6783" s="13" t="s">
        <v>496</v>
      </c>
      <c r="M6783" s="2" t="s">
        <v>26</v>
      </c>
      <c r="N6783" s="29"/>
      <c r="O6783" s="29"/>
      <c r="P6783" s="5" t="str">
        <f>IFERROR(__xludf.DUMMYFUNCTION("TEXTJOIN("" | "",TRUE,IF(OR(D6783="""",E6783="""",I6783="""",J6783="""",H6783=""""),""ফাঁকা ঘর"",""""),IF(AND(C6783&lt;&gt;"""",D6783&lt;&gt;"""",C6783=D6783),""gloss=figurative"",""""),IF(LEN(D6783)&lt;15,""figurative ছোট"",""""),IF(AND(I6783=""Positive"",REGEXMATCH(H6"&amp;"783,""মূর্খ|ভণ্ড|প্রতার|অলস|লোভ|স্বার্থ|অক্ষম|অযোগ্য|বোকা|কৃপণ|হিংস"")),""valence-target অমিল"",""""),IF(COUNTIF($B:$B,B6783)&gt;1,""ডুপ্লিকেট"",""""))"),"")</f>
        <v/>
      </c>
      <c r="Q6783" s="5" t="str">
        <f t="shared" si="1"/>
        <v>২ পরে</v>
      </c>
    </row>
    <row r="6784">
      <c r="A6784" s="4">
        <v>4737.0</v>
      </c>
      <c r="B6784" s="2" t="s">
        <v>27588</v>
      </c>
      <c r="C6784" s="2" t="s">
        <v>27589</v>
      </c>
      <c r="D6784" s="2" t="s">
        <v>27590</v>
      </c>
      <c r="E6784" s="2" t="s">
        <v>27591</v>
      </c>
      <c r="F6784" s="2" t="b">
        <v>1</v>
      </c>
      <c r="G6784" s="2" t="b">
        <v>1</v>
      </c>
      <c r="H6784" s="2" t="s">
        <v>27592</v>
      </c>
      <c r="I6784" s="2" t="s">
        <v>22</v>
      </c>
      <c r="J6784" s="2" t="s">
        <v>1315</v>
      </c>
      <c r="K6784" s="2" t="s">
        <v>495</v>
      </c>
      <c r="L6784" s="13" t="s">
        <v>496</v>
      </c>
      <c r="M6784" s="2" t="s">
        <v>26</v>
      </c>
      <c r="N6784" s="29"/>
      <c r="O6784" s="29"/>
      <c r="P6784" s="5" t="str">
        <f>IFERROR(__xludf.DUMMYFUNCTION("TEXTJOIN("" | "",TRUE,IF(OR(D6784="""",E6784="""",I6784="""",J6784="""",H6784=""""),""ফাঁকা ঘর"",""""),IF(AND(C6784&lt;&gt;"""",D6784&lt;&gt;"""",C6784=D6784),""gloss=figurative"",""""),IF(LEN(D6784)&lt;15,""figurative ছোট"",""""),IF(AND(I6784=""Positive"",REGEXMATCH(H6"&amp;"784,""মূর্খ|ভণ্ড|প্রতার|অলস|লোভ|স্বার্থ|অক্ষম|অযোগ্য|বোকা|কৃপণ|হিংস"")),""valence-target অমিল"",""""),IF(COUNTIF($B:$B,B6784)&gt;1,""ডুপ্লিকেট"",""""))"),"")</f>
        <v/>
      </c>
      <c r="Q6784" s="5" t="str">
        <f t="shared" si="1"/>
        <v>২ পরে</v>
      </c>
    </row>
    <row r="6785">
      <c r="A6785" s="4">
        <v>4739.0</v>
      </c>
      <c r="B6785" s="2" t="s">
        <v>27593</v>
      </c>
      <c r="C6785" s="2" t="s">
        <v>27594</v>
      </c>
      <c r="D6785" s="2" t="s">
        <v>27595</v>
      </c>
      <c r="E6785" s="2" t="s">
        <v>27596</v>
      </c>
      <c r="F6785" s="2" t="b">
        <v>1</v>
      </c>
      <c r="G6785" s="2" t="b">
        <v>0</v>
      </c>
      <c r="H6785" s="2" t="s">
        <v>37</v>
      </c>
      <c r="I6785" s="2" t="s">
        <v>32</v>
      </c>
      <c r="J6785" s="2" t="s">
        <v>1151</v>
      </c>
      <c r="K6785" s="2" t="s">
        <v>495</v>
      </c>
      <c r="L6785" s="13" t="s">
        <v>496</v>
      </c>
      <c r="M6785" s="2" t="s">
        <v>26</v>
      </c>
      <c r="N6785" s="29"/>
      <c r="O6785" s="29"/>
      <c r="P6785" s="5" t="str">
        <f>IFERROR(__xludf.DUMMYFUNCTION("TEXTJOIN("" | "",TRUE,IF(OR(D6785="""",E6785="""",I6785="""",J6785="""",H6785=""""),""ফাঁকা ঘর"",""""),IF(AND(C6785&lt;&gt;"""",D6785&lt;&gt;"""",C6785=D6785),""gloss=figurative"",""""),IF(LEN(D6785)&lt;15,""figurative ছোট"",""""),IF(AND(I6785=""Positive"",REGEXMATCH(H6"&amp;"785,""মূর্খ|ভণ্ড|প্রতার|অলস|লোভ|স্বার্থ|অক্ষম|অযোগ্য|বোকা|কৃপণ|হিংস"")),""valence-target অমিল"",""""),IF(COUNTIF($B:$B,B6785)&gt;1,""ডুপ্লিকেট"",""""))"),"")</f>
        <v/>
      </c>
      <c r="Q6785" s="5" t="str">
        <f t="shared" si="1"/>
        <v>২ পরে</v>
      </c>
    </row>
    <row r="6786">
      <c r="A6786" s="4">
        <v>4740.0</v>
      </c>
      <c r="B6786" s="2" t="s">
        <v>27597</v>
      </c>
      <c r="C6786" s="2" t="s">
        <v>27598</v>
      </c>
      <c r="D6786" s="2" t="s">
        <v>27599</v>
      </c>
      <c r="E6786" s="2" t="s">
        <v>27600</v>
      </c>
      <c r="F6786" s="2" t="b">
        <v>1</v>
      </c>
      <c r="G6786" s="2" t="b">
        <v>0</v>
      </c>
      <c r="H6786" s="2" t="s">
        <v>37</v>
      </c>
      <c r="I6786" s="2" t="s">
        <v>22</v>
      </c>
      <c r="J6786" s="2" t="s">
        <v>3506</v>
      </c>
      <c r="K6786" s="2" t="s">
        <v>495</v>
      </c>
      <c r="L6786" s="13" t="s">
        <v>496</v>
      </c>
      <c r="M6786" s="2" t="s">
        <v>26</v>
      </c>
      <c r="N6786" s="29"/>
      <c r="O6786" s="29"/>
      <c r="P6786" s="5" t="str">
        <f>IFERROR(__xludf.DUMMYFUNCTION("TEXTJOIN("" | "",TRUE,IF(OR(D6786="""",E6786="""",I6786="""",J6786="""",H6786=""""),""ফাঁকা ঘর"",""""),IF(AND(C6786&lt;&gt;"""",D6786&lt;&gt;"""",C6786=D6786),""gloss=figurative"",""""),IF(LEN(D6786)&lt;15,""figurative ছোট"",""""),IF(AND(I6786=""Positive"",REGEXMATCH(H6"&amp;"786,""মূর্খ|ভণ্ড|প্রতার|অলস|লোভ|স্বার্থ|অক্ষম|অযোগ্য|বোকা|কৃপণ|হিংস"")),""valence-target অমিল"",""""),IF(COUNTIF($B:$B,B6786)&gt;1,""ডুপ্লিকেট"",""""))"),"")</f>
        <v/>
      </c>
      <c r="Q6786" s="5" t="str">
        <f t="shared" si="1"/>
        <v>২ পরে</v>
      </c>
    </row>
    <row r="6787">
      <c r="A6787" s="4">
        <v>4741.0</v>
      </c>
      <c r="B6787" s="2" t="s">
        <v>27601</v>
      </c>
      <c r="C6787" s="2" t="s">
        <v>27602</v>
      </c>
      <c r="D6787" s="2" t="s">
        <v>27603</v>
      </c>
      <c r="E6787" s="2" t="s">
        <v>27604</v>
      </c>
      <c r="F6787" s="2" t="b">
        <v>1</v>
      </c>
      <c r="G6787" s="2" t="b">
        <v>1</v>
      </c>
      <c r="H6787" s="2" t="s">
        <v>1106</v>
      </c>
      <c r="I6787" s="2" t="s">
        <v>22</v>
      </c>
      <c r="J6787" s="2" t="s">
        <v>1315</v>
      </c>
      <c r="K6787" s="2" t="s">
        <v>495</v>
      </c>
      <c r="L6787" s="13" t="s">
        <v>496</v>
      </c>
      <c r="M6787" s="2" t="s">
        <v>26</v>
      </c>
      <c r="N6787" s="29"/>
      <c r="O6787" s="29"/>
      <c r="P6787" s="5" t="str">
        <f>IFERROR(__xludf.DUMMYFUNCTION("TEXTJOIN("" | "",TRUE,IF(OR(D6787="""",E6787="""",I6787="""",J6787="""",H6787=""""),""ফাঁকা ঘর"",""""),IF(AND(C6787&lt;&gt;"""",D6787&lt;&gt;"""",C6787=D6787),""gloss=figurative"",""""),IF(LEN(D6787)&lt;15,""figurative ছোট"",""""),IF(AND(I6787=""Positive"",REGEXMATCH(H6"&amp;"787,""মূর্খ|ভণ্ড|প্রতার|অলস|লোভ|স্বার্থ|অক্ষম|অযোগ্য|বোকা|কৃপণ|হিংস"")),""valence-target অমিল"",""""),IF(COUNTIF($B:$B,B6787)&gt;1,""ডুপ্লিকেট"",""""))"),"")</f>
        <v/>
      </c>
      <c r="Q6787" s="5" t="str">
        <f t="shared" si="1"/>
        <v>২ পরে</v>
      </c>
    </row>
    <row r="6788">
      <c r="A6788" s="4">
        <v>4742.0</v>
      </c>
      <c r="B6788" s="2" t="s">
        <v>27605</v>
      </c>
      <c r="C6788" s="2" t="s">
        <v>27606</v>
      </c>
      <c r="D6788" s="2" t="s">
        <v>27607</v>
      </c>
      <c r="E6788" s="2" t="s">
        <v>27608</v>
      </c>
      <c r="F6788" s="2" t="b">
        <v>1</v>
      </c>
      <c r="G6788" s="2" t="b">
        <v>0</v>
      </c>
      <c r="H6788" s="2" t="s">
        <v>37</v>
      </c>
      <c r="I6788" s="2" t="s">
        <v>22</v>
      </c>
      <c r="J6788" s="2" t="s">
        <v>1027</v>
      </c>
      <c r="K6788" s="2" t="s">
        <v>495</v>
      </c>
      <c r="L6788" s="13" t="s">
        <v>496</v>
      </c>
      <c r="M6788" s="2" t="s">
        <v>26</v>
      </c>
      <c r="N6788" s="29"/>
      <c r="O6788" s="29"/>
      <c r="P6788" s="5" t="str">
        <f>IFERROR(__xludf.DUMMYFUNCTION("TEXTJOIN("" | "",TRUE,IF(OR(D6788="""",E6788="""",I6788="""",J6788="""",H6788=""""),""ফাঁকা ঘর"",""""),IF(AND(C6788&lt;&gt;"""",D6788&lt;&gt;"""",C6788=D6788),""gloss=figurative"",""""),IF(LEN(D6788)&lt;15,""figurative ছোট"",""""),IF(AND(I6788=""Positive"",REGEXMATCH(H6"&amp;"788,""মূর্খ|ভণ্ড|প্রতার|অলস|লোভ|স্বার্থ|অক্ষম|অযোগ্য|বোকা|কৃপণ|হিংস"")),""valence-target অমিল"",""""),IF(COUNTIF($B:$B,B6788)&gt;1,""ডুপ্লিকেট"",""""))"),"")</f>
        <v/>
      </c>
      <c r="Q6788" s="5" t="str">
        <f t="shared" si="1"/>
        <v>২ পরে</v>
      </c>
    </row>
    <row r="6789">
      <c r="A6789" s="4">
        <v>4743.0</v>
      </c>
      <c r="B6789" s="2" t="s">
        <v>27609</v>
      </c>
      <c r="C6789" s="2" t="s">
        <v>27610</v>
      </c>
      <c r="D6789" s="2" t="s">
        <v>27611</v>
      </c>
      <c r="E6789" s="2" t="s">
        <v>27612</v>
      </c>
      <c r="F6789" s="2" t="b">
        <v>1</v>
      </c>
      <c r="G6789" s="2" t="b">
        <v>0</v>
      </c>
      <c r="H6789" s="2" t="s">
        <v>37</v>
      </c>
      <c r="I6789" s="2" t="s">
        <v>32</v>
      </c>
      <c r="J6789" s="2" t="s">
        <v>27613</v>
      </c>
      <c r="K6789" s="2" t="s">
        <v>495</v>
      </c>
      <c r="L6789" s="13" t="s">
        <v>496</v>
      </c>
      <c r="M6789" s="2" t="s">
        <v>26</v>
      </c>
      <c r="N6789" s="29"/>
      <c r="O6789" s="29"/>
      <c r="P6789" s="5" t="str">
        <f>IFERROR(__xludf.DUMMYFUNCTION("TEXTJOIN("" | "",TRUE,IF(OR(D6789="""",E6789="""",I6789="""",J6789="""",H6789=""""),""ফাঁকা ঘর"",""""),IF(AND(C6789&lt;&gt;"""",D6789&lt;&gt;"""",C6789=D6789),""gloss=figurative"",""""),IF(LEN(D6789)&lt;15,""figurative ছোট"",""""),IF(AND(I6789=""Positive"",REGEXMATCH(H6"&amp;"789,""মূর্খ|ভণ্ড|প্রতার|অলস|লোভ|স্বার্থ|অক্ষম|অযোগ্য|বোকা|কৃপণ|হিংস"")),""valence-target অমিল"",""""),IF(COUNTIF($B:$B,B6789)&gt;1,""ডুপ্লিকেট"",""""))"),"")</f>
        <v/>
      </c>
      <c r="Q6789" s="5" t="str">
        <f t="shared" si="1"/>
        <v>২ পরে</v>
      </c>
    </row>
    <row r="6790">
      <c r="A6790" s="4">
        <v>4744.0</v>
      </c>
      <c r="B6790" s="2" t="s">
        <v>27614</v>
      </c>
      <c r="C6790" s="2" t="s">
        <v>27615</v>
      </c>
      <c r="D6790" s="2" t="s">
        <v>27616</v>
      </c>
      <c r="E6790" s="2" t="s">
        <v>27617</v>
      </c>
      <c r="F6790" s="2" t="b">
        <v>1</v>
      </c>
      <c r="G6790" s="2" t="b">
        <v>0</v>
      </c>
      <c r="H6790" s="2" t="s">
        <v>37</v>
      </c>
      <c r="I6790" s="2" t="s">
        <v>32</v>
      </c>
      <c r="J6790" s="2" t="s">
        <v>8124</v>
      </c>
      <c r="K6790" s="2" t="s">
        <v>495</v>
      </c>
      <c r="L6790" s="13" t="s">
        <v>496</v>
      </c>
      <c r="M6790" s="2" t="s">
        <v>26</v>
      </c>
      <c r="N6790" s="29"/>
      <c r="O6790" s="29"/>
      <c r="P6790" s="5" t="str">
        <f>IFERROR(__xludf.DUMMYFUNCTION("TEXTJOIN("" | "",TRUE,IF(OR(D6790="""",E6790="""",I6790="""",J6790="""",H6790=""""),""ফাঁকা ঘর"",""""),IF(AND(C6790&lt;&gt;"""",D6790&lt;&gt;"""",C6790=D6790),""gloss=figurative"",""""),IF(LEN(D6790)&lt;15,""figurative ছোট"",""""),IF(AND(I6790=""Positive"",REGEXMATCH(H6"&amp;"790,""মূর্খ|ভণ্ড|প্রতার|অলস|লোভ|স্বার্থ|অক্ষম|অযোগ্য|বোকা|কৃপণ|হিংস"")),""valence-target অমিল"",""""),IF(COUNTIF($B:$B,B6790)&gt;1,""ডুপ্লিকেট"",""""))"),"")</f>
        <v/>
      </c>
      <c r="Q6790" s="5" t="str">
        <f t="shared" si="1"/>
        <v>২ পরে</v>
      </c>
    </row>
    <row r="6791">
      <c r="A6791" s="4">
        <v>4745.0</v>
      </c>
      <c r="B6791" s="2" t="s">
        <v>27618</v>
      </c>
      <c r="C6791" s="2" t="s">
        <v>27619</v>
      </c>
      <c r="D6791" s="2" t="s">
        <v>27620</v>
      </c>
      <c r="E6791" s="2" t="s">
        <v>27621</v>
      </c>
      <c r="F6791" s="2" t="b">
        <v>1</v>
      </c>
      <c r="G6791" s="2" t="b">
        <v>0</v>
      </c>
      <c r="H6791" s="2" t="s">
        <v>37</v>
      </c>
      <c r="I6791" s="2" t="s">
        <v>49</v>
      </c>
      <c r="J6791" s="2" t="s">
        <v>2113</v>
      </c>
      <c r="K6791" s="2" t="s">
        <v>495</v>
      </c>
      <c r="L6791" s="13" t="s">
        <v>496</v>
      </c>
      <c r="M6791" s="2" t="s">
        <v>26</v>
      </c>
      <c r="N6791" s="29"/>
      <c r="O6791" s="29"/>
      <c r="P6791" s="5" t="str">
        <f>IFERROR(__xludf.DUMMYFUNCTION("TEXTJOIN("" | "",TRUE,IF(OR(D6791="""",E6791="""",I6791="""",J6791="""",H6791=""""),""ফাঁকা ঘর"",""""),IF(AND(C6791&lt;&gt;"""",D6791&lt;&gt;"""",C6791=D6791),""gloss=figurative"",""""),IF(LEN(D6791)&lt;15,""figurative ছোট"",""""),IF(AND(I6791=""Positive"",REGEXMATCH(H6"&amp;"791,""মূর্খ|ভণ্ড|প্রতার|অলস|লোভ|স্বার্থ|অক্ষম|অযোগ্য|বোকা|কৃপণ|হিংস"")),""valence-target অমিল"",""""),IF(COUNTIF($B:$B,B6791)&gt;1,""ডুপ্লিকেট"",""""))"),"")</f>
        <v/>
      </c>
      <c r="Q6791" s="5" t="str">
        <f t="shared" si="1"/>
        <v>২ পরে</v>
      </c>
    </row>
    <row r="6792">
      <c r="A6792" s="4">
        <v>4747.0</v>
      </c>
      <c r="B6792" s="2" t="s">
        <v>27622</v>
      </c>
      <c r="C6792" s="2" t="s">
        <v>27623</v>
      </c>
      <c r="D6792" s="2" t="s">
        <v>27624</v>
      </c>
      <c r="E6792" s="2" t="s">
        <v>27625</v>
      </c>
      <c r="F6792" s="2" t="b">
        <v>1</v>
      </c>
      <c r="G6792" s="2" t="b">
        <v>0</v>
      </c>
      <c r="H6792" s="2" t="s">
        <v>37</v>
      </c>
      <c r="I6792" s="2" t="s">
        <v>22</v>
      </c>
      <c r="J6792" s="2" t="s">
        <v>27626</v>
      </c>
      <c r="K6792" s="2" t="s">
        <v>495</v>
      </c>
      <c r="L6792" s="13" t="s">
        <v>496</v>
      </c>
      <c r="M6792" s="2" t="s">
        <v>26</v>
      </c>
      <c r="N6792" s="29"/>
      <c r="O6792" s="29"/>
      <c r="P6792" s="5" t="str">
        <f>IFERROR(__xludf.DUMMYFUNCTION("TEXTJOIN("" | "",TRUE,IF(OR(D6792="""",E6792="""",I6792="""",J6792="""",H6792=""""),""ফাঁকা ঘর"",""""),IF(AND(C6792&lt;&gt;"""",D6792&lt;&gt;"""",C6792=D6792),""gloss=figurative"",""""),IF(LEN(D6792)&lt;15,""figurative ছোট"",""""),IF(AND(I6792=""Positive"",REGEXMATCH(H6"&amp;"792,""মূর্খ|ভণ্ড|প্রতার|অলস|লোভ|স্বার্থ|অক্ষম|অযোগ্য|বোকা|কৃপণ|হিংস"")),""valence-target অমিল"",""""),IF(COUNTIF($B:$B,B6792)&gt;1,""ডুপ্লিকেট"",""""))"),"")</f>
        <v/>
      </c>
      <c r="Q6792" s="5" t="str">
        <f t="shared" si="1"/>
        <v>২ পরে</v>
      </c>
    </row>
    <row r="6793">
      <c r="A6793" s="4">
        <v>4748.0</v>
      </c>
      <c r="B6793" s="2" t="s">
        <v>27627</v>
      </c>
      <c r="C6793" s="2" t="s">
        <v>27628</v>
      </c>
      <c r="D6793" s="2" t="s">
        <v>27629</v>
      </c>
      <c r="E6793" s="2" t="s">
        <v>27630</v>
      </c>
      <c r="F6793" s="2" t="b">
        <v>1</v>
      </c>
      <c r="G6793" s="2" t="b">
        <v>1</v>
      </c>
      <c r="H6793" s="2" t="s">
        <v>27631</v>
      </c>
      <c r="I6793" s="2" t="s">
        <v>49</v>
      </c>
      <c r="J6793" s="2" t="s">
        <v>9509</v>
      </c>
      <c r="K6793" s="2" t="s">
        <v>495</v>
      </c>
      <c r="L6793" s="13" t="s">
        <v>496</v>
      </c>
      <c r="M6793" s="2" t="s">
        <v>26</v>
      </c>
      <c r="N6793" s="29"/>
      <c r="O6793" s="29"/>
      <c r="P6793" s="5" t="str">
        <f>IFERROR(__xludf.DUMMYFUNCTION("TEXTJOIN("" | "",TRUE,IF(OR(D6793="""",E6793="""",I6793="""",J6793="""",H6793=""""),""ফাঁকা ঘর"",""""),IF(AND(C6793&lt;&gt;"""",D6793&lt;&gt;"""",C6793=D6793),""gloss=figurative"",""""),IF(LEN(D6793)&lt;15,""figurative ছোট"",""""),IF(AND(I6793=""Positive"",REGEXMATCH(H6"&amp;"793,""মূর্খ|ভণ্ড|প্রতার|অলস|লোভ|স্বার্থ|অক্ষম|অযোগ্য|বোকা|কৃপণ|হিংস"")),""valence-target অমিল"",""""),IF(COUNTIF($B:$B,B6793)&gt;1,""ডুপ্লিকেট"",""""))"),"")</f>
        <v/>
      </c>
      <c r="Q6793" s="5" t="str">
        <f t="shared" si="1"/>
        <v>২ পরে</v>
      </c>
    </row>
    <row r="6794">
      <c r="A6794" s="4">
        <v>4749.0</v>
      </c>
      <c r="B6794" s="2" t="s">
        <v>27632</v>
      </c>
      <c r="C6794" s="2" t="s">
        <v>27632</v>
      </c>
      <c r="D6794" s="2" t="s">
        <v>27633</v>
      </c>
      <c r="E6794" s="2" t="s">
        <v>27634</v>
      </c>
      <c r="F6794" s="2" t="b">
        <v>1</v>
      </c>
      <c r="G6794" s="2" t="b">
        <v>0</v>
      </c>
      <c r="H6794" s="2" t="s">
        <v>37</v>
      </c>
      <c r="I6794" s="2" t="s">
        <v>22</v>
      </c>
      <c r="J6794" s="2" t="s">
        <v>2485</v>
      </c>
      <c r="K6794" s="2" t="s">
        <v>495</v>
      </c>
      <c r="L6794" s="13" t="s">
        <v>496</v>
      </c>
      <c r="M6794" s="2" t="s">
        <v>26</v>
      </c>
      <c r="N6794" s="29"/>
      <c r="O6794" s="29"/>
      <c r="P6794" s="5" t="str">
        <f>IFERROR(__xludf.DUMMYFUNCTION("TEXTJOIN("" | "",TRUE,IF(OR(D6794="""",E6794="""",I6794="""",J6794="""",H6794=""""),""ফাঁকা ঘর"",""""),IF(AND(C6794&lt;&gt;"""",D6794&lt;&gt;"""",C6794=D6794),""gloss=figurative"",""""),IF(LEN(D6794)&lt;15,""figurative ছোট"",""""),IF(AND(I6794=""Positive"",REGEXMATCH(H6"&amp;"794,""মূর্খ|ভণ্ড|প্রতার|অলস|লোভ|স্বার্থ|অক্ষম|অযোগ্য|বোকা|কৃপণ|হিংস"")),""valence-target অমিল"",""""),IF(COUNTIF($B:$B,B6794)&gt;1,""ডুপ্লিকেট"",""""))"),"")</f>
        <v/>
      </c>
      <c r="Q6794" s="5" t="str">
        <f t="shared" si="1"/>
        <v>২ পরে</v>
      </c>
    </row>
    <row r="6795">
      <c r="A6795" s="4">
        <v>4752.0</v>
      </c>
      <c r="B6795" s="2" t="s">
        <v>27635</v>
      </c>
      <c r="C6795" s="2" t="s">
        <v>27636</v>
      </c>
      <c r="D6795" s="2" t="s">
        <v>27637</v>
      </c>
      <c r="E6795" s="2" t="s">
        <v>27638</v>
      </c>
      <c r="F6795" s="2" t="b">
        <v>1</v>
      </c>
      <c r="G6795" s="2" t="b">
        <v>0</v>
      </c>
      <c r="H6795" s="2" t="s">
        <v>37</v>
      </c>
      <c r="I6795" s="2" t="s">
        <v>49</v>
      </c>
      <c r="J6795" s="2" t="s">
        <v>1060</v>
      </c>
      <c r="K6795" s="2" t="s">
        <v>495</v>
      </c>
      <c r="L6795" s="13" t="s">
        <v>496</v>
      </c>
      <c r="M6795" s="2" t="s">
        <v>26</v>
      </c>
      <c r="N6795" s="29"/>
      <c r="O6795" s="29"/>
      <c r="P6795" s="5" t="str">
        <f>IFERROR(__xludf.DUMMYFUNCTION("TEXTJOIN("" | "",TRUE,IF(OR(D6795="""",E6795="""",I6795="""",J6795="""",H6795=""""),""ফাঁকা ঘর"",""""),IF(AND(C6795&lt;&gt;"""",D6795&lt;&gt;"""",C6795=D6795),""gloss=figurative"",""""),IF(LEN(D6795)&lt;15,""figurative ছোট"",""""),IF(AND(I6795=""Positive"",REGEXMATCH(H6"&amp;"795,""মূর্খ|ভণ্ড|প্রতার|অলস|লোভ|স্বার্থ|অক্ষম|অযোগ্য|বোকা|কৃপণ|হিংস"")),""valence-target অমিল"",""""),IF(COUNTIF($B:$B,B6795)&gt;1,""ডুপ্লিকেট"",""""))"),"")</f>
        <v/>
      </c>
      <c r="Q6795" s="5" t="str">
        <f t="shared" si="1"/>
        <v>২ পরে</v>
      </c>
    </row>
    <row r="6796">
      <c r="A6796" s="4">
        <v>4755.0</v>
      </c>
      <c r="B6796" s="2" t="s">
        <v>27639</v>
      </c>
      <c r="C6796" s="2" t="s">
        <v>27639</v>
      </c>
      <c r="D6796" s="2" t="s">
        <v>27640</v>
      </c>
      <c r="E6796" s="2" t="s">
        <v>27641</v>
      </c>
      <c r="F6796" s="2" t="b">
        <v>1</v>
      </c>
      <c r="G6796" s="2" t="b">
        <v>1</v>
      </c>
      <c r="H6796" s="2" t="s">
        <v>1174</v>
      </c>
      <c r="I6796" s="2" t="s">
        <v>49</v>
      </c>
      <c r="J6796" s="2" t="s">
        <v>1175</v>
      </c>
      <c r="K6796" s="2" t="s">
        <v>495</v>
      </c>
      <c r="L6796" s="13" t="s">
        <v>496</v>
      </c>
      <c r="M6796" s="2" t="s">
        <v>26</v>
      </c>
      <c r="N6796" s="29"/>
      <c r="O6796" s="29"/>
      <c r="P6796" s="5" t="str">
        <f>IFERROR(__xludf.DUMMYFUNCTION("TEXTJOIN("" | "",TRUE,IF(OR(D6796="""",E6796="""",I6796="""",J6796="""",H6796=""""),""ফাঁকা ঘর"",""""),IF(AND(C6796&lt;&gt;"""",D6796&lt;&gt;"""",C6796=D6796),""gloss=figurative"",""""),IF(LEN(D6796)&lt;15,""figurative ছোট"",""""),IF(AND(I6796=""Positive"",REGEXMATCH(H6"&amp;"796,""মূর্খ|ভণ্ড|প্রতার|অলস|লোভ|স্বার্থ|অক্ষম|অযোগ্য|বোকা|কৃপণ|হিংস"")),""valence-target অমিল"",""""),IF(COUNTIF($B:$B,B6796)&gt;1,""ডুপ্লিকেট"",""""))"),"")</f>
        <v/>
      </c>
      <c r="Q6796" s="5" t="str">
        <f t="shared" si="1"/>
        <v>২ পরে</v>
      </c>
    </row>
    <row r="6797">
      <c r="A6797" s="4">
        <v>4758.0</v>
      </c>
      <c r="B6797" s="2" t="s">
        <v>27642</v>
      </c>
      <c r="C6797" s="2" t="s">
        <v>27643</v>
      </c>
      <c r="D6797" s="2" t="s">
        <v>27644</v>
      </c>
      <c r="E6797" s="2" t="s">
        <v>27645</v>
      </c>
      <c r="F6797" s="2" t="b">
        <v>1</v>
      </c>
      <c r="G6797" s="2" t="b">
        <v>0</v>
      </c>
      <c r="H6797" s="2" t="s">
        <v>37</v>
      </c>
      <c r="I6797" s="2" t="s">
        <v>49</v>
      </c>
      <c r="J6797" s="2" t="s">
        <v>300</v>
      </c>
      <c r="K6797" s="2" t="s">
        <v>495</v>
      </c>
      <c r="L6797" s="13" t="s">
        <v>496</v>
      </c>
      <c r="M6797" s="2" t="s">
        <v>26</v>
      </c>
      <c r="N6797" s="29"/>
      <c r="O6797" s="29"/>
      <c r="P6797" s="5" t="str">
        <f>IFERROR(__xludf.DUMMYFUNCTION("TEXTJOIN("" | "",TRUE,IF(OR(D6797="""",E6797="""",I6797="""",J6797="""",H6797=""""),""ফাঁকা ঘর"",""""),IF(AND(C6797&lt;&gt;"""",D6797&lt;&gt;"""",C6797=D6797),""gloss=figurative"",""""),IF(LEN(D6797)&lt;15,""figurative ছোট"",""""),IF(AND(I6797=""Positive"",REGEXMATCH(H6"&amp;"797,""মূর্খ|ভণ্ড|প্রতার|অলস|লোভ|স্বার্থ|অক্ষম|অযোগ্য|বোকা|কৃপণ|হিংস"")),""valence-target অমিল"",""""),IF(COUNTIF($B:$B,B6797)&gt;1,""ডুপ্লিকেট"",""""))"),"")</f>
        <v/>
      </c>
      <c r="Q6797" s="5" t="str">
        <f t="shared" si="1"/>
        <v>২ পরে</v>
      </c>
    </row>
    <row r="6798">
      <c r="A6798" s="4">
        <v>4759.0</v>
      </c>
      <c r="B6798" s="2" t="s">
        <v>27646</v>
      </c>
      <c r="C6798" s="2" t="s">
        <v>27646</v>
      </c>
      <c r="D6798" s="2" t="s">
        <v>26757</v>
      </c>
      <c r="E6798" s="2" t="s">
        <v>27647</v>
      </c>
      <c r="F6798" s="2" t="b">
        <v>1</v>
      </c>
      <c r="G6798" s="2" t="b">
        <v>1</v>
      </c>
      <c r="H6798" s="2" t="s">
        <v>27648</v>
      </c>
      <c r="I6798" s="2" t="s">
        <v>32</v>
      </c>
      <c r="J6798" s="2" t="s">
        <v>2381</v>
      </c>
      <c r="K6798" s="2" t="s">
        <v>495</v>
      </c>
      <c r="L6798" s="13" t="s">
        <v>496</v>
      </c>
      <c r="M6798" s="2" t="s">
        <v>26</v>
      </c>
      <c r="N6798" s="29"/>
      <c r="O6798" s="29"/>
      <c r="P6798" s="5" t="str">
        <f>IFERROR(__xludf.DUMMYFUNCTION("TEXTJOIN("" | "",TRUE,IF(OR(D6798="""",E6798="""",I6798="""",J6798="""",H6798=""""),""ফাঁকা ঘর"",""""),IF(AND(C6798&lt;&gt;"""",D6798&lt;&gt;"""",C6798=D6798),""gloss=figurative"",""""),IF(LEN(D6798)&lt;15,""figurative ছোট"",""""),IF(AND(I6798=""Positive"",REGEXMATCH(H6"&amp;"798,""মূর্খ|ভণ্ড|প্রতার|অলস|লোভ|স্বার্থ|অক্ষম|অযোগ্য|বোকা|কৃপণ|হিংস"")),""valence-target অমিল"",""""),IF(COUNTIF($B:$B,B6798)&gt;1,""ডুপ্লিকেট"",""""))"),"")</f>
        <v/>
      </c>
      <c r="Q6798" s="5" t="str">
        <f t="shared" si="1"/>
        <v>২ পরে</v>
      </c>
    </row>
    <row r="6799">
      <c r="A6799" s="4">
        <v>4760.0</v>
      </c>
      <c r="B6799" s="2" t="s">
        <v>27649</v>
      </c>
      <c r="C6799" s="2" t="s">
        <v>27650</v>
      </c>
      <c r="D6799" s="2" t="s">
        <v>21410</v>
      </c>
      <c r="E6799" s="2" t="s">
        <v>27651</v>
      </c>
      <c r="F6799" s="2" t="b">
        <v>1</v>
      </c>
      <c r="G6799" s="2" t="b">
        <v>0</v>
      </c>
      <c r="H6799" s="2" t="s">
        <v>37</v>
      </c>
      <c r="I6799" s="2" t="s">
        <v>22</v>
      </c>
      <c r="J6799" s="2" t="s">
        <v>669</v>
      </c>
      <c r="K6799" s="2" t="s">
        <v>495</v>
      </c>
      <c r="L6799" s="13" t="s">
        <v>496</v>
      </c>
      <c r="M6799" s="2" t="s">
        <v>26</v>
      </c>
      <c r="N6799" s="29"/>
      <c r="O6799" s="29"/>
      <c r="P6799" s="5" t="str">
        <f>IFERROR(__xludf.DUMMYFUNCTION("TEXTJOIN("" | "",TRUE,IF(OR(D6799="""",E6799="""",I6799="""",J6799="""",H6799=""""),""ফাঁকা ঘর"",""""),IF(AND(C6799&lt;&gt;"""",D6799&lt;&gt;"""",C6799=D6799),""gloss=figurative"",""""),IF(LEN(D6799)&lt;15,""figurative ছোট"",""""),IF(AND(I6799=""Positive"",REGEXMATCH(H6"&amp;"799,""মূর্খ|ভণ্ড|প্রতার|অলস|লোভ|স্বার্থ|অক্ষম|অযোগ্য|বোকা|কৃপণ|হিংস"")),""valence-target অমিল"",""""),IF(COUNTIF($B:$B,B6799)&gt;1,""ডুপ্লিকেট"",""""))"),"")</f>
        <v/>
      </c>
      <c r="Q6799" s="5" t="str">
        <f t="shared" si="1"/>
        <v>২ পরে</v>
      </c>
    </row>
    <row r="6800">
      <c r="A6800" s="4">
        <v>4761.0</v>
      </c>
      <c r="B6800" s="2" t="s">
        <v>27652</v>
      </c>
      <c r="C6800" s="2" t="s">
        <v>27652</v>
      </c>
      <c r="D6800" s="2" t="s">
        <v>27653</v>
      </c>
      <c r="E6800" s="2" t="s">
        <v>27654</v>
      </c>
      <c r="F6800" s="2" t="b">
        <v>1</v>
      </c>
      <c r="G6800" s="2" t="b">
        <v>0</v>
      </c>
      <c r="H6800" s="2" t="s">
        <v>37</v>
      </c>
      <c r="I6800" s="2" t="s">
        <v>49</v>
      </c>
      <c r="J6800" s="2" t="s">
        <v>2742</v>
      </c>
      <c r="K6800" s="2" t="s">
        <v>495</v>
      </c>
      <c r="L6800" s="13" t="s">
        <v>496</v>
      </c>
      <c r="M6800" s="2" t="s">
        <v>26</v>
      </c>
      <c r="N6800" s="29"/>
      <c r="O6800" s="29"/>
      <c r="P6800" s="5" t="str">
        <f>IFERROR(__xludf.DUMMYFUNCTION("TEXTJOIN("" | "",TRUE,IF(OR(D6800="""",E6800="""",I6800="""",J6800="""",H6800=""""),""ফাঁকা ঘর"",""""),IF(AND(C6800&lt;&gt;"""",D6800&lt;&gt;"""",C6800=D6800),""gloss=figurative"",""""),IF(LEN(D6800)&lt;15,""figurative ছোট"",""""),IF(AND(I6800=""Positive"",REGEXMATCH(H6"&amp;"800,""মূর্খ|ভণ্ড|প্রতার|অলস|লোভ|স্বার্থ|অক্ষম|অযোগ্য|বোকা|কৃপণ|হিংস"")),""valence-target অমিল"",""""),IF(COUNTIF($B:$B,B6800)&gt;1,""ডুপ্লিকেট"",""""))"),"")</f>
        <v/>
      </c>
      <c r="Q6800" s="5" t="str">
        <f t="shared" si="1"/>
        <v>২ পরে</v>
      </c>
    </row>
    <row r="6801">
      <c r="A6801" s="4">
        <v>4763.0</v>
      </c>
      <c r="B6801" s="2" t="s">
        <v>27655</v>
      </c>
      <c r="C6801" s="2" t="s">
        <v>27656</v>
      </c>
      <c r="D6801" s="2" t="s">
        <v>27657</v>
      </c>
      <c r="E6801" s="2" t="s">
        <v>27658</v>
      </c>
      <c r="F6801" s="2" t="b">
        <v>1</v>
      </c>
      <c r="G6801" s="2" t="b">
        <v>1</v>
      </c>
      <c r="H6801" s="2" t="s">
        <v>3079</v>
      </c>
      <c r="I6801" s="2" t="s">
        <v>32</v>
      </c>
      <c r="J6801" s="2" t="s">
        <v>3506</v>
      </c>
      <c r="K6801" s="2" t="s">
        <v>495</v>
      </c>
      <c r="L6801" s="13" t="s">
        <v>496</v>
      </c>
      <c r="M6801" s="2" t="s">
        <v>26</v>
      </c>
      <c r="N6801" s="29"/>
      <c r="O6801" s="29"/>
      <c r="P6801" s="5" t="str">
        <f>IFERROR(__xludf.DUMMYFUNCTION("TEXTJOIN("" | "",TRUE,IF(OR(D6801="""",E6801="""",I6801="""",J6801="""",H6801=""""),""ফাঁকা ঘর"",""""),IF(AND(C6801&lt;&gt;"""",D6801&lt;&gt;"""",C6801=D6801),""gloss=figurative"",""""),IF(LEN(D6801)&lt;15,""figurative ছোট"",""""),IF(AND(I6801=""Positive"",REGEXMATCH(H6"&amp;"801,""মূর্খ|ভণ্ড|প্রতার|অলস|লোভ|স্বার্থ|অক্ষম|অযোগ্য|বোকা|কৃপণ|হিংস"")),""valence-target অমিল"",""""),IF(COUNTIF($B:$B,B6801)&gt;1,""ডুপ্লিকেট"",""""))"),"")</f>
        <v/>
      </c>
      <c r="Q6801" s="5" t="str">
        <f t="shared" si="1"/>
        <v>২ পরে</v>
      </c>
    </row>
    <row r="6802">
      <c r="A6802" s="4">
        <v>4764.0</v>
      </c>
      <c r="B6802" s="2" t="s">
        <v>27659</v>
      </c>
      <c r="C6802" s="2" t="s">
        <v>27659</v>
      </c>
      <c r="D6802" s="2" t="s">
        <v>27660</v>
      </c>
      <c r="E6802" s="2" t="s">
        <v>27661</v>
      </c>
      <c r="F6802" s="2" t="b">
        <v>1</v>
      </c>
      <c r="G6802" s="2" t="b">
        <v>0</v>
      </c>
      <c r="H6802" s="2" t="s">
        <v>27662</v>
      </c>
      <c r="I6802" s="2" t="s">
        <v>22</v>
      </c>
      <c r="J6802" s="2" t="s">
        <v>2147</v>
      </c>
      <c r="K6802" s="2" t="s">
        <v>495</v>
      </c>
      <c r="L6802" s="13" t="s">
        <v>496</v>
      </c>
      <c r="M6802" s="2" t="s">
        <v>26</v>
      </c>
      <c r="N6802" s="29"/>
      <c r="O6802" s="29"/>
      <c r="P6802" s="5" t="str">
        <f>IFERROR(__xludf.DUMMYFUNCTION("TEXTJOIN("" | "",TRUE,IF(OR(D6802="""",E6802="""",I6802="""",J6802="""",H6802=""""),""ফাঁকা ঘর"",""""),IF(AND(C6802&lt;&gt;"""",D6802&lt;&gt;"""",C6802=D6802),""gloss=figurative"",""""),IF(LEN(D6802)&lt;15,""figurative ছোট"",""""),IF(AND(I6802=""Positive"",REGEXMATCH(H6"&amp;"802,""মূর্খ|ভণ্ড|প্রতার|অলস|লোভ|স্বার্থ|অক্ষম|অযোগ্য|বোকা|কৃপণ|হিংস"")),""valence-target অমিল"",""""),IF(COUNTIF($B:$B,B6802)&gt;1,""ডুপ্লিকেট"",""""))"),"")</f>
        <v/>
      </c>
      <c r="Q6802" s="5" t="str">
        <f t="shared" si="1"/>
        <v>২ পরে</v>
      </c>
    </row>
    <row r="6803">
      <c r="A6803" s="4">
        <v>4765.0</v>
      </c>
      <c r="B6803" s="2" t="s">
        <v>27663</v>
      </c>
      <c r="C6803" s="2" t="s">
        <v>27664</v>
      </c>
      <c r="D6803" s="2" t="s">
        <v>27665</v>
      </c>
      <c r="E6803" s="2" t="s">
        <v>27666</v>
      </c>
      <c r="F6803" s="2" t="b">
        <v>1</v>
      </c>
      <c r="G6803" s="2" t="b">
        <v>0</v>
      </c>
      <c r="H6803" s="2" t="s">
        <v>1188</v>
      </c>
      <c r="I6803" s="2" t="s">
        <v>22</v>
      </c>
      <c r="J6803" s="2" t="s">
        <v>1189</v>
      </c>
      <c r="K6803" s="2" t="s">
        <v>495</v>
      </c>
      <c r="L6803" s="13" t="s">
        <v>496</v>
      </c>
      <c r="M6803" s="2" t="s">
        <v>26</v>
      </c>
      <c r="N6803" s="29"/>
      <c r="O6803" s="29"/>
      <c r="P6803" s="5" t="str">
        <f>IFERROR(__xludf.DUMMYFUNCTION("TEXTJOIN("" | "",TRUE,IF(OR(D6803="""",E6803="""",I6803="""",J6803="""",H6803=""""),""ফাঁকা ঘর"",""""),IF(AND(C6803&lt;&gt;"""",D6803&lt;&gt;"""",C6803=D6803),""gloss=figurative"",""""),IF(LEN(D6803)&lt;15,""figurative ছোট"",""""),IF(AND(I6803=""Positive"",REGEXMATCH(H6"&amp;"803,""মূর্খ|ভণ্ড|প্রতার|অলস|লোভ|স্বার্থ|অক্ষম|অযোগ্য|বোকা|কৃপণ|হিংস"")),""valence-target অমিল"",""""),IF(COUNTIF($B:$B,B6803)&gt;1,""ডুপ্লিকেট"",""""))"),"")</f>
        <v/>
      </c>
      <c r="Q6803" s="5" t="str">
        <f t="shared" si="1"/>
        <v>২ পরে</v>
      </c>
    </row>
    <row r="6804">
      <c r="A6804" s="4">
        <v>4767.0</v>
      </c>
      <c r="B6804" s="2" t="s">
        <v>27667</v>
      </c>
      <c r="C6804" s="2" t="s">
        <v>27668</v>
      </c>
      <c r="D6804" s="2" t="s">
        <v>27669</v>
      </c>
      <c r="E6804" s="2" t="s">
        <v>27670</v>
      </c>
      <c r="F6804" s="2" t="b">
        <v>1</v>
      </c>
      <c r="G6804" s="2" t="b">
        <v>0</v>
      </c>
      <c r="H6804" s="2" t="s">
        <v>37</v>
      </c>
      <c r="I6804" s="2" t="s">
        <v>49</v>
      </c>
      <c r="J6804" s="2" t="s">
        <v>565</v>
      </c>
      <c r="K6804" s="2" t="s">
        <v>495</v>
      </c>
      <c r="L6804" s="13" t="s">
        <v>496</v>
      </c>
      <c r="M6804" s="2" t="s">
        <v>26</v>
      </c>
      <c r="N6804" s="29"/>
      <c r="O6804" s="29"/>
      <c r="P6804" s="5" t="str">
        <f>IFERROR(__xludf.DUMMYFUNCTION("TEXTJOIN("" | "",TRUE,IF(OR(D6804="""",E6804="""",I6804="""",J6804="""",H6804=""""),""ফাঁকা ঘর"",""""),IF(AND(C6804&lt;&gt;"""",D6804&lt;&gt;"""",C6804=D6804),""gloss=figurative"",""""),IF(LEN(D6804)&lt;15,""figurative ছোট"",""""),IF(AND(I6804=""Positive"",REGEXMATCH(H6"&amp;"804,""মূর্খ|ভণ্ড|প্রতার|অলস|লোভ|স্বার্থ|অক্ষম|অযোগ্য|বোকা|কৃপণ|হিংস"")),""valence-target অমিল"",""""),IF(COUNTIF($B:$B,B6804)&gt;1,""ডুপ্লিকেট"",""""))"),"")</f>
        <v/>
      </c>
      <c r="Q6804" s="5" t="str">
        <f t="shared" si="1"/>
        <v>২ পরে</v>
      </c>
    </row>
    <row r="6805">
      <c r="A6805" s="4">
        <v>4773.0</v>
      </c>
      <c r="B6805" s="2" t="s">
        <v>27671</v>
      </c>
      <c r="C6805" s="2" t="s">
        <v>27672</v>
      </c>
      <c r="D6805" s="2" t="s">
        <v>27673</v>
      </c>
      <c r="E6805" s="2" t="s">
        <v>27674</v>
      </c>
      <c r="F6805" s="2" t="b">
        <v>1</v>
      </c>
      <c r="G6805" s="2" t="b">
        <v>0</v>
      </c>
      <c r="H6805" s="2" t="s">
        <v>37</v>
      </c>
      <c r="I6805" s="2" t="s">
        <v>22</v>
      </c>
      <c r="J6805" s="2" t="s">
        <v>2343</v>
      </c>
      <c r="K6805" s="2" t="s">
        <v>495</v>
      </c>
      <c r="L6805" s="13" t="s">
        <v>496</v>
      </c>
      <c r="M6805" s="2" t="s">
        <v>26</v>
      </c>
      <c r="N6805" s="29"/>
      <c r="O6805" s="29"/>
      <c r="P6805" s="5" t="str">
        <f>IFERROR(__xludf.DUMMYFUNCTION("TEXTJOIN("" | "",TRUE,IF(OR(D6805="""",E6805="""",I6805="""",J6805="""",H6805=""""),""ফাঁকা ঘর"",""""),IF(AND(C6805&lt;&gt;"""",D6805&lt;&gt;"""",C6805=D6805),""gloss=figurative"",""""),IF(LEN(D6805)&lt;15,""figurative ছোট"",""""),IF(AND(I6805=""Positive"",REGEXMATCH(H6"&amp;"805,""মূর্খ|ভণ্ড|প্রতার|অলস|লোভ|স্বার্থ|অক্ষম|অযোগ্য|বোকা|কৃপণ|হিংস"")),""valence-target অমিল"",""""),IF(COUNTIF($B:$B,B6805)&gt;1,""ডুপ্লিকেট"",""""))"),"")</f>
        <v/>
      </c>
      <c r="Q6805" s="5" t="str">
        <f t="shared" si="1"/>
        <v>২ পরে</v>
      </c>
    </row>
    <row r="6806">
      <c r="A6806" s="4">
        <v>4774.0</v>
      </c>
      <c r="B6806" s="2" t="s">
        <v>27675</v>
      </c>
      <c r="C6806" s="2" t="s">
        <v>27676</v>
      </c>
      <c r="D6806" s="2" t="s">
        <v>27677</v>
      </c>
      <c r="E6806" s="2" t="s">
        <v>27678</v>
      </c>
      <c r="F6806" s="2" t="b">
        <v>1</v>
      </c>
      <c r="G6806" s="2" t="b">
        <v>0</v>
      </c>
      <c r="H6806" s="2" t="s">
        <v>37</v>
      </c>
      <c r="I6806" s="2" t="s">
        <v>22</v>
      </c>
      <c r="J6806" s="2" t="s">
        <v>2343</v>
      </c>
      <c r="K6806" s="2" t="s">
        <v>495</v>
      </c>
      <c r="L6806" s="13" t="s">
        <v>496</v>
      </c>
      <c r="M6806" s="2" t="s">
        <v>26</v>
      </c>
      <c r="N6806" s="29"/>
      <c r="O6806" s="29"/>
      <c r="P6806" s="5" t="str">
        <f>IFERROR(__xludf.DUMMYFUNCTION("TEXTJOIN("" | "",TRUE,IF(OR(D6806="""",E6806="""",I6806="""",J6806="""",H6806=""""),""ফাঁকা ঘর"",""""),IF(AND(C6806&lt;&gt;"""",D6806&lt;&gt;"""",C6806=D6806),""gloss=figurative"",""""),IF(LEN(D6806)&lt;15,""figurative ছোট"",""""),IF(AND(I6806=""Positive"",REGEXMATCH(H6"&amp;"806,""মূর্খ|ভণ্ড|প্রতার|অলস|লোভ|স্বার্থ|অক্ষম|অযোগ্য|বোকা|কৃপণ|হিংস"")),""valence-target অমিল"",""""),IF(COUNTIF($B:$B,B6806)&gt;1,""ডুপ্লিকেট"",""""))"),"")</f>
        <v/>
      </c>
      <c r="Q6806" s="5" t="str">
        <f t="shared" si="1"/>
        <v>২ পরে</v>
      </c>
    </row>
    <row r="6807">
      <c r="A6807" s="4">
        <v>4777.0</v>
      </c>
      <c r="B6807" s="2" t="s">
        <v>27679</v>
      </c>
      <c r="C6807" s="2" t="s">
        <v>27680</v>
      </c>
      <c r="D6807" s="2" t="s">
        <v>27681</v>
      </c>
      <c r="E6807" s="2" t="s">
        <v>27682</v>
      </c>
      <c r="F6807" s="2" t="b">
        <v>1</v>
      </c>
      <c r="G6807" s="2" t="b">
        <v>0</v>
      </c>
      <c r="H6807" s="2" t="s">
        <v>27176</v>
      </c>
      <c r="I6807" s="2" t="s">
        <v>22</v>
      </c>
      <c r="J6807" s="2" t="s">
        <v>1363</v>
      </c>
      <c r="K6807" s="2" t="s">
        <v>495</v>
      </c>
      <c r="L6807" s="13" t="s">
        <v>496</v>
      </c>
      <c r="M6807" s="2" t="s">
        <v>26</v>
      </c>
      <c r="N6807" s="29"/>
      <c r="O6807" s="29"/>
      <c r="P6807" s="5" t="str">
        <f>IFERROR(__xludf.DUMMYFUNCTION("TEXTJOIN("" | "",TRUE,IF(OR(D6807="""",E6807="""",I6807="""",J6807="""",H6807=""""),""ফাঁকা ঘর"",""""),IF(AND(C6807&lt;&gt;"""",D6807&lt;&gt;"""",C6807=D6807),""gloss=figurative"",""""),IF(LEN(D6807)&lt;15,""figurative ছোট"",""""),IF(AND(I6807=""Positive"",REGEXMATCH(H6"&amp;"807,""মূর্খ|ভণ্ড|প্রতার|অলস|লোভ|স্বার্থ|অক্ষম|অযোগ্য|বোকা|কৃপণ|হিংস"")),""valence-target অমিল"",""""),IF(COUNTIF($B:$B,B6807)&gt;1,""ডুপ্লিকেট"",""""))"),"")</f>
        <v/>
      </c>
      <c r="Q6807" s="5" t="str">
        <f t="shared" si="1"/>
        <v>২ পরে</v>
      </c>
    </row>
    <row r="6808">
      <c r="A6808" s="4">
        <v>4779.0</v>
      </c>
      <c r="B6808" s="2" t="s">
        <v>27683</v>
      </c>
      <c r="C6808" s="2" t="s">
        <v>27684</v>
      </c>
      <c r="D6808" s="2" t="s">
        <v>27685</v>
      </c>
      <c r="E6808" s="2" t="s">
        <v>27686</v>
      </c>
      <c r="F6808" s="2" t="b">
        <v>1</v>
      </c>
      <c r="G6808" s="2" t="b">
        <v>0</v>
      </c>
      <c r="H6808" s="2" t="s">
        <v>37</v>
      </c>
      <c r="I6808" s="2" t="s">
        <v>22</v>
      </c>
      <c r="J6808" s="2" t="s">
        <v>2671</v>
      </c>
      <c r="K6808" s="2" t="s">
        <v>495</v>
      </c>
      <c r="L6808" s="13" t="s">
        <v>496</v>
      </c>
      <c r="M6808" s="2" t="s">
        <v>26</v>
      </c>
      <c r="N6808" s="29"/>
      <c r="O6808" s="29"/>
      <c r="P6808" s="5" t="str">
        <f>IFERROR(__xludf.DUMMYFUNCTION("TEXTJOIN("" | "",TRUE,IF(OR(D6808="""",E6808="""",I6808="""",J6808="""",H6808=""""),""ফাঁকা ঘর"",""""),IF(AND(C6808&lt;&gt;"""",D6808&lt;&gt;"""",C6808=D6808),""gloss=figurative"",""""),IF(LEN(D6808)&lt;15,""figurative ছোট"",""""),IF(AND(I6808=""Positive"",REGEXMATCH(H6"&amp;"808,""মূর্খ|ভণ্ড|প্রতার|অলস|লোভ|স্বার্থ|অক্ষম|অযোগ্য|বোকা|কৃপণ|হিংস"")),""valence-target অমিল"",""""),IF(COUNTIF($B:$B,B6808)&gt;1,""ডুপ্লিকেট"",""""))"),"")</f>
        <v/>
      </c>
      <c r="Q6808" s="5" t="str">
        <f t="shared" si="1"/>
        <v>২ পরে</v>
      </c>
    </row>
    <row r="6809">
      <c r="A6809" s="4">
        <v>4780.0</v>
      </c>
      <c r="B6809" s="2" t="s">
        <v>27687</v>
      </c>
      <c r="C6809" s="2" t="s">
        <v>27687</v>
      </c>
      <c r="D6809" s="2" t="s">
        <v>27688</v>
      </c>
      <c r="E6809" s="2" t="s">
        <v>27689</v>
      </c>
      <c r="F6809" s="2" t="b">
        <v>1</v>
      </c>
      <c r="G6809" s="2" t="b">
        <v>0</v>
      </c>
      <c r="H6809" s="2" t="s">
        <v>37</v>
      </c>
      <c r="I6809" s="2" t="s">
        <v>22</v>
      </c>
      <c r="J6809" s="2" t="s">
        <v>1060</v>
      </c>
      <c r="K6809" s="2" t="s">
        <v>495</v>
      </c>
      <c r="L6809" s="13" t="s">
        <v>496</v>
      </c>
      <c r="M6809" s="2" t="s">
        <v>26</v>
      </c>
      <c r="N6809" s="29"/>
      <c r="O6809" s="29"/>
      <c r="P6809" s="5" t="str">
        <f>IFERROR(__xludf.DUMMYFUNCTION("TEXTJOIN("" | "",TRUE,IF(OR(D6809="""",E6809="""",I6809="""",J6809="""",H6809=""""),""ফাঁকা ঘর"",""""),IF(AND(C6809&lt;&gt;"""",D6809&lt;&gt;"""",C6809=D6809),""gloss=figurative"",""""),IF(LEN(D6809)&lt;15,""figurative ছোট"",""""),IF(AND(I6809=""Positive"",REGEXMATCH(H6"&amp;"809,""মূর্খ|ভণ্ড|প্রতার|অলস|লোভ|স্বার্থ|অক্ষম|অযোগ্য|বোকা|কৃপণ|হিংস"")),""valence-target অমিল"",""""),IF(COUNTIF($B:$B,B6809)&gt;1,""ডুপ্লিকেট"",""""))"),"")</f>
        <v/>
      </c>
      <c r="Q6809" s="5" t="str">
        <f t="shared" si="1"/>
        <v>২ পরে</v>
      </c>
    </row>
    <row r="6810">
      <c r="A6810" s="4">
        <v>4781.0</v>
      </c>
      <c r="B6810" s="2" t="s">
        <v>27690</v>
      </c>
      <c r="C6810" s="2" t="s">
        <v>27691</v>
      </c>
      <c r="D6810" s="2" t="s">
        <v>27692</v>
      </c>
      <c r="E6810" s="2" t="s">
        <v>27693</v>
      </c>
      <c r="F6810" s="2" t="b">
        <v>1</v>
      </c>
      <c r="G6810" s="2" t="b">
        <v>0</v>
      </c>
      <c r="H6810" s="2" t="s">
        <v>989</v>
      </c>
      <c r="I6810" s="2" t="s">
        <v>22</v>
      </c>
      <c r="J6810" s="2" t="s">
        <v>990</v>
      </c>
      <c r="K6810" s="2" t="s">
        <v>495</v>
      </c>
      <c r="L6810" s="13" t="s">
        <v>496</v>
      </c>
      <c r="M6810" s="2" t="s">
        <v>26</v>
      </c>
      <c r="N6810" s="29"/>
      <c r="O6810" s="29"/>
      <c r="P6810" s="5" t="str">
        <f>IFERROR(__xludf.DUMMYFUNCTION("TEXTJOIN("" | "",TRUE,IF(OR(D6810="""",E6810="""",I6810="""",J6810="""",H6810=""""),""ফাঁকা ঘর"",""""),IF(AND(C6810&lt;&gt;"""",D6810&lt;&gt;"""",C6810=D6810),""gloss=figurative"",""""),IF(LEN(D6810)&lt;15,""figurative ছোট"",""""),IF(AND(I6810=""Positive"",REGEXMATCH(H6"&amp;"810,""মূর্খ|ভণ্ড|প্রতার|অলস|লোভ|স্বার্থ|অক্ষম|অযোগ্য|বোকা|কৃপণ|হিংস"")),""valence-target অমিল"",""""),IF(COUNTIF($B:$B,B6810)&gt;1,""ডুপ্লিকেট"",""""))"),"")</f>
        <v/>
      </c>
      <c r="Q6810" s="5" t="str">
        <f t="shared" si="1"/>
        <v>২ পরে</v>
      </c>
    </row>
    <row r="6811">
      <c r="A6811" s="4">
        <v>4782.0</v>
      </c>
      <c r="B6811" s="2" t="s">
        <v>27694</v>
      </c>
      <c r="C6811" s="2" t="s">
        <v>27695</v>
      </c>
      <c r="D6811" s="2" t="s">
        <v>27696</v>
      </c>
      <c r="E6811" s="2" t="s">
        <v>27697</v>
      </c>
      <c r="F6811" s="2" t="b">
        <v>1</v>
      </c>
      <c r="G6811" s="2" t="b">
        <v>0</v>
      </c>
      <c r="H6811" s="2" t="s">
        <v>1025</v>
      </c>
      <c r="I6811" s="2" t="s">
        <v>22</v>
      </c>
      <c r="J6811" s="2" t="s">
        <v>1027</v>
      </c>
      <c r="K6811" s="2" t="s">
        <v>495</v>
      </c>
      <c r="L6811" s="13" t="s">
        <v>496</v>
      </c>
      <c r="M6811" s="2" t="s">
        <v>26</v>
      </c>
      <c r="N6811" s="29"/>
      <c r="O6811" s="29"/>
      <c r="P6811" s="5" t="str">
        <f>IFERROR(__xludf.DUMMYFUNCTION("TEXTJOIN("" | "",TRUE,IF(OR(D6811="""",E6811="""",I6811="""",J6811="""",H6811=""""),""ফাঁকা ঘর"",""""),IF(AND(C6811&lt;&gt;"""",D6811&lt;&gt;"""",C6811=D6811),""gloss=figurative"",""""),IF(LEN(D6811)&lt;15,""figurative ছোট"",""""),IF(AND(I6811=""Positive"",REGEXMATCH(H6"&amp;"811,""মূর্খ|ভণ্ড|প্রতার|অলস|লোভ|স্বার্থ|অক্ষম|অযোগ্য|বোকা|কৃপণ|হিংস"")),""valence-target অমিল"",""""),IF(COUNTIF($B:$B,B6811)&gt;1,""ডুপ্লিকেট"",""""))"),"")</f>
        <v/>
      </c>
      <c r="Q6811" s="5" t="str">
        <f t="shared" si="1"/>
        <v>২ পরে</v>
      </c>
    </row>
    <row r="6812">
      <c r="A6812" s="4">
        <v>4783.0</v>
      </c>
      <c r="B6812" s="2" t="s">
        <v>27698</v>
      </c>
      <c r="C6812" s="2" t="s">
        <v>27699</v>
      </c>
      <c r="D6812" s="2" t="s">
        <v>27700</v>
      </c>
      <c r="E6812" s="2" t="s">
        <v>27701</v>
      </c>
      <c r="F6812" s="2" t="b">
        <v>1</v>
      </c>
      <c r="G6812" s="2" t="b">
        <v>0</v>
      </c>
      <c r="H6812" s="2" t="s">
        <v>3807</v>
      </c>
      <c r="I6812" s="2" t="s">
        <v>22</v>
      </c>
      <c r="J6812" s="2" t="s">
        <v>3346</v>
      </c>
      <c r="K6812" s="2" t="s">
        <v>495</v>
      </c>
      <c r="L6812" s="13" t="s">
        <v>496</v>
      </c>
      <c r="M6812" s="2" t="s">
        <v>26</v>
      </c>
      <c r="N6812" s="29"/>
      <c r="O6812" s="29"/>
      <c r="P6812" s="5" t="str">
        <f>IFERROR(__xludf.DUMMYFUNCTION("TEXTJOIN("" | "",TRUE,IF(OR(D6812="""",E6812="""",I6812="""",J6812="""",H6812=""""),""ফাঁকা ঘর"",""""),IF(AND(C6812&lt;&gt;"""",D6812&lt;&gt;"""",C6812=D6812),""gloss=figurative"",""""),IF(LEN(D6812)&lt;15,""figurative ছোট"",""""),IF(AND(I6812=""Positive"",REGEXMATCH(H6"&amp;"812,""মূর্খ|ভণ্ড|প্রতার|অলস|লোভ|স্বার্থ|অক্ষম|অযোগ্য|বোকা|কৃপণ|হিংস"")),""valence-target অমিল"",""""),IF(COUNTIF($B:$B,B6812)&gt;1,""ডুপ্লিকেট"",""""))"),"")</f>
        <v/>
      </c>
      <c r="Q6812" s="5" t="str">
        <f t="shared" si="1"/>
        <v>২ পরে</v>
      </c>
    </row>
    <row r="6813">
      <c r="A6813" s="4">
        <v>4786.0</v>
      </c>
      <c r="B6813" s="2" t="s">
        <v>27702</v>
      </c>
      <c r="C6813" s="2" t="s">
        <v>27703</v>
      </c>
      <c r="D6813" s="2" t="s">
        <v>22211</v>
      </c>
      <c r="E6813" s="2" t="s">
        <v>27704</v>
      </c>
      <c r="F6813" s="2" t="b">
        <v>1</v>
      </c>
      <c r="G6813" s="2" t="b">
        <v>0</v>
      </c>
      <c r="H6813" s="2" t="s">
        <v>37</v>
      </c>
      <c r="I6813" s="2" t="s">
        <v>22</v>
      </c>
      <c r="J6813" s="2" t="s">
        <v>590</v>
      </c>
      <c r="K6813" s="2" t="s">
        <v>495</v>
      </c>
      <c r="L6813" s="13" t="s">
        <v>496</v>
      </c>
      <c r="M6813" s="2" t="s">
        <v>26</v>
      </c>
      <c r="N6813" s="29"/>
      <c r="O6813" s="29"/>
      <c r="P6813" s="5" t="str">
        <f>IFERROR(__xludf.DUMMYFUNCTION("TEXTJOIN("" | "",TRUE,IF(OR(D6813="""",E6813="""",I6813="""",J6813="""",H6813=""""),""ফাঁকা ঘর"",""""),IF(AND(C6813&lt;&gt;"""",D6813&lt;&gt;"""",C6813=D6813),""gloss=figurative"",""""),IF(LEN(D6813)&lt;15,""figurative ছোট"",""""),IF(AND(I6813=""Positive"",REGEXMATCH(H6"&amp;"813,""মূর্খ|ভণ্ড|প্রতার|অলস|লোভ|স্বার্থ|অক্ষম|অযোগ্য|বোকা|কৃপণ|হিংস"")),""valence-target অমিল"",""""),IF(COUNTIF($B:$B,B6813)&gt;1,""ডুপ্লিকেট"",""""))"),"")</f>
        <v/>
      </c>
      <c r="Q6813" s="5" t="str">
        <f t="shared" si="1"/>
        <v>২ পরে</v>
      </c>
    </row>
    <row r="6814">
      <c r="A6814" s="4">
        <v>4787.0</v>
      </c>
      <c r="B6814" s="2" t="s">
        <v>27705</v>
      </c>
      <c r="C6814" s="2" t="s">
        <v>27706</v>
      </c>
      <c r="D6814" s="2" t="s">
        <v>27707</v>
      </c>
      <c r="E6814" s="2" t="s">
        <v>27708</v>
      </c>
      <c r="F6814" s="2" t="b">
        <v>1</v>
      </c>
      <c r="G6814" s="2" t="b">
        <v>0</v>
      </c>
      <c r="H6814" s="2" t="s">
        <v>37</v>
      </c>
      <c r="I6814" s="2" t="s">
        <v>32</v>
      </c>
      <c r="J6814" s="2" t="s">
        <v>1060</v>
      </c>
      <c r="K6814" s="2" t="s">
        <v>495</v>
      </c>
      <c r="L6814" s="13" t="s">
        <v>496</v>
      </c>
      <c r="M6814" s="2" t="s">
        <v>26</v>
      </c>
      <c r="N6814" s="29"/>
      <c r="O6814" s="29"/>
      <c r="P6814" s="5" t="str">
        <f>IFERROR(__xludf.DUMMYFUNCTION("TEXTJOIN("" | "",TRUE,IF(OR(D6814="""",E6814="""",I6814="""",J6814="""",H6814=""""),""ফাঁকা ঘর"",""""),IF(AND(C6814&lt;&gt;"""",D6814&lt;&gt;"""",C6814=D6814),""gloss=figurative"",""""),IF(LEN(D6814)&lt;15,""figurative ছোট"",""""),IF(AND(I6814=""Positive"",REGEXMATCH(H6"&amp;"814,""মূর্খ|ভণ্ড|প্রতার|অলস|লোভ|স্বার্থ|অক্ষম|অযোগ্য|বোকা|কৃপণ|হিংস"")),""valence-target অমিল"",""""),IF(COUNTIF($B:$B,B6814)&gt;1,""ডুপ্লিকেট"",""""))"),"")</f>
        <v/>
      </c>
      <c r="Q6814" s="5" t="str">
        <f t="shared" si="1"/>
        <v>২ পরে</v>
      </c>
    </row>
    <row r="6815">
      <c r="A6815" s="4">
        <v>4792.0</v>
      </c>
      <c r="B6815" s="2" t="s">
        <v>27709</v>
      </c>
      <c r="C6815" s="2" t="s">
        <v>27710</v>
      </c>
      <c r="D6815" s="2" t="s">
        <v>27711</v>
      </c>
      <c r="E6815" s="2" t="s">
        <v>27712</v>
      </c>
      <c r="F6815" s="2" t="b">
        <v>1</v>
      </c>
      <c r="G6815" s="2" t="b">
        <v>0</v>
      </c>
      <c r="H6815" s="2" t="s">
        <v>37</v>
      </c>
      <c r="I6815" s="2" t="s">
        <v>32</v>
      </c>
      <c r="J6815" s="2" t="s">
        <v>708</v>
      </c>
      <c r="K6815" s="2" t="s">
        <v>495</v>
      </c>
      <c r="L6815" s="13" t="s">
        <v>496</v>
      </c>
      <c r="M6815" s="2" t="s">
        <v>26</v>
      </c>
      <c r="N6815" s="29"/>
      <c r="O6815" s="29"/>
      <c r="P6815" s="5" t="str">
        <f>IFERROR(__xludf.DUMMYFUNCTION("TEXTJOIN("" | "",TRUE,IF(OR(D6815="""",E6815="""",I6815="""",J6815="""",H6815=""""),""ফাঁকা ঘর"",""""),IF(AND(C6815&lt;&gt;"""",D6815&lt;&gt;"""",C6815=D6815),""gloss=figurative"",""""),IF(LEN(D6815)&lt;15,""figurative ছোট"",""""),IF(AND(I6815=""Positive"",REGEXMATCH(H6"&amp;"815,""মূর্খ|ভণ্ড|প্রতার|অলস|লোভ|স্বার্থ|অক্ষম|অযোগ্য|বোকা|কৃপণ|হিংস"")),""valence-target অমিল"",""""),IF(COUNTIF($B:$B,B6815)&gt;1,""ডুপ্লিকেট"",""""))"),"")</f>
        <v/>
      </c>
      <c r="Q6815" s="5" t="str">
        <f t="shared" si="1"/>
        <v>২ পরে</v>
      </c>
    </row>
    <row r="6816">
      <c r="A6816" s="4">
        <v>4793.0</v>
      </c>
      <c r="B6816" s="2" t="s">
        <v>27713</v>
      </c>
      <c r="C6816" s="2" t="s">
        <v>27714</v>
      </c>
      <c r="D6816" s="2" t="s">
        <v>27715</v>
      </c>
      <c r="E6816" s="2" t="s">
        <v>27716</v>
      </c>
      <c r="F6816" s="2" t="b">
        <v>1</v>
      </c>
      <c r="G6816" s="2" t="b">
        <v>0</v>
      </c>
      <c r="H6816" s="2" t="s">
        <v>37</v>
      </c>
      <c r="I6816" s="2" t="s">
        <v>32</v>
      </c>
      <c r="J6816" s="2" t="s">
        <v>1244</v>
      </c>
      <c r="K6816" s="2" t="s">
        <v>495</v>
      </c>
      <c r="L6816" s="13" t="s">
        <v>496</v>
      </c>
      <c r="M6816" s="2" t="s">
        <v>26</v>
      </c>
      <c r="N6816" s="29"/>
      <c r="O6816" s="29"/>
      <c r="P6816" s="5" t="str">
        <f>IFERROR(__xludf.DUMMYFUNCTION("TEXTJOIN("" | "",TRUE,IF(OR(D6816="""",E6816="""",I6816="""",J6816="""",H6816=""""),""ফাঁকা ঘর"",""""),IF(AND(C6816&lt;&gt;"""",D6816&lt;&gt;"""",C6816=D6816),""gloss=figurative"",""""),IF(LEN(D6816)&lt;15,""figurative ছোট"",""""),IF(AND(I6816=""Positive"",REGEXMATCH(H6"&amp;"816,""মূর্খ|ভণ্ড|প্রতার|অলস|লোভ|স্বার্থ|অক্ষম|অযোগ্য|বোকা|কৃপণ|হিংস"")),""valence-target অমিল"",""""),IF(COUNTIF($B:$B,B6816)&gt;1,""ডুপ্লিকেট"",""""))"),"")</f>
        <v/>
      </c>
      <c r="Q6816" s="5" t="str">
        <f t="shared" si="1"/>
        <v>২ পরে</v>
      </c>
    </row>
    <row r="6817">
      <c r="A6817" s="4">
        <v>4795.0</v>
      </c>
      <c r="B6817" s="2" t="s">
        <v>27717</v>
      </c>
      <c r="C6817" s="2" t="s">
        <v>27718</v>
      </c>
      <c r="D6817" s="2" t="s">
        <v>27719</v>
      </c>
      <c r="E6817" s="2" t="s">
        <v>27720</v>
      </c>
      <c r="F6817" s="2" t="b">
        <v>1</v>
      </c>
      <c r="G6817" s="2" t="b">
        <v>1</v>
      </c>
      <c r="H6817" s="2" t="s">
        <v>27721</v>
      </c>
      <c r="I6817" s="2" t="s">
        <v>22</v>
      </c>
      <c r="J6817" s="2" t="s">
        <v>1315</v>
      </c>
      <c r="K6817" s="2" t="s">
        <v>495</v>
      </c>
      <c r="L6817" s="13" t="s">
        <v>496</v>
      </c>
      <c r="M6817" s="2" t="s">
        <v>26</v>
      </c>
      <c r="N6817" s="29"/>
      <c r="O6817" s="29"/>
      <c r="P6817" s="5" t="str">
        <f>IFERROR(__xludf.DUMMYFUNCTION("TEXTJOIN("" | "",TRUE,IF(OR(D6817="""",E6817="""",I6817="""",J6817="""",H6817=""""),""ফাঁকা ঘর"",""""),IF(AND(C6817&lt;&gt;"""",D6817&lt;&gt;"""",C6817=D6817),""gloss=figurative"",""""),IF(LEN(D6817)&lt;15,""figurative ছোট"",""""),IF(AND(I6817=""Positive"",REGEXMATCH(H6"&amp;"817,""মূর্খ|ভণ্ড|প্রতার|অলস|লোভ|স্বার্থ|অক্ষম|অযোগ্য|বোকা|কৃপণ|হিংস"")),""valence-target অমিল"",""""),IF(COUNTIF($B:$B,B6817)&gt;1,""ডুপ্লিকেট"",""""))"),"")</f>
        <v/>
      </c>
      <c r="Q6817" s="5" t="str">
        <f t="shared" si="1"/>
        <v>২ পরে</v>
      </c>
    </row>
    <row r="6818">
      <c r="A6818" s="4">
        <v>4798.0</v>
      </c>
      <c r="B6818" s="2" t="s">
        <v>27722</v>
      </c>
      <c r="C6818" s="2" t="s">
        <v>27723</v>
      </c>
      <c r="D6818" s="2" t="s">
        <v>27724</v>
      </c>
      <c r="E6818" s="2" t="s">
        <v>27725</v>
      </c>
      <c r="F6818" s="2" t="b">
        <v>1</v>
      </c>
      <c r="G6818" s="2" t="b">
        <v>0</v>
      </c>
      <c r="H6818" s="2" t="s">
        <v>854</v>
      </c>
      <c r="I6818" s="2" t="s">
        <v>22</v>
      </c>
      <c r="J6818" s="2" t="s">
        <v>855</v>
      </c>
      <c r="K6818" s="2" t="s">
        <v>495</v>
      </c>
      <c r="L6818" s="13" t="s">
        <v>496</v>
      </c>
      <c r="M6818" s="2" t="s">
        <v>26</v>
      </c>
      <c r="N6818" s="29"/>
      <c r="O6818" s="29"/>
      <c r="P6818" s="5" t="str">
        <f>IFERROR(__xludf.DUMMYFUNCTION("TEXTJOIN("" | "",TRUE,IF(OR(D6818="""",E6818="""",I6818="""",J6818="""",H6818=""""),""ফাঁকা ঘর"",""""),IF(AND(C6818&lt;&gt;"""",D6818&lt;&gt;"""",C6818=D6818),""gloss=figurative"",""""),IF(LEN(D6818)&lt;15,""figurative ছোট"",""""),IF(AND(I6818=""Positive"",REGEXMATCH(H6"&amp;"818,""মূর্খ|ভণ্ড|প্রতার|অলস|লোভ|স্বার্থ|অক্ষম|অযোগ্য|বোকা|কৃপণ|হিংস"")),""valence-target অমিল"",""""),IF(COUNTIF($B:$B,B6818)&gt;1,""ডুপ্লিকেট"",""""))"),"")</f>
        <v/>
      </c>
      <c r="Q6818" s="5" t="str">
        <f t="shared" si="1"/>
        <v>২ পরে</v>
      </c>
    </row>
    <row r="6819">
      <c r="A6819" s="4">
        <v>4799.0</v>
      </c>
      <c r="B6819" s="2" t="s">
        <v>27726</v>
      </c>
      <c r="C6819" s="2" t="s">
        <v>27727</v>
      </c>
      <c r="D6819" s="2" t="s">
        <v>27728</v>
      </c>
      <c r="E6819" s="2" t="s">
        <v>27729</v>
      </c>
      <c r="F6819" s="2" t="b">
        <v>1</v>
      </c>
      <c r="G6819" s="2" t="b">
        <v>0</v>
      </c>
      <c r="H6819" s="2" t="s">
        <v>37</v>
      </c>
      <c r="I6819" s="2" t="s">
        <v>49</v>
      </c>
      <c r="J6819" s="2" t="s">
        <v>4670</v>
      </c>
      <c r="K6819" s="2" t="s">
        <v>495</v>
      </c>
      <c r="L6819" s="13" t="s">
        <v>496</v>
      </c>
      <c r="M6819" s="2" t="s">
        <v>26</v>
      </c>
      <c r="N6819" s="29"/>
      <c r="O6819" s="29"/>
      <c r="P6819" s="5" t="str">
        <f>IFERROR(__xludf.DUMMYFUNCTION("TEXTJOIN("" | "",TRUE,IF(OR(D6819="""",E6819="""",I6819="""",J6819="""",H6819=""""),""ফাঁকা ঘর"",""""),IF(AND(C6819&lt;&gt;"""",D6819&lt;&gt;"""",C6819=D6819),""gloss=figurative"",""""),IF(LEN(D6819)&lt;15,""figurative ছোট"",""""),IF(AND(I6819=""Positive"",REGEXMATCH(H6"&amp;"819,""মূর্খ|ভণ্ড|প্রতার|অলস|লোভ|স্বার্থ|অক্ষম|অযোগ্য|বোকা|কৃপণ|হিংস"")),""valence-target অমিল"",""""),IF(COUNTIF($B:$B,B6819)&gt;1,""ডুপ্লিকেট"",""""))"),"")</f>
        <v/>
      </c>
      <c r="Q6819" s="5" t="str">
        <f t="shared" si="1"/>
        <v>২ পরে</v>
      </c>
    </row>
    <row r="6820">
      <c r="A6820" s="4">
        <v>4800.0</v>
      </c>
      <c r="B6820" s="2" t="s">
        <v>27730</v>
      </c>
      <c r="C6820" s="2" t="s">
        <v>27731</v>
      </c>
      <c r="D6820" s="2" t="s">
        <v>27732</v>
      </c>
      <c r="E6820" s="2" t="s">
        <v>27733</v>
      </c>
      <c r="F6820" s="2" t="b">
        <v>1</v>
      </c>
      <c r="G6820" s="2" t="b">
        <v>0</v>
      </c>
      <c r="H6820" s="2" t="s">
        <v>37</v>
      </c>
      <c r="I6820" s="2" t="s">
        <v>22</v>
      </c>
      <c r="J6820" s="2" t="s">
        <v>590</v>
      </c>
      <c r="K6820" s="2" t="s">
        <v>495</v>
      </c>
      <c r="L6820" s="13" t="s">
        <v>496</v>
      </c>
      <c r="M6820" s="2" t="s">
        <v>26</v>
      </c>
      <c r="N6820" s="29"/>
      <c r="O6820" s="29"/>
      <c r="P6820" s="5" t="str">
        <f>IFERROR(__xludf.DUMMYFUNCTION("TEXTJOIN("" | "",TRUE,IF(OR(D6820="""",E6820="""",I6820="""",J6820="""",H6820=""""),""ফাঁকা ঘর"",""""),IF(AND(C6820&lt;&gt;"""",D6820&lt;&gt;"""",C6820=D6820),""gloss=figurative"",""""),IF(LEN(D6820)&lt;15,""figurative ছোট"",""""),IF(AND(I6820=""Positive"",REGEXMATCH(H6"&amp;"820,""মূর্খ|ভণ্ড|প্রতার|অলস|লোভ|স্বার্থ|অক্ষম|অযোগ্য|বোকা|কৃপণ|হিংস"")),""valence-target অমিল"",""""),IF(COUNTIF($B:$B,B6820)&gt;1,""ডুপ্লিকেট"",""""))"),"")</f>
        <v/>
      </c>
      <c r="Q6820" s="5" t="str">
        <f t="shared" si="1"/>
        <v>২ পরে</v>
      </c>
    </row>
    <row r="6821">
      <c r="A6821" s="4">
        <v>4801.0</v>
      </c>
      <c r="B6821" s="2" t="s">
        <v>27734</v>
      </c>
      <c r="C6821" s="2" t="s">
        <v>27735</v>
      </c>
      <c r="D6821" s="2" t="s">
        <v>27736</v>
      </c>
      <c r="E6821" s="2" t="s">
        <v>27737</v>
      </c>
      <c r="F6821" s="2" t="b">
        <v>1</v>
      </c>
      <c r="G6821" s="2" t="b">
        <v>1</v>
      </c>
      <c r="H6821" s="2" t="s">
        <v>16453</v>
      </c>
      <c r="I6821" s="2" t="s">
        <v>32</v>
      </c>
      <c r="J6821" s="2" t="s">
        <v>1679</v>
      </c>
      <c r="K6821" s="2" t="s">
        <v>495</v>
      </c>
      <c r="L6821" s="13" t="s">
        <v>496</v>
      </c>
      <c r="M6821" s="2" t="s">
        <v>26</v>
      </c>
      <c r="N6821" s="29"/>
      <c r="O6821" s="29"/>
      <c r="P6821" s="5" t="str">
        <f>IFERROR(__xludf.DUMMYFUNCTION("TEXTJOIN("" | "",TRUE,IF(OR(D6821="""",E6821="""",I6821="""",J6821="""",H6821=""""),""ফাঁকা ঘর"",""""),IF(AND(C6821&lt;&gt;"""",D6821&lt;&gt;"""",C6821=D6821),""gloss=figurative"",""""),IF(LEN(D6821)&lt;15,""figurative ছোট"",""""),IF(AND(I6821=""Positive"",REGEXMATCH(H6"&amp;"821,""মূর্খ|ভণ্ড|প্রতার|অলস|লোভ|স্বার্থ|অক্ষম|অযোগ্য|বোকা|কৃপণ|হিংস"")),""valence-target অমিল"",""""),IF(COUNTIF($B:$B,B6821)&gt;1,""ডুপ্লিকেট"",""""))"),"")</f>
        <v/>
      </c>
      <c r="Q6821" s="5" t="str">
        <f t="shared" si="1"/>
        <v>২ পরে</v>
      </c>
    </row>
    <row r="6822">
      <c r="A6822" s="4">
        <v>4802.0</v>
      </c>
      <c r="B6822" s="2" t="s">
        <v>27738</v>
      </c>
      <c r="C6822" s="2" t="s">
        <v>27739</v>
      </c>
      <c r="D6822" s="2" t="s">
        <v>27740</v>
      </c>
      <c r="E6822" s="2" t="s">
        <v>27741</v>
      </c>
      <c r="F6822" s="2" t="b">
        <v>1</v>
      </c>
      <c r="G6822" s="2" t="b">
        <v>0</v>
      </c>
      <c r="H6822" s="2" t="s">
        <v>37</v>
      </c>
      <c r="I6822" s="2" t="s">
        <v>32</v>
      </c>
      <c r="J6822" s="2" t="s">
        <v>300</v>
      </c>
      <c r="K6822" s="2" t="s">
        <v>495</v>
      </c>
      <c r="L6822" s="13" t="s">
        <v>496</v>
      </c>
      <c r="M6822" s="2" t="s">
        <v>26</v>
      </c>
      <c r="N6822" s="29"/>
      <c r="O6822" s="29"/>
      <c r="P6822" s="5" t="str">
        <f>IFERROR(__xludf.DUMMYFUNCTION("TEXTJOIN("" | "",TRUE,IF(OR(D6822="""",E6822="""",I6822="""",J6822="""",H6822=""""),""ফাঁকা ঘর"",""""),IF(AND(C6822&lt;&gt;"""",D6822&lt;&gt;"""",C6822=D6822),""gloss=figurative"",""""),IF(LEN(D6822)&lt;15,""figurative ছোট"",""""),IF(AND(I6822=""Positive"",REGEXMATCH(H6"&amp;"822,""মূর্খ|ভণ্ড|প্রতার|অলস|লোভ|স্বার্থ|অক্ষম|অযোগ্য|বোকা|কৃপণ|হিংস"")),""valence-target অমিল"",""""),IF(COUNTIF($B:$B,B6822)&gt;1,""ডুপ্লিকেট"",""""))"),"")</f>
        <v/>
      </c>
      <c r="Q6822" s="5" t="str">
        <f t="shared" si="1"/>
        <v>২ পরে</v>
      </c>
    </row>
    <row r="6823">
      <c r="A6823" s="4">
        <v>4805.0</v>
      </c>
      <c r="B6823" s="2" t="s">
        <v>27742</v>
      </c>
      <c r="C6823" s="2" t="s">
        <v>27743</v>
      </c>
      <c r="D6823" s="2" t="s">
        <v>27744</v>
      </c>
      <c r="E6823" s="2" t="s">
        <v>27745</v>
      </c>
      <c r="F6823" s="2" t="b">
        <v>1</v>
      </c>
      <c r="G6823" s="2" t="b">
        <v>0</v>
      </c>
      <c r="H6823" s="2" t="s">
        <v>37</v>
      </c>
      <c r="I6823" s="2" t="s">
        <v>49</v>
      </c>
      <c r="J6823" s="2" t="s">
        <v>708</v>
      </c>
      <c r="K6823" s="2" t="s">
        <v>495</v>
      </c>
      <c r="L6823" s="13" t="s">
        <v>496</v>
      </c>
      <c r="M6823" s="2" t="s">
        <v>26</v>
      </c>
      <c r="N6823" s="29"/>
      <c r="O6823" s="29"/>
      <c r="P6823" s="5" t="str">
        <f>IFERROR(__xludf.DUMMYFUNCTION("TEXTJOIN("" | "",TRUE,IF(OR(D6823="""",E6823="""",I6823="""",J6823="""",H6823=""""),""ফাঁকা ঘর"",""""),IF(AND(C6823&lt;&gt;"""",D6823&lt;&gt;"""",C6823=D6823),""gloss=figurative"",""""),IF(LEN(D6823)&lt;15,""figurative ছোট"",""""),IF(AND(I6823=""Positive"",REGEXMATCH(H6"&amp;"823,""মূর্খ|ভণ্ড|প্রতার|অলস|লোভ|স্বার্থ|অক্ষম|অযোগ্য|বোকা|কৃপণ|হিংস"")),""valence-target অমিল"",""""),IF(COUNTIF($B:$B,B6823)&gt;1,""ডুপ্লিকেট"",""""))"),"")</f>
        <v/>
      </c>
      <c r="Q6823" s="5" t="str">
        <f t="shared" si="1"/>
        <v>২ পরে</v>
      </c>
    </row>
    <row r="6824">
      <c r="A6824" s="4">
        <v>4806.0</v>
      </c>
      <c r="B6824" s="2" t="s">
        <v>27746</v>
      </c>
      <c r="C6824" s="2" t="s">
        <v>27747</v>
      </c>
      <c r="D6824" s="2" t="s">
        <v>27748</v>
      </c>
      <c r="E6824" s="2" t="s">
        <v>27749</v>
      </c>
      <c r="F6824" s="2" t="b">
        <v>1</v>
      </c>
      <c r="G6824" s="2" t="b">
        <v>0</v>
      </c>
      <c r="H6824" s="2" t="s">
        <v>37</v>
      </c>
      <c r="I6824" s="2" t="s">
        <v>49</v>
      </c>
      <c r="J6824" s="2" t="s">
        <v>565</v>
      </c>
      <c r="K6824" s="2" t="s">
        <v>495</v>
      </c>
      <c r="L6824" s="13" t="s">
        <v>496</v>
      </c>
      <c r="M6824" s="2" t="s">
        <v>26</v>
      </c>
      <c r="N6824" s="29"/>
      <c r="O6824" s="29"/>
      <c r="P6824" s="5" t="str">
        <f>IFERROR(__xludf.DUMMYFUNCTION("TEXTJOIN("" | "",TRUE,IF(OR(D6824="""",E6824="""",I6824="""",J6824="""",H6824=""""),""ফাঁকা ঘর"",""""),IF(AND(C6824&lt;&gt;"""",D6824&lt;&gt;"""",C6824=D6824),""gloss=figurative"",""""),IF(LEN(D6824)&lt;15,""figurative ছোট"",""""),IF(AND(I6824=""Positive"",REGEXMATCH(H6"&amp;"824,""মূর্খ|ভণ্ড|প্রতার|অলস|লোভ|স্বার্থ|অক্ষম|অযোগ্য|বোকা|কৃপণ|হিংস"")),""valence-target অমিল"",""""),IF(COUNTIF($B:$B,B6824)&gt;1,""ডুপ্লিকেট"",""""))"),"")</f>
        <v/>
      </c>
      <c r="Q6824" s="5" t="str">
        <f t="shared" si="1"/>
        <v>২ পরে</v>
      </c>
    </row>
    <row r="6825">
      <c r="A6825" s="4">
        <v>4807.0</v>
      </c>
      <c r="B6825" s="2" t="s">
        <v>27750</v>
      </c>
      <c r="C6825" s="2" t="s">
        <v>27751</v>
      </c>
      <c r="D6825" s="2" t="s">
        <v>27752</v>
      </c>
      <c r="E6825" s="2" t="s">
        <v>27753</v>
      </c>
      <c r="F6825" s="2" t="b">
        <v>1</v>
      </c>
      <c r="G6825" s="2" t="b">
        <v>0</v>
      </c>
      <c r="H6825" s="2" t="s">
        <v>37</v>
      </c>
      <c r="I6825" s="2" t="s">
        <v>32</v>
      </c>
      <c r="J6825" s="2" t="s">
        <v>708</v>
      </c>
      <c r="K6825" s="2" t="s">
        <v>495</v>
      </c>
      <c r="L6825" s="13" t="s">
        <v>496</v>
      </c>
      <c r="M6825" s="2" t="s">
        <v>26</v>
      </c>
      <c r="N6825" s="29"/>
      <c r="O6825" s="29"/>
      <c r="P6825" s="5" t="str">
        <f>IFERROR(__xludf.DUMMYFUNCTION("TEXTJOIN("" | "",TRUE,IF(OR(D6825="""",E6825="""",I6825="""",J6825="""",H6825=""""),""ফাঁকা ঘর"",""""),IF(AND(C6825&lt;&gt;"""",D6825&lt;&gt;"""",C6825=D6825),""gloss=figurative"",""""),IF(LEN(D6825)&lt;15,""figurative ছোট"",""""),IF(AND(I6825=""Positive"",REGEXMATCH(H6"&amp;"825,""মূর্খ|ভণ্ড|প্রতার|অলস|লোভ|স্বার্থ|অক্ষম|অযোগ্য|বোকা|কৃপণ|হিংস"")),""valence-target অমিল"",""""),IF(COUNTIF($B:$B,B6825)&gt;1,""ডুপ্লিকেট"",""""))"),"")</f>
        <v/>
      </c>
      <c r="Q6825" s="5" t="str">
        <f t="shared" si="1"/>
        <v>২ পরে</v>
      </c>
    </row>
    <row r="6826">
      <c r="A6826" s="4">
        <v>4808.0</v>
      </c>
      <c r="B6826" s="2" t="s">
        <v>27754</v>
      </c>
      <c r="C6826" s="2" t="s">
        <v>27755</v>
      </c>
      <c r="D6826" s="2" t="s">
        <v>27756</v>
      </c>
      <c r="E6826" s="2" t="s">
        <v>27757</v>
      </c>
      <c r="F6826" s="2" t="b">
        <v>1</v>
      </c>
      <c r="G6826" s="2" t="b">
        <v>0</v>
      </c>
      <c r="H6826" s="2" t="s">
        <v>37</v>
      </c>
      <c r="I6826" s="2" t="s">
        <v>22</v>
      </c>
      <c r="J6826" s="2" t="s">
        <v>784</v>
      </c>
      <c r="K6826" s="2" t="s">
        <v>495</v>
      </c>
      <c r="L6826" s="13" t="s">
        <v>496</v>
      </c>
      <c r="M6826" s="2" t="s">
        <v>26</v>
      </c>
      <c r="N6826" s="29"/>
      <c r="O6826" s="29"/>
      <c r="P6826" s="5" t="str">
        <f>IFERROR(__xludf.DUMMYFUNCTION("TEXTJOIN("" | "",TRUE,IF(OR(D6826="""",E6826="""",I6826="""",J6826="""",H6826=""""),""ফাঁকা ঘর"",""""),IF(AND(C6826&lt;&gt;"""",D6826&lt;&gt;"""",C6826=D6826),""gloss=figurative"",""""),IF(LEN(D6826)&lt;15,""figurative ছোট"",""""),IF(AND(I6826=""Positive"",REGEXMATCH(H6"&amp;"826,""মূর্খ|ভণ্ড|প্রতার|অলস|লোভ|স্বার্থ|অক্ষম|অযোগ্য|বোকা|কৃপণ|হিংস"")),""valence-target অমিল"",""""),IF(COUNTIF($B:$B,B6826)&gt;1,""ডুপ্লিকেট"",""""))"),"")</f>
        <v/>
      </c>
      <c r="Q6826" s="5" t="str">
        <f t="shared" si="1"/>
        <v>২ পরে</v>
      </c>
    </row>
    <row r="6827">
      <c r="A6827" s="4">
        <v>4809.0</v>
      </c>
      <c r="B6827" s="2" t="s">
        <v>27758</v>
      </c>
      <c r="C6827" s="2" t="s">
        <v>27759</v>
      </c>
      <c r="D6827" s="2" t="s">
        <v>27760</v>
      </c>
      <c r="E6827" s="2" t="s">
        <v>27761</v>
      </c>
      <c r="F6827" s="2" t="b">
        <v>1</v>
      </c>
      <c r="G6827" s="2" t="b">
        <v>0</v>
      </c>
      <c r="H6827" s="2" t="s">
        <v>783</v>
      </c>
      <c r="I6827" s="2" t="s">
        <v>22</v>
      </c>
      <c r="J6827" s="2" t="s">
        <v>1962</v>
      </c>
      <c r="K6827" s="2" t="s">
        <v>495</v>
      </c>
      <c r="L6827" s="13" t="s">
        <v>496</v>
      </c>
      <c r="M6827" s="2" t="s">
        <v>26</v>
      </c>
      <c r="N6827" s="29"/>
      <c r="O6827" s="29"/>
      <c r="P6827" s="5" t="str">
        <f>IFERROR(__xludf.DUMMYFUNCTION("TEXTJOIN("" | "",TRUE,IF(OR(D6827="""",E6827="""",I6827="""",J6827="""",H6827=""""),""ফাঁকা ঘর"",""""),IF(AND(C6827&lt;&gt;"""",D6827&lt;&gt;"""",C6827=D6827),""gloss=figurative"",""""),IF(LEN(D6827)&lt;15,""figurative ছোট"",""""),IF(AND(I6827=""Positive"",REGEXMATCH(H6"&amp;"827,""মূর্খ|ভণ্ড|প্রতার|অলস|লোভ|স্বার্থ|অক্ষম|অযোগ্য|বোকা|কৃপণ|হিংস"")),""valence-target অমিল"",""""),IF(COUNTIF($B:$B,B6827)&gt;1,""ডুপ্লিকেট"",""""))"),"")</f>
        <v/>
      </c>
      <c r="Q6827" s="5" t="str">
        <f t="shared" si="1"/>
        <v>২ পরে</v>
      </c>
    </row>
    <row r="6828">
      <c r="A6828" s="4">
        <v>4810.0</v>
      </c>
      <c r="B6828" s="2" t="s">
        <v>27762</v>
      </c>
      <c r="C6828" s="2" t="s">
        <v>27763</v>
      </c>
      <c r="D6828" s="2" t="s">
        <v>27764</v>
      </c>
      <c r="E6828" s="2" t="s">
        <v>27765</v>
      </c>
      <c r="F6828" s="2" t="b">
        <v>1</v>
      </c>
      <c r="G6828" s="2" t="b">
        <v>0</v>
      </c>
      <c r="H6828" s="2" t="s">
        <v>37</v>
      </c>
      <c r="I6828" s="2" t="s">
        <v>22</v>
      </c>
      <c r="J6828" s="2" t="s">
        <v>21730</v>
      </c>
      <c r="K6828" s="2" t="s">
        <v>495</v>
      </c>
      <c r="L6828" s="13" t="s">
        <v>496</v>
      </c>
      <c r="M6828" s="2" t="s">
        <v>26</v>
      </c>
      <c r="N6828" s="29"/>
      <c r="O6828" s="29"/>
      <c r="P6828" s="5" t="str">
        <f>IFERROR(__xludf.DUMMYFUNCTION("TEXTJOIN("" | "",TRUE,IF(OR(D6828="""",E6828="""",I6828="""",J6828="""",H6828=""""),""ফাঁকা ঘর"",""""),IF(AND(C6828&lt;&gt;"""",D6828&lt;&gt;"""",C6828=D6828),""gloss=figurative"",""""),IF(LEN(D6828)&lt;15,""figurative ছোট"",""""),IF(AND(I6828=""Positive"",REGEXMATCH(H6"&amp;"828,""মূর্খ|ভণ্ড|প্রতার|অলস|লোভ|স্বার্থ|অক্ষম|অযোগ্য|বোকা|কৃপণ|হিংস"")),""valence-target অমিল"",""""),IF(COUNTIF($B:$B,B6828)&gt;1,""ডুপ্লিকেট"",""""))"),"")</f>
        <v/>
      </c>
      <c r="Q6828" s="5" t="str">
        <f t="shared" si="1"/>
        <v>২ পরে</v>
      </c>
    </row>
    <row r="6829">
      <c r="A6829" s="4">
        <v>4812.0</v>
      </c>
      <c r="B6829" s="2" t="s">
        <v>27766</v>
      </c>
      <c r="C6829" s="15" t="s">
        <v>27767</v>
      </c>
      <c r="D6829" s="2" t="s">
        <v>27768</v>
      </c>
      <c r="E6829" s="2" t="s">
        <v>27769</v>
      </c>
      <c r="F6829" s="2" t="b">
        <v>1</v>
      </c>
      <c r="G6829" s="2" t="b">
        <v>0</v>
      </c>
      <c r="H6829" s="2" t="s">
        <v>37</v>
      </c>
      <c r="I6829" s="2" t="s">
        <v>49</v>
      </c>
      <c r="J6829" s="2" t="s">
        <v>1018</v>
      </c>
      <c r="K6829" s="2" t="s">
        <v>495</v>
      </c>
      <c r="L6829" s="13" t="s">
        <v>496</v>
      </c>
      <c r="M6829" s="2" t="s">
        <v>26</v>
      </c>
      <c r="N6829" s="29"/>
      <c r="O6829" s="29"/>
      <c r="P6829" s="5" t="str">
        <f>IFERROR(__xludf.DUMMYFUNCTION("TEXTJOIN("" | "",TRUE,IF(OR(D6829="""",E6829="""",I6829="""",J6829="""",H6829=""""),""ফাঁকা ঘর"",""""),IF(AND(C6829&lt;&gt;"""",D6829&lt;&gt;"""",C6829=D6829),""gloss=figurative"",""""),IF(LEN(D6829)&lt;15,""figurative ছোট"",""""),IF(AND(I6829=""Positive"",REGEXMATCH(H6"&amp;"829,""মূর্খ|ভণ্ড|প্রতার|অলস|লোভ|স্বার্থ|অক্ষম|অযোগ্য|বোকা|কৃপণ|হিংস"")),""valence-target অমিল"",""""),IF(COUNTIF($B:$B,B6829)&gt;1,""ডুপ্লিকেট"",""""))"),"")</f>
        <v/>
      </c>
      <c r="Q6829" s="5" t="str">
        <f t="shared" si="1"/>
        <v>২ পরে</v>
      </c>
    </row>
    <row r="6830">
      <c r="A6830" s="4">
        <v>4815.0</v>
      </c>
      <c r="B6830" s="2" t="s">
        <v>27770</v>
      </c>
      <c r="C6830" s="2" t="s">
        <v>27771</v>
      </c>
      <c r="D6830" s="2" t="s">
        <v>27772</v>
      </c>
      <c r="E6830" s="2" t="s">
        <v>27773</v>
      </c>
      <c r="F6830" s="2" t="b">
        <v>1</v>
      </c>
      <c r="G6830" s="2" t="b">
        <v>0</v>
      </c>
      <c r="H6830" s="2" t="s">
        <v>749</v>
      </c>
      <c r="I6830" s="2" t="s">
        <v>22</v>
      </c>
      <c r="J6830" s="2" t="s">
        <v>723</v>
      </c>
      <c r="K6830" s="2" t="s">
        <v>495</v>
      </c>
      <c r="L6830" s="13" t="s">
        <v>496</v>
      </c>
      <c r="M6830" s="2" t="s">
        <v>26</v>
      </c>
      <c r="N6830" s="29"/>
      <c r="O6830" s="29"/>
      <c r="P6830" s="5" t="str">
        <f>IFERROR(__xludf.DUMMYFUNCTION("TEXTJOIN("" | "",TRUE,IF(OR(D6830="""",E6830="""",I6830="""",J6830="""",H6830=""""),""ফাঁকা ঘর"",""""),IF(AND(C6830&lt;&gt;"""",D6830&lt;&gt;"""",C6830=D6830),""gloss=figurative"",""""),IF(LEN(D6830)&lt;15,""figurative ছোট"",""""),IF(AND(I6830=""Positive"",REGEXMATCH(H6"&amp;"830,""মূর্খ|ভণ্ড|প্রতার|অলস|লোভ|স্বার্থ|অক্ষম|অযোগ্য|বোকা|কৃপণ|হিংস"")),""valence-target অমিল"",""""),IF(COUNTIF($B:$B,B6830)&gt;1,""ডুপ্লিকেট"",""""))"),"")</f>
        <v/>
      </c>
      <c r="Q6830" s="5" t="str">
        <f t="shared" si="1"/>
        <v>২ পরে</v>
      </c>
    </row>
    <row r="6831">
      <c r="A6831" s="4">
        <v>4816.0</v>
      </c>
      <c r="B6831" s="2" t="s">
        <v>27774</v>
      </c>
      <c r="C6831" s="15" t="s">
        <v>27775</v>
      </c>
      <c r="D6831" s="2" t="s">
        <v>27776</v>
      </c>
      <c r="E6831" s="2" t="s">
        <v>27777</v>
      </c>
      <c r="F6831" s="2" t="b">
        <v>1</v>
      </c>
      <c r="G6831" s="2" t="b">
        <v>0</v>
      </c>
      <c r="H6831" s="2" t="s">
        <v>37</v>
      </c>
      <c r="I6831" s="2" t="s">
        <v>32</v>
      </c>
      <c r="J6831" s="2" t="s">
        <v>934</v>
      </c>
      <c r="K6831" s="2" t="s">
        <v>495</v>
      </c>
      <c r="L6831" s="13" t="s">
        <v>496</v>
      </c>
      <c r="M6831" s="2" t="s">
        <v>26</v>
      </c>
      <c r="N6831" s="29"/>
      <c r="O6831" s="29"/>
      <c r="P6831" s="5" t="str">
        <f>IFERROR(__xludf.DUMMYFUNCTION("TEXTJOIN("" | "",TRUE,IF(OR(D6831="""",E6831="""",I6831="""",J6831="""",H6831=""""),""ফাঁকা ঘর"",""""),IF(AND(C6831&lt;&gt;"""",D6831&lt;&gt;"""",C6831=D6831),""gloss=figurative"",""""),IF(LEN(D6831)&lt;15,""figurative ছোট"",""""),IF(AND(I6831=""Positive"",REGEXMATCH(H6"&amp;"831,""মূর্খ|ভণ্ড|প্রতার|অলস|লোভ|স্বার্থ|অক্ষম|অযোগ্য|বোকা|কৃপণ|হিংস"")),""valence-target অমিল"",""""),IF(COUNTIF($B:$B,B6831)&gt;1,""ডুপ্লিকেট"",""""))"),"")</f>
        <v/>
      </c>
      <c r="Q6831" s="5" t="str">
        <f t="shared" si="1"/>
        <v>২ পরে</v>
      </c>
    </row>
    <row r="6832">
      <c r="A6832" s="4">
        <v>4818.0</v>
      </c>
      <c r="B6832" s="2" t="s">
        <v>27778</v>
      </c>
      <c r="C6832" s="2" t="s">
        <v>27778</v>
      </c>
      <c r="D6832" s="2" t="s">
        <v>27779</v>
      </c>
      <c r="E6832" s="2" t="s">
        <v>27780</v>
      </c>
      <c r="F6832" s="2" t="b">
        <v>1</v>
      </c>
      <c r="G6832" s="2" t="b">
        <v>0</v>
      </c>
      <c r="H6832" s="2" t="s">
        <v>37</v>
      </c>
      <c r="I6832" s="2" t="s">
        <v>32</v>
      </c>
      <c r="J6832" s="2" t="s">
        <v>1934</v>
      </c>
      <c r="K6832" s="2" t="s">
        <v>495</v>
      </c>
      <c r="L6832" s="13" t="s">
        <v>496</v>
      </c>
      <c r="M6832" s="2" t="s">
        <v>26</v>
      </c>
      <c r="N6832" s="29"/>
      <c r="O6832" s="29"/>
      <c r="P6832" s="5" t="str">
        <f>IFERROR(__xludf.DUMMYFUNCTION("TEXTJOIN("" | "",TRUE,IF(OR(D6832="""",E6832="""",I6832="""",J6832="""",H6832=""""),""ফাঁকা ঘর"",""""),IF(AND(C6832&lt;&gt;"""",D6832&lt;&gt;"""",C6832=D6832),""gloss=figurative"",""""),IF(LEN(D6832)&lt;15,""figurative ছোট"",""""),IF(AND(I6832=""Positive"",REGEXMATCH(H6"&amp;"832,""মূর্খ|ভণ্ড|প্রতার|অলস|লোভ|স্বার্থ|অক্ষম|অযোগ্য|বোকা|কৃপণ|হিংস"")),""valence-target অমিল"",""""),IF(COUNTIF($B:$B,B6832)&gt;1,""ডুপ্লিকেট"",""""))"),"")</f>
        <v/>
      </c>
      <c r="Q6832" s="5" t="str">
        <f t="shared" si="1"/>
        <v>২ পরে</v>
      </c>
    </row>
    <row r="6833">
      <c r="A6833" s="4">
        <v>4819.0</v>
      </c>
      <c r="B6833" s="2" t="s">
        <v>27781</v>
      </c>
      <c r="C6833" s="2" t="s">
        <v>27782</v>
      </c>
      <c r="D6833" s="2" t="s">
        <v>27783</v>
      </c>
      <c r="E6833" s="2" t="s">
        <v>27784</v>
      </c>
      <c r="F6833" s="2" t="b">
        <v>1</v>
      </c>
      <c r="G6833" s="2" t="b">
        <v>0</v>
      </c>
      <c r="H6833" s="2" t="s">
        <v>37</v>
      </c>
      <c r="I6833" s="2" t="s">
        <v>32</v>
      </c>
      <c r="J6833" s="2" t="s">
        <v>2273</v>
      </c>
      <c r="K6833" s="2" t="s">
        <v>495</v>
      </c>
      <c r="L6833" s="13" t="s">
        <v>496</v>
      </c>
      <c r="M6833" s="2" t="s">
        <v>26</v>
      </c>
      <c r="N6833" s="29"/>
      <c r="O6833" s="29"/>
      <c r="P6833" s="5" t="str">
        <f>IFERROR(__xludf.DUMMYFUNCTION("TEXTJOIN("" | "",TRUE,IF(OR(D6833="""",E6833="""",I6833="""",J6833="""",H6833=""""),""ফাঁকা ঘর"",""""),IF(AND(C6833&lt;&gt;"""",D6833&lt;&gt;"""",C6833=D6833),""gloss=figurative"",""""),IF(LEN(D6833)&lt;15,""figurative ছোট"",""""),IF(AND(I6833=""Positive"",REGEXMATCH(H6"&amp;"833,""মূর্খ|ভণ্ড|প্রতার|অলস|লোভ|স্বার্থ|অক্ষম|অযোগ্য|বোকা|কৃপণ|হিংস"")),""valence-target অমিল"",""""),IF(COUNTIF($B:$B,B6833)&gt;1,""ডুপ্লিকেট"",""""))"),"")</f>
        <v/>
      </c>
      <c r="Q6833" s="5" t="str">
        <f t="shared" si="1"/>
        <v>২ পরে</v>
      </c>
    </row>
    <row r="6834">
      <c r="A6834" s="4">
        <v>4820.0</v>
      </c>
      <c r="B6834" s="2" t="s">
        <v>27785</v>
      </c>
      <c r="C6834" s="2" t="s">
        <v>27786</v>
      </c>
      <c r="D6834" s="2" t="s">
        <v>27787</v>
      </c>
      <c r="E6834" s="2" t="s">
        <v>27788</v>
      </c>
      <c r="F6834" s="2" t="b">
        <v>1</v>
      </c>
      <c r="G6834" s="2" t="b">
        <v>0</v>
      </c>
      <c r="H6834" s="2" t="s">
        <v>37</v>
      </c>
      <c r="I6834" s="2" t="s">
        <v>49</v>
      </c>
      <c r="J6834" s="2" t="s">
        <v>729</v>
      </c>
      <c r="K6834" s="2" t="s">
        <v>495</v>
      </c>
      <c r="L6834" s="13" t="s">
        <v>496</v>
      </c>
      <c r="M6834" s="2" t="s">
        <v>26</v>
      </c>
      <c r="N6834" s="29"/>
      <c r="O6834" s="29"/>
      <c r="P6834" s="5" t="str">
        <f>IFERROR(__xludf.DUMMYFUNCTION("TEXTJOIN("" | "",TRUE,IF(OR(D6834="""",E6834="""",I6834="""",J6834="""",H6834=""""),""ফাঁকা ঘর"",""""),IF(AND(C6834&lt;&gt;"""",D6834&lt;&gt;"""",C6834=D6834),""gloss=figurative"",""""),IF(LEN(D6834)&lt;15,""figurative ছোট"",""""),IF(AND(I6834=""Positive"",REGEXMATCH(H6"&amp;"834,""মূর্খ|ভণ্ড|প্রতার|অলস|লোভ|স্বার্থ|অক্ষম|অযোগ্য|বোকা|কৃপণ|হিংস"")),""valence-target অমিল"",""""),IF(COUNTIF($B:$B,B6834)&gt;1,""ডুপ্লিকেট"",""""))"),"")</f>
        <v/>
      </c>
      <c r="Q6834" s="5" t="str">
        <f t="shared" si="1"/>
        <v>২ পরে</v>
      </c>
    </row>
    <row r="6835">
      <c r="A6835" s="4">
        <v>4821.0</v>
      </c>
      <c r="B6835" s="2" t="s">
        <v>27789</v>
      </c>
      <c r="C6835" s="2" t="s">
        <v>27790</v>
      </c>
      <c r="D6835" s="2" t="s">
        <v>27791</v>
      </c>
      <c r="E6835" s="2" t="s">
        <v>27792</v>
      </c>
      <c r="F6835" s="2" t="b">
        <v>1</v>
      </c>
      <c r="G6835" s="2" t="b">
        <v>0</v>
      </c>
      <c r="H6835" s="2" t="s">
        <v>37</v>
      </c>
      <c r="I6835" s="2" t="s">
        <v>22</v>
      </c>
      <c r="J6835" s="2" t="s">
        <v>3032</v>
      </c>
      <c r="K6835" s="2" t="s">
        <v>495</v>
      </c>
      <c r="L6835" s="13" t="s">
        <v>496</v>
      </c>
      <c r="M6835" s="2" t="s">
        <v>26</v>
      </c>
      <c r="N6835" s="29"/>
      <c r="O6835" s="29"/>
      <c r="P6835" s="5" t="str">
        <f>IFERROR(__xludf.DUMMYFUNCTION("TEXTJOIN("" | "",TRUE,IF(OR(D6835="""",E6835="""",I6835="""",J6835="""",H6835=""""),""ফাঁকা ঘর"",""""),IF(AND(C6835&lt;&gt;"""",D6835&lt;&gt;"""",C6835=D6835),""gloss=figurative"",""""),IF(LEN(D6835)&lt;15,""figurative ছোট"",""""),IF(AND(I6835=""Positive"",REGEXMATCH(H6"&amp;"835,""মূর্খ|ভণ্ড|প্রতার|অলস|লোভ|স্বার্থ|অক্ষম|অযোগ্য|বোকা|কৃপণ|হিংস"")),""valence-target অমিল"",""""),IF(COUNTIF($B:$B,B6835)&gt;1,""ডুপ্লিকেট"",""""))"),"")</f>
        <v/>
      </c>
      <c r="Q6835" s="5" t="str">
        <f t="shared" si="1"/>
        <v>২ পরে</v>
      </c>
    </row>
    <row r="6836">
      <c r="A6836" s="4">
        <v>4823.0</v>
      </c>
      <c r="B6836" s="2" t="s">
        <v>27793</v>
      </c>
      <c r="C6836" s="2" t="s">
        <v>27794</v>
      </c>
      <c r="D6836" s="2" t="s">
        <v>27795</v>
      </c>
      <c r="E6836" s="2" t="s">
        <v>27796</v>
      </c>
      <c r="F6836" s="2" t="b">
        <v>1</v>
      </c>
      <c r="G6836" s="2" t="b">
        <v>0</v>
      </c>
      <c r="H6836" s="2" t="s">
        <v>989</v>
      </c>
      <c r="I6836" s="2" t="s">
        <v>22</v>
      </c>
      <c r="J6836" s="2" t="s">
        <v>1305</v>
      </c>
      <c r="K6836" s="2" t="s">
        <v>495</v>
      </c>
      <c r="L6836" s="13" t="s">
        <v>496</v>
      </c>
      <c r="M6836" s="2" t="s">
        <v>26</v>
      </c>
      <c r="N6836" s="29"/>
      <c r="O6836" s="29"/>
      <c r="P6836" s="5" t="str">
        <f>IFERROR(__xludf.DUMMYFUNCTION("TEXTJOIN("" | "",TRUE,IF(OR(D6836="""",E6836="""",I6836="""",J6836="""",H6836=""""),""ফাঁকা ঘর"",""""),IF(AND(C6836&lt;&gt;"""",D6836&lt;&gt;"""",C6836=D6836),""gloss=figurative"",""""),IF(LEN(D6836)&lt;15,""figurative ছোট"",""""),IF(AND(I6836=""Positive"",REGEXMATCH(H6"&amp;"836,""মূর্খ|ভণ্ড|প্রতার|অলস|লোভ|স্বার্থ|অক্ষম|অযোগ্য|বোকা|কৃপণ|হিংস"")),""valence-target অমিল"",""""),IF(COUNTIF($B:$B,B6836)&gt;1,""ডুপ্লিকেট"",""""))"),"")</f>
        <v/>
      </c>
      <c r="Q6836" s="5" t="str">
        <f t="shared" si="1"/>
        <v>২ পরে</v>
      </c>
    </row>
    <row r="6837">
      <c r="A6837" s="4">
        <v>4825.0</v>
      </c>
      <c r="B6837" s="2" t="s">
        <v>27797</v>
      </c>
      <c r="C6837" s="2" t="s">
        <v>27797</v>
      </c>
      <c r="D6837" s="2" t="s">
        <v>27798</v>
      </c>
      <c r="E6837" s="2" t="s">
        <v>27799</v>
      </c>
      <c r="F6837" s="2" t="b">
        <v>1</v>
      </c>
      <c r="G6837" s="2" t="b">
        <v>1</v>
      </c>
      <c r="H6837" s="2" t="s">
        <v>1106</v>
      </c>
      <c r="I6837" s="2" t="s">
        <v>22</v>
      </c>
      <c r="J6837" s="2" t="s">
        <v>1876</v>
      </c>
      <c r="K6837" s="2" t="s">
        <v>495</v>
      </c>
      <c r="L6837" s="13" t="s">
        <v>496</v>
      </c>
      <c r="M6837" s="2" t="s">
        <v>26</v>
      </c>
      <c r="N6837" s="29"/>
      <c r="O6837" s="29"/>
      <c r="P6837" s="5" t="str">
        <f>IFERROR(__xludf.DUMMYFUNCTION("TEXTJOIN("" | "",TRUE,IF(OR(D6837="""",E6837="""",I6837="""",J6837="""",H6837=""""),""ফাঁকা ঘর"",""""),IF(AND(C6837&lt;&gt;"""",D6837&lt;&gt;"""",C6837=D6837),""gloss=figurative"",""""),IF(LEN(D6837)&lt;15,""figurative ছোট"",""""),IF(AND(I6837=""Positive"",REGEXMATCH(H6"&amp;"837,""মূর্খ|ভণ্ড|প্রতার|অলস|লোভ|স্বার্থ|অক্ষম|অযোগ্য|বোকা|কৃপণ|হিংস"")),""valence-target অমিল"",""""),IF(COUNTIF($B:$B,B6837)&gt;1,""ডুপ্লিকেট"",""""))"),"")</f>
        <v/>
      </c>
      <c r="Q6837" s="5" t="str">
        <f t="shared" si="1"/>
        <v>২ পরে</v>
      </c>
    </row>
    <row r="6838">
      <c r="A6838" s="4">
        <v>4826.0</v>
      </c>
      <c r="B6838" s="2" t="s">
        <v>27800</v>
      </c>
      <c r="C6838" s="2" t="s">
        <v>27801</v>
      </c>
      <c r="D6838" s="2" t="s">
        <v>27802</v>
      </c>
      <c r="E6838" s="2" t="s">
        <v>27803</v>
      </c>
      <c r="F6838" s="2" t="b">
        <v>1</v>
      </c>
      <c r="G6838" s="2" t="b">
        <v>0</v>
      </c>
      <c r="H6838" s="2" t="s">
        <v>37</v>
      </c>
      <c r="I6838" s="2" t="s">
        <v>22</v>
      </c>
      <c r="J6838" s="2" t="s">
        <v>1876</v>
      </c>
      <c r="K6838" s="2" t="s">
        <v>495</v>
      </c>
      <c r="L6838" s="13" t="s">
        <v>496</v>
      </c>
      <c r="M6838" s="2" t="s">
        <v>26</v>
      </c>
      <c r="N6838" s="29"/>
      <c r="O6838" s="29"/>
      <c r="P6838" s="5" t="str">
        <f>IFERROR(__xludf.DUMMYFUNCTION("TEXTJOIN("" | "",TRUE,IF(OR(D6838="""",E6838="""",I6838="""",J6838="""",H6838=""""),""ফাঁকা ঘর"",""""),IF(AND(C6838&lt;&gt;"""",D6838&lt;&gt;"""",C6838=D6838),""gloss=figurative"",""""),IF(LEN(D6838)&lt;15,""figurative ছোট"",""""),IF(AND(I6838=""Positive"",REGEXMATCH(H6"&amp;"838,""মূর্খ|ভণ্ড|প্রতার|অলস|লোভ|স্বার্থ|অক্ষম|অযোগ্য|বোকা|কৃপণ|হিংস"")),""valence-target অমিল"",""""),IF(COUNTIF($B:$B,B6838)&gt;1,""ডুপ্লিকেট"",""""))"),"")</f>
        <v/>
      </c>
      <c r="Q6838" s="5" t="str">
        <f t="shared" si="1"/>
        <v>২ পরে</v>
      </c>
    </row>
    <row r="6839">
      <c r="A6839" s="4">
        <v>4827.0</v>
      </c>
      <c r="B6839" s="2" t="s">
        <v>27804</v>
      </c>
      <c r="C6839" s="2" t="s">
        <v>27805</v>
      </c>
      <c r="D6839" s="2" t="s">
        <v>27806</v>
      </c>
      <c r="E6839" s="2" t="s">
        <v>27807</v>
      </c>
      <c r="F6839" s="2" t="b">
        <v>1</v>
      </c>
      <c r="G6839" s="2" t="b">
        <v>0</v>
      </c>
      <c r="H6839" s="2" t="s">
        <v>37</v>
      </c>
      <c r="I6839" s="2" t="s">
        <v>22</v>
      </c>
      <c r="J6839" s="2" t="s">
        <v>1843</v>
      </c>
      <c r="K6839" s="2" t="s">
        <v>495</v>
      </c>
      <c r="L6839" s="13" t="s">
        <v>496</v>
      </c>
      <c r="M6839" s="2" t="s">
        <v>26</v>
      </c>
      <c r="N6839" s="29"/>
      <c r="O6839" s="29"/>
      <c r="P6839" s="5" t="str">
        <f>IFERROR(__xludf.DUMMYFUNCTION("TEXTJOIN("" | "",TRUE,IF(OR(D6839="""",E6839="""",I6839="""",J6839="""",H6839=""""),""ফাঁকা ঘর"",""""),IF(AND(C6839&lt;&gt;"""",D6839&lt;&gt;"""",C6839=D6839),""gloss=figurative"",""""),IF(LEN(D6839)&lt;15,""figurative ছোট"",""""),IF(AND(I6839=""Positive"",REGEXMATCH(H6"&amp;"839,""মূর্খ|ভণ্ড|প্রতার|অলস|লোভ|স্বার্থ|অক্ষম|অযোগ্য|বোকা|কৃপণ|হিংস"")),""valence-target অমিল"",""""),IF(COUNTIF($B:$B,B6839)&gt;1,""ডুপ্লিকেট"",""""))"),"")</f>
        <v/>
      </c>
      <c r="Q6839" s="5" t="str">
        <f t="shared" si="1"/>
        <v>২ পরে</v>
      </c>
    </row>
    <row r="6840">
      <c r="A6840" s="4">
        <v>4828.0</v>
      </c>
      <c r="B6840" s="2" t="s">
        <v>27808</v>
      </c>
      <c r="C6840" s="2" t="s">
        <v>27809</v>
      </c>
      <c r="D6840" s="2" t="s">
        <v>27810</v>
      </c>
      <c r="E6840" s="2" t="s">
        <v>27811</v>
      </c>
      <c r="F6840" s="2" t="b">
        <v>1</v>
      </c>
      <c r="G6840" s="2" t="b">
        <v>0</v>
      </c>
      <c r="H6840" s="2" t="s">
        <v>37</v>
      </c>
      <c r="I6840" s="2" t="s">
        <v>22</v>
      </c>
      <c r="J6840" s="2" t="s">
        <v>766</v>
      </c>
      <c r="K6840" s="2" t="s">
        <v>495</v>
      </c>
      <c r="L6840" s="13" t="s">
        <v>496</v>
      </c>
      <c r="M6840" s="2" t="s">
        <v>26</v>
      </c>
      <c r="N6840" s="29"/>
      <c r="O6840" s="29"/>
      <c r="P6840" s="5" t="str">
        <f>IFERROR(__xludf.DUMMYFUNCTION("TEXTJOIN("" | "",TRUE,IF(OR(D6840="""",E6840="""",I6840="""",J6840="""",H6840=""""),""ফাঁকা ঘর"",""""),IF(AND(C6840&lt;&gt;"""",D6840&lt;&gt;"""",C6840=D6840),""gloss=figurative"",""""),IF(LEN(D6840)&lt;15,""figurative ছোট"",""""),IF(AND(I6840=""Positive"",REGEXMATCH(H6"&amp;"840,""মূর্খ|ভণ্ড|প্রতার|অলস|লোভ|স্বার্থ|অক্ষম|অযোগ্য|বোকা|কৃপণ|হিংস"")),""valence-target অমিল"",""""),IF(COUNTIF($B:$B,B6840)&gt;1,""ডুপ্লিকেট"",""""))"),"")</f>
        <v/>
      </c>
      <c r="Q6840" s="5" t="str">
        <f t="shared" si="1"/>
        <v>২ পরে</v>
      </c>
    </row>
    <row r="6841">
      <c r="A6841" s="4">
        <v>4829.0</v>
      </c>
      <c r="B6841" s="2" t="s">
        <v>27812</v>
      </c>
      <c r="C6841" s="2" t="s">
        <v>27813</v>
      </c>
      <c r="D6841" s="2" t="s">
        <v>27814</v>
      </c>
      <c r="E6841" s="2" t="s">
        <v>27815</v>
      </c>
      <c r="F6841" s="2" t="b">
        <v>1</v>
      </c>
      <c r="G6841" s="2" t="b">
        <v>0</v>
      </c>
      <c r="H6841" s="2" t="s">
        <v>37</v>
      </c>
      <c r="I6841" s="2" t="s">
        <v>22</v>
      </c>
      <c r="J6841" s="2" t="s">
        <v>4463</v>
      </c>
      <c r="K6841" s="2" t="s">
        <v>495</v>
      </c>
      <c r="L6841" s="13" t="s">
        <v>496</v>
      </c>
      <c r="M6841" s="2" t="s">
        <v>26</v>
      </c>
      <c r="N6841" s="29"/>
      <c r="O6841" s="29"/>
      <c r="P6841" s="5" t="str">
        <f>IFERROR(__xludf.DUMMYFUNCTION("TEXTJOIN("" | "",TRUE,IF(OR(D6841="""",E6841="""",I6841="""",J6841="""",H6841=""""),""ফাঁকা ঘর"",""""),IF(AND(C6841&lt;&gt;"""",D6841&lt;&gt;"""",C6841=D6841),""gloss=figurative"",""""),IF(LEN(D6841)&lt;15,""figurative ছোট"",""""),IF(AND(I6841=""Positive"",REGEXMATCH(H6"&amp;"841,""মূর্খ|ভণ্ড|প্রতার|অলস|লোভ|স্বার্থ|অক্ষম|অযোগ্য|বোকা|কৃপণ|হিংস"")),""valence-target অমিল"",""""),IF(COUNTIF($B:$B,B6841)&gt;1,""ডুপ্লিকেট"",""""))"),"")</f>
        <v/>
      </c>
      <c r="Q6841" s="5" t="str">
        <f t="shared" si="1"/>
        <v>২ পরে</v>
      </c>
    </row>
    <row r="6842">
      <c r="A6842" s="4">
        <v>4830.0</v>
      </c>
      <c r="B6842" s="2" t="s">
        <v>27816</v>
      </c>
      <c r="C6842" s="2" t="s">
        <v>27817</v>
      </c>
      <c r="D6842" s="2" t="s">
        <v>27818</v>
      </c>
      <c r="E6842" s="2" t="s">
        <v>27819</v>
      </c>
      <c r="F6842" s="2" t="b">
        <v>1</v>
      </c>
      <c r="G6842" s="2" t="b">
        <v>0</v>
      </c>
      <c r="H6842" s="2" t="s">
        <v>37</v>
      </c>
      <c r="I6842" s="2" t="s">
        <v>49</v>
      </c>
      <c r="J6842" s="2" t="s">
        <v>300</v>
      </c>
      <c r="K6842" s="2" t="s">
        <v>495</v>
      </c>
      <c r="L6842" s="13" t="s">
        <v>496</v>
      </c>
      <c r="M6842" s="2" t="s">
        <v>26</v>
      </c>
      <c r="N6842" s="29"/>
      <c r="O6842" s="29"/>
      <c r="P6842" s="5" t="str">
        <f>IFERROR(__xludf.DUMMYFUNCTION("TEXTJOIN("" | "",TRUE,IF(OR(D6842="""",E6842="""",I6842="""",J6842="""",H6842=""""),""ফাঁকা ঘর"",""""),IF(AND(C6842&lt;&gt;"""",D6842&lt;&gt;"""",C6842=D6842),""gloss=figurative"",""""),IF(LEN(D6842)&lt;15,""figurative ছোট"",""""),IF(AND(I6842=""Positive"",REGEXMATCH(H6"&amp;"842,""মূর্খ|ভণ্ড|প্রতার|অলস|লোভ|স্বার্থ|অক্ষম|অযোগ্য|বোকা|কৃপণ|হিংস"")),""valence-target অমিল"",""""),IF(COUNTIF($B:$B,B6842)&gt;1,""ডুপ্লিকেট"",""""))"),"")</f>
        <v/>
      </c>
      <c r="Q6842" s="5" t="str">
        <f t="shared" si="1"/>
        <v>২ পরে</v>
      </c>
    </row>
    <row r="6843">
      <c r="A6843" s="4">
        <v>4831.0</v>
      </c>
      <c r="B6843" s="2" t="s">
        <v>27820</v>
      </c>
      <c r="C6843" s="2" t="s">
        <v>27821</v>
      </c>
      <c r="D6843" s="2" t="s">
        <v>27822</v>
      </c>
      <c r="E6843" s="2" t="s">
        <v>27823</v>
      </c>
      <c r="F6843" s="2" t="b">
        <v>1</v>
      </c>
      <c r="G6843" s="2" t="b">
        <v>0</v>
      </c>
      <c r="H6843" s="2" t="s">
        <v>37</v>
      </c>
      <c r="I6843" s="2" t="s">
        <v>22</v>
      </c>
      <c r="J6843" s="2" t="s">
        <v>1363</v>
      </c>
      <c r="K6843" s="2" t="s">
        <v>495</v>
      </c>
      <c r="L6843" s="13" t="s">
        <v>496</v>
      </c>
      <c r="M6843" s="2" t="s">
        <v>26</v>
      </c>
      <c r="N6843" s="29"/>
      <c r="O6843" s="29"/>
      <c r="P6843" s="5" t="str">
        <f>IFERROR(__xludf.DUMMYFUNCTION("TEXTJOIN("" | "",TRUE,IF(OR(D6843="""",E6843="""",I6843="""",J6843="""",H6843=""""),""ফাঁকা ঘর"",""""),IF(AND(C6843&lt;&gt;"""",D6843&lt;&gt;"""",C6843=D6843),""gloss=figurative"",""""),IF(LEN(D6843)&lt;15,""figurative ছোট"",""""),IF(AND(I6843=""Positive"",REGEXMATCH(H6"&amp;"843,""মূর্খ|ভণ্ড|প্রতার|অলস|লোভ|স্বার্থ|অক্ষম|অযোগ্য|বোকা|কৃপণ|হিংস"")),""valence-target অমিল"",""""),IF(COUNTIF($B:$B,B6843)&gt;1,""ডুপ্লিকেট"",""""))"),"")</f>
        <v/>
      </c>
      <c r="Q6843" s="5" t="str">
        <f t="shared" si="1"/>
        <v>২ পরে</v>
      </c>
    </row>
    <row r="6844">
      <c r="A6844" s="4">
        <v>4832.0</v>
      </c>
      <c r="B6844" s="2" t="s">
        <v>27824</v>
      </c>
      <c r="C6844" s="2" t="s">
        <v>27824</v>
      </c>
      <c r="D6844" s="2" t="s">
        <v>27825</v>
      </c>
      <c r="E6844" s="2" t="s">
        <v>27826</v>
      </c>
      <c r="F6844" s="2" t="b">
        <v>1</v>
      </c>
      <c r="G6844" s="2" t="b">
        <v>0</v>
      </c>
      <c r="H6844" s="2" t="s">
        <v>37</v>
      </c>
      <c r="I6844" s="2" t="s">
        <v>22</v>
      </c>
      <c r="J6844" s="2" t="s">
        <v>1397</v>
      </c>
      <c r="K6844" s="2" t="s">
        <v>495</v>
      </c>
      <c r="L6844" s="13" t="s">
        <v>496</v>
      </c>
      <c r="M6844" s="2" t="s">
        <v>26</v>
      </c>
      <c r="N6844" s="29"/>
      <c r="O6844" s="29"/>
      <c r="P6844" s="5" t="str">
        <f>IFERROR(__xludf.DUMMYFUNCTION("TEXTJOIN("" | "",TRUE,IF(OR(D6844="""",E6844="""",I6844="""",J6844="""",H6844=""""),""ফাঁকা ঘর"",""""),IF(AND(C6844&lt;&gt;"""",D6844&lt;&gt;"""",C6844=D6844),""gloss=figurative"",""""),IF(LEN(D6844)&lt;15,""figurative ছোট"",""""),IF(AND(I6844=""Positive"",REGEXMATCH(H6"&amp;"844,""মূর্খ|ভণ্ড|প্রতার|অলস|লোভ|স্বার্থ|অক্ষম|অযোগ্য|বোকা|কৃপণ|হিংস"")),""valence-target অমিল"",""""),IF(COUNTIF($B:$B,B6844)&gt;1,""ডুপ্লিকেট"",""""))"),"")</f>
        <v/>
      </c>
      <c r="Q6844" s="5" t="str">
        <f t="shared" si="1"/>
        <v>২ পরে</v>
      </c>
    </row>
    <row r="6845">
      <c r="A6845" s="4">
        <v>4833.0</v>
      </c>
      <c r="B6845" s="2" t="s">
        <v>27827</v>
      </c>
      <c r="C6845" s="2" t="s">
        <v>27828</v>
      </c>
      <c r="D6845" s="2" t="s">
        <v>27829</v>
      </c>
      <c r="E6845" s="2" t="s">
        <v>27830</v>
      </c>
      <c r="F6845" s="2" t="b">
        <v>1</v>
      </c>
      <c r="G6845" s="2" t="b">
        <v>0</v>
      </c>
      <c r="H6845" s="2" t="s">
        <v>37</v>
      </c>
      <c r="I6845" s="2" t="s">
        <v>22</v>
      </c>
      <c r="J6845" s="2" t="s">
        <v>27831</v>
      </c>
      <c r="K6845" s="2" t="s">
        <v>495</v>
      </c>
      <c r="L6845" s="13" t="s">
        <v>496</v>
      </c>
      <c r="M6845" s="2" t="s">
        <v>26</v>
      </c>
      <c r="N6845" s="29"/>
      <c r="O6845" s="29"/>
      <c r="P6845" s="5" t="str">
        <f>IFERROR(__xludf.DUMMYFUNCTION("TEXTJOIN("" | "",TRUE,IF(OR(D6845="""",E6845="""",I6845="""",J6845="""",H6845=""""),""ফাঁকা ঘর"",""""),IF(AND(C6845&lt;&gt;"""",D6845&lt;&gt;"""",C6845=D6845),""gloss=figurative"",""""),IF(LEN(D6845)&lt;15,""figurative ছোট"",""""),IF(AND(I6845=""Positive"",REGEXMATCH(H6"&amp;"845,""মূর্খ|ভণ্ড|প্রতার|অলস|লোভ|স্বার্থ|অক্ষম|অযোগ্য|বোকা|কৃপণ|হিংস"")),""valence-target অমিল"",""""),IF(COUNTIF($B:$B,B6845)&gt;1,""ডুপ্লিকেট"",""""))"),"")</f>
        <v/>
      </c>
      <c r="Q6845" s="5" t="str">
        <f t="shared" si="1"/>
        <v>২ পরে</v>
      </c>
    </row>
    <row r="6846">
      <c r="A6846" s="4">
        <v>4835.0</v>
      </c>
      <c r="B6846" s="2" t="s">
        <v>27832</v>
      </c>
      <c r="C6846" s="2" t="s">
        <v>27833</v>
      </c>
      <c r="D6846" s="2" t="s">
        <v>27834</v>
      </c>
      <c r="E6846" s="2" t="s">
        <v>27835</v>
      </c>
      <c r="F6846" s="2" t="b">
        <v>1</v>
      </c>
      <c r="G6846" s="2" t="b">
        <v>0</v>
      </c>
      <c r="H6846" s="2" t="s">
        <v>1284</v>
      </c>
      <c r="I6846" s="2" t="s">
        <v>22</v>
      </c>
      <c r="J6846" s="2" t="s">
        <v>1471</v>
      </c>
      <c r="K6846" s="2" t="s">
        <v>495</v>
      </c>
      <c r="L6846" s="13" t="s">
        <v>496</v>
      </c>
      <c r="M6846" s="2" t="s">
        <v>26</v>
      </c>
      <c r="N6846" s="29"/>
      <c r="O6846" s="29"/>
      <c r="P6846" s="5" t="str">
        <f>IFERROR(__xludf.DUMMYFUNCTION("TEXTJOIN("" | "",TRUE,IF(OR(D6846="""",E6846="""",I6846="""",J6846="""",H6846=""""),""ফাঁকা ঘর"",""""),IF(AND(C6846&lt;&gt;"""",D6846&lt;&gt;"""",C6846=D6846),""gloss=figurative"",""""),IF(LEN(D6846)&lt;15,""figurative ছোট"",""""),IF(AND(I6846=""Positive"",REGEXMATCH(H6"&amp;"846,""মূর্খ|ভণ্ড|প্রতার|অলস|লোভ|স্বার্থ|অক্ষম|অযোগ্য|বোকা|কৃপণ|হিংস"")),""valence-target অমিল"",""""),IF(COUNTIF($B:$B,B6846)&gt;1,""ডুপ্লিকেট"",""""))"),"")</f>
        <v/>
      </c>
      <c r="Q6846" s="5" t="str">
        <f t="shared" si="1"/>
        <v>২ পরে</v>
      </c>
    </row>
    <row r="6847">
      <c r="A6847" s="4">
        <v>4837.0</v>
      </c>
      <c r="B6847" s="2" t="s">
        <v>27836</v>
      </c>
      <c r="C6847" s="2" t="s">
        <v>27837</v>
      </c>
      <c r="D6847" s="2" t="s">
        <v>27838</v>
      </c>
      <c r="E6847" s="2" t="s">
        <v>27839</v>
      </c>
      <c r="F6847" s="2" t="b">
        <v>1</v>
      </c>
      <c r="G6847" s="2" t="b">
        <v>0</v>
      </c>
      <c r="H6847" s="2" t="s">
        <v>37</v>
      </c>
      <c r="I6847" s="2" t="s">
        <v>22</v>
      </c>
      <c r="J6847" s="2" t="s">
        <v>3506</v>
      </c>
      <c r="K6847" s="2" t="s">
        <v>495</v>
      </c>
      <c r="L6847" s="13" t="s">
        <v>496</v>
      </c>
      <c r="M6847" s="2" t="s">
        <v>26</v>
      </c>
      <c r="N6847" s="29"/>
      <c r="O6847" s="29"/>
      <c r="P6847" s="5" t="str">
        <f>IFERROR(__xludf.DUMMYFUNCTION("TEXTJOIN("" | "",TRUE,IF(OR(D6847="""",E6847="""",I6847="""",J6847="""",H6847=""""),""ফাঁকা ঘর"",""""),IF(AND(C6847&lt;&gt;"""",D6847&lt;&gt;"""",C6847=D6847),""gloss=figurative"",""""),IF(LEN(D6847)&lt;15,""figurative ছোট"",""""),IF(AND(I6847=""Positive"",REGEXMATCH(H6"&amp;"847,""মূর্খ|ভণ্ড|প্রতার|অলস|লোভ|স্বার্থ|অক্ষম|অযোগ্য|বোকা|কৃপণ|হিংস"")),""valence-target অমিল"",""""),IF(COUNTIF($B:$B,B6847)&gt;1,""ডুপ্লিকেট"",""""))"),"")</f>
        <v/>
      </c>
      <c r="Q6847" s="5" t="str">
        <f t="shared" si="1"/>
        <v>২ পরে</v>
      </c>
    </row>
    <row r="6848">
      <c r="A6848" s="4">
        <v>4839.0</v>
      </c>
      <c r="B6848" s="2" t="s">
        <v>27840</v>
      </c>
      <c r="C6848" s="2" t="s">
        <v>27841</v>
      </c>
      <c r="D6848" s="2" t="s">
        <v>27842</v>
      </c>
      <c r="E6848" s="2" t="s">
        <v>27843</v>
      </c>
      <c r="F6848" s="2" t="b">
        <v>1</v>
      </c>
      <c r="G6848" s="2" t="b">
        <v>0</v>
      </c>
      <c r="H6848" s="2" t="s">
        <v>37</v>
      </c>
      <c r="I6848" s="2" t="s">
        <v>32</v>
      </c>
      <c r="J6848" s="2" t="s">
        <v>565</v>
      </c>
      <c r="K6848" s="2" t="s">
        <v>495</v>
      </c>
      <c r="L6848" s="13" t="s">
        <v>496</v>
      </c>
      <c r="M6848" s="2" t="s">
        <v>26</v>
      </c>
      <c r="N6848" s="29"/>
      <c r="O6848" s="29"/>
      <c r="P6848" s="5" t="str">
        <f>IFERROR(__xludf.DUMMYFUNCTION("TEXTJOIN("" | "",TRUE,IF(OR(D6848="""",E6848="""",I6848="""",J6848="""",H6848=""""),""ফাঁকা ঘর"",""""),IF(AND(C6848&lt;&gt;"""",D6848&lt;&gt;"""",C6848=D6848),""gloss=figurative"",""""),IF(LEN(D6848)&lt;15,""figurative ছোট"",""""),IF(AND(I6848=""Positive"",REGEXMATCH(H6"&amp;"848,""মূর্খ|ভণ্ড|প্রতার|অলস|লোভ|স্বার্থ|অক্ষম|অযোগ্য|বোকা|কৃপণ|হিংস"")),""valence-target অমিল"",""""),IF(COUNTIF($B:$B,B6848)&gt;1,""ডুপ্লিকেট"",""""))"),"")</f>
        <v/>
      </c>
      <c r="Q6848" s="5" t="str">
        <f t="shared" si="1"/>
        <v>২ পরে</v>
      </c>
    </row>
    <row r="6849">
      <c r="A6849" s="4">
        <v>4840.0</v>
      </c>
      <c r="B6849" s="2" t="s">
        <v>27844</v>
      </c>
      <c r="C6849" s="2" t="s">
        <v>27845</v>
      </c>
      <c r="D6849" s="2" t="s">
        <v>27846</v>
      </c>
      <c r="E6849" s="2" t="s">
        <v>27847</v>
      </c>
      <c r="F6849" s="2" t="b">
        <v>1</v>
      </c>
      <c r="G6849" s="2" t="b">
        <v>0</v>
      </c>
      <c r="H6849" s="2" t="s">
        <v>37</v>
      </c>
      <c r="I6849" s="2" t="s">
        <v>22</v>
      </c>
      <c r="J6849" s="2" t="s">
        <v>842</v>
      </c>
      <c r="K6849" s="2" t="s">
        <v>495</v>
      </c>
      <c r="L6849" s="13" t="s">
        <v>496</v>
      </c>
      <c r="M6849" s="2" t="s">
        <v>26</v>
      </c>
      <c r="N6849" s="29"/>
      <c r="O6849" s="29"/>
      <c r="P6849" s="5" t="str">
        <f>IFERROR(__xludf.DUMMYFUNCTION("TEXTJOIN("" | "",TRUE,IF(OR(D6849="""",E6849="""",I6849="""",J6849="""",H6849=""""),""ফাঁকা ঘর"",""""),IF(AND(C6849&lt;&gt;"""",D6849&lt;&gt;"""",C6849=D6849),""gloss=figurative"",""""),IF(LEN(D6849)&lt;15,""figurative ছোট"",""""),IF(AND(I6849=""Positive"",REGEXMATCH(H6"&amp;"849,""মূর্খ|ভণ্ড|প্রতার|অলস|লোভ|স্বার্থ|অক্ষম|অযোগ্য|বোকা|কৃপণ|হিংস"")),""valence-target অমিল"",""""),IF(COUNTIF($B:$B,B6849)&gt;1,""ডুপ্লিকেট"",""""))"),"")</f>
        <v/>
      </c>
      <c r="Q6849" s="5" t="str">
        <f t="shared" si="1"/>
        <v>২ পরে</v>
      </c>
    </row>
    <row r="6850">
      <c r="A6850" s="4">
        <v>4843.0</v>
      </c>
      <c r="B6850" s="2" t="s">
        <v>27848</v>
      </c>
      <c r="C6850" s="2" t="s">
        <v>27849</v>
      </c>
      <c r="D6850" s="2" t="s">
        <v>27850</v>
      </c>
      <c r="E6850" s="2" t="s">
        <v>27851</v>
      </c>
      <c r="F6850" s="2" t="b">
        <v>1</v>
      </c>
      <c r="G6850" s="2" t="b">
        <v>0</v>
      </c>
      <c r="H6850" s="2" t="s">
        <v>1334</v>
      </c>
      <c r="I6850" s="2" t="s">
        <v>22</v>
      </c>
      <c r="J6850" s="2" t="s">
        <v>820</v>
      </c>
      <c r="K6850" s="2" t="s">
        <v>495</v>
      </c>
      <c r="L6850" s="13" t="s">
        <v>496</v>
      </c>
      <c r="M6850" s="2" t="s">
        <v>26</v>
      </c>
      <c r="N6850" s="29"/>
      <c r="O6850" s="29"/>
      <c r="P6850" s="5" t="str">
        <f>IFERROR(__xludf.DUMMYFUNCTION("TEXTJOIN("" | "",TRUE,IF(OR(D6850="""",E6850="""",I6850="""",J6850="""",H6850=""""),""ফাঁকা ঘর"",""""),IF(AND(C6850&lt;&gt;"""",D6850&lt;&gt;"""",C6850=D6850),""gloss=figurative"",""""),IF(LEN(D6850)&lt;15,""figurative ছোট"",""""),IF(AND(I6850=""Positive"",REGEXMATCH(H6"&amp;"850,""মূর্খ|ভণ্ড|প্রতার|অলস|লোভ|স্বার্থ|অক্ষম|অযোগ্য|বোকা|কৃপণ|হিংস"")),""valence-target অমিল"",""""),IF(COUNTIF($B:$B,B6850)&gt;1,""ডুপ্লিকেট"",""""))"),"")</f>
        <v/>
      </c>
      <c r="Q6850" s="5" t="str">
        <f t="shared" si="1"/>
        <v>২ পরে</v>
      </c>
    </row>
    <row r="6851">
      <c r="A6851" s="4">
        <v>4845.0</v>
      </c>
      <c r="B6851" s="2" t="s">
        <v>27852</v>
      </c>
      <c r="C6851" s="2" t="s">
        <v>27852</v>
      </c>
      <c r="D6851" s="2" t="s">
        <v>27853</v>
      </c>
      <c r="E6851" s="2" t="s">
        <v>27854</v>
      </c>
      <c r="F6851" s="2" t="b">
        <v>1</v>
      </c>
      <c r="G6851" s="2" t="b">
        <v>0</v>
      </c>
      <c r="H6851" s="2" t="s">
        <v>37</v>
      </c>
      <c r="I6851" s="2" t="s">
        <v>32</v>
      </c>
      <c r="J6851" s="2" t="s">
        <v>891</v>
      </c>
      <c r="K6851" s="2" t="s">
        <v>495</v>
      </c>
      <c r="L6851" s="13" t="s">
        <v>496</v>
      </c>
      <c r="M6851" s="2" t="s">
        <v>26</v>
      </c>
      <c r="N6851" s="29"/>
      <c r="O6851" s="29"/>
      <c r="P6851" s="5" t="str">
        <f>IFERROR(__xludf.DUMMYFUNCTION("TEXTJOIN("" | "",TRUE,IF(OR(D6851="""",E6851="""",I6851="""",J6851="""",H6851=""""),""ফাঁকা ঘর"",""""),IF(AND(C6851&lt;&gt;"""",D6851&lt;&gt;"""",C6851=D6851),""gloss=figurative"",""""),IF(LEN(D6851)&lt;15,""figurative ছোট"",""""),IF(AND(I6851=""Positive"",REGEXMATCH(H6"&amp;"851,""মূর্খ|ভণ্ড|প্রতার|অলস|লোভ|স্বার্থ|অক্ষম|অযোগ্য|বোকা|কৃপণ|হিংস"")),""valence-target অমিল"",""""),IF(COUNTIF($B:$B,B6851)&gt;1,""ডুপ্লিকেট"",""""))"),"")</f>
        <v/>
      </c>
      <c r="Q6851" s="5" t="str">
        <f t="shared" si="1"/>
        <v>২ পরে</v>
      </c>
    </row>
    <row r="6852">
      <c r="A6852" s="4">
        <v>4846.0</v>
      </c>
      <c r="B6852" s="2" t="s">
        <v>27855</v>
      </c>
      <c r="C6852" s="2" t="s">
        <v>27856</v>
      </c>
      <c r="D6852" s="2" t="s">
        <v>27857</v>
      </c>
      <c r="E6852" s="2" t="s">
        <v>27858</v>
      </c>
      <c r="F6852" s="2" t="b">
        <v>1</v>
      </c>
      <c r="G6852" s="2" t="b">
        <v>0</v>
      </c>
      <c r="H6852" s="2" t="s">
        <v>37</v>
      </c>
      <c r="I6852" s="2" t="s">
        <v>22</v>
      </c>
      <c r="J6852" s="2" t="s">
        <v>27859</v>
      </c>
      <c r="K6852" s="2" t="s">
        <v>495</v>
      </c>
      <c r="L6852" s="13" t="s">
        <v>496</v>
      </c>
      <c r="M6852" s="2" t="s">
        <v>26</v>
      </c>
      <c r="N6852" s="29"/>
      <c r="O6852" s="29"/>
      <c r="P6852" s="5" t="str">
        <f>IFERROR(__xludf.DUMMYFUNCTION("TEXTJOIN("" | "",TRUE,IF(OR(D6852="""",E6852="""",I6852="""",J6852="""",H6852=""""),""ফাঁকা ঘর"",""""),IF(AND(C6852&lt;&gt;"""",D6852&lt;&gt;"""",C6852=D6852),""gloss=figurative"",""""),IF(LEN(D6852)&lt;15,""figurative ছোট"",""""),IF(AND(I6852=""Positive"",REGEXMATCH(H6"&amp;"852,""মূর্খ|ভণ্ড|প্রতার|অলস|লোভ|স্বার্থ|অক্ষম|অযোগ্য|বোকা|কৃপণ|হিংস"")),""valence-target অমিল"",""""),IF(COUNTIF($B:$B,B6852)&gt;1,""ডুপ্লিকেট"",""""))"),"")</f>
        <v/>
      </c>
      <c r="Q6852" s="5" t="str">
        <f t="shared" si="1"/>
        <v>২ পরে</v>
      </c>
    </row>
    <row r="6853">
      <c r="A6853" s="4">
        <v>4851.0</v>
      </c>
      <c r="B6853" s="2" t="s">
        <v>27860</v>
      </c>
      <c r="C6853" s="2" t="s">
        <v>27861</v>
      </c>
      <c r="D6853" s="2" t="s">
        <v>27862</v>
      </c>
      <c r="E6853" s="2" t="s">
        <v>27863</v>
      </c>
      <c r="F6853" s="2" t="b">
        <v>1</v>
      </c>
      <c r="G6853" s="2" t="b">
        <v>0</v>
      </c>
      <c r="H6853" s="2" t="s">
        <v>37</v>
      </c>
      <c r="I6853" s="2" t="s">
        <v>22</v>
      </c>
      <c r="J6853" s="2" t="s">
        <v>300</v>
      </c>
      <c r="K6853" s="2" t="s">
        <v>495</v>
      </c>
      <c r="L6853" s="13" t="s">
        <v>496</v>
      </c>
      <c r="M6853" s="2" t="s">
        <v>26</v>
      </c>
      <c r="N6853" s="29"/>
      <c r="O6853" s="29"/>
      <c r="P6853" s="5" t="str">
        <f>IFERROR(__xludf.DUMMYFUNCTION("TEXTJOIN("" | "",TRUE,IF(OR(D6853="""",E6853="""",I6853="""",J6853="""",H6853=""""),""ফাঁকা ঘর"",""""),IF(AND(C6853&lt;&gt;"""",D6853&lt;&gt;"""",C6853=D6853),""gloss=figurative"",""""),IF(LEN(D6853)&lt;15,""figurative ছোট"",""""),IF(AND(I6853=""Positive"",REGEXMATCH(H6"&amp;"853,""মূর্খ|ভণ্ড|প্রতার|অলস|লোভ|স্বার্থ|অক্ষম|অযোগ্য|বোকা|কৃপণ|হিংস"")),""valence-target অমিল"",""""),IF(COUNTIF($B:$B,B6853)&gt;1,""ডুপ্লিকেট"",""""))"),"")</f>
        <v/>
      </c>
      <c r="Q6853" s="5" t="str">
        <f t="shared" si="1"/>
        <v>২ পরে</v>
      </c>
    </row>
    <row r="6854">
      <c r="A6854" s="4">
        <v>4852.0</v>
      </c>
      <c r="B6854" s="2" t="s">
        <v>27864</v>
      </c>
      <c r="C6854" s="2" t="s">
        <v>27865</v>
      </c>
      <c r="D6854" s="2" t="s">
        <v>27866</v>
      </c>
      <c r="E6854" s="2" t="s">
        <v>27867</v>
      </c>
      <c r="F6854" s="2" t="b">
        <v>1</v>
      </c>
      <c r="G6854" s="2" t="b">
        <v>0</v>
      </c>
      <c r="H6854" s="2" t="s">
        <v>37</v>
      </c>
      <c r="I6854" s="2" t="s">
        <v>22</v>
      </c>
      <c r="J6854" s="2" t="s">
        <v>27868</v>
      </c>
      <c r="K6854" s="2" t="s">
        <v>495</v>
      </c>
      <c r="L6854" s="13" t="s">
        <v>496</v>
      </c>
      <c r="M6854" s="2" t="s">
        <v>26</v>
      </c>
      <c r="N6854" s="29"/>
      <c r="O6854" s="29"/>
      <c r="P6854" s="5" t="str">
        <f>IFERROR(__xludf.DUMMYFUNCTION("TEXTJOIN("" | "",TRUE,IF(OR(D6854="""",E6854="""",I6854="""",J6854="""",H6854=""""),""ফাঁকা ঘর"",""""),IF(AND(C6854&lt;&gt;"""",D6854&lt;&gt;"""",C6854=D6854),""gloss=figurative"",""""),IF(LEN(D6854)&lt;15,""figurative ছোট"",""""),IF(AND(I6854=""Positive"",REGEXMATCH(H6"&amp;"854,""মূর্খ|ভণ্ড|প্রতার|অলস|লোভ|স্বার্থ|অক্ষম|অযোগ্য|বোকা|কৃপণ|হিংস"")),""valence-target অমিল"",""""),IF(COUNTIF($B:$B,B6854)&gt;1,""ডুপ্লিকেট"",""""))"),"")</f>
        <v/>
      </c>
      <c r="Q6854" s="5" t="str">
        <f t="shared" si="1"/>
        <v>২ পরে</v>
      </c>
    </row>
    <row r="6855">
      <c r="A6855" s="4">
        <v>4854.0</v>
      </c>
      <c r="B6855" s="2" t="s">
        <v>27869</v>
      </c>
      <c r="C6855" s="2" t="s">
        <v>27870</v>
      </c>
      <c r="D6855" s="2" t="s">
        <v>27871</v>
      </c>
      <c r="E6855" s="2" t="s">
        <v>27872</v>
      </c>
      <c r="F6855" s="2" t="b">
        <v>1</v>
      </c>
      <c r="G6855" s="2" t="b">
        <v>0</v>
      </c>
      <c r="H6855" s="2" t="s">
        <v>37</v>
      </c>
      <c r="I6855" s="2" t="s">
        <v>22</v>
      </c>
      <c r="J6855" s="2" t="s">
        <v>836</v>
      </c>
      <c r="K6855" s="2" t="s">
        <v>495</v>
      </c>
      <c r="L6855" s="13" t="s">
        <v>496</v>
      </c>
      <c r="M6855" s="2" t="s">
        <v>26</v>
      </c>
      <c r="N6855" s="29"/>
      <c r="O6855" s="29"/>
      <c r="P6855" s="5" t="str">
        <f>IFERROR(__xludf.DUMMYFUNCTION("TEXTJOIN("" | "",TRUE,IF(OR(D6855="""",E6855="""",I6855="""",J6855="""",H6855=""""),""ফাঁকা ঘর"",""""),IF(AND(C6855&lt;&gt;"""",D6855&lt;&gt;"""",C6855=D6855),""gloss=figurative"",""""),IF(LEN(D6855)&lt;15,""figurative ছোট"",""""),IF(AND(I6855=""Positive"",REGEXMATCH(H6"&amp;"855,""মূর্খ|ভণ্ড|প্রতার|অলস|লোভ|স্বার্থ|অক্ষম|অযোগ্য|বোকা|কৃপণ|হিংস"")),""valence-target অমিল"",""""),IF(COUNTIF($B:$B,B6855)&gt;1,""ডুপ্লিকেট"",""""))"),"")</f>
        <v/>
      </c>
      <c r="Q6855" s="5" t="str">
        <f t="shared" si="1"/>
        <v>২ পরে</v>
      </c>
    </row>
    <row r="6856">
      <c r="A6856" s="4">
        <v>4855.0</v>
      </c>
      <c r="B6856" s="2" t="s">
        <v>27873</v>
      </c>
      <c r="C6856" s="2" t="s">
        <v>27874</v>
      </c>
      <c r="D6856" s="2" t="s">
        <v>27875</v>
      </c>
      <c r="E6856" s="2" t="s">
        <v>27876</v>
      </c>
      <c r="F6856" s="2" t="b">
        <v>1</v>
      </c>
      <c r="G6856" s="2" t="b">
        <v>0</v>
      </c>
      <c r="H6856" s="2" t="s">
        <v>37</v>
      </c>
      <c r="I6856" s="2" t="s">
        <v>22</v>
      </c>
      <c r="J6856" s="2" t="s">
        <v>1644</v>
      </c>
      <c r="K6856" s="2" t="s">
        <v>495</v>
      </c>
      <c r="L6856" s="13" t="s">
        <v>496</v>
      </c>
      <c r="M6856" s="2" t="s">
        <v>26</v>
      </c>
      <c r="N6856" s="29"/>
      <c r="O6856" s="29"/>
      <c r="P6856" s="5" t="str">
        <f>IFERROR(__xludf.DUMMYFUNCTION("TEXTJOIN("" | "",TRUE,IF(OR(D6856="""",E6856="""",I6856="""",J6856="""",H6856=""""),""ফাঁকা ঘর"",""""),IF(AND(C6856&lt;&gt;"""",D6856&lt;&gt;"""",C6856=D6856),""gloss=figurative"",""""),IF(LEN(D6856)&lt;15,""figurative ছোট"",""""),IF(AND(I6856=""Positive"",REGEXMATCH(H6"&amp;"856,""মূর্খ|ভণ্ড|প্রতার|অলস|লোভ|স্বার্থ|অক্ষম|অযোগ্য|বোকা|কৃপণ|হিংস"")),""valence-target অমিল"",""""),IF(COUNTIF($B:$B,B6856)&gt;1,""ডুপ্লিকেট"",""""))"),"")</f>
        <v/>
      </c>
      <c r="Q6856" s="5" t="str">
        <f t="shared" si="1"/>
        <v>২ পরে</v>
      </c>
    </row>
    <row r="6857">
      <c r="A6857" s="4">
        <v>4856.0</v>
      </c>
      <c r="B6857" s="2" t="s">
        <v>27877</v>
      </c>
      <c r="C6857" s="2" t="s">
        <v>27878</v>
      </c>
      <c r="D6857" s="2" t="s">
        <v>27879</v>
      </c>
      <c r="E6857" s="2" t="s">
        <v>27880</v>
      </c>
      <c r="F6857" s="2" t="b">
        <v>1</v>
      </c>
      <c r="G6857" s="2" t="b">
        <v>0</v>
      </c>
      <c r="H6857" s="2" t="s">
        <v>37</v>
      </c>
      <c r="I6857" s="2" t="s">
        <v>22</v>
      </c>
      <c r="J6857" s="2" t="s">
        <v>3501</v>
      </c>
      <c r="K6857" s="2" t="s">
        <v>495</v>
      </c>
      <c r="L6857" s="13" t="s">
        <v>496</v>
      </c>
      <c r="M6857" s="2" t="s">
        <v>26</v>
      </c>
      <c r="N6857" s="29"/>
      <c r="O6857" s="29"/>
      <c r="P6857" s="5" t="str">
        <f>IFERROR(__xludf.DUMMYFUNCTION("TEXTJOIN("" | "",TRUE,IF(OR(D6857="""",E6857="""",I6857="""",J6857="""",H6857=""""),""ফাঁকা ঘর"",""""),IF(AND(C6857&lt;&gt;"""",D6857&lt;&gt;"""",C6857=D6857),""gloss=figurative"",""""),IF(LEN(D6857)&lt;15,""figurative ছোট"",""""),IF(AND(I6857=""Positive"",REGEXMATCH(H6"&amp;"857,""মূর্খ|ভণ্ড|প্রতার|অলস|লোভ|স্বার্থ|অক্ষম|অযোগ্য|বোকা|কৃপণ|হিংস"")),""valence-target অমিল"",""""),IF(COUNTIF($B:$B,B6857)&gt;1,""ডুপ্লিকেট"",""""))"),"")</f>
        <v/>
      </c>
      <c r="Q6857" s="5" t="str">
        <f t="shared" si="1"/>
        <v>২ পরে</v>
      </c>
    </row>
    <row r="6858">
      <c r="A6858" s="4">
        <v>4857.0</v>
      </c>
      <c r="B6858" s="2" t="s">
        <v>27881</v>
      </c>
      <c r="C6858" s="2" t="s">
        <v>27881</v>
      </c>
      <c r="D6858" s="2" t="s">
        <v>27882</v>
      </c>
      <c r="E6858" s="2" t="s">
        <v>27883</v>
      </c>
      <c r="F6858" s="2" t="b">
        <v>1</v>
      </c>
      <c r="G6858" s="2" t="b">
        <v>0</v>
      </c>
      <c r="H6858" s="2" t="s">
        <v>37</v>
      </c>
      <c r="I6858" s="2" t="s">
        <v>22</v>
      </c>
      <c r="J6858" s="2" t="s">
        <v>784</v>
      </c>
      <c r="K6858" s="2" t="s">
        <v>495</v>
      </c>
      <c r="L6858" s="13" t="s">
        <v>496</v>
      </c>
      <c r="M6858" s="2" t="s">
        <v>26</v>
      </c>
      <c r="N6858" s="29"/>
      <c r="O6858" s="29"/>
      <c r="P6858" s="5" t="str">
        <f>IFERROR(__xludf.DUMMYFUNCTION("TEXTJOIN("" | "",TRUE,IF(OR(D6858="""",E6858="""",I6858="""",J6858="""",H6858=""""),""ফাঁকা ঘর"",""""),IF(AND(C6858&lt;&gt;"""",D6858&lt;&gt;"""",C6858=D6858),""gloss=figurative"",""""),IF(LEN(D6858)&lt;15,""figurative ছোট"",""""),IF(AND(I6858=""Positive"",REGEXMATCH(H6"&amp;"858,""মূর্খ|ভণ্ড|প্রতার|অলস|লোভ|স্বার্থ|অক্ষম|অযোগ্য|বোকা|কৃপণ|হিংস"")),""valence-target অমিল"",""""),IF(COUNTIF($B:$B,B6858)&gt;1,""ডুপ্লিকেট"",""""))"),"")</f>
        <v/>
      </c>
      <c r="Q6858" s="5" t="str">
        <f t="shared" si="1"/>
        <v>২ পরে</v>
      </c>
    </row>
    <row r="6859">
      <c r="A6859" s="4">
        <v>4858.0</v>
      </c>
      <c r="B6859" s="2" t="s">
        <v>27884</v>
      </c>
      <c r="C6859" s="2" t="s">
        <v>27885</v>
      </c>
      <c r="D6859" s="2" t="s">
        <v>27886</v>
      </c>
      <c r="E6859" s="2" t="s">
        <v>27887</v>
      </c>
      <c r="F6859" s="2" t="b">
        <v>1</v>
      </c>
      <c r="G6859" s="2" t="b">
        <v>0</v>
      </c>
      <c r="H6859" s="2" t="s">
        <v>37</v>
      </c>
      <c r="I6859" s="2" t="s">
        <v>22</v>
      </c>
      <c r="J6859" s="2" t="s">
        <v>855</v>
      </c>
      <c r="K6859" s="2" t="s">
        <v>495</v>
      </c>
      <c r="L6859" s="13" t="s">
        <v>496</v>
      </c>
      <c r="M6859" s="2" t="s">
        <v>26</v>
      </c>
      <c r="N6859" s="29"/>
      <c r="O6859" s="29"/>
      <c r="P6859" s="5" t="str">
        <f>IFERROR(__xludf.DUMMYFUNCTION("TEXTJOIN("" | "",TRUE,IF(OR(D6859="""",E6859="""",I6859="""",J6859="""",H6859=""""),""ফাঁকা ঘর"",""""),IF(AND(C6859&lt;&gt;"""",D6859&lt;&gt;"""",C6859=D6859),""gloss=figurative"",""""),IF(LEN(D6859)&lt;15,""figurative ছোট"",""""),IF(AND(I6859=""Positive"",REGEXMATCH(H6"&amp;"859,""মূর্খ|ভণ্ড|প্রতার|অলস|লোভ|স্বার্থ|অক্ষম|অযোগ্য|বোকা|কৃপণ|হিংস"")),""valence-target অমিল"",""""),IF(COUNTIF($B:$B,B6859)&gt;1,""ডুপ্লিকেট"",""""))"),"")</f>
        <v/>
      </c>
      <c r="Q6859" s="5" t="str">
        <f t="shared" si="1"/>
        <v>২ পরে</v>
      </c>
    </row>
    <row r="6860">
      <c r="A6860" s="4">
        <v>4859.0</v>
      </c>
      <c r="B6860" s="2" t="s">
        <v>27888</v>
      </c>
      <c r="C6860" s="2" t="s">
        <v>27889</v>
      </c>
      <c r="D6860" s="2" t="s">
        <v>27890</v>
      </c>
      <c r="E6860" s="2" t="s">
        <v>27891</v>
      </c>
      <c r="F6860" s="2" t="b">
        <v>1</v>
      </c>
      <c r="G6860" s="2" t="b">
        <v>0</v>
      </c>
      <c r="H6860" s="2" t="s">
        <v>37</v>
      </c>
      <c r="I6860" s="2" t="s">
        <v>22</v>
      </c>
      <c r="J6860" s="2" t="s">
        <v>836</v>
      </c>
      <c r="K6860" s="2" t="s">
        <v>495</v>
      </c>
      <c r="L6860" s="13" t="s">
        <v>496</v>
      </c>
      <c r="M6860" s="2" t="s">
        <v>26</v>
      </c>
      <c r="N6860" s="29"/>
      <c r="O6860" s="29"/>
      <c r="P6860" s="5" t="str">
        <f>IFERROR(__xludf.DUMMYFUNCTION("TEXTJOIN("" | "",TRUE,IF(OR(D6860="""",E6860="""",I6860="""",J6860="""",H6860=""""),""ফাঁকা ঘর"",""""),IF(AND(C6860&lt;&gt;"""",D6860&lt;&gt;"""",C6860=D6860),""gloss=figurative"",""""),IF(LEN(D6860)&lt;15,""figurative ছোট"",""""),IF(AND(I6860=""Positive"",REGEXMATCH(H6"&amp;"860,""মূর্খ|ভণ্ড|প্রতার|অলস|লোভ|স্বার্থ|অক্ষম|অযোগ্য|বোকা|কৃপণ|হিংস"")),""valence-target অমিল"",""""),IF(COUNTIF($B:$B,B6860)&gt;1,""ডুপ্লিকেট"",""""))"),"")</f>
        <v/>
      </c>
      <c r="Q6860" s="5" t="str">
        <f t="shared" si="1"/>
        <v>২ পরে</v>
      </c>
    </row>
    <row r="6861">
      <c r="A6861" s="4">
        <v>4860.0</v>
      </c>
      <c r="B6861" s="2" t="s">
        <v>27892</v>
      </c>
      <c r="C6861" s="2" t="s">
        <v>27893</v>
      </c>
      <c r="D6861" s="2" t="s">
        <v>27315</v>
      </c>
      <c r="E6861" s="2" t="s">
        <v>27894</v>
      </c>
      <c r="F6861" s="2" t="b">
        <v>1</v>
      </c>
      <c r="G6861" s="2" t="b">
        <v>0</v>
      </c>
      <c r="H6861" s="2" t="s">
        <v>1334</v>
      </c>
      <c r="I6861" s="2" t="s">
        <v>22</v>
      </c>
      <c r="J6861" s="2" t="s">
        <v>820</v>
      </c>
      <c r="K6861" s="2" t="s">
        <v>495</v>
      </c>
      <c r="L6861" s="13" t="s">
        <v>496</v>
      </c>
      <c r="M6861" s="2" t="s">
        <v>26</v>
      </c>
      <c r="N6861" s="29"/>
      <c r="O6861" s="29"/>
      <c r="P6861" s="5" t="str">
        <f>IFERROR(__xludf.DUMMYFUNCTION("TEXTJOIN("" | "",TRUE,IF(OR(D6861="""",E6861="""",I6861="""",J6861="""",H6861=""""),""ফাঁকা ঘর"",""""),IF(AND(C6861&lt;&gt;"""",D6861&lt;&gt;"""",C6861=D6861),""gloss=figurative"",""""),IF(LEN(D6861)&lt;15,""figurative ছোট"",""""),IF(AND(I6861=""Positive"",REGEXMATCH(H6"&amp;"861,""মূর্খ|ভণ্ড|প্রতার|অলস|লোভ|স্বার্থ|অক্ষম|অযোগ্য|বোকা|কৃপণ|হিংস"")),""valence-target অমিল"",""""),IF(COUNTIF($B:$B,B6861)&gt;1,""ডুপ্লিকেট"",""""))"),"")</f>
        <v/>
      </c>
      <c r="Q6861" s="5" t="str">
        <f t="shared" si="1"/>
        <v>২ পরে</v>
      </c>
    </row>
    <row r="6862">
      <c r="A6862" s="4">
        <v>4861.0</v>
      </c>
      <c r="B6862" s="2" t="s">
        <v>27895</v>
      </c>
      <c r="C6862" s="2" t="s">
        <v>27896</v>
      </c>
      <c r="D6862" s="2" t="s">
        <v>27897</v>
      </c>
      <c r="E6862" s="2" t="s">
        <v>27898</v>
      </c>
      <c r="F6862" s="2" t="b">
        <v>1</v>
      </c>
      <c r="G6862" s="2" t="b">
        <v>0</v>
      </c>
      <c r="H6862" s="2" t="s">
        <v>37</v>
      </c>
      <c r="I6862" s="2" t="s">
        <v>22</v>
      </c>
      <c r="J6862" s="2" t="s">
        <v>784</v>
      </c>
      <c r="K6862" s="2" t="s">
        <v>495</v>
      </c>
      <c r="L6862" s="13" t="s">
        <v>496</v>
      </c>
      <c r="M6862" s="2" t="s">
        <v>26</v>
      </c>
      <c r="N6862" s="29"/>
      <c r="O6862" s="29"/>
      <c r="P6862" s="5" t="str">
        <f>IFERROR(__xludf.DUMMYFUNCTION("TEXTJOIN("" | "",TRUE,IF(OR(D6862="""",E6862="""",I6862="""",J6862="""",H6862=""""),""ফাঁকা ঘর"",""""),IF(AND(C6862&lt;&gt;"""",D6862&lt;&gt;"""",C6862=D6862),""gloss=figurative"",""""),IF(LEN(D6862)&lt;15,""figurative ছোট"",""""),IF(AND(I6862=""Positive"",REGEXMATCH(H6"&amp;"862,""মূর্খ|ভণ্ড|প্রতার|অলস|লোভ|স্বার্থ|অক্ষম|অযোগ্য|বোকা|কৃপণ|হিংস"")),""valence-target অমিল"",""""),IF(COUNTIF($B:$B,B6862)&gt;1,""ডুপ্লিকেট"",""""))"),"")</f>
        <v/>
      </c>
      <c r="Q6862" s="5" t="str">
        <f t="shared" si="1"/>
        <v>২ পরে</v>
      </c>
    </row>
    <row r="6863">
      <c r="A6863" s="4">
        <v>4862.0</v>
      </c>
      <c r="B6863" s="2" t="s">
        <v>27899</v>
      </c>
      <c r="C6863" s="2" t="s">
        <v>27900</v>
      </c>
      <c r="D6863" s="2" t="s">
        <v>27901</v>
      </c>
      <c r="E6863" s="2" t="s">
        <v>27902</v>
      </c>
      <c r="F6863" s="2" t="b">
        <v>1</v>
      </c>
      <c r="G6863" s="2" t="b">
        <v>0</v>
      </c>
      <c r="H6863" s="2" t="s">
        <v>37</v>
      </c>
      <c r="I6863" s="2" t="s">
        <v>49</v>
      </c>
      <c r="J6863" s="2" t="s">
        <v>868</v>
      </c>
      <c r="K6863" s="2" t="s">
        <v>495</v>
      </c>
      <c r="L6863" s="13" t="s">
        <v>496</v>
      </c>
      <c r="M6863" s="2" t="s">
        <v>26</v>
      </c>
      <c r="N6863" s="29"/>
      <c r="O6863" s="29"/>
      <c r="P6863" s="5" t="str">
        <f>IFERROR(__xludf.DUMMYFUNCTION("TEXTJOIN("" | "",TRUE,IF(OR(D6863="""",E6863="""",I6863="""",J6863="""",H6863=""""),""ফাঁকা ঘর"",""""),IF(AND(C6863&lt;&gt;"""",D6863&lt;&gt;"""",C6863=D6863),""gloss=figurative"",""""),IF(LEN(D6863)&lt;15,""figurative ছোট"",""""),IF(AND(I6863=""Positive"",REGEXMATCH(H6"&amp;"863,""মূর্খ|ভণ্ড|প্রতার|অলস|লোভ|স্বার্থ|অক্ষম|অযোগ্য|বোকা|কৃপণ|হিংস"")),""valence-target অমিল"",""""),IF(COUNTIF($B:$B,B6863)&gt;1,""ডুপ্লিকেট"",""""))"),"")</f>
        <v/>
      </c>
      <c r="Q6863" s="5" t="str">
        <f t="shared" si="1"/>
        <v>২ পরে</v>
      </c>
    </row>
    <row r="6864">
      <c r="A6864" s="4">
        <v>4866.0</v>
      </c>
      <c r="B6864" s="2" t="s">
        <v>27903</v>
      </c>
      <c r="C6864" s="2" t="s">
        <v>27903</v>
      </c>
      <c r="D6864" s="2" t="s">
        <v>27904</v>
      </c>
      <c r="E6864" s="2" t="s">
        <v>27905</v>
      </c>
      <c r="F6864" s="2" t="b">
        <v>1</v>
      </c>
      <c r="G6864" s="2" t="b">
        <v>0</v>
      </c>
      <c r="H6864" s="2" t="s">
        <v>37</v>
      </c>
      <c r="I6864" s="2" t="s">
        <v>22</v>
      </c>
      <c r="J6864" s="2" t="s">
        <v>669</v>
      </c>
      <c r="K6864" s="2" t="s">
        <v>495</v>
      </c>
      <c r="L6864" s="13" t="s">
        <v>496</v>
      </c>
      <c r="M6864" s="2" t="s">
        <v>26</v>
      </c>
      <c r="N6864" s="29"/>
      <c r="O6864" s="29"/>
      <c r="P6864" s="5" t="str">
        <f>IFERROR(__xludf.DUMMYFUNCTION("TEXTJOIN("" | "",TRUE,IF(OR(D6864="""",E6864="""",I6864="""",J6864="""",H6864=""""),""ফাঁকা ঘর"",""""),IF(AND(C6864&lt;&gt;"""",D6864&lt;&gt;"""",C6864=D6864),""gloss=figurative"",""""),IF(LEN(D6864)&lt;15,""figurative ছোট"",""""),IF(AND(I6864=""Positive"",REGEXMATCH(H6"&amp;"864,""মূর্খ|ভণ্ড|প্রতার|অলস|লোভ|স্বার্থ|অক্ষম|অযোগ্য|বোকা|কৃপণ|হিংস"")),""valence-target অমিল"",""""),IF(COUNTIF($B:$B,B6864)&gt;1,""ডুপ্লিকেট"",""""))"),"")</f>
        <v/>
      </c>
      <c r="Q6864" s="5" t="str">
        <f t="shared" si="1"/>
        <v>২ পরে</v>
      </c>
    </row>
    <row r="6865">
      <c r="A6865" s="4">
        <v>4869.0</v>
      </c>
      <c r="B6865" s="2" t="s">
        <v>27906</v>
      </c>
      <c r="C6865" s="2" t="s">
        <v>27906</v>
      </c>
      <c r="D6865" s="2" t="s">
        <v>27907</v>
      </c>
      <c r="E6865" s="2" t="s">
        <v>27908</v>
      </c>
      <c r="F6865" s="2" t="b">
        <v>1</v>
      </c>
      <c r="G6865" s="2" t="b">
        <v>1</v>
      </c>
      <c r="H6865" s="2" t="s">
        <v>1106</v>
      </c>
      <c r="I6865" s="2" t="s">
        <v>22</v>
      </c>
      <c r="J6865" s="2" t="s">
        <v>1315</v>
      </c>
      <c r="K6865" s="2" t="s">
        <v>495</v>
      </c>
      <c r="L6865" s="13" t="s">
        <v>496</v>
      </c>
      <c r="M6865" s="2" t="s">
        <v>26</v>
      </c>
      <c r="N6865" s="29"/>
      <c r="O6865" s="29"/>
      <c r="P6865" s="5" t="str">
        <f>IFERROR(__xludf.DUMMYFUNCTION("TEXTJOIN("" | "",TRUE,IF(OR(D6865="""",E6865="""",I6865="""",J6865="""",H6865=""""),""ফাঁকা ঘর"",""""),IF(AND(C6865&lt;&gt;"""",D6865&lt;&gt;"""",C6865=D6865),""gloss=figurative"",""""),IF(LEN(D6865)&lt;15,""figurative ছোট"",""""),IF(AND(I6865=""Positive"",REGEXMATCH(H6"&amp;"865,""মূর্খ|ভণ্ড|প্রতার|অলস|লোভ|স্বার্থ|অক্ষম|অযোগ্য|বোকা|কৃপণ|হিংস"")),""valence-target অমিল"",""""),IF(COUNTIF($B:$B,B6865)&gt;1,""ডুপ্লিকেট"",""""))"),"")</f>
        <v/>
      </c>
      <c r="Q6865" s="5" t="str">
        <f t="shared" si="1"/>
        <v>২ পরে</v>
      </c>
    </row>
    <row r="6866">
      <c r="A6866" s="4">
        <v>4870.0</v>
      </c>
      <c r="B6866" s="2" t="s">
        <v>27909</v>
      </c>
      <c r="C6866" s="2" t="s">
        <v>27910</v>
      </c>
      <c r="D6866" s="2" t="s">
        <v>27911</v>
      </c>
      <c r="E6866" s="2" t="s">
        <v>27912</v>
      </c>
      <c r="F6866" s="2" t="b">
        <v>1</v>
      </c>
      <c r="G6866" s="2" t="b">
        <v>0</v>
      </c>
      <c r="H6866" s="2" t="s">
        <v>37</v>
      </c>
      <c r="I6866" s="2" t="s">
        <v>32</v>
      </c>
      <c r="J6866" s="2" t="s">
        <v>891</v>
      </c>
      <c r="K6866" s="2" t="s">
        <v>495</v>
      </c>
      <c r="L6866" s="13" t="s">
        <v>496</v>
      </c>
      <c r="M6866" s="2" t="s">
        <v>26</v>
      </c>
      <c r="N6866" s="29"/>
      <c r="O6866" s="29"/>
      <c r="P6866" s="5" t="str">
        <f>IFERROR(__xludf.DUMMYFUNCTION("TEXTJOIN("" | "",TRUE,IF(OR(D6866="""",E6866="""",I6866="""",J6866="""",H6866=""""),""ফাঁকা ঘর"",""""),IF(AND(C6866&lt;&gt;"""",D6866&lt;&gt;"""",C6866=D6866),""gloss=figurative"",""""),IF(LEN(D6866)&lt;15,""figurative ছোট"",""""),IF(AND(I6866=""Positive"",REGEXMATCH(H6"&amp;"866,""মূর্খ|ভণ্ড|প্রতার|অলস|লোভ|স্বার্থ|অক্ষম|অযোগ্য|বোকা|কৃপণ|হিংস"")),""valence-target অমিল"",""""),IF(COUNTIF($B:$B,B6866)&gt;1,""ডুপ্লিকেট"",""""))"),"")</f>
        <v/>
      </c>
      <c r="Q6866" s="5" t="str">
        <f t="shared" si="1"/>
        <v>২ পরে</v>
      </c>
    </row>
    <row r="6867">
      <c r="A6867" s="4">
        <v>4871.0</v>
      </c>
      <c r="B6867" s="2" t="s">
        <v>27913</v>
      </c>
      <c r="C6867" s="2" t="s">
        <v>27913</v>
      </c>
      <c r="D6867" s="2" t="s">
        <v>27914</v>
      </c>
      <c r="E6867" s="2" t="s">
        <v>27915</v>
      </c>
      <c r="F6867" s="2" t="b">
        <v>1</v>
      </c>
      <c r="G6867" s="2" t="b">
        <v>0</v>
      </c>
      <c r="H6867" s="2" t="s">
        <v>37</v>
      </c>
      <c r="I6867" s="2" t="s">
        <v>22</v>
      </c>
      <c r="J6867" s="2" t="s">
        <v>1630</v>
      </c>
      <c r="K6867" s="2" t="s">
        <v>495</v>
      </c>
      <c r="L6867" s="13" t="s">
        <v>496</v>
      </c>
      <c r="M6867" s="2" t="s">
        <v>26</v>
      </c>
      <c r="N6867" s="29"/>
      <c r="O6867" s="29"/>
      <c r="P6867" s="5" t="str">
        <f>IFERROR(__xludf.DUMMYFUNCTION("TEXTJOIN("" | "",TRUE,IF(OR(D6867="""",E6867="""",I6867="""",J6867="""",H6867=""""),""ফাঁকা ঘর"",""""),IF(AND(C6867&lt;&gt;"""",D6867&lt;&gt;"""",C6867=D6867),""gloss=figurative"",""""),IF(LEN(D6867)&lt;15,""figurative ছোট"",""""),IF(AND(I6867=""Positive"",REGEXMATCH(H6"&amp;"867,""মূর্খ|ভণ্ড|প্রতার|অলস|লোভ|স্বার্থ|অক্ষম|অযোগ্য|বোকা|কৃপণ|হিংস"")),""valence-target অমিল"",""""),IF(COUNTIF($B:$B,B6867)&gt;1,""ডুপ্লিকেট"",""""))"),"")</f>
        <v/>
      </c>
      <c r="Q6867" s="5" t="str">
        <f t="shared" si="1"/>
        <v>২ পরে</v>
      </c>
    </row>
    <row r="6868">
      <c r="A6868" s="4">
        <v>4872.0</v>
      </c>
      <c r="B6868" s="2" t="s">
        <v>27916</v>
      </c>
      <c r="C6868" s="2" t="s">
        <v>27917</v>
      </c>
      <c r="D6868" s="2" t="s">
        <v>27918</v>
      </c>
      <c r="E6868" s="2" t="s">
        <v>27919</v>
      </c>
      <c r="F6868" s="2" t="b">
        <v>1</v>
      </c>
      <c r="G6868" s="2" t="b">
        <v>0</v>
      </c>
      <c r="H6868" s="2" t="s">
        <v>37</v>
      </c>
      <c r="I6868" s="2" t="s">
        <v>22</v>
      </c>
      <c r="J6868" s="2" t="s">
        <v>16089</v>
      </c>
      <c r="K6868" s="2" t="s">
        <v>495</v>
      </c>
      <c r="L6868" s="13" t="s">
        <v>496</v>
      </c>
      <c r="M6868" s="2" t="s">
        <v>26</v>
      </c>
      <c r="N6868" s="29"/>
      <c r="O6868" s="29"/>
      <c r="P6868" s="5" t="str">
        <f>IFERROR(__xludf.DUMMYFUNCTION("TEXTJOIN("" | "",TRUE,IF(OR(D6868="""",E6868="""",I6868="""",J6868="""",H6868=""""),""ফাঁকা ঘর"",""""),IF(AND(C6868&lt;&gt;"""",D6868&lt;&gt;"""",C6868=D6868),""gloss=figurative"",""""),IF(LEN(D6868)&lt;15,""figurative ছোট"",""""),IF(AND(I6868=""Positive"",REGEXMATCH(H6"&amp;"868,""মূর্খ|ভণ্ড|প্রতার|অলস|লোভ|স্বার্থ|অক্ষম|অযোগ্য|বোকা|কৃপণ|হিংস"")),""valence-target অমিল"",""""),IF(COUNTIF($B:$B,B6868)&gt;1,""ডুপ্লিকেট"",""""))"),"")</f>
        <v/>
      </c>
      <c r="Q6868" s="5" t="str">
        <f t="shared" si="1"/>
        <v>২ পরে</v>
      </c>
    </row>
    <row r="6869">
      <c r="A6869" s="4">
        <v>4873.0</v>
      </c>
      <c r="B6869" s="2" t="s">
        <v>27920</v>
      </c>
      <c r="C6869" s="2" t="s">
        <v>27921</v>
      </c>
      <c r="D6869" s="2" t="s">
        <v>27922</v>
      </c>
      <c r="E6869" s="2" t="s">
        <v>27923</v>
      </c>
      <c r="F6869" s="2" t="b">
        <v>1</v>
      </c>
      <c r="G6869" s="2" t="b">
        <v>0</v>
      </c>
      <c r="H6869" s="2" t="s">
        <v>37</v>
      </c>
      <c r="I6869" s="2" t="s">
        <v>32</v>
      </c>
      <c r="J6869" s="2" t="s">
        <v>300</v>
      </c>
      <c r="K6869" s="2" t="s">
        <v>495</v>
      </c>
      <c r="L6869" s="13" t="s">
        <v>496</v>
      </c>
      <c r="M6869" s="2" t="s">
        <v>26</v>
      </c>
      <c r="N6869" s="29"/>
      <c r="O6869" s="29"/>
      <c r="P6869" s="5" t="str">
        <f>IFERROR(__xludf.DUMMYFUNCTION("TEXTJOIN("" | "",TRUE,IF(OR(D6869="""",E6869="""",I6869="""",J6869="""",H6869=""""),""ফাঁকা ঘর"",""""),IF(AND(C6869&lt;&gt;"""",D6869&lt;&gt;"""",C6869=D6869),""gloss=figurative"",""""),IF(LEN(D6869)&lt;15,""figurative ছোট"",""""),IF(AND(I6869=""Positive"",REGEXMATCH(H6"&amp;"869,""মূর্খ|ভণ্ড|প্রতার|অলস|লোভ|স্বার্থ|অক্ষম|অযোগ্য|বোকা|কৃপণ|হিংস"")),""valence-target অমিল"",""""),IF(COUNTIF($B:$B,B6869)&gt;1,""ডুপ্লিকেট"",""""))"),"")</f>
        <v/>
      </c>
      <c r="Q6869" s="5" t="str">
        <f t="shared" si="1"/>
        <v>২ পরে</v>
      </c>
    </row>
    <row r="6870">
      <c r="A6870" s="4">
        <v>4875.0</v>
      </c>
      <c r="B6870" s="2" t="s">
        <v>27924</v>
      </c>
      <c r="C6870" s="2" t="s">
        <v>27925</v>
      </c>
      <c r="D6870" s="2" t="s">
        <v>27926</v>
      </c>
      <c r="E6870" s="2" t="s">
        <v>27927</v>
      </c>
      <c r="F6870" s="2" t="b">
        <v>1</v>
      </c>
      <c r="G6870" s="2" t="b">
        <v>0</v>
      </c>
      <c r="H6870" s="2" t="s">
        <v>37</v>
      </c>
      <c r="I6870" s="2" t="s">
        <v>32</v>
      </c>
      <c r="J6870" s="2" t="s">
        <v>300</v>
      </c>
      <c r="K6870" s="2" t="s">
        <v>495</v>
      </c>
      <c r="L6870" s="13" t="s">
        <v>496</v>
      </c>
      <c r="M6870" s="2" t="s">
        <v>26</v>
      </c>
      <c r="N6870" s="29"/>
      <c r="O6870" s="29"/>
      <c r="P6870" s="5" t="str">
        <f>IFERROR(__xludf.DUMMYFUNCTION("TEXTJOIN("" | "",TRUE,IF(OR(D6870="""",E6870="""",I6870="""",J6870="""",H6870=""""),""ফাঁকা ঘর"",""""),IF(AND(C6870&lt;&gt;"""",D6870&lt;&gt;"""",C6870=D6870),""gloss=figurative"",""""),IF(LEN(D6870)&lt;15,""figurative ছোট"",""""),IF(AND(I6870=""Positive"",REGEXMATCH(H6"&amp;"870,""মূর্খ|ভণ্ড|প্রতার|অলস|লোভ|স্বার্থ|অক্ষম|অযোগ্য|বোকা|কৃপণ|হিংস"")),""valence-target অমিল"",""""),IF(COUNTIF($B:$B,B6870)&gt;1,""ডুপ্লিকেট"",""""))"),"")</f>
        <v/>
      </c>
      <c r="Q6870" s="5" t="str">
        <f t="shared" si="1"/>
        <v>২ পরে</v>
      </c>
    </row>
    <row r="6871">
      <c r="A6871" s="4">
        <v>4877.0</v>
      </c>
      <c r="B6871" s="2" t="s">
        <v>27928</v>
      </c>
      <c r="C6871" s="2" t="s">
        <v>27929</v>
      </c>
      <c r="D6871" s="2" t="s">
        <v>27930</v>
      </c>
      <c r="E6871" s="2" t="s">
        <v>27931</v>
      </c>
      <c r="F6871" s="2" t="b">
        <v>1</v>
      </c>
      <c r="G6871" s="2" t="b">
        <v>0</v>
      </c>
      <c r="H6871" s="2" t="s">
        <v>37</v>
      </c>
      <c r="I6871" s="2" t="s">
        <v>32</v>
      </c>
      <c r="J6871" s="2" t="s">
        <v>1060</v>
      </c>
      <c r="K6871" s="2" t="s">
        <v>495</v>
      </c>
      <c r="L6871" s="13" t="s">
        <v>496</v>
      </c>
      <c r="M6871" s="2" t="s">
        <v>26</v>
      </c>
      <c r="N6871" s="29"/>
      <c r="O6871" s="29"/>
      <c r="P6871" s="5" t="str">
        <f>IFERROR(__xludf.DUMMYFUNCTION("TEXTJOIN("" | "",TRUE,IF(OR(D6871="""",E6871="""",I6871="""",J6871="""",H6871=""""),""ফাঁকা ঘর"",""""),IF(AND(C6871&lt;&gt;"""",D6871&lt;&gt;"""",C6871=D6871),""gloss=figurative"",""""),IF(LEN(D6871)&lt;15,""figurative ছোট"",""""),IF(AND(I6871=""Positive"",REGEXMATCH(H6"&amp;"871,""মূর্খ|ভণ্ড|প্রতার|অলস|লোভ|স্বার্থ|অক্ষম|অযোগ্য|বোকা|কৃপণ|হিংস"")),""valence-target অমিল"",""""),IF(COUNTIF($B:$B,B6871)&gt;1,""ডুপ্লিকেট"",""""))"),"")</f>
        <v/>
      </c>
      <c r="Q6871" s="5" t="str">
        <f t="shared" si="1"/>
        <v>২ পরে</v>
      </c>
    </row>
    <row r="6872">
      <c r="A6872" s="4">
        <v>4878.0</v>
      </c>
      <c r="B6872" s="2" t="s">
        <v>27932</v>
      </c>
      <c r="C6872" s="2" t="s">
        <v>27933</v>
      </c>
      <c r="D6872" s="2" t="s">
        <v>27934</v>
      </c>
      <c r="E6872" s="2" t="s">
        <v>27935</v>
      </c>
      <c r="F6872" s="2" t="b">
        <v>1</v>
      </c>
      <c r="G6872" s="2" t="b">
        <v>0</v>
      </c>
      <c r="H6872" s="2" t="s">
        <v>37</v>
      </c>
      <c r="I6872" s="2" t="s">
        <v>22</v>
      </c>
      <c r="J6872" s="2" t="s">
        <v>6010</v>
      </c>
      <c r="K6872" s="2" t="s">
        <v>495</v>
      </c>
      <c r="L6872" s="13" t="s">
        <v>496</v>
      </c>
      <c r="M6872" s="2" t="s">
        <v>26</v>
      </c>
      <c r="N6872" s="29"/>
      <c r="O6872" s="29"/>
      <c r="P6872" s="5" t="str">
        <f>IFERROR(__xludf.DUMMYFUNCTION("TEXTJOIN("" | "",TRUE,IF(OR(D6872="""",E6872="""",I6872="""",J6872="""",H6872=""""),""ফাঁকা ঘর"",""""),IF(AND(C6872&lt;&gt;"""",D6872&lt;&gt;"""",C6872=D6872),""gloss=figurative"",""""),IF(LEN(D6872)&lt;15,""figurative ছোট"",""""),IF(AND(I6872=""Positive"",REGEXMATCH(H6"&amp;"872,""মূর্খ|ভণ্ড|প্রতার|অলস|লোভ|স্বার্থ|অক্ষম|অযোগ্য|বোকা|কৃপণ|হিংস"")),""valence-target অমিল"",""""),IF(COUNTIF($B:$B,B6872)&gt;1,""ডুপ্লিকেট"",""""))"),"")</f>
        <v/>
      </c>
      <c r="Q6872" s="5" t="str">
        <f t="shared" si="1"/>
        <v>২ পরে</v>
      </c>
    </row>
    <row r="6873">
      <c r="A6873" s="4">
        <v>4880.0</v>
      </c>
      <c r="B6873" s="2" t="s">
        <v>27936</v>
      </c>
      <c r="C6873" s="2" t="s">
        <v>27937</v>
      </c>
      <c r="D6873" s="2" t="s">
        <v>27938</v>
      </c>
      <c r="E6873" s="2" t="s">
        <v>27939</v>
      </c>
      <c r="F6873" s="2" t="b">
        <v>1</v>
      </c>
      <c r="G6873" s="2" t="b">
        <v>0</v>
      </c>
      <c r="H6873" s="2" t="s">
        <v>37</v>
      </c>
      <c r="I6873" s="2" t="s">
        <v>49</v>
      </c>
      <c r="J6873" s="2" t="s">
        <v>340</v>
      </c>
      <c r="K6873" s="2" t="s">
        <v>495</v>
      </c>
      <c r="L6873" s="13" t="s">
        <v>496</v>
      </c>
      <c r="M6873" s="2" t="s">
        <v>26</v>
      </c>
      <c r="N6873" s="29"/>
      <c r="O6873" s="29"/>
      <c r="P6873" s="5" t="str">
        <f>IFERROR(__xludf.DUMMYFUNCTION("TEXTJOIN("" | "",TRUE,IF(OR(D6873="""",E6873="""",I6873="""",J6873="""",H6873=""""),""ফাঁকা ঘর"",""""),IF(AND(C6873&lt;&gt;"""",D6873&lt;&gt;"""",C6873=D6873),""gloss=figurative"",""""),IF(LEN(D6873)&lt;15,""figurative ছোট"",""""),IF(AND(I6873=""Positive"",REGEXMATCH(H6"&amp;"873,""মূর্খ|ভণ্ড|প্রতার|অলস|লোভ|স্বার্থ|অক্ষম|অযোগ্য|বোকা|কৃপণ|হিংস"")),""valence-target অমিল"",""""),IF(COUNTIF($B:$B,B6873)&gt;1,""ডুপ্লিকেট"",""""))"),"")</f>
        <v/>
      </c>
      <c r="Q6873" s="5" t="str">
        <f t="shared" si="1"/>
        <v>২ পরে</v>
      </c>
    </row>
    <row r="6874">
      <c r="A6874" s="4">
        <v>4882.0</v>
      </c>
      <c r="B6874" s="2" t="s">
        <v>27940</v>
      </c>
      <c r="C6874" s="2" t="s">
        <v>27941</v>
      </c>
      <c r="D6874" s="2" t="s">
        <v>27942</v>
      </c>
      <c r="E6874" s="2" t="s">
        <v>16831</v>
      </c>
      <c r="F6874" s="2" t="b">
        <v>1</v>
      </c>
      <c r="G6874" s="2" t="b">
        <v>0</v>
      </c>
      <c r="H6874" s="2" t="s">
        <v>37</v>
      </c>
      <c r="I6874" s="2" t="s">
        <v>49</v>
      </c>
      <c r="J6874" s="2" t="s">
        <v>646</v>
      </c>
      <c r="K6874" s="2" t="s">
        <v>495</v>
      </c>
      <c r="L6874" s="13" t="s">
        <v>496</v>
      </c>
      <c r="M6874" s="2" t="s">
        <v>26</v>
      </c>
      <c r="N6874" s="29"/>
      <c r="O6874" s="29"/>
      <c r="P6874" s="5" t="str">
        <f>IFERROR(__xludf.DUMMYFUNCTION("TEXTJOIN("" | "",TRUE,IF(OR(D6874="""",E6874="""",I6874="""",J6874="""",H6874=""""),""ফাঁকা ঘর"",""""),IF(AND(C6874&lt;&gt;"""",D6874&lt;&gt;"""",C6874=D6874),""gloss=figurative"",""""),IF(LEN(D6874)&lt;15,""figurative ছোট"",""""),IF(AND(I6874=""Positive"",REGEXMATCH(H6"&amp;"874,""মূর্খ|ভণ্ড|প্রতার|অলস|লোভ|স্বার্থ|অক্ষম|অযোগ্য|বোকা|কৃপণ|হিংস"")),""valence-target অমিল"",""""),IF(COUNTIF($B:$B,B6874)&gt;1,""ডুপ্লিকেট"",""""))"),"")</f>
        <v/>
      </c>
      <c r="Q6874" s="5" t="str">
        <f t="shared" si="1"/>
        <v>২ পরে</v>
      </c>
    </row>
    <row r="6875">
      <c r="A6875" s="4">
        <v>4883.0</v>
      </c>
      <c r="B6875" s="2" t="s">
        <v>27943</v>
      </c>
      <c r="C6875" s="2" t="s">
        <v>27944</v>
      </c>
      <c r="D6875" s="2" t="s">
        <v>27945</v>
      </c>
      <c r="E6875" s="2" t="s">
        <v>27946</v>
      </c>
      <c r="F6875" s="2" t="b">
        <v>1</v>
      </c>
      <c r="G6875" s="2" t="b">
        <v>0</v>
      </c>
      <c r="H6875" s="2" t="s">
        <v>3161</v>
      </c>
      <c r="I6875" s="2" t="s">
        <v>22</v>
      </c>
      <c r="J6875" s="2" t="s">
        <v>601</v>
      </c>
      <c r="K6875" s="2" t="s">
        <v>495</v>
      </c>
      <c r="L6875" s="13" t="s">
        <v>496</v>
      </c>
      <c r="M6875" s="2" t="s">
        <v>26</v>
      </c>
      <c r="N6875" s="29"/>
      <c r="O6875" s="29"/>
      <c r="P6875" s="5" t="str">
        <f>IFERROR(__xludf.DUMMYFUNCTION("TEXTJOIN("" | "",TRUE,IF(OR(D6875="""",E6875="""",I6875="""",J6875="""",H6875=""""),""ফাঁকা ঘর"",""""),IF(AND(C6875&lt;&gt;"""",D6875&lt;&gt;"""",C6875=D6875),""gloss=figurative"",""""),IF(LEN(D6875)&lt;15,""figurative ছোট"",""""),IF(AND(I6875=""Positive"",REGEXMATCH(H6"&amp;"875,""মূর্খ|ভণ্ড|প্রতার|অলস|লোভ|স্বার্থ|অক্ষম|অযোগ্য|বোকা|কৃপণ|হিংস"")),""valence-target অমিল"",""""),IF(COUNTIF($B:$B,B6875)&gt;1,""ডুপ্লিকেট"",""""))"),"")</f>
        <v/>
      </c>
      <c r="Q6875" s="5" t="str">
        <f t="shared" si="1"/>
        <v>২ পরে</v>
      </c>
    </row>
    <row r="6876">
      <c r="A6876" s="4">
        <v>4885.0</v>
      </c>
      <c r="B6876" s="2" t="s">
        <v>27947</v>
      </c>
      <c r="C6876" s="2" t="s">
        <v>27948</v>
      </c>
      <c r="D6876" s="2" t="s">
        <v>27949</v>
      </c>
      <c r="E6876" s="2" t="s">
        <v>27950</v>
      </c>
      <c r="F6876" s="2" t="b">
        <v>1</v>
      </c>
      <c r="G6876" s="2" t="b">
        <v>0</v>
      </c>
      <c r="H6876" s="2" t="s">
        <v>37</v>
      </c>
      <c r="I6876" s="2" t="s">
        <v>22</v>
      </c>
      <c r="J6876" s="2" t="s">
        <v>3127</v>
      </c>
      <c r="K6876" s="2" t="s">
        <v>495</v>
      </c>
      <c r="L6876" s="13" t="s">
        <v>496</v>
      </c>
      <c r="M6876" s="2" t="s">
        <v>26</v>
      </c>
      <c r="N6876" s="29"/>
      <c r="O6876" s="29"/>
      <c r="P6876" s="5" t="str">
        <f>IFERROR(__xludf.DUMMYFUNCTION("TEXTJOIN("" | "",TRUE,IF(OR(D6876="""",E6876="""",I6876="""",J6876="""",H6876=""""),""ফাঁকা ঘর"",""""),IF(AND(C6876&lt;&gt;"""",D6876&lt;&gt;"""",C6876=D6876),""gloss=figurative"",""""),IF(LEN(D6876)&lt;15,""figurative ছোট"",""""),IF(AND(I6876=""Positive"",REGEXMATCH(H6"&amp;"876,""মূর্খ|ভণ্ড|প্রতার|অলস|লোভ|স্বার্থ|অক্ষম|অযোগ্য|বোকা|কৃপণ|হিংস"")),""valence-target অমিল"",""""),IF(COUNTIF($B:$B,B6876)&gt;1,""ডুপ্লিকেট"",""""))"),"")</f>
        <v/>
      </c>
      <c r="Q6876" s="5" t="str">
        <f t="shared" si="1"/>
        <v>২ পরে</v>
      </c>
    </row>
    <row r="6877">
      <c r="A6877" s="4">
        <v>4887.0</v>
      </c>
      <c r="B6877" s="2" t="s">
        <v>27951</v>
      </c>
      <c r="C6877" s="2" t="s">
        <v>27952</v>
      </c>
      <c r="D6877" s="2" t="s">
        <v>27953</v>
      </c>
      <c r="E6877" s="2" t="s">
        <v>27954</v>
      </c>
      <c r="F6877" s="2" t="b">
        <v>1</v>
      </c>
      <c r="G6877" s="2" t="b">
        <v>0</v>
      </c>
      <c r="H6877" s="2" t="s">
        <v>37</v>
      </c>
      <c r="I6877" s="2" t="s">
        <v>49</v>
      </c>
      <c r="J6877" s="2" t="s">
        <v>17258</v>
      </c>
      <c r="K6877" s="2" t="s">
        <v>495</v>
      </c>
      <c r="L6877" s="13" t="s">
        <v>496</v>
      </c>
      <c r="M6877" s="2" t="s">
        <v>26</v>
      </c>
      <c r="N6877" s="29"/>
      <c r="O6877" s="29"/>
      <c r="P6877" s="5" t="str">
        <f>IFERROR(__xludf.DUMMYFUNCTION("TEXTJOIN("" | "",TRUE,IF(OR(D6877="""",E6877="""",I6877="""",J6877="""",H6877=""""),""ফাঁকা ঘর"",""""),IF(AND(C6877&lt;&gt;"""",D6877&lt;&gt;"""",C6877=D6877),""gloss=figurative"",""""),IF(LEN(D6877)&lt;15,""figurative ছোট"",""""),IF(AND(I6877=""Positive"",REGEXMATCH(H6"&amp;"877,""মূর্খ|ভণ্ড|প্রতার|অলস|লোভ|স্বার্থ|অক্ষম|অযোগ্য|বোকা|কৃপণ|হিংস"")),""valence-target অমিল"",""""),IF(COUNTIF($B:$B,B6877)&gt;1,""ডুপ্লিকেট"",""""))"),"")</f>
        <v/>
      </c>
      <c r="Q6877" s="5" t="str">
        <f t="shared" si="1"/>
        <v>২ পরে</v>
      </c>
    </row>
    <row r="6878">
      <c r="A6878" s="4">
        <v>4888.0</v>
      </c>
      <c r="B6878" s="2" t="s">
        <v>27955</v>
      </c>
      <c r="C6878" s="2" t="s">
        <v>27956</v>
      </c>
      <c r="D6878" s="2" t="s">
        <v>27957</v>
      </c>
      <c r="E6878" s="2" t="s">
        <v>27958</v>
      </c>
      <c r="F6878" s="2" t="b">
        <v>1</v>
      </c>
      <c r="G6878" s="2" t="b">
        <v>0</v>
      </c>
      <c r="H6878" s="2" t="s">
        <v>37</v>
      </c>
      <c r="I6878" s="2" t="s">
        <v>22</v>
      </c>
      <c r="J6878" s="2" t="s">
        <v>820</v>
      </c>
      <c r="K6878" s="2" t="s">
        <v>495</v>
      </c>
      <c r="L6878" s="13" t="s">
        <v>496</v>
      </c>
      <c r="M6878" s="2" t="s">
        <v>26</v>
      </c>
      <c r="N6878" s="29"/>
      <c r="O6878" s="29"/>
      <c r="P6878" s="5" t="str">
        <f>IFERROR(__xludf.DUMMYFUNCTION("TEXTJOIN("" | "",TRUE,IF(OR(D6878="""",E6878="""",I6878="""",J6878="""",H6878=""""),""ফাঁকা ঘর"",""""),IF(AND(C6878&lt;&gt;"""",D6878&lt;&gt;"""",C6878=D6878),""gloss=figurative"",""""),IF(LEN(D6878)&lt;15,""figurative ছোট"",""""),IF(AND(I6878=""Positive"",REGEXMATCH(H6"&amp;"878,""মূর্খ|ভণ্ড|প্রতার|অলস|লোভ|স্বার্থ|অক্ষম|অযোগ্য|বোকা|কৃপণ|হিংস"")),""valence-target অমিল"",""""),IF(COUNTIF($B:$B,B6878)&gt;1,""ডুপ্লিকেট"",""""))"),"")</f>
        <v/>
      </c>
      <c r="Q6878" s="5" t="str">
        <f t="shared" si="1"/>
        <v>২ পরে</v>
      </c>
    </row>
    <row r="6879">
      <c r="A6879" s="4">
        <v>4889.0</v>
      </c>
      <c r="B6879" s="2" t="s">
        <v>10449</v>
      </c>
      <c r="C6879" s="2" t="s">
        <v>27959</v>
      </c>
      <c r="D6879" s="2" t="s">
        <v>27960</v>
      </c>
      <c r="E6879" s="2" t="s">
        <v>27961</v>
      </c>
      <c r="F6879" s="2" t="b">
        <v>1</v>
      </c>
      <c r="G6879" s="2" t="b">
        <v>0</v>
      </c>
      <c r="H6879" s="2" t="s">
        <v>37</v>
      </c>
      <c r="I6879" s="2" t="s">
        <v>32</v>
      </c>
      <c r="J6879" s="2" t="s">
        <v>2803</v>
      </c>
      <c r="K6879" s="2" t="s">
        <v>495</v>
      </c>
      <c r="L6879" s="13" t="s">
        <v>496</v>
      </c>
      <c r="M6879" s="2" t="s">
        <v>26</v>
      </c>
      <c r="N6879" s="29"/>
      <c r="O6879" s="29"/>
      <c r="P6879" s="5" t="str">
        <f>IFERROR(__xludf.DUMMYFUNCTION("TEXTJOIN("" | "",TRUE,IF(OR(D6879="""",E6879="""",I6879="""",J6879="""",H6879=""""),""ফাঁকা ঘর"",""""),IF(AND(C6879&lt;&gt;"""",D6879&lt;&gt;"""",C6879=D6879),""gloss=figurative"",""""),IF(LEN(D6879)&lt;15,""figurative ছোট"",""""),IF(AND(I6879=""Positive"",REGEXMATCH(H6"&amp;"879,""মূর্খ|ভণ্ড|প্রতার|অলস|লোভ|স্বার্থ|অক্ষম|অযোগ্য|বোকা|কৃপণ|হিংস"")),""valence-target অমিল"",""""),IF(COUNTIF($B:$B,B6879)&gt;1,""ডুপ্লিকেট"",""""))"),"")</f>
        <v/>
      </c>
      <c r="Q6879" s="5" t="str">
        <f t="shared" si="1"/>
        <v>২ পরে</v>
      </c>
    </row>
    <row r="6880">
      <c r="A6880" s="4">
        <v>4893.0</v>
      </c>
      <c r="B6880" s="2" t="s">
        <v>27962</v>
      </c>
      <c r="C6880" s="2" t="s">
        <v>27963</v>
      </c>
      <c r="D6880" s="2" t="s">
        <v>27964</v>
      </c>
      <c r="E6880" s="2" t="s">
        <v>27965</v>
      </c>
      <c r="F6880" s="2" t="b">
        <v>1</v>
      </c>
      <c r="G6880" s="2" t="b">
        <v>0</v>
      </c>
      <c r="H6880" s="2" t="s">
        <v>23013</v>
      </c>
      <c r="I6880" s="2" t="s">
        <v>22</v>
      </c>
      <c r="J6880" s="2" t="s">
        <v>836</v>
      </c>
      <c r="K6880" s="2" t="s">
        <v>495</v>
      </c>
      <c r="L6880" s="13" t="s">
        <v>496</v>
      </c>
      <c r="M6880" s="2" t="s">
        <v>26</v>
      </c>
      <c r="N6880" s="29"/>
      <c r="O6880" s="29"/>
      <c r="P6880" s="5" t="str">
        <f>IFERROR(__xludf.DUMMYFUNCTION("TEXTJOIN("" | "",TRUE,IF(OR(D6880="""",E6880="""",I6880="""",J6880="""",H6880=""""),""ফাঁকা ঘর"",""""),IF(AND(C6880&lt;&gt;"""",D6880&lt;&gt;"""",C6880=D6880),""gloss=figurative"",""""),IF(LEN(D6880)&lt;15,""figurative ছোট"",""""),IF(AND(I6880=""Positive"",REGEXMATCH(H6"&amp;"880,""মূর্খ|ভণ্ড|প্রতার|অলস|লোভ|স্বার্থ|অক্ষম|অযোগ্য|বোকা|কৃপণ|হিংস"")),""valence-target অমিল"",""""),IF(COUNTIF($B:$B,B6880)&gt;1,""ডুপ্লিকেট"",""""))"),"")</f>
        <v/>
      </c>
      <c r="Q6880" s="5" t="str">
        <f t="shared" si="1"/>
        <v>২ পরে</v>
      </c>
    </row>
    <row r="6881">
      <c r="A6881" s="4">
        <v>4895.0</v>
      </c>
      <c r="B6881" s="2" t="s">
        <v>27966</v>
      </c>
      <c r="C6881" s="2" t="s">
        <v>27967</v>
      </c>
      <c r="D6881" s="2" t="s">
        <v>27968</v>
      </c>
      <c r="E6881" s="2" t="s">
        <v>27969</v>
      </c>
      <c r="F6881" s="2" t="b">
        <v>1</v>
      </c>
      <c r="G6881" s="2" t="b">
        <v>0</v>
      </c>
      <c r="H6881" s="2" t="s">
        <v>488</v>
      </c>
      <c r="I6881" s="2" t="s">
        <v>22</v>
      </c>
      <c r="J6881" s="2" t="s">
        <v>1438</v>
      </c>
      <c r="K6881" s="2" t="s">
        <v>495</v>
      </c>
      <c r="L6881" s="13" t="s">
        <v>496</v>
      </c>
      <c r="M6881" s="2" t="s">
        <v>26</v>
      </c>
      <c r="N6881" s="29"/>
      <c r="O6881" s="29"/>
      <c r="P6881" s="5" t="str">
        <f>IFERROR(__xludf.DUMMYFUNCTION("TEXTJOIN("" | "",TRUE,IF(OR(D6881="""",E6881="""",I6881="""",J6881="""",H6881=""""),""ফাঁকা ঘর"",""""),IF(AND(C6881&lt;&gt;"""",D6881&lt;&gt;"""",C6881=D6881),""gloss=figurative"",""""),IF(LEN(D6881)&lt;15,""figurative ছোট"",""""),IF(AND(I6881=""Positive"",REGEXMATCH(H6"&amp;"881,""মূর্খ|ভণ্ড|প্রতার|অলস|লোভ|স্বার্থ|অক্ষম|অযোগ্য|বোকা|কৃপণ|হিংস"")),""valence-target অমিল"",""""),IF(COUNTIF($B:$B,B6881)&gt;1,""ডুপ্লিকেট"",""""))"),"")</f>
        <v/>
      </c>
      <c r="Q6881" s="5" t="str">
        <f t="shared" si="1"/>
        <v>২ পরে</v>
      </c>
    </row>
    <row r="6882">
      <c r="A6882" s="4">
        <v>4896.0</v>
      </c>
      <c r="B6882" s="2" t="s">
        <v>27970</v>
      </c>
      <c r="C6882" s="2" t="s">
        <v>27971</v>
      </c>
      <c r="D6882" s="2" t="s">
        <v>27972</v>
      </c>
      <c r="E6882" s="2" t="s">
        <v>27973</v>
      </c>
      <c r="F6882" s="2" t="b">
        <v>1</v>
      </c>
      <c r="G6882" s="2" t="b">
        <v>0</v>
      </c>
      <c r="H6882" s="2" t="s">
        <v>37</v>
      </c>
      <c r="I6882" s="2" t="s">
        <v>22</v>
      </c>
      <c r="J6882" s="2" t="s">
        <v>836</v>
      </c>
      <c r="K6882" s="2" t="s">
        <v>495</v>
      </c>
      <c r="L6882" s="13" t="s">
        <v>496</v>
      </c>
      <c r="M6882" s="2" t="s">
        <v>26</v>
      </c>
      <c r="N6882" s="29"/>
      <c r="O6882" s="29"/>
      <c r="P6882" s="5" t="str">
        <f>IFERROR(__xludf.DUMMYFUNCTION("TEXTJOIN("" | "",TRUE,IF(OR(D6882="""",E6882="""",I6882="""",J6882="""",H6882=""""),""ফাঁকা ঘর"",""""),IF(AND(C6882&lt;&gt;"""",D6882&lt;&gt;"""",C6882=D6882),""gloss=figurative"",""""),IF(LEN(D6882)&lt;15,""figurative ছোট"",""""),IF(AND(I6882=""Positive"",REGEXMATCH(H6"&amp;"882,""মূর্খ|ভণ্ড|প্রতার|অলস|লোভ|স্বার্থ|অক্ষম|অযোগ্য|বোকা|কৃপণ|হিংস"")),""valence-target অমিল"",""""),IF(COUNTIF($B:$B,B6882)&gt;1,""ডুপ্লিকেট"",""""))"),"")</f>
        <v/>
      </c>
      <c r="Q6882" s="5" t="str">
        <f t="shared" si="1"/>
        <v>২ পরে</v>
      </c>
    </row>
    <row r="6883">
      <c r="A6883" s="4">
        <v>4897.0</v>
      </c>
      <c r="B6883" s="2" t="s">
        <v>27974</v>
      </c>
      <c r="C6883" s="2" t="s">
        <v>27975</v>
      </c>
      <c r="D6883" s="2" t="s">
        <v>27976</v>
      </c>
      <c r="E6883" s="2" t="s">
        <v>27977</v>
      </c>
      <c r="F6883" s="2" t="b">
        <v>1</v>
      </c>
      <c r="G6883" s="2" t="b">
        <v>0</v>
      </c>
      <c r="H6883" s="2" t="s">
        <v>37</v>
      </c>
      <c r="I6883" s="2" t="s">
        <v>22</v>
      </c>
      <c r="J6883" s="2" t="s">
        <v>640</v>
      </c>
      <c r="K6883" s="2" t="s">
        <v>495</v>
      </c>
      <c r="L6883" s="13" t="s">
        <v>496</v>
      </c>
      <c r="M6883" s="2" t="s">
        <v>26</v>
      </c>
      <c r="N6883" s="29"/>
      <c r="O6883" s="29"/>
      <c r="P6883" s="5" t="str">
        <f>IFERROR(__xludf.DUMMYFUNCTION("TEXTJOIN("" | "",TRUE,IF(OR(D6883="""",E6883="""",I6883="""",J6883="""",H6883=""""),""ফাঁকা ঘর"",""""),IF(AND(C6883&lt;&gt;"""",D6883&lt;&gt;"""",C6883=D6883),""gloss=figurative"",""""),IF(LEN(D6883)&lt;15,""figurative ছোট"",""""),IF(AND(I6883=""Positive"",REGEXMATCH(H6"&amp;"883,""মূর্খ|ভণ্ড|প্রতার|অলস|লোভ|স্বার্থ|অক্ষম|অযোগ্য|বোকা|কৃপণ|হিংস"")),""valence-target অমিল"",""""),IF(COUNTIF($B:$B,B6883)&gt;1,""ডুপ্লিকেট"",""""))"),"")</f>
        <v/>
      </c>
      <c r="Q6883" s="5" t="str">
        <f t="shared" si="1"/>
        <v>২ পরে</v>
      </c>
    </row>
    <row r="6884">
      <c r="A6884" s="4">
        <v>4898.0</v>
      </c>
      <c r="B6884" s="2" t="s">
        <v>9720</v>
      </c>
      <c r="C6884" s="2" t="s">
        <v>27978</v>
      </c>
      <c r="D6884" s="2" t="s">
        <v>27979</v>
      </c>
      <c r="E6884" s="2" t="s">
        <v>27980</v>
      </c>
      <c r="F6884" s="2" t="b">
        <v>1</v>
      </c>
      <c r="G6884" s="2" t="b">
        <v>0</v>
      </c>
      <c r="H6884" s="2" t="s">
        <v>37</v>
      </c>
      <c r="I6884" s="2" t="s">
        <v>49</v>
      </c>
      <c r="J6884" s="2" t="s">
        <v>708</v>
      </c>
      <c r="K6884" s="2" t="s">
        <v>495</v>
      </c>
      <c r="L6884" s="13" t="s">
        <v>496</v>
      </c>
      <c r="M6884" s="2" t="s">
        <v>26</v>
      </c>
      <c r="N6884" s="29"/>
      <c r="O6884" s="29"/>
      <c r="P6884" s="5" t="str">
        <f>IFERROR(__xludf.DUMMYFUNCTION("TEXTJOIN("" | "",TRUE,IF(OR(D6884="""",E6884="""",I6884="""",J6884="""",H6884=""""),""ফাঁকা ঘর"",""""),IF(AND(C6884&lt;&gt;"""",D6884&lt;&gt;"""",C6884=D6884),""gloss=figurative"",""""),IF(LEN(D6884)&lt;15,""figurative ছোট"",""""),IF(AND(I6884=""Positive"",REGEXMATCH(H6"&amp;"884,""মূর্খ|ভণ্ড|প্রতার|অলস|লোভ|স্বার্থ|অক্ষম|অযোগ্য|বোকা|কৃপণ|হিংস"")),""valence-target অমিল"",""""),IF(COUNTIF($B:$B,B6884)&gt;1,""ডুপ্লিকেট"",""""))"),"")</f>
        <v/>
      </c>
      <c r="Q6884" s="5" t="str">
        <f t="shared" si="1"/>
        <v>২ পরে</v>
      </c>
    </row>
    <row r="6885">
      <c r="A6885" s="4">
        <v>4899.0</v>
      </c>
      <c r="B6885" s="2" t="s">
        <v>27981</v>
      </c>
      <c r="C6885" s="2" t="s">
        <v>27982</v>
      </c>
      <c r="D6885" s="2" t="s">
        <v>27983</v>
      </c>
      <c r="E6885" s="2" t="s">
        <v>27984</v>
      </c>
      <c r="F6885" s="2" t="b">
        <v>1</v>
      </c>
      <c r="G6885" s="2" t="b">
        <v>0</v>
      </c>
      <c r="H6885" s="2" t="s">
        <v>37</v>
      </c>
      <c r="I6885" s="2" t="s">
        <v>22</v>
      </c>
      <c r="J6885" s="2" t="s">
        <v>1239</v>
      </c>
      <c r="K6885" s="2" t="s">
        <v>495</v>
      </c>
      <c r="L6885" s="13" t="s">
        <v>496</v>
      </c>
      <c r="M6885" s="2" t="s">
        <v>26</v>
      </c>
      <c r="N6885" s="29"/>
      <c r="O6885" s="29"/>
      <c r="P6885" s="5" t="str">
        <f>IFERROR(__xludf.DUMMYFUNCTION("TEXTJOIN("" | "",TRUE,IF(OR(D6885="""",E6885="""",I6885="""",J6885="""",H6885=""""),""ফাঁকা ঘর"",""""),IF(AND(C6885&lt;&gt;"""",D6885&lt;&gt;"""",C6885=D6885),""gloss=figurative"",""""),IF(LEN(D6885)&lt;15,""figurative ছোট"",""""),IF(AND(I6885=""Positive"",REGEXMATCH(H6"&amp;"885,""মূর্খ|ভণ্ড|প্রতার|অলস|লোভ|স্বার্থ|অক্ষম|অযোগ্য|বোকা|কৃপণ|হিংস"")),""valence-target অমিল"",""""),IF(COUNTIF($B:$B,B6885)&gt;1,""ডুপ্লিকেট"",""""))"),"")</f>
        <v/>
      </c>
      <c r="Q6885" s="5" t="str">
        <f t="shared" si="1"/>
        <v>২ পরে</v>
      </c>
    </row>
    <row r="6886">
      <c r="A6886" s="4">
        <v>4901.0</v>
      </c>
      <c r="B6886" s="2" t="s">
        <v>27985</v>
      </c>
      <c r="C6886" s="2" t="s">
        <v>27986</v>
      </c>
      <c r="D6886" s="2" t="s">
        <v>27987</v>
      </c>
      <c r="E6886" s="2" t="s">
        <v>27988</v>
      </c>
      <c r="F6886" s="2" t="b">
        <v>1</v>
      </c>
      <c r="G6886" s="2" t="b">
        <v>1</v>
      </c>
      <c r="H6886" s="2" t="s">
        <v>27989</v>
      </c>
      <c r="I6886" s="2" t="s">
        <v>22</v>
      </c>
      <c r="J6886" s="2" t="s">
        <v>43</v>
      </c>
      <c r="K6886" s="2" t="s">
        <v>495</v>
      </c>
      <c r="L6886" s="13" t="s">
        <v>496</v>
      </c>
      <c r="M6886" s="2" t="s">
        <v>26</v>
      </c>
      <c r="N6886" s="29"/>
      <c r="O6886" s="29"/>
      <c r="P6886" s="5" t="str">
        <f>IFERROR(__xludf.DUMMYFUNCTION("TEXTJOIN("" | "",TRUE,IF(OR(D6886="""",E6886="""",I6886="""",J6886="""",H6886=""""),""ফাঁকা ঘর"",""""),IF(AND(C6886&lt;&gt;"""",D6886&lt;&gt;"""",C6886=D6886),""gloss=figurative"",""""),IF(LEN(D6886)&lt;15,""figurative ছোট"",""""),IF(AND(I6886=""Positive"",REGEXMATCH(H6"&amp;"886,""মূর্খ|ভণ্ড|প্রতার|অলস|লোভ|স্বার্থ|অক্ষম|অযোগ্য|বোকা|কৃপণ|হিংস"")),""valence-target অমিল"",""""),IF(COUNTIF($B:$B,B6886)&gt;1,""ডুপ্লিকেট"",""""))"),"")</f>
        <v/>
      </c>
      <c r="Q6886" s="5" t="str">
        <f t="shared" si="1"/>
        <v>২ পরে</v>
      </c>
    </row>
    <row r="6887">
      <c r="A6887" s="4">
        <v>4902.0</v>
      </c>
      <c r="B6887" s="2" t="s">
        <v>17286</v>
      </c>
      <c r="C6887" s="2" t="s">
        <v>27990</v>
      </c>
      <c r="D6887" s="2" t="s">
        <v>27991</v>
      </c>
      <c r="E6887" s="2" t="s">
        <v>27992</v>
      </c>
      <c r="F6887" s="2" t="b">
        <v>1</v>
      </c>
      <c r="G6887" s="2" t="b">
        <v>0</v>
      </c>
      <c r="H6887" s="2" t="s">
        <v>37</v>
      </c>
      <c r="I6887" s="2" t="s">
        <v>22</v>
      </c>
      <c r="J6887" s="2" t="s">
        <v>978</v>
      </c>
      <c r="K6887" s="2" t="s">
        <v>495</v>
      </c>
      <c r="L6887" s="13" t="s">
        <v>496</v>
      </c>
      <c r="M6887" s="2" t="s">
        <v>26</v>
      </c>
      <c r="N6887" s="29"/>
      <c r="O6887" s="29"/>
      <c r="P6887" s="5" t="str">
        <f>IFERROR(__xludf.DUMMYFUNCTION("TEXTJOIN("" | "",TRUE,IF(OR(D6887="""",E6887="""",I6887="""",J6887="""",H6887=""""),""ফাঁকা ঘর"",""""),IF(AND(C6887&lt;&gt;"""",D6887&lt;&gt;"""",C6887=D6887),""gloss=figurative"",""""),IF(LEN(D6887)&lt;15,""figurative ছোট"",""""),IF(AND(I6887=""Positive"",REGEXMATCH(H6"&amp;"887,""মূর্খ|ভণ্ড|প্রতার|অলস|লোভ|স্বার্থ|অক্ষম|অযোগ্য|বোকা|কৃপণ|হিংস"")),""valence-target অমিল"",""""),IF(COUNTIF($B:$B,B6887)&gt;1,""ডুপ্লিকেট"",""""))"),"")</f>
        <v/>
      </c>
      <c r="Q6887" s="5" t="str">
        <f t="shared" si="1"/>
        <v>২ পরে</v>
      </c>
    </row>
    <row r="6888">
      <c r="A6888" s="4">
        <v>4903.0</v>
      </c>
      <c r="B6888" s="2" t="s">
        <v>27993</v>
      </c>
      <c r="C6888" s="2" t="s">
        <v>27994</v>
      </c>
      <c r="D6888" s="2" t="s">
        <v>27995</v>
      </c>
      <c r="E6888" s="2" t="s">
        <v>27996</v>
      </c>
      <c r="F6888" s="2" t="b">
        <v>1</v>
      </c>
      <c r="G6888" s="2" t="b">
        <v>0</v>
      </c>
      <c r="H6888" s="2" t="s">
        <v>37</v>
      </c>
      <c r="I6888" s="2" t="s">
        <v>32</v>
      </c>
      <c r="J6888" s="2" t="s">
        <v>1454</v>
      </c>
      <c r="K6888" s="2" t="s">
        <v>495</v>
      </c>
      <c r="L6888" s="13" t="s">
        <v>496</v>
      </c>
      <c r="M6888" s="2" t="s">
        <v>26</v>
      </c>
      <c r="N6888" s="29"/>
      <c r="O6888" s="29"/>
      <c r="P6888" s="5" t="str">
        <f>IFERROR(__xludf.DUMMYFUNCTION("TEXTJOIN("" | "",TRUE,IF(OR(D6888="""",E6888="""",I6888="""",J6888="""",H6888=""""),""ফাঁকা ঘর"",""""),IF(AND(C6888&lt;&gt;"""",D6888&lt;&gt;"""",C6888=D6888),""gloss=figurative"",""""),IF(LEN(D6888)&lt;15,""figurative ছোট"",""""),IF(AND(I6888=""Positive"",REGEXMATCH(H6"&amp;"888,""মূর্খ|ভণ্ড|প্রতার|অলস|লোভ|স্বার্থ|অক্ষম|অযোগ্য|বোকা|কৃপণ|হিংস"")),""valence-target অমিল"",""""),IF(COUNTIF($B:$B,B6888)&gt;1,""ডুপ্লিকেট"",""""))"),"")</f>
        <v/>
      </c>
      <c r="Q6888" s="5" t="str">
        <f t="shared" si="1"/>
        <v>২ পরে</v>
      </c>
    </row>
    <row r="6889">
      <c r="A6889" s="4">
        <v>4904.0</v>
      </c>
      <c r="B6889" s="2" t="s">
        <v>17296</v>
      </c>
      <c r="C6889" s="2" t="s">
        <v>27997</v>
      </c>
      <c r="D6889" s="2" t="s">
        <v>27998</v>
      </c>
      <c r="E6889" s="2" t="s">
        <v>27999</v>
      </c>
      <c r="F6889" s="2" t="b">
        <v>1</v>
      </c>
      <c r="G6889" s="2" t="b">
        <v>0</v>
      </c>
      <c r="H6889" s="2" t="s">
        <v>37</v>
      </c>
      <c r="I6889" s="2" t="s">
        <v>49</v>
      </c>
      <c r="J6889" s="2" t="s">
        <v>636</v>
      </c>
      <c r="K6889" s="2" t="s">
        <v>495</v>
      </c>
      <c r="L6889" s="13" t="s">
        <v>496</v>
      </c>
      <c r="M6889" s="2" t="s">
        <v>26</v>
      </c>
      <c r="N6889" s="29"/>
      <c r="O6889" s="29"/>
      <c r="P6889" s="5" t="str">
        <f>IFERROR(__xludf.DUMMYFUNCTION("TEXTJOIN("" | "",TRUE,IF(OR(D6889="""",E6889="""",I6889="""",J6889="""",H6889=""""),""ফাঁকা ঘর"",""""),IF(AND(C6889&lt;&gt;"""",D6889&lt;&gt;"""",C6889=D6889),""gloss=figurative"",""""),IF(LEN(D6889)&lt;15,""figurative ছোট"",""""),IF(AND(I6889=""Positive"",REGEXMATCH(H6"&amp;"889,""মূর্খ|ভণ্ড|প্রতার|অলস|লোভ|স্বার্থ|অক্ষম|অযোগ্য|বোকা|কৃপণ|হিংস"")),""valence-target অমিল"",""""),IF(COUNTIF($B:$B,B6889)&gt;1,""ডুপ্লিকেট"",""""))"),"")</f>
        <v/>
      </c>
      <c r="Q6889" s="5" t="str">
        <f t="shared" si="1"/>
        <v>২ পরে</v>
      </c>
    </row>
    <row r="6890">
      <c r="A6890" s="4">
        <v>4905.0</v>
      </c>
      <c r="B6890" s="2" t="s">
        <v>28000</v>
      </c>
      <c r="C6890" s="2" t="s">
        <v>28001</v>
      </c>
      <c r="D6890" s="2" t="s">
        <v>28002</v>
      </c>
      <c r="E6890" s="2" t="s">
        <v>28003</v>
      </c>
      <c r="F6890" s="2" t="b">
        <v>1</v>
      </c>
      <c r="G6890" s="2" t="b">
        <v>0</v>
      </c>
      <c r="H6890" s="2" t="s">
        <v>37</v>
      </c>
      <c r="I6890" s="2" t="s">
        <v>22</v>
      </c>
      <c r="J6890" s="2" t="s">
        <v>820</v>
      </c>
      <c r="K6890" s="2" t="s">
        <v>495</v>
      </c>
      <c r="L6890" s="13" t="s">
        <v>496</v>
      </c>
      <c r="M6890" s="2" t="s">
        <v>26</v>
      </c>
      <c r="N6890" s="29"/>
      <c r="O6890" s="29"/>
      <c r="P6890" s="5" t="str">
        <f>IFERROR(__xludf.DUMMYFUNCTION("TEXTJOIN("" | "",TRUE,IF(OR(D6890="""",E6890="""",I6890="""",J6890="""",H6890=""""),""ফাঁকা ঘর"",""""),IF(AND(C6890&lt;&gt;"""",D6890&lt;&gt;"""",C6890=D6890),""gloss=figurative"",""""),IF(LEN(D6890)&lt;15,""figurative ছোট"",""""),IF(AND(I6890=""Positive"",REGEXMATCH(H6"&amp;"890,""মূর্খ|ভণ্ড|প্রতার|অলস|লোভ|স্বার্থ|অক্ষম|অযোগ্য|বোকা|কৃপণ|হিংস"")),""valence-target অমিল"",""""),IF(COUNTIF($B:$B,B6890)&gt;1,""ডুপ্লিকেট"",""""))"),"")</f>
        <v/>
      </c>
      <c r="Q6890" s="5" t="str">
        <f t="shared" si="1"/>
        <v>২ পরে</v>
      </c>
    </row>
    <row r="6891">
      <c r="A6891" s="4">
        <v>4907.0</v>
      </c>
      <c r="B6891" s="2" t="s">
        <v>28004</v>
      </c>
      <c r="C6891" s="2" t="s">
        <v>28005</v>
      </c>
      <c r="D6891" s="2" t="s">
        <v>28006</v>
      </c>
      <c r="E6891" s="2" t="s">
        <v>28007</v>
      </c>
      <c r="F6891" s="2" t="b">
        <v>1</v>
      </c>
      <c r="G6891" s="2" t="b">
        <v>0</v>
      </c>
      <c r="H6891" s="2" t="s">
        <v>37</v>
      </c>
      <c r="I6891" s="2" t="s">
        <v>22</v>
      </c>
      <c r="J6891" s="2" t="s">
        <v>2732</v>
      </c>
      <c r="K6891" s="2" t="s">
        <v>495</v>
      </c>
      <c r="L6891" s="13" t="s">
        <v>496</v>
      </c>
      <c r="M6891" s="2" t="s">
        <v>26</v>
      </c>
      <c r="N6891" s="29"/>
      <c r="O6891" s="29"/>
      <c r="P6891" s="5" t="str">
        <f>IFERROR(__xludf.DUMMYFUNCTION("TEXTJOIN("" | "",TRUE,IF(OR(D6891="""",E6891="""",I6891="""",J6891="""",H6891=""""),""ফাঁকা ঘর"",""""),IF(AND(C6891&lt;&gt;"""",D6891&lt;&gt;"""",C6891=D6891),""gloss=figurative"",""""),IF(LEN(D6891)&lt;15,""figurative ছোট"",""""),IF(AND(I6891=""Positive"",REGEXMATCH(H6"&amp;"891,""মূর্খ|ভণ্ড|প্রতার|অলস|লোভ|স্বার্থ|অক্ষম|অযোগ্য|বোকা|কৃপণ|হিংস"")),""valence-target অমিল"",""""),IF(COUNTIF($B:$B,B6891)&gt;1,""ডুপ্লিকেট"",""""))"),"")</f>
        <v/>
      </c>
      <c r="Q6891" s="5" t="str">
        <f t="shared" si="1"/>
        <v>২ পরে</v>
      </c>
    </row>
    <row r="6892">
      <c r="A6892" s="4">
        <v>4908.0</v>
      </c>
      <c r="B6892" s="2" t="s">
        <v>28008</v>
      </c>
      <c r="C6892" s="2" t="s">
        <v>28009</v>
      </c>
      <c r="D6892" s="2" t="s">
        <v>28010</v>
      </c>
      <c r="E6892" s="2" t="s">
        <v>28011</v>
      </c>
      <c r="F6892" s="2" t="b">
        <v>1</v>
      </c>
      <c r="G6892" s="2" t="b">
        <v>0</v>
      </c>
      <c r="H6892" s="2" t="s">
        <v>37</v>
      </c>
      <c r="I6892" s="2" t="s">
        <v>22</v>
      </c>
      <c r="J6892" s="2" t="s">
        <v>1438</v>
      </c>
      <c r="K6892" s="2" t="s">
        <v>495</v>
      </c>
      <c r="L6892" s="13" t="s">
        <v>496</v>
      </c>
      <c r="M6892" s="2" t="s">
        <v>26</v>
      </c>
      <c r="N6892" s="29"/>
      <c r="O6892" s="29"/>
      <c r="P6892" s="5" t="str">
        <f>IFERROR(__xludf.DUMMYFUNCTION("TEXTJOIN("" | "",TRUE,IF(OR(D6892="""",E6892="""",I6892="""",J6892="""",H6892=""""),""ফাঁকা ঘর"",""""),IF(AND(C6892&lt;&gt;"""",D6892&lt;&gt;"""",C6892=D6892),""gloss=figurative"",""""),IF(LEN(D6892)&lt;15,""figurative ছোট"",""""),IF(AND(I6892=""Positive"",REGEXMATCH(H6"&amp;"892,""মূর্খ|ভণ্ড|প্রতার|অলস|লোভ|স্বার্থ|অক্ষম|অযোগ্য|বোকা|কৃপণ|হিংস"")),""valence-target অমিল"",""""),IF(COUNTIF($B:$B,B6892)&gt;1,""ডুপ্লিকেট"",""""))"),"")</f>
        <v/>
      </c>
      <c r="Q6892" s="5" t="str">
        <f t="shared" si="1"/>
        <v>২ পরে</v>
      </c>
    </row>
    <row r="6893">
      <c r="A6893" s="4">
        <v>4909.0</v>
      </c>
      <c r="B6893" s="2" t="s">
        <v>28012</v>
      </c>
      <c r="C6893" s="2" t="s">
        <v>28013</v>
      </c>
      <c r="D6893" s="2" t="s">
        <v>28014</v>
      </c>
      <c r="E6893" s="2" t="s">
        <v>28015</v>
      </c>
      <c r="F6893" s="2" t="b">
        <v>1</v>
      </c>
      <c r="G6893" s="2" t="b">
        <v>0</v>
      </c>
      <c r="H6893" s="2" t="s">
        <v>37</v>
      </c>
      <c r="I6893" s="2" t="s">
        <v>22</v>
      </c>
      <c r="J6893" s="2" t="s">
        <v>640</v>
      </c>
      <c r="K6893" s="2" t="s">
        <v>495</v>
      </c>
      <c r="L6893" s="13" t="s">
        <v>496</v>
      </c>
      <c r="M6893" s="2" t="s">
        <v>26</v>
      </c>
      <c r="N6893" s="29"/>
      <c r="O6893" s="29"/>
      <c r="P6893" s="5" t="str">
        <f>IFERROR(__xludf.DUMMYFUNCTION("TEXTJOIN("" | "",TRUE,IF(OR(D6893="""",E6893="""",I6893="""",J6893="""",H6893=""""),""ফাঁকা ঘর"",""""),IF(AND(C6893&lt;&gt;"""",D6893&lt;&gt;"""",C6893=D6893),""gloss=figurative"",""""),IF(LEN(D6893)&lt;15,""figurative ছোট"",""""),IF(AND(I6893=""Positive"",REGEXMATCH(H6"&amp;"893,""মূর্খ|ভণ্ড|প্রতার|অলস|লোভ|স্বার্থ|অক্ষম|অযোগ্য|বোকা|কৃপণ|হিংস"")),""valence-target অমিল"",""""),IF(COUNTIF($B:$B,B6893)&gt;1,""ডুপ্লিকেট"",""""))"),"")</f>
        <v/>
      </c>
      <c r="Q6893" s="5" t="str">
        <f t="shared" si="1"/>
        <v>২ পরে</v>
      </c>
    </row>
    <row r="6894">
      <c r="A6894" s="4">
        <v>4910.0</v>
      </c>
      <c r="B6894" s="2" t="s">
        <v>28016</v>
      </c>
      <c r="C6894" s="2" t="s">
        <v>28017</v>
      </c>
      <c r="D6894" s="2" t="s">
        <v>28018</v>
      </c>
      <c r="E6894" s="2" t="s">
        <v>28019</v>
      </c>
      <c r="F6894" s="2" t="b">
        <v>1</v>
      </c>
      <c r="G6894" s="2" t="b">
        <v>0</v>
      </c>
      <c r="H6894" s="2" t="s">
        <v>37</v>
      </c>
      <c r="I6894" s="2" t="s">
        <v>22</v>
      </c>
      <c r="J6894" s="2" t="s">
        <v>836</v>
      </c>
      <c r="K6894" s="2" t="s">
        <v>495</v>
      </c>
      <c r="L6894" s="13" t="s">
        <v>496</v>
      </c>
      <c r="M6894" s="2" t="s">
        <v>26</v>
      </c>
      <c r="N6894" s="29"/>
      <c r="O6894" s="29"/>
      <c r="P6894" s="5" t="str">
        <f>IFERROR(__xludf.DUMMYFUNCTION("TEXTJOIN("" | "",TRUE,IF(OR(D6894="""",E6894="""",I6894="""",J6894="""",H6894=""""),""ফাঁকা ঘর"",""""),IF(AND(C6894&lt;&gt;"""",D6894&lt;&gt;"""",C6894=D6894),""gloss=figurative"",""""),IF(LEN(D6894)&lt;15,""figurative ছোট"",""""),IF(AND(I6894=""Positive"",REGEXMATCH(H6"&amp;"894,""মূর্খ|ভণ্ড|প্রতার|অলস|লোভ|স্বার্থ|অক্ষম|অযোগ্য|বোকা|কৃপণ|হিংস"")),""valence-target অমিল"",""""),IF(COUNTIF($B:$B,B6894)&gt;1,""ডুপ্লিকেট"",""""))"),"")</f>
        <v/>
      </c>
      <c r="Q6894" s="5" t="str">
        <f t="shared" si="1"/>
        <v>২ পরে</v>
      </c>
    </row>
    <row r="6895">
      <c r="A6895" s="4">
        <v>4911.0</v>
      </c>
      <c r="B6895" s="2" t="s">
        <v>17337</v>
      </c>
      <c r="C6895" s="2" t="s">
        <v>28020</v>
      </c>
      <c r="D6895" s="2" t="s">
        <v>17338</v>
      </c>
      <c r="E6895" s="2" t="s">
        <v>28021</v>
      </c>
      <c r="F6895" s="2" t="b">
        <v>1</v>
      </c>
      <c r="G6895" s="2" t="b">
        <v>0</v>
      </c>
      <c r="H6895" s="2" t="s">
        <v>37</v>
      </c>
      <c r="I6895" s="2" t="s">
        <v>32</v>
      </c>
      <c r="J6895" s="2" t="s">
        <v>1438</v>
      </c>
      <c r="K6895" s="2" t="s">
        <v>495</v>
      </c>
      <c r="L6895" s="13" t="s">
        <v>496</v>
      </c>
      <c r="M6895" s="2" t="s">
        <v>26</v>
      </c>
      <c r="N6895" s="29"/>
      <c r="O6895" s="29"/>
      <c r="P6895" s="5" t="str">
        <f>IFERROR(__xludf.DUMMYFUNCTION("TEXTJOIN("" | "",TRUE,IF(OR(D6895="""",E6895="""",I6895="""",J6895="""",H6895=""""),""ফাঁকা ঘর"",""""),IF(AND(C6895&lt;&gt;"""",D6895&lt;&gt;"""",C6895=D6895),""gloss=figurative"",""""),IF(LEN(D6895)&lt;15,""figurative ছোট"",""""),IF(AND(I6895=""Positive"",REGEXMATCH(H6"&amp;"895,""মূর্খ|ভণ্ড|প্রতার|অলস|লোভ|স্বার্থ|অক্ষম|অযোগ্য|বোকা|কৃপণ|হিংস"")),""valence-target অমিল"",""""),IF(COUNTIF($B:$B,B6895)&gt;1,""ডুপ্লিকেট"",""""))"),"")</f>
        <v/>
      </c>
      <c r="Q6895" s="5" t="str">
        <f t="shared" si="1"/>
        <v>২ পরে</v>
      </c>
    </row>
    <row r="6896">
      <c r="A6896" s="4">
        <v>4913.0</v>
      </c>
      <c r="B6896" s="2" t="s">
        <v>28022</v>
      </c>
      <c r="C6896" s="2" t="s">
        <v>28022</v>
      </c>
      <c r="D6896" s="2" t="s">
        <v>28023</v>
      </c>
      <c r="E6896" s="2" t="s">
        <v>28024</v>
      </c>
      <c r="F6896" s="2" t="b">
        <v>1</v>
      </c>
      <c r="G6896" s="2" t="b">
        <v>0</v>
      </c>
      <c r="H6896" s="2" t="s">
        <v>37</v>
      </c>
      <c r="I6896" s="2" t="s">
        <v>22</v>
      </c>
      <c r="J6896" s="2" t="s">
        <v>1239</v>
      </c>
      <c r="K6896" s="2" t="s">
        <v>495</v>
      </c>
      <c r="L6896" s="13" t="s">
        <v>496</v>
      </c>
      <c r="M6896" s="2" t="s">
        <v>26</v>
      </c>
      <c r="N6896" s="29"/>
      <c r="O6896" s="29"/>
      <c r="P6896" s="5" t="str">
        <f>IFERROR(__xludf.DUMMYFUNCTION("TEXTJOIN("" | "",TRUE,IF(OR(D6896="""",E6896="""",I6896="""",J6896="""",H6896=""""),""ফাঁকা ঘর"",""""),IF(AND(C6896&lt;&gt;"""",D6896&lt;&gt;"""",C6896=D6896),""gloss=figurative"",""""),IF(LEN(D6896)&lt;15,""figurative ছোট"",""""),IF(AND(I6896=""Positive"",REGEXMATCH(H6"&amp;"896,""মূর্খ|ভণ্ড|প্রতার|অলস|লোভ|স্বার্থ|অক্ষম|অযোগ্য|বোকা|কৃপণ|হিংস"")),""valence-target অমিল"",""""),IF(COUNTIF($B:$B,B6896)&gt;1,""ডুপ্লিকেট"",""""))"),"")</f>
        <v/>
      </c>
      <c r="Q6896" s="5" t="str">
        <f t="shared" si="1"/>
        <v>২ পরে</v>
      </c>
    </row>
    <row r="6897">
      <c r="A6897" s="4">
        <v>4915.0</v>
      </c>
      <c r="B6897" s="2" t="s">
        <v>28025</v>
      </c>
      <c r="C6897" s="2" t="s">
        <v>28026</v>
      </c>
      <c r="D6897" s="2" t="s">
        <v>28027</v>
      </c>
      <c r="E6897" s="2" t="s">
        <v>28028</v>
      </c>
      <c r="F6897" s="2" t="b">
        <v>1</v>
      </c>
      <c r="G6897" s="2" t="b">
        <v>1</v>
      </c>
      <c r="H6897" s="2" t="s">
        <v>1106</v>
      </c>
      <c r="I6897" s="2" t="s">
        <v>22</v>
      </c>
      <c r="J6897" s="2" t="s">
        <v>855</v>
      </c>
      <c r="K6897" s="2" t="s">
        <v>495</v>
      </c>
      <c r="L6897" s="13" t="s">
        <v>496</v>
      </c>
      <c r="M6897" s="2" t="s">
        <v>26</v>
      </c>
      <c r="N6897" s="29"/>
      <c r="O6897" s="29"/>
      <c r="P6897" s="5" t="str">
        <f>IFERROR(__xludf.DUMMYFUNCTION("TEXTJOIN("" | "",TRUE,IF(OR(D6897="""",E6897="""",I6897="""",J6897="""",H6897=""""),""ফাঁকা ঘর"",""""),IF(AND(C6897&lt;&gt;"""",D6897&lt;&gt;"""",C6897=D6897),""gloss=figurative"",""""),IF(LEN(D6897)&lt;15,""figurative ছোট"",""""),IF(AND(I6897=""Positive"",REGEXMATCH(H6"&amp;"897,""মূর্খ|ভণ্ড|প্রতার|অলস|লোভ|স্বার্থ|অক্ষম|অযোগ্য|বোকা|কৃপণ|হিংস"")),""valence-target অমিল"",""""),IF(COUNTIF($B:$B,B6897)&gt;1,""ডুপ্লিকেট"",""""))"),"")</f>
        <v/>
      </c>
      <c r="Q6897" s="5" t="str">
        <f t="shared" si="1"/>
        <v>২ পরে</v>
      </c>
    </row>
    <row r="6898">
      <c r="A6898" s="4">
        <v>4916.0</v>
      </c>
      <c r="B6898" s="2" t="s">
        <v>28029</v>
      </c>
      <c r="C6898" s="2" t="s">
        <v>28030</v>
      </c>
      <c r="D6898" s="2" t="s">
        <v>28031</v>
      </c>
      <c r="E6898" s="2" t="s">
        <v>28032</v>
      </c>
      <c r="F6898" s="2" t="b">
        <v>1</v>
      </c>
      <c r="G6898" s="2" t="b">
        <v>0</v>
      </c>
      <c r="H6898" s="2" t="s">
        <v>37</v>
      </c>
      <c r="I6898" s="2" t="s">
        <v>32</v>
      </c>
      <c r="J6898" s="2" t="s">
        <v>21836</v>
      </c>
      <c r="K6898" s="2" t="s">
        <v>495</v>
      </c>
      <c r="L6898" s="13" t="s">
        <v>496</v>
      </c>
      <c r="M6898" s="2" t="s">
        <v>26</v>
      </c>
      <c r="N6898" s="29"/>
      <c r="O6898" s="29"/>
      <c r="P6898" s="5" t="str">
        <f>IFERROR(__xludf.DUMMYFUNCTION("TEXTJOIN("" | "",TRUE,IF(OR(D6898="""",E6898="""",I6898="""",J6898="""",H6898=""""),""ফাঁকা ঘর"",""""),IF(AND(C6898&lt;&gt;"""",D6898&lt;&gt;"""",C6898=D6898),""gloss=figurative"",""""),IF(LEN(D6898)&lt;15,""figurative ছোট"",""""),IF(AND(I6898=""Positive"",REGEXMATCH(H6"&amp;"898,""মূর্খ|ভণ্ড|প্রতার|অলস|লোভ|স্বার্থ|অক্ষম|অযোগ্য|বোকা|কৃপণ|হিংস"")),""valence-target অমিল"",""""),IF(COUNTIF($B:$B,B6898)&gt;1,""ডুপ্লিকেট"",""""))"),"")</f>
        <v/>
      </c>
      <c r="Q6898" s="5" t="str">
        <f t="shared" si="1"/>
        <v>২ পরে</v>
      </c>
    </row>
    <row r="6899">
      <c r="A6899" s="4">
        <v>4917.0</v>
      </c>
      <c r="B6899" s="2" t="s">
        <v>28033</v>
      </c>
      <c r="C6899" s="2" t="s">
        <v>28034</v>
      </c>
      <c r="D6899" s="2" t="s">
        <v>28035</v>
      </c>
      <c r="E6899" s="2" t="s">
        <v>28036</v>
      </c>
      <c r="F6899" s="2" t="b">
        <v>1</v>
      </c>
      <c r="G6899" s="2" t="b">
        <v>0</v>
      </c>
      <c r="H6899" s="2" t="s">
        <v>37</v>
      </c>
      <c r="I6899" s="2" t="s">
        <v>22</v>
      </c>
      <c r="J6899" s="2" t="s">
        <v>1060</v>
      </c>
      <c r="K6899" s="2" t="s">
        <v>495</v>
      </c>
      <c r="L6899" s="13" t="s">
        <v>496</v>
      </c>
      <c r="M6899" s="2" t="s">
        <v>26</v>
      </c>
      <c r="N6899" s="29"/>
      <c r="O6899" s="29"/>
      <c r="P6899" s="5" t="str">
        <f>IFERROR(__xludf.DUMMYFUNCTION("TEXTJOIN("" | "",TRUE,IF(OR(D6899="""",E6899="""",I6899="""",J6899="""",H6899=""""),""ফাঁকা ঘর"",""""),IF(AND(C6899&lt;&gt;"""",D6899&lt;&gt;"""",C6899=D6899),""gloss=figurative"",""""),IF(LEN(D6899)&lt;15,""figurative ছোট"",""""),IF(AND(I6899=""Positive"",REGEXMATCH(H6"&amp;"899,""মূর্খ|ভণ্ড|প্রতার|অলস|লোভ|স্বার্থ|অক্ষম|অযোগ্য|বোকা|কৃপণ|হিংস"")),""valence-target অমিল"",""""),IF(COUNTIF($B:$B,B6899)&gt;1,""ডুপ্লিকেট"",""""))"),"")</f>
        <v/>
      </c>
      <c r="Q6899" s="5" t="str">
        <f t="shared" si="1"/>
        <v>২ পরে</v>
      </c>
    </row>
    <row r="6900">
      <c r="A6900" s="4">
        <v>4918.0</v>
      </c>
      <c r="B6900" s="2" t="s">
        <v>28037</v>
      </c>
      <c r="C6900" s="2" t="s">
        <v>28038</v>
      </c>
      <c r="D6900" s="2" t="s">
        <v>28039</v>
      </c>
      <c r="E6900" s="2" t="s">
        <v>28040</v>
      </c>
      <c r="F6900" s="2" t="b">
        <v>1</v>
      </c>
      <c r="G6900" s="2" t="b">
        <v>0</v>
      </c>
      <c r="H6900" s="2" t="s">
        <v>37</v>
      </c>
      <c r="I6900" s="2" t="s">
        <v>22</v>
      </c>
      <c r="J6900" s="2" t="s">
        <v>1126</v>
      </c>
      <c r="K6900" s="2" t="s">
        <v>495</v>
      </c>
      <c r="L6900" s="13" t="s">
        <v>496</v>
      </c>
      <c r="M6900" s="2" t="s">
        <v>26</v>
      </c>
      <c r="N6900" s="29"/>
      <c r="O6900" s="29"/>
      <c r="P6900" s="5" t="str">
        <f>IFERROR(__xludf.DUMMYFUNCTION("TEXTJOIN("" | "",TRUE,IF(OR(D6900="""",E6900="""",I6900="""",J6900="""",H6900=""""),""ফাঁকা ঘর"",""""),IF(AND(C6900&lt;&gt;"""",D6900&lt;&gt;"""",C6900=D6900),""gloss=figurative"",""""),IF(LEN(D6900)&lt;15,""figurative ছোট"",""""),IF(AND(I6900=""Positive"",REGEXMATCH(H6"&amp;"900,""মূর্খ|ভণ্ড|প্রতার|অলস|লোভ|স্বার্থ|অক্ষম|অযোগ্য|বোকা|কৃপণ|হিংস"")),""valence-target অমিল"",""""),IF(COUNTIF($B:$B,B6900)&gt;1,""ডুপ্লিকেট"",""""))"),"")</f>
        <v/>
      </c>
      <c r="Q6900" s="5" t="str">
        <f t="shared" si="1"/>
        <v>২ পরে</v>
      </c>
    </row>
    <row r="6901">
      <c r="A6901" s="4">
        <v>4919.0</v>
      </c>
      <c r="B6901" s="2" t="s">
        <v>28041</v>
      </c>
      <c r="C6901" s="2" t="s">
        <v>28042</v>
      </c>
      <c r="D6901" s="2" t="s">
        <v>5857</v>
      </c>
      <c r="E6901" s="2" t="s">
        <v>28043</v>
      </c>
      <c r="F6901" s="2" t="b">
        <v>1</v>
      </c>
      <c r="G6901" s="2" t="b">
        <v>0</v>
      </c>
      <c r="H6901" s="2" t="s">
        <v>37</v>
      </c>
      <c r="I6901" s="2" t="s">
        <v>49</v>
      </c>
      <c r="J6901" s="2" t="s">
        <v>447</v>
      </c>
      <c r="K6901" s="2" t="s">
        <v>495</v>
      </c>
      <c r="L6901" s="13" t="s">
        <v>496</v>
      </c>
      <c r="M6901" s="2" t="s">
        <v>26</v>
      </c>
      <c r="N6901" s="29"/>
      <c r="O6901" s="29"/>
      <c r="P6901" s="5" t="str">
        <f>IFERROR(__xludf.DUMMYFUNCTION("TEXTJOIN("" | "",TRUE,IF(OR(D6901="""",E6901="""",I6901="""",J6901="""",H6901=""""),""ফাঁকা ঘর"",""""),IF(AND(C6901&lt;&gt;"""",D6901&lt;&gt;"""",C6901=D6901),""gloss=figurative"",""""),IF(LEN(D6901)&lt;15,""figurative ছোট"",""""),IF(AND(I6901=""Positive"",REGEXMATCH(H6"&amp;"901,""মূর্খ|ভণ্ড|প্রতার|অলস|লোভ|স্বার্থ|অক্ষম|অযোগ্য|বোকা|কৃপণ|হিংস"")),""valence-target অমিল"",""""),IF(COUNTIF($B:$B,B6901)&gt;1,""ডুপ্লিকেট"",""""))"),"")</f>
        <v/>
      </c>
      <c r="Q6901" s="5" t="str">
        <f t="shared" si="1"/>
        <v>২ পরে</v>
      </c>
    </row>
    <row r="6902">
      <c r="A6902" s="4">
        <v>4920.0</v>
      </c>
      <c r="B6902" s="2" t="s">
        <v>28044</v>
      </c>
      <c r="C6902" s="2" t="s">
        <v>28045</v>
      </c>
      <c r="D6902" s="2" t="s">
        <v>28046</v>
      </c>
      <c r="E6902" s="2" t="s">
        <v>28047</v>
      </c>
      <c r="F6902" s="2" t="b">
        <v>1</v>
      </c>
      <c r="G6902" s="2" t="b">
        <v>0</v>
      </c>
      <c r="H6902" s="2" t="s">
        <v>37</v>
      </c>
      <c r="I6902" s="2" t="s">
        <v>49</v>
      </c>
      <c r="J6902" s="2" t="s">
        <v>565</v>
      </c>
      <c r="K6902" s="2" t="s">
        <v>495</v>
      </c>
      <c r="L6902" s="13" t="s">
        <v>496</v>
      </c>
      <c r="M6902" s="2" t="s">
        <v>26</v>
      </c>
      <c r="N6902" s="29"/>
      <c r="O6902" s="29"/>
      <c r="P6902" s="5" t="str">
        <f>IFERROR(__xludf.DUMMYFUNCTION("TEXTJOIN("" | "",TRUE,IF(OR(D6902="""",E6902="""",I6902="""",J6902="""",H6902=""""),""ফাঁকা ঘর"",""""),IF(AND(C6902&lt;&gt;"""",D6902&lt;&gt;"""",C6902=D6902),""gloss=figurative"",""""),IF(LEN(D6902)&lt;15,""figurative ছোট"",""""),IF(AND(I6902=""Positive"",REGEXMATCH(H6"&amp;"902,""মূর্খ|ভণ্ড|প্রতার|অলস|লোভ|স্বার্থ|অক্ষম|অযোগ্য|বোকা|কৃপণ|হিংস"")),""valence-target অমিল"",""""),IF(COUNTIF($B:$B,B6902)&gt;1,""ডুপ্লিকেট"",""""))"),"")</f>
        <v/>
      </c>
      <c r="Q6902" s="5" t="str">
        <f t="shared" si="1"/>
        <v>২ পরে</v>
      </c>
    </row>
    <row r="6903">
      <c r="A6903" s="4">
        <v>4921.0</v>
      </c>
      <c r="B6903" s="2" t="s">
        <v>28048</v>
      </c>
      <c r="C6903" s="2" t="s">
        <v>28049</v>
      </c>
      <c r="D6903" s="2" t="s">
        <v>28050</v>
      </c>
      <c r="E6903" s="2" t="s">
        <v>28051</v>
      </c>
      <c r="F6903" s="2" t="b">
        <v>1</v>
      </c>
      <c r="G6903" s="2" t="b">
        <v>0</v>
      </c>
      <c r="H6903" s="2" t="s">
        <v>37</v>
      </c>
      <c r="I6903" s="2" t="s">
        <v>49</v>
      </c>
      <c r="J6903" s="2" t="s">
        <v>996</v>
      </c>
      <c r="K6903" s="2" t="s">
        <v>495</v>
      </c>
      <c r="L6903" s="13" t="s">
        <v>496</v>
      </c>
      <c r="M6903" s="2" t="s">
        <v>26</v>
      </c>
      <c r="N6903" s="29"/>
      <c r="O6903" s="29"/>
      <c r="P6903" s="5" t="str">
        <f>IFERROR(__xludf.DUMMYFUNCTION("TEXTJOIN("" | "",TRUE,IF(OR(D6903="""",E6903="""",I6903="""",J6903="""",H6903=""""),""ফাঁকা ঘর"",""""),IF(AND(C6903&lt;&gt;"""",D6903&lt;&gt;"""",C6903=D6903),""gloss=figurative"",""""),IF(LEN(D6903)&lt;15,""figurative ছোট"",""""),IF(AND(I6903=""Positive"",REGEXMATCH(H6"&amp;"903,""মূর্খ|ভণ্ড|প্রতার|অলস|লোভ|স্বার্থ|অক্ষম|অযোগ্য|বোকা|কৃপণ|হিংস"")),""valence-target অমিল"",""""),IF(COUNTIF($B:$B,B6903)&gt;1,""ডুপ্লিকেট"",""""))"),"")</f>
        <v/>
      </c>
      <c r="Q6903" s="5" t="str">
        <f t="shared" si="1"/>
        <v>২ পরে</v>
      </c>
    </row>
    <row r="6904">
      <c r="A6904" s="4">
        <v>4924.0</v>
      </c>
      <c r="B6904" s="2" t="s">
        <v>27650</v>
      </c>
      <c r="C6904" s="2" t="s">
        <v>28052</v>
      </c>
      <c r="D6904" s="2" t="s">
        <v>21410</v>
      </c>
      <c r="E6904" s="2" t="s">
        <v>27651</v>
      </c>
      <c r="F6904" s="2" t="b">
        <v>1</v>
      </c>
      <c r="G6904" s="2" t="b">
        <v>0</v>
      </c>
      <c r="H6904" s="2" t="s">
        <v>37</v>
      </c>
      <c r="I6904" s="2" t="s">
        <v>22</v>
      </c>
      <c r="J6904" s="2" t="s">
        <v>669</v>
      </c>
      <c r="K6904" s="2" t="s">
        <v>495</v>
      </c>
      <c r="L6904" s="13" t="s">
        <v>496</v>
      </c>
      <c r="M6904" s="2" t="s">
        <v>26</v>
      </c>
      <c r="N6904" s="29"/>
      <c r="O6904" s="29"/>
      <c r="P6904" s="5" t="str">
        <f>IFERROR(__xludf.DUMMYFUNCTION("TEXTJOIN("" | "",TRUE,IF(OR(D6904="""",E6904="""",I6904="""",J6904="""",H6904=""""),""ফাঁকা ঘর"",""""),IF(AND(C6904&lt;&gt;"""",D6904&lt;&gt;"""",C6904=D6904),""gloss=figurative"",""""),IF(LEN(D6904)&lt;15,""figurative ছোট"",""""),IF(AND(I6904=""Positive"",REGEXMATCH(H6"&amp;"904,""মূর্খ|ভণ্ড|প্রতার|অলস|লোভ|স্বার্থ|অক্ষম|অযোগ্য|বোকা|কৃপণ|হিংস"")),""valence-target অমিল"",""""),IF(COUNTIF($B:$B,B6904)&gt;1,""ডুপ্লিকেট"",""""))"),"")</f>
        <v/>
      </c>
      <c r="Q6904" s="5" t="str">
        <f t="shared" si="1"/>
        <v>২ পরে</v>
      </c>
    </row>
    <row r="6905">
      <c r="A6905" s="4">
        <v>4925.0</v>
      </c>
      <c r="B6905" s="2" t="s">
        <v>28053</v>
      </c>
      <c r="C6905" s="2" t="s">
        <v>28054</v>
      </c>
      <c r="D6905" s="2" t="s">
        <v>28055</v>
      </c>
      <c r="E6905" s="2" t="s">
        <v>28056</v>
      </c>
      <c r="F6905" s="2" t="b">
        <v>1</v>
      </c>
      <c r="G6905" s="2" t="b">
        <v>0</v>
      </c>
      <c r="H6905" s="2" t="s">
        <v>37</v>
      </c>
      <c r="I6905" s="2" t="s">
        <v>32</v>
      </c>
      <c r="J6905" s="2" t="s">
        <v>1679</v>
      </c>
      <c r="K6905" s="2" t="s">
        <v>495</v>
      </c>
      <c r="L6905" s="13" t="s">
        <v>496</v>
      </c>
      <c r="M6905" s="2" t="s">
        <v>26</v>
      </c>
      <c r="N6905" s="29"/>
      <c r="O6905" s="29"/>
      <c r="P6905" s="5" t="str">
        <f>IFERROR(__xludf.DUMMYFUNCTION("TEXTJOIN("" | "",TRUE,IF(OR(D6905="""",E6905="""",I6905="""",J6905="""",H6905=""""),""ফাঁকা ঘর"",""""),IF(AND(C6905&lt;&gt;"""",D6905&lt;&gt;"""",C6905=D6905),""gloss=figurative"",""""),IF(LEN(D6905)&lt;15,""figurative ছোট"",""""),IF(AND(I6905=""Positive"",REGEXMATCH(H6"&amp;"905,""মূর্খ|ভণ্ড|প্রতার|অলস|লোভ|স্বার্থ|অক্ষম|অযোগ্য|বোকা|কৃপণ|হিংস"")),""valence-target অমিল"",""""),IF(COUNTIF($B:$B,B6905)&gt;1,""ডুপ্লিকেট"",""""))"),"")</f>
        <v/>
      </c>
      <c r="Q6905" s="5" t="str">
        <f t="shared" si="1"/>
        <v>২ পরে</v>
      </c>
    </row>
    <row r="6906">
      <c r="A6906" s="4">
        <v>4926.0</v>
      </c>
      <c r="B6906" s="2" t="s">
        <v>28057</v>
      </c>
      <c r="C6906" s="2" t="s">
        <v>28058</v>
      </c>
      <c r="D6906" s="2" t="s">
        <v>28059</v>
      </c>
      <c r="E6906" s="2" t="s">
        <v>28060</v>
      </c>
      <c r="F6906" s="2" t="b">
        <v>1</v>
      </c>
      <c r="G6906" s="2" t="b">
        <v>1</v>
      </c>
      <c r="H6906" s="2" t="s">
        <v>28061</v>
      </c>
      <c r="I6906" s="2" t="s">
        <v>22</v>
      </c>
      <c r="J6906" s="2" t="s">
        <v>24945</v>
      </c>
      <c r="K6906" s="2" t="s">
        <v>495</v>
      </c>
      <c r="L6906" s="13" t="s">
        <v>496</v>
      </c>
      <c r="M6906" s="2" t="s">
        <v>26</v>
      </c>
      <c r="N6906" s="29"/>
      <c r="O6906" s="29"/>
      <c r="P6906" s="5" t="str">
        <f>IFERROR(__xludf.DUMMYFUNCTION("TEXTJOIN("" | "",TRUE,IF(OR(D6906="""",E6906="""",I6906="""",J6906="""",H6906=""""),""ফাঁকা ঘর"",""""),IF(AND(C6906&lt;&gt;"""",D6906&lt;&gt;"""",C6906=D6906),""gloss=figurative"",""""),IF(LEN(D6906)&lt;15,""figurative ছোট"",""""),IF(AND(I6906=""Positive"",REGEXMATCH(H6"&amp;"906,""মূর্খ|ভণ্ড|প্রতার|অলস|লোভ|স্বার্থ|অক্ষম|অযোগ্য|বোকা|কৃপণ|হিংস"")),""valence-target অমিল"",""""),IF(COUNTIF($B:$B,B6906)&gt;1,""ডুপ্লিকেট"",""""))"),"")</f>
        <v/>
      </c>
      <c r="Q6906" s="5" t="str">
        <f t="shared" si="1"/>
        <v>২ পরে</v>
      </c>
    </row>
    <row r="6907">
      <c r="A6907" s="4">
        <v>4927.0</v>
      </c>
      <c r="B6907" s="2" t="s">
        <v>28062</v>
      </c>
      <c r="C6907" s="2" t="s">
        <v>28063</v>
      </c>
      <c r="D6907" s="2" t="s">
        <v>28064</v>
      </c>
      <c r="E6907" s="2" t="s">
        <v>28065</v>
      </c>
      <c r="F6907" s="2" t="b">
        <v>1</v>
      </c>
      <c r="G6907" s="2" t="b">
        <v>0</v>
      </c>
      <c r="H6907" s="2" t="s">
        <v>37</v>
      </c>
      <c r="I6907" s="2" t="s">
        <v>49</v>
      </c>
      <c r="J6907" s="2" t="s">
        <v>1008</v>
      </c>
      <c r="K6907" s="2" t="s">
        <v>495</v>
      </c>
      <c r="L6907" s="13" t="s">
        <v>496</v>
      </c>
      <c r="M6907" s="2" t="s">
        <v>26</v>
      </c>
      <c r="N6907" s="29"/>
      <c r="O6907" s="29"/>
      <c r="P6907" s="5" t="str">
        <f>IFERROR(__xludf.DUMMYFUNCTION("TEXTJOIN("" | "",TRUE,IF(OR(D6907="""",E6907="""",I6907="""",J6907="""",H6907=""""),""ফাঁকা ঘর"",""""),IF(AND(C6907&lt;&gt;"""",D6907&lt;&gt;"""",C6907=D6907),""gloss=figurative"",""""),IF(LEN(D6907)&lt;15,""figurative ছোট"",""""),IF(AND(I6907=""Positive"",REGEXMATCH(H6"&amp;"907,""মূর্খ|ভণ্ড|প্রতার|অলস|লোভ|স্বার্থ|অক্ষম|অযোগ্য|বোকা|কৃপণ|হিংস"")),""valence-target অমিল"",""""),IF(COUNTIF($B:$B,B6907)&gt;1,""ডুপ্লিকেট"",""""))"),"")</f>
        <v/>
      </c>
      <c r="Q6907" s="5" t="str">
        <f t="shared" si="1"/>
        <v>২ পরে</v>
      </c>
    </row>
    <row r="6908">
      <c r="A6908" s="4">
        <v>4928.0</v>
      </c>
      <c r="B6908" s="2" t="s">
        <v>28066</v>
      </c>
      <c r="C6908" s="2" t="s">
        <v>28067</v>
      </c>
      <c r="D6908" s="2" t="s">
        <v>28068</v>
      </c>
      <c r="E6908" s="2" t="s">
        <v>28069</v>
      </c>
      <c r="F6908" s="2" t="b">
        <v>1</v>
      </c>
      <c r="G6908" s="2" t="b">
        <v>0</v>
      </c>
      <c r="H6908" s="2" t="s">
        <v>37</v>
      </c>
      <c r="I6908" s="2" t="s">
        <v>32</v>
      </c>
      <c r="J6908" s="2" t="s">
        <v>739</v>
      </c>
      <c r="K6908" s="2" t="s">
        <v>495</v>
      </c>
      <c r="L6908" s="13" t="s">
        <v>496</v>
      </c>
      <c r="M6908" s="2" t="s">
        <v>26</v>
      </c>
      <c r="N6908" s="29"/>
      <c r="O6908" s="29"/>
      <c r="P6908" s="5" t="str">
        <f>IFERROR(__xludf.DUMMYFUNCTION("TEXTJOIN("" | "",TRUE,IF(OR(D6908="""",E6908="""",I6908="""",J6908="""",H6908=""""),""ফাঁকা ঘর"",""""),IF(AND(C6908&lt;&gt;"""",D6908&lt;&gt;"""",C6908=D6908),""gloss=figurative"",""""),IF(LEN(D6908)&lt;15,""figurative ছোট"",""""),IF(AND(I6908=""Positive"",REGEXMATCH(H6"&amp;"908,""মূর্খ|ভণ্ড|প্রতার|অলস|লোভ|স্বার্থ|অক্ষম|অযোগ্য|বোকা|কৃপণ|হিংস"")),""valence-target অমিল"",""""),IF(COUNTIF($B:$B,B6908)&gt;1,""ডুপ্লিকেট"",""""))"),"")</f>
        <v/>
      </c>
      <c r="Q6908" s="5" t="str">
        <f t="shared" si="1"/>
        <v>২ পরে</v>
      </c>
    </row>
    <row r="6909">
      <c r="A6909" s="4">
        <v>4929.0</v>
      </c>
      <c r="B6909" s="2" t="s">
        <v>28070</v>
      </c>
      <c r="C6909" s="2" t="s">
        <v>28071</v>
      </c>
      <c r="D6909" s="2" t="s">
        <v>28072</v>
      </c>
      <c r="E6909" s="2" t="s">
        <v>28073</v>
      </c>
      <c r="F6909" s="2" t="b">
        <v>1</v>
      </c>
      <c r="G6909" s="2" t="b">
        <v>0</v>
      </c>
      <c r="H6909" s="2" t="s">
        <v>37</v>
      </c>
      <c r="I6909" s="2" t="s">
        <v>32</v>
      </c>
      <c r="J6909" s="2" t="s">
        <v>1450</v>
      </c>
      <c r="K6909" s="2" t="s">
        <v>495</v>
      </c>
      <c r="L6909" s="13" t="s">
        <v>496</v>
      </c>
      <c r="M6909" s="2" t="s">
        <v>26</v>
      </c>
      <c r="N6909" s="29"/>
      <c r="O6909" s="29"/>
      <c r="P6909" s="5" t="str">
        <f>IFERROR(__xludf.DUMMYFUNCTION("TEXTJOIN("" | "",TRUE,IF(OR(D6909="""",E6909="""",I6909="""",J6909="""",H6909=""""),""ফাঁকা ঘর"",""""),IF(AND(C6909&lt;&gt;"""",D6909&lt;&gt;"""",C6909=D6909),""gloss=figurative"",""""),IF(LEN(D6909)&lt;15,""figurative ছোট"",""""),IF(AND(I6909=""Positive"",REGEXMATCH(H6"&amp;"909,""মূর্খ|ভণ্ড|প্রতার|অলস|লোভ|স্বার্থ|অক্ষম|অযোগ্য|বোকা|কৃপণ|হিংস"")),""valence-target অমিল"",""""),IF(COUNTIF($B:$B,B6909)&gt;1,""ডুপ্লিকেট"",""""))"),"")</f>
        <v/>
      </c>
      <c r="Q6909" s="5" t="str">
        <f t="shared" si="1"/>
        <v>২ পরে</v>
      </c>
    </row>
    <row r="6910">
      <c r="A6910" s="4">
        <v>4932.0</v>
      </c>
      <c r="B6910" s="2" t="s">
        <v>28074</v>
      </c>
      <c r="C6910" s="2" t="s">
        <v>28075</v>
      </c>
      <c r="D6910" s="2" t="s">
        <v>28076</v>
      </c>
      <c r="E6910" s="2" t="s">
        <v>28077</v>
      </c>
      <c r="F6910" s="2" t="b">
        <v>1</v>
      </c>
      <c r="G6910" s="2" t="b">
        <v>0</v>
      </c>
      <c r="H6910" s="2" t="s">
        <v>37</v>
      </c>
      <c r="I6910" s="2" t="s">
        <v>49</v>
      </c>
      <c r="J6910" s="2" t="s">
        <v>2923</v>
      </c>
      <c r="K6910" s="2" t="s">
        <v>495</v>
      </c>
      <c r="L6910" s="13" t="s">
        <v>496</v>
      </c>
      <c r="M6910" s="2" t="s">
        <v>26</v>
      </c>
      <c r="N6910" s="29"/>
      <c r="O6910" s="29"/>
      <c r="P6910" s="5" t="str">
        <f>IFERROR(__xludf.DUMMYFUNCTION("TEXTJOIN("" | "",TRUE,IF(OR(D6910="""",E6910="""",I6910="""",J6910="""",H6910=""""),""ফাঁকা ঘর"",""""),IF(AND(C6910&lt;&gt;"""",D6910&lt;&gt;"""",C6910=D6910),""gloss=figurative"",""""),IF(LEN(D6910)&lt;15,""figurative ছোট"",""""),IF(AND(I6910=""Positive"",REGEXMATCH(H6"&amp;"910,""মূর্খ|ভণ্ড|প্রতার|অলস|লোভ|স্বার্থ|অক্ষম|অযোগ্য|বোকা|কৃপণ|হিংস"")),""valence-target অমিল"",""""),IF(COUNTIF($B:$B,B6910)&gt;1,""ডুপ্লিকেট"",""""))"),"")</f>
        <v/>
      </c>
      <c r="Q6910" s="5" t="str">
        <f t="shared" si="1"/>
        <v>২ পরে</v>
      </c>
    </row>
    <row r="6911">
      <c r="A6911" s="4">
        <v>4933.0</v>
      </c>
      <c r="B6911" s="2" t="s">
        <v>28078</v>
      </c>
      <c r="C6911" s="2" t="s">
        <v>28079</v>
      </c>
      <c r="D6911" s="2" t="s">
        <v>28080</v>
      </c>
      <c r="E6911" s="2" t="s">
        <v>28081</v>
      </c>
      <c r="F6911" s="2" t="b">
        <v>1</v>
      </c>
      <c r="G6911" s="2" t="b">
        <v>0</v>
      </c>
      <c r="H6911" s="2" t="s">
        <v>37</v>
      </c>
      <c r="I6911" s="2" t="s">
        <v>22</v>
      </c>
      <c r="J6911" s="2" t="s">
        <v>1221</v>
      </c>
      <c r="K6911" s="2" t="s">
        <v>495</v>
      </c>
      <c r="L6911" s="13" t="s">
        <v>496</v>
      </c>
      <c r="M6911" s="2" t="s">
        <v>26</v>
      </c>
      <c r="N6911" s="29"/>
      <c r="O6911" s="29"/>
      <c r="P6911" s="5" t="str">
        <f>IFERROR(__xludf.DUMMYFUNCTION("TEXTJOIN("" | "",TRUE,IF(OR(D6911="""",E6911="""",I6911="""",J6911="""",H6911=""""),""ফাঁকা ঘর"",""""),IF(AND(C6911&lt;&gt;"""",D6911&lt;&gt;"""",C6911=D6911),""gloss=figurative"",""""),IF(LEN(D6911)&lt;15,""figurative ছোট"",""""),IF(AND(I6911=""Positive"",REGEXMATCH(H6"&amp;"911,""মূর্খ|ভণ্ড|প্রতার|অলস|লোভ|স্বার্থ|অক্ষম|অযোগ্য|বোকা|কৃপণ|হিংস"")),""valence-target অমিল"",""""),IF(COUNTIF($B:$B,B6911)&gt;1,""ডুপ্লিকেট"",""""))"),"")</f>
        <v/>
      </c>
      <c r="Q6911" s="5" t="str">
        <f t="shared" si="1"/>
        <v>২ পরে</v>
      </c>
    </row>
    <row r="6912">
      <c r="A6912" s="4">
        <v>4935.0</v>
      </c>
      <c r="B6912" s="2" t="s">
        <v>28082</v>
      </c>
      <c r="C6912" s="2" t="s">
        <v>28083</v>
      </c>
      <c r="D6912" s="2" t="s">
        <v>28084</v>
      </c>
      <c r="E6912" s="2" t="s">
        <v>28085</v>
      </c>
      <c r="F6912" s="2" t="b">
        <v>1</v>
      </c>
      <c r="G6912" s="2" t="b">
        <v>0</v>
      </c>
      <c r="H6912" s="2" t="s">
        <v>37</v>
      </c>
      <c r="I6912" s="2" t="s">
        <v>22</v>
      </c>
      <c r="J6912" s="2" t="s">
        <v>729</v>
      </c>
      <c r="K6912" s="2" t="s">
        <v>495</v>
      </c>
      <c r="L6912" s="13" t="s">
        <v>496</v>
      </c>
      <c r="M6912" s="2" t="s">
        <v>26</v>
      </c>
      <c r="N6912" s="29"/>
      <c r="O6912" s="29"/>
      <c r="P6912" s="5" t="str">
        <f>IFERROR(__xludf.DUMMYFUNCTION("TEXTJOIN("" | "",TRUE,IF(OR(D6912="""",E6912="""",I6912="""",J6912="""",H6912=""""),""ফাঁকা ঘর"",""""),IF(AND(C6912&lt;&gt;"""",D6912&lt;&gt;"""",C6912=D6912),""gloss=figurative"",""""),IF(LEN(D6912)&lt;15,""figurative ছোট"",""""),IF(AND(I6912=""Positive"",REGEXMATCH(H6"&amp;"912,""মূর্খ|ভণ্ড|প্রতার|অলস|লোভ|স্বার্থ|অক্ষম|অযোগ্য|বোকা|কৃপণ|হিংস"")),""valence-target অমিল"",""""),IF(COUNTIF($B:$B,B6912)&gt;1,""ডুপ্লিকেট"",""""))"),"")</f>
        <v/>
      </c>
      <c r="Q6912" s="5" t="str">
        <f t="shared" si="1"/>
        <v>২ পরে</v>
      </c>
    </row>
    <row r="6913">
      <c r="A6913" s="4">
        <v>4936.0</v>
      </c>
      <c r="B6913" s="2" t="s">
        <v>28086</v>
      </c>
      <c r="C6913" s="2" t="s">
        <v>28086</v>
      </c>
      <c r="D6913" s="2" t="s">
        <v>28087</v>
      </c>
      <c r="E6913" s="2" t="s">
        <v>28088</v>
      </c>
      <c r="F6913" s="2" t="b">
        <v>1</v>
      </c>
      <c r="G6913" s="2" t="b">
        <v>0</v>
      </c>
      <c r="H6913" s="2" t="s">
        <v>23326</v>
      </c>
      <c r="I6913" s="2" t="s">
        <v>22</v>
      </c>
      <c r="J6913" s="2" t="s">
        <v>836</v>
      </c>
      <c r="K6913" s="2" t="s">
        <v>495</v>
      </c>
      <c r="L6913" s="13" t="s">
        <v>496</v>
      </c>
      <c r="M6913" s="2" t="s">
        <v>26</v>
      </c>
      <c r="N6913" s="29"/>
      <c r="O6913" s="29"/>
      <c r="P6913" s="5" t="str">
        <f>IFERROR(__xludf.DUMMYFUNCTION("TEXTJOIN("" | "",TRUE,IF(OR(D6913="""",E6913="""",I6913="""",J6913="""",H6913=""""),""ফাঁকা ঘর"",""""),IF(AND(C6913&lt;&gt;"""",D6913&lt;&gt;"""",C6913=D6913),""gloss=figurative"",""""),IF(LEN(D6913)&lt;15,""figurative ছোট"",""""),IF(AND(I6913=""Positive"",REGEXMATCH(H6"&amp;"913,""মূর্খ|ভণ্ড|প্রতার|অলস|লোভ|স্বার্থ|অক্ষম|অযোগ্য|বোকা|কৃপণ|হিংস"")),""valence-target অমিল"",""""),IF(COUNTIF($B:$B,B6913)&gt;1,""ডুপ্লিকেট"",""""))"),"")</f>
        <v/>
      </c>
      <c r="Q6913" s="5" t="str">
        <f t="shared" si="1"/>
        <v>২ পরে</v>
      </c>
    </row>
    <row r="6914">
      <c r="A6914" s="4">
        <v>4938.0</v>
      </c>
      <c r="B6914" s="2" t="s">
        <v>28089</v>
      </c>
      <c r="C6914" s="2" t="s">
        <v>28089</v>
      </c>
      <c r="D6914" s="2" t="s">
        <v>28090</v>
      </c>
      <c r="E6914" s="2" t="s">
        <v>28091</v>
      </c>
      <c r="F6914" s="2" t="b">
        <v>1</v>
      </c>
      <c r="G6914" s="2" t="b">
        <v>0</v>
      </c>
      <c r="H6914" s="2" t="s">
        <v>37</v>
      </c>
      <c r="I6914" s="2" t="s">
        <v>49</v>
      </c>
      <c r="J6914" s="2" t="s">
        <v>169</v>
      </c>
      <c r="K6914" s="2" t="s">
        <v>495</v>
      </c>
      <c r="L6914" s="13" t="s">
        <v>496</v>
      </c>
      <c r="M6914" s="2" t="s">
        <v>26</v>
      </c>
      <c r="N6914" s="29"/>
      <c r="O6914" s="29"/>
      <c r="P6914" s="5" t="str">
        <f>IFERROR(__xludf.DUMMYFUNCTION("TEXTJOIN("" | "",TRUE,IF(OR(D6914="""",E6914="""",I6914="""",J6914="""",H6914=""""),""ফাঁকা ঘর"",""""),IF(AND(C6914&lt;&gt;"""",D6914&lt;&gt;"""",C6914=D6914),""gloss=figurative"",""""),IF(LEN(D6914)&lt;15,""figurative ছোট"",""""),IF(AND(I6914=""Positive"",REGEXMATCH(H6"&amp;"914,""মূর্খ|ভণ্ড|প্রতার|অলস|লোভ|স্বার্থ|অক্ষম|অযোগ্য|বোকা|কৃপণ|হিংস"")),""valence-target অমিল"",""""),IF(COUNTIF($B:$B,B6914)&gt;1,""ডুপ্লিকেট"",""""))"),"")</f>
        <v/>
      </c>
      <c r="Q6914" s="5" t="str">
        <f t="shared" si="1"/>
        <v>২ পরে</v>
      </c>
    </row>
    <row r="6915">
      <c r="A6915" s="4">
        <v>4941.0</v>
      </c>
      <c r="B6915" s="2" t="s">
        <v>28092</v>
      </c>
      <c r="C6915" s="2" t="s">
        <v>28093</v>
      </c>
      <c r="D6915" s="2" t="s">
        <v>28094</v>
      </c>
      <c r="E6915" s="2" t="s">
        <v>28095</v>
      </c>
      <c r="F6915" s="2" t="b">
        <v>1</v>
      </c>
      <c r="G6915" s="2" t="b">
        <v>0</v>
      </c>
      <c r="H6915" s="2" t="s">
        <v>37</v>
      </c>
      <c r="I6915" s="2" t="s">
        <v>22</v>
      </c>
      <c r="J6915" s="2" t="s">
        <v>28096</v>
      </c>
      <c r="K6915" s="2" t="s">
        <v>495</v>
      </c>
      <c r="L6915" s="13" t="s">
        <v>496</v>
      </c>
      <c r="M6915" s="2" t="s">
        <v>26</v>
      </c>
      <c r="N6915" s="29"/>
      <c r="O6915" s="29"/>
      <c r="P6915" s="5" t="str">
        <f>IFERROR(__xludf.DUMMYFUNCTION("TEXTJOIN("" | "",TRUE,IF(OR(D6915="""",E6915="""",I6915="""",J6915="""",H6915=""""),""ফাঁকা ঘর"",""""),IF(AND(C6915&lt;&gt;"""",D6915&lt;&gt;"""",C6915=D6915),""gloss=figurative"",""""),IF(LEN(D6915)&lt;15,""figurative ছোট"",""""),IF(AND(I6915=""Positive"",REGEXMATCH(H6"&amp;"915,""মূর্খ|ভণ্ড|প্রতার|অলস|লোভ|স্বার্থ|অক্ষম|অযোগ্য|বোকা|কৃপণ|হিংস"")),""valence-target অমিল"",""""),IF(COUNTIF($B:$B,B6915)&gt;1,""ডুপ্লিকেট"",""""))"),"")</f>
        <v/>
      </c>
      <c r="Q6915" s="5" t="str">
        <f t="shared" si="1"/>
        <v>২ পরে</v>
      </c>
    </row>
    <row r="6916">
      <c r="A6916" s="4">
        <v>4942.0</v>
      </c>
      <c r="B6916" s="2" t="s">
        <v>28097</v>
      </c>
      <c r="C6916" s="2" t="s">
        <v>28098</v>
      </c>
      <c r="D6916" s="2" t="s">
        <v>28099</v>
      </c>
      <c r="E6916" s="2" t="s">
        <v>28100</v>
      </c>
      <c r="F6916" s="2" t="b">
        <v>1</v>
      </c>
      <c r="G6916" s="2" t="b">
        <v>0</v>
      </c>
      <c r="H6916" s="2" t="s">
        <v>37</v>
      </c>
      <c r="I6916" s="2" t="s">
        <v>22</v>
      </c>
      <c r="J6916" s="2" t="s">
        <v>1656</v>
      </c>
      <c r="K6916" s="2" t="s">
        <v>495</v>
      </c>
      <c r="L6916" s="13" t="s">
        <v>496</v>
      </c>
      <c r="M6916" s="2" t="s">
        <v>26</v>
      </c>
      <c r="N6916" s="29"/>
      <c r="O6916" s="29"/>
      <c r="P6916" s="5" t="str">
        <f>IFERROR(__xludf.DUMMYFUNCTION("TEXTJOIN("" | "",TRUE,IF(OR(D6916="""",E6916="""",I6916="""",J6916="""",H6916=""""),""ফাঁকা ঘর"",""""),IF(AND(C6916&lt;&gt;"""",D6916&lt;&gt;"""",C6916=D6916),""gloss=figurative"",""""),IF(LEN(D6916)&lt;15,""figurative ছোট"",""""),IF(AND(I6916=""Positive"",REGEXMATCH(H6"&amp;"916,""মূর্খ|ভণ্ড|প্রতার|অলস|লোভ|স্বার্থ|অক্ষম|অযোগ্য|বোকা|কৃপণ|হিংস"")),""valence-target অমিল"",""""),IF(COUNTIF($B:$B,B6916)&gt;1,""ডুপ্লিকেট"",""""))"),"")</f>
        <v/>
      </c>
      <c r="Q6916" s="5" t="str">
        <f t="shared" si="1"/>
        <v>২ পরে</v>
      </c>
    </row>
    <row r="6917">
      <c r="A6917" s="4">
        <v>4943.0</v>
      </c>
      <c r="B6917" s="2" t="s">
        <v>28101</v>
      </c>
      <c r="C6917" s="2" t="s">
        <v>28101</v>
      </c>
      <c r="D6917" s="2" t="s">
        <v>28102</v>
      </c>
      <c r="E6917" s="2" t="s">
        <v>28103</v>
      </c>
      <c r="F6917" s="2" t="b">
        <v>1</v>
      </c>
      <c r="G6917" s="2" t="b">
        <v>0</v>
      </c>
      <c r="H6917" s="2" t="s">
        <v>37</v>
      </c>
      <c r="I6917" s="2" t="s">
        <v>22</v>
      </c>
      <c r="J6917" s="2" t="s">
        <v>784</v>
      </c>
      <c r="K6917" s="2" t="s">
        <v>495</v>
      </c>
      <c r="L6917" s="13" t="s">
        <v>496</v>
      </c>
      <c r="M6917" s="2" t="s">
        <v>26</v>
      </c>
      <c r="N6917" s="29"/>
      <c r="O6917" s="29"/>
      <c r="P6917" s="5" t="str">
        <f>IFERROR(__xludf.DUMMYFUNCTION("TEXTJOIN("" | "",TRUE,IF(OR(D6917="""",E6917="""",I6917="""",J6917="""",H6917=""""),""ফাঁকা ঘর"",""""),IF(AND(C6917&lt;&gt;"""",D6917&lt;&gt;"""",C6917=D6917),""gloss=figurative"",""""),IF(LEN(D6917)&lt;15,""figurative ছোট"",""""),IF(AND(I6917=""Positive"",REGEXMATCH(H6"&amp;"917,""মূর্খ|ভণ্ড|প্রতার|অলস|লোভ|স্বার্থ|অক্ষম|অযোগ্য|বোকা|কৃপণ|হিংস"")),""valence-target অমিল"",""""),IF(COUNTIF($B:$B,B6917)&gt;1,""ডুপ্লিকেট"",""""))"),"")</f>
        <v/>
      </c>
      <c r="Q6917" s="5" t="str">
        <f t="shared" si="1"/>
        <v>২ পরে</v>
      </c>
    </row>
    <row r="6918">
      <c r="A6918" s="4">
        <v>4944.0</v>
      </c>
      <c r="B6918" s="2" t="s">
        <v>28104</v>
      </c>
      <c r="C6918" s="2" t="s">
        <v>28105</v>
      </c>
      <c r="D6918" s="2" t="s">
        <v>28106</v>
      </c>
      <c r="E6918" s="2" t="s">
        <v>28107</v>
      </c>
      <c r="F6918" s="2" t="b">
        <v>1</v>
      </c>
      <c r="G6918" s="2" t="b">
        <v>0</v>
      </c>
      <c r="H6918" s="2" t="s">
        <v>756</v>
      </c>
      <c r="I6918" s="2" t="s">
        <v>22</v>
      </c>
      <c r="J6918" s="2" t="s">
        <v>300</v>
      </c>
      <c r="K6918" s="2" t="s">
        <v>495</v>
      </c>
      <c r="L6918" s="13" t="s">
        <v>496</v>
      </c>
      <c r="M6918" s="2" t="s">
        <v>26</v>
      </c>
      <c r="N6918" s="29"/>
      <c r="O6918" s="29"/>
      <c r="P6918" s="5" t="str">
        <f>IFERROR(__xludf.DUMMYFUNCTION("TEXTJOIN("" | "",TRUE,IF(OR(D6918="""",E6918="""",I6918="""",J6918="""",H6918=""""),""ফাঁকা ঘর"",""""),IF(AND(C6918&lt;&gt;"""",D6918&lt;&gt;"""",C6918=D6918),""gloss=figurative"",""""),IF(LEN(D6918)&lt;15,""figurative ছোট"",""""),IF(AND(I6918=""Positive"",REGEXMATCH(H6"&amp;"918,""মূর্খ|ভণ্ড|প্রতার|অলস|লোভ|স্বার্থ|অক্ষম|অযোগ্য|বোকা|কৃপণ|হিংস"")),""valence-target অমিল"",""""),IF(COUNTIF($B:$B,B6918)&gt;1,""ডুপ্লিকেট"",""""))"),"")</f>
        <v/>
      </c>
      <c r="Q6918" s="5" t="str">
        <f t="shared" si="1"/>
        <v>২ পরে</v>
      </c>
    </row>
    <row r="6919">
      <c r="A6919" s="4">
        <v>4945.0</v>
      </c>
      <c r="B6919" s="2" t="s">
        <v>28108</v>
      </c>
      <c r="C6919" s="2" t="s">
        <v>28109</v>
      </c>
      <c r="D6919" s="2" t="s">
        <v>28110</v>
      </c>
      <c r="E6919" s="2" t="s">
        <v>28111</v>
      </c>
      <c r="F6919" s="2" t="b">
        <v>1</v>
      </c>
      <c r="G6919" s="2" t="b">
        <v>0</v>
      </c>
      <c r="H6919" s="2" t="s">
        <v>37</v>
      </c>
      <c r="I6919" s="2" t="s">
        <v>49</v>
      </c>
      <c r="J6919" s="2" t="s">
        <v>1803</v>
      </c>
      <c r="K6919" s="2" t="s">
        <v>495</v>
      </c>
      <c r="L6919" s="13" t="s">
        <v>496</v>
      </c>
      <c r="M6919" s="2" t="s">
        <v>26</v>
      </c>
      <c r="N6919" s="29"/>
      <c r="O6919" s="29"/>
      <c r="P6919" s="5" t="str">
        <f>IFERROR(__xludf.DUMMYFUNCTION("TEXTJOIN("" | "",TRUE,IF(OR(D6919="""",E6919="""",I6919="""",J6919="""",H6919=""""),""ফাঁকা ঘর"",""""),IF(AND(C6919&lt;&gt;"""",D6919&lt;&gt;"""",C6919=D6919),""gloss=figurative"",""""),IF(LEN(D6919)&lt;15,""figurative ছোট"",""""),IF(AND(I6919=""Positive"",REGEXMATCH(H6"&amp;"919,""মূর্খ|ভণ্ড|প্রতার|অলস|লোভ|স্বার্থ|অক্ষম|অযোগ্য|বোকা|কৃপণ|হিংস"")),""valence-target অমিল"",""""),IF(COUNTIF($B:$B,B6919)&gt;1,""ডুপ্লিকেট"",""""))"),"")</f>
        <v/>
      </c>
      <c r="Q6919" s="5" t="str">
        <f t="shared" si="1"/>
        <v>২ পরে</v>
      </c>
    </row>
    <row r="6920">
      <c r="A6920" s="4">
        <v>4946.0</v>
      </c>
      <c r="B6920" s="2" t="s">
        <v>28112</v>
      </c>
      <c r="C6920" s="2" t="s">
        <v>28112</v>
      </c>
      <c r="D6920" s="2" t="s">
        <v>28113</v>
      </c>
      <c r="E6920" s="2" t="s">
        <v>28114</v>
      </c>
      <c r="F6920" s="2" t="b">
        <v>1</v>
      </c>
      <c r="G6920" s="2" t="b">
        <v>0</v>
      </c>
      <c r="H6920" s="2" t="s">
        <v>37</v>
      </c>
      <c r="I6920" s="2" t="s">
        <v>22</v>
      </c>
      <c r="J6920" s="2" t="s">
        <v>28115</v>
      </c>
      <c r="K6920" s="2" t="s">
        <v>495</v>
      </c>
      <c r="L6920" s="13" t="s">
        <v>496</v>
      </c>
      <c r="M6920" s="2" t="s">
        <v>26</v>
      </c>
      <c r="N6920" s="29"/>
      <c r="O6920" s="29"/>
      <c r="P6920" s="5" t="str">
        <f>IFERROR(__xludf.DUMMYFUNCTION("TEXTJOIN("" | "",TRUE,IF(OR(D6920="""",E6920="""",I6920="""",J6920="""",H6920=""""),""ফাঁকা ঘর"",""""),IF(AND(C6920&lt;&gt;"""",D6920&lt;&gt;"""",C6920=D6920),""gloss=figurative"",""""),IF(LEN(D6920)&lt;15,""figurative ছোট"",""""),IF(AND(I6920=""Positive"",REGEXMATCH(H6"&amp;"920,""মূর্খ|ভণ্ড|প্রতার|অলস|লোভ|স্বার্থ|অক্ষম|অযোগ্য|বোকা|কৃপণ|হিংস"")),""valence-target অমিল"",""""),IF(COUNTIF($B:$B,B6920)&gt;1,""ডুপ্লিকেট"",""""))"),"")</f>
        <v/>
      </c>
      <c r="Q6920" s="5" t="str">
        <f t="shared" si="1"/>
        <v>২ পরে</v>
      </c>
    </row>
    <row r="6921">
      <c r="A6921" s="4">
        <v>4947.0</v>
      </c>
      <c r="B6921" s="2" t="s">
        <v>28116</v>
      </c>
      <c r="C6921" s="2" t="s">
        <v>28116</v>
      </c>
      <c r="D6921" s="2" t="s">
        <v>28117</v>
      </c>
      <c r="E6921" s="2" t="s">
        <v>28118</v>
      </c>
      <c r="F6921" s="2" t="b">
        <v>1</v>
      </c>
      <c r="G6921" s="2" t="b">
        <v>0</v>
      </c>
      <c r="H6921" s="2" t="s">
        <v>37</v>
      </c>
      <c r="I6921" s="2" t="s">
        <v>49</v>
      </c>
      <c r="J6921" s="2" t="s">
        <v>2273</v>
      </c>
      <c r="K6921" s="2" t="s">
        <v>495</v>
      </c>
      <c r="L6921" s="13" t="s">
        <v>496</v>
      </c>
      <c r="M6921" s="2" t="s">
        <v>26</v>
      </c>
      <c r="N6921" s="29"/>
      <c r="O6921" s="29"/>
      <c r="P6921" s="5" t="str">
        <f>IFERROR(__xludf.DUMMYFUNCTION("TEXTJOIN("" | "",TRUE,IF(OR(D6921="""",E6921="""",I6921="""",J6921="""",H6921=""""),""ফাঁকা ঘর"",""""),IF(AND(C6921&lt;&gt;"""",D6921&lt;&gt;"""",C6921=D6921),""gloss=figurative"",""""),IF(LEN(D6921)&lt;15,""figurative ছোট"",""""),IF(AND(I6921=""Positive"",REGEXMATCH(H6"&amp;"921,""মূর্খ|ভণ্ড|প্রতার|অলস|লোভ|স্বার্থ|অক্ষম|অযোগ্য|বোকা|কৃপণ|হিংস"")),""valence-target অমিল"",""""),IF(COUNTIF($B:$B,B6921)&gt;1,""ডুপ্লিকেট"",""""))"),"")</f>
        <v/>
      </c>
      <c r="Q6921" s="5" t="str">
        <f t="shared" si="1"/>
        <v>২ পরে</v>
      </c>
    </row>
    <row r="6922">
      <c r="A6922" s="4">
        <v>4948.0</v>
      </c>
      <c r="B6922" s="2" t="s">
        <v>28119</v>
      </c>
      <c r="C6922" s="2" t="s">
        <v>28119</v>
      </c>
      <c r="D6922" s="2" t="s">
        <v>28120</v>
      </c>
      <c r="E6922" s="2" t="s">
        <v>28121</v>
      </c>
      <c r="F6922" s="2" t="b">
        <v>1</v>
      </c>
      <c r="G6922" s="2" t="b">
        <v>0</v>
      </c>
      <c r="H6922" s="2" t="s">
        <v>37</v>
      </c>
      <c r="I6922" s="2" t="s">
        <v>22</v>
      </c>
      <c r="J6922" s="2" t="s">
        <v>1510</v>
      </c>
      <c r="K6922" s="2" t="s">
        <v>495</v>
      </c>
      <c r="L6922" s="13" t="s">
        <v>496</v>
      </c>
      <c r="M6922" s="2" t="s">
        <v>26</v>
      </c>
      <c r="N6922" s="29"/>
      <c r="O6922" s="29"/>
      <c r="P6922" s="5" t="str">
        <f>IFERROR(__xludf.DUMMYFUNCTION("TEXTJOIN("" | "",TRUE,IF(OR(D6922="""",E6922="""",I6922="""",J6922="""",H6922=""""),""ফাঁকা ঘর"",""""),IF(AND(C6922&lt;&gt;"""",D6922&lt;&gt;"""",C6922=D6922),""gloss=figurative"",""""),IF(LEN(D6922)&lt;15,""figurative ছোট"",""""),IF(AND(I6922=""Positive"",REGEXMATCH(H6"&amp;"922,""মূর্খ|ভণ্ড|প্রতার|অলস|লোভ|স্বার্থ|অক্ষম|অযোগ্য|বোকা|কৃপণ|হিংস"")),""valence-target অমিল"",""""),IF(COUNTIF($B:$B,B6922)&gt;1,""ডুপ্লিকেট"",""""))"),"")</f>
        <v/>
      </c>
      <c r="Q6922" s="5" t="str">
        <f t="shared" si="1"/>
        <v>২ পরে</v>
      </c>
    </row>
    <row r="6923">
      <c r="A6923" s="4">
        <v>4949.0</v>
      </c>
      <c r="B6923" s="2" t="s">
        <v>28122</v>
      </c>
      <c r="C6923" s="2" t="s">
        <v>28122</v>
      </c>
      <c r="D6923" s="2" t="s">
        <v>28123</v>
      </c>
      <c r="E6923" s="2" t="s">
        <v>28124</v>
      </c>
      <c r="F6923" s="2" t="b">
        <v>1</v>
      </c>
      <c r="G6923" s="2" t="b">
        <v>0</v>
      </c>
      <c r="H6923" s="2" t="s">
        <v>37</v>
      </c>
      <c r="I6923" s="2" t="s">
        <v>32</v>
      </c>
      <c r="J6923" s="2" t="s">
        <v>723</v>
      </c>
      <c r="K6923" s="2" t="s">
        <v>495</v>
      </c>
      <c r="L6923" s="13" t="s">
        <v>496</v>
      </c>
      <c r="M6923" s="2" t="s">
        <v>26</v>
      </c>
      <c r="N6923" s="29"/>
      <c r="O6923" s="29"/>
      <c r="P6923" s="5" t="str">
        <f>IFERROR(__xludf.DUMMYFUNCTION("TEXTJOIN("" | "",TRUE,IF(OR(D6923="""",E6923="""",I6923="""",J6923="""",H6923=""""),""ফাঁকা ঘর"",""""),IF(AND(C6923&lt;&gt;"""",D6923&lt;&gt;"""",C6923=D6923),""gloss=figurative"",""""),IF(LEN(D6923)&lt;15,""figurative ছোট"",""""),IF(AND(I6923=""Positive"",REGEXMATCH(H6"&amp;"923,""মূর্খ|ভণ্ড|প্রতার|অলস|লোভ|স্বার্থ|অক্ষম|অযোগ্য|বোকা|কৃপণ|হিংস"")),""valence-target অমিল"",""""),IF(COUNTIF($B:$B,B6923)&gt;1,""ডুপ্লিকেট"",""""))"),"")</f>
        <v/>
      </c>
      <c r="Q6923" s="5" t="str">
        <f t="shared" si="1"/>
        <v>২ পরে</v>
      </c>
    </row>
    <row r="6924">
      <c r="A6924" s="4">
        <v>4950.0</v>
      </c>
      <c r="B6924" s="2" t="s">
        <v>28125</v>
      </c>
      <c r="C6924" s="2" t="s">
        <v>28126</v>
      </c>
      <c r="D6924" s="2" t="s">
        <v>28127</v>
      </c>
      <c r="E6924" s="2" t="s">
        <v>28128</v>
      </c>
      <c r="F6924" s="2" t="b">
        <v>1</v>
      </c>
      <c r="G6924" s="2" t="b">
        <v>0</v>
      </c>
      <c r="H6924" s="2" t="s">
        <v>37</v>
      </c>
      <c r="I6924" s="2" t="s">
        <v>22</v>
      </c>
      <c r="J6924" s="2" t="s">
        <v>4688</v>
      </c>
      <c r="K6924" s="2" t="s">
        <v>495</v>
      </c>
      <c r="L6924" s="13" t="s">
        <v>496</v>
      </c>
      <c r="M6924" s="2" t="s">
        <v>26</v>
      </c>
      <c r="N6924" s="29"/>
      <c r="O6924" s="29"/>
      <c r="P6924" s="5" t="str">
        <f>IFERROR(__xludf.DUMMYFUNCTION("TEXTJOIN("" | "",TRUE,IF(OR(D6924="""",E6924="""",I6924="""",J6924="""",H6924=""""),""ফাঁকা ঘর"",""""),IF(AND(C6924&lt;&gt;"""",D6924&lt;&gt;"""",C6924=D6924),""gloss=figurative"",""""),IF(LEN(D6924)&lt;15,""figurative ছোট"",""""),IF(AND(I6924=""Positive"",REGEXMATCH(H6"&amp;"924,""মূর্খ|ভণ্ড|প্রতার|অলস|লোভ|স্বার্থ|অক্ষম|অযোগ্য|বোকা|কৃপণ|হিংস"")),""valence-target অমিল"",""""),IF(COUNTIF($B:$B,B6924)&gt;1,""ডুপ্লিকেট"",""""))"),"")</f>
        <v/>
      </c>
      <c r="Q6924" s="5" t="str">
        <f t="shared" si="1"/>
        <v>২ পরে</v>
      </c>
    </row>
    <row r="6925">
      <c r="A6925" s="4">
        <v>4951.0</v>
      </c>
      <c r="B6925" s="2" t="s">
        <v>28129</v>
      </c>
      <c r="C6925" s="2" t="s">
        <v>28130</v>
      </c>
      <c r="D6925" s="2" t="s">
        <v>28131</v>
      </c>
      <c r="E6925" s="2" t="s">
        <v>28132</v>
      </c>
      <c r="F6925" s="2" t="b">
        <v>1</v>
      </c>
      <c r="G6925" s="2" t="b">
        <v>0</v>
      </c>
      <c r="H6925" s="2" t="s">
        <v>37</v>
      </c>
      <c r="I6925" s="2" t="s">
        <v>49</v>
      </c>
      <c r="J6925" s="2" t="s">
        <v>996</v>
      </c>
      <c r="K6925" s="2" t="s">
        <v>495</v>
      </c>
      <c r="L6925" s="13" t="s">
        <v>496</v>
      </c>
      <c r="M6925" s="2" t="s">
        <v>26</v>
      </c>
      <c r="N6925" s="29"/>
      <c r="O6925" s="29"/>
      <c r="P6925" s="5" t="str">
        <f>IFERROR(__xludf.DUMMYFUNCTION("TEXTJOIN("" | "",TRUE,IF(OR(D6925="""",E6925="""",I6925="""",J6925="""",H6925=""""),""ফাঁকা ঘর"",""""),IF(AND(C6925&lt;&gt;"""",D6925&lt;&gt;"""",C6925=D6925),""gloss=figurative"",""""),IF(LEN(D6925)&lt;15,""figurative ছোট"",""""),IF(AND(I6925=""Positive"",REGEXMATCH(H6"&amp;"925,""মূর্খ|ভণ্ড|প্রতার|অলস|লোভ|স্বার্থ|অক্ষম|অযোগ্য|বোকা|কৃপণ|হিংস"")),""valence-target অমিল"",""""),IF(COUNTIF($B:$B,B6925)&gt;1,""ডুপ্লিকেট"",""""))"),"")</f>
        <v/>
      </c>
      <c r="Q6925" s="5" t="str">
        <f t="shared" si="1"/>
        <v>২ পরে</v>
      </c>
    </row>
    <row r="6926">
      <c r="A6926" s="4">
        <v>4952.0</v>
      </c>
      <c r="B6926" s="2" t="s">
        <v>28133</v>
      </c>
      <c r="C6926" s="2" t="s">
        <v>28134</v>
      </c>
      <c r="D6926" s="2" t="s">
        <v>28135</v>
      </c>
      <c r="E6926" s="2" t="s">
        <v>28136</v>
      </c>
      <c r="F6926" s="2" t="b">
        <v>1</v>
      </c>
      <c r="G6926" s="2" t="b">
        <v>0</v>
      </c>
      <c r="H6926" s="2" t="s">
        <v>18051</v>
      </c>
      <c r="I6926" s="2" t="s">
        <v>22</v>
      </c>
      <c r="J6926" s="2" t="s">
        <v>447</v>
      </c>
      <c r="K6926" s="2" t="s">
        <v>495</v>
      </c>
      <c r="L6926" s="13" t="s">
        <v>496</v>
      </c>
      <c r="M6926" s="2" t="s">
        <v>26</v>
      </c>
      <c r="N6926" s="29"/>
      <c r="O6926" s="29"/>
      <c r="P6926" s="5" t="str">
        <f>IFERROR(__xludf.DUMMYFUNCTION("TEXTJOIN("" | "",TRUE,IF(OR(D6926="""",E6926="""",I6926="""",J6926="""",H6926=""""),""ফাঁকা ঘর"",""""),IF(AND(C6926&lt;&gt;"""",D6926&lt;&gt;"""",C6926=D6926),""gloss=figurative"",""""),IF(LEN(D6926)&lt;15,""figurative ছোট"",""""),IF(AND(I6926=""Positive"",REGEXMATCH(H6"&amp;"926,""মূর্খ|ভণ্ড|প্রতার|অলস|লোভ|স্বার্থ|অক্ষম|অযোগ্য|বোকা|কৃপণ|হিংস"")),""valence-target অমিল"",""""),IF(COUNTIF($B:$B,B6926)&gt;1,""ডুপ্লিকেট"",""""))"),"")</f>
        <v/>
      </c>
      <c r="Q6926" s="5" t="str">
        <f t="shared" si="1"/>
        <v>২ পরে</v>
      </c>
    </row>
    <row r="6927">
      <c r="A6927" s="4">
        <v>4953.0</v>
      </c>
      <c r="B6927" s="2" t="s">
        <v>28137</v>
      </c>
      <c r="C6927" s="2" t="s">
        <v>28138</v>
      </c>
      <c r="D6927" s="2" t="s">
        <v>28139</v>
      </c>
      <c r="E6927" s="2" t="s">
        <v>28140</v>
      </c>
      <c r="F6927" s="2" t="b">
        <v>1</v>
      </c>
      <c r="G6927" s="2" t="b">
        <v>0</v>
      </c>
      <c r="H6927" s="2" t="s">
        <v>756</v>
      </c>
      <c r="I6927" s="2" t="s">
        <v>22</v>
      </c>
      <c r="J6927" s="2" t="s">
        <v>300</v>
      </c>
      <c r="K6927" s="2" t="s">
        <v>495</v>
      </c>
      <c r="L6927" s="13" t="s">
        <v>496</v>
      </c>
      <c r="M6927" s="2" t="s">
        <v>26</v>
      </c>
      <c r="N6927" s="29"/>
      <c r="O6927" s="29"/>
      <c r="P6927" s="5" t="str">
        <f>IFERROR(__xludf.DUMMYFUNCTION("TEXTJOIN("" | "",TRUE,IF(OR(D6927="""",E6927="""",I6927="""",J6927="""",H6927=""""),""ফাঁকা ঘর"",""""),IF(AND(C6927&lt;&gt;"""",D6927&lt;&gt;"""",C6927=D6927),""gloss=figurative"",""""),IF(LEN(D6927)&lt;15,""figurative ছোট"",""""),IF(AND(I6927=""Positive"",REGEXMATCH(H6"&amp;"927,""মূর্খ|ভণ্ড|প্রতার|অলস|লোভ|স্বার্থ|অক্ষম|অযোগ্য|বোকা|কৃপণ|হিংস"")),""valence-target অমিল"",""""),IF(COUNTIF($B:$B,B6927)&gt;1,""ডুপ্লিকেট"",""""))"),"")</f>
        <v/>
      </c>
      <c r="Q6927" s="5" t="str">
        <f t="shared" si="1"/>
        <v>২ পরে</v>
      </c>
    </row>
    <row r="6928">
      <c r="A6928" s="4">
        <v>4954.0</v>
      </c>
      <c r="B6928" s="2" t="s">
        <v>28141</v>
      </c>
      <c r="C6928" s="2" t="s">
        <v>28142</v>
      </c>
      <c r="D6928" s="2" t="s">
        <v>28143</v>
      </c>
      <c r="E6928" s="2" t="s">
        <v>28144</v>
      </c>
      <c r="F6928" s="2" t="b">
        <v>1</v>
      </c>
      <c r="G6928" s="2" t="b">
        <v>0</v>
      </c>
      <c r="H6928" s="2" t="s">
        <v>37</v>
      </c>
      <c r="I6928" s="2" t="s">
        <v>32</v>
      </c>
      <c r="J6928" s="2" t="s">
        <v>447</v>
      </c>
      <c r="K6928" s="2" t="s">
        <v>495</v>
      </c>
      <c r="L6928" s="13" t="s">
        <v>496</v>
      </c>
      <c r="M6928" s="2" t="s">
        <v>26</v>
      </c>
      <c r="N6928" s="29"/>
      <c r="O6928" s="29"/>
      <c r="P6928" s="5" t="str">
        <f>IFERROR(__xludf.DUMMYFUNCTION("TEXTJOIN("" | "",TRUE,IF(OR(D6928="""",E6928="""",I6928="""",J6928="""",H6928=""""),""ফাঁকা ঘর"",""""),IF(AND(C6928&lt;&gt;"""",D6928&lt;&gt;"""",C6928=D6928),""gloss=figurative"",""""),IF(LEN(D6928)&lt;15,""figurative ছোট"",""""),IF(AND(I6928=""Positive"",REGEXMATCH(H6"&amp;"928,""মূর্খ|ভণ্ড|প্রতার|অলস|লোভ|স্বার্থ|অক্ষম|অযোগ্য|বোকা|কৃপণ|হিংস"")),""valence-target অমিল"",""""),IF(COUNTIF($B:$B,B6928)&gt;1,""ডুপ্লিকেট"",""""))"),"")</f>
        <v/>
      </c>
      <c r="Q6928" s="5" t="str">
        <f t="shared" si="1"/>
        <v>২ পরে</v>
      </c>
    </row>
    <row r="6929">
      <c r="A6929" s="4">
        <v>4955.0</v>
      </c>
      <c r="B6929" s="2" t="s">
        <v>28145</v>
      </c>
      <c r="C6929" s="2" t="s">
        <v>28146</v>
      </c>
      <c r="D6929" s="2" t="s">
        <v>28147</v>
      </c>
      <c r="E6929" s="2" t="s">
        <v>28148</v>
      </c>
      <c r="F6929" s="2" t="b">
        <v>1</v>
      </c>
      <c r="G6929" s="2" t="b">
        <v>0</v>
      </c>
      <c r="H6929" s="2" t="s">
        <v>37</v>
      </c>
      <c r="I6929" s="2" t="s">
        <v>22</v>
      </c>
      <c r="J6929" s="2" t="s">
        <v>6932</v>
      </c>
      <c r="K6929" s="2" t="s">
        <v>495</v>
      </c>
      <c r="L6929" s="13" t="s">
        <v>496</v>
      </c>
      <c r="M6929" s="2" t="s">
        <v>26</v>
      </c>
      <c r="N6929" s="29"/>
      <c r="O6929" s="29"/>
      <c r="P6929" s="5" t="str">
        <f>IFERROR(__xludf.DUMMYFUNCTION("TEXTJOIN("" | "",TRUE,IF(OR(D6929="""",E6929="""",I6929="""",J6929="""",H6929=""""),""ফাঁকা ঘর"",""""),IF(AND(C6929&lt;&gt;"""",D6929&lt;&gt;"""",C6929=D6929),""gloss=figurative"",""""),IF(LEN(D6929)&lt;15,""figurative ছোট"",""""),IF(AND(I6929=""Positive"",REGEXMATCH(H6"&amp;"929,""মূর্খ|ভণ্ড|প্রতার|অলস|লোভ|স্বার্থ|অক্ষম|অযোগ্য|বোকা|কৃপণ|হিংস"")),""valence-target অমিল"",""""),IF(COUNTIF($B:$B,B6929)&gt;1,""ডুপ্লিকেট"",""""))"),"")</f>
        <v/>
      </c>
      <c r="Q6929" s="5" t="str">
        <f t="shared" si="1"/>
        <v>২ পরে</v>
      </c>
    </row>
    <row r="6930">
      <c r="A6930" s="4">
        <v>4957.0</v>
      </c>
      <c r="B6930" s="2" t="s">
        <v>28149</v>
      </c>
      <c r="C6930" s="2" t="s">
        <v>28150</v>
      </c>
      <c r="D6930" s="2" t="s">
        <v>27911</v>
      </c>
      <c r="E6930" s="2" t="s">
        <v>28151</v>
      </c>
      <c r="F6930" s="2" t="b">
        <v>1</v>
      </c>
      <c r="G6930" s="2" t="b">
        <v>0</v>
      </c>
      <c r="H6930" s="2" t="s">
        <v>37</v>
      </c>
      <c r="I6930" s="2" t="s">
        <v>32</v>
      </c>
      <c r="J6930" s="2" t="s">
        <v>891</v>
      </c>
      <c r="K6930" s="2" t="s">
        <v>495</v>
      </c>
      <c r="L6930" s="13" t="s">
        <v>496</v>
      </c>
      <c r="M6930" s="2" t="s">
        <v>26</v>
      </c>
      <c r="N6930" s="29"/>
      <c r="O6930" s="29"/>
      <c r="P6930" s="5" t="str">
        <f>IFERROR(__xludf.DUMMYFUNCTION("TEXTJOIN("" | "",TRUE,IF(OR(D6930="""",E6930="""",I6930="""",J6930="""",H6930=""""),""ফাঁকা ঘর"",""""),IF(AND(C6930&lt;&gt;"""",D6930&lt;&gt;"""",C6930=D6930),""gloss=figurative"",""""),IF(LEN(D6930)&lt;15,""figurative ছোট"",""""),IF(AND(I6930=""Positive"",REGEXMATCH(H6"&amp;"930,""মূর্খ|ভণ্ড|প্রতার|অলস|লোভ|স্বার্থ|অক্ষম|অযোগ্য|বোকা|কৃপণ|হিংস"")),""valence-target অমিল"",""""),IF(COUNTIF($B:$B,B6930)&gt;1,""ডুপ্লিকেট"",""""))"),"")</f>
        <v/>
      </c>
      <c r="Q6930" s="5" t="str">
        <f t="shared" si="1"/>
        <v>২ পরে</v>
      </c>
    </row>
    <row r="6931">
      <c r="A6931" s="4">
        <v>4958.0</v>
      </c>
      <c r="B6931" s="2" t="s">
        <v>28152</v>
      </c>
      <c r="C6931" s="2" t="s">
        <v>28153</v>
      </c>
      <c r="D6931" s="2" t="s">
        <v>28154</v>
      </c>
      <c r="E6931" s="2" t="s">
        <v>28155</v>
      </c>
      <c r="F6931" s="2" t="b">
        <v>1</v>
      </c>
      <c r="G6931" s="2" t="b">
        <v>0</v>
      </c>
      <c r="H6931" s="2" t="s">
        <v>37</v>
      </c>
      <c r="I6931" s="2" t="s">
        <v>22</v>
      </c>
      <c r="J6931" s="2" t="s">
        <v>669</v>
      </c>
      <c r="K6931" s="2" t="s">
        <v>495</v>
      </c>
      <c r="L6931" s="13" t="s">
        <v>496</v>
      </c>
      <c r="M6931" s="2" t="s">
        <v>26</v>
      </c>
      <c r="N6931" s="29"/>
      <c r="O6931" s="29"/>
      <c r="P6931" s="5" t="str">
        <f>IFERROR(__xludf.DUMMYFUNCTION("TEXTJOIN("" | "",TRUE,IF(OR(D6931="""",E6931="""",I6931="""",J6931="""",H6931=""""),""ফাঁকা ঘর"",""""),IF(AND(C6931&lt;&gt;"""",D6931&lt;&gt;"""",C6931=D6931),""gloss=figurative"",""""),IF(LEN(D6931)&lt;15,""figurative ছোট"",""""),IF(AND(I6931=""Positive"",REGEXMATCH(H6"&amp;"931,""মূর্খ|ভণ্ড|প্রতার|অলস|লোভ|স্বার্থ|অক্ষম|অযোগ্য|বোকা|কৃপণ|হিংস"")),""valence-target অমিল"",""""),IF(COUNTIF($B:$B,B6931)&gt;1,""ডুপ্লিকেট"",""""))"),"")</f>
        <v/>
      </c>
      <c r="Q6931" s="5" t="str">
        <f t="shared" si="1"/>
        <v>২ পরে</v>
      </c>
    </row>
    <row r="6932">
      <c r="A6932" s="4">
        <v>4959.0</v>
      </c>
      <c r="B6932" s="2" t="s">
        <v>28156</v>
      </c>
      <c r="C6932" s="2" t="s">
        <v>28157</v>
      </c>
      <c r="D6932" s="2" t="s">
        <v>28158</v>
      </c>
      <c r="E6932" s="2" t="s">
        <v>28159</v>
      </c>
      <c r="F6932" s="2" t="b">
        <v>1</v>
      </c>
      <c r="G6932" s="2" t="b">
        <v>0</v>
      </c>
      <c r="H6932" s="2" t="s">
        <v>37</v>
      </c>
      <c r="I6932" s="2" t="s">
        <v>32</v>
      </c>
      <c r="J6932" s="2" t="s">
        <v>3506</v>
      </c>
      <c r="K6932" s="2" t="s">
        <v>495</v>
      </c>
      <c r="L6932" s="13" t="s">
        <v>496</v>
      </c>
      <c r="M6932" s="2" t="s">
        <v>26</v>
      </c>
      <c r="N6932" s="29"/>
      <c r="O6932" s="29"/>
      <c r="P6932" s="5" t="str">
        <f>IFERROR(__xludf.DUMMYFUNCTION("TEXTJOIN("" | "",TRUE,IF(OR(D6932="""",E6932="""",I6932="""",J6932="""",H6932=""""),""ফাঁকা ঘর"",""""),IF(AND(C6932&lt;&gt;"""",D6932&lt;&gt;"""",C6932=D6932),""gloss=figurative"",""""),IF(LEN(D6932)&lt;15,""figurative ছোট"",""""),IF(AND(I6932=""Positive"",REGEXMATCH(H6"&amp;"932,""মূর্খ|ভণ্ড|প্রতার|অলস|লোভ|স্বার্থ|অক্ষম|অযোগ্য|বোকা|কৃপণ|হিংস"")),""valence-target অমিল"",""""),IF(COUNTIF($B:$B,B6932)&gt;1,""ডুপ্লিকেট"",""""))"),"")</f>
        <v/>
      </c>
      <c r="Q6932" s="5" t="str">
        <f t="shared" si="1"/>
        <v>২ পরে</v>
      </c>
    </row>
    <row r="6933">
      <c r="A6933" s="4">
        <v>4961.0</v>
      </c>
      <c r="B6933" s="2" t="s">
        <v>28160</v>
      </c>
      <c r="C6933" s="2" t="s">
        <v>28161</v>
      </c>
      <c r="D6933" s="2" t="s">
        <v>28162</v>
      </c>
      <c r="E6933" s="2" t="s">
        <v>28163</v>
      </c>
      <c r="F6933" s="2" t="b">
        <v>1</v>
      </c>
      <c r="G6933" s="2" t="b">
        <v>0</v>
      </c>
      <c r="H6933" s="2" t="s">
        <v>37</v>
      </c>
      <c r="I6933" s="2" t="s">
        <v>22</v>
      </c>
      <c r="J6933" s="2" t="s">
        <v>646</v>
      </c>
      <c r="K6933" s="2" t="s">
        <v>495</v>
      </c>
      <c r="L6933" s="13" t="s">
        <v>496</v>
      </c>
      <c r="M6933" s="2" t="s">
        <v>26</v>
      </c>
      <c r="N6933" s="29"/>
      <c r="O6933" s="29"/>
      <c r="P6933" s="5" t="str">
        <f>IFERROR(__xludf.DUMMYFUNCTION("TEXTJOIN("" | "",TRUE,IF(OR(D6933="""",E6933="""",I6933="""",J6933="""",H6933=""""),""ফাঁকা ঘর"",""""),IF(AND(C6933&lt;&gt;"""",D6933&lt;&gt;"""",C6933=D6933),""gloss=figurative"",""""),IF(LEN(D6933)&lt;15,""figurative ছোট"",""""),IF(AND(I6933=""Positive"",REGEXMATCH(H6"&amp;"933,""মূর্খ|ভণ্ড|প্রতার|অলস|লোভ|স্বার্থ|অক্ষম|অযোগ্য|বোকা|কৃপণ|হিংস"")),""valence-target অমিল"",""""),IF(COUNTIF($B:$B,B6933)&gt;1,""ডুপ্লিকেট"",""""))"),"")</f>
        <v/>
      </c>
      <c r="Q6933" s="5" t="str">
        <f t="shared" si="1"/>
        <v>২ পরে</v>
      </c>
    </row>
    <row r="6934">
      <c r="A6934" s="4">
        <v>4962.0</v>
      </c>
      <c r="B6934" s="2" t="s">
        <v>28164</v>
      </c>
      <c r="C6934" s="2" t="s">
        <v>28165</v>
      </c>
      <c r="D6934" s="2" t="s">
        <v>28166</v>
      </c>
      <c r="E6934" s="2" t="s">
        <v>28167</v>
      </c>
      <c r="F6934" s="2" t="b">
        <v>1</v>
      </c>
      <c r="G6934" s="2" t="b">
        <v>0</v>
      </c>
      <c r="H6934" s="2" t="s">
        <v>37</v>
      </c>
      <c r="I6934" s="2" t="s">
        <v>22</v>
      </c>
      <c r="J6934" s="2" t="s">
        <v>646</v>
      </c>
      <c r="K6934" s="2" t="s">
        <v>495</v>
      </c>
      <c r="L6934" s="13" t="s">
        <v>496</v>
      </c>
      <c r="M6934" s="2" t="s">
        <v>26</v>
      </c>
      <c r="N6934" s="29"/>
      <c r="O6934" s="29"/>
      <c r="P6934" s="5" t="str">
        <f>IFERROR(__xludf.DUMMYFUNCTION("TEXTJOIN("" | "",TRUE,IF(OR(D6934="""",E6934="""",I6934="""",J6934="""",H6934=""""),""ফাঁকা ঘর"",""""),IF(AND(C6934&lt;&gt;"""",D6934&lt;&gt;"""",C6934=D6934),""gloss=figurative"",""""),IF(LEN(D6934)&lt;15,""figurative ছোট"",""""),IF(AND(I6934=""Positive"",REGEXMATCH(H6"&amp;"934,""মূর্খ|ভণ্ড|প্রতার|অলস|লোভ|স্বার্থ|অক্ষম|অযোগ্য|বোকা|কৃপণ|হিংস"")),""valence-target অমিল"",""""),IF(COUNTIF($B:$B,B6934)&gt;1,""ডুপ্লিকেট"",""""))"),"")</f>
        <v/>
      </c>
      <c r="Q6934" s="5" t="str">
        <f t="shared" si="1"/>
        <v>২ পরে</v>
      </c>
    </row>
    <row r="6935">
      <c r="A6935" s="4">
        <v>4963.0</v>
      </c>
      <c r="B6935" s="2" t="s">
        <v>28168</v>
      </c>
      <c r="C6935" s="2" t="s">
        <v>28169</v>
      </c>
      <c r="D6935" s="2" t="s">
        <v>28170</v>
      </c>
      <c r="E6935" s="2" t="s">
        <v>28171</v>
      </c>
      <c r="F6935" s="2" t="b">
        <v>1</v>
      </c>
      <c r="G6935" s="2" t="b">
        <v>0</v>
      </c>
      <c r="H6935" s="2" t="s">
        <v>37</v>
      </c>
      <c r="I6935" s="2" t="s">
        <v>49</v>
      </c>
      <c r="J6935" s="2" t="s">
        <v>5143</v>
      </c>
      <c r="K6935" s="2" t="s">
        <v>495</v>
      </c>
      <c r="L6935" s="13" t="s">
        <v>496</v>
      </c>
      <c r="M6935" s="2" t="s">
        <v>26</v>
      </c>
      <c r="N6935" s="29"/>
      <c r="O6935" s="29"/>
      <c r="P6935" s="5" t="str">
        <f>IFERROR(__xludf.DUMMYFUNCTION("TEXTJOIN("" | "",TRUE,IF(OR(D6935="""",E6935="""",I6935="""",J6935="""",H6935=""""),""ফাঁকা ঘর"",""""),IF(AND(C6935&lt;&gt;"""",D6935&lt;&gt;"""",C6935=D6935),""gloss=figurative"",""""),IF(LEN(D6935)&lt;15,""figurative ছোট"",""""),IF(AND(I6935=""Positive"",REGEXMATCH(H6"&amp;"935,""মূর্খ|ভণ্ড|প্রতার|অলস|লোভ|স্বার্থ|অক্ষম|অযোগ্য|বোকা|কৃপণ|হিংস"")),""valence-target অমিল"",""""),IF(COUNTIF($B:$B,B6935)&gt;1,""ডুপ্লিকেট"",""""))"),"")</f>
        <v/>
      </c>
      <c r="Q6935" s="5" t="str">
        <f t="shared" si="1"/>
        <v>২ পরে</v>
      </c>
    </row>
    <row r="6936">
      <c r="A6936" s="4">
        <v>4964.0</v>
      </c>
      <c r="B6936" s="2" t="s">
        <v>28172</v>
      </c>
      <c r="C6936" s="2" t="s">
        <v>28173</v>
      </c>
      <c r="D6936" s="2" t="s">
        <v>28174</v>
      </c>
      <c r="E6936" s="2" t="s">
        <v>28175</v>
      </c>
      <c r="F6936" s="2" t="b">
        <v>1</v>
      </c>
      <c r="G6936" s="2" t="b">
        <v>0</v>
      </c>
      <c r="H6936" s="2" t="s">
        <v>37</v>
      </c>
      <c r="I6936" s="2" t="s">
        <v>22</v>
      </c>
      <c r="J6936" s="2" t="s">
        <v>1572</v>
      </c>
      <c r="K6936" s="2" t="s">
        <v>495</v>
      </c>
      <c r="L6936" s="13" t="s">
        <v>496</v>
      </c>
      <c r="M6936" s="2" t="s">
        <v>26</v>
      </c>
      <c r="N6936" s="29"/>
      <c r="O6936" s="29"/>
      <c r="P6936" s="5" t="str">
        <f>IFERROR(__xludf.DUMMYFUNCTION("TEXTJOIN("" | "",TRUE,IF(OR(D6936="""",E6936="""",I6936="""",J6936="""",H6936=""""),""ফাঁকা ঘর"",""""),IF(AND(C6936&lt;&gt;"""",D6936&lt;&gt;"""",C6936=D6936),""gloss=figurative"",""""),IF(LEN(D6936)&lt;15,""figurative ছোট"",""""),IF(AND(I6936=""Positive"",REGEXMATCH(H6"&amp;"936,""মূর্খ|ভণ্ড|প্রতার|অলস|লোভ|স্বার্থ|অক্ষম|অযোগ্য|বোকা|কৃপণ|হিংস"")),""valence-target অমিল"",""""),IF(COUNTIF($B:$B,B6936)&gt;1,""ডুপ্লিকেট"",""""))"),"")</f>
        <v/>
      </c>
      <c r="Q6936" s="5" t="str">
        <f t="shared" si="1"/>
        <v>২ পরে</v>
      </c>
    </row>
    <row r="6937">
      <c r="A6937" s="4">
        <v>4965.0</v>
      </c>
      <c r="B6937" s="2" t="s">
        <v>28176</v>
      </c>
      <c r="C6937" s="2" t="s">
        <v>28177</v>
      </c>
      <c r="D6937" s="2" t="s">
        <v>28178</v>
      </c>
      <c r="E6937" s="2" t="s">
        <v>28179</v>
      </c>
      <c r="F6937" s="2" t="b">
        <v>1</v>
      </c>
      <c r="G6937" s="2" t="b">
        <v>0</v>
      </c>
      <c r="H6937" s="2" t="s">
        <v>37</v>
      </c>
      <c r="I6937" s="2" t="s">
        <v>49</v>
      </c>
      <c r="J6937" s="2" t="s">
        <v>5143</v>
      </c>
      <c r="K6937" s="2" t="s">
        <v>495</v>
      </c>
      <c r="L6937" s="13" t="s">
        <v>496</v>
      </c>
      <c r="M6937" s="2" t="s">
        <v>26</v>
      </c>
      <c r="N6937" s="29"/>
      <c r="O6937" s="29"/>
      <c r="P6937" s="5" t="str">
        <f>IFERROR(__xludf.DUMMYFUNCTION("TEXTJOIN("" | "",TRUE,IF(OR(D6937="""",E6937="""",I6937="""",J6937="""",H6937=""""),""ফাঁকা ঘর"",""""),IF(AND(C6937&lt;&gt;"""",D6937&lt;&gt;"""",C6937=D6937),""gloss=figurative"",""""),IF(LEN(D6937)&lt;15,""figurative ছোট"",""""),IF(AND(I6937=""Positive"",REGEXMATCH(H6"&amp;"937,""মূর্খ|ভণ্ড|প্রতার|অলস|লোভ|স্বার্থ|অক্ষম|অযোগ্য|বোকা|কৃপণ|হিংস"")),""valence-target অমিল"",""""),IF(COUNTIF($B:$B,B6937)&gt;1,""ডুপ্লিকেট"",""""))"),"")</f>
        <v/>
      </c>
      <c r="Q6937" s="5" t="str">
        <f t="shared" si="1"/>
        <v>২ পরে</v>
      </c>
    </row>
    <row r="6938">
      <c r="A6938" s="4">
        <v>4966.0</v>
      </c>
      <c r="B6938" s="2" t="s">
        <v>28180</v>
      </c>
      <c r="C6938" s="2" t="s">
        <v>28181</v>
      </c>
      <c r="D6938" s="2" t="s">
        <v>28182</v>
      </c>
      <c r="E6938" s="2" t="s">
        <v>28183</v>
      </c>
      <c r="F6938" s="2" t="b">
        <v>1</v>
      </c>
      <c r="G6938" s="2" t="b">
        <v>0</v>
      </c>
      <c r="H6938" s="2" t="s">
        <v>37</v>
      </c>
      <c r="I6938" s="2" t="s">
        <v>32</v>
      </c>
      <c r="J6938" s="2" t="s">
        <v>28184</v>
      </c>
      <c r="K6938" s="2" t="s">
        <v>495</v>
      </c>
      <c r="L6938" s="13" t="s">
        <v>496</v>
      </c>
      <c r="M6938" s="2" t="s">
        <v>26</v>
      </c>
      <c r="N6938" s="29"/>
      <c r="O6938" s="29"/>
      <c r="P6938" s="5" t="str">
        <f>IFERROR(__xludf.DUMMYFUNCTION("TEXTJOIN("" | "",TRUE,IF(OR(D6938="""",E6938="""",I6938="""",J6938="""",H6938=""""),""ফাঁকা ঘর"",""""),IF(AND(C6938&lt;&gt;"""",D6938&lt;&gt;"""",C6938=D6938),""gloss=figurative"",""""),IF(LEN(D6938)&lt;15,""figurative ছোট"",""""),IF(AND(I6938=""Positive"",REGEXMATCH(H6"&amp;"938,""মূর্খ|ভণ্ড|প্রতার|অলস|লোভ|স্বার্থ|অক্ষম|অযোগ্য|বোকা|কৃপণ|হিংস"")),""valence-target অমিল"",""""),IF(COUNTIF($B:$B,B6938)&gt;1,""ডুপ্লিকেট"",""""))"),"")</f>
        <v/>
      </c>
      <c r="Q6938" s="5" t="str">
        <f t="shared" si="1"/>
        <v>২ পরে</v>
      </c>
    </row>
    <row r="6939">
      <c r="A6939" s="4">
        <v>4967.0</v>
      </c>
      <c r="B6939" s="2" t="s">
        <v>28185</v>
      </c>
      <c r="C6939" s="2" t="s">
        <v>28186</v>
      </c>
      <c r="D6939" s="2" t="s">
        <v>28187</v>
      </c>
      <c r="E6939" s="2" t="s">
        <v>28188</v>
      </c>
      <c r="F6939" s="2" t="b">
        <v>1</v>
      </c>
      <c r="G6939" s="2" t="b">
        <v>0</v>
      </c>
      <c r="H6939" s="2" t="s">
        <v>37</v>
      </c>
      <c r="I6939" s="2" t="s">
        <v>49</v>
      </c>
      <c r="J6939" s="2" t="s">
        <v>28189</v>
      </c>
      <c r="K6939" s="2" t="s">
        <v>495</v>
      </c>
      <c r="L6939" s="13" t="s">
        <v>496</v>
      </c>
      <c r="M6939" s="2" t="s">
        <v>26</v>
      </c>
      <c r="N6939" s="29"/>
      <c r="O6939" s="29"/>
      <c r="P6939" s="5" t="str">
        <f>IFERROR(__xludf.DUMMYFUNCTION("TEXTJOIN("" | "",TRUE,IF(OR(D6939="""",E6939="""",I6939="""",J6939="""",H6939=""""),""ফাঁকা ঘর"",""""),IF(AND(C6939&lt;&gt;"""",D6939&lt;&gt;"""",C6939=D6939),""gloss=figurative"",""""),IF(LEN(D6939)&lt;15,""figurative ছোট"",""""),IF(AND(I6939=""Positive"",REGEXMATCH(H6"&amp;"939,""মূর্খ|ভণ্ড|প্রতার|অলস|লোভ|স্বার্থ|অক্ষম|অযোগ্য|বোকা|কৃপণ|হিংস"")),""valence-target অমিল"",""""),IF(COUNTIF($B:$B,B6939)&gt;1,""ডুপ্লিকেট"",""""))"),"")</f>
        <v/>
      </c>
      <c r="Q6939" s="5" t="str">
        <f t="shared" si="1"/>
        <v>২ পরে</v>
      </c>
    </row>
    <row r="6940">
      <c r="A6940" s="4">
        <v>4968.0</v>
      </c>
      <c r="B6940" s="2" t="s">
        <v>28190</v>
      </c>
      <c r="C6940" s="2" t="s">
        <v>28191</v>
      </c>
      <c r="D6940" s="2" t="s">
        <v>27752</v>
      </c>
      <c r="E6940" s="2" t="s">
        <v>28192</v>
      </c>
      <c r="F6940" s="2" t="b">
        <v>1</v>
      </c>
      <c r="G6940" s="2" t="b">
        <v>0</v>
      </c>
      <c r="H6940" s="2" t="s">
        <v>37</v>
      </c>
      <c r="I6940" s="2" t="s">
        <v>32</v>
      </c>
      <c r="J6940" s="2" t="s">
        <v>601</v>
      </c>
      <c r="K6940" s="2" t="s">
        <v>495</v>
      </c>
      <c r="L6940" s="13" t="s">
        <v>496</v>
      </c>
      <c r="M6940" s="2" t="s">
        <v>26</v>
      </c>
      <c r="N6940" s="29"/>
      <c r="O6940" s="29"/>
      <c r="P6940" s="5" t="str">
        <f>IFERROR(__xludf.DUMMYFUNCTION("TEXTJOIN("" | "",TRUE,IF(OR(D6940="""",E6940="""",I6940="""",J6940="""",H6940=""""),""ফাঁকা ঘর"",""""),IF(AND(C6940&lt;&gt;"""",D6940&lt;&gt;"""",C6940=D6940),""gloss=figurative"",""""),IF(LEN(D6940)&lt;15,""figurative ছোট"",""""),IF(AND(I6940=""Positive"",REGEXMATCH(H6"&amp;"940,""মূর্খ|ভণ্ড|প্রতার|অলস|লোভ|স্বার্থ|অক্ষম|অযোগ্য|বোকা|কৃপণ|হিংস"")),""valence-target অমিল"",""""),IF(COUNTIF($B:$B,B6940)&gt;1,""ডুপ্লিকেট"",""""))"),"")</f>
        <v/>
      </c>
      <c r="Q6940" s="5" t="str">
        <f t="shared" si="1"/>
        <v>২ পরে</v>
      </c>
    </row>
    <row r="6941">
      <c r="A6941" s="4">
        <v>4969.0</v>
      </c>
      <c r="B6941" s="2" t="s">
        <v>28193</v>
      </c>
      <c r="C6941" s="2" t="s">
        <v>28194</v>
      </c>
      <c r="D6941" s="2" t="s">
        <v>28195</v>
      </c>
      <c r="E6941" s="2" t="s">
        <v>28196</v>
      </c>
      <c r="F6941" s="2" t="b">
        <v>1</v>
      </c>
      <c r="G6941" s="2" t="b">
        <v>0</v>
      </c>
      <c r="H6941" s="2" t="s">
        <v>37</v>
      </c>
      <c r="I6941" s="2" t="s">
        <v>22</v>
      </c>
      <c r="J6941" s="2" t="s">
        <v>1397</v>
      </c>
      <c r="K6941" s="2" t="s">
        <v>495</v>
      </c>
      <c r="L6941" s="13" t="s">
        <v>496</v>
      </c>
      <c r="M6941" s="2" t="s">
        <v>26</v>
      </c>
      <c r="N6941" s="29"/>
      <c r="O6941" s="29"/>
      <c r="P6941" s="5" t="str">
        <f>IFERROR(__xludf.DUMMYFUNCTION("TEXTJOIN("" | "",TRUE,IF(OR(D6941="""",E6941="""",I6941="""",J6941="""",H6941=""""),""ফাঁকা ঘর"",""""),IF(AND(C6941&lt;&gt;"""",D6941&lt;&gt;"""",C6941=D6941),""gloss=figurative"",""""),IF(LEN(D6941)&lt;15,""figurative ছোট"",""""),IF(AND(I6941=""Positive"",REGEXMATCH(H6"&amp;"941,""মূর্খ|ভণ্ড|প্রতার|অলস|লোভ|স্বার্থ|অক্ষম|অযোগ্য|বোকা|কৃপণ|হিংস"")),""valence-target অমিল"",""""),IF(COUNTIF($B:$B,B6941)&gt;1,""ডুপ্লিকেট"",""""))"),"")</f>
        <v/>
      </c>
      <c r="Q6941" s="5" t="str">
        <f t="shared" si="1"/>
        <v>২ পরে</v>
      </c>
    </row>
    <row r="6942">
      <c r="A6942" s="4">
        <v>4970.0</v>
      </c>
      <c r="B6942" s="2" t="s">
        <v>28197</v>
      </c>
      <c r="C6942" s="2" t="s">
        <v>28198</v>
      </c>
      <c r="D6942" s="2" t="s">
        <v>28199</v>
      </c>
      <c r="E6942" s="2" t="s">
        <v>28200</v>
      </c>
      <c r="F6942" s="2" t="b">
        <v>1</v>
      </c>
      <c r="G6942" s="2" t="b">
        <v>0</v>
      </c>
      <c r="H6942" s="2" t="s">
        <v>37</v>
      </c>
      <c r="I6942" s="2" t="s">
        <v>22</v>
      </c>
      <c r="J6942" s="2" t="s">
        <v>1146</v>
      </c>
      <c r="K6942" s="2" t="s">
        <v>495</v>
      </c>
      <c r="L6942" s="13" t="s">
        <v>496</v>
      </c>
      <c r="M6942" s="2" t="s">
        <v>26</v>
      </c>
      <c r="N6942" s="29"/>
      <c r="O6942" s="29"/>
      <c r="P6942" s="5" t="str">
        <f>IFERROR(__xludf.DUMMYFUNCTION("TEXTJOIN("" | "",TRUE,IF(OR(D6942="""",E6942="""",I6942="""",J6942="""",H6942=""""),""ফাঁকা ঘর"",""""),IF(AND(C6942&lt;&gt;"""",D6942&lt;&gt;"""",C6942=D6942),""gloss=figurative"",""""),IF(LEN(D6942)&lt;15,""figurative ছোট"",""""),IF(AND(I6942=""Positive"",REGEXMATCH(H6"&amp;"942,""মূর্খ|ভণ্ড|প্রতার|অলস|লোভ|স্বার্থ|অক্ষম|অযোগ্য|বোকা|কৃপণ|হিংস"")),""valence-target অমিল"",""""),IF(COUNTIF($B:$B,B6942)&gt;1,""ডুপ্লিকেট"",""""))"),"")</f>
        <v/>
      </c>
      <c r="Q6942" s="5" t="str">
        <f t="shared" si="1"/>
        <v>২ পরে</v>
      </c>
    </row>
    <row r="6943">
      <c r="A6943" s="4">
        <v>4972.0</v>
      </c>
      <c r="B6943" s="2" t="s">
        <v>28201</v>
      </c>
      <c r="C6943" s="2" t="s">
        <v>28202</v>
      </c>
      <c r="D6943" s="2" t="s">
        <v>28203</v>
      </c>
      <c r="E6943" s="2" t="s">
        <v>28204</v>
      </c>
      <c r="F6943" s="2" t="b">
        <v>1</v>
      </c>
      <c r="G6943" s="2" t="b">
        <v>0</v>
      </c>
      <c r="H6943" s="2" t="s">
        <v>1484</v>
      </c>
      <c r="I6943" s="2" t="s">
        <v>22</v>
      </c>
      <c r="J6943" s="2" t="s">
        <v>1397</v>
      </c>
      <c r="K6943" s="2" t="s">
        <v>495</v>
      </c>
      <c r="L6943" s="13" t="s">
        <v>496</v>
      </c>
      <c r="M6943" s="2" t="s">
        <v>26</v>
      </c>
      <c r="N6943" s="29"/>
      <c r="O6943" s="29"/>
      <c r="P6943" s="5" t="str">
        <f>IFERROR(__xludf.DUMMYFUNCTION("TEXTJOIN("" | "",TRUE,IF(OR(D6943="""",E6943="""",I6943="""",J6943="""",H6943=""""),""ফাঁকা ঘর"",""""),IF(AND(C6943&lt;&gt;"""",D6943&lt;&gt;"""",C6943=D6943),""gloss=figurative"",""""),IF(LEN(D6943)&lt;15,""figurative ছোট"",""""),IF(AND(I6943=""Positive"",REGEXMATCH(H6"&amp;"943,""মূর্খ|ভণ্ড|প্রতার|অলস|লোভ|স্বার্থ|অক্ষম|অযোগ্য|বোকা|কৃপণ|হিংস"")),""valence-target অমিল"",""""),IF(COUNTIF($B:$B,B6943)&gt;1,""ডুপ্লিকেট"",""""))"),"")</f>
        <v/>
      </c>
      <c r="Q6943" s="5" t="str">
        <f t="shared" si="1"/>
        <v>২ পরে</v>
      </c>
    </row>
    <row r="6944">
      <c r="A6944" s="4">
        <v>4973.0</v>
      </c>
      <c r="B6944" s="2" t="s">
        <v>28205</v>
      </c>
      <c r="C6944" s="2" t="s">
        <v>28206</v>
      </c>
      <c r="D6944" s="2" t="s">
        <v>28207</v>
      </c>
      <c r="E6944" s="2" t="s">
        <v>28208</v>
      </c>
      <c r="F6944" s="2" t="b">
        <v>1</v>
      </c>
      <c r="G6944" s="2" t="b">
        <v>0</v>
      </c>
      <c r="H6944" s="2" t="s">
        <v>37</v>
      </c>
      <c r="I6944" s="2" t="s">
        <v>49</v>
      </c>
      <c r="J6944" s="2" t="s">
        <v>4670</v>
      </c>
      <c r="K6944" s="2" t="s">
        <v>495</v>
      </c>
      <c r="L6944" s="13" t="s">
        <v>496</v>
      </c>
      <c r="M6944" s="2" t="s">
        <v>26</v>
      </c>
      <c r="N6944" s="29"/>
      <c r="O6944" s="29"/>
      <c r="P6944" s="5" t="str">
        <f>IFERROR(__xludf.DUMMYFUNCTION("TEXTJOIN("" | "",TRUE,IF(OR(D6944="""",E6944="""",I6944="""",J6944="""",H6944=""""),""ফাঁকা ঘর"",""""),IF(AND(C6944&lt;&gt;"""",D6944&lt;&gt;"""",C6944=D6944),""gloss=figurative"",""""),IF(LEN(D6944)&lt;15,""figurative ছোট"",""""),IF(AND(I6944=""Positive"",REGEXMATCH(H6"&amp;"944,""মূর্খ|ভণ্ড|প্রতার|অলস|লোভ|স্বার্থ|অক্ষম|অযোগ্য|বোকা|কৃপণ|হিংস"")),""valence-target অমিল"",""""),IF(COUNTIF($B:$B,B6944)&gt;1,""ডুপ্লিকেট"",""""))"),"")</f>
        <v/>
      </c>
      <c r="Q6944" s="5" t="str">
        <f t="shared" si="1"/>
        <v>২ পরে</v>
      </c>
    </row>
    <row r="6945">
      <c r="A6945" s="4">
        <v>4974.0</v>
      </c>
      <c r="B6945" s="2" t="s">
        <v>28209</v>
      </c>
      <c r="C6945" s="2" t="s">
        <v>28210</v>
      </c>
      <c r="D6945" s="2" t="s">
        <v>28211</v>
      </c>
      <c r="E6945" s="2" t="s">
        <v>28212</v>
      </c>
      <c r="F6945" s="2" t="b">
        <v>1</v>
      </c>
      <c r="G6945" s="2" t="b">
        <v>0</v>
      </c>
      <c r="H6945" s="2" t="s">
        <v>37</v>
      </c>
      <c r="I6945" s="2" t="s">
        <v>49</v>
      </c>
      <c r="J6945" s="2" t="s">
        <v>3364</v>
      </c>
      <c r="K6945" s="2" t="s">
        <v>495</v>
      </c>
      <c r="L6945" s="13" t="s">
        <v>496</v>
      </c>
      <c r="M6945" s="2" t="s">
        <v>26</v>
      </c>
      <c r="N6945" s="29"/>
      <c r="O6945" s="29"/>
      <c r="P6945" s="5" t="str">
        <f>IFERROR(__xludf.DUMMYFUNCTION("TEXTJOIN("" | "",TRUE,IF(OR(D6945="""",E6945="""",I6945="""",J6945="""",H6945=""""),""ফাঁকা ঘর"",""""),IF(AND(C6945&lt;&gt;"""",D6945&lt;&gt;"""",C6945=D6945),""gloss=figurative"",""""),IF(LEN(D6945)&lt;15,""figurative ছোট"",""""),IF(AND(I6945=""Positive"",REGEXMATCH(H6"&amp;"945,""মূর্খ|ভণ্ড|প্রতার|অলস|লোভ|স্বার্থ|অক্ষম|অযোগ্য|বোকা|কৃপণ|হিংস"")),""valence-target অমিল"",""""),IF(COUNTIF($B:$B,B6945)&gt;1,""ডুপ্লিকেট"",""""))"),"")</f>
        <v/>
      </c>
      <c r="Q6945" s="5" t="str">
        <f t="shared" si="1"/>
        <v>২ পরে</v>
      </c>
    </row>
    <row r="6946">
      <c r="A6946" s="4">
        <v>4975.0</v>
      </c>
      <c r="B6946" s="2" t="s">
        <v>28213</v>
      </c>
      <c r="C6946" s="2" t="s">
        <v>28214</v>
      </c>
      <c r="D6946" s="2" t="s">
        <v>28215</v>
      </c>
      <c r="E6946" s="2" t="s">
        <v>28216</v>
      </c>
      <c r="F6946" s="2" t="b">
        <v>1</v>
      </c>
      <c r="G6946" s="2" t="b">
        <v>0</v>
      </c>
      <c r="H6946" s="2" t="s">
        <v>37</v>
      </c>
      <c r="I6946" s="2" t="s">
        <v>32</v>
      </c>
      <c r="J6946" s="2" t="s">
        <v>669</v>
      </c>
      <c r="K6946" s="2" t="s">
        <v>495</v>
      </c>
      <c r="L6946" s="13" t="s">
        <v>496</v>
      </c>
      <c r="M6946" s="2" t="s">
        <v>26</v>
      </c>
      <c r="N6946" s="29"/>
      <c r="O6946" s="29"/>
      <c r="P6946" s="5" t="str">
        <f>IFERROR(__xludf.DUMMYFUNCTION("TEXTJOIN("" | "",TRUE,IF(OR(D6946="""",E6946="""",I6946="""",J6946="""",H6946=""""),""ফাঁকা ঘর"",""""),IF(AND(C6946&lt;&gt;"""",D6946&lt;&gt;"""",C6946=D6946),""gloss=figurative"",""""),IF(LEN(D6946)&lt;15,""figurative ছোট"",""""),IF(AND(I6946=""Positive"",REGEXMATCH(H6"&amp;"946,""মূর্খ|ভণ্ড|প্রতার|অলস|লোভ|স্বার্থ|অক্ষম|অযোগ্য|বোকা|কৃপণ|হিংস"")),""valence-target অমিল"",""""),IF(COUNTIF($B:$B,B6946)&gt;1,""ডুপ্লিকেট"",""""))"),"")</f>
        <v/>
      </c>
      <c r="Q6946" s="5" t="str">
        <f t="shared" si="1"/>
        <v>২ পরে</v>
      </c>
    </row>
    <row r="6947">
      <c r="A6947" s="4">
        <v>4976.0</v>
      </c>
      <c r="B6947" s="2" t="s">
        <v>28217</v>
      </c>
      <c r="C6947" s="2" t="s">
        <v>28218</v>
      </c>
      <c r="D6947" s="2" t="s">
        <v>28219</v>
      </c>
      <c r="E6947" s="2" t="s">
        <v>28220</v>
      </c>
      <c r="F6947" s="2" t="b">
        <v>1</v>
      </c>
      <c r="G6947" s="2" t="b">
        <v>0</v>
      </c>
      <c r="H6947" s="2" t="s">
        <v>37</v>
      </c>
      <c r="I6947" s="2" t="s">
        <v>49</v>
      </c>
      <c r="J6947" s="2" t="s">
        <v>162</v>
      </c>
      <c r="K6947" s="2" t="s">
        <v>495</v>
      </c>
      <c r="L6947" s="13" t="s">
        <v>496</v>
      </c>
      <c r="M6947" s="2" t="s">
        <v>26</v>
      </c>
      <c r="N6947" s="29"/>
      <c r="O6947" s="29"/>
      <c r="P6947" s="5" t="str">
        <f>IFERROR(__xludf.DUMMYFUNCTION("TEXTJOIN("" | "",TRUE,IF(OR(D6947="""",E6947="""",I6947="""",J6947="""",H6947=""""),""ফাঁকা ঘর"",""""),IF(AND(C6947&lt;&gt;"""",D6947&lt;&gt;"""",C6947=D6947),""gloss=figurative"",""""),IF(LEN(D6947)&lt;15,""figurative ছোট"",""""),IF(AND(I6947=""Positive"",REGEXMATCH(H6"&amp;"947,""মূর্খ|ভণ্ড|প্রতার|অলস|লোভ|স্বার্থ|অক্ষম|অযোগ্য|বোকা|কৃপণ|হিংস"")),""valence-target অমিল"",""""),IF(COUNTIF($B:$B,B6947)&gt;1,""ডুপ্লিকেট"",""""))"),"")</f>
        <v/>
      </c>
      <c r="Q6947" s="5" t="str">
        <f t="shared" si="1"/>
        <v>২ পরে</v>
      </c>
    </row>
    <row r="6948">
      <c r="A6948" s="4">
        <v>4977.0</v>
      </c>
      <c r="B6948" s="2" t="s">
        <v>28221</v>
      </c>
      <c r="C6948" s="2" t="s">
        <v>28222</v>
      </c>
      <c r="D6948" s="2" t="s">
        <v>28223</v>
      </c>
      <c r="E6948" s="2" t="s">
        <v>28224</v>
      </c>
      <c r="F6948" s="2" t="b">
        <v>1</v>
      </c>
      <c r="G6948" s="2" t="b">
        <v>0</v>
      </c>
      <c r="H6948" s="2" t="s">
        <v>37</v>
      </c>
      <c r="I6948" s="2" t="s">
        <v>49</v>
      </c>
      <c r="J6948" s="2" t="s">
        <v>565</v>
      </c>
      <c r="K6948" s="2" t="s">
        <v>495</v>
      </c>
      <c r="L6948" s="13" t="s">
        <v>496</v>
      </c>
      <c r="M6948" s="2" t="s">
        <v>26</v>
      </c>
      <c r="N6948" s="29"/>
      <c r="O6948" s="29"/>
      <c r="P6948" s="5" t="str">
        <f>IFERROR(__xludf.DUMMYFUNCTION("TEXTJOIN("" | "",TRUE,IF(OR(D6948="""",E6948="""",I6948="""",J6948="""",H6948=""""),""ফাঁকা ঘর"",""""),IF(AND(C6948&lt;&gt;"""",D6948&lt;&gt;"""",C6948=D6948),""gloss=figurative"",""""),IF(LEN(D6948)&lt;15,""figurative ছোট"",""""),IF(AND(I6948=""Positive"",REGEXMATCH(H6"&amp;"948,""মূর্খ|ভণ্ড|প্রতার|অলস|লোভ|স্বার্থ|অক্ষম|অযোগ্য|বোকা|কৃপণ|হিংস"")),""valence-target অমিল"",""""),IF(COUNTIF($B:$B,B6948)&gt;1,""ডুপ্লিকেট"",""""))"),"")</f>
        <v/>
      </c>
      <c r="Q6948" s="5" t="str">
        <f t="shared" si="1"/>
        <v>২ পরে</v>
      </c>
    </row>
    <row r="6949">
      <c r="A6949" s="4">
        <v>4978.0</v>
      </c>
      <c r="B6949" s="2" t="s">
        <v>28225</v>
      </c>
      <c r="C6949" s="2" t="s">
        <v>28226</v>
      </c>
      <c r="D6949" s="2" t="s">
        <v>28227</v>
      </c>
      <c r="E6949" s="2" t="s">
        <v>28228</v>
      </c>
      <c r="F6949" s="2" t="b">
        <v>1</v>
      </c>
      <c r="G6949" s="2" t="b">
        <v>0</v>
      </c>
      <c r="H6949" s="2" t="s">
        <v>37</v>
      </c>
      <c r="I6949" s="2" t="s">
        <v>32</v>
      </c>
      <c r="J6949" s="2" t="s">
        <v>4067</v>
      </c>
      <c r="K6949" s="2" t="s">
        <v>495</v>
      </c>
      <c r="L6949" s="13" t="s">
        <v>496</v>
      </c>
      <c r="M6949" s="2" t="s">
        <v>26</v>
      </c>
      <c r="N6949" s="29"/>
      <c r="O6949" s="29"/>
      <c r="P6949" s="5" t="str">
        <f>IFERROR(__xludf.DUMMYFUNCTION("TEXTJOIN("" | "",TRUE,IF(OR(D6949="""",E6949="""",I6949="""",J6949="""",H6949=""""),""ফাঁকা ঘর"",""""),IF(AND(C6949&lt;&gt;"""",D6949&lt;&gt;"""",C6949=D6949),""gloss=figurative"",""""),IF(LEN(D6949)&lt;15,""figurative ছোট"",""""),IF(AND(I6949=""Positive"",REGEXMATCH(H6"&amp;"949,""মূর্খ|ভণ্ড|প্রতার|অলস|লোভ|স্বার্থ|অক্ষম|অযোগ্য|বোকা|কৃপণ|হিংস"")),""valence-target অমিল"",""""),IF(COUNTIF($B:$B,B6949)&gt;1,""ডুপ্লিকেট"",""""))"),"")</f>
        <v/>
      </c>
      <c r="Q6949" s="5" t="str">
        <f t="shared" si="1"/>
        <v>২ পরে</v>
      </c>
    </row>
    <row r="6950">
      <c r="A6950" s="4">
        <v>4979.0</v>
      </c>
      <c r="B6950" s="2" t="s">
        <v>28229</v>
      </c>
      <c r="C6950" s="2" t="s">
        <v>28230</v>
      </c>
      <c r="D6950" s="2" t="s">
        <v>28231</v>
      </c>
      <c r="E6950" s="2" t="s">
        <v>28232</v>
      </c>
      <c r="F6950" s="2" t="b">
        <v>1</v>
      </c>
      <c r="G6950" s="2" t="b">
        <v>0</v>
      </c>
      <c r="H6950" s="2" t="s">
        <v>37</v>
      </c>
      <c r="I6950" s="2" t="s">
        <v>22</v>
      </c>
      <c r="J6950" s="2" t="s">
        <v>565</v>
      </c>
      <c r="K6950" s="2" t="s">
        <v>495</v>
      </c>
      <c r="L6950" s="13" t="s">
        <v>496</v>
      </c>
      <c r="M6950" s="2" t="s">
        <v>26</v>
      </c>
      <c r="N6950" s="29"/>
      <c r="O6950" s="29"/>
      <c r="P6950" s="5" t="str">
        <f>IFERROR(__xludf.DUMMYFUNCTION("TEXTJOIN("" | "",TRUE,IF(OR(D6950="""",E6950="""",I6950="""",J6950="""",H6950=""""),""ফাঁকা ঘর"",""""),IF(AND(C6950&lt;&gt;"""",D6950&lt;&gt;"""",C6950=D6950),""gloss=figurative"",""""),IF(LEN(D6950)&lt;15,""figurative ছোট"",""""),IF(AND(I6950=""Positive"",REGEXMATCH(H6"&amp;"950,""মূর্খ|ভণ্ড|প্রতার|অলস|লোভ|স্বার্থ|অক্ষম|অযোগ্য|বোকা|কৃপণ|হিংস"")),""valence-target অমিল"",""""),IF(COUNTIF($B:$B,B6950)&gt;1,""ডুপ্লিকেট"",""""))"),"")</f>
        <v/>
      </c>
      <c r="Q6950" s="5" t="str">
        <f t="shared" si="1"/>
        <v>২ পরে</v>
      </c>
    </row>
    <row r="6951">
      <c r="A6951" s="4">
        <v>4980.0</v>
      </c>
      <c r="B6951" s="2" t="s">
        <v>28233</v>
      </c>
      <c r="C6951" s="2" t="s">
        <v>28234</v>
      </c>
      <c r="D6951" s="2" t="s">
        <v>28235</v>
      </c>
      <c r="E6951" s="2" t="s">
        <v>28236</v>
      </c>
      <c r="F6951" s="2" t="b">
        <v>1</v>
      </c>
      <c r="G6951" s="2" t="b">
        <v>0</v>
      </c>
      <c r="H6951" s="2" t="s">
        <v>37</v>
      </c>
      <c r="I6951" s="2" t="s">
        <v>22</v>
      </c>
      <c r="J6951" s="2" t="s">
        <v>1438</v>
      </c>
      <c r="K6951" s="2" t="s">
        <v>495</v>
      </c>
      <c r="L6951" s="13" t="s">
        <v>496</v>
      </c>
      <c r="M6951" s="2" t="s">
        <v>26</v>
      </c>
      <c r="N6951" s="29"/>
      <c r="O6951" s="29"/>
      <c r="P6951" s="5" t="str">
        <f>IFERROR(__xludf.DUMMYFUNCTION("TEXTJOIN("" | "",TRUE,IF(OR(D6951="""",E6951="""",I6951="""",J6951="""",H6951=""""),""ফাঁকা ঘর"",""""),IF(AND(C6951&lt;&gt;"""",D6951&lt;&gt;"""",C6951=D6951),""gloss=figurative"",""""),IF(LEN(D6951)&lt;15,""figurative ছোট"",""""),IF(AND(I6951=""Positive"",REGEXMATCH(H6"&amp;"951,""মূর্খ|ভণ্ড|প্রতার|অলস|লোভ|স্বার্থ|অক্ষম|অযোগ্য|বোকা|কৃপণ|হিংস"")),""valence-target অমিল"",""""),IF(COUNTIF($B:$B,B6951)&gt;1,""ডুপ্লিকেট"",""""))"),"")</f>
        <v/>
      </c>
      <c r="Q6951" s="5" t="str">
        <f t="shared" si="1"/>
        <v>২ পরে</v>
      </c>
    </row>
    <row r="6952">
      <c r="A6952" s="4">
        <v>4981.0</v>
      </c>
      <c r="B6952" s="2" t="s">
        <v>28237</v>
      </c>
      <c r="C6952" s="2" t="s">
        <v>28238</v>
      </c>
      <c r="D6952" s="2" t="s">
        <v>28239</v>
      </c>
      <c r="E6952" s="2" t="s">
        <v>28240</v>
      </c>
      <c r="F6952" s="2" t="b">
        <v>1</v>
      </c>
      <c r="G6952" s="2" t="b">
        <v>0</v>
      </c>
      <c r="H6952" s="2" t="s">
        <v>37</v>
      </c>
      <c r="I6952" s="2" t="s">
        <v>22</v>
      </c>
      <c r="J6952" s="2" t="s">
        <v>1962</v>
      </c>
      <c r="K6952" s="2" t="s">
        <v>495</v>
      </c>
      <c r="L6952" s="13" t="s">
        <v>496</v>
      </c>
      <c r="M6952" s="2" t="s">
        <v>26</v>
      </c>
      <c r="N6952" s="29"/>
      <c r="O6952" s="29"/>
      <c r="P6952" s="5" t="str">
        <f>IFERROR(__xludf.DUMMYFUNCTION("TEXTJOIN("" | "",TRUE,IF(OR(D6952="""",E6952="""",I6952="""",J6952="""",H6952=""""),""ফাঁকা ঘর"",""""),IF(AND(C6952&lt;&gt;"""",D6952&lt;&gt;"""",C6952=D6952),""gloss=figurative"",""""),IF(LEN(D6952)&lt;15,""figurative ছোট"",""""),IF(AND(I6952=""Positive"",REGEXMATCH(H6"&amp;"952,""মূর্খ|ভণ্ড|প্রতার|অলস|লোভ|স্বার্থ|অক্ষম|অযোগ্য|বোকা|কৃপণ|হিংস"")),""valence-target অমিল"",""""),IF(COUNTIF($B:$B,B6952)&gt;1,""ডুপ্লিকেট"",""""))"),"")</f>
        <v/>
      </c>
      <c r="Q6952" s="5" t="str">
        <f t="shared" si="1"/>
        <v>২ পরে</v>
      </c>
    </row>
    <row r="6953">
      <c r="A6953" s="4">
        <v>4982.0</v>
      </c>
      <c r="B6953" s="2" t="s">
        <v>28241</v>
      </c>
      <c r="C6953" s="2" t="s">
        <v>28242</v>
      </c>
      <c r="D6953" s="2" t="s">
        <v>28243</v>
      </c>
      <c r="E6953" s="2" t="s">
        <v>28244</v>
      </c>
      <c r="F6953" s="2" t="b">
        <v>1</v>
      </c>
      <c r="G6953" s="2" t="b">
        <v>0</v>
      </c>
      <c r="H6953" s="2" t="s">
        <v>28245</v>
      </c>
      <c r="I6953" s="2" t="s">
        <v>22</v>
      </c>
      <c r="J6953" s="2" t="s">
        <v>28246</v>
      </c>
      <c r="K6953" s="2" t="s">
        <v>495</v>
      </c>
      <c r="L6953" s="13" t="s">
        <v>496</v>
      </c>
      <c r="M6953" s="2" t="s">
        <v>26</v>
      </c>
      <c r="N6953" s="29"/>
      <c r="O6953" s="29"/>
      <c r="P6953" s="5" t="str">
        <f>IFERROR(__xludf.DUMMYFUNCTION("TEXTJOIN("" | "",TRUE,IF(OR(D6953="""",E6953="""",I6953="""",J6953="""",H6953=""""),""ফাঁকা ঘর"",""""),IF(AND(C6953&lt;&gt;"""",D6953&lt;&gt;"""",C6953=D6953),""gloss=figurative"",""""),IF(LEN(D6953)&lt;15,""figurative ছোট"",""""),IF(AND(I6953=""Positive"",REGEXMATCH(H6"&amp;"953,""মূর্খ|ভণ্ড|প্রতার|অলস|লোভ|স্বার্থ|অক্ষম|অযোগ্য|বোকা|কৃপণ|হিংস"")),""valence-target অমিল"",""""),IF(COUNTIF($B:$B,B6953)&gt;1,""ডুপ্লিকেট"",""""))"),"")</f>
        <v/>
      </c>
      <c r="Q6953" s="5" t="str">
        <f t="shared" si="1"/>
        <v>২ পরে</v>
      </c>
    </row>
    <row r="6954">
      <c r="A6954" s="4">
        <v>4983.0</v>
      </c>
      <c r="B6954" s="2" t="s">
        <v>28247</v>
      </c>
      <c r="C6954" s="2" t="s">
        <v>28248</v>
      </c>
      <c r="D6954" s="2" t="s">
        <v>28249</v>
      </c>
      <c r="E6954" s="2" t="s">
        <v>28250</v>
      </c>
      <c r="F6954" s="2" t="b">
        <v>1</v>
      </c>
      <c r="G6954" s="2" t="b">
        <v>0</v>
      </c>
      <c r="H6954" s="2" t="s">
        <v>37</v>
      </c>
      <c r="I6954" s="2" t="s">
        <v>22</v>
      </c>
      <c r="J6954" s="2" t="s">
        <v>2122</v>
      </c>
      <c r="K6954" s="2" t="s">
        <v>495</v>
      </c>
      <c r="L6954" s="13" t="s">
        <v>496</v>
      </c>
      <c r="M6954" s="2" t="s">
        <v>26</v>
      </c>
      <c r="N6954" s="29"/>
      <c r="O6954" s="29"/>
      <c r="P6954" s="5" t="str">
        <f>IFERROR(__xludf.DUMMYFUNCTION("TEXTJOIN("" | "",TRUE,IF(OR(D6954="""",E6954="""",I6954="""",J6954="""",H6954=""""),""ফাঁকা ঘর"",""""),IF(AND(C6954&lt;&gt;"""",D6954&lt;&gt;"""",C6954=D6954),""gloss=figurative"",""""),IF(LEN(D6954)&lt;15,""figurative ছোট"",""""),IF(AND(I6954=""Positive"",REGEXMATCH(H6"&amp;"954,""মূর্খ|ভণ্ড|প্রতার|অলস|লোভ|স্বার্থ|অক্ষম|অযোগ্য|বোকা|কৃপণ|হিংস"")),""valence-target অমিল"",""""),IF(COUNTIF($B:$B,B6954)&gt;1,""ডুপ্লিকেট"",""""))"),"")</f>
        <v/>
      </c>
      <c r="Q6954" s="5" t="str">
        <f t="shared" si="1"/>
        <v>২ পরে</v>
      </c>
    </row>
    <row r="6955">
      <c r="A6955" s="4">
        <v>4986.0</v>
      </c>
      <c r="B6955" s="2" t="s">
        <v>28251</v>
      </c>
      <c r="C6955" s="2" t="s">
        <v>28252</v>
      </c>
      <c r="D6955" s="2" t="s">
        <v>28253</v>
      </c>
      <c r="E6955" s="2" t="s">
        <v>28254</v>
      </c>
      <c r="F6955" s="2" t="b">
        <v>1</v>
      </c>
      <c r="G6955" s="2" t="b">
        <v>0</v>
      </c>
      <c r="H6955" s="2" t="s">
        <v>37</v>
      </c>
      <c r="I6955" s="2" t="s">
        <v>32</v>
      </c>
      <c r="J6955" s="2" t="s">
        <v>3783</v>
      </c>
      <c r="K6955" s="2" t="s">
        <v>495</v>
      </c>
      <c r="L6955" s="13" t="s">
        <v>496</v>
      </c>
      <c r="M6955" s="2" t="s">
        <v>26</v>
      </c>
      <c r="N6955" s="29"/>
      <c r="O6955" s="29"/>
      <c r="P6955" s="5" t="str">
        <f>IFERROR(__xludf.DUMMYFUNCTION("TEXTJOIN("" | "",TRUE,IF(OR(D6955="""",E6955="""",I6955="""",J6955="""",H6955=""""),""ফাঁকা ঘর"",""""),IF(AND(C6955&lt;&gt;"""",D6955&lt;&gt;"""",C6955=D6955),""gloss=figurative"",""""),IF(LEN(D6955)&lt;15,""figurative ছোট"",""""),IF(AND(I6955=""Positive"",REGEXMATCH(H6"&amp;"955,""মূর্খ|ভণ্ড|প্রতার|অলস|লোভ|স্বার্থ|অক্ষম|অযোগ্য|বোকা|কৃপণ|হিংস"")),""valence-target অমিল"",""""),IF(COUNTIF($B:$B,B6955)&gt;1,""ডুপ্লিকেট"",""""))"),"")</f>
        <v/>
      </c>
      <c r="Q6955" s="5" t="str">
        <f t="shared" si="1"/>
        <v>২ পরে</v>
      </c>
    </row>
    <row r="6956">
      <c r="A6956" s="4">
        <v>4987.0</v>
      </c>
      <c r="B6956" s="2" t="s">
        <v>28255</v>
      </c>
      <c r="C6956" s="2" t="s">
        <v>28256</v>
      </c>
      <c r="D6956" s="2" t="s">
        <v>28257</v>
      </c>
      <c r="E6956" s="2" t="s">
        <v>28258</v>
      </c>
      <c r="F6956" s="2" t="b">
        <v>1</v>
      </c>
      <c r="G6956" s="2" t="b">
        <v>0</v>
      </c>
      <c r="H6956" s="2" t="s">
        <v>37</v>
      </c>
      <c r="I6956" s="2" t="s">
        <v>32</v>
      </c>
      <c r="J6956" s="2" t="s">
        <v>3783</v>
      </c>
      <c r="K6956" s="2" t="s">
        <v>495</v>
      </c>
      <c r="L6956" s="13" t="s">
        <v>496</v>
      </c>
      <c r="M6956" s="2" t="s">
        <v>26</v>
      </c>
      <c r="N6956" s="29"/>
      <c r="O6956" s="29"/>
      <c r="P6956" s="5" t="str">
        <f>IFERROR(__xludf.DUMMYFUNCTION("TEXTJOIN("" | "",TRUE,IF(OR(D6956="""",E6956="""",I6956="""",J6956="""",H6956=""""),""ফাঁকা ঘর"",""""),IF(AND(C6956&lt;&gt;"""",D6956&lt;&gt;"""",C6956=D6956),""gloss=figurative"",""""),IF(LEN(D6956)&lt;15,""figurative ছোট"",""""),IF(AND(I6956=""Positive"",REGEXMATCH(H6"&amp;"956,""মূর্খ|ভণ্ড|প্রতার|অলস|লোভ|স্বার্থ|অক্ষম|অযোগ্য|বোকা|কৃপণ|হিংস"")),""valence-target অমিল"",""""),IF(COUNTIF($B:$B,B6956)&gt;1,""ডুপ্লিকেট"",""""))"),"")</f>
        <v/>
      </c>
      <c r="Q6956" s="5" t="str">
        <f t="shared" si="1"/>
        <v>২ পরে</v>
      </c>
    </row>
    <row r="6957">
      <c r="A6957" s="4">
        <v>4988.0</v>
      </c>
      <c r="B6957" s="2" t="s">
        <v>28259</v>
      </c>
      <c r="C6957" s="2" t="s">
        <v>28260</v>
      </c>
      <c r="D6957" s="2" t="s">
        <v>28261</v>
      </c>
      <c r="E6957" s="2" t="s">
        <v>28262</v>
      </c>
      <c r="F6957" s="2" t="b">
        <v>1</v>
      </c>
      <c r="G6957" s="2" t="b">
        <v>0</v>
      </c>
      <c r="H6957" s="2" t="s">
        <v>1334</v>
      </c>
      <c r="I6957" s="2" t="s">
        <v>22</v>
      </c>
      <c r="J6957" s="2" t="s">
        <v>820</v>
      </c>
      <c r="K6957" s="2" t="s">
        <v>495</v>
      </c>
      <c r="L6957" s="13" t="s">
        <v>496</v>
      </c>
      <c r="M6957" s="2" t="s">
        <v>26</v>
      </c>
      <c r="N6957" s="29"/>
      <c r="O6957" s="29"/>
      <c r="P6957" s="5" t="str">
        <f>IFERROR(__xludf.DUMMYFUNCTION("TEXTJOIN("" | "",TRUE,IF(OR(D6957="""",E6957="""",I6957="""",J6957="""",H6957=""""),""ফাঁকা ঘর"",""""),IF(AND(C6957&lt;&gt;"""",D6957&lt;&gt;"""",C6957=D6957),""gloss=figurative"",""""),IF(LEN(D6957)&lt;15,""figurative ছোট"",""""),IF(AND(I6957=""Positive"",REGEXMATCH(H6"&amp;"957,""মূর্খ|ভণ্ড|প্রতার|অলস|লোভ|স্বার্থ|অক্ষম|অযোগ্য|বোকা|কৃপণ|হিংস"")),""valence-target অমিল"",""""),IF(COUNTIF($B:$B,B6957)&gt;1,""ডুপ্লিকেট"",""""))"),"")</f>
        <v/>
      </c>
      <c r="Q6957" s="5" t="str">
        <f t="shared" si="1"/>
        <v>২ পরে</v>
      </c>
    </row>
    <row r="6958">
      <c r="A6958" s="4">
        <v>4989.0</v>
      </c>
      <c r="B6958" s="2" t="s">
        <v>28263</v>
      </c>
      <c r="C6958" s="2" t="s">
        <v>28264</v>
      </c>
      <c r="D6958" s="2" t="s">
        <v>28265</v>
      </c>
      <c r="E6958" s="2" t="s">
        <v>28266</v>
      </c>
      <c r="F6958" s="2" t="b">
        <v>1</v>
      </c>
      <c r="G6958" s="2" t="b">
        <v>0</v>
      </c>
      <c r="H6958" s="2" t="s">
        <v>37</v>
      </c>
      <c r="I6958" s="2" t="s">
        <v>22</v>
      </c>
      <c r="J6958" s="2" t="s">
        <v>842</v>
      </c>
      <c r="K6958" s="2" t="s">
        <v>495</v>
      </c>
      <c r="L6958" s="13" t="s">
        <v>496</v>
      </c>
      <c r="M6958" s="2" t="s">
        <v>26</v>
      </c>
      <c r="N6958" s="29"/>
      <c r="O6958" s="29"/>
      <c r="P6958" s="5" t="str">
        <f>IFERROR(__xludf.DUMMYFUNCTION("TEXTJOIN("" | "",TRUE,IF(OR(D6958="""",E6958="""",I6958="""",J6958="""",H6958=""""),""ফাঁকা ঘর"",""""),IF(AND(C6958&lt;&gt;"""",D6958&lt;&gt;"""",C6958=D6958),""gloss=figurative"",""""),IF(LEN(D6958)&lt;15,""figurative ছোট"",""""),IF(AND(I6958=""Positive"",REGEXMATCH(H6"&amp;"958,""মূর্খ|ভণ্ড|প্রতার|অলস|লোভ|স্বার্থ|অক্ষম|অযোগ্য|বোকা|কৃপণ|হিংস"")),""valence-target অমিল"",""""),IF(COUNTIF($B:$B,B6958)&gt;1,""ডুপ্লিকেট"",""""))"),"")</f>
        <v/>
      </c>
      <c r="Q6958" s="5" t="str">
        <f t="shared" si="1"/>
        <v>২ পরে</v>
      </c>
    </row>
    <row r="6959">
      <c r="A6959" s="4">
        <v>4991.0</v>
      </c>
      <c r="B6959" s="2" t="s">
        <v>28267</v>
      </c>
      <c r="C6959" s="2" t="s">
        <v>28268</v>
      </c>
      <c r="D6959" s="2" t="s">
        <v>28269</v>
      </c>
      <c r="E6959" s="2" t="s">
        <v>28270</v>
      </c>
      <c r="F6959" s="2" t="b">
        <v>1</v>
      </c>
      <c r="G6959" s="2" t="b">
        <v>0</v>
      </c>
      <c r="H6959" s="2" t="s">
        <v>37</v>
      </c>
      <c r="I6959" s="2" t="s">
        <v>22</v>
      </c>
      <c r="J6959" s="2" t="s">
        <v>842</v>
      </c>
      <c r="K6959" s="2" t="s">
        <v>495</v>
      </c>
      <c r="L6959" s="13" t="s">
        <v>496</v>
      </c>
      <c r="M6959" s="2" t="s">
        <v>26</v>
      </c>
      <c r="N6959" s="29"/>
      <c r="O6959" s="29"/>
      <c r="P6959" s="5" t="str">
        <f>IFERROR(__xludf.DUMMYFUNCTION("TEXTJOIN("" | "",TRUE,IF(OR(D6959="""",E6959="""",I6959="""",J6959="""",H6959=""""),""ফাঁকা ঘর"",""""),IF(AND(C6959&lt;&gt;"""",D6959&lt;&gt;"""",C6959=D6959),""gloss=figurative"",""""),IF(LEN(D6959)&lt;15,""figurative ছোট"",""""),IF(AND(I6959=""Positive"",REGEXMATCH(H6"&amp;"959,""মূর্খ|ভণ্ড|প্রতার|অলস|লোভ|স্বার্থ|অক্ষম|অযোগ্য|বোকা|কৃপণ|হিংস"")),""valence-target অমিল"",""""),IF(COUNTIF($B:$B,B6959)&gt;1,""ডুপ্লিকেট"",""""))"),"")</f>
        <v/>
      </c>
      <c r="Q6959" s="5" t="str">
        <f t="shared" si="1"/>
        <v>২ পরে</v>
      </c>
    </row>
    <row r="6960">
      <c r="A6960" s="4">
        <v>4992.0</v>
      </c>
      <c r="B6960" s="2" t="s">
        <v>28271</v>
      </c>
      <c r="C6960" s="2" t="s">
        <v>28272</v>
      </c>
      <c r="D6960" s="2" t="s">
        <v>28273</v>
      </c>
      <c r="E6960" s="2" t="s">
        <v>28274</v>
      </c>
      <c r="F6960" s="2" t="b">
        <v>1</v>
      </c>
      <c r="G6960" s="2" t="b">
        <v>0</v>
      </c>
      <c r="H6960" s="2" t="s">
        <v>37</v>
      </c>
      <c r="I6960" s="2" t="s">
        <v>22</v>
      </c>
      <c r="J6960" s="2" t="s">
        <v>565</v>
      </c>
      <c r="K6960" s="2" t="s">
        <v>495</v>
      </c>
      <c r="L6960" s="13" t="s">
        <v>496</v>
      </c>
      <c r="M6960" s="2" t="s">
        <v>26</v>
      </c>
      <c r="N6960" s="29"/>
      <c r="O6960" s="29"/>
      <c r="P6960" s="5" t="str">
        <f>IFERROR(__xludf.DUMMYFUNCTION("TEXTJOIN("" | "",TRUE,IF(OR(D6960="""",E6960="""",I6960="""",J6960="""",H6960=""""),""ফাঁকা ঘর"",""""),IF(AND(C6960&lt;&gt;"""",D6960&lt;&gt;"""",C6960=D6960),""gloss=figurative"",""""),IF(LEN(D6960)&lt;15,""figurative ছোট"",""""),IF(AND(I6960=""Positive"",REGEXMATCH(H6"&amp;"960,""মূর্খ|ভণ্ড|প্রতার|অলস|লোভ|স্বার্থ|অক্ষম|অযোগ্য|বোকা|কৃপণ|হিংস"")),""valence-target অমিল"",""""),IF(COUNTIF($B:$B,B6960)&gt;1,""ডুপ্লিকেট"",""""))"),"")</f>
        <v/>
      </c>
      <c r="Q6960" s="5" t="str">
        <f t="shared" si="1"/>
        <v>২ পরে</v>
      </c>
    </row>
    <row r="6961">
      <c r="A6961" s="4">
        <v>4993.0</v>
      </c>
      <c r="B6961" s="2" t="s">
        <v>28275</v>
      </c>
      <c r="C6961" s="2" t="s">
        <v>28276</v>
      </c>
      <c r="D6961" s="2" t="s">
        <v>28277</v>
      </c>
      <c r="E6961" s="2" t="s">
        <v>28278</v>
      </c>
      <c r="F6961" s="2" t="b">
        <v>1</v>
      </c>
      <c r="G6961" s="2" t="b">
        <v>0</v>
      </c>
      <c r="H6961" s="2" t="s">
        <v>37</v>
      </c>
      <c r="I6961" s="2" t="s">
        <v>49</v>
      </c>
      <c r="J6961" s="2" t="s">
        <v>565</v>
      </c>
      <c r="K6961" s="2" t="s">
        <v>495</v>
      </c>
      <c r="L6961" s="13" t="s">
        <v>496</v>
      </c>
      <c r="M6961" s="2" t="s">
        <v>26</v>
      </c>
      <c r="N6961" s="29"/>
      <c r="O6961" s="29"/>
      <c r="P6961" s="5" t="str">
        <f>IFERROR(__xludf.DUMMYFUNCTION("TEXTJOIN("" | "",TRUE,IF(OR(D6961="""",E6961="""",I6961="""",J6961="""",H6961=""""),""ফাঁকা ঘর"",""""),IF(AND(C6961&lt;&gt;"""",D6961&lt;&gt;"""",C6961=D6961),""gloss=figurative"",""""),IF(LEN(D6961)&lt;15,""figurative ছোট"",""""),IF(AND(I6961=""Positive"",REGEXMATCH(H6"&amp;"961,""মূর্খ|ভণ্ড|প্রতার|অলস|লোভ|স্বার্থ|অক্ষম|অযোগ্য|বোকা|কৃপণ|হিংস"")),""valence-target অমিল"",""""),IF(COUNTIF($B:$B,B6961)&gt;1,""ডুপ্লিকেট"",""""))"),"")</f>
        <v/>
      </c>
      <c r="Q6961" s="5" t="str">
        <f t="shared" si="1"/>
        <v>২ পরে</v>
      </c>
    </row>
    <row r="6962">
      <c r="A6962" s="4">
        <v>4994.0</v>
      </c>
      <c r="B6962" s="2" t="s">
        <v>28279</v>
      </c>
      <c r="C6962" s="2" t="s">
        <v>28280</v>
      </c>
      <c r="D6962" s="2" t="s">
        <v>28281</v>
      </c>
      <c r="E6962" s="2" t="s">
        <v>28282</v>
      </c>
      <c r="F6962" s="2" t="b">
        <v>1</v>
      </c>
      <c r="G6962" s="2" t="b">
        <v>0</v>
      </c>
      <c r="H6962" s="2" t="s">
        <v>37</v>
      </c>
      <c r="I6962" s="2" t="s">
        <v>22</v>
      </c>
      <c r="J6962" s="2" t="s">
        <v>947</v>
      </c>
      <c r="K6962" s="2" t="s">
        <v>495</v>
      </c>
      <c r="L6962" s="13" t="s">
        <v>496</v>
      </c>
      <c r="M6962" s="2" t="s">
        <v>26</v>
      </c>
      <c r="N6962" s="29"/>
      <c r="O6962" s="29"/>
      <c r="P6962" s="5" t="str">
        <f>IFERROR(__xludf.DUMMYFUNCTION("TEXTJOIN("" | "",TRUE,IF(OR(D6962="""",E6962="""",I6962="""",J6962="""",H6962=""""),""ফাঁকা ঘর"",""""),IF(AND(C6962&lt;&gt;"""",D6962&lt;&gt;"""",C6962=D6962),""gloss=figurative"",""""),IF(LEN(D6962)&lt;15,""figurative ছোট"",""""),IF(AND(I6962=""Positive"",REGEXMATCH(H6"&amp;"962,""মূর্খ|ভণ্ড|প্রতার|অলস|লোভ|স্বার্থ|অক্ষম|অযোগ্য|বোকা|কৃপণ|হিংস"")),""valence-target অমিল"",""""),IF(COUNTIF($B:$B,B6962)&gt;1,""ডুপ্লিকেট"",""""))"),"")</f>
        <v/>
      </c>
      <c r="Q6962" s="5" t="str">
        <f t="shared" si="1"/>
        <v>২ পরে</v>
      </c>
    </row>
    <row r="6963">
      <c r="A6963" s="4">
        <v>4996.0</v>
      </c>
      <c r="B6963" s="2" t="s">
        <v>28283</v>
      </c>
      <c r="C6963" s="2" t="s">
        <v>28284</v>
      </c>
      <c r="D6963" s="2" t="s">
        <v>28285</v>
      </c>
      <c r="E6963" s="2" t="s">
        <v>28286</v>
      </c>
      <c r="F6963" s="2" t="b">
        <v>1</v>
      </c>
      <c r="G6963" s="2" t="b">
        <v>0</v>
      </c>
      <c r="H6963" s="2" t="s">
        <v>37</v>
      </c>
      <c r="I6963" s="2" t="s">
        <v>22</v>
      </c>
      <c r="J6963" s="2" t="s">
        <v>3710</v>
      </c>
      <c r="K6963" s="2" t="s">
        <v>495</v>
      </c>
      <c r="L6963" s="13" t="s">
        <v>496</v>
      </c>
      <c r="M6963" s="2" t="s">
        <v>26</v>
      </c>
      <c r="N6963" s="29"/>
      <c r="O6963" s="29"/>
      <c r="P6963" s="5" t="str">
        <f>IFERROR(__xludf.DUMMYFUNCTION("TEXTJOIN("" | "",TRUE,IF(OR(D6963="""",E6963="""",I6963="""",J6963="""",H6963=""""),""ফাঁকা ঘর"",""""),IF(AND(C6963&lt;&gt;"""",D6963&lt;&gt;"""",C6963=D6963),""gloss=figurative"",""""),IF(LEN(D6963)&lt;15,""figurative ছোট"",""""),IF(AND(I6963=""Positive"",REGEXMATCH(H6"&amp;"963,""মূর্খ|ভণ্ড|প্রতার|অলস|লোভ|স্বার্থ|অক্ষম|অযোগ্য|বোকা|কৃপণ|হিংস"")),""valence-target অমিল"",""""),IF(COUNTIF($B:$B,B6963)&gt;1,""ডুপ্লিকেট"",""""))"),"")</f>
        <v/>
      </c>
      <c r="Q6963" s="5" t="str">
        <f t="shared" si="1"/>
        <v>২ পরে</v>
      </c>
    </row>
    <row r="6964">
      <c r="A6964" s="4">
        <v>4999.0</v>
      </c>
      <c r="B6964" s="2" t="s">
        <v>28287</v>
      </c>
      <c r="C6964" s="2" t="s">
        <v>28288</v>
      </c>
      <c r="D6964" s="2" t="s">
        <v>28289</v>
      </c>
      <c r="E6964" s="2" t="s">
        <v>28290</v>
      </c>
      <c r="F6964" s="2" t="b">
        <v>1</v>
      </c>
      <c r="G6964" s="2" t="b">
        <v>0</v>
      </c>
      <c r="H6964" s="2" t="s">
        <v>37</v>
      </c>
      <c r="I6964" s="2" t="s">
        <v>22</v>
      </c>
      <c r="J6964" s="2" t="s">
        <v>1603</v>
      </c>
      <c r="K6964" s="2" t="s">
        <v>495</v>
      </c>
      <c r="L6964" s="13" t="s">
        <v>496</v>
      </c>
      <c r="M6964" s="2" t="s">
        <v>26</v>
      </c>
      <c r="N6964" s="29"/>
      <c r="O6964" s="29"/>
      <c r="P6964" s="5" t="str">
        <f>IFERROR(__xludf.DUMMYFUNCTION("TEXTJOIN("" | "",TRUE,IF(OR(D6964="""",E6964="""",I6964="""",J6964="""",H6964=""""),""ফাঁকা ঘর"",""""),IF(AND(C6964&lt;&gt;"""",D6964&lt;&gt;"""",C6964=D6964),""gloss=figurative"",""""),IF(LEN(D6964)&lt;15,""figurative ছোট"",""""),IF(AND(I6964=""Positive"",REGEXMATCH(H6"&amp;"964,""মূর্খ|ভণ্ড|প্রতার|অলস|লোভ|স্বার্থ|অক্ষম|অযোগ্য|বোকা|কৃপণ|হিংস"")),""valence-target অমিল"",""""),IF(COUNTIF($B:$B,B6964)&gt;1,""ডুপ্লিকেট"",""""))"),"")</f>
        <v/>
      </c>
      <c r="Q6964" s="5" t="str">
        <f t="shared" si="1"/>
        <v>২ পরে</v>
      </c>
    </row>
    <row r="6965">
      <c r="A6965" s="4">
        <v>5000.0</v>
      </c>
      <c r="B6965" s="2" t="s">
        <v>28291</v>
      </c>
      <c r="C6965" s="2" t="s">
        <v>28292</v>
      </c>
      <c r="D6965" s="2" t="s">
        <v>28293</v>
      </c>
      <c r="E6965" s="2" t="s">
        <v>28294</v>
      </c>
      <c r="F6965" s="2" t="b">
        <v>1</v>
      </c>
      <c r="G6965" s="2" t="b">
        <v>0</v>
      </c>
      <c r="H6965" s="2" t="s">
        <v>37</v>
      </c>
      <c r="I6965" s="2" t="s">
        <v>49</v>
      </c>
      <c r="J6965" s="2" t="s">
        <v>3364</v>
      </c>
      <c r="K6965" s="2" t="s">
        <v>495</v>
      </c>
      <c r="L6965" s="13" t="s">
        <v>496</v>
      </c>
      <c r="M6965" s="2" t="s">
        <v>26</v>
      </c>
      <c r="N6965" s="29"/>
      <c r="O6965" s="29"/>
      <c r="P6965" s="5" t="str">
        <f>IFERROR(__xludf.DUMMYFUNCTION("TEXTJOIN("" | "",TRUE,IF(OR(D6965="""",E6965="""",I6965="""",J6965="""",H6965=""""),""ফাঁকা ঘর"",""""),IF(AND(C6965&lt;&gt;"""",D6965&lt;&gt;"""",C6965=D6965),""gloss=figurative"",""""),IF(LEN(D6965)&lt;15,""figurative ছোট"",""""),IF(AND(I6965=""Positive"",REGEXMATCH(H6"&amp;"965,""মূর্খ|ভণ্ড|প্রতার|অলস|লোভ|স্বার্থ|অক্ষম|অযোগ্য|বোকা|কৃপণ|হিংস"")),""valence-target অমিল"",""""),IF(COUNTIF($B:$B,B6965)&gt;1,""ডুপ্লিকেট"",""""))"),"")</f>
        <v/>
      </c>
      <c r="Q6965" s="5" t="str">
        <f t="shared" si="1"/>
        <v>২ পরে</v>
      </c>
    </row>
    <row r="6966">
      <c r="A6966" s="4">
        <v>5001.0</v>
      </c>
      <c r="B6966" s="2" t="s">
        <v>28295</v>
      </c>
      <c r="C6966" s="2" t="s">
        <v>28296</v>
      </c>
      <c r="D6966" s="2" t="s">
        <v>28297</v>
      </c>
      <c r="E6966" s="2" t="s">
        <v>28298</v>
      </c>
      <c r="F6966" s="2" t="b">
        <v>1</v>
      </c>
      <c r="G6966" s="2" t="b">
        <v>0</v>
      </c>
      <c r="H6966" s="2" t="s">
        <v>37</v>
      </c>
      <c r="I6966" s="2" t="s">
        <v>22</v>
      </c>
      <c r="J6966" s="2" t="s">
        <v>2540</v>
      </c>
      <c r="K6966" s="2" t="s">
        <v>495</v>
      </c>
      <c r="L6966" s="13" t="s">
        <v>496</v>
      </c>
      <c r="M6966" s="2" t="s">
        <v>26</v>
      </c>
      <c r="N6966" s="29"/>
      <c r="O6966" s="29"/>
      <c r="P6966" s="5" t="str">
        <f>IFERROR(__xludf.DUMMYFUNCTION("TEXTJOIN("" | "",TRUE,IF(OR(D6966="""",E6966="""",I6966="""",J6966="""",H6966=""""),""ফাঁকা ঘর"",""""),IF(AND(C6966&lt;&gt;"""",D6966&lt;&gt;"""",C6966=D6966),""gloss=figurative"",""""),IF(LEN(D6966)&lt;15,""figurative ছোট"",""""),IF(AND(I6966=""Positive"",REGEXMATCH(H6"&amp;"966,""মূর্খ|ভণ্ড|প্রতার|অলস|লোভ|স্বার্থ|অক্ষম|অযোগ্য|বোকা|কৃপণ|হিংস"")),""valence-target অমিল"",""""),IF(COUNTIF($B:$B,B6966)&gt;1,""ডুপ্লিকেট"",""""))"),"")</f>
        <v/>
      </c>
      <c r="Q6966" s="5" t="str">
        <f t="shared" si="1"/>
        <v>২ পরে</v>
      </c>
    </row>
    <row r="6967">
      <c r="A6967" s="4">
        <v>5002.0</v>
      </c>
      <c r="B6967" s="2" t="s">
        <v>28299</v>
      </c>
      <c r="C6967" s="2" t="s">
        <v>28299</v>
      </c>
      <c r="D6967" s="2" t="s">
        <v>28300</v>
      </c>
      <c r="E6967" s="2" t="s">
        <v>28301</v>
      </c>
      <c r="F6967" s="2" t="b">
        <v>1</v>
      </c>
      <c r="G6967" s="2" t="b">
        <v>0</v>
      </c>
      <c r="H6967" s="2" t="s">
        <v>37</v>
      </c>
      <c r="I6967" s="2" t="s">
        <v>22</v>
      </c>
      <c r="J6967" s="2" t="s">
        <v>990</v>
      </c>
      <c r="K6967" s="2" t="s">
        <v>495</v>
      </c>
      <c r="L6967" s="13" t="s">
        <v>496</v>
      </c>
      <c r="M6967" s="2" t="s">
        <v>26</v>
      </c>
      <c r="N6967" s="29"/>
      <c r="O6967" s="29"/>
      <c r="P6967" s="5" t="str">
        <f>IFERROR(__xludf.DUMMYFUNCTION("TEXTJOIN("" | "",TRUE,IF(OR(D6967="""",E6967="""",I6967="""",J6967="""",H6967=""""),""ফাঁকা ঘর"",""""),IF(AND(C6967&lt;&gt;"""",D6967&lt;&gt;"""",C6967=D6967),""gloss=figurative"",""""),IF(LEN(D6967)&lt;15,""figurative ছোট"",""""),IF(AND(I6967=""Positive"",REGEXMATCH(H6"&amp;"967,""মূর্খ|ভণ্ড|প্রতার|অলস|লোভ|স্বার্থ|অক্ষম|অযোগ্য|বোকা|কৃপণ|হিংস"")),""valence-target অমিল"",""""),IF(COUNTIF($B:$B,B6967)&gt;1,""ডুপ্লিকেট"",""""))"),"")</f>
        <v/>
      </c>
      <c r="Q6967" s="5" t="str">
        <f t="shared" si="1"/>
        <v>২ পরে</v>
      </c>
    </row>
    <row r="6968">
      <c r="A6968" s="4">
        <v>5003.0</v>
      </c>
      <c r="B6968" s="2" t="s">
        <v>28302</v>
      </c>
      <c r="C6968" s="2" t="s">
        <v>28303</v>
      </c>
      <c r="D6968" s="2" t="s">
        <v>28304</v>
      </c>
      <c r="E6968" s="2" t="s">
        <v>28305</v>
      </c>
      <c r="F6968" s="2" t="b">
        <v>1</v>
      </c>
      <c r="G6968" s="2" t="b">
        <v>0</v>
      </c>
      <c r="H6968" s="2" t="s">
        <v>37</v>
      </c>
      <c r="I6968" s="2" t="s">
        <v>22</v>
      </c>
      <c r="J6968" s="2" t="s">
        <v>842</v>
      </c>
      <c r="K6968" s="2" t="s">
        <v>495</v>
      </c>
      <c r="L6968" s="13" t="s">
        <v>496</v>
      </c>
      <c r="M6968" s="2" t="s">
        <v>26</v>
      </c>
      <c r="N6968" s="29"/>
      <c r="O6968" s="29"/>
      <c r="P6968" s="5" t="str">
        <f>IFERROR(__xludf.DUMMYFUNCTION("TEXTJOIN("" | "",TRUE,IF(OR(D6968="""",E6968="""",I6968="""",J6968="""",H6968=""""),""ফাঁকা ঘর"",""""),IF(AND(C6968&lt;&gt;"""",D6968&lt;&gt;"""",C6968=D6968),""gloss=figurative"",""""),IF(LEN(D6968)&lt;15,""figurative ছোট"",""""),IF(AND(I6968=""Positive"",REGEXMATCH(H6"&amp;"968,""মূর্খ|ভণ্ড|প্রতার|অলস|লোভ|স্বার্থ|অক্ষম|অযোগ্য|বোকা|কৃপণ|হিংস"")),""valence-target অমিল"",""""),IF(COUNTIF($B:$B,B6968)&gt;1,""ডুপ্লিকেট"",""""))"),"")</f>
        <v/>
      </c>
      <c r="Q6968" s="5" t="str">
        <f t="shared" si="1"/>
        <v>২ পরে</v>
      </c>
    </row>
    <row r="6969">
      <c r="A6969" s="4">
        <v>5004.0</v>
      </c>
      <c r="B6969" s="2" t="s">
        <v>28306</v>
      </c>
      <c r="C6969" s="2" t="s">
        <v>28307</v>
      </c>
      <c r="D6969" s="2" t="s">
        <v>28308</v>
      </c>
      <c r="E6969" s="2" t="s">
        <v>28309</v>
      </c>
      <c r="F6969" s="2" t="b">
        <v>1</v>
      </c>
      <c r="G6969" s="2" t="b">
        <v>0</v>
      </c>
      <c r="H6969" s="2" t="s">
        <v>37</v>
      </c>
      <c r="I6969" s="2" t="s">
        <v>22</v>
      </c>
      <c r="J6969" s="2" t="s">
        <v>565</v>
      </c>
      <c r="K6969" s="2" t="s">
        <v>495</v>
      </c>
      <c r="L6969" s="13" t="s">
        <v>496</v>
      </c>
      <c r="M6969" s="2" t="s">
        <v>26</v>
      </c>
      <c r="N6969" s="29"/>
      <c r="O6969" s="29"/>
      <c r="P6969" s="5" t="str">
        <f>IFERROR(__xludf.DUMMYFUNCTION("TEXTJOIN("" | "",TRUE,IF(OR(D6969="""",E6969="""",I6969="""",J6969="""",H6969=""""),""ফাঁকা ঘর"",""""),IF(AND(C6969&lt;&gt;"""",D6969&lt;&gt;"""",C6969=D6969),""gloss=figurative"",""""),IF(LEN(D6969)&lt;15,""figurative ছোট"",""""),IF(AND(I6969=""Positive"",REGEXMATCH(H6"&amp;"969,""মূর্খ|ভণ্ড|প্রতার|অলস|লোভ|স্বার্থ|অক্ষম|অযোগ্য|বোকা|কৃপণ|হিংস"")),""valence-target অমিল"",""""),IF(COUNTIF($B:$B,B6969)&gt;1,""ডুপ্লিকেট"",""""))"),"")</f>
        <v/>
      </c>
      <c r="Q6969" s="5" t="str">
        <f t="shared" si="1"/>
        <v>২ পরে</v>
      </c>
    </row>
    <row r="6970">
      <c r="A6970" s="4">
        <v>5005.0</v>
      </c>
      <c r="B6970" s="2" t="s">
        <v>28310</v>
      </c>
      <c r="C6970" s="2" t="s">
        <v>28311</v>
      </c>
      <c r="D6970" s="2" t="s">
        <v>28312</v>
      </c>
      <c r="E6970" s="2" t="s">
        <v>28313</v>
      </c>
      <c r="F6970" s="2" t="b">
        <v>1</v>
      </c>
      <c r="G6970" s="2" t="b">
        <v>0</v>
      </c>
      <c r="H6970" s="2" t="s">
        <v>37</v>
      </c>
      <c r="I6970" s="2" t="s">
        <v>49</v>
      </c>
      <c r="J6970" s="2" t="s">
        <v>2002</v>
      </c>
      <c r="K6970" s="2" t="s">
        <v>495</v>
      </c>
      <c r="L6970" s="13" t="s">
        <v>496</v>
      </c>
      <c r="M6970" s="2" t="s">
        <v>26</v>
      </c>
      <c r="N6970" s="29"/>
      <c r="O6970" s="29"/>
      <c r="P6970" s="5" t="str">
        <f>IFERROR(__xludf.DUMMYFUNCTION("TEXTJOIN("" | "",TRUE,IF(OR(D6970="""",E6970="""",I6970="""",J6970="""",H6970=""""),""ফাঁকা ঘর"",""""),IF(AND(C6970&lt;&gt;"""",D6970&lt;&gt;"""",C6970=D6970),""gloss=figurative"",""""),IF(LEN(D6970)&lt;15,""figurative ছোট"",""""),IF(AND(I6970=""Positive"",REGEXMATCH(H6"&amp;"970,""মূর্খ|ভণ্ড|প্রতার|অলস|লোভ|স্বার্থ|অক্ষম|অযোগ্য|বোকা|কৃপণ|হিংস"")),""valence-target অমিল"",""""),IF(COUNTIF($B:$B,B6970)&gt;1,""ডুপ্লিকেট"",""""))"),"")</f>
        <v/>
      </c>
      <c r="Q6970" s="5" t="str">
        <f t="shared" si="1"/>
        <v>২ পরে</v>
      </c>
    </row>
    <row r="6971">
      <c r="A6971" s="4">
        <v>5006.0</v>
      </c>
      <c r="B6971" s="2" t="s">
        <v>28314</v>
      </c>
      <c r="C6971" s="2" t="s">
        <v>28315</v>
      </c>
      <c r="D6971" s="2" t="s">
        <v>28316</v>
      </c>
      <c r="E6971" s="2" t="s">
        <v>28317</v>
      </c>
      <c r="F6971" s="2" t="b">
        <v>1</v>
      </c>
      <c r="G6971" s="2" t="b">
        <v>0</v>
      </c>
      <c r="H6971" s="2" t="s">
        <v>37</v>
      </c>
      <c r="I6971" s="2" t="s">
        <v>49</v>
      </c>
      <c r="J6971" s="2" t="s">
        <v>538</v>
      </c>
      <c r="K6971" s="2" t="s">
        <v>495</v>
      </c>
      <c r="L6971" s="13" t="s">
        <v>496</v>
      </c>
      <c r="M6971" s="2" t="s">
        <v>26</v>
      </c>
      <c r="N6971" s="29"/>
      <c r="O6971" s="29"/>
      <c r="P6971" s="5" t="str">
        <f>IFERROR(__xludf.DUMMYFUNCTION("TEXTJOIN("" | "",TRUE,IF(OR(D6971="""",E6971="""",I6971="""",J6971="""",H6971=""""),""ফাঁকা ঘর"",""""),IF(AND(C6971&lt;&gt;"""",D6971&lt;&gt;"""",C6971=D6971),""gloss=figurative"",""""),IF(LEN(D6971)&lt;15,""figurative ছোট"",""""),IF(AND(I6971=""Positive"",REGEXMATCH(H6"&amp;"971,""মূর্খ|ভণ্ড|প্রতার|অলস|লোভ|স্বার্থ|অক্ষম|অযোগ্য|বোকা|কৃপণ|হিংস"")),""valence-target অমিল"",""""),IF(COUNTIF($B:$B,B6971)&gt;1,""ডুপ্লিকেট"",""""))"),"")</f>
        <v/>
      </c>
      <c r="Q6971" s="5" t="str">
        <f t="shared" si="1"/>
        <v>২ পরে</v>
      </c>
    </row>
    <row r="6972">
      <c r="A6972" s="4">
        <v>5008.0</v>
      </c>
      <c r="B6972" s="2" t="s">
        <v>28318</v>
      </c>
      <c r="C6972" s="2" t="s">
        <v>28319</v>
      </c>
      <c r="D6972" s="2" t="s">
        <v>28320</v>
      </c>
      <c r="E6972" s="2" t="s">
        <v>28321</v>
      </c>
      <c r="F6972" s="2" t="b">
        <v>1</v>
      </c>
      <c r="G6972" s="2" t="b">
        <v>0</v>
      </c>
      <c r="H6972" s="2" t="s">
        <v>37</v>
      </c>
      <c r="I6972" s="2" t="s">
        <v>32</v>
      </c>
      <c r="J6972" s="2" t="s">
        <v>3506</v>
      </c>
      <c r="K6972" s="2" t="s">
        <v>495</v>
      </c>
      <c r="L6972" s="13" t="s">
        <v>496</v>
      </c>
      <c r="M6972" s="2" t="s">
        <v>26</v>
      </c>
      <c r="N6972" s="29"/>
      <c r="O6972" s="29"/>
      <c r="P6972" s="5" t="str">
        <f>IFERROR(__xludf.DUMMYFUNCTION("TEXTJOIN("" | "",TRUE,IF(OR(D6972="""",E6972="""",I6972="""",J6972="""",H6972=""""),""ফাঁকা ঘর"",""""),IF(AND(C6972&lt;&gt;"""",D6972&lt;&gt;"""",C6972=D6972),""gloss=figurative"",""""),IF(LEN(D6972)&lt;15,""figurative ছোট"",""""),IF(AND(I6972=""Positive"",REGEXMATCH(H6"&amp;"972,""মূর্খ|ভণ্ড|প্রতার|অলস|লোভ|স্বার্থ|অক্ষম|অযোগ্য|বোকা|কৃপণ|হিংস"")),""valence-target অমিল"",""""),IF(COUNTIF($B:$B,B6972)&gt;1,""ডুপ্লিকেট"",""""))"),"")</f>
        <v/>
      </c>
      <c r="Q6972" s="5" t="str">
        <f t="shared" si="1"/>
        <v>২ পরে</v>
      </c>
    </row>
    <row r="6973">
      <c r="A6973" s="4">
        <v>5009.0</v>
      </c>
      <c r="B6973" s="2" t="s">
        <v>28322</v>
      </c>
      <c r="C6973" s="2" t="s">
        <v>28323</v>
      </c>
      <c r="D6973" s="2" t="s">
        <v>28324</v>
      </c>
      <c r="E6973" s="2" t="s">
        <v>28325</v>
      </c>
      <c r="F6973" s="2" t="b">
        <v>1</v>
      </c>
      <c r="G6973" s="2" t="b">
        <v>0</v>
      </c>
      <c r="H6973" s="2" t="s">
        <v>37</v>
      </c>
      <c r="I6973" s="2" t="s">
        <v>32</v>
      </c>
      <c r="J6973" s="2" t="s">
        <v>762</v>
      </c>
      <c r="K6973" s="2" t="s">
        <v>495</v>
      </c>
      <c r="L6973" s="13" t="s">
        <v>496</v>
      </c>
      <c r="M6973" s="2" t="s">
        <v>26</v>
      </c>
      <c r="N6973" s="29"/>
      <c r="O6973" s="29"/>
      <c r="P6973" s="5" t="str">
        <f>IFERROR(__xludf.DUMMYFUNCTION("TEXTJOIN("" | "",TRUE,IF(OR(D6973="""",E6973="""",I6973="""",J6973="""",H6973=""""),""ফাঁকা ঘর"",""""),IF(AND(C6973&lt;&gt;"""",D6973&lt;&gt;"""",C6973=D6973),""gloss=figurative"",""""),IF(LEN(D6973)&lt;15,""figurative ছোট"",""""),IF(AND(I6973=""Positive"",REGEXMATCH(H6"&amp;"973,""মূর্খ|ভণ্ড|প্রতার|অলস|লোভ|স্বার্থ|অক্ষম|অযোগ্য|বোকা|কৃপণ|হিংস"")),""valence-target অমিল"",""""),IF(COUNTIF($B:$B,B6973)&gt;1,""ডুপ্লিকেট"",""""))"),"")</f>
        <v/>
      </c>
      <c r="Q6973" s="5" t="str">
        <f t="shared" si="1"/>
        <v>২ পরে</v>
      </c>
    </row>
    <row r="6974">
      <c r="A6974" s="4">
        <v>5010.0</v>
      </c>
      <c r="B6974" s="2" t="s">
        <v>28326</v>
      </c>
      <c r="C6974" s="2" t="s">
        <v>28327</v>
      </c>
      <c r="D6974" s="2" t="s">
        <v>28328</v>
      </c>
      <c r="E6974" s="2" t="s">
        <v>28329</v>
      </c>
      <c r="F6974" s="2" t="b">
        <v>1</v>
      </c>
      <c r="G6974" s="2" t="b">
        <v>0</v>
      </c>
      <c r="H6974" s="2" t="s">
        <v>37</v>
      </c>
      <c r="I6974" s="2" t="s">
        <v>49</v>
      </c>
      <c r="J6974" s="2" t="s">
        <v>739</v>
      </c>
      <c r="K6974" s="2" t="s">
        <v>495</v>
      </c>
      <c r="L6974" s="13" t="s">
        <v>496</v>
      </c>
      <c r="M6974" s="2" t="s">
        <v>26</v>
      </c>
      <c r="N6974" s="29"/>
      <c r="O6974" s="29"/>
      <c r="P6974" s="5" t="str">
        <f>IFERROR(__xludf.DUMMYFUNCTION("TEXTJOIN("" | "",TRUE,IF(OR(D6974="""",E6974="""",I6974="""",J6974="""",H6974=""""),""ফাঁকা ঘর"",""""),IF(AND(C6974&lt;&gt;"""",D6974&lt;&gt;"""",C6974=D6974),""gloss=figurative"",""""),IF(LEN(D6974)&lt;15,""figurative ছোট"",""""),IF(AND(I6974=""Positive"",REGEXMATCH(H6"&amp;"974,""মূর্খ|ভণ্ড|প্রতার|অলস|লোভ|স্বার্থ|অক্ষম|অযোগ্য|বোকা|কৃপণ|হিংস"")),""valence-target অমিল"",""""),IF(COUNTIF($B:$B,B6974)&gt;1,""ডুপ্লিকেট"",""""))"),"")</f>
        <v/>
      </c>
      <c r="Q6974" s="5" t="str">
        <f t="shared" si="1"/>
        <v>২ পরে</v>
      </c>
    </row>
    <row r="6975">
      <c r="A6975" s="4">
        <v>5011.0</v>
      </c>
      <c r="B6975" s="2" t="s">
        <v>28330</v>
      </c>
      <c r="C6975" s="2" t="s">
        <v>28331</v>
      </c>
      <c r="D6975" s="2" t="s">
        <v>28332</v>
      </c>
      <c r="E6975" s="2" t="s">
        <v>28333</v>
      </c>
      <c r="F6975" s="2" t="b">
        <v>1</v>
      </c>
      <c r="G6975" s="2" t="b">
        <v>0</v>
      </c>
      <c r="H6975" s="2" t="s">
        <v>37</v>
      </c>
      <c r="I6975" s="2" t="s">
        <v>22</v>
      </c>
      <c r="J6975" s="2" t="s">
        <v>990</v>
      </c>
      <c r="K6975" s="2" t="s">
        <v>495</v>
      </c>
      <c r="L6975" s="13" t="s">
        <v>496</v>
      </c>
      <c r="M6975" s="2" t="s">
        <v>26</v>
      </c>
      <c r="N6975" s="29"/>
      <c r="O6975" s="29"/>
      <c r="P6975" s="5" t="str">
        <f>IFERROR(__xludf.DUMMYFUNCTION("TEXTJOIN("" | "",TRUE,IF(OR(D6975="""",E6975="""",I6975="""",J6975="""",H6975=""""),""ফাঁকা ঘর"",""""),IF(AND(C6975&lt;&gt;"""",D6975&lt;&gt;"""",C6975=D6975),""gloss=figurative"",""""),IF(LEN(D6975)&lt;15,""figurative ছোট"",""""),IF(AND(I6975=""Positive"",REGEXMATCH(H6"&amp;"975,""মূর্খ|ভণ্ড|প্রতার|অলস|লোভ|স্বার্থ|অক্ষম|অযোগ্য|বোকা|কৃপণ|হিংস"")),""valence-target অমিল"",""""),IF(COUNTIF($B:$B,B6975)&gt;1,""ডুপ্লিকেট"",""""))"),"")</f>
        <v/>
      </c>
      <c r="Q6975" s="5" t="str">
        <f t="shared" si="1"/>
        <v>২ পরে</v>
      </c>
    </row>
    <row r="6976">
      <c r="A6976" s="4">
        <v>5013.0</v>
      </c>
      <c r="B6976" s="2" t="s">
        <v>28334</v>
      </c>
      <c r="C6976" s="2" t="s">
        <v>28335</v>
      </c>
      <c r="D6976" s="2" t="s">
        <v>28336</v>
      </c>
      <c r="E6976" s="2" t="s">
        <v>28337</v>
      </c>
      <c r="F6976" s="2" t="b">
        <v>1</v>
      </c>
      <c r="G6976" s="2" t="b">
        <v>0</v>
      </c>
      <c r="H6976" s="2" t="s">
        <v>37</v>
      </c>
      <c r="I6976" s="2" t="s">
        <v>32</v>
      </c>
      <c r="J6976" s="2" t="s">
        <v>2835</v>
      </c>
      <c r="K6976" s="2" t="s">
        <v>495</v>
      </c>
      <c r="L6976" s="13" t="s">
        <v>496</v>
      </c>
      <c r="M6976" s="2" t="s">
        <v>26</v>
      </c>
      <c r="N6976" s="29"/>
      <c r="O6976" s="29"/>
      <c r="P6976" s="5" t="str">
        <f>IFERROR(__xludf.DUMMYFUNCTION("TEXTJOIN("" | "",TRUE,IF(OR(D6976="""",E6976="""",I6976="""",J6976="""",H6976=""""),""ফাঁকা ঘর"",""""),IF(AND(C6976&lt;&gt;"""",D6976&lt;&gt;"""",C6976=D6976),""gloss=figurative"",""""),IF(LEN(D6976)&lt;15,""figurative ছোট"",""""),IF(AND(I6976=""Positive"",REGEXMATCH(H6"&amp;"976,""মূর্খ|ভণ্ড|প্রতার|অলস|লোভ|স্বার্থ|অক্ষম|অযোগ্য|বোকা|কৃপণ|হিংস"")),""valence-target অমিল"",""""),IF(COUNTIF($B:$B,B6976)&gt;1,""ডুপ্লিকেট"",""""))"),"")</f>
        <v/>
      </c>
      <c r="Q6976" s="5" t="str">
        <f t="shared" si="1"/>
        <v>২ পরে</v>
      </c>
    </row>
    <row r="6977">
      <c r="A6977" s="4">
        <v>5014.0</v>
      </c>
      <c r="B6977" s="2" t="s">
        <v>28338</v>
      </c>
      <c r="C6977" s="2" t="s">
        <v>28339</v>
      </c>
      <c r="D6977" s="2" t="s">
        <v>28340</v>
      </c>
      <c r="E6977" s="2" t="s">
        <v>28341</v>
      </c>
      <c r="F6977" s="2" t="b">
        <v>1</v>
      </c>
      <c r="G6977" s="2" t="b">
        <v>0</v>
      </c>
      <c r="H6977" s="2" t="s">
        <v>37</v>
      </c>
      <c r="I6977" s="2" t="s">
        <v>32</v>
      </c>
      <c r="J6977" s="2" t="s">
        <v>2835</v>
      </c>
      <c r="K6977" s="2" t="s">
        <v>495</v>
      </c>
      <c r="L6977" s="13" t="s">
        <v>496</v>
      </c>
      <c r="M6977" s="2" t="s">
        <v>26</v>
      </c>
      <c r="N6977" s="29"/>
      <c r="O6977" s="29"/>
      <c r="P6977" s="5" t="str">
        <f>IFERROR(__xludf.DUMMYFUNCTION("TEXTJOIN("" | "",TRUE,IF(OR(D6977="""",E6977="""",I6977="""",J6977="""",H6977=""""),""ফাঁকা ঘর"",""""),IF(AND(C6977&lt;&gt;"""",D6977&lt;&gt;"""",C6977=D6977),""gloss=figurative"",""""),IF(LEN(D6977)&lt;15,""figurative ছোট"",""""),IF(AND(I6977=""Positive"",REGEXMATCH(H6"&amp;"977,""মূর্খ|ভণ্ড|প্রতার|অলস|লোভ|স্বার্থ|অক্ষম|অযোগ্য|বোকা|কৃপণ|হিংস"")),""valence-target অমিল"",""""),IF(COUNTIF($B:$B,B6977)&gt;1,""ডুপ্লিকেট"",""""))"),"")</f>
        <v/>
      </c>
      <c r="Q6977" s="5" t="str">
        <f t="shared" si="1"/>
        <v>২ পরে</v>
      </c>
    </row>
    <row r="6978">
      <c r="A6978" s="4">
        <v>5016.0</v>
      </c>
      <c r="B6978" s="2" t="s">
        <v>28342</v>
      </c>
      <c r="C6978" s="2" t="s">
        <v>28343</v>
      </c>
      <c r="D6978" s="2" t="s">
        <v>28344</v>
      </c>
      <c r="E6978" s="2" t="s">
        <v>28345</v>
      </c>
      <c r="F6978" s="2" t="b">
        <v>1</v>
      </c>
      <c r="G6978" s="2" t="b">
        <v>0</v>
      </c>
      <c r="H6978" s="2" t="s">
        <v>37</v>
      </c>
      <c r="I6978" s="2" t="s">
        <v>32</v>
      </c>
      <c r="J6978" s="2" t="s">
        <v>1518</v>
      </c>
      <c r="K6978" s="2" t="s">
        <v>495</v>
      </c>
      <c r="L6978" s="13" t="s">
        <v>496</v>
      </c>
      <c r="M6978" s="2" t="s">
        <v>26</v>
      </c>
      <c r="N6978" s="29"/>
      <c r="O6978" s="29"/>
      <c r="P6978" s="5" t="str">
        <f>IFERROR(__xludf.DUMMYFUNCTION("TEXTJOIN("" | "",TRUE,IF(OR(D6978="""",E6978="""",I6978="""",J6978="""",H6978=""""),""ফাঁকা ঘর"",""""),IF(AND(C6978&lt;&gt;"""",D6978&lt;&gt;"""",C6978=D6978),""gloss=figurative"",""""),IF(LEN(D6978)&lt;15,""figurative ছোট"",""""),IF(AND(I6978=""Positive"",REGEXMATCH(H6"&amp;"978,""মূর্খ|ভণ্ড|প্রতার|অলস|লোভ|স্বার্থ|অক্ষম|অযোগ্য|বোকা|কৃপণ|হিংস"")),""valence-target অমিল"",""""),IF(COUNTIF($B:$B,B6978)&gt;1,""ডুপ্লিকেট"",""""))"),"")</f>
        <v/>
      </c>
      <c r="Q6978" s="5" t="str">
        <f t="shared" si="1"/>
        <v>২ পরে</v>
      </c>
    </row>
    <row r="6979">
      <c r="A6979" s="4">
        <v>5017.0</v>
      </c>
      <c r="B6979" s="2" t="s">
        <v>28346</v>
      </c>
      <c r="C6979" s="2" t="s">
        <v>28346</v>
      </c>
      <c r="D6979" s="2" t="s">
        <v>28347</v>
      </c>
      <c r="E6979" s="2" t="s">
        <v>28348</v>
      </c>
      <c r="F6979" s="2" t="b">
        <v>1</v>
      </c>
      <c r="G6979" s="2" t="b">
        <v>0</v>
      </c>
      <c r="H6979" s="2" t="s">
        <v>37</v>
      </c>
      <c r="I6979" s="2" t="s">
        <v>32</v>
      </c>
      <c r="J6979" s="2" t="s">
        <v>5713</v>
      </c>
      <c r="K6979" s="2" t="s">
        <v>495</v>
      </c>
      <c r="L6979" s="13" t="s">
        <v>496</v>
      </c>
      <c r="M6979" s="2" t="s">
        <v>26</v>
      </c>
      <c r="N6979" s="29"/>
      <c r="O6979" s="29"/>
      <c r="P6979" s="5" t="str">
        <f>IFERROR(__xludf.DUMMYFUNCTION("TEXTJOIN("" | "",TRUE,IF(OR(D6979="""",E6979="""",I6979="""",J6979="""",H6979=""""),""ফাঁকা ঘর"",""""),IF(AND(C6979&lt;&gt;"""",D6979&lt;&gt;"""",C6979=D6979),""gloss=figurative"",""""),IF(LEN(D6979)&lt;15,""figurative ছোট"",""""),IF(AND(I6979=""Positive"",REGEXMATCH(H6"&amp;"979,""মূর্খ|ভণ্ড|প্রতার|অলস|লোভ|স্বার্থ|অক্ষম|অযোগ্য|বোকা|কৃপণ|হিংস"")),""valence-target অমিল"",""""),IF(COUNTIF($B:$B,B6979)&gt;1,""ডুপ্লিকেট"",""""))"),"")</f>
        <v/>
      </c>
      <c r="Q6979" s="5" t="str">
        <f t="shared" si="1"/>
        <v>২ পরে</v>
      </c>
    </row>
    <row r="6980">
      <c r="A6980" s="4">
        <v>5018.0</v>
      </c>
      <c r="B6980" s="2" t="s">
        <v>28349</v>
      </c>
      <c r="C6980" s="2" t="s">
        <v>28350</v>
      </c>
      <c r="D6980" s="2" t="s">
        <v>28351</v>
      </c>
      <c r="E6980" s="2" t="s">
        <v>28352</v>
      </c>
      <c r="F6980" s="2" t="b">
        <v>1</v>
      </c>
      <c r="G6980" s="2" t="b">
        <v>0</v>
      </c>
      <c r="H6980" s="2" t="s">
        <v>37</v>
      </c>
      <c r="I6980" s="2" t="s">
        <v>32</v>
      </c>
      <c r="J6980" s="2" t="s">
        <v>1414</v>
      </c>
      <c r="K6980" s="2" t="s">
        <v>495</v>
      </c>
      <c r="L6980" s="13" t="s">
        <v>496</v>
      </c>
      <c r="M6980" s="2" t="s">
        <v>26</v>
      </c>
      <c r="N6980" s="29"/>
      <c r="O6980" s="29"/>
      <c r="P6980" s="5" t="str">
        <f>IFERROR(__xludf.DUMMYFUNCTION("TEXTJOIN("" | "",TRUE,IF(OR(D6980="""",E6980="""",I6980="""",J6980="""",H6980=""""),""ফাঁকা ঘর"",""""),IF(AND(C6980&lt;&gt;"""",D6980&lt;&gt;"""",C6980=D6980),""gloss=figurative"",""""),IF(LEN(D6980)&lt;15,""figurative ছোট"",""""),IF(AND(I6980=""Positive"",REGEXMATCH(H6"&amp;"980,""মূর্খ|ভণ্ড|প্রতার|অলস|লোভ|স্বার্থ|অক্ষম|অযোগ্য|বোকা|কৃপণ|হিংস"")),""valence-target অমিল"",""""),IF(COUNTIF($B:$B,B6980)&gt;1,""ডুপ্লিকেট"",""""))"),"")</f>
        <v/>
      </c>
      <c r="Q6980" s="5" t="str">
        <f t="shared" si="1"/>
        <v>২ পরে</v>
      </c>
    </row>
    <row r="6981">
      <c r="A6981" s="4">
        <v>5019.0</v>
      </c>
      <c r="B6981" s="2" t="s">
        <v>28353</v>
      </c>
      <c r="C6981" s="2" t="s">
        <v>28354</v>
      </c>
      <c r="D6981" s="2" t="s">
        <v>28355</v>
      </c>
      <c r="E6981" s="2" t="s">
        <v>28356</v>
      </c>
      <c r="F6981" s="2" t="b">
        <v>1</v>
      </c>
      <c r="G6981" s="2" t="b">
        <v>0</v>
      </c>
      <c r="H6981" s="2" t="s">
        <v>37</v>
      </c>
      <c r="I6981" s="2" t="s">
        <v>22</v>
      </c>
      <c r="J6981" s="2" t="s">
        <v>7076</v>
      </c>
      <c r="K6981" s="2" t="s">
        <v>495</v>
      </c>
      <c r="L6981" s="13" t="s">
        <v>496</v>
      </c>
      <c r="M6981" s="2" t="s">
        <v>26</v>
      </c>
      <c r="N6981" s="29"/>
      <c r="O6981" s="29"/>
      <c r="P6981" s="5" t="str">
        <f>IFERROR(__xludf.DUMMYFUNCTION("TEXTJOIN("" | "",TRUE,IF(OR(D6981="""",E6981="""",I6981="""",J6981="""",H6981=""""),""ফাঁকা ঘর"",""""),IF(AND(C6981&lt;&gt;"""",D6981&lt;&gt;"""",C6981=D6981),""gloss=figurative"",""""),IF(LEN(D6981)&lt;15,""figurative ছোট"",""""),IF(AND(I6981=""Positive"",REGEXMATCH(H6"&amp;"981,""মূর্খ|ভণ্ড|প্রতার|অলস|লোভ|স্বার্থ|অক্ষম|অযোগ্য|বোকা|কৃপণ|হিংস"")),""valence-target অমিল"",""""),IF(COUNTIF($B:$B,B6981)&gt;1,""ডুপ্লিকেট"",""""))"),"")</f>
        <v/>
      </c>
      <c r="Q6981" s="5" t="str">
        <f t="shared" si="1"/>
        <v>২ পরে</v>
      </c>
    </row>
    <row r="6982">
      <c r="A6982" s="4">
        <v>5020.0</v>
      </c>
      <c r="B6982" s="2" t="s">
        <v>28357</v>
      </c>
      <c r="C6982" s="2" t="s">
        <v>28358</v>
      </c>
      <c r="D6982" s="2" t="s">
        <v>28359</v>
      </c>
      <c r="E6982" s="2" t="s">
        <v>28360</v>
      </c>
      <c r="F6982" s="2" t="b">
        <v>1</v>
      </c>
      <c r="G6982" s="2" t="b">
        <v>0</v>
      </c>
      <c r="H6982" s="2" t="s">
        <v>37</v>
      </c>
      <c r="I6982" s="2" t="s">
        <v>32</v>
      </c>
      <c r="J6982" s="2" t="s">
        <v>947</v>
      </c>
      <c r="K6982" s="2" t="s">
        <v>495</v>
      </c>
      <c r="L6982" s="13" t="s">
        <v>496</v>
      </c>
      <c r="M6982" s="2" t="s">
        <v>26</v>
      </c>
      <c r="N6982" s="29"/>
      <c r="O6982" s="29"/>
      <c r="P6982" s="5" t="str">
        <f>IFERROR(__xludf.DUMMYFUNCTION("TEXTJOIN("" | "",TRUE,IF(OR(D6982="""",E6982="""",I6982="""",J6982="""",H6982=""""),""ফাঁকা ঘর"",""""),IF(AND(C6982&lt;&gt;"""",D6982&lt;&gt;"""",C6982=D6982),""gloss=figurative"",""""),IF(LEN(D6982)&lt;15,""figurative ছোট"",""""),IF(AND(I6982=""Positive"",REGEXMATCH(H6"&amp;"982,""মূর্খ|ভণ্ড|প্রতার|অলস|লোভ|স্বার্থ|অক্ষম|অযোগ্য|বোকা|কৃপণ|হিংস"")),""valence-target অমিল"",""""),IF(COUNTIF($B:$B,B6982)&gt;1,""ডুপ্লিকেট"",""""))"),"")</f>
        <v/>
      </c>
      <c r="Q6982" s="5" t="str">
        <f t="shared" si="1"/>
        <v>২ পরে</v>
      </c>
    </row>
    <row r="6983">
      <c r="A6983" s="4">
        <v>5021.0</v>
      </c>
      <c r="B6983" s="2" t="s">
        <v>28361</v>
      </c>
      <c r="C6983" s="2" t="s">
        <v>28361</v>
      </c>
      <c r="D6983" s="2" t="s">
        <v>28362</v>
      </c>
      <c r="E6983" s="2" t="s">
        <v>28363</v>
      </c>
      <c r="F6983" s="2" t="b">
        <v>1</v>
      </c>
      <c r="G6983" s="2" t="b">
        <v>0</v>
      </c>
      <c r="H6983" s="2" t="s">
        <v>37</v>
      </c>
      <c r="I6983" s="2" t="s">
        <v>22</v>
      </c>
      <c r="J6983" s="2" t="s">
        <v>7931</v>
      </c>
      <c r="K6983" s="2" t="s">
        <v>495</v>
      </c>
      <c r="L6983" s="13" t="s">
        <v>496</v>
      </c>
      <c r="M6983" s="2" t="s">
        <v>26</v>
      </c>
      <c r="N6983" s="29"/>
      <c r="O6983" s="29"/>
      <c r="P6983" s="5" t="str">
        <f>IFERROR(__xludf.DUMMYFUNCTION("TEXTJOIN("" | "",TRUE,IF(OR(D6983="""",E6983="""",I6983="""",J6983="""",H6983=""""),""ফাঁকা ঘর"",""""),IF(AND(C6983&lt;&gt;"""",D6983&lt;&gt;"""",C6983=D6983),""gloss=figurative"",""""),IF(LEN(D6983)&lt;15,""figurative ছোট"",""""),IF(AND(I6983=""Positive"",REGEXMATCH(H6"&amp;"983,""মূর্খ|ভণ্ড|প্রতার|অলস|লোভ|স্বার্থ|অক্ষম|অযোগ্য|বোকা|কৃপণ|হিংস"")),""valence-target অমিল"",""""),IF(COUNTIF($B:$B,B6983)&gt;1,""ডুপ্লিকেট"",""""))"),"")</f>
        <v/>
      </c>
      <c r="Q6983" s="5" t="str">
        <f t="shared" si="1"/>
        <v>২ পরে</v>
      </c>
    </row>
    <row r="6984">
      <c r="A6984" s="4">
        <v>5022.0</v>
      </c>
      <c r="B6984" s="2" t="s">
        <v>28364</v>
      </c>
      <c r="C6984" s="2" t="s">
        <v>28365</v>
      </c>
      <c r="D6984" s="2" t="s">
        <v>28366</v>
      </c>
      <c r="E6984" s="2" t="s">
        <v>28367</v>
      </c>
      <c r="F6984" s="2" t="b">
        <v>1</v>
      </c>
      <c r="G6984" s="2" t="b">
        <v>0</v>
      </c>
      <c r="H6984" s="2" t="s">
        <v>37</v>
      </c>
      <c r="I6984" s="2" t="s">
        <v>22</v>
      </c>
      <c r="J6984" s="2" t="s">
        <v>28368</v>
      </c>
      <c r="K6984" s="2" t="s">
        <v>495</v>
      </c>
      <c r="L6984" s="13" t="s">
        <v>496</v>
      </c>
      <c r="M6984" s="2" t="s">
        <v>26</v>
      </c>
      <c r="N6984" s="29"/>
      <c r="O6984" s="29"/>
      <c r="P6984" s="5" t="str">
        <f>IFERROR(__xludf.DUMMYFUNCTION("TEXTJOIN("" | "",TRUE,IF(OR(D6984="""",E6984="""",I6984="""",J6984="""",H6984=""""),""ফাঁকা ঘর"",""""),IF(AND(C6984&lt;&gt;"""",D6984&lt;&gt;"""",C6984=D6984),""gloss=figurative"",""""),IF(LEN(D6984)&lt;15,""figurative ছোট"",""""),IF(AND(I6984=""Positive"",REGEXMATCH(H6"&amp;"984,""মূর্খ|ভণ্ড|প্রতার|অলস|লোভ|স্বার্থ|অক্ষম|অযোগ্য|বোকা|কৃপণ|হিংস"")),""valence-target অমিল"",""""),IF(COUNTIF($B:$B,B6984)&gt;1,""ডুপ্লিকেট"",""""))"),"")</f>
        <v/>
      </c>
      <c r="Q6984" s="5" t="str">
        <f t="shared" si="1"/>
        <v>২ পরে</v>
      </c>
    </row>
    <row r="6985">
      <c r="A6985" s="4">
        <v>5023.0</v>
      </c>
      <c r="B6985" s="2" t="s">
        <v>28369</v>
      </c>
      <c r="C6985" s="2" t="s">
        <v>28370</v>
      </c>
      <c r="D6985" s="2" t="s">
        <v>28371</v>
      </c>
      <c r="E6985" s="2" t="s">
        <v>28372</v>
      </c>
      <c r="F6985" s="2" t="b">
        <v>1</v>
      </c>
      <c r="G6985" s="2" t="b">
        <v>0</v>
      </c>
      <c r="H6985" s="2" t="s">
        <v>37</v>
      </c>
      <c r="I6985" s="2" t="s">
        <v>49</v>
      </c>
      <c r="J6985" s="2" t="s">
        <v>1813</v>
      </c>
      <c r="K6985" s="2" t="s">
        <v>495</v>
      </c>
      <c r="L6985" s="13" t="s">
        <v>496</v>
      </c>
      <c r="M6985" s="2" t="s">
        <v>26</v>
      </c>
      <c r="N6985" s="29"/>
      <c r="O6985" s="29"/>
      <c r="P6985" s="5" t="str">
        <f>IFERROR(__xludf.DUMMYFUNCTION("TEXTJOIN("" | "",TRUE,IF(OR(D6985="""",E6985="""",I6985="""",J6985="""",H6985=""""),""ফাঁকা ঘর"",""""),IF(AND(C6985&lt;&gt;"""",D6985&lt;&gt;"""",C6985=D6985),""gloss=figurative"",""""),IF(LEN(D6985)&lt;15,""figurative ছোট"",""""),IF(AND(I6985=""Positive"",REGEXMATCH(H6"&amp;"985,""মূর্খ|ভণ্ড|প্রতার|অলস|লোভ|স্বার্থ|অক্ষম|অযোগ্য|বোকা|কৃপণ|হিংস"")),""valence-target অমিল"",""""),IF(COUNTIF($B:$B,B6985)&gt;1,""ডুপ্লিকেট"",""""))"),"")</f>
        <v/>
      </c>
      <c r="Q6985" s="5" t="str">
        <f t="shared" si="1"/>
        <v>২ পরে</v>
      </c>
    </row>
    <row r="6986">
      <c r="A6986" s="4">
        <v>5024.0</v>
      </c>
      <c r="B6986" s="2" t="s">
        <v>28373</v>
      </c>
      <c r="C6986" s="2" t="s">
        <v>28373</v>
      </c>
      <c r="D6986" s="2" t="s">
        <v>28374</v>
      </c>
      <c r="E6986" s="2" t="s">
        <v>28375</v>
      </c>
      <c r="F6986" s="2" t="b">
        <v>1</v>
      </c>
      <c r="G6986" s="2" t="b">
        <v>0</v>
      </c>
      <c r="H6986" s="2" t="s">
        <v>37</v>
      </c>
      <c r="I6986" s="2" t="s">
        <v>49</v>
      </c>
      <c r="J6986" s="2" t="s">
        <v>1813</v>
      </c>
      <c r="K6986" s="2" t="s">
        <v>495</v>
      </c>
      <c r="L6986" s="13" t="s">
        <v>496</v>
      </c>
      <c r="M6986" s="2" t="s">
        <v>26</v>
      </c>
      <c r="N6986" s="29"/>
      <c r="O6986" s="29"/>
      <c r="P6986" s="5" t="str">
        <f>IFERROR(__xludf.DUMMYFUNCTION("TEXTJOIN("" | "",TRUE,IF(OR(D6986="""",E6986="""",I6986="""",J6986="""",H6986=""""),""ফাঁকা ঘর"",""""),IF(AND(C6986&lt;&gt;"""",D6986&lt;&gt;"""",C6986=D6986),""gloss=figurative"",""""),IF(LEN(D6986)&lt;15,""figurative ছোট"",""""),IF(AND(I6986=""Positive"",REGEXMATCH(H6"&amp;"986,""মূর্খ|ভণ্ড|প্রতার|অলস|লোভ|স্বার্থ|অক্ষম|অযোগ্য|বোকা|কৃপণ|হিংস"")),""valence-target অমিল"",""""),IF(COUNTIF($B:$B,B6986)&gt;1,""ডুপ্লিকেট"",""""))"),"")</f>
        <v/>
      </c>
      <c r="Q6986" s="5" t="str">
        <f t="shared" si="1"/>
        <v>২ পরে</v>
      </c>
    </row>
    <row r="6987">
      <c r="A6987" s="4">
        <v>5026.0</v>
      </c>
      <c r="B6987" s="2" t="s">
        <v>28376</v>
      </c>
      <c r="C6987" s="2" t="s">
        <v>28377</v>
      </c>
      <c r="D6987" s="2" t="s">
        <v>28378</v>
      </c>
      <c r="E6987" s="2" t="s">
        <v>28379</v>
      </c>
      <c r="F6987" s="2" t="b">
        <v>1</v>
      </c>
      <c r="G6987" s="2" t="b">
        <v>0</v>
      </c>
      <c r="H6987" s="2" t="s">
        <v>37</v>
      </c>
      <c r="I6987" s="2" t="s">
        <v>32</v>
      </c>
      <c r="J6987" s="2" t="s">
        <v>4924</v>
      </c>
      <c r="K6987" s="2" t="s">
        <v>495</v>
      </c>
      <c r="L6987" s="13" t="s">
        <v>496</v>
      </c>
      <c r="M6987" s="2" t="s">
        <v>26</v>
      </c>
      <c r="N6987" s="29"/>
      <c r="O6987" s="29"/>
      <c r="P6987" s="5" t="str">
        <f>IFERROR(__xludf.DUMMYFUNCTION("TEXTJOIN("" | "",TRUE,IF(OR(D6987="""",E6987="""",I6987="""",J6987="""",H6987=""""),""ফাঁকা ঘর"",""""),IF(AND(C6987&lt;&gt;"""",D6987&lt;&gt;"""",C6987=D6987),""gloss=figurative"",""""),IF(LEN(D6987)&lt;15,""figurative ছোট"",""""),IF(AND(I6987=""Positive"",REGEXMATCH(H6"&amp;"987,""মূর্খ|ভণ্ড|প্রতার|অলস|লোভ|স্বার্থ|অক্ষম|অযোগ্য|বোকা|কৃপণ|হিংস"")),""valence-target অমিল"",""""),IF(COUNTIF($B:$B,B6987)&gt;1,""ডুপ্লিকেট"",""""))"),"")</f>
        <v/>
      </c>
      <c r="Q6987" s="5" t="str">
        <f t="shared" si="1"/>
        <v>২ পরে</v>
      </c>
    </row>
    <row r="6988">
      <c r="A6988" s="4">
        <v>5027.0</v>
      </c>
      <c r="B6988" s="2" t="s">
        <v>28380</v>
      </c>
      <c r="C6988" s="2" t="s">
        <v>28381</v>
      </c>
      <c r="D6988" s="2" t="s">
        <v>28382</v>
      </c>
      <c r="E6988" s="2" t="s">
        <v>28383</v>
      </c>
      <c r="F6988" s="2" t="b">
        <v>1</v>
      </c>
      <c r="G6988" s="2" t="b">
        <v>0</v>
      </c>
      <c r="H6988" s="2" t="s">
        <v>756</v>
      </c>
      <c r="I6988" s="2" t="s">
        <v>22</v>
      </c>
      <c r="J6988" s="2" t="s">
        <v>1621</v>
      </c>
      <c r="K6988" s="2" t="s">
        <v>495</v>
      </c>
      <c r="L6988" s="13" t="s">
        <v>496</v>
      </c>
      <c r="M6988" s="2" t="s">
        <v>26</v>
      </c>
      <c r="N6988" s="29"/>
      <c r="O6988" s="29"/>
      <c r="P6988" s="5" t="str">
        <f>IFERROR(__xludf.DUMMYFUNCTION("TEXTJOIN("" | "",TRUE,IF(OR(D6988="""",E6988="""",I6988="""",J6988="""",H6988=""""),""ফাঁকা ঘর"",""""),IF(AND(C6988&lt;&gt;"""",D6988&lt;&gt;"""",C6988=D6988),""gloss=figurative"",""""),IF(LEN(D6988)&lt;15,""figurative ছোট"",""""),IF(AND(I6988=""Positive"",REGEXMATCH(H6"&amp;"988,""মূর্খ|ভণ্ড|প্রতার|অলস|লোভ|স্বার্থ|অক্ষম|অযোগ্য|বোকা|কৃপণ|হিংস"")),""valence-target অমিল"",""""),IF(COUNTIF($B:$B,B6988)&gt;1,""ডুপ্লিকেট"",""""))"),"")</f>
        <v/>
      </c>
      <c r="Q6988" s="5" t="str">
        <f t="shared" si="1"/>
        <v>২ পরে</v>
      </c>
    </row>
    <row r="6989">
      <c r="A6989" s="4">
        <v>5028.0</v>
      </c>
      <c r="B6989" s="2" t="s">
        <v>28384</v>
      </c>
      <c r="C6989" s="2" t="s">
        <v>28385</v>
      </c>
      <c r="D6989" s="2" t="s">
        <v>28386</v>
      </c>
      <c r="E6989" s="2" t="s">
        <v>28387</v>
      </c>
      <c r="F6989" s="2" t="b">
        <v>1</v>
      </c>
      <c r="G6989" s="2" t="b">
        <v>0</v>
      </c>
      <c r="H6989" s="2" t="s">
        <v>37</v>
      </c>
      <c r="I6989" s="2" t="s">
        <v>49</v>
      </c>
      <c r="J6989" s="2" t="s">
        <v>300</v>
      </c>
      <c r="K6989" s="2" t="s">
        <v>495</v>
      </c>
      <c r="L6989" s="13" t="s">
        <v>496</v>
      </c>
      <c r="M6989" s="2" t="s">
        <v>26</v>
      </c>
      <c r="N6989" s="29"/>
      <c r="O6989" s="29"/>
      <c r="P6989" s="5" t="str">
        <f>IFERROR(__xludf.DUMMYFUNCTION("TEXTJOIN("" | "",TRUE,IF(OR(D6989="""",E6989="""",I6989="""",J6989="""",H6989=""""),""ফাঁকা ঘর"",""""),IF(AND(C6989&lt;&gt;"""",D6989&lt;&gt;"""",C6989=D6989),""gloss=figurative"",""""),IF(LEN(D6989)&lt;15,""figurative ছোট"",""""),IF(AND(I6989=""Positive"",REGEXMATCH(H6"&amp;"989,""মূর্খ|ভণ্ড|প্রতার|অলস|লোভ|স্বার্থ|অক্ষম|অযোগ্য|বোকা|কৃপণ|হিংস"")),""valence-target অমিল"",""""),IF(COUNTIF($B:$B,B6989)&gt;1,""ডুপ্লিকেট"",""""))"),"")</f>
        <v/>
      </c>
      <c r="Q6989" s="5" t="str">
        <f t="shared" si="1"/>
        <v>২ পরে</v>
      </c>
    </row>
    <row r="6990">
      <c r="A6990" s="4">
        <v>5029.0</v>
      </c>
      <c r="B6990" s="2" t="s">
        <v>28388</v>
      </c>
      <c r="C6990" s="2" t="s">
        <v>28389</v>
      </c>
      <c r="D6990" s="2" t="s">
        <v>28390</v>
      </c>
      <c r="E6990" s="2" t="s">
        <v>28391</v>
      </c>
      <c r="F6990" s="2" t="b">
        <v>1</v>
      </c>
      <c r="G6990" s="2" t="b">
        <v>0</v>
      </c>
      <c r="H6990" s="2" t="s">
        <v>756</v>
      </c>
      <c r="I6990" s="2" t="s">
        <v>22</v>
      </c>
      <c r="J6990" s="2" t="s">
        <v>300</v>
      </c>
      <c r="K6990" s="2" t="s">
        <v>495</v>
      </c>
      <c r="L6990" s="13" t="s">
        <v>496</v>
      </c>
      <c r="M6990" s="2" t="s">
        <v>26</v>
      </c>
      <c r="N6990" s="29"/>
      <c r="O6990" s="29"/>
      <c r="P6990" s="5" t="str">
        <f>IFERROR(__xludf.DUMMYFUNCTION("TEXTJOIN("" | "",TRUE,IF(OR(D6990="""",E6990="""",I6990="""",J6990="""",H6990=""""),""ফাঁকা ঘর"",""""),IF(AND(C6990&lt;&gt;"""",D6990&lt;&gt;"""",C6990=D6990),""gloss=figurative"",""""),IF(LEN(D6990)&lt;15,""figurative ছোট"",""""),IF(AND(I6990=""Positive"",REGEXMATCH(H6"&amp;"990,""মূর্খ|ভণ্ড|প্রতার|অলস|লোভ|স্বার্থ|অক্ষম|অযোগ্য|বোকা|কৃপণ|হিংস"")),""valence-target অমিল"",""""),IF(COUNTIF($B:$B,B6990)&gt;1,""ডুপ্লিকেট"",""""))"),"")</f>
        <v/>
      </c>
      <c r="Q6990" s="5" t="str">
        <f t="shared" si="1"/>
        <v>২ পরে</v>
      </c>
    </row>
    <row r="6991">
      <c r="A6991" s="4">
        <v>5030.0</v>
      </c>
      <c r="B6991" s="2" t="s">
        <v>28392</v>
      </c>
      <c r="C6991" s="2" t="s">
        <v>28393</v>
      </c>
      <c r="D6991" s="2" t="s">
        <v>28394</v>
      </c>
      <c r="E6991" s="2" t="s">
        <v>28395</v>
      </c>
      <c r="F6991" s="2" t="b">
        <v>1</v>
      </c>
      <c r="G6991" s="2" t="b">
        <v>1</v>
      </c>
      <c r="H6991" s="2" t="s">
        <v>3079</v>
      </c>
      <c r="I6991" s="2" t="s">
        <v>32</v>
      </c>
      <c r="J6991" s="2" t="s">
        <v>1315</v>
      </c>
      <c r="K6991" s="2" t="s">
        <v>495</v>
      </c>
      <c r="L6991" s="13" t="s">
        <v>496</v>
      </c>
      <c r="M6991" s="2" t="s">
        <v>26</v>
      </c>
      <c r="N6991" s="29"/>
      <c r="O6991" s="29"/>
      <c r="P6991" s="5" t="str">
        <f>IFERROR(__xludf.DUMMYFUNCTION("TEXTJOIN("" | "",TRUE,IF(OR(D6991="""",E6991="""",I6991="""",J6991="""",H6991=""""),""ফাঁকা ঘর"",""""),IF(AND(C6991&lt;&gt;"""",D6991&lt;&gt;"""",C6991=D6991),""gloss=figurative"",""""),IF(LEN(D6991)&lt;15,""figurative ছোট"",""""),IF(AND(I6991=""Positive"",REGEXMATCH(H6"&amp;"991,""মূর্খ|ভণ্ড|প্রতার|অলস|লোভ|স্বার্থ|অক্ষম|অযোগ্য|বোকা|কৃপণ|হিংস"")),""valence-target অমিল"",""""),IF(COUNTIF($B:$B,B6991)&gt;1,""ডুপ্লিকেট"",""""))"),"")</f>
        <v/>
      </c>
      <c r="Q6991" s="5" t="str">
        <f t="shared" si="1"/>
        <v>২ পরে</v>
      </c>
    </row>
    <row r="6992">
      <c r="A6992" s="4">
        <v>5031.0</v>
      </c>
      <c r="B6992" s="2" t="s">
        <v>28396</v>
      </c>
      <c r="C6992" s="2" t="s">
        <v>28397</v>
      </c>
      <c r="D6992" s="2" t="s">
        <v>28398</v>
      </c>
      <c r="E6992" s="2" t="s">
        <v>28399</v>
      </c>
      <c r="F6992" s="2" t="b">
        <v>1</v>
      </c>
      <c r="G6992" s="2" t="b">
        <v>1</v>
      </c>
      <c r="H6992" s="2" t="s">
        <v>3079</v>
      </c>
      <c r="I6992" s="2" t="s">
        <v>32</v>
      </c>
      <c r="J6992" s="2" t="s">
        <v>1315</v>
      </c>
      <c r="K6992" s="2" t="s">
        <v>495</v>
      </c>
      <c r="L6992" s="13" t="s">
        <v>496</v>
      </c>
      <c r="M6992" s="2" t="s">
        <v>26</v>
      </c>
      <c r="N6992" s="29"/>
      <c r="O6992" s="29"/>
      <c r="P6992" s="5" t="str">
        <f>IFERROR(__xludf.DUMMYFUNCTION("TEXTJOIN("" | "",TRUE,IF(OR(D6992="""",E6992="""",I6992="""",J6992="""",H6992=""""),""ফাঁকা ঘর"",""""),IF(AND(C6992&lt;&gt;"""",D6992&lt;&gt;"""",C6992=D6992),""gloss=figurative"",""""),IF(LEN(D6992)&lt;15,""figurative ছোট"",""""),IF(AND(I6992=""Positive"",REGEXMATCH(H6"&amp;"992,""মূর্খ|ভণ্ড|প্রতার|অলস|লোভ|স্বার্থ|অক্ষম|অযোগ্য|বোকা|কৃপণ|হিংস"")),""valence-target অমিল"",""""),IF(COUNTIF($B:$B,B6992)&gt;1,""ডুপ্লিকেট"",""""))"),"")</f>
        <v/>
      </c>
      <c r="Q6992" s="5" t="str">
        <f t="shared" si="1"/>
        <v>২ পরে</v>
      </c>
    </row>
    <row r="6993">
      <c r="A6993" s="4">
        <v>5032.0</v>
      </c>
      <c r="B6993" s="2" t="s">
        <v>28400</v>
      </c>
      <c r="C6993" s="2" t="s">
        <v>28401</v>
      </c>
      <c r="D6993" s="2" t="s">
        <v>28402</v>
      </c>
      <c r="E6993" s="2" t="s">
        <v>28403</v>
      </c>
      <c r="F6993" s="2" t="b">
        <v>1</v>
      </c>
      <c r="G6993" s="2" t="b">
        <v>0</v>
      </c>
      <c r="H6993" s="2" t="s">
        <v>37</v>
      </c>
      <c r="I6993" s="2" t="s">
        <v>49</v>
      </c>
      <c r="J6993" s="2" t="s">
        <v>565</v>
      </c>
      <c r="K6993" s="2" t="s">
        <v>495</v>
      </c>
      <c r="L6993" s="13" t="s">
        <v>496</v>
      </c>
      <c r="M6993" s="2" t="s">
        <v>26</v>
      </c>
      <c r="N6993" s="29"/>
      <c r="O6993" s="29"/>
      <c r="P6993" s="5" t="str">
        <f>IFERROR(__xludf.DUMMYFUNCTION("TEXTJOIN("" | "",TRUE,IF(OR(D6993="""",E6993="""",I6993="""",J6993="""",H6993=""""),""ফাঁকা ঘর"",""""),IF(AND(C6993&lt;&gt;"""",D6993&lt;&gt;"""",C6993=D6993),""gloss=figurative"",""""),IF(LEN(D6993)&lt;15,""figurative ছোট"",""""),IF(AND(I6993=""Positive"",REGEXMATCH(H6"&amp;"993,""মূর্খ|ভণ্ড|প্রতার|অলস|লোভ|স্বার্থ|অক্ষম|অযোগ্য|বোকা|কৃপণ|হিংস"")),""valence-target অমিল"",""""),IF(COUNTIF($B:$B,B6993)&gt;1,""ডুপ্লিকেট"",""""))"),"")</f>
        <v/>
      </c>
      <c r="Q6993" s="5" t="str">
        <f t="shared" si="1"/>
        <v>২ পরে</v>
      </c>
    </row>
    <row r="6994">
      <c r="A6994" s="4">
        <v>5033.0</v>
      </c>
      <c r="B6994" s="2" t="s">
        <v>28404</v>
      </c>
      <c r="C6994" s="2" t="s">
        <v>28405</v>
      </c>
      <c r="D6994" s="2" t="s">
        <v>28406</v>
      </c>
      <c r="E6994" s="2" t="s">
        <v>28407</v>
      </c>
      <c r="F6994" s="2" t="b">
        <v>1</v>
      </c>
      <c r="G6994" s="2" t="b">
        <v>0</v>
      </c>
      <c r="H6994" s="2" t="s">
        <v>1612</v>
      </c>
      <c r="I6994" s="2" t="s">
        <v>22</v>
      </c>
      <c r="J6994" s="2" t="s">
        <v>836</v>
      </c>
      <c r="K6994" s="2" t="s">
        <v>495</v>
      </c>
      <c r="L6994" s="13" t="s">
        <v>496</v>
      </c>
      <c r="M6994" s="2" t="s">
        <v>26</v>
      </c>
      <c r="N6994" s="29"/>
      <c r="O6994" s="29"/>
      <c r="P6994" s="5" t="str">
        <f>IFERROR(__xludf.DUMMYFUNCTION("TEXTJOIN("" | "",TRUE,IF(OR(D6994="""",E6994="""",I6994="""",J6994="""",H6994=""""),""ফাঁকা ঘর"",""""),IF(AND(C6994&lt;&gt;"""",D6994&lt;&gt;"""",C6994=D6994),""gloss=figurative"",""""),IF(LEN(D6994)&lt;15,""figurative ছোট"",""""),IF(AND(I6994=""Positive"",REGEXMATCH(H6"&amp;"994,""মূর্খ|ভণ্ড|প্রতার|অলস|লোভ|স্বার্থ|অক্ষম|অযোগ্য|বোকা|কৃপণ|হিংস"")),""valence-target অমিল"",""""),IF(COUNTIF($B:$B,B6994)&gt;1,""ডুপ্লিকেট"",""""))"),"")</f>
        <v/>
      </c>
      <c r="Q6994" s="5" t="str">
        <f t="shared" si="1"/>
        <v>২ পরে</v>
      </c>
    </row>
    <row r="6995">
      <c r="A6995" s="4">
        <v>5034.0</v>
      </c>
      <c r="B6995" s="2" t="s">
        <v>28408</v>
      </c>
      <c r="C6995" s="2" t="s">
        <v>28409</v>
      </c>
      <c r="D6995" s="2" t="s">
        <v>28410</v>
      </c>
      <c r="E6995" s="2" t="s">
        <v>28411</v>
      </c>
      <c r="F6995" s="2" t="b">
        <v>1</v>
      </c>
      <c r="G6995" s="2" t="b">
        <v>1</v>
      </c>
      <c r="H6995" s="2" t="s">
        <v>1106</v>
      </c>
      <c r="I6995" s="2" t="s">
        <v>22</v>
      </c>
      <c r="J6995" s="2" t="s">
        <v>1315</v>
      </c>
      <c r="K6995" s="2" t="s">
        <v>495</v>
      </c>
      <c r="L6995" s="13" t="s">
        <v>496</v>
      </c>
      <c r="M6995" s="2" t="s">
        <v>26</v>
      </c>
      <c r="N6995" s="29"/>
      <c r="O6995" s="29"/>
      <c r="P6995" s="5" t="str">
        <f>IFERROR(__xludf.DUMMYFUNCTION("TEXTJOIN("" | "",TRUE,IF(OR(D6995="""",E6995="""",I6995="""",J6995="""",H6995=""""),""ফাঁকা ঘর"",""""),IF(AND(C6995&lt;&gt;"""",D6995&lt;&gt;"""",C6995=D6995),""gloss=figurative"",""""),IF(LEN(D6995)&lt;15,""figurative ছোট"",""""),IF(AND(I6995=""Positive"",REGEXMATCH(H6"&amp;"995,""মূর্খ|ভণ্ড|প্রতার|অলস|লোভ|স্বার্থ|অক্ষম|অযোগ্য|বোকা|কৃপণ|হিংস"")),""valence-target অমিল"",""""),IF(COUNTIF($B:$B,B6995)&gt;1,""ডুপ্লিকেট"",""""))"),"")</f>
        <v/>
      </c>
      <c r="Q6995" s="5" t="str">
        <f t="shared" si="1"/>
        <v>২ পরে</v>
      </c>
    </row>
    <row r="6996">
      <c r="A6996" s="4">
        <v>5036.0</v>
      </c>
      <c r="B6996" s="2" t="s">
        <v>28412</v>
      </c>
      <c r="C6996" s="2" t="s">
        <v>28413</v>
      </c>
      <c r="D6996" s="2" t="s">
        <v>28414</v>
      </c>
      <c r="E6996" s="2" t="s">
        <v>28415</v>
      </c>
      <c r="F6996" s="2" t="b">
        <v>1</v>
      </c>
      <c r="G6996" s="2" t="b">
        <v>0</v>
      </c>
      <c r="H6996" s="2" t="s">
        <v>37</v>
      </c>
      <c r="I6996" s="2" t="s">
        <v>49</v>
      </c>
      <c r="J6996" s="2" t="s">
        <v>964</v>
      </c>
      <c r="K6996" s="2" t="s">
        <v>495</v>
      </c>
      <c r="L6996" s="13" t="s">
        <v>496</v>
      </c>
      <c r="M6996" s="2" t="s">
        <v>26</v>
      </c>
      <c r="N6996" s="29"/>
      <c r="O6996" s="29"/>
      <c r="P6996" s="5" t="str">
        <f>IFERROR(__xludf.DUMMYFUNCTION("TEXTJOIN("" | "",TRUE,IF(OR(D6996="""",E6996="""",I6996="""",J6996="""",H6996=""""),""ফাঁকা ঘর"",""""),IF(AND(C6996&lt;&gt;"""",D6996&lt;&gt;"""",C6996=D6996),""gloss=figurative"",""""),IF(LEN(D6996)&lt;15,""figurative ছোট"",""""),IF(AND(I6996=""Positive"",REGEXMATCH(H6"&amp;"996,""মূর্খ|ভণ্ড|প্রতার|অলস|লোভ|স্বার্থ|অক্ষম|অযোগ্য|বোকা|কৃপণ|হিংস"")),""valence-target অমিল"",""""),IF(COUNTIF($B:$B,B6996)&gt;1,""ডুপ্লিকেট"",""""))"),"")</f>
        <v/>
      </c>
      <c r="Q6996" s="5" t="str">
        <f t="shared" si="1"/>
        <v>২ পরে</v>
      </c>
    </row>
    <row r="6997">
      <c r="A6997" s="4">
        <v>5037.0</v>
      </c>
      <c r="B6997" s="2" t="s">
        <v>28416</v>
      </c>
      <c r="C6997" s="2" t="s">
        <v>28417</v>
      </c>
      <c r="D6997" s="2" t="s">
        <v>28418</v>
      </c>
      <c r="E6997" s="2" t="s">
        <v>28419</v>
      </c>
      <c r="F6997" s="2" t="b">
        <v>1</v>
      </c>
      <c r="G6997" s="2" t="b">
        <v>0</v>
      </c>
      <c r="H6997" s="2" t="s">
        <v>37</v>
      </c>
      <c r="I6997" s="2" t="s">
        <v>22</v>
      </c>
      <c r="J6997" s="2" t="s">
        <v>5136</v>
      </c>
      <c r="K6997" s="2" t="s">
        <v>495</v>
      </c>
      <c r="L6997" s="13" t="s">
        <v>496</v>
      </c>
      <c r="M6997" s="2" t="s">
        <v>26</v>
      </c>
      <c r="N6997" s="29"/>
      <c r="O6997" s="29"/>
      <c r="P6997" s="5" t="str">
        <f>IFERROR(__xludf.DUMMYFUNCTION("TEXTJOIN("" | "",TRUE,IF(OR(D6997="""",E6997="""",I6997="""",J6997="""",H6997=""""),""ফাঁকা ঘর"",""""),IF(AND(C6997&lt;&gt;"""",D6997&lt;&gt;"""",C6997=D6997),""gloss=figurative"",""""),IF(LEN(D6997)&lt;15,""figurative ছোট"",""""),IF(AND(I6997=""Positive"",REGEXMATCH(H6"&amp;"997,""মূর্খ|ভণ্ড|প্রতার|অলস|লোভ|স্বার্থ|অক্ষম|অযোগ্য|বোকা|কৃপণ|হিংস"")),""valence-target অমিল"",""""),IF(COUNTIF($B:$B,B6997)&gt;1,""ডুপ্লিকেট"",""""))"),"")</f>
        <v/>
      </c>
      <c r="Q6997" s="5" t="str">
        <f t="shared" si="1"/>
        <v>২ পরে</v>
      </c>
    </row>
    <row r="6998">
      <c r="A6998" s="4">
        <v>5038.0</v>
      </c>
      <c r="B6998" s="2" t="s">
        <v>28420</v>
      </c>
      <c r="C6998" s="2" t="s">
        <v>28421</v>
      </c>
      <c r="D6998" s="2" t="s">
        <v>28422</v>
      </c>
      <c r="E6998" s="2" t="s">
        <v>28423</v>
      </c>
      <c r="F6998" s="2" t="b">
        <v>1</v>
      </c>
      <c r="G6998" s="2" t="b">
        <v>0</v>
      </c>
      <c r="H6998" s="2" t="s">
        <v>18051</v>
      </c>
      <c r="I6998" s="2" t="s">
        <v>22</v>
      </c>
      <c r="J6998" s="2" t="s">
        <v>28424</v>
      </c>
      <c r="K6998" s="2" t="s">
        <v>495</v>
      </c>
      <c r="L6998" s="13" t="s">
        <v>496</v>
      </c>
      <c r="M6998" s="2" t="s">
        <v>26</v>
      </c>
      <c r="N6998" s="29"/>
      <c r="O6998" s="29"/>
      <c r="P6998" s="5" t="str">
        <f>IFERROR(__xludf.DUMMYFUNCTION("TEXTJOIN("" | "",TRUE,IF(OR(D6998="""",E6998="""",I6998="""",J6998="""",H6998=""""),""ফাঁকা ঘর"",""""),IF(AND(C6998&lt;&gt;"""",D6998&lt;&gt;"""",C6998=D6998),""gloss=figurative"",""""),IF(LEN(D6998)&lt;15,""figurative ছোট"",""""),IF(AND(I6998=""Positive"",REGEXMATCH(H6"&amp;"998,""মূর্খ|ভণ্ড|প্রতার|অলস|লোভ|স্বার্থ|অক্ষম|অযোগ্য|বোকা|কৃপণ|হিংস"")),""valence-target অমিল"",""""),IF(COUNTIF($B:$B,B6998)&gt;1,""ডুপ্লিকেট"",""""))"),"")</f>
        <v/>
      </c>
      <c r="Q6998" s="5" t="str">
        <f t="shared" si="1"/>
        <v>২ পরে</v>
      </c>
    </row>
    <row r="6999">
      <c r="A6999" s="4">
        <v>5039.0</v>
      </c>
      <c r="B6999" s="2" t="s">
        <v>28425</v>
      </c>
      <c r="C6999" s="2" t="s">
        <v>28425</v>
      </c>
      <c r="D6999" s="2" t="s">
        <v>28426</v>
      </c>
      <c r="E6999" s="2" t="s">
        <v>28427</v>
      </c>
      <c r="F6999" s="2" t="b">
        <v>1</v>
      </c>
      <c r="G6999" s="2" t="b">
        <v>0</v>
      </c>
      <c r="H6999" s="2" t="s">
        <v>37</v>
      </c>
      <c r="I6999" s="2" t="s">
        <v>49</v>
      </c>
      <c r="J6999" s="2" t="s">
        <v>4670</v>
      </c>
      <c r="K6999" s="2" t="s">
        <v>495</v>
      </c>
      <c r="L6999" s="13" t="s">
        <v>496</v>
      </c>
      <c r="M6999" s="2" t="s">
        <v>26</v>
      </c>
      <c r="N6999" s="29"/>
      <c r="O6999" s="29"/>
      <c r="P6999" s="5" t="str">
        <f>IFERROR(__xludf.DUMMYFUNCTION("TEXTJOIN("" | "",TRUE,IF(OR(D6999="""",E6999="""",I6999="""",J6999="""",H6999=""""),""ফাঁকা ঘর"",""""),IF(AND(C6999&lt;&gt;"""",D6999&lt;&gt;"""",C6999=D6999),""gloss=figurative"",""""),IF(LEN(D6999)&lt;15,""figurative ছোট"",""""),IF(AND(I6999=""Positive"",REGEXMATCH(H6"&amp;"999,""মূর্খ|ভণ্ড|প্রতার|অলস|লোভ|স্বার্থ|অক্ষম|অযোগ্য|বোকা|কৃপণ|হিংস"")),""valence-target অমিল"",""""),IF(COUNTIF($B:$B,B6999)&gt;1,""ডুপ্লিকেট"",""""))"),"")</f>
        <v/>
      </c>
      <c r="Q6999" s="5" t="str">
        <f t="shared" si="1"/>
        <v>২ পরে</v>
      </c>
    </row>
    <row r="7000">
      <c r="A7000" s="4">
        <v>5040.0</v>
      </c>
      <c r="B7000" s="2" t="s">
        <v>28428</v>
      </c>
      <c r="C7000" s="2" t="s">
        <v>28429</v>
      </c>
      <c r="D7000" s="2" t="s">
        <v>28430</v>
      </c>
      <c r="E7000" s="2" t="s">
        <v>28431</v>
      </c>
      <c r="F7000" s="2" t="b">
        <v>1</v>
      </c>
      <c r="G7000" s="2" t="b">
        <v>0</v>
      </c>
      <c r="H7000" s="2" t="s">
        <v>37</v>
      </c>
      <c r="I7000" s="2" t="s">
        <v>49</v>
      </c>
      <c r="J7000" s="2" t="s">
        <v>447</v>
      </c>
      <c r="K7000" s="2" t="s">
        <v>495</v>
      </c>
      <c r="L7000" s="13" t="s">
        <v>496</v>
      </c>
      <c r="M7000" s="2" t="s">
        <v>26</v>
      </c>
      <c r="N7000" s="29"/>
      <c r="O7000" s="29"/>
      <c r="P7000" s="5" t="str">
        <f>IFERROR(__xludf.DUMMYFUNCTION("TEXTJOIN("" | "",TRUE,IF(OR(D7000="""",E7000="""",I7000="""",J7000="""",H7000=""""),""ফাঁকা ঘর"",""""),IF(AND(C7000&lt;&gt;"""",D7000&lt;&gt;"""",C7000=D7000),""gloss=figurative"",""""),IF(LEN(D7000)&lt;15,""figurative ছোট"",""""),IF(AND(I7000=""Positive"",REGEXMATCH(H7"&amp;"000,""মূর্খ|ভণ্ড|প্রতার|অলস|লোভ|স্বার্থ|অক্ষম|অযোগ্য|বোকা|কৃপণ|হিংস"")),""valence-target অমিল"",""""),IF(COUNTIF($B:$B,B7000)&gt;1,""ডুপ্লিকেট"",""""))"),"")</f>
        <v/>
      </c>
      <c r="Q7000" s="5" t="str">
        <f t="shared" si="1"/>
        <v>২ পরে</v>
      </c>
    </row>
    <row r="7001">
      <c r="A7001" s="4">
        <v>5041.0</v>
      </c>
      <c r="B7001" s="2" t="s">
        <v>28432</v>
      </c>
      <c r="C7001" s="2" t="s">
        <v>28433</v>
      </c>
      <c r="D7001" s="2" t="s">
        <v>21410</v>
      </c>
      <c r="E7001" s="2" t="s">
        <v>28434</v>
      </c>
      <c r="F7001" s="2" t="b">
        <v>1</v>
      </c>
      <c r="G7001" s="2" t="b">
        <v>0</v>
      </c>
      <c r="H7001" s="2" t="s">
        <v>37</v>
      </c>
      <c r="I7001" s="2" t="s">
        <v>22</v>
      </c>
      <c r="J7001" s="2" t="s">
        <v>669</v>
      </c>
      <c r="K7001" s="2" t="s">
        <v>495</v>
      </c>
      <c r="L7001" s="13" t="s">
        <v>496</v>
      </c>
      <c r="M7001" s="2" t="s">
        <v>26</v>
      </c>
      <c r="N7001" s="29"/>
      <c r="O7001" s="29"/>
      <c r="P7001" s="5" t="str">
        <f>IFERROR(__xludf.DUMMYFUNCTION("TEXTJOIN("" | "",TRUE,IF(OR(D7001="""",E7001="""",I7001="""",J7001="""",H7001=""""),""ফাঁকা ঘর"",""""),IF(AND(C7001&lt;&gt;"""",D7001&lt;&gt;"""",C7001=D7001),""gloss=figurative"",""""),IF(LEN(D7001)&lt;15,""figurative ছোট"",""""),IF(AND(I7001=""Positive"",REGEXMATCH(H7"&amp;"001,""মূর্খ|ভণ্ড|প্রতার|অলস|লোভ|স্বার্থ|অক্ষম|অযোগ্য|বোকা|কৃপণ|হিংস"")),""valence-target অমিল"",""""),IF(COUNTIF($B:$B,B7001)&gt;1,""ডুপ্লিকেট"",""""))"),"")</f>
        <v/>
      </c>
      <c r="Q7001" s="5" t="str">
        <f t="shared" si="1"/>
        <v>২ পরে</v>
      </c>
    </row>
    <row r="7002">
      <c r="A7002" s="4">
        <v>5043.0</v>
      </c>
      <c r="B7002" s="2" t="s">
        <v>28435</v>
      </c>
      <c r="C7002" s="2" t="s">
        <v>28436</v>
      </c>
      <c r="D7002" s="2" t="s">
        <v>28437</v>
      </c>
      <c r="E7002" s="2" t="s">
        <v>28438</v>
      </c>
      <c r="F7002" s="2" t="b">
        <v>1</v>
      </c>
      <c r="G7002" s="2" t="b">
        <v>0</v>
      </c>
      <c r="H7002" s="2" t="s">
        <v>3407</v>
      </c>
      <c r="I7002" s="2" t="s">
        <v>22</v>
      </c>
      <c r="J7002" s="2" t="s">
        <v>669</v>
      </c>
      <c r="K7002" s="2" t="s">
        <v>495</v>
      </c>
      <c r="L7002" s="13" t="s">
        <v>496</v>
      </c>
      <c r="M7002" s="2" t="s">
        <v>26</v>
      </c>
      <c r="N7002" s="29"/>
      <c r="O7002" s="29"/>
      <c r="P7002" s="5" t="str">
        <f>IFERROR(__xludf.DUMMYFUNCTION("TEXTJOIN("" | "",TRUE,IF(OR(D7002="""",E7002="""",I7002="""",J7002="""",H7002=""""),""ফাঁকা ঘর"",""""),IF(AND(C7002&lt;&gt;"""",D7002&lt;&gt;"""",C7002=D7002),""gloss=figurative"",""""),IF(LEN(D7002)&lt;15,""figurative ছোট"",""""),IF(AND(I7002=""Positive"",REGEXMATCH(H7"&amp;"002,""মূর্খ|ভণ্ড|প্রতার|অলস|লোভ|স্বার্থ|অক্ষম|অযোগ্য|বোকা|কৃপণ|হিংস"")),""valence-target অমিল"",""""),IF(COUNTIF($B:$B,B7002)&gt;1,""ডুপ্লিকেট"",""""))"),"")</f>
        <v/>
      </c>
      <c r="Q7002" s="5" t="str">
        <f t="shared" si="1"/>
        <v>২ পরে</v>
      </c>
    </row>
    <row r="7003">
      <c r="A7003" s="4">
        <v>5044.0</v>
      </c>
      <c r="B7003" s="2" t="s">
        <v>28439</v>
      </c>
      <c r="C7003" s="2" t="s">
        <v>28439</v>
      </c>
      <c r="D7003" s="2" t="s">
        <v>28440</v>
      </c>
      <c r="E7003" s="2" t="s">
        <v>28441</v>
      </c>
      <c r="F7003" s="2" t="b">
        <v>1</v>
      </c>
      <c r="G7003" s="2" t="b">
        <v>0</v>
      </c>
      <c r="H7003" s="2" t="s">
        <v>37</v>
      </c>
      <c r="I7003" s="2" t="s">
        <v>49</v>
      </c>
      <c r="J7003" s="2" t="s">
        <v>2575</v>
      </c>
      <c r="K7003" s="2" t="s">
        <v>495</v>
      </c>
      <c r="L7003" s="13" t="s">
        <v>496</v>
      </c>
      <c r="M7003" s="2" t="s">
        <v>26</v>
      </c>
      <c r="N7003" s="29"/>
      <c r="O7003" s="29"/>
      <c r="P7003" s="5" t="str">
        <f>IFERROR(__xludf.DUMMYFUNCTION("TEXTJOIN("" | "",TRUE,IF(OR(D7003="""",E7003="""",I7003="""",J7003="""",H7003=""""),""ফাঁকা ঘর"",""""),IF(AND(C7003&lt;&gt;"""",D7003&lt;&gt;"""",C7003=D7003),""gloss=figurative"",""""),IF(LEN(D7003)&lt;15,""figurative ছোট"",""""),IF(AND(I7003=""Positive"",REGEXMATCH(H7"&amp;"003,""মূর্খ|ভণ্ড|প্রতার|অলস|লোভ|স্বার্থ|অক্ষম|অযোগ্য|বোকা|কৃপণ|হিংস"")),""valence-target অমিল"",""""),IF(COUNTIF($B:$B,B7003)&gt;1,""ডুপ্লিকেট"",""""))"),"")</f>
        <v/>
      </c>
      <c r="Q7003" s="5" t="str">
        <f t="shared" si="1"/>
        <v>২ পরে</v>
      </c>
    </row>
    <row r="7004">
      <c r="A7004" s="4">
        <v>5046.0</v>
      </c>
      <c r="B7004" s="2" t="s">
        <v>28442</v>
      </c>
      <c r="C7004" s="2" t="s">
        <v>28443</v>
      </c>
      <c r="D7004" s="2" t="s">
        <v>28444</v>
      </c>
      <c r="E7004" s="2" t="s">
        <v>28445</v>
      </c>
      <c r="F7004" s="2" t="b">
        <v>1</v>
      </c>
      <c r="G7004" s="2" t="b">
        <v>0</v>
      </c>
      <c r="H7004" s="2" t="s">
        <v>37</v>
      </c>
      <c r="I7004" s="2" t="s">
        <v>32</v>
      </c>
      <c r="J7004" s="2" t="s">
        <v>729</v>
      </c>
      <c r="K7004" s="2" t="s">
        <v>495</v>
      </c>
      <c r="L7004" s="13" t="s">
        <v>496</v>
      </c>
      <c r="M7004" s="2" t="s">
        <v>26</v>
      </c>
      <c r="N7004" s="29"/>
      <c r="O7004" s="29"/>
      <c r="P7004" s="5" t="str">
        <f>IFERROR(__xludf.DUMMYFUNCTION("TEXTJOIN("" | "",TRUE,IF(OR(D7004="""",E7004="""",I7004="""",J7004="""",H7004=""""),""ফাঁকা ঘর"",""""),IF(AND(C7004&lt;&gt;"""",D7004&lt;&gt;"""",C7004=D7004),""gloss=figurative"",""""),IF(LEN(D7004)&lt;15,""figurative ছোট"",""""),IF(AND(I7004=""Positive"",REGEXMATCH(H7"&amp;"004,""মূর্খ|ভণ্ড|প্রতার|অলস|লোভ|স্বার্থ|অক্ষম|অযোগ্য|বোকা|কৃপণ|হিংস"")),""valence-target অমিল"",""""),IF(COUNTIF($B:$B,B7004)&gt;1,""ডুপ্লিকেট"",""""))"),"")</f>
        <v/>
      </c>
      <c r="Q7004" s="5" t="str">
        <f t="shared" si="1"/>
        <v>২ পরে</v>
      </c>
    </row>
    <row r="7005">
      <c r="A7005" s="4">
        <v>5047.0</v>
      </c>
      <c r="B7005" s="2" t="s">
        <v>28446</v>
      </c>
      <c r="C7005" s="2" t="s">
        <v>28447</v>
      </c>
      <c r="D7005" s="2" t="s">
        <v>25807</v>
      </c>
      <c r="E7005" s="2" t="s">
        <v>28448</v>
      </c>
      <c r="F7005" s="2" t="b">
        <v>1</v>
      </c>
      <c r="G7005" s="2" t="b">
        <v>0</v>
      </c>
      <c r="H7005" s="2" t="s">
        <v>37</v>
      </c>
      <c r="I7005" s="2" t="s">
        <v>22</v>
      </c>
      <c r="J7005" s="2" t="s">
        <v>729</v>
      </c>
      <c r="K7005" s="2" t="s">
        <v>495</v>
      </c>
      <c r="L7005" s="13" t="s">
        <v>496</v>
      </c>
      <c r="M7005" s="2" t="s">
        <v>26</v>
      </c>
      <c r="N7005" s="29"/>
      <c r="O7005" s="29"/>
      <c r="P7005" s="5" t="str">
        <f>IFERROR(__xludf.DUMMYFUNCTION("TEXTJOIN("" | "",TRUE,IF(OR(D7005="""",E7005="""",I7005="""",J7005="""",H7005=""""),""ফাঁকা ঘর"",""""),IF(AND(C7005&lt;&gt;"""",D7005&lt;&gt;"""",C7005=D7005),""gloss=figurative"",""""),IF(LEN(D7005)&lt;15,""figurative ছোট"",""""),IF(AND(I7005=""Positive"",REGEXMATCH(H7"&amp;"005,""মূর্খ|ভণ্ড|প্রতার|অলস|লোভ|স্বার্থ|অক্ষম|অযোগ্য|বোকা|কৃপণ|হিংস"")),""valence-target অমিল"",""""),IF(COUNTIF($B:$B,B7005)&gt;1,""ডুপ্লিকেট"",""""))"),"")</f>
        <v/>
      </c>
      <c r="Q7005" s="5" t="str">
        <f t="shared" si="1"/>
        <v>২ পরে</v>
      </c>
    </row>
    <row r="7006">
      <c r="A7006" s="4">
        <v>5048.0</v>
      </c>
      <c r="B7006" s="2" t="s">
        <v>28449</v>
      </c>
      <c r="C7006" s="2" t="s">
        <v>28450</v>
      </c>
      <c r="D7006" s="2" t="s">
        <v>28451</v>
      </c>
      <c r="E7006" s="2" t="s">
        <v>28452</v>
      </c>
      <c r="F7006" s="2" t="b">
        <v>1</v>
      </c>
      <c r="G7006" s="2" t="b">
        <v>0</v>
      </c>
      <c r="H7006" s="2" t="s">
        <v>37</v>
      </c>
      <c r="I7006" s="2" t="s">
        <v>22</v>
      </c>
      <c r="J7006" s="2" t="s">
        <v>729</v>
      </c>
      <c r="K7006" s="2" t="s">
        <v>495</v>
      </c>
      <c r="L7006" s="13" t="s">
        <v>496</v>
      </c>
      <c r="M7006" s="2" t="s">
        <v>26</v>
      </c>
      <c r="N7006" s="29"/>
      <c r="O7006" s="29"/>
      <c r="P7006" s="5" t="str">
        <f>IFERROR(__xludf.DUMMYFUNCTION("TEXTJOIN("" | "",TRUE,IF(OR(D7006="""",E7006="""",I7006="""",J7006="""",H7006=""""),""ফাঁকা ঘর"",""""),IF(AND(C7006&lt;&gt;"""",D7006&lt;&gt;"""",C7006=D7006),""gloss=figurative"",""""),IF(LEN(D7006)&lt;15,""figurative ছোট"",""""),IF(AND(I7006=""Positive"",REGEXMATCH(H7"&amp;"006,""মূর্খ|ভণ্ড|প্রতার|অলস|লোভ|স্বার্থ|অক্ষম|অযোগ্য|বোকা|কৃপণ|হিংস"")),""valence-target অমিল"",""""),IF(COUNTIF($B:$B,B7006)&gt;1,""ডুপ্লিকেট"",""""))"),"")</f>
        <v/>
      </c>
      <c r="Q7006" s="5" t="str">
        <f t="shared" si="1"/>
        <v>২ পরে</v>
      </c>
    </row>
    <row r="7007">
      <c r="A7007" s="4">
        <v>5050.0</v>
      </c>
      <c r="B7007" s="2" t="s">
        <v>28453</v>
      </c>
      <c r="C7007" s="2" t="s">
        <v>28454</v>
      </c>
      <c r="D7007" s="2" t="s">
        <v>21410</v>
      </c>
      <c r="E7007" s="2" t="s">
        <v>28455</v>
      </c>
      <c r="F7007" s="2" t="b">
        <v>1</v>
      </c>
      <c r="G7007" s="2" t="b">
        <v>0</v>
      </c>
      <c r="H7007" s="2" t="s">
        <v>37</v>
      </c>
      <c r="I7007" s="2" t="s">
        <v>22</v>
      </c>
      <c r="J7007" s="2" t="s">
        <v>669</v>
      </c>
      <c r="K7007" s="2" t="s">
        <v>495</v>
      </c>
      <c r="L7007" s="13" t="s">
        <v>496</v>
      </c>
      <c r="M7007" s="2" t="s">
        <v>26</v>
      </c>
      <c r="N7007" s="29"/>
      <c r="O7007" s="29"/>
      <c r="P7007" s="5" t="str">
        <f>IFERROR(__xludf.DUMMYFUNCTION("TEXTJOIN("" | "",TRUE,IF(OR(D7007="""",E7007="""",I7007="""",J7007="""",H7007=""""),""ফাঁকা ঘর"",""""),IF(AND(C7007&lt;&gt;"""",D7007&lt;&gt;"""",C7007=D7007),""gloss=figurative"",""""),IF(LEN(D7007)&lt;15,""figurative ছোট"",""""),IF(AND(I7007=""Positive"",REGEXMATCH(H7"&amp;"007,""মূর্খ|ভণ্ড|প্রতার|অলস|লোভ|স্বার্থ|অক্ষম|অযোগ্য|বোকা|কৃপণ|হিংস"")),""valence-target অমিল"",""""),IF(COUNTIF($B:$B,B7007)&gt;1,""ডুপ্লিকেট"",""""))"),"")</f>
        <v/>
      </c>
      <c r="Q7007" s="5" t="str">
        <f t="shared" si="1"/>
        <v>২ পরে</v>
      </c>
    </row>
    <row r="7008">
      <c r="A7008" s="4">
        <v>5051.0</v>
      </c>
      <c r="B7008" s="2" t="s">
        <v>28456</v>
      </c>
      <c r="C7008" s="2" t="s">
        <v>28457</v>
      </c>
      <c r="D7008" s="2" t="s">
        <v>28458</v>
      </c>
      <c r="E7008" s="2" t="s">
        <v>28459</v>
      </c>
      <c r="F7008" s="2" t="b">
        <v>1</v>
      </c>
      <c r="G7008" s="2" t="b">
        <v>0</v>
      </c>
      <c r="H7008" s="2" t="s">
        <v>37</v>
      </c>
      <c r="I7008" s="2" t="s">
        <v>22</v>
      </c>
      <c r="J7008" s="2" t="s">
        <v>2343</v>
      </c>
      <c r="K7008" s="2" t="s">
        <v>495</v>
      </c>
      <c r="L7008" s="13" t="s">
        <v>496</v>
      </c>
      <c r="M7008" s="2" t="s">
        <v>26</v>
      </c>
      <c r="N7008" s="29"/>
      <c r="O7008" s="29"/>
      <c r="P7008" s="5" t="str">
        <f>IFERROR(__xludf.DUMMYFUNCTION("TEXTJOIN("" | "",TRUE,IF(OR(D7008="""",E7008="""",I7008="""",J7008="""",H7008=""""),""ফাঁকা ঘর"",""""),IF(AND(C7008&lt;&gt;"""",D7008&lt;&gt;"""",C7008=D7008),""gloss=figurative"",""""),IF(LEN(D7008)&lt;15,""figurative ছোট"",""""),IF(AND(I7008=""Positive"",REGEXMATCH(H7"&amp;"008,""মূর্খ|ভণ্ড|প্রতার|অলস|লোভ|স্বার্থ|অক্ষম|অযোগ্য|বোকা|কৃপণ|হিংস"")),""valence-target অমিল"",""""),IF(COUNTIF($B:$B,B7008)&gt;1,""ডুপ্লিকেট"",""""))"),"")</f>
        <v/>
      </c>
      <c r="Q7008" s="5" t="str">
        <f t="shared" si="1"/>
        <v>২ পরে</v>
      </c>
    </row>
    <row r="7009">
      <c r="A7009" s="4">
        <v>5053.0</v>
      </c>
      <c r="B7009" s="2" t="s">
        <v>28460</v>
      </c>
      <c r="C7009" s="2" t="s">
        <v>28461</v>
      </c>
      <c r="D7009" s="2" t="s">
        <v>28462</v>
      </c>
      <c r="E7009" s="2" t="s">
        <v>28463</v>
      </c>
      <c r="F7009" s="2" t="b">
        <v>1</v>
      </c>
      <c r="G7009" s="2" t="b">
        <v>0</v>
      </c>
      <c r="H7009" s="2" t="s">
        <v>37</v>
      </c>
      <c r="I7009" s="2" t="s">
        <v>22</v>
      </c>
      <c r="J7009" s="2" t="s">
        <v>1239</v>
      </c>
      <c r="K7009" s="2" t="s">
        <v>495</v>
      </c>
      <c r="L7009" s="13" t="s">
        <v>496</v>
      </c>
      <c r="M7009" s="2" t="s">
        <v>26</v>
      </c>
      <c r="N7009" s="29"/>
      <c r="O7009" s="29"/>
      <c r="P7009" s="5" t="str">
        <f>IFERROR(__xludf.DUMMYFUNCTION("TEXTJOIN("" | "",TRUE,IF(OR(D7009="""",E7009="""",I7009="""",J7009="""",H7009=""""),""ফাঁকা ঘর"",""""),IF(AND(C7009&lt;&gt;"""",D7009&lt;&gt;"""",C7009=D7009),""gloss=figurative"",""""),IF(LEN(D7009)&lt;15,""figurative ছোট"",""""),IF(AND(I7009=""Positive"",REGEXMATCH(H7"&amp;"009,""মূর্খ|ভণ্ড|প্রতার|অলস|লোভ|স্বার্থ|অক্ষম|অযোগ্য|বোকা|কৃপণ|হিংস"")),""valence-target অমিল"",""""),IF(COUNTIF($B:$B,B7009)&gt;1,""ডুপ্লিকেট"",""""))"),"")</f>
        <v/>
      </c>
      <c r="Q7009" s="5" t="str">
        <f t="shared" si="1"/>
        <v>২ পরে</v>
      </c>
    </row>
    <row r="7010">
      <c r="A7010" s="4">
        <v>5054.0</v>
      </c>
      <c r="B7010" s="2" t="s">
        <v>28464</v>
      </c>
      <c r="C7010" s="2" t="s">
        <v>28465</v>
      </c>
      <c r="D7010" s="2" t="s">
        <v>28466</v>
      </c>
      <c r="E7010" s="2" t="s">
        <v>28467</v>
      </c>
      <c r="F7010" s="2" t="b">
        <v>1</v>
      </c>
      <c r="G7010" s="2" t="b">
        <v>0</v>
      </c>
      <c r="H7010" s="2" t="s">
        <v>37</v>
      </c>
      <c r="I7010" s="2" t="s">
        <v>22</v>
      </c>
      <c r="J7010" s="2" t="s">
        <v>1770</v>
      </c>
      <c r="K7010" s="2" t="s">
        <v>495</v>
      </c>
      <c r="L7010" s="13" t="s">
        <v>496</v>
      </c>
      <c r="M7010" s="2" t="s">
        <v>26</v>
      </c>
      <c r="N7010" s="29"/>
      <c r="O7010" s="29"/>
      <c r="P7010" s="5" t="str">
        <f>IFERROR(__xludf.DUMMYFUNCTION("TEXTJOIN("" | "",TRUE,IF(OR(D7010="""",E7010="""",I7010="""",J7010="""",H7010=""""),""ফাঁকা ঘর"",""""),IF(AND(C7010&lt;&gt;"""",D7010&lt;&gt;"""",C7010=D7010),""gloss=figurative"",""""),IF(LEN(D7010)&lt;15,""figurative ছোট"",""""),IF(AND(I7010=""Positive"",REGEXMATCH(H7"&amp;"010,""মূর্খ|ভণ্ড|প্রতার|অলস|লোভ|স্বার্থ|অক্ষম|অযোগ্য|বোকা|কৃপণ|হিংস"")),""valence-target অমিল"",""""),IF(COUNTIF($B:$B,B7010)&gt;1,""ডুপ্লিকেট"",""""))"),"")</f>
        <v/>
      </c>
      <c r="Q7010" s="5" t="str">
        <f t="shared" si="1"/>
        <v>২ পরে</v>
      </c>
    </row>
    <row r="7011">
      <c r="A7011" s="4">
        <v>5055.0</v>
      </c>
      <c r="B7011" s="2" t="s">
        <v>28468</v>
      </c>
      <c r="C7011" s="2" t="s">
        <v>28469</v>
      </c>
      <c r="D7011" s="2" t="s">
        <v>28470</v>
      </c>
      <c r="E7011" s="2" t="s">
        <v>28471</v>
      </c>
      <c r="F7011" s="2" t="b">
        <v>1</v>
      </c>
      <c r="G7011" s="2" t="b">
        <v>0</v>
      </c>
      <c r="H7011" s="2" t="s">
        <v>37</v>
      </c>
      <c r="I7011" s="2" t="s">
        <v>22</v>
      </c>
      <c r="J7011" s="2" t="s">
        <v>1013</v>
      </c>
      <c r="K7011" s="2" t="s">
        <v>495</v>
      </c>
      <c r="L7011" s="13" t="s">
        <v>496</v>
      </c>
      <c r="M7011" s="2" t="s">
        <v>26</v>
      </c>
      <c r="N7011" s="29"/>
      <c r="O7011" s="29"/>
      <c r="P7011" s="5" t="str">
        <f>IFERROR(__xludf.DUMMYFUNCTION("TEXTJOIN("" | "",TRUE,IF(OR(D7011="""",E7011="""",I7011="""",J7011="""",H7011=""""),""ফাঁকা ঘর"",""""),IF(AND(C7011&lt;&gt;"""",D7011&lt;&gt;"""",C7011=D7011),""gloss=figurative"",""""),IF(LEN(D7011)&lt;15,""figurative ছোট"",""""),IF(AND(I7011=""Positive"",REGEXMATCH(H7"&amp;"011,""মূর্খ|ভণ্ড|প্রতার|অলস|লোভ|স্বার্থ|অক্ষম|অযোগ্য|বোকা|কৃপণ|হিংস"")),""valence-target অমিল"",""""),IF(COUNTIF($B:$B,B7011)&gt;1,""ডুপ্লিকেট"",""""))"),"")</f>
        <v/>
      </c>
      <c r="Q7011" s="5" t="str">
        <f t="shared" si="1"/>
        <v>২ পরে</v>
      </c>
    </row>
    <row r="7012">
      <c r="A7012" s="4">
        <v>5056.0</v>
      </c>
      <c r="B7012" s="2" t="s">
        <v>28472</v>
      </c>
      <c r="C7012" s="2" t="s">
        <v>28473</v>
      </c>
      <c r="D7012" s="2" t="s">
        <v>28474</v>
      </c>
      <c r="E7012" s="2" t="s">
        <v>28475</v>
      </c>
      <c r="F7012" s="2" t="b">
        <v>1</v>
      </c>
      <c r="G7012" s="2" t="b">
        <v>1</v>
      </c>
      <c r="H7012" s="2" t="s">
        <v>1106</v>
      </c>
      <c r="I7012" s="2" t="s">
        <v>22</v>
      </c>
      <c r="J7012" s="2" t="s">
        <v>28476</v>
      </c>
      <c r="K7012" s="2" t="s">
        <v>495</v>
      </c>
      <c r="L7012" s="13" t="s">
        <v>496</v>
      </c>
      <c r="M7012" s="2" t="s">
        <v>26</v>
      </c>
      <c r="N7012" s="29"/>
      <c r="O7012" s="29"/>
      <c r="P7012" s="5" t="str">
        <f>IFERROR(__xludf.DUMMYFUNCTION("TEXTJOIN("" | "",TRUE,IF(OR(D7012="""",E7012="""",I7012="""",J7012="""",H7012=""""),""ফাঁকা ঘর"",""""),IF(AND(C7012&lt;&gt;"""",D7012&lt;&gt;"""",C7012=D7012),""gloss=figurative"",""""),IF(LEN(D7012)&lt;15,""figurative ছোট"",""""),IF(AND(I7012=""Positive"",REGEXMATCH(H7"&amp;"012,""মূর্খ|ভণ্ড|প্রতার|অলস|লোভ|স্বার্থ|অক্ষম|অযোগ্য|বোকা|কৃপণ|হিংস"")),""valence-target অমিল"",""""),IF(COUNTIF($B:$B,B7012)&gt;1,""ডুপ্লিকেট"",""""))"),"")</f>
        <v/>
      </c>
      <c r="Q7012" s="5" t="str">
        <f t="shared" si="1"/>
        <v>২ পরে</v>
      </c>
    </row>
    <row r="7013">
      <c r="A7013" s="4">
        <v>5057.0</v>
      </c>
      <c r="B7013" s="2" t="s">
        <v>28477</v>
      </c>
      <c r="C7013" s="2" t="s">
        <v>28478</v>
      </c>
      <c r="D7013" s="2" t="s">
        <v>28479</v>
      </c>
      <c r="E7013" s="2" t="s">
        <v>28480</v>
      </c>
      <c r="F7013" s="2" t="b">
        <v>1</v>
      </c>
      <c r="G7013" s="2" t="b">
        <v>1</v>
      </c>
      <c r="H7013" s="2" t="s">
        <v>3079</v>
      </c>
      <c r="I7013" s="2" t="s">
        <v>32</v>
      </c>
      <c r="J7013" s="2" t="s">
        <v>6932</v>
      </c>
      <c r="K7013" s="2" t="s">
        <v>495</v>
      </c>
      <c r="L7013" s="13" t="s">
        <v>496</v>
      </c>
      <c r="M7013" s="2" t="s">
        <v>26</v>
      </c>
      <c r="N7013" s="29"/>
      <c r="O7013" s="29"/>
      <c r="P7013" s="5" t="str">
        <f>IFERROR(__xludf.DUMMYFUNCTION("TEXTJOIN("" | "",TRUE,IF(OR(D7013="""",E7013="""",I7013="""",J7013="""",H7013=""""),""ফাঁকা ঘর"",""""),IF(AND(C7013&lt;&gt;"""",D7013&lt;&gt;"""",C7013=D7013),""gloss=figurative"",""""),IF(LEN(D7013)&lt;15,""figurative ছোট"",""""),IF(AND(I7013=""Positive"",REGEXMATCH(H7"&amp;"013,""মূর্খ|ভণ্ড|প্রতার|অলস|লোভ|স্বার্থ|অক্ষম|অযোগ্য|বোকা|কৃপণ|হিংস"")),""valence-target অমিল"",""""),IF(COUNTIF($B:$B,B7013)&gt;1,""ডুপ্লিকেট"",""""))"),"")</f>
        <v/>
      </c>
      <c r="Q7013" s="5" t="str">
        <f t="shared" si="1"/>
        <v>২ পরে</v>
      </c>
    </row>
    <row r="7014">
      <c r="A7014" s="4">
        <v>5059.0</v>
      </c>
      <c r="B7014" s="2" t="s">
        <v>28481</v>
      </c>
      <c r="C7014" s="2" t="s">
        <v>28482</v>
      </c>
      <c r="D7014" s="2" t="s">
        <v>28483</v>
      </c>
      <c r="E7014" s="2" t="s">
        <v>28484</v>
      </c>
      <c r="F7014" s="2" t="b">
        <v>1</v>
      </c>
      <c r="G7014" s="2" t="b">
        <v>0</v>
      </c>
      <c r="H7014" s="2" t="s">
        <v>37</v>
      </c>
      <c r="I7014" s="2" t="s">
        <v>22</v>
      </c>
      <c r="J7014" s="2" t="s">
        <v>2732</v>
      </c>
      <c r="K7014" s="2" t="s">
        <v>495</v>
      </c>
      <c r="L7014" s="13" t="s">
        <v>496</v>
      </c>
      <c r="M7014" s="2" t="s">
        <v>26</v>
      </c>
      <c r="N7014" s="29"/>
      <c r="O7014" s="29"/>
      <c r="P7014" s="5" t="str">
        <f>IFERROR(__xludf.DUMMYFUNCTION("TEXTJOIN("" | "",TRUE,IF(OR(D7014="""",E7014="""",I7014="""",J7014="""",H7014=""""),""ফাঁকা ঘর"",""""),IF(AND(C7014&lt;&gt;"""",D7014&lt;&gt;"""",C7014=D7014),""gloss=figurative"",""""),IF(LEN(D7014)&lt;15,""figurative ছোট"",""""),IF(AND(I7014=""Positive"",REGEXMATCH(H7"&amp;"014,""মূর্খ|ভণ্ড|প্রতার|অলস|লোভ|স্বার্থ|অক্ষম|অযোগ্য|বোকা|কৃপণ|হিংস"")),""valence-target অমিল"",""""),IF(COUNTIF($B:$B,B7014)&gt;1,""ডুপ্লিকেট"",""""))"),"")</f>
        <v/>
      </c>
      <c r="Q7014" s="5" t="str">
        <f t="shared" si="1"/>
        <v>২ পরে</v>
      </c>
    </row>
    <row r="7015">
      <c r="A7015" s="4">
        <v>5060.0</v>
      </c>
      <c r="B7015" s="2" t="s">
        <v>28485</v>
      </c>
      <c r="C7015" s="2" t="s">
        <v>28486</v>
      </c>
      <c r="D7015" s="2" t="s">
        <v>28487</v>
      </c>
      <c r="E7015" s="2" t="s">
        <v>28488</v>
      </c>
      <c r="F7015" s="2" t="b">
        <v>1</v>
      </c>
      <c r="G7015" s="2" t="b">
        <v>0</v>
      </c>
      <c r="H7015" s="2" t="s">
        <v>37</v>
      </c>
      <c r="I7015" s="2" t="s">
        <v>22</v>
      </c>
      <c r="J7015" s="2" t="s">
        <v>2122</v>
      </c>
      <c r="K7015" s="2" t="s">
        <v>495</v>
      </c>
      <c r="L7015" s="13" t="s">
        <v>496</v>
      </c>
      <c r="M7015" s="2" t="s">
        <v>26</v>
      </c>
      <c r="N7015" s="29"/>
      <c r="O7015" s="29"/>
      <c r="P7015" s="5" t="str">
        <f>IFERROR(__xludf.DUMMYFUNCTION("TEXTJOIN("" | "",TRUE,IF(OR(D7015="""",E7015="""",I7015="""",J7015="""",H7015=""""),""ফাঁকা ঘর"",""""),IF(AND(C7015&lt;&gt;"""",D7015&lt;&gt;"""",C7015=D7015),""gloss=figurative"",""""),IF(LEN(D7015)&lt;15,""figurative ছোট"",""""),IF(AND(I7015=""Positive"",REGEXMATCH(H7"&amp;"015,""মূর্খ|ভণ্ড|প্রতার|অলস|লোভ|স্বার্থ|অক্ষম|অযোগ্য|বোকা|কৃপণ|হিংস"")),""valence-target অমিল"",""""),IF(COUNTIF($B:$B,B7015)&gt;1,""ডুপ্লিকেট"",""""))"),"")</f>
        <v/>
      </c>
      <c r="Q7015" s="5" t="str">
        <f t="shared" si="1"/>
        <v>২ পরে</v>
      </c>
    </row>
    <row r="7016">
      <c r="A7016" s="4">
        <v>5061.0</v>
      </c>
      <c r="B7016" s="2" t="s">
        <v>28489</v>
      </c>
      <c r="C7016" s="2" t="s">
        <v>28490</v>
      </c>
      <c r="D7016" s="2" t="s">
        <v>28491</v>
      </c>
      <c r="E7016" s="2" t="s">
        <v>28492</v>
      </c>
      <c r="F7016" s="2" t="b">
        <v>1</v>
      </c>
      <c r="G7016" s="2" t="b">
        <v>0</v>
      </c>
      <c r="H7016" s="2" t="s">
        <v>37</v>
      </c>
      <c r="I7016" s="2" t="s">
        <v>22</v>
      </c>
      <c r="J7016" s="2" t="s">
        <v>2122</v>
      </c>
      <c r="K7016" s="2" t="s">
        <v>495</v>
      </c>
      <c r="L7016" s="13" t="s">
        <v>496</v>
      </c>
      <c r="M7016" s="2" t="s">
        <v>26</v>
      </c>
      <c r="N7016" s="29"/>
      <c r="O7016" s="29"/>
      <c r="P7016" s="5" t="str">
        <f>IFERROR(__xludf.DUMMYFUNCTION("TEXTJOIN("" | "",TRUE,IF(OR(D7016="""",E7016="""",I7016="""",J7016="""",H7016=""""),""ফাঁকা ঘর"",""""),IF(AND(C7016&lt;&gt;"""",D7016&lt;&gt;"""",C7016=D7016),""gloss=figurative"",""""),IF(LEN(D7016)&lt;15,""figurative ছোট"",""""),IF(AND(I7016=""Positive"",REGEXMATCH(H7"&amp;"016,""মূর্খ|ভণ্ড|প্রতার|অলস|লোভ|স্বার্থ|অক্ষম|অযোগ্য|বোকা|কৃপণ|হিংস"")),""valence-target অমিল"",""""),IF(COUNTIF($B:$B,B7016)&gt;1,""ডুপ্লিকেট"",""""))"),"")</f>
        <v/>
      </c>
      <c r="Q7016" s="5" t="str">
        <f t="shared" si="1"/>
        <v>২ পরে</v>
      </c>
    </row>
    <row r="7017">
      <c r="A7017" s="4">
        <v>5062.0</v>
      </c>
      <c r="B7017" s="2" t="s">
        <v>28493</v>
      </c>
      <c r="C7017" s="2" t="s">
        <v>28494</v>
      </c>
      <c r="D7017" s="2" t="s">
        <v>28495</v>
      </c>
      <c r="E7017" s="2" t="s">
        <v>28496</v>
      </c>
      <c r="F7017" s="2" t="b">
        <v>1</v>
      </c>
      <c r="G7017" s="2" t="b">
        <v>0</v>
      </c>
      <c r="H7017" s="2" t="s">
        <v>37</v>
      </c>
      <c r="I7017" s="2" t="s">
        <v>22</v>
      </c>
      <c r="J7017" s="2" t="s">
        <v>2732</v>
      </c>
      <c r="K7017" s="2" t="s">
        <v>495</v>
      </c>
      <c r="L7017" s="13" t="s">
        <v>496</v>
      </c>
      <c r="M7017" s="2" t="s">
        <v>26</v>
      </c>
      <c r="N7017" s="29"/>
      <c r="O7017" s="29"/>
      <c r="P7017" s="5" t="str">
        <f>IFERROR(__xludf.DUMMYFUNCTION("TEXTJOIN("" | "",TRUE,IF(OR(D7017="""",E7017="""",I7017="""",J7017="""",H7017=""""),""ফাঁকা ঘর"",""""),IF(AND(C7017&lt;&gt;"""",D7017&lt;&gt;"""",C7017=D7017),""gloss=figurative"",""""),IF(LEN(D7017)&lt;15,""figurative ছোট"",""""),IF(AND(I7017=""Positive"",REGEXMATCH(H7"&amp;"017,""মূর্খ|ভণ্ড|প্রতার|অলস|লোভ|স্বার্থ|অক্ষম|অযোগ্য|বোকা|কৃপণ|হিংস"")),""valence-target অমিল"",""""),IF(COUNTIF($B:$B,B7017)&gt;1,""ডুপ্লিকেট"",""""))"),"")</f>
        <v/>
      </c>
      <c r="Q7017" s="5" t="str">
        <f t="shared" si="1"/>
        <v>২ পরে</v>
      </c>
    </row>
    <row r="7018">
      <c r="A7018" s="4">
        <v>5063.0</v>
      </c>
      <c r="B7018" s="2" t="s">
        <v>28497</v>
      </c>
      <c r="C7018" s="2" t="s">
        <v>28498</v>
      </c>
      <c r="D7018" s="2" t="s">
        <v>28499</v>
      </c>
      <c r="E7018" s="2" t="s">
        <v>28500</v>
      </c>
      <c r="F7018" s="2" t="b">
        <v>1</v>
      </c>
      <c r="G7018" s="2" t="b">
        <v>0</v>
      </c>
      <c r="H7018" s="2" t="s">
        <v>37</v>
      </c>
      <c r="I7018" s="2" t="s">
        <v>22</v>
      </c>
      <c r="J7018" s="2" t="s">
        <v>28501</v>
      </c>
      <c r="K7018" s="2" t="s">
        <v>495</v>
      </c>
      <c r="L7018" s="13" t="s">
        <v>496</v>
      </c>
      <c r="M7018" s="2" t="s">
        <v>26</v>
      </c>
      <c r="N7018" s="29"/>
      <c r="O7018" s="29"/>
      <c r="P7018" s="5" t="str">
        <f>IFERROR(__xludf.DUMMYFUNCTION("TEXTJOIN("" | "",TRUE,IF(OR(D7018="""",E7018="""",I7018="""",J7018="""",H7018=""""),""ফাঁকা ঘর"",""""),IF(AND(C7018&lt;&gt;"""",D7018&lt;&gt;"""",C7018=D7018),""gloss=figurative"",""""),IF(LEN(D7018)&lt;15,""figurative ছোট"",""""),IF(AND(I7018=""Positive"",REGEXMATCH(H7"&amp;"018,""মূর্খ|ভণ্ড|প্রতার|অলস|লোভ|স্বার্থ|অক্ষম|অযোগ্য|বোকা|কৃপণ|হিংস"")),""valence-target অমিল"",""""),IF(COUNTIF($B:$B,B7018)&gt;1,""ডুপ্লিকেট"",""""))"),"")</f>
        <v/>
      </c>
      <c r="Q7018" s="5" t="str">
        <f t="shared" si="1"/>
        <v>২ পরে</v>
      </c>
    </row>
    <row r="7019">
      <c r="A7019" s="4">
        <v>5064.0</v>
      </c>
      <c r="B7019" s="2" t="s">
        <v>28502</v>
      </c>
      <c r="C7019" s="2" t="s">
        <v>28503</v>
      </c>
      <c r="D7019" s="2" t="s">
        <v>28504</v>
      </c>
      <c r="E7019" s="2" t="s">
        <v>28505</v>
      </c>
      <c r="F7019" s="2" t="b">
        <v>1</v>
      </c>
      <c r="G7019" s="2" t="b">
        <v>0</v>
      </c>
      <c r="H7019" s="2" t="s">
        <v>37</v>
      </c>
      <c r="I7019" s="2" t="s">
        <v>22</v>
      </c>
      <c r="J7019" s="2" t="s">
        <v>28506</v>
      </c>
      <c r="K7019" s="2" t="s">
        <v>495</v>
      </c>
      <c r="L7019" s="13" t="s">
        <v>496</v>
      </c>
      <c r="M7019" s="2" t="s">
        <v>26</v>
      </c>
      <c r="N7019" s="29"/>
      <c r="O7019" s="29"/>
      <c r="P7019" s="5" t="str">
        <f>IFERROR(__xludf.DUMMYFUNCTION("TEXTJOIN("" | "",TRUE,IF(OR(D7019="""",E7019="""",I7019="""",J7019="""",H7019=""""),""ফাঁকা ঘর"",""""),IF(AND(C7019&lt;&gt;"""",D7019&lt;&gt;"""",C7019=D7019),""gloss=figurative"",""""),IF(LEN(D7019)&lt;15,""figurative ছোট"",""""),IF(AND(I7019=""Positive"",REGEXMATCH(H7"&amp;"019,""মূর্খ|ভণ্ড|প্রতার|অলস|লোভ|স্বার্থ|অক্ষম|অযোগ্য|বোকা|কৃপণ|হিংস"")),""valence-target অমিল"",""""),IF(COUNTIF($B:$B,B7019)&gt;1,""ডুপ্লিকেট"",""""))"),"")</f>
        <v/>
      </c>
      <c r="Q7019" s="5" t="str">
        <f t="shared" si="1"/>
        <v>২ পরে</v>
      </c>
    </row>
    <row r="7020">
      <c r="A7020" s="4">
        <v>5065.0</v>
      </c>
      <c r="B7020" s="2" t="s">
        <v>28507</v>
      </c>
      <c r="C7020" s="2" t="s">
        <v>28507</v>
      </c>
      <c r="D7020" s="2" t="s">
        <v>28508</v>
      </c>
      <c r="E7020" s="2" t="s">
        <v>28509</v>
      </c>
      <c r="F7020" s="2" t="b">
        <v>1</v>
      </c>
      <c r="G7020" s="2" t="b">
        <v>0</v>
      </c>
      <c r="H7020" s="2" t="s">
        <v>37</v>
      </c>
      <c r="I7020" s="2" t="s">
        <v>32</v>
      </c>
      <c r="J7020" s="2" t="s">
        <v>28510</v>
      </c>
      <c r="K7020" s="2" t="s">
        <v>495</v>
      </c>
      <c r="L7020" s="13" t="s">
        <v>496</v>
      </c>
      <c r="M7020" s="2" t="s">
        <v>26</v>
      </c>
      <c r="N7020" s="29"/>
      <c r="O7020" s="29"/>
      <c r="P7020" s="5" t="str">
        <f>IFERROR(__xludf.DUMMYFUNCTION("TEXTJOIN("" | "",TRUE,IF(OR(D7020="""",E7020="""",I7020="""",J7020="""",H7020=""""),""ফাঁকা ঘর"",""""),IF(AND(C7020&lt;&gt;"""",D7020&lt;&gt;"""",C7020=D7020),""gloss=figurative"",""""),IF(LEN(D7020)&lt;15,""figurative ছোট"",""""),IF(AND(I7020=""Positive"",REGEXMATCH(H7"&amp;"020,""মূর্খ|ভণ্ড|প্রতার|অলস|লোভ|স্বার্থ|অক্ষম|অযোগ্য|বোকা|কৃপণ|হিংস"")),""valence-target অমিল"",""""),IF(COUNTIF($B:$B,B7020)&gt;1,""ডুপ্লিকেট"",""""))"),"")</f>
        <v/>
      </c>
      <c r="Q7020" s="5" t="str">
        <f t="shared" si="1"/>
        <v>২ পরে</v>
      </c>
    </row>
    <row r="7021">
      <c r="A7021" s="4">
        <v>5066.0</v>
      </c>
      <c r="B7021" s="2" t="s">
        <v>28511</v>
      </c>
      <c r="C7021" s="2" t="s">
        <v>28512</v>
      </c>
      <c r="D7021" s="2" t="s">
        <v>28513</v>
      </c>
      <c r="E7021" s="2" t="s">
        <v>28514</v>
      </c>
      <c r="F7021" s="2" t="b">
        <v>1</v>
      </c>
      <c r="G7021" s="2" t="b">
        <v>0</v>
      </c>
      <c r="H7021" s="2" t="s">
        <v>37</v>
      </c>
      <c r="I7021" s="2" t="s">
        <v>22</v>
      </c>
      <c r="J7021" s="2" t="s">
        <v>5235</v>
      </c>
      <c r="K7021" s="2" t="s">
        <v>495</v>
      </c>
      <c r="L7021" s="13" t="s">
        <v>496</v>
      </c>
      <c r="M7021" s="2" t="s">
        <v>26</v>
      </c>
      <c r="N7021" s="29"/>
      <c r="O7021" s="29"/>
      <c r="P7021" s="5" t="str">
        <f>IFERROR(__xludf.DUMMYFUNCTION("TEXTJOIN("" | "",TRUE,IF(OR(D7021="""",E7021="""",I7021="""",J7021="""",H7021=""""),""ফাঁকা ঘর"",""""),IF(AND(C7021&lt;&gt;"""",D7021&lt;&gt;"""",C7021=D7021),""gloss=figurative"",""""),IF(LEN(D7021)&lt;15,""figurative ছোট"",""""),IF(AND(I7021=""Positive"",REGEXMATCH(H7"&amp;"021,""মূর্খ|ভণ্ড|প্রতার|অলস|লোভ|স্বার্থ|অক্ষম|অযোগ্য|বোকা|কৃপণ|হিংস"")),""valence-target অমিল"",""""),IF(COUNTIF($B:$B,B7021)&gt;1,""ডুপ্লিকেট"",""""))"),"")</f>
        <v/>
      </c>
      <c r="Q7021" s="5" t="str">
        <f t="shared" si="1"/>
        <v>২ পরে</v>
      </c>
    </row>
    <row r="7022">
      <c r="A7022" s="4">
        <v>5067.0</v>
      </c>
      <c r="B7022" s="2" t="s">
        <v>28515</v>
      </c>
      <c r="C7022" s="2" t="s">
        <v>28516</v>
      </c>
      <c r="D7022" s="2" t="s">
        <v>28517</v>
      </c>
      <c r="E7022" s="2" t="s">
        <v>28518</v>
      </c>
      <c r="F7022" s="2" t="b">
        <v>1</v>
      </c>
      <c r="G7022" s="2" t="b">
        <v>0</v>
      </c>
      <c r="H7022" s="2" t="s">
        <v>37</v>
      </c>
      <c r="I7022" s="2" t="s">
        <v>22</v>
      </c>
      <c r="J7022" s="2" t="s">
        <v>1117</v>
      </c>
      <c r="K7022" s="2" t="s">
        <v>495</v>
      </c>
      <c r="L7022" s="13" t="s">
        <v>496</v>
      </c>
      <c r="M7022" s="2" t="s">
        <v>26</v>
      </c>
      <c r="N7022" s="29"/>
      <c r="O7022" s="29"/>
      <c r="P7022" s="5" t="str">
        <f>IFERROR(__xludf.DUMMYFUNCTION("TEXTJOIN("" | "",TRUE,IF(OR(D7022="""",E7022="""",I7022="""",J7022="""",H7022=""""),""ফাঁকা ঘর"",""""),IF(AND(C7022&lt;&gt;"""",D7022&lt;&gt;"""",C7022=D7022),""gloss=figurative"",""""),IF(LEN(D7022)&lt;15,""figurative ছোট"",""""),IF(AND(I7022=""Positive"",REGEXMATCH(H7"&amp;"022,""মূর্খ|ভণ্ড|প্রতার|অলস|লোভ|স্বার্থ|অক্ষম|অযোগ্য|বোকা|কৃপণ|হিংস"")),""valence-target অমিল"",""""),IF(COUNTIF($B:$B,B7022)&gt;1,""ডুপ্লিকেট"",""""))"),"")</f>
        <v/>
      </c>
      <c r="Q7022" s="5" t="str">
        <f t="shared" si="1"/>
        <v>২ পরে</v>
      </c>
    </row>
    <row r="7023">
      <c r="A7023" s="4">
        <v>5068.0</v>
      </c>
      <c r="B7023" s="2" t="s">
        <v>28519</v>
      </c>
      <c r="C7023" s="2" t="s">
        <v>28520</v>
      </c>
      <c r="D7023" s="2" t="s">
        <v>28521</v>
      </c>
      <c r="E7023" s="2" t="s">
        <v>28522</v>
      </c>
      <c r="F7023" s="2" t="b">
        <v>1</v>
      </c>
      <c r="G7023" s="2" t="b">
        <v>0</v>
      </c>
      <c r="H7023" s="2" t="s">
        <v>37</v>
      </c>
      <c r="I7023" s="2" t="s">
        <v>32</v>
      </c>
      <c r="J7023" s="2" t="s">
        <v>300</v>
      </c>
      <c r="K7023" s="2" t="s">
        <v>495</v>
      </c>
      <c r="L7023" s="13" t="s">
        <v>496</v>
      </c>
      <c r="M7023" s="2" t="s">
        <v>26</v>
      </c>
      <c r="N7023" s="29"/>
      <c r="O7023" s="29"/>
      <c r="P7023" s="5" t="str">
        <f>IFERROR(__xludf.DUMMYFUNCTION("TEXTJOIN("" | "",TRUE,IF(OR(D7023="""",E7023="""",I7023="""",J7023="""",H7023=""""),""ফাঁকা ঘর"",""""),IF(AND(C7023&lt;&gt;"""",D7023&lt;&gt;"""",C7023=D7023),""gloss=figurative"",""""),IF(LEN(D7023)&lt;15,""figurative ছোট"",""""),IF(AND(I7023=""Positive"",REGEXMATCH(H7"&amp;"023,""মূর্খ|ভণ্ড|প্রতার|অলস|লোভ|স্বার্থ|অক্ষম|অযোগ্য|বোকা|কৃপণ|হিংস"")),""valence-target অমিল"",""""),IF(COUNTIF($B:$B,B7023)&gt;1,""ডুপ্লিকেট"",""""))"),"")</f>
        <v/>
      </c>
      <c r="Q7023" s="5" t="str">
        <f t="shared" si="1"/>
        <v>২ পরে</v>
      </c>
    </row>
    <row r="7024">
      <c r="A7024" s="4">
        <v>5070.0</v>
      </c>
      <c r="B7024" s="2" t="s">
        <v>28523</v>
      </c>
      <c r="C7024" s="2" t="s">
        <v>28523</v>
      </c>
      <c r="D7024" s="2" t="s">
        <v>28524</v>
      </c>
      <c r="E7024" s="2" t="s">
        <v>28525</v>
      </c>
      <c r="F7024" s="2" t="b">
        <v>1</v>
      </c>
      <c r="G7024" s="2" t="b">
        <v>1</v>
      </c>
      <c r="H7024" s="2" t="s">
        <v>1106</v>
      </c>
      <c r="I7024" s="2" t="s">
        <v>22</v>
      </c>
      <c r="J7024" s="2" t="s">
        <v>1315</v>
      </c>
      <c r="K7024" s="2" t="s">
        <v>495</v>
      </c>
      <c r="L7024" s="13" t="s">
        <v>496</v>
      </c>
      <c r="M7024" s="2" t="s">
        <v>26</v>
      </c>
      <c r="N7024" s="29"/>
      <c r="O7024" s="29"/>
      <c r="P7024" s="5" t="str">
        <f>IFERROR(__xludf.DUMMYFUNCTION("TEXTJOIN("" | "",TRUE,IF(OR(D7024="""",E7024="""",I7024="""",J7024="""",H7024=""""),""ফাঁকা ঘর"",""""),IF(AND(C7024&lt;&gt;"""",D7024&lt;&gt;"""",C7024=D7024),""gloss=figurative"",""""),IF(LEN(D7024)&lt;15,""figurative ছোট"",""""),IF(AND(I7024=""Positive"",REGEXMATCH(H7"&amp;"024,""মূর্খ|ভণ্ড|প্রতার|অলস|লোভ|স্বার্থ|অক্ষম|অযোগ্য|বোকা|কৃপণ|হিংস"")),""valence-target অমিল"",""""),IF(COUNTIF($B:$B,B7024)&gt;1,""ডুপ্লিকেট"",""""))"),"")</f>
        <v/>
      </c>
      <c r="Q7024" s="5" t="str">
        <f t="shared" si="1"/>
        <v>২ পরে</v>
      </c>
    </row>
    <row r="7025">
      <c r="A7025" s="4">
        <v>5071.0</v>
      </c>
      <c r="B7025" s="2" t="s">
        <v>28526</v>
      </c>
      <c r="C7025" s="2" t="s">
        <v>28527</v>
      </c>
      <c r="D7025" s="2" t="s">
        <v>28528</v>
      </c>
      <c r="E7025" s="2" t="s">
        <v>28529</v>
      </c>
      <c r="F7025" s="2" t="b">
        <v>1</v>
      </c>
      <c r="G7025" s="2" t="b">
        <v>0</v>
      </c>
      <c r="H7025" s="2" t="s">
        <v>37</v>
      </c>
      <c r="I7025" s="2" t="s">
        <v>22</v>
      </c>
      <c r="J7025" s="2" t="s">
        <v>340</v>
      </c>
      <c r="K7025" s="2" t="s">
        <v>495</v>
      </c>
      <c r="L7025" s="13" t="s">
        <v>496</v>
      </c>
      <c r="M7025" s="2" t="s">
        <v>26</v>
      </c>
      <c r="N7025" s="29"/>
      <c r="O7025" s="29"/>
      <c r="P7025" s="5" t="str">
        <f>IFERROR(__xludf.DUMMYFUNCTION("TEXTJOIN("" | "",TRUE,IF(OR(D7025="""",E7025="""",I7025="""",J7025="""",H7025=""""),""ফাঁকা ঘর"",""""),IF(AND(C7025&lt;&gt;"""",D7025&lt;&gt;"""",C7025=D7025),""gloss=figurative"",""""),IF(LEN(D7025)&lt;15,""figurative ছোট"",""""),IF(AND(I7025=""Positive"",REGEXMATCH(H7"&amp;"025,""মূর্খ|ভণ্ড|প্রতার|অলস|লোভ|স্বার্থ|অক্ষম|অযোগ্য|বোকা|কৃপণ|হিংস"")),""valence-target অমিল"",""""),IF(COUNTIF($B:$B,B7025)&gt;1,""ডুপ্লিকেট"",""""))"),"")</f>
        <v/>
      </c>
      <c r="Q7025" s="5" t="str">
        <f t="shared" si="1"/>
        <v>২ পরে</v>
      </c>
    </row>
    <row r="7026">
      <c r="A7026" s="4">
        <v>5072.0</v>
      </c>
      <c r="B7026" s="2" t="s">
        <v>28530</v>
      </c>
      <c r="C7026" s="2" t="s">
        <v>28531</v>
      </c>
      <c r="D7026" s="2" t="s">
        <v>28532</v>
      </c>
      <c r="E7026" s="2" t="s">
        <v>9607</v>
      </c>
      <c r="F7026" s="2" t="b">
        <v>1</v>
      </c>
      <c r="G7026" s="2" t="b">
        <v>0</v>
      </c>
      <c r="H7026" s="2" t="s">
        <v>37</v>
      </c>
      <c r="I7026" s="2" t="s">
        <v>22</v>
      </c>
      <c r="J7026" s="2" t="s">
        <v>2255</v>
      </c>
      <c r="K7026" s="2" t="s">
        <v>495</v>
      </c>
      <c r="L7026" s="13" t="s">
        <v>496</v>
      </c>
      <c r="M7026" s="2" t="s">
        <v>26</v>
      </c>
      <c r="N7026" s="29"/>
      <c r="O7026" s="29"/>
      <c r="P7026" s="5" t="str">
        <f>IFERROR(__xludf.DUMMYFUNCTION("TEXTJOIN("" | "",TRUE,IF(OR(D7026="""",E7026="""",I7026="""",J7026="""",H7026=""""),""ফাঁকা ঘর"",""""),IF(AND(C7026&lt;&gt;"""",D7026&lt;&gt;"""",C7026=D7026),""gloss=figurative"",""""),IF(LEN(D7026)&lt;15,""figurative ছোট"",""""),IF(AND(I7026=""Positive"",REGEXMATCH(H7"&amp;"026,""মূর্খ|ভণ্ড|প্রতার|অলস|লোভ|স্বার্থ|অক্ষম|অযোগ্য|বোকা|কৃপণ|হিংস"")),""valence-target অমিল"",""""),IF(COUNTIF($B:$B,B7026)&gt;1,""ডুপ্লিকেট"",""""))"),"")</f>
        <v/>
      </c>
      <c r="Q7026" s="5" t="str">
        <f t="shared" si="1"/>
        <v>২ পরে</v>
      </c>
    </row>
    <row r="7027">
      <c r="A7027" s="4">
        <v>5073.0</v>
      </c>
      <c r="B7027" s="2" t="s">
        <v>28533</v>
      </c>
      <c r="C7027" s="2" t="s">
        <v>28534</v>
      </c>
      <c r="D7027" s="2" t="s">
        <v>28535</v>
      </c>
      <c r="E7027" s="2" t="s">
        <v>28536</v>
      </c>
      <c r="F7027" s="2" t="b">
        <v>1</v>
      </c>
      <c r="G7027" s="2" t="b">
        <v>1</v>
      </c>
      <c r="H7027" s="2" t="s">
        <v>1106</v>
      </c>
      <c r="I7027" s="2" t="s">
        <v>22</v>
      </c>
      <c r="J7027" s="2" t="s">
        <v>1315</v>
      </c>
      <c r="K7027" s="2" t="s">
        <v>495</v>
      </c>
      <c r="L7027" s="13" t="s">
        <v>496</v>
      </c>
      <c r="M7027" s="2" t="s">
        <v>26</v>
      </c>
      <c r="N7027" s="29"/>
      <c r="O7027" s="29"/>
      <c r="P7027" s="5" t="str">
        <f>IFERROR(__xludf.DUMMYFUNCTION("TEXTJOIN("" | "",TRUE,IF(OR(D7027="""",E7027="""",I7027="""",J7027="""",H7027=""""),""ফাঁকা ঘর"",""""),IF(AND(C7027&lt;&gt;"""",D7027&lt;&gt;"""",C7027=D7027),""gloss=figurative"",""""),IF(LEN(D7027)&lt;15,""figurative ছোট"",""""),IF(AND(I7027=""Positive"",REGEXMATCH(H7"&amp;"027,""মূর্খ|ভণ্ড|প্রতার|অলস|লোভ|স্বার্থ|অক্ষম|অযোগ্য|বোকা|কৃপণ|হিংস"")),""valence-target অমিল"",""""),IF(COUNTIF($B:$B,B7027)&gt;1,""ডুপ্লিকেট"",""""))"),"")</f>
        <v/>
      </c>
      <c r="Q7027" s="5" t="str">
        <f t="shared" si="1"/>
        <v>২ পরে</v>
      </c>
    </row>
    <row r="7028">
      <c r="A7028" s="4">
        <v>5074.0</v>
      </c>
      <c r="B7028" s="2" t="s">
        <v>28537</v>
      </c>
      <c r="C7028" s="2" t="s">
        <v>28537</v>
      </c>
      <c r="D7028" s="2" t="s">
        <v>28538</v>
      </c>
      <c r="E7028" s="2" t="s">
        <v>28539</v>
      </c>
      <c r="F7028" s="2" t="b">
        <v>1</v>
      </c>
      <c r="G7028" s="2" t="b">
        <v>0</v>
      </c>
      <c r="H7028" s="2" t="s">
        <v>37</v>
      </c>
      <c r="I7028" s="2" t="s">
        <v>49</v>
      </c>
      <c r="J7028" s="2" t="s">
        <v>6712</v>
      </c>
      <c r="K7028" s="2" t="s">
        <v>495</v>
      </c>
      <c r="L7028" s="13" t="s">
        <v>496</v>
      </c>
      <c r="M7028" s="2" t="s">
        <v>26</v>
      </c>
      <c r="N7028" s="29"/>
      <c r="O7028" s="29"/>
      <c r="P7028" s="5" t="str">
        <f>IFERROR(__xludf.DUMMYFUNCTION("TEXTJOIN("" | "",TRUE,IF(OR(D7028="""",E7028="""",I7028="""",J7028="""",H7028=""""),""ফাঁকা ঘর"",""""),IF(AND(C7028&lt;&gt;"""",D7028&lt;&gt;"""",C7028=D7028),""gloss=figurative"",""""),IF(LEN(D7028)&lt;15,""figurative ছোট"",""""),IF(AND(I7028=""Positive"",REGEXMATCH(H7"&amp;"028,""মূর্খ|ভণ্ড|প্রতার|অলস|লোভ|স্বার্থ|অক্ষম|অযোগ্য|বোকা|কৃপণ|হিংস"")),""valence-target অমিল"",""""),IF(COUNTIF($B:$B,B7028)&gt;1,""ডুপ্লিকেট"",""""))"),"")</f>
        <v/>
      </c>
      <c r="Q7028" s="5" t="str">
        <f t="shared" si="1"/>
        <v>২ পরে</v>
      </c>
    </row>
    <row r="7029">
      <c r="A7029" s="4">
        <v>5075.0</v>
      </c>
      <c r="B7029" s="2" t="s">
        <v>28540</v>
      </c>
      <c r="C7029" s="2" t="s">
        <v>28541</v>
      </c>
      <c r="D7029" s="2" t="s">
        <v>28542</v>
      </c>
      <c r="E7029" s="2" t="s">
        <v>28543</v>
      </c>
      <c r="F7029" s="2" t="b">
        <v>1</v>
      </c>
      <c r="G7029" s="2" t="b">
        <v>0</v>
      </c>
      <c r="H7029" s="2" t="s">
        <v>37</v>
      </c>
      <c r="I7029" s="2" t="s">
        <v>49</v>
      </c>
      <c r="J7029" s="2" t="s">
        <v>6712</v>
      </c>
      <c r="K7029" s="2" t="s">
        <v>495</v>
      </c>
      <c r="L7029" s="13" t="s">
        <v>496</v>
      </c>
      <c r="M7029" s="2" t="s">
        <v>26</v>
      </c>
      <c r="N7029" s="29"/>
      <c r="O7029" s="29"/>
      <c r="P7029" s="5" t="str">
        <f>IFERROR(__xludf.DUMMYFUNCTION("TEXTJOIN("" | "",TRUE,IF(OR(D7029="""",E7029="""",I7029="""",J7029="""",H7029=""""),""ফাঁকা ঘর"",""""),IF(AND(C7029&lt;&gt;"""",D7029&lt;&gt;"""",C7029=D7029),""gloss=figurative"",""""),IF(LEN(D7029)&lt;15,""figurative ছোট"",""""),IF(AND(I7029=""Positive"",REGEXMATCH(H7"&amp;"029,""মূর্খ|ভণ্ড|প্রতার|অলস|লোভ|স্বার্থ|অক্ষম|অযোগ্য|বোকা|কৃপণ|হিংস"")),""valence-target অমিল"",""""),IF(COUNTIF($B:$B,B7029)&gt;1,""ডুপ্লিকেট"",""""))"),"")</f>
        <v/>
      </c>
      <c r="Q7029" s="5" t="str">
        <f t="shared" si="1"/>
        <v>২ পরে</v>
      </c>
    </row>
    <row r="7030">
      <c r="A7030" s="4">
        <v>5076.0</v>
      </c>
      <c r="B7030" s="2" t="s">
        <v>28544</v>
      </c>
      <c r="C7030" s="2" t="s">
        <v>28545</v>
      </c>
      <c r="D7030" s="2" t="s">
        <v>28546</v>
      </c>
      <c r="E7030" s="2" t="s">
        <v>28547</v>
      </c>
      <c r="F7030" s="2" t="b">
        <v>1</v>
      </c>
      <c r="G7030" s="2" t="b">
        <v>0</v>
      </c>
      <c r="H7030" s="2" t="s">
        <v>37</v>
      </c>
      <c r="I7030" s="2" t="s">
        <v>49</v>
      </c>
      <c r="J7030" s="2" t="s">
        <v>3416</v>
      </c>
      <c r="K7030" s="2" t="s">
        <v>495</v>
      </c>
      <c r="L7030" s="13" t="s">
        <v>496</v>
      </c>
      <c r="M7030" s="2" t="s">
        <v>26</v>
      </c>
      <c r="N7030" s="29"/>
      <c r="O7030" s="29"/>
      <c r="P7030" s="5" t="str">
        <f>IFERROR(__xludf.DUMMYFUNCTION("TEXTJOIN("" | "",TRUE,IF(OR(D7030="""",E7030="""",I7030="""",J7030="""",H7030=""""),""ফাঁকা ঘর"",""""),IF(AND(C7030&lt;&gt;"""",D7030&lt;&gt;"""",C7030=D7030),""gloss=figurative"",""""),IF(LEN(D7030)&lt;15,""figurative ছোট"",""""),IF(AND(I7030=""Positive"",REGEXMATCH(H7"&amp;"030,""মূর্খ|ভণ্ড|প্রতার|অলস|লোভ|স্বার্থ|অক্ষম|অযোগ্য|বোকা|কৃপণ|হিংস"")),""valence-target অমিল"",""""),IF(COUNTIF($B:$B,B7030)&gt;1,""ডুপ্লিকেট"",""""))"),"")</f>
        <v/>
      </c>
      <c r="Q7030" s="5" t="str">
        <f t="shared" si="1"/>
        <v>২ পরে</v>
      </c>
    </row>
    <row r="7031">
      <c r="A7031" s="4">
        <v>5078.0</v>
      </c>
      <c r="B7031" s="2" t="s">
        <v>28548</v>
      </c>
      <c r="C7031" s="2" t="s">
        <v>28548</v>
      </c>
      <c r="D7031" s="2" t="s">
        <v>28549</v>
      </c>
      <c r="E7031" s="2" t="s">
        <v>28550</v>
      </c>
      <c r="F7031" s="2" t="b">
        <v>1</v>
      </c>
      <c r="G7031" s="2" t="b">
        <v>0</v>
      </c>
      <c r="H7031" s="2" t="s">
        <v>37</v>
      </c>
      <c r="I7031" s="2" t="s">
        <v>49</v>
      </c>
      <c r="J7031" s="2" t="s">
        <v>1553</v>
      </c>
      <c r="K7031" s="2" t="s">
        <v>495</v>
      </c>
      <c r="L7031" s="13" t="s">
        <v>496</v>
      </c>
      <c r="M7031" s="2" t="s">
        <v>26</v>
      </c>
      <c r="N7031" s="29"/>
      <c r="O7031" s="29"/>
      <c r="P7031" s="5" t="str">
        <f>IFERROR(__xludf.DUMMYFUNCTION("TEXTJOIN("" | "",TRUE,IF(OR(D7031="""",E7031="""",I7031="""",J7031="""",H7031=""""),""ফাঁকা ঘর"",""""),IF(AND(C7031&lt;&gt;"""",D7031&lt;&gt;"""",C7031=D7031),""gloss=figurative"",""""),IF(LEN(D7031)&lt;15,""figurative ছোট"",""""),IF(AND(I7031=""Positive"",REGEXMATCH(H7"&amp;"031,""মূর্খ|ভণ্ড|প্রতার|অলস|লোভ|স্বার্থ|অক্ষম|অযোগ্য|বোকা|কৃপণ|হিংস"")),""valence-target অমিল"",""""),IF(COUNTIF($B:$B,B7031)&gt;1,""ডুপ্লিকেট"",""""))"),"")</f>
        <v/>
      </c>
      <c r="Q7031" s="5" t="str">
        <f t="shared" si="1"/>
        <v>২ পরে</v>
      </c>
    </row>
    <row r="7032">
      <c r="A7032" s="4">
        <v>5079.0</v>
      </c>
      <c r="B7032" s="2" t="s">
        <v>28551</v>
      </c>
      <c r="C7032" s="2" t="s">
        <v>28552</v>
      </c>
      <c r="D7032" s="2" t="s">
        <v>28553</v>
      </c>
      <c r="E7032" s="2" t="s">
        <v>28554</v>
      </c>
      <c r="F7032" s="2" t="b">
        <v>1</v>
      </c>
      <c r="G7032" s="2" t="b">
        <v>0</v>
      </c>
      <c r="H7032" s="2" t="s">
        <v>37</v>
      </c>
      <c r="I7032" s="2" t="s">
        <v>22</v>
      </c>
      <c r="J7032" s="2" t="s">
        <v>1621</v>
      </c>
      <c r="K7032" s="2" t="s">
        <v>495</v>
      </c>
      <c r="L7032" s="13" t="s">
        <v>496</v>
      </c>
      <c r="M7032" s="2" t="s">
        <v>26</v>
      </c>
      <c r="N7032" s="29"/>
      <c r="O7032" s="29"/>
      <c r="P7032" s="5" t="str">
        <f>IFERROR(__xludf.DUMMYFUNCTION("TEXTJOIN("" | "",TRUE,IF(OR(D7032="""",E7032="""",I7032="""",J7032="""",H7032=""""),""ফাঁকা ঘর"",""""),IF(AND(C7032&lt;&gt;"""",D7032&lt;&gt;"""",C7032=D7032),""gloss=figurative"",""""),IF(LEN(D7032)&lt;15,""figurative ছোট"",""""),IF(AND(I7032=""Positive"",REGEXMATCH(H7"&amp;"032,""মূর্খ|ভণ্ড|প্রতার|অলস|লোভ|স্বার্থ|অক্ষম|অযোগ্য|বোকা|কৃপণ|হিংস"")),""valence-target অমিল"",""""),IF(COUNTIF($B:$B,B7032)&gt;1,""ডুপ্লিকেট"",""""))"),"")</f>
        <v/>
      </c>
      <c r="Q7032" s="5" t="str">
        <f t="shared" si="1"/>
        <v>২ পরে</v>
      </c>
    </row>
    <row r="7033">
      <c r="A7033" s="4">
        <v>5080.0</v>
      </c>
      <c r="B7033" s="2" t="s">
        <v>28555</v>
      </c>
      <c r="C7033" s="2" t="s">
        <v>28556</v>
      </c>
      <c r="D7033" s="2" t="s">
        <v>28557</v>
      </c>
      <c r="E7033" s="2" t="s">
        <v>28558</v>
      </c>
      <c r="F7033" s="2" t="b">
        <v>1</v>
      </c>
      <c r="G7033" s="2" t="b">
        <v>0</v>
      </c>
      <c r="H7033" s="2" t="s">
        <v>37</v>
      </c>
      <c r="I7033" s="2" t="s">
        <v>49</v>
      </c>
      <c r="J7033" s="2" t="s">
        <v>708</v>
      </c>
      <c r="K7033" s="2" t="s">
        <v>495</v>
      </c>
      <c r="L7033" s="13" t="s">
        <v>496</v>
      </c>
      <c r="M7033" s="2" t="s">
        <v>26</v>
      </c>
      <c r="N7033" s="29"/>
      <c r="O7033" s="29"/>
      <c r="P7033" s="5" t="str">
        <f>IFERROR(__xludf.DUMMYFUNCTION("TEXTJOIN("" | "",TRUE,IF(OR(D7033="""",E7033="""",I7033="""",J7033="""",H7033=""""),""ফাঁকা ঘর"",""""),IF(AND(C7033&lt;&gt;"""",D7033&lt;&gt;"""",C7033=D7033),""gloss=figurative"",""""),IF(LEN(D7033)&lt;15,""figurative ছোট"",""""),IF(AND(I7033=""Positive"",REGEXMATCH(H7"&amp;"033,""মূর্খ|ভণ্ড|প্রতার|অলস|লোভ|স্বার্থ|অক্ষম|অযোগ্য|বোকা|কৃপণ|হিংস"")),""valence-target অমিল"",""""),IF(COUNTIF($B:$B,B7033)&gt;1,""ডুপ্লিকেট"",""""))"),"")</f>
        <v/>
      </c>
      <c r="Q7033" s="5" t="str">
        <f t="shared" si="1"/>
        <v>২ পরে</v>
      </c>
    </row>
    <row r="7034">
      <c r="A7034" s="4">
        <v>5081.0</v>
      </c>
      <c r="B7034" s="2" t="s">
        <v>28559</v>
      </c>
      <c r="C7034" s="2" t="s">
        <v>28560</v>
      </c>
      <c r="D7034" s="2" t="s">
        <v>28470</v>
      </c>
      <c r="E7034" s="2" t="s">
        <v>28561</v>
      </c>
      <c r="F7034" s="2" t="b">
        <v>1</v>
      </c>
      <c r="G7034" s="2" t="b">
        <v>0</v>
      </c>
      <c r="H7034" s="2" t="s">
        <v>37</v>
      </c>
      <c r="I7034" s="2" t="s">
        <v>22</v>
      </c>
      <c r="J7034" s="2" t="s">
        <v>1013</v>
      </c>
      <c r="K7034" s="2" t="s">
        <v>495</v>
      </c>
      <c r="L7034" s="13" t="s">
        <v>496</v>
      </c>
      <c r="M7034" s="2" t="s">
        <v>26</v>
      </c>
      <c r="N7034" s="29"/>
      <c r="O7034" s="29"/>
      <c r="P7034" s="5" t="str">
        <f>IFERROR(__xludf.DUMMYFUNCTION("TEXTJOIN("" | "",TRUE,IF(OR(D7034="""",E7034="""",I7034="""",J7034="""",H7034=""""),""ফাঁকা ঘর"",""""),IF(AND(C7034&lt;&gt;"""",D7034&lt;&gt;"""",C7034=D7034),""gloss=figurative"",""""),IF(LEN(D7034)&lt;15,""figurative ছোট"",""""),IF(AND(I7034=""Positive"",REGEXMATCH(H7"&amp;"034,""মূর্খ|ভণ্ড|প্রতার|অলস|লোভ|স্বার্থ|অক্ষম|অযোগ্য|বোকা|কৃপণ|হিংস"")),""valence-target অমিল"",""""),IF(COUNTIF($B:$B,B7034)&gt;1,""ডুপ্লিকেট"",""""))"),"")</f>
        <v/>
      </c>
      <c r="Q7034" s="5" t="str">
        <f t="shared" si="1"/>
        <v>২ পরে</v>
      </c>
    </row>
    <row r="7035">
      <c r="A7035" s="4">
        <v>5082.0</v>
      </c>
      <c r="B7035" s="2" t="s">
        <v>28562</v>
      </c>
      <c r="C7035" s="2" t="s">
        <v>28563</v>
      </c>
      <c r="D7035" s="2" t="s">
        <v>28564</v>
      </c>
      <c r="E7035" s="2" t="s">
        <v>28565</v>
      </c>
      <c r="F7035" s="2" t="b">
        <v>1</v>
      </c>
      <c r="G7035" s="2" t="b">
        <v>0</v>
      </c>
      <c r="H7035" s="2" t="s">
        <v>37</v>
      </c>
      <c r="I7035" s="2" t="s">
        <v>22</v>
      </c>
      <c r="J7035" s="2" t="s">
        <v>1603</v>
      </c>
      <c r="K7035" s="2" t="s">
        <v>495</v>
      </c>
      <c r="L7035" s="13" t="s">
        <v>496</v>
      </c>
      <c r="M7035" s="2" t="s">
        <v>26</v>
      </c>
      <c r="N7035" s="29"/>
      <c r="O7035" s="29"/>
      <c r="P7035" s="5" t="str">
        <f>IFERROR(__xludf.DUMMYFUNCTION("TEXTJOIN("" | "",TRUE,IF(OR(D7035="""",E7035="""",I7035="""",J7035="""",H7035=""""),""ফাঁকা ঘর"",""""),IF(AND(C7035&lt;&gt;"""",D7035&lt;&gt;"""",C7035=D7035),""gloss=figurative"",""""),IF(LEN(D7035)&lt;15,""figurative ছোট"",""""),IF(AND(I7035=""Positive"",REGEXMATCH(H7"&amp;"035,""মূর্খ|ভণ্ড|প্রতার|অলস|লোভ|স্বার্থ|অক্ষম|অযোগ্য|বোকা|কৃপণ|হিংস"")),""valence-target অমিল"",""""),IF(COUNTIF($B:$B,B7035)&gt;1,""ডুপ্লিকেট"",""""))"),"")</f>
        <v/>
      </c>
      <c r="Q7035" s="5" t="str">
        <f t="shared" si="1"/>
        <v>২ পরে</v>
      </c>
    </row>
    <row r="7036">
      <c r="A7036" s="4">
        <v>5083.0</v>
      </c>
      <c r="B7036" s="2" t="s">
        <v>28566</v>
      </c>
      <c r="C7036" s="2" t="s">
        <v>28567</v>
      </c>
      <c r="D7036" s="2" t="s">
        <v>28568</v>
      </c>
      <c r="E7036" s="2" t="s">
        <v>28569</v>
      </c>
      <c r="F7036" s="2" t="b">
        <v>1</v>
      </c>
      <c r="G7036" s="2" t="b">
        <v>0</v>
      </c>
      <c r="H7036" s="2" t="s">
        <v>37</v>
      </c>
      <c r="I7036" s="2" t="s">
        <v>32</v>
      </c>
      <c r="J7036" s="2" t="s">
        <v>2732</v>
      </c>
      <c r="K7036" s="2" t="s">
        <v>495</v>
      </c>
      <c r="L7036" s="13" t="s">
        <v>496</v>
      </c>
      <c r="M7036" s="2" t="s">
        <v>26</v>
      </c>
      <c r="N7036" s="29"/>
      <c r="O7036" s="29"/>
      <c r="P7036" s="5" t="str">
        <f>IFERROR(__xludf.DUMMYFUNCTION("TEXTJOIN("" | "",TRUE,IF(OR(D7036="""",E7036="""",I7036="""",J7036="""",H7036=""""),""ফাঁকা ঘর"",""""),IF(AND(C7036&lt;&gt;"""",D7036&lt;&gt;"""",C7036=D7036),""gloss=figurative"",""""),IF(LEN(D7036)&lt;15,""figurative ছোট"",""""),IF(AND(I7036=""Positive"",REGEXMATCH(H7"&amp;"036,""মূর্খ|ভণ্ড|প্রতার|অলস|লোভ|স্বার্থ|অক্ষম|অযোগ্য|বোকা|কৃপণ|হিংস"")),""valence-target অমিল"",""""),IF(COUNTIF($B:$B,B7036)&gt;1,""ডুপ্লিকেট"",""""))"),"")</f>
        <v/>
      </c>
      <c r="Q7036" s="5" t="str">
        <f t="shared" si="1"/>
        <v>২ পরে</v>
      </c>
    </row>
    <row r="7037">
      <c r="A7037" s="4">
        <v>5085.0</v>
      </c>
      <c r="B7037" s="2" t="s">
        <v>28570</v>
      </c>
      <c r="C7037" s="2" t="s">
        <v>28570</v>
      </c>
      <c r="D7037" s="2" t="s">
        <v>28571</v>
      </c>
      <c r="E7037" s="2" t="s">
        <v>28572</v>
      </c>
      <c r="F7037" s="2" t="b">
        <v>1</v>
      </c>
      <c r="G7037" s="2" t="b">
        <v>0</v>
      </c>
      <c r="H7037" s="2" t="s">
        <v>37</v>
      </c>
      <c r="I7037" s="2" t="s">
        <v>22</v>
      </c>
      <c r="J7037" s="2" t="s">
        <v>820</v>
      </c>
      <c r="K7037" s="2" t="s">
        <v>495</v>
      </c>
      <c r="L7037" s="13" t="s">
        <v>496</v>
      </c>
      <c r="M7037" s="2" t="s">
        <v>26</v>
      </c>
      <c r="N7037" s="29"/>
      <c r="O7037" s="29"/>
      <c r="P7037" s="5" t="str">
        <f>IFERROR(__xludf.DUMMYFUNCTION("TEXTJOIN("" | "",TRUE,IF(OR(D7037="""",E7037="""",I7037="""",J7037="""",H7037=""""),""ফাঁকা ঘর"",""""),IF(AND(C7037&lt;&gt;"""",D7037&lt;&gt;"""",C7037=D7037),""gloss=figurative"",""""),IF(LEN(D7037)&lt;15,""figurative ছোট"",""""),IF(AND(I7037=""Positive"",REGEXMATCH(H7"&amp;"037,""মূর্খ|ভণ্ড|প্রতার|অলস|লোভ|স্বার্থ|অক্ষম|অযোগ্য|বোকা|কৃপণ|হিংস"")),""valence-target অমিল"",""""),IF(COUNTIF($B:$B,B7037)&gt;1,""ডুপ্লিকেট"",""""))"),"")</f>
        <v/>
      </c>
      <c r="Q7037" s="5" t="str">
        <f t="shared" si="1"/>
        <v>২ পরে</v>
      </c>
    </row>
    <row r="7038">
      <c r="A7038" s="4">
        <v>5086.0</v>
      </c>
      <c r="B7038" s="2" t="s">
        <v>28573</v>
      </c>
      <c r="C7038" s="2" t="s">
        <v>28574</v>
      </c>
      <c r="D7038" s="2" t="s">
        <v>28575</v>
      </c>
      <c r="E7038" s="2" t="s">
        <v>28576</v>
      </c>
      <c r="F7038" s="2" t="b">
        <v>1</v>
      </c>
      <c r="G7038" s="2" t="b">
        <v>0</v>
      </c>
      <c r="H7038" s="2" t="s">
        <v>37</v>
      </c>
      <c r="I7038" s="2" t="s">
        <v>49</v>
      </c>
      <c r="J7038" s="2" t="s">
        <v>1387</v>
      </c>
      <c r="K7038" s="2" t="s">
        <v>495</v>
      </c>
      <c r="L7038" s="13" t="s">
        <v>496</v>
      </c>
      <c r="M7038" s="2" t="s">
        <v>26</v>
      </c>
      <c r="N7038" s="29"/>
      <c r="O7038" s="29"/>
      <c r="P7038" s="5" t="str">
        <f>IFERROR(__xludf.DUMMYFUNCTION("TEXTJOIN("" | "",TRUE,IF(OR(D7038="""",E7038="""",I7038="""",J7038="""",H7038=""""),""ফাঁকা ঘর"",""""),IF(AND(C7038&lt;&gt;"""",D7038&lt;&gt;"""",C7038=D7038),""gloss=figurative"",""""),IF(LEN(D7038)&lt;15,""figurative ছোট"",""""),IF(AND(I7038=""Positive"",REGEXMATCH(H7"&amp;"038,""মূর্খ|ভণ্ড|প্রতার|অলস|লোভ|স্বার্থ|অক্ষম|অযোগ্য|বোকা|কৃপণ|হিংস"")),""valence-target অমিল"",""""),IF(COUNTIF($B:$B,B7038)&gt;1,""ডুপ্লিকেট"",""""))"),"")</f>
        <v/>
      </c>
      <c r="Q7038" s="5" t="str">
        <f t="shared" si="1"/>
        <v>২ পরে</v>
      </c>
    </row>
    <row r="7039">
      <c r="A7039" s="4">
        <v>5087.0</v>
      </c>
      <c r="B7039" s="2" t="s">
        <v>28577</v>
      </c>
      <c r="C7039" s="2" t="s">
        <v>28578</v>
      </c>
      <c r="D7039" s="2" t="s">
        <v>28579</v>
      </c>
      <c r="E7039" s="2" t="s">
        <v>28580</v>
      </c>
      <c r="F7039" s="2" t="b">
        <v>1</v>
      </c>
      <c r="G7039" s="2" t="b">
        <v>0</v>
      </c>
      <c r="H7039" s="2" t="s">
        <v>37</v>
      </c>
      <c r="I7039" s="2" t="s">
        <v>32</v>
      </c>
      <c r="J7039" s="2" t="s">
        <v>750</v>
      </c>
      <c r="K7039" s="2" t="s">
        <v>495</v>
      </c>
      <c r="L7039" s="13" t="s">
        <v>496</v>
      </c>
      <c r="M7039" s="2" t="s">
        <v>26</v>
      </c>
      <c r="N7039" s="29"/>
      <c r="O7039" s="29"/>
      <c r="P7039" s="5" t="str">
        <f>IFERROR(__xludf.DUMMYFUNCTION("TEXTJOIN("" | "",TRUE,IF(OR(D7039="""",E7039="""",I7039="""",J7039="""",H7039=""""),""ফাঁকা ঘর"",""""),IF(AND(C7039&lt;&gt;"""",D7039&lt;&gt;"""",C7039=D7039),""gloss=figurative"",""""),IF(LEN(D7039)&lt;15,""figurative ছোট"",""""),IF(AND(I7039=""Positive"",REGEXMATCH(H7"&amp;"039,""মূর্খ|ভণ্ড|প্রতার|অলস|লোভ|স্বার্থ|অক্ষম|অযোগ্য|বোকা|কৃপণ|হিংস"")),""valence-target অমিল"",""""),IF(COUNTIF($B:$B,B7039)&gt;1,""ডুপ্লিকেট"",""""))"),"")</f>
        <v/>
      </c>
      <c r="Q7039" s="5" t="str">
        <f t="shared" si="1"/>
        <v>২ পরে</v>
      </c>
    </row>
    <row r="7040">
      <c r="A7040" s="4">
        <v>5088.0</v>
      </c>
      <c r="B7040" s="2" t="s">
        <v>28581</v>
      </c>
      <c r="C7040" s="2" t="s">
        <v>28582</v>
      </c>
      <c r="D7040" s="2" t="s">
        <v>28583</v>
      </c>
      <c r="E7040" s="2" t="s">
        <v>28584</v>
      </c>
      <c r="F7040" s="2" t="b">
        <v>1</v>
      </c>
      <c r="G7040" s="2" t="b">
        <v>0</v>
      </c>
      <c r="H7040" s="2" t="s">
        <v>37</v>
      </c>
      <c r="I7040" s="2" t="s">
        <v>22</v>
      </c>
      <c r="J7040" s="2" t="s">
        <v>820</v>
      </c>
      <c r="K7040" s="2" t="s">
        <v>495</v>
      </c>
      <c r="L7040" s="13" t="s">
        <v>496</v>
      </c>
      <c r="M7040" s="2" t="s">
        <v>26</v>
      </c>
      <c r="N7040" s="29"/>
      <c r="O7040" s="29"/>
      <c r="P7040" s="5" t="str">
        <f>IFERROR(__xludf.DUMMYFUNCTION("TEXTJOIN("" | "",TRUE,IF(OR(D7040="""",E7040="""",I7040="""",J7040="""",H7040=""""),""ফাঁকা ঘর"",""""),IF(AND(C7040&lt;&gt;"""",D7040&lt;&gt;"""",C7040=D7040),""gloss=figurative"",""""),IF(LEN(D7040)&lt;15,""figurative ছোট"",""""),IF(AND(I7040=""Positive"",REGEXMATCH(H7"&amp;"040,""মূর্খ|ভণ্ড|প্রতার|অলস|লোভ|স্বার্থ|অক্ষম|অযোগ্য|বোকা|কৃপণ|হিংস"")),""valence-target অমিল"",""""),IF(COUNTIF($B:$B,B7040)&gt;1,""ডুপ্লিকেট"",""""))"),"")</f>
        <v/>
      </c>
      <c r="Q7040" s="5" t="str">
        <f t="shared" si="1"/>
        <v>২ পরে</v>
      </c>
    </row>
    <row r="7041">
      <c r="A7041" s="4">
        <v>5089.0</v>
      </c>
      <c r="B7041" s="2" t="s">
        <v>28585</v>
      </c>
      <c r="C7041" s="2" t="s">
        <v>28586</v>
      </c>
      <c r="D7041" s="2" t="s">
        <v>28587</v>
      </c>
      <c r="E7041" s="2" t="s">
        <v>28588</v>
      </c>
      <c r="F7041" s="2" t="b">
        <v>1</v>
      </c>
      <c r="G7041" s="2" t="b">
        <v>0</v>
      </c>
      <c r="H7041" s="2" t="s">
        <v>37</v>
      </c>
      <c r="I7041" s="2" t="s">
        <v>22</v>
      </c>
      <c r="J7041" s="2" t="s">
        <v>2122</v>
      </c>
      <c r="K7041" s="2" t="s">
        <v>495</v>
      </c>
      <c r="L7041" s="13" t="s">
        <v>496</v>
      </c>
      <c r="M7041" s="2" t="s">
        <v>26</v>
      </c>
      <c r="N7041" s="29"/>
      <c r="O7041" s="29"/>
      <c r="P7041" s="5" t="str">
        <f>IFERROR(__xludf.DUMMYFUNCTION("TEXTJOIN("" | "",TRUE,IF(OR(D7041="""",E7041="""",I7041="""",J7041="""",H7041=""""),""ফাঁকা ঘর"",""""),IF(AND(C7041&lt;&gt;"""",D7041&lt;&gt;"""",C7041=D7041),""gloss=figurative"",""""),IF(LEN(D7041)&lt;15,""figurative ছোট"",""""),IF(AND(I7041=""Positive"",REGEXMATCH(H7"&amp;"041,""মূর্খ|ভণ্ড|প্রতার|অলস|লোভ|স্বার্থ|অক্ষম|অযোগ্য|বোকা|কৃপণ|হিংস"")),""valence-target অমিল"",""""),IF(COUNTIF($B:$B,B7041)&gt;1,""ডুপ্লিকেট"",""""))"),"")</f>
        <v/>
      </c>
      <c r="Q7041" s="5" t="str">
        <f t="shared" si="1"/>
        <v>২ পরে</v>
      </c>
    </row>
    <row r="7042">
      <c r="A7042" s="4">
        <v>5090.0</v>
      </c>
      <c r="B7042" s="2" t="s">
        <v>28589</v>
      </c>
      <c r="C7042" s="2" t="s">
        <v>28589</v>
      </c>
      <c r="D7042" s="2" t="s">
        <v>28590</v>
      </c>
      <c r="E7042" s="2" t="s">
        <v>28591</v>
      </c>
      <c r="F7042" s="2" t="b">
        <v>1</v>
      </c>
      <c r="G7042" s="2" t="b">
        <v>0</v>
      </c>
      <c r="H7042" s="2" t="s">
        <v>37</v>
      </c>
      <c r="I7042" s="2" t="s">
        <v>22</v>
      </c>
      <c r="J7042" s="2" t="s">
        <v>1438</v>
      </c>
      <c r="K7042" s="2" t="s">
        <v>495</v>
      </c>
      <c r="L7042" s="13" t="s">
        <v>496</v>
      </c>
      <c r="M7042" s="2" t="s">
        <v>26</v>
      </c>
      <c r="N7042" s="29"/>
      <c r="O7042" s="29"/>
      <c r="P7042" s="5" t="str">
        <f>IFERROR(__xludf.DUMMYFUNCTION("TEXTJOIN("" | "",TRUE,IF(OR(D7042="""",E7042="""",I7042="""",J7042="""",H7042=""""),""ফাঁকা ঘর"",""""),IF(AND(C7042&lt;&gt;"""",D7042&lt;&gt;"""",C7042=D7042),""gloss=figurative"",""""),IF(LEN(D7042)&lt;15,""figurative ছোট"",""""),IF(AND(I7042=""Positive"",REGEXMATCH(H7"&amp;"042,""মূর্খ|ভণ্ড|প্রতার|অলস|লোভ|স্বার্থ|অক্ষম|অযোগ্য|বোকা|কৃপণ|হিংস"")),""valence-target অমিল"",""""),IF(COUNTIF($B:$B,B7042)&gt;1,""ডুপ্লিকেট"",""""))"),"")</f>
        <v/>
      </c>
      <c r="Q7042" s="5" t="str">
        <f t="shared" si="1"/>
        <v>২ পরে</v>
      </c>
    </row>
    <row r="7043">
      <c r="A7043" s="4">
        <v>5091.0</v>
      </c>
      <c r="B7043" s="2" t="s">
        <v>28592</v>
      </c>
      <c r="C7043" s="2" t="s">
        <v>28593</v>
      </c>
      <c r="D7043" s="2" t="s">
        <v>28470</v>
      </c>
      <c r="E7043" s="2" t="s">
        <v>28594</v>
      </c>
      <c r="F7043" s="2" t="b">
        <v>1</v>
      </c>
      <c r="G7043" s="2" t="b">
        <v>0</v>
      </c>
      <c r="H7043" s="2" t="s">
        <v>37</v>
      </c>
      <c r="I7043" s="2" t="s">
        <v>22</v>
      </c>
      <c r="J7043" s="2" t="s">
        <v>1013</v>
      </c>
      <c r="K7043" s="2" t="s">
        <v>495</v>
      </c>
      <c r="L7043" s="13" t="s">
        <v>496</v>
      </c>
      <c r="M7043" s="2" t="s">
        <v>26</v>
      </c>
      <c r="N7043" s="29"/>
      <c r="O7043" s="29"/>
      <c r="P7043" s="5" t="str">
        <f>IFERROR(__xludf.DUMMYFUNCTION("TEXTJOIN("" | "",TRUE,IF(OR(D7043="""",E7043="""",I7043="""",J7043="""",H7043=""""),""ফাঁকা ঘর"",""""),IF(AND(C7043&lt;&gt;"""",D7043&lt;&gt;"""",C7043=D7043),""gloss=figurative"",""""),IF(LEN(D7043)&lt;15,""figurative ছোট"",""""),IF(AND(I7043=""Positive"",REGEXMATCH(H7"&amp;"043,""মূর্খ|ভণ্ড|প্রতার|অলস|লোভ|স্বার্থ|অক্ষম|অযোগ্য|বোকা|কৃপণ|হিংস"")),""valence-target অমিল"",""""),IF(COUNTIF($B:$B,B7043)&gt;1,""ডুপ্লিকেট"",""""))"),"")</f>
        <v/>
      </c>
      <c r="Q7043" s="5" t="str">
        <f t="shared" si="1"/>
        <v>২ পরে</v>
      </c>
    </row>
    <row r="7044">
      <c r="A7044" s="4">
        <v>5092.0</v>
      </c>
      <c r="B7044" s="2" t="s">
        <v>28595</v>
      </c>
      <c r="C7044" s="2" t="s">
        <v>28596</v>
      </c>
      <c r="D7044" s="2" t="s">
        <v>28597</v>
      </c>
      <c r="E7044" s="2" t="s">
        <v>28598</v>
      </c>
      <c r="F7044" s="2" t="b">
        <v>1</v>
      </c>
      <c r="G7044" s="2" t="b">
        <v>0</v>
      </c>
      <c r="H7044" s="2" t="s">
        <v>37</v>
      </c>
      <c r="I7044" s="2" t="s">
        <v>22</v>
      </c>
      <c r="J7044" s="2" t="s">
        <v>750</v>
      </c>
      <c r="K7044" s="2" t="s">
        <v>495</v>
      </c>
      <c r="L7044" s="13" t="s">
        <v>496</v>
      </c>
      <c r="M7044" s="2" t="s">
        <v>26</v>
      </c>
      <c r="N7044" s="29"/>
      <c r="O7044" s="29"/>
      <c r="P7044" s="5" t="str">
        <f>IFERROR(__xludf.DUMMYFUNCTION("TEXTJOIN("" | "",TRUE,IF(OR(D7044="""",E7044="""",I7044="""",J7044="""",H7044=""""),""ফাঁকা ঘর"",""""),IF(AND(C7044&lt;&gt;"""",D7044&lt;&gt;"""",C7044=D7044),""gloss=figurative"",""""),IF(LEN(D7044)&lt;15,""figurative ছোট"",""""),IF(AND(I7044=""Positive"",REGEXMATCH(H7"&amp;"044,""মূর্খ|ভণ্ড|প্রতার|অলস|লোভ|স্বার্থ|অক্ষম|অযোগ্য|বোকা|কৃপণ|হিংস"")),""valence-target অমিল"",""""),IF(COUNTIF($B:$B,B7044)&gt;1,""ডুপ্লিকেট"",""""))"),"")</f>
        <v/>
      </c>
      <c r="Q7044" s="5" t="str">
        <f t="shared" si="1"/>
        <v>২ পরে</v>
      </c>
    </row>
    <row r="7045">
      <c r="A7045" s="4">
        <v>5093.0</v>
      </c>
      <c r="B7045" s="2" t="s">
        <v>28599</v>
      </c>
      <c r="C7045" s="2" t="s">
        <v>28600</v>
      </c>
      <c r="D7045" s="2" t="s">
        <v>28601</v>
      </c>
      <c r="E7045" s="2" t="s">
        <v>28602</v>
      </c>
      <c r="F7045" s="2" t="b">
        <v>1</v>
      </c>
      <c r="G7045" s="2" t="b">
        <v>0</v>
      </c>
      <c r="H7045" s="2" t="s">
        <v>37</v>
      </c>
      <c r="I7045" s="2" t="s">
        <v>22</v>
      </c>
      <c r="J7045" s="2" t="s">
        <v>820</v>
      </c>
      <c r="K7045" s="2" t="s">
        <v>495</v>
      </c>
      <c r="L7045" s="13" t="s">
        <v>496</v>
      </c>
      <c r="M7045" s="2" t="s">
        <v>26</v>
      </c>
      <c r="N7045" s="29"/>
      <c r="O7045" s="29"/>
      <c r="P7045" s="5" t="str">
        <f>IFERROR(__xludf.DUMMYFUNCTION("TEXTJOIN("" | "",TRUE,IF(OR(D7045="""",E7045="""",I7045="""",J7045="""",H7045=""""),""ফাঁকা ঘর"",""""),IF(AND(C7045&lt;&gt;"""",D7045&lt;&gt;"""",C7045=D7045),""gloss=figurative"",""""),IF(LEN(D7045)&lt;15,""figurative ছোট"",""""),IF(AND(I7045=""Positive"",REGEXMATCH(H7"&amp;"045,""মূর্খ|ভণ্ড|প্রতার|অলস|লোভ|স্বার্থ|অক্ষম|অযোগ্য|বোকা|কৃপণ|হিংস"")),""valence-target অমিল"",""""),IF(COUNTIF($B:$B,B7045)&gt;1,""ডুপ্লিকেট"",""""))"),"")</f>
        <v/>
      </c>
      <c r="Q7045" s="5" t="str">
        <f t="shared" si="1"/>
        <v>২ পরে</v>
      </c>
    </row>
    <row r="7046">
      <c r="A7046" s="4">
        <v>5094.0</v>
      </c>
      <c r="B7046" s="2" t="s">
        <v>28603</v>
      </c>
      <c r="C7046" s="2" t="s">
        <v>28604</v>
      </c>
      <c r="D7046" s="2" t="s">
        <v>28605</v>
      </c>
      <c r="E7046" s="2" t="s">
        <v>28606</v>
      </c>
      <c r="F7046" s="2" t="b">
        <v>1</v>
      </c>
      <c r="G7046" s="2" t="b">
        <v>0</v>
      </c>
      <c r="H7046" s="2" t="s">
        <v>37</v>
      </c>
      <c r="I7046" s="2" t="s">
        <v>22</v>
      </c>
      <c r="J7046" s="2" t="s">
        <v>1013</v>
      </c>
      <c r="K7046" s="2" t="s">
        <v>495</v>
      </c>
      <c r="L7046" s="13" t="s">
        <v>496</v>
      </c>
      <c r="M7046" s="2" t="s">
        <v>26</v>
      </c>
      <c r="N7046" s="29"/>
      <c r="O7046" s="29"/>
      <c r="P7046" s="5" t="str">
        <f>IFERROR(__xludf.DUMMYFUNCTION("TEXTJOIN("" | "",TRUE,IF(OR(D7046="""",E7046="""",I7046="""",J7046="""",H7046=""""),""ফাঁকা ঘর"",""""),IF(AND(C7046&lt;&gt;"""",D7046&lt;&gt;"""",C7046=D7046),""gloss=figurative"",""""),IF(LEN(D7046)&lt;15,""figurative ছোট"",""""),IF(AND(I7046=""Positive"",REGEXMATCH(H7"&amp;"046,""মূর্খ|ভণ্ড|প্রতার|অলস|লোভ|স্বার্থ|অক্ষম|অযোগ্য|বোকা|কৃপণ|হিংস"")),""valence-target অমিল"",""""),IF(COUNTIF($B:$B,B7046)&gt;1,""ডুপ্লিকেট"",""""))"),"")</f>
        <v/>
      </c>
      <c r="Q7046" s="5" t="str">
        <f t="shared" si="1"/>
        <v>২ পরে</v>
      </c>
    </row>
    <row r="7047">
      <c r="A7047" s="4">
        <v>5095.0</v>
      </c>
      <c r="B7047" s="2" t="s">
        <v>28607</v>
      </c>
      <c r="C7047" s="2" t="s">
        <v>28608</v>
      </c>
      <c r="D7047" s="2" t="s">
        <v>28609</v>
      </c>
      <c r="E7047" s="2" t="s">
        <v>28610</v>
      </c>
      <c r="F7047" s="2" t="b">
        <v>1</v>
      </c>
      <c r="G7047" s="2" t="b">
        <v>0</v>
      </c>
      <c r="H7047" s="2" t="s">
        <v>640</v>
      </c>
      <c r="I7047" s="2" t="s">
        <v>22</v>
      </c>
      <c r="J7047" s="2" t="s">
        <v>640</v>
      </c>
      <c r="K7047" s="2" t="s">
        <v>495</v>
      </c>
      <c r="L7047" s="13" t="s">
        <v>496</v>
      </c>
      <c r="M7047" s="2" t="s">
        <v>26</v>
      </c>
      <c r="N7047" s="29"/>
      <c r="O7047" s="29"/>
      <c r="P7047" s="5" t="str">
        <f>IFERROR(__xludf.DUMMYFUNCTION("TEXTJOIN("" | "",TRUE,IF(OR(D7047="""",E7047="""",I7047="""",J7047="""",H7047=""""),""ফাঁকা ঘর"",""""),IF(AND(C7047&lt;&gt;"""",D7047&lt;&gt;"""",C7047=D7047),""gloss=figurative"",""""),IF(LEN(D7047)&lt;15,""figurative ছোট"",""""),IF(AND(I7047=""Positive"",REGEXMATCH(H7"&amp;"047,""মূর্খ|ভণ্ড|প্রতার|অলস|লোভ|স্বার্থ|অক্ষম|অযোগ্য|বোকা|কৃপণ|হিংস"")),""valence-target অমিল"",""""),IF(COUNTIF($B:$B,B7047)&gt;1,""ডুপ্লিকেট"",""""))"),"")</f>
        <v/>
      </c>
      <c r="Q7047" s="5" t="str">
        <f t="shared" si="1"/>
        <v>২ পরে</v>
      </c>
    </row>
    <row r="7048">
      <c r="A7048" s="4">
        <v>5096.0</v>
      </c>
      <c r="B7048" s="2" t="s">
        <v>28611</v>
      </c>
      <c r="C7048" s="2" t="s">
        <v>28611</v>
      </c>
      <c r="D7048" s="2" t="s">
        <v>28612</v>
      </c>
      <c r="E7048" s="2" t="s">
        <v>28613</v>
      </c>
      <c r="F7048" s="2" t="b">
        <v>1</v>
      </c>
      <c r="G7048" s="2" t="b">
        <v>0</v>
      </c>
      <c r="H7048" s="2" t="s">
        <v>640</v>
      </c>
      <c r="I7048" s="2" t="s">
        <v>22</v>
      </c>
      <c r="J7048" s="2" t="s">
        <v>640</v>
      </c>
      <c r="K7048" s="2" t="s">
        <v>495</v>
      </c>
      <c r="L7048" s="13" t="s">
        <v>496</v>
      </c>
      <c r="M7048" s="2" t="s">
        <v>26</v>
      </c>
      <c r="N7048" s="29"/>
      <c r="O7048" s="29"/>
      <c r="P7048" s="5" t="str">
        <f>IFERROR(__xludf.DUMMYFUNCTION("TEXTJOIN("" | "",TRUE,IF(OR(D7048="""",E7048="""",I7048="""",J7048="""",H7048=""""),""ফাঁকা ঘর"",""""),IF(AND(C7048&lt;&gt;"""",D7048&lt;&gt;"""",C7048=D7048),""gloss=figurative"",""""),IF(LEN(D7048)&lt;15,""figurative ছোট"",""""),IF(AND(I7048=""Positive"",REGEXMATCH(H7"&amp;"048,""মূর্খ|ভণ্ড|প্রতার|অলস|লোভ|স্বার্থ|অক্ষম|অযোগ্য|বোকা|কৃপণ|হিংস"")),""valence-target অমিল"",""""),IF(COUNTIF($B:$B,B7048)&gt;1,""ডুপ্লিকেট"",""""))"),"")</f>
        <v/>
      </c>
      <c r="Q7048" s="5" t="str">
        <f t="shared" si="1"/>
        <v>২ পরে</v>
      </c>
    </row>
    <row r="7049">
      <c r="A7049" s="4">
        <v>5098.0</v>
      </c>
      <c r="B7049" s="2" t="s">
        <v>28614</v>
      </c>
      <c r="C7049" s="2" t="s">
        <v>28615</v>
      </c>
      <c r="D7049" s="2" t="s">
        <v>28616</v>
      </c>
      <c r="E7049" s="2" t="s">
        <v>28617</v>
      </c>
      <c r="F7049" s="2" t="b">
        <v>1</v>
      </c>
      <c r="G7049" s="2" t="b">
        <v>0</v>
      </c>
      <c r="H7049" s="2" t="s">
        <v>37</v>
      </c>
      <c r="I7049" s="2" t="s">
        <v>22</v>
      </c>
      <c r="J7049" s="2" t="s">
        <v>1603</v>
      </c>
      <c r="K7049" s="2" t="s">
        <v>495</v>
      </c>
      <c r="L7049" s="13" t="s">
        <v>496</v>
      </c>
      <c r="M7049" s="2" t="s">
        <v>26</v>
      </c>
      <c r="N7049" s="29"/>
      <c r="O7049" s="29"/>
      <c r="P7049" s="5" t="str">
        <f>IFERROR(__xludf.DUMMYFUNCTION("TEXTJOIN("" | "",TRUE,IF(OR(D7049="""",E7049="""",I7049="""",J7049="""",H7049=""""),""ফাঁকা ঘর"",""""),IF(AND(C7049&lt;&gt;"""",D7049&lt;&gt;"""",C7049=D7049),""gloss=figurative"",""""),IF(LEN(D7049)&lt;15,""figurative ছোট"",""""),IF(AND(I7049=""Positive"",REGEXMATCH(H7"&amp;"049,""মূর্খ|ভণ্ড|প্রতার|অলস|লোভ|স্বার্থ|অক্ষম|অযোগ্য|বোকা|কৃপণ|হিংস"")),""valence-target অমিল"",""""),IF(COUNTIF($B:$B,B7049)&gt;1,""ডুপ্লিকেট"",""""))"),"")</f>
        <v/>
      </c>
      <c r="Q7049" s="5" t="str">
        <f t="shared" si="1"/>
        <v>২ পরে</v>
      </c>
    </row>
    <row r="7050">
      <c r="A7050" s="4">
        <v>5099.0</v>
      </c>
      <c r="B7050" s="2" t="s">
        <v>28618</v>
      </c>
      <c r="C7050" s="2" t="s">
        <v>28619</v>
      </c>
      <c r="D7050" s="2" t="s">
        <v>28620</v>
      </c>
      <c r="E7050" s="2" t="s">
        <v>28621</v>
      </c>
      <c r="F7050" s="2" t="b">
        <v>1</v>
      </c>
      <c r="G7050" s="2" t="b">
        <v>0</v>
      </c>
      <c r="H7050" s="2" t="s">
        <v>37</v>
      </c>
      <c r="I7050" s="2" t="s">
        <v>22</v>
      </c>
      <c r="J7050" s="2" t="s">
        <v>1013</v>
      </c>
      <c r="K7050" s="2" t="s">
        <v>495</v>
      </c>
      <c r="L7050" s="13" t="s">
        <v>496</v>
      </c>
      <c r="M7050" s="2" t="s">
        <v>26</v>
      </c>
      <c r="N7050" s="29"/>
      <c r="O7050" s="29"/>
      <c r="P7050" s="5" t="str">
        <f>IFERROR(__xludf.DUMMYFUNCTION("TEXTJOIN("" | "",TRUE,IF(OR(D7050="""",E7050="""",I7050="""",J7050="""",H7050=""""),""ফাঁকা ঘর"",""""),IF(AND(C7050&lt;&gt;"""",D7050&lt;&gt;"""",C7050=D7050),""gloss=figurative"",""""),IF(LEN(D7050)&lt;15,""figurative ছোট"",""""),IF(AND(I7050=""Positive"",REGEXMATCH(H7"&amp;"050,""মূর্খ|ভণ্ড|প্রতার|অলস|লোভ|স্বার্থ|অক্ষম|অযোগ্য|বোকা|কৃপণ|হিংস"")),""valence-target অমিল"",""""),IF(COUNTIF($B:$B,B7050)&gt;1,""ডুপ্লিকেট"",""""))"),"")</f>
        <v/>
      </c>
      <c r="Q7050" s="5" t="str">
        <f t="shared" si="1"/>
        <v>২ পরে</v>
      </c>
    </row>
    <row r="7051">
      <c r="A7051" s="4">
        <v>5100.0</v>
      </c>
      <c r="B7051" s="2" t="s">
        <v>28622</v>
      </c>
      <c r="C7051" s="2" t="s">
        <v>28623</v>
      </c>
      <c r="D7051" s="2" t="s">
        <v>28470</v>
      </c>
      <c r="E7051" s="2" t="s">
        <v>28624</v>
      </c>
      <c r="F7051" s="2" t="b">
        <v>1</v>
      </c>
      <c r="G7051" s="2" t="b">
        <v>0</v>
      </c>
      <c r="H7051" s="2" t="s">
        <v>37</v>
      </c>
      <c r="I7051" s="2" t="s">
        <v>22</v>
      </c>
      <c r="J7051" s="2" t="s">
        <v>1013</v>
      </c>
      <c r="K7051" s="2" t="s">
        <v>495</v>
      </c>
      <c r="L7051" s="13" t="s">
        <v>496</v>
      </c>
      <c r="M7051" s="2" t="s">
        <v>26</v>
      </c>
      <c r="N7051" s="29"/>
      <c r="O7051" s="29"/>
      <c r="P7051" s="5" t="str">
        <f>IFERROR(__xludf.DUMMYFUNCTION("TEXTJOIN("" | "",TRUE,IF(OR(D7051="""",E7051="""",I7051="""",J7051="""",H7051=""""),""ফাঁকা ঘর"",""""),IF(AND(C7051&lt;&gt;"""",D7051&lt;&gt;"""",C7051=D7051),""gloss=figurative"",""""),IF(LEN(D7051)&lt;15,""figurative ছোট"",""""),IF(AND(I7051=""Positive"",REGEXMATCH(H7"&amp;"051,""মূর্খ|ভণ্ড|প্রতার|অলস|লোভ|স্বার্থ|অক্ষম|অযোগ্য|বোকা|কৃপণ|হিংস"")),""valence-target অমিল"",""""),IF(COUNTIF($B:$B,B7051)&gt;1,""ডুপ্লিকেট"",""""))"),"")</f>
        <v/>
      </c>
      <c r="Q7051" s="5" t="str">
        <f t="shared" si="1"/>
        <v>২ পরে</v>
      </c>
    </row>
    <row r="7052">
      <c r="A7052" s="4">
        <v>5101.0</v>
      </c>
      <c r="B7052" s="2" t="s">
        <v>28625</v>
      </c>
      <c r="C7052" s="2" t="s">
        <v>28625</v>
      </c>
      <c r="D7052" s="2" t="s">
        <v>28626</v>
      </c>
      <c r="E7052" s="2" t="s">
        <v>28627</v>
      </c>
      <c r="F7052" s="2" t="b">
        <v>1</v>
      </c>
      <c r="G7052" s="2" t="b">
        <v>0</v>
      </c>
      <c r="H7052" s="2" t="s">
        <v>37</v>
      </c>
      <c r="I7052" s="2" t="s">
        <v>22</v>
      </c>
      <c r="J7052" s="2" t="s">
        <v>2255</v>
      </c>
      <c r="K7052" s="2" t="s">
        <v>495</v>
      </c>
      <c r="L7052" s="13" t="s">
        <v>496</v>
      </c>
      <c r="M7052" s="2" t="s">
        <v>26</v>
      </c>
      <c r="N7052" s="29"/>
      <c r="O7052" s="29"/>
      <c r="P7052" s="5" t="str">
        <f>IFERROR(__xludf.DUMMYFUNCTION("TEXTJOIN("" | "",TRUE,IF(OR(D7052="""",E7052="""",I7052="""",J7052="""",H7052=""""),""ফাঁকা ঘর"",""""),IF(AND(C7052&lt;&gt;"""",D7052&lt;&gt;"""",C7052=D7052),""gloss=figurative"",""""),IF(LEN(D7052)&lt;15,""figurative ছোট"",""""),IF(AND(I7052=""Positive"",REGEXMATCH(H7"&amp;"052,""মূর্খ|ভণ্ড|প্রতার|অলস|লোভ|স্বার্থ|অক্ষম|অযোগ্য|বোকা|কৃপণ|হিংস"")),""valence-target অমিল"",""""),IF(COUNTIF($B:$B,B7052)&gt;1,""ডুপ্লিকেট"",""""))"),"")</f>
        <v/>
      </c>
      <c r="Q7052" s="5" t="str">
        <f t="shared" si="1"/>
        <v>২ পরে</v>
      </c>
    </row>
    <row r="7053">
      <c r="A7053" s="4">
        <v>5102.0</v>
      </c>
      <c r="B7053" s="2" t="s">
        <v>28628</v>
      </c>
      <c r="C7053" s="2" t="s">
        <v>28628</v>
      </c>
      <c r="D7053" s="2" t="s">
        <v>28629</v>
      </c>
      <c r="E7053" s="2" t="s">
        <v>28630</v>
      </c>
      <c r="F7053" s="2" t="b">
        <v>1</v>
      </c>
      <c r="G7053" s="2" t="b">
        <v>0</v>
      </c>
      <c r="H7053" s="2" t="s">
        <v>37</v>
      </c>
      <c r="I7053" s="2" t="s">
        <v>22</v>
      </c>
      <c r="J7053" s="2" t="s">
        <v>1770</v>
      </c>
      <c r="K7053" s="2" t="s">
        <v>495</v>
      </c>
      <c r="L7053" s="13" t="s">
        <v>496</v>
      </c>
      <c r="M7053" s="2" t="s">
        <v>26</v>
      </c>
      <c r="N7053" s="29"/>
      <c r="O7053" s="29"/>
      <c r="P7053" s="5" t="str">
        <f>IFERROR(__xludf.DUMMYFUNCTION("TEXTJOIN("" | "",TRUE,IF(OR(D7053="""",E7053="""",I7053="""",J7053="""",H7053=""""),""ফাঁকা ঘর"",""""),IF(AND(C7053&lt;&gt;"""",D7053&lt;&gt;"""",C7053=D7053),""gloss=figurative"",""""),IF(LEN(D7053)&lt;15,""figurative ছোট"",""""),IF(AND(I7053=""Positive"",REGEXMATCH(H7"&amp;"053,""মূর্খ|ভণ্ড|প্রতার|অলস|লোভ|স্বার্থ|অক্ষম|অযোগ্য|বোকা|কৃপণ|হিংস"")),""valence-target অমিল"",""""),IF(COUNTIF($B:$B,B7053)&gt;1,""ডুপ্লিকেট"",""""))"),"")</f>
        <v/>
      </c>
      <c r="Q7053" s="5" t="str">
        <f t="shared" si="1"/>
        <v>২ পরে</v>
      </c>
    </row>
    <row r="7054">
      <c r="A7054" s="4">
        <v>5103.0</v>
      </c>
      <c r="B7054" s="2" t="s">
        <v>28631</v>
      </c>
      <c r="C7054" s="2" t="s">
        <v>28632</v>
      </c>
      <c r="D7054" s="2" t="s">
        <v>28504</v>
      </c>
      <c r="E7054" s="2" t="s">
        <v>28633</v>
      </c>
      <c r="F7054" s="2" t="b">
        <v>1</v>
      </c>
      <c r="G7054" s="2" t="b">
        <v>0</v>
      </c>
      <c r="H7054" s="2" t="s">
        <v>37</v>
      </c>
      <c r="I7054" s="2" t="s">
        <v>22</v>
      </c>
      <c r="J7054" s="2" t="s">
        <v>28506</v>
      </c>
      <c r="K7054" s="2" t="s">
        <v>495</v>
      </c>
      <c r="L7054" s="13" t="s">
        <v>496</v>
      </c>
      <c r="M7054" s="2" t="s">
        <v>26</v>
      </c>
      <c r="N7054" s="29"/>
      <c r="O7054" s="29"/>
      <c r="P7054" s="5" t="str">
        <f>IFERROR(__xludf.DUMMYFUNCTION("TEXTJOIN("" | "",TRUE,IF(OR(D7054="""",E7054="""",I7054="""",J7054="""",H7054=""""),""ফাঁকা ঘর"",""""),IF(AND(C7054&lt;&gt;"""",D7054&lt;&gt;"""",C7054=D7054),""gloss=figurative"",""""),IF(LEN(D7054)&lt;15,""figurative ছোট"",""""),IF(AND(I7054=""Positive"",REGEXMATCH(H7"&amp;"054,""মূর্খ|ভণ্ড|প্রতার|অলস|লোভ|স্বার্থ|অক্ষম|অযোগ্য|বোকা|কৃপণ|হিংস"")),""valence-target অমিল"",""""),IF(COUNTIF($B:$B,B7054)&gt;1,""ডুপ্লিকেট"",""""))"),"")</f>
        <v/>
      </c>
      <c r="Q7054" s="5" t="str">
        <f t="shared" si="1"/>
        <v>২ পরে</v>
      </c>
    </row>
    <row r="7055">
      <c r="A7055" s="4">
        <v>5104.0</v>
      </c>
      <c r="B7055" s="2" t="s">
        <v>28634</v>
      </c>
      <c r="C7055" s="2" t="s">
        <v>28635</v>
      </c>
      <c r="D7055" s="2" t="s">
        <v>28636</v>
      </c>
      <c r="E7055" s="2" t="s">
        <v>28637</v>
      </c>
      <c r="F7055" s="2" t="b">
        <v>1</v>
      </c>
      <c r="G7055" s="2" t="b">
        <v>0</v>
      </c>
      <c r="H7055" s="2" t="s">
        <v>37</v>
      </c>
      <c r="I7055" s="2" t="s">
        <v>22</v>
      </c>
      <c r="J7055" s="2" t="s">
        <v>3716</v>
      </c>
      <c r="K7055" s="2" t="s">
        <v>495</v>
      </c>
      <c r="L7055" s="13" t="s">
        <v>496</v>
      </c>
      <c r="M7055" s="2" t="s">
        <v>26</v>
      </c>
      <c r="N7055" s="29"/>
      <c r="O7055" s="29"/>
      <c r="P7055" s="5" t="str">
        <f>IFERROR(__xludf.DUMMYFUNCTION("TEXTJOIN("" | "",TRUE,IF(OR(D7055="""",E7055="""",I7055="""",J7055="""",H7055=""""),""ফাঁকা ঘর"",""""),IF(AND(C7055&lt;&gt;"""",D7055&lt;&gt;"""",C7055=D7055),""gloss=figurative"",""""),IF(LEN(D7055)&lt;15,""figurative ছোট"",""""),IF(AND(I7055=""Positive"",REGEXMATCH(H7"&amp;"055,""মূর্খ|ভণ্ড|প্রতার|অলস|লোভ|স্বার্থ|অক্ষম|অযোগ্য|বোকা|কৃপণ|হিংস"")),""valence-target অমিল"",""""),IF(COUNTIF($B:$B,B7055)&gt;1,""ডুপ্লিকেট"",""""))"),"")</f>
        <v/>
      </c>
      <c r="Q7055" s="5" t="str">
        <f t="shared" si="1"/>
        <v>২ পরে</v>
      </c>
    </row>
    <row r="7056">
      <c r="A7056" s="4">
        <v>5105.0</v>
      </c>
      <c r="B7056" s="2" t="s">
        <v>28638</v>
      </c>
      <c r="C7056" s="2" t="s">
        <v>28639</v>
      </c>
      <c r="D7056" s="2" t="s">
        <v>28470</v>
      </c>
      <c r="E7056" s="2" t="s">
        <v>28640</v>
      </c>
      <c r="F7056" s="2" t="b">
        <v>1</v>
      </c>
      <c r="G7056" s="2" t="b">
        <v>0</v>
      </c>
      <c r="H7056" s="2" t="s">
        <v>37</v>
      </c>
      <c r="I7056" s="2" t="s">
        <v>22</v>
      </c>
      <c r="J7056" s="2" t="s">
        <v>1013</v>
      </c>
      <c r="K7056" s="2" t="s">
        <v>495</v>
      </c>
      <c r="L7056" s="13" t="s">
        <v>496</v>
      </c>
      <c r="M7056" s="2" t="s">
        <v>26</v>
      </c>
      <c r="N7056" s="29"/>
      <c r="O7056" s="29"/>
      <c r="P7056" s="5" t="str">
        <f>IFERROR(__xludf.DUMMYFUNCTION("TEXTJOIN("" | "",TRUE,IF(OR(D7056="""",E7056="""",I7056="""",J7056="""",H7056=""""),""ফাঁকা ঘর"",""""),IF(AND(C7056&lt;&gt;"""",D7056&lt;&gt;"""",C7056=D7056),""gloss=figurative"",""""),IF(LEN(D7056)&lt;15,""figurative ছোট"",""""),IF(AND(I7056=""Positive"",REGEXMATCH(H7"&amp;"056,""মূর্খ|ভণ্ড|প্রতার|অলস|লোভ|স্বার্থ|অক্ষম|অযোগ্য|বোকা|কৃপণ|হিংস"")),""valence-target অমিল"",""""),IF(COUNTIF($B:$B,B7056)&gt;1,""ডুপ্লিকেট"",""""))"),"")</f>
        <v/>
      </c>
      <c r="Q7056" s="5" t="str">
        <f t="shared" si="1"/>
        <v>২ পরে</v>
      </c>
    </row>
    <row r="7057">
      <c r="A7057" s="4">
        <v>5106.0</v>
      </c>
      <c r="B7057" s="2" t="s">
        <v>28641</v>
      </c>
      <c r="C7057" s="2" t="s">
        <v>28642</v>
      </c>
      <c r="D7057" s="2" t="s">
        <v>28643</v>
      </c>
      <c r="E7057" s="2" t="s">
        <v>28644</v>
      </c>
      <c r="F7057" s="2" t="b">
        <v>1</v>
      </c>
      <c r="G7057" s="2" t="b">
        <v>0</v>
      </c>
      <c r="H7057" s="2" t="s">
        <v>37</v>
      </c>
      <c r="I7057" s="2" t="s">
        <v>32</v>
      </c>
      <c r="J7057" s="2" t="s">
        <v>836</v>
      </c>
      <c r="K7057" s="2" t="s">
        <v>495</v>
      </c>
      <c r="L7057" s="13" t="s">
        <v>496</v>
      </c>
      <c r="M7057" s="2" t="s">
        <v>26</v>
      </c>
      <c r="N7057" s="29"/>
      <c r="O7057" s="29"/>
      <c r="P7057" s="5" t="str">
        <f>IFERROR(__xludf.DUMMYFUNCTION("TEXTJOIN("" | "",TRUE,IF(OR(D7057="""",E7057="""",I7057="""",J7057="""",H7057=""""),""ফাঁকা ঘর"",""""),IF(AND(C7057&lt;&gt;"""",D7057&lt;&gt;"""",C7057=D7057),""gloss=figurative"",""""),IF(LEN(D7057)&lt;15,""figurative ছোট"",""""),IF(AND(I7057=""Positive"",REGEXMATCH(H7"&amp;"057,""মূর্খ|ভণ্ড|প্রতার|অলস|লোভ|স্বার্থ|অক্ষম|অযোগ্য|বোকা|কৃপণ|হিংস"")),""valence-target অমিল"",""""),IF(COUNTIF($B:$B,B7057)&gt;1,""ডুপ্লিকেট"",""""))"),"")</f>
        <v/>
      </c>
      <c r="Q7057" s="5" t="str">
        <f t="shared" si="1"/>
        <v>২ পরে</v>
      </c>
    </row>
    <row r="7058">
      <c r="A7058" s="4">
        <v>5107.0</v>
      </c>
      <c r="B7058" s="2" t="s">
        <v>28645</v>
      </c>
      <c r="C7058" s="2" t="s">
        <v>28646</v>
      </c>
      <c r="D7058" s="2" t="s">
        <v>28647</v>
      </c>
      <c r="E7058" s="2" t="s">
        <v>28648</v>
      </c>
      <c r="F7058" s="2" t="b">
        <v>1</v>
      </c>
      <c r="G7058" s="2" t="b">
        <v>0</v>
      </c>
      <c r="H7058" s="2" t="s">
        <v>37</v>
      </c>
      <c r="I7058" s="2" t="s">
        <v>22</v>
      </c>
      <c r="J7058" s="2" t="s">
        <v>820</v>
      </c>
      <c r="K7058" s="2" t="s">
        <v>495</v>
      </c>
      <c r="L7058" s="13" t="s">
        <v>496</v>
      </c>
      <c r="M7058" s="2" t="s">
        <v>26</v>
      </c>
      <c r="N7058" s="29"/>
      <c r="O7058" s="29"/>
      <c r="P7058" s="5" t="str">
        <f>IFERROR(__xludf.DUMMYFUNCTION("TEXTJOIN("" | "",TRUE,IF(OR(D7058="""",E7058="""",I7058="""",J7058="""",H7058=""""),""ফাঁকা ঘর"",""""),IF(AND(C7058&lt;&gt;"""",D7058&lt;&gt;"""",C7058=D7058),""gloss=figurative"",""""),IF(LEN(D7058)&lt;15,""figurative ছোট"",""""),IF(AND(I7058=""Positive"",REGEXMATCH(H7"&amp;"058,""মূর্খ|ভণ্ড|প্রতার|অলস|লোভ|স্বার্থ|অক্ষম|অযোগ্য|বোকা|কৃপণ|হিংস"")),""valence-target অমিল"",""""),IF(COUNTIF($B:$B,B7058)&gt;1,""ডুপ্লিকেট"",""""))"),"")</f>
        <v/>
      </c>
      <c r="Q7058" s="5" t="str">
        <f t="shared" si="1"/>
        <v>২ পরে</v>
      </c>
    </row>
    <row r="7059">
      <c r="A7059" s="4">
        <v>5108.0</v>
      </c>
      <c r="B7059" s="2" t="s">
        <v>28649</v>
      </c>
      <c r="C7059" s="2" t="s">
        <v>28650</v>
      </c>
      <c r="D7059" s="2" t="s">
        <v>28651</v>
      </c>
      <c r="E7059" s="2" t="s">
        <v>28652</v>
      </c>
      <c r="F7059" s="2" t="b">
        <v>1</v>
      </c>
      <c r="G7059" s="2" t="b">
        <v>0</v>
      </c>
      <c r="H7059" s="2" t="s">
        <v>37</v>
      </c>
      <c r="I7059" s="2" t="s">
        <v>22</v>
      </c>
      <c r="J7059" s="2" t="s">
        <v>820</v>
      </c>
      <c r="K7059" s="2" t="s">
        <v>495</v>
      </c>
      <c r="L7059" s="13" t="s">
        <v>496</v>
      </c>
      <c r="M7059" s="2" t="s">
        <v>26</v>
      </c>
      <c r="N7059" s="29"/>
      <c r="O7059" s="29"/>
      <c r="P7059" s="5" t="str">
        <f>IFERROR(__xludf.DUMMYFUNCTION("TEXTJOIN("" | "",TRUE,IF(OR(D7059="""",E7059="""",I7059="""",J7059="""",H7059=""""),""ফাঁকা ঘর"",""""),IF(AND(C7059&lt;&gt;"""",D7059&lt;&gt;"""",C7059=D7059),""gloss=figurative"",""""),IF(LEN(D7059)&lt;15,""figurative ছোট"",""""),IF(AND(I7059=""Positive"",REGEXMATCH(H7"&amp;"059,""মূর্খ|ভণ্ড|প্রতার|অলস|লোভ|স্বার্থ|অক্ষম|অযোগ্য|বোকা|কৃপণ|হিংস"")),""valence-target অমিল"",""""),IF(COUNTIF($B:$B,B7059)&gt;1,""ডুপ্লিকেট"",""""))"),"")</f>
        <v/>
      </c>
      <c r="Q7059" s="5" t="str">
        <f t="shared" si="1"/>
        <v>২ পরে</v>
      </c>
    </row>
    <row r="7060">
      <c r="A7060" s="4">
        <v>5109.0</v>
      </c>
      <c r="B7060" s="2" t="s">
        <v>28653</v>
      </c>
      <c r="C7060" s="2" t="s">
        <v>28654</v>
      </c>
      <c r="D7060" s="2" t="s">
        <v>28655</v>
      </c>
      <c r="E7060" s="2" t="s">
        <v>28656</v>
      </c>
      <c r="F7060" s="2" t="b">
        <v>1</v>
      </c>
      <c r="G7060" s="2" t="b">
        <v>0</v>
      </c>
      <c r="H7060" s="2" t="s">
        <v>37</v>
      </c>
      <c r="I7060" s="2" t="s">
        <v>22</v>
      </c>
      <c r="J7060" s="2" t="s">
        <v>820</v>
      </c>
      <c r="K7060" s="2" t="s">
        <v>495</v>
      </c>
      <c r="L7060" s="13" t="s">
        <v>496</v>
      </c>
      <c r="M7060" s="2" t="s">
        <v>26</v>
      </c>
      <c r="N7060" s="29"/>
      <c r="O7060" s="29"/>
      <c r="P7060" s="5" t="str">
        <f>IFERROR(__xludf.DUMMYFUNCTION("TEXTJOIN("" | "",TRUE,IF(OR(D7060="""",E7060="""",I7060="""",J7060="""",H7060=""""),""ফাঁকা ঘর"",""""),IF(AND(C7060&lt;&gt;"""",D7060&lt;&gt;"""",C7060=D7060),""gloss=figurative"",""""),IF(LEN(D7060)&lt;15,""figurative ছোট"",""""),IF(AND(I7060=""Positive"",REGEXMATCH(H7"&amp;"060,""মূর্খ|ভণ্ড|প্রতার|অলস|লোভ|স্বার্থ|অক্ষম|অযোগ্য|বোকা|কৃপণ|হিংস"")),""valence-target অমিল"",""""),IF(COUNTIF($B:$B,B7060)&gt;1,""ডুপ্লিকেট"",""""))"),"")</f>
        <v/>
      </c>
      <c r="Q7060" s="5" t="str">
        <f t="shared" si="1"/>
        <v>২ পরে</v>
      </c>
    </row>
    <row r="7061">
      <c r="A7061" s="4">
        <v>5110.0</v>
      </c>
      <c r="B7061" s="2" t="s">
        <v>28657</v>
      </c>
      <c r="C7061" s="2" t="s">
        <v>28658</v>
      </c>
      <c r="D7061" s="2" t="s">
        <v>28659</v>
      </c>
      <c r="E7061" s="2" t="s">
        <v>28660</v>
      </c>
      <c r="F7061" s="2" t="b">
        <v>1</v>
      </c>
      <c r="G7061" s="2" t="b">
        <v>0</v>
      </c>
      <c r="H7061" s="2" t="s">
        <v>37</v>
      </c>
      <c r="I7061" s="2" t="s">
        <v>22</v>
      </c>
      <c r="J7061" s="2" t="s">
        <v>836</v>
      </c>
      <c r="K7061" s="2" t="s">
        <v>495</v>
      </c>
      <c r="L7061" s="13" t="s">
        <v>496</v>
      </c>
      <c r="M7061" s="2" t="s">
        <v>26</v>
      </c>
      <c r="N7061" s="29"/>
      <c r="O7061" s="29"/>
      <c r="P7061" s="5" t="str">
        <f>IFERROR(__xludf.DUMMYFUNCTION("TEXTJOIN("" | "",TRUE,IF(OR(D7061="""",E7061="""",I7061="""",J7061="""",H7061=""""),""ফাঁকা ঘর"",""""),IF(AND(C7061&lt;&gt;"""",D7061&lt;&gt;"""",C7061=D7061),""gloss=figurative"",""""),IF(LEN(D7061)&lt;15,""figurative ছোট"",""""),IF(AND(I7061=""Positive"",REGEXMATCH(H7"&amp;"061,""মূর্খ|ভণ্ড|প্রতার|অলস|লোভ|স্বার্থ|অক্ষম|অযোগ্য|বোকা|কৃপণ|হিংস"")),""valence-target অমিল"",""""),IF(COUNTIF($B:$B,B7061)&gt;1,""ডুপ্লিকেট"",""""))"),"")</f>
        <v/>
      </c>
      <c r="Q7061" s="5" t="str">
        <f t="shared" si="1"/>
        <v>২ পরে</v>
      </c>
    </row>
    <row r="7062">
      <c r="A7062" s="4">
        <v>5111.0</v>
      </c>
      <c r="B7062" s="2" t="s">
        <v>28661</v>
      </c>
      <c r="C7062" s="2" t="s">
        <v>28662</v>
      </c>
      <c r="D7062" s="2" t="s">
        <v>28663</v>
      </c>
      <c r="E7062" s="2" t="s">
        <v>28664</v>
      </c>
      <c r="F7062" s="2" t="b">
        <v>1</v>
      </c>
      <c r="G7062" s="2" t="b">
        <v>0</v>
      </c>
      <c r="H7062" s="2" t="s">
        <v>37</v>
      </c>
      <c r="I7062" s="2" t="s">
        <v>22</v>
      </c>
      <c r="J7062" s="2" t="s">
        <v>820</v>
      </c>
      <c r="K7062" s="2" t="s">
        <v>495</v>
      </c>
      <c r="L7062" s="13" t="s">
        <v>496</v>
      </c>
      <c r="M7062" s="2" t="s">
        <v>26</v>
      </c>
      <c r="N7062" s="29"/>
      <c r="O7062" s="29"/>
      <c r="P7062" s="5" t="str">
        <f>IFERROR(__xludf.DUMMYFUNCTION("TEXTJOIN("" | "",TRUE,IF(OR(D7062="""",E7062="""",I7062="""",J7062="""",H7062=""""),""ফাঁকা ঘর"",""""),IF(AND(C7062&lt;&gt;"""",D7062&lt;&gt;"""",C7062=D7062),""gloss=figurative"",""""),IF(LEN(D7062)&lt;15,""figurative ছোট"",""""),IF(AND(I7062=""Positive"",REGEXMATCH(H7"&amp;"062,""মূর্খ|ভণ্ড|প্রতার|অলস|লোভ|স্বার্থ|অক্ষম|অযোগ্য|বোকা|কৃপণ|হিংস"")),""valence-target অমিল"",""""),IF(COUNTIF($B:$B,B7062)&gt;1,""ডুপ্লিকেট"",""""))"),"")</f>
        <v/>
      </c>
      <c r="Q7062" s="5" t="str">
        <f t="shared" si="1"/>
        <v>২ পরে</v>
      </c>
    </row>
    <row r="7063">
      <c r="A7063" s="4">
        <v>5112.0</v>
      </c>
      <c r="B7063" s="2" t="s">
        <v>28665</v>
      </c>
      <c r="C7063" s="2" t="s">
        <v>28666</v>
      </c>
      <c r="D7063" s="2" t="s">
        <v>28667</v>
      </c>
      <c r="E7063" s="2" t="s">
        <v>28668</v>
      </c>
      <c r="F7063" s="2" t="b">
        <v>1</v>
      </c>
      <c r="G7063" s="2" t="b">
        <v>0</v>
      </c>
      <c r="H7063" s="2" t="s">
        <v>37</v>
      </c>
      <c r="I7063" s="2" t="s">
        <v>22</v>
      </c>
      <c r="J7063" s="2" t="s">
        <v>1438</v>
      </c>
      <c r="K7063" s="2" t="s">
        <v>495</v>
      </c>
      <c r="L7063" s="13" t="s">
        <v>496</v>
      </c>
      <c r="M7063" s="2" t="s">
        <v>26</v>
      </c>
      <c r="N7063" s="29"/>
      <c r="O7063" s="29"/>
      <c r="P7063" s="5" t="str">
        <f>IFERROR(__xludf.DUMMYFUNCTION("TEXTJOIN("" | "",TRUE,IF(OR(D7063="""",E7063="""",I7063="""",J7063="""",H7063=""""),""ফাঁকা ঘর"",""""),IF(AND(C7063&lt;&gt;"""",D7063&lt;&gt;"""",C7063=D7063),""gloss=figurative"",""""),IF(LEN(D7063)&lt;15,""figurative ছোট"",""""),IF(AND(I7063=""Positive"",REGEXMATCH(H7"&amp;"063,""মূর্খ|ভণ্ড|প্রতার|অলস|লোভ|স্বার্থ|অক্ষম|অযোগ্য|বোকা|কৃপণ|হিংস"")),""valence-target অমিল"",""""),IF(COUNTIF($B:$B,B7063)&gt;1,""ডুপ্লিকেট"",""""))"),"")</f>
        <v/>
      </c>
      <c r="Q7063" s="5" t="str">
        <f t="shared" si="1"/>
        <v>২ পরে</v>
      </c>
    </row>
    <row r="7064">
      <c r="A7064" s="4">
        <v>5114.0</v>
      </c>
      <c r="B7064" s="2" t="s">
        <v>28669</v>
      </c>
      <c r="C7064" s="2" t="s">
        <v>28670</v>
      </c>
      <c r="D7064" s="2" t="s">
        <v>28671</v>
      </c>
      <c r="E7064" s="2" t="s">
        <v>28672</v>
      </c>
      <c r="F7064" s="2" t="b">
        <v>1</v>
      </c>
      <c r="G7064" s="2" t="b">
        <v>0</v>
      </c>
      <c r="H7064" s="2" t="s">
        <v>37</v>
      </c>
      <c r="I7064" s="2" t="s">
        <v>32</v>
      </c>
      <c r="J7064" s="2" t="s">
        <v>1454</v>
      </c>
      <c r="K7064" s="2" t="s">
        <v>495</v>
      </c>
      <c r="L7064" s="13" t="s">
        <v>496</v>
      </c>
      <c r="M7064" s="2" t="s">
        <v>26</v>
      </c>
      <c r="N7064" s="29"/>
      <c r="O7064" s="29"/>
      <c r="P7064" s="5" t="str">
        <f>IFERROR(__xludf.DUMMYFUNCTION("TEXTJOIN("" | "",TRUE,IF(OR(D7064="""",E7064="""",I7064="""",J7064="""",H7064=""""),""ফাঁকা ঘর"",""""),IF(AND(C7064&lt;&gt;"""",D7064&lt;&gt;"""",C7064=D7064),""gloss=figurative"",""""),IF(LEN(D7064)&lt;15,""figurative ছোট"",""""),IF(AND(I7064=""Positive"",REGEXMATCH(H7"&amp;"064,""মূর্খ|ভণ্ড|প্রতার|অলস|লোভ|স্বার্থ|অক্ষম|অযোগ্য|বোকা|কৃপণ|হিংস"")),""valence-target অমিল"",""""),IF(COUNTIF($B:$B,B7064)&gt;1,""ডুপ্লিকেট"",""""))"),"")</f>
        <v/>
      </c>
      <c r="Q7064" s="5" t="str">
        <f t="shared" si="1"/>
        <v>২ পরে</v>
      </c>
    </row>
    <row r="7065">
      <c r="A7065" s="4">
        <v>5115.0</v>
      </c>
      <c r="B7065" s="2" t="s">
        <v>28673</v>
      </c>
      <c r="C7065" s="2" t="s">
        <v>28673</v>
      </c>
      <c r="D7065" s="2" t="s">
        <v>28674</v>
      </c>
      <c r="E7065" s="2" t="s">
        <v>28675</v>
      </c>
      <c r="F7065" s="2" t="b">
        <v>1</v>
      </c>
      <c r="G7065" s="2" t="b">
        <v>0</v>
      </c>
      <c r="H7065" s="2" t="s">
        <v>37</v>
      </c>
      <c r="I7065" s="2" t="s">
        <v>22</v>
      </c>
      <c r="J7065" s="2" t="s">
        <v>2122</v>
      </c>
      <c r="K7065" s="2" t="s">
        <v>495</v>
      </c>
      <c r="L7065" s="13" t="s">
        <v>496</v>
      </c>
      <c r="M7065" s="2" t="s">
        <v>26</v>
      </c>
      <c r="N7065" s="29"/>
      <c r="O7065" s="29"/>
      <c r="P7065" s="5" t="str">
        <f>IFERROR(__xludf.DUMMYFUNCTION("TEXTJOIN("" | "",TRUE,IF(OR(D7065="""",E7065="""",I7065="""",J7065="""",H7065=""""),""ফাঁকা ঘর"",""""),IF(AND(C7065&lt;&gt;"""",D7065&lt;&gt;"""",C7065=D7065),""gloss=figurative"",""""),IF(LEN(D7065)&lt;15,""figurative ছোট"",""""),IF(AND(I7065=""Positive"",REGEXMATCH(H7"&amp;"065,""মূর্খ|ভণ্ড|প্রতার|অলস|লোভ|স্বার্থ|অক্ষম|অযোগ্য|বোকা|কৃপণ|হিংস"")),""valence-target অমিল"",""""),IF(COUNTIF($B:$B,B7065)&gt;1,""ডুপ্লিকেট"",""""))"),"")</f>
        <v/>
      </c>
      <c r="Q7065" s="5" t="str">
        <f t="shared" si="1"/>
        <v>২ পরে</v>
      </c>
    </row>
    <row r="7066">
      <c r="A7066" s="4">
        <v>5118.0</v>
      </c>
      <c r="B7066" s="2" t="s">
        <v>28676</v>
      </c>
      <c r="C7066" s="2" t="s">
        <v>28677</v>
      </c>
      <c r="D7066" s="2" t="s">
        <v>28678</v>
      </c>
      <c r="E7066" s="2" t="s">
        <v>28679</v>
      </c>
      <c r="F7066" s="2" t="b">
        <v>1</v>
      </c>
      <c r="G7066" s="2" t="b">
        <v>0</v>
      </c>
      <c r="H7066" s="2" t="s">
        <v>37</v>
      </c>
      <c r="I7066" s="2" t="s">
        <v>22</v>
      </c>
      <c r="J7066" s="2" t="s">
        <v>1603</v>
      </c>
      <c r="K7066" s="2" t="s">
        <v>495</v>
      </c>
      <c r="L7066" s="13" t="s">
        <v>496</v>
      </c>
      <c r="M7066" s="2" t="s">
        <v>26</v>
      </c>
      <c r="N7066" s="29"/>
      <c r="O7066" s="29"/>
      <c r="P7066" s="5" t="str">
        <f>IFERROR(__xludf.DUMMYFUNCTION("TEXTJOIN("" | "",TRUE,IF(OR(D7066="""",E7066="""",I7066="""",J7066="""",H7066=""""),""ফাঁকা ঘর"",""""),IF(AND(C7066&lt;&gt;"""",D7066&lt;&gt;"""",C7066=D7066),""gloss=figurative"",""""),IF(LEN(D7066)&lt;15,""figurative ছোট"",""""),IF(AND(I7066=""Positive"",REGEXMATCH(H7"&amp;"066,""মূর্খ|ভণ্ড|প্রতার|অলস|লোভ|স্বার্থ|অক্ষম|অযোগ্য|বোকা|কৃপণ|হিংস"")),""valence-target অমিল"",""""),IF(COUNTIF($B:$B,B7066)&gt;1,""ডুপ্লিকেট"",""""))"),"")</f>
        <v/>
      </c>
      <c r="Q7066" s="5" t="str">
        <f t="shared" si="1"/>
        <v>২ পরে</v>
      </c>
    </row>
    <row r="7067">
      <c r="A7067" s="4">
        <v>5119.0</v>
      </c>
      <c r="B7067" s="2" t="s">
        <v>28680</v>
      </c>
      <c r="C7067" s="2" t="s">
        <v>28681</v>
      </c>
      <c r="D7067" s="2" t="s">
        <v>28682</v>
      </c>
      <c r="E7067" s="2" t="s">
        <v>28683</v>
      </c>
      <c r="F7067" s="2" t="b">
        <v>1</v>
      </c>
      <c r="G7067" s="2" t="b">
        <v>0</v>
      </c>
      <c r="H7067" s="2" t="s">
        <v>37</v>
      </c>
      <c r="I7067" s="2" t="s">
        <v>32</v>
      </c>
      <c r="J7067" s="2" t="s">
        <v>3615</v>
      </c>
      <c r="K7067" s="2" t="s">
        <v>495</v>
      </c>
      <c r="L7067" s="13" t="s">
        <v>496</v>
      </c>
      <c r="M7067" s="2" t="s">
        <v>26</v>
      </c>
      <c r="N7067" s="29"/>
      <c r="O7067" s="29"/>
      <c r="P7067" s="5" t="str">
        <f>IFERROR(__xludf.DUMMYFUNCTION("TEXTJOIN("" | "",TRUE,IF(OR(D7067="""",E7067="""",I7067="""",J7067="""",H7067=""""),""ফাঁকা ঘর"",""""),IF(AND(C7067&lt;&gt;"""",D7067&lt;&gt;"""",C7067=D7067),""gloss=figurative"",""""),IF(LEN(D7067)&lt;15,""figurative ছোট"",""""),IF(AND(I7067=""Positive"",REGEXMATCH(H7"&amp;"067,""মূর্খ|ভণ্ড|প্রতার|অলস|লোভ|স্বার্থ|অক্ষম|অযোগ্য|বোকা|কৃপণ|হিংস"")),""valence-target অমিল"",""""),IF(COUNTIF($B:$B,B7067)&gt;1,""ডুপ্লিকেট"",""""))"),"")</f>
        <v/>
      </c>
      <c r="Q7067" s="5" t="str">
        <f t="shared" si="1"/>
        <v>২ পরে</v>
      </c>
    </row>
    <row r="7068">
      <c r="A7068" s="4">
        <v>5120.0</v>
      </c>
      <c r="B7068" s="2" t="s">
        <v>28684</v>
      </c>
      <c r="C7068" s="2" t="s">
        <v>28684</v>
      </c>
      <c r="D7068" s="2" t="s">
        <v>28685</v>
      </c>
      <c r="E7068" s="2" t="s">
        <v>28686</v>
      </c>
      <c r="F7068" s="2" t="b">
        <v>1</v>
      </c>
      <c r="G7068" s="2" t="b">
        <v>0</v>
      </c>
      <c r="H7068" s="2" t="s">
        <v>37</v>
      </c>
      <c r="I7068" s="2" t="s">
        <v>22</v>
      </c>
      <c r="J7068" s="2" t="s">
        <v>2064</v>
      </c>
      <c r="K7068" s="2" t="s">
        <v>495</v>
      </c>
      <c r="L7068" s="13" t="s">
        <v>496</v>
      </c>
      <c r="M7068" s="2" t="s">
        <v>26</v>
      </c>
      <c r="N7068" s="29"/>
      <c r="O7068" s="29"/>
      <c r="P7068" s="5" t="str">
        <f>IFERROR(__xludf.DUMMYFUNCTION("TEXTJOIN("" | "",TRUE,IF(OR(D7068="""",E7068="""",I7068="""",J7068="""",H7068=""""),""ফাঁকা ঘর"",""""),IF(AND(C7068&lt;&gt;"""",D7068&lt;&gt;"""",C7068=D7068),""gloss=figurative"",""""),IF(LEN(D7068)&lt;15,""figurative ছোট"",""""),IF(AND(I7068=""Positive"",REGEXMATCH(H7"&amp;"068,""মূর্খ|ভণ্ড|প্রতার|অলস|লোভ|স্বার্থ|অক্ষম|অযোগ্য|বোকা|কৃপণ|হিংস"")),""valence-target অমিল"",""""),IF(COUNTIF($B:$B,B7068)&gt;1,""ডুপ্লিকেট"",""""))"),"")</f>
        <v/>
      </c>
      <c r="Q7068" s="5" t="str">
        <f t="shared" si="1"/>
        <v>২ পরে</v>
      </c>
    </row>
    <row r="7069">
      <c r="A7069" s="4">
        <v>5121.0</v>
      </c>
      <c r="B7069" s="2" t="s">
        <v>28687</v>
      </c>
      <c r="C7069" s="2" t="s">
        <v>28687</v>
      </c>
      <c r="D7069" s="2" t="s">
        <v>28688</v>
      </c>
      <c r="E7069" s="2" t="s">
        <v>28689</v>
      </c>
      <c r="F7069" s="2" t="b">
        <v>1</v>
      </c>
      <c r="G7069" s="2" t="b">
        <v>0</v>
      </c>
      <c r="H7069" s="2" t="s">
        <v>37</v>
      </c>
      <c r="I7069" s="2" t="s">
        <v>22</v>
      </c>
      <c r="J7069" s="2" t="s">
        <v>1438</v>
      </c>
      <c r="K7069" s="2" t="s">
        <v>495</v>
      </c>
      <c r="L7069" s="13" t="s">
        <v>496</v>
      </c>
      <c r="M7069" s="2" t="s">
        <v>26</v>
      </c>
      <c r="N7069" s="29"/>
      <c r="O7069" s="29"/>
      <c r="P7069" s="5" t="str">
        <f>IFERROR(__xludf.DUMMYFUNCTION("TEXTJOIN("" | "",TRUE,IF(OR(D7069="""",E7069="""",I7069="""",J7069="""",H7069=""""),""ফাঁকা ঘর"",""""),IF(AND(C7069&lt;&gt;"""",D7069&lt;&gt;"""",C7069=D7069),""gloss=figurative"",""""),IF(LEN(D7069)&lt;15,""figurative ছোট"",""""),IF(AND(I7069=""Positive"",REGEXMATCH(H7"&amp;"069,""মূর্খ|ভণ্ড|প্রতার|অলস|লোভ|স্বার্থ|অক্ষম|অযোগ্য|বোকা|কৃপণ|হিংস"")),""valence-target অমিল"",""""),IF(COUNTIF($B:$B,B7069)&gt;1,""ডুপ্লিকেট"",""""))"),"")</f>
        <v/>
      </c>
      <c r="Q7069" s="5" t="str">
        <f t="shared" si="1"/>
        <v>২ পরে</v>
      </c>
    </row>
    <row r="7070">
      <c r="A7070" s="4">
        <v>5122.0</v>
      </c>
      <c r="B7070" s="2" t="s">
        <v>28690</v>
      </c>
      <c r="C7070" s="2" t="s">
        <v>28691</v>
      </c>
      <c r="D7070" s="2" t="s">
        <v>28692</v>
      </c>
      <c r="E7070" s="2" t="s">
        <v>28693</v>
      </c>
      <c r="F7070" s="2" t="b">
        <v>1</v>
      </c>
      <c r="G7070" s="2" t="b">
        <v>0</v>
      </c>
      <c r="H7070" s="2" t="s">
        <v>37</v>
      </c>
      <c r="I7070" s="2" t="s">
        <v>22</v>
      </c>
      <c r="J7070" s="2" t="s">
        <v>1027</v>
      </c>
      <c r="K7070" s="2" t="s">
        <v>495</v>
      </c>
      <c r="L7070" s="13" t="s">
        <v>496</v>
      </c>
      <c r="M7070" s="2" t="s">
        <v>26</v>
      </c>
      <c r="N7070" s="29"/>
      <c r="O7070" s="29"/>
      <c r="P7070" s="5" t="str">
        <f>IFERROR(__xludf.DUMMYFUNCTION("TEXTJOIN("" | "",TRUE,IF(OR(D7070="""",E7070="""",I7070="""",J7070="""",H7070=""""),""ফাঁকা ঘর"",""""),IF(AND(C7070&lt;&gt;"""",D7070&lt;&gt;"""",C7070=D7070),""gloss=figurative"",""""),IF(LEN(D7070)&lt;15,""figurative ছোট"",""""),IF(AND(I7070=""Positive"",REGEXMATCH(H7"&amp;"070,""মূর্খ|ভণ্ড|প্রতার|অলস|লোভ|স্বার্থ|অক্ষম|অযোগ্য|বোকা|কৃপণ|হিংস"")),""valence-target অমিল"",""""),IF(COUNTIF($B:$B,B7070)&gt;1,""ডুপ্লিকেট"",""""))"),"")</f>
        <v/>
      </c>
      <c r="Q7070" s="5" t="str">
        <f t="shared" si="1"/>
        <v>২ পরে</v>
      </c>
    </row>
    <row r="7071">
      <c r="A7071" s="4">
        <v>5123.0</v>
      </c>
      <c r="B7071" s="2" t="s">
        <v>28694</v>
      </c>
      <c r="C7071" s="2" t="s">
        <v>28694</v>
      </c>
      <c r="D7071" s="2" t="s">
        <v>28695</v>
      </c>
      <c r="E7071" s="2" t="s">
        <v>28696</v>
      </c>
      <c r="F7071" s="2" t="b">
        <v>1</v>
      </c>
      <c r="G7071" s="2" t="b">
        <v>0</v>
      </c>
      <c r="H7071" s="2" t="s">
        <v>2424</v>
      </c>
      <c r="I7071" s="2" t="s">
        <v>22</v>
      </c>
      <c r="J7071" s="2" t="s">
        <v>2857</v>
      </c>
      <c r="K7071" s="2" t="s">
        <v>495</v>
      </c>
      <c r="L7071" s="13" t="s">
        <v>496</v>
      </c>
      <c r="M7071" s="2" t="s">
        <v>26</v>
      </c>
      <c r="N7071" s="29"/>
      <c r="O7071" s="29"/>
      <c r="P7071" s="5" t="str">
        <f>IFERROR(__xludf.DUMMYFUNCTION("TEXTJOIN("" | "",TRUE,IF(OR(D7071="""",E7071="""",I7071="""",J7071="""",H7071=""""),""ফাঁকা ঘর"",""""),IF(AND(C7071&lt;&gt;"""",D7071&lt;&gt;"""",C7071=D7071),""gloss=figurative"",""""),IF(LEN(D7071)&lt;15,""figurative ছোট"",""""),IF(AND(I7071=""Positive"",REGEXMATCH(H7"&amp;"071,""মূর্খ|ভণ্ড|প্রতার|অলস|লোভ|স্বার্থ|অক্ষম|অযোগ্য|বোকা|কৃপণ|হিংস"")),""valence-target অমিল"",""""),IF(COUNTIF($B:$B,B7071)&gt;1,""ডুপ্লিকেট"",""""))"),"")</f>
        <v/>
      </c>
      <c r="Q7071" s="5" t="str">
        <f t="shared" si="1"/>
        <v>২ পরে</v>
      </c>
    </row>
    <row r="7072">
      <c r="A7072" s="4">
        <v>5124.0</v>
      </c>
      <c r="B7072" s="2" t="s">
        <v>28697</v>
      </c>
      <c r="C7072" s="2" t="s">
        <v>28697</v>
      </c>
      <c r="D7072" s="2" t="s">
        <v>28692</v>
      </c>
      <c r="E7072" s="2" t="s">
        <v>28698</v>
      </c>
      <c r="F7072" s="2" t="b">
        <v>1</v>
      </c>
      <c r="G7072" s="2" t="b">
        <v>0</v>
      </c>
      <c r="H7072" s="2" t="s">
        <v>37</v>
      </c>
      <c r="I7072" s="2" t="s">
        <v>22</v>
      </c>
      <c r="J7072" s="2" t="s">
        <v>1027</v>
      </c>
      <c r="K7072" s="2" t="s">
        <v>495</v>
      </c>
      <c r="L7072" s="13" t="s">
        <v>496</v>
      </c>
      <c r="M7072" s="2" t="s">
        <v>26</v>
      </c>
      <c r="N7072" s="29"/>
      <c r="O7072" s="29"/>
      <c r="P7072" s="5" t="str">
        <f>IFERROR(__xludf.DUMMYFUNCTION("TEXTJOIN("" | "",TRUE,IF(OR(D7072="""",E7072="""",I7072="""",J7072="""",H7072=""""),""ফাঁকা ঘর"",""""),IF(AND(C7072&lt;&gt;"""",D7072&lt;&gt;"""",C7072=D7072),""gloss=figurative"",""""),IF(LEN(D7072)&lt;15,""figurative ছোট"",""""),IF(AND(I7072=""Positive"",REGEXMATCH(H7"&amp;"072,""মূর্খ|ভণ্ড|প্রতার|অলস|লোভ|স্বার্থ|অক্ষম|অযোগ্য|বোকা|কৃপণ|হিংস"")),""valence-target অমিল"",""""),IF(COUNTIF($B:$B,B7072)&gt;1,""ডুপ্লিকেট"",""""))"),"")</f>
        <v/>
      </c>
      <c r="Q7072" s="5" t="str">
        <f t="shared" si="1"/>
        <v>২ পরে</v>
      </c>
    </row>
    <row r="7073">
      <c r="A7073" s="4">
        <v>5125.0</v>
      </c>
      <c r="B7073" s="2" t="s">
        <v>28699</v>
      </c>
      <c r="C7073" s="2" t="s">
        <v>28700</v>
      </c>
      <c r="D7073" s="2" t="s">
        <v>28701</v>
      </c>
      <c r="E7073" s="2" t="s">
        <v>28702</v>
      </c>
      <c r="F7073" s="2" t="b">
        <v>1</v>
      </c>
      <c r="G7073" s="2" t="b">
        <v>0</v>
      </c>
      <c r="H7073" s="2" t="s">
        <v>37</v>
      </c>
      <c r="I7073" s="2" t="s">
        <v>32</v>
      </c>
      <c r="J7073" s="2" t="s">
        <v>1770</v>
      </c>
      <c r="K7073" s="2" t="s">
        <v>495</v>
      </c>
      <c r="L7073" s="13" t="s">
        <v>496</v>
      </c>
      <c r="M7073" s="2" t="s">
        <v>26</v>
      </c>
      <c r="N7073" s="29"/>
      <c r="O7073" s="29"/>
      <c r="P7073" s="5" t="str">
        <f>IFERROR(__xludf.DUMMYFUNCTION("TEXTJOIN("" | "",TRUE,IF(OR(D7073="""",E7073="""",I7073="""",J7073="""",H7073=""""),""ফাঁকা ঘর"",""""),IF(AND(C7073&lt;&gt;"""",D7073&lt;&gt;"""",C7073=D7073),""gloss=figurative"",""""),IF(LEN(D7073)&lt;15,""figurative ছোট"",""""),IF(AND(I7073=""Positive"",REGEXMATCH(H7"&amp;"073,""মূর্খ|ভণ্ড|প্রতার|অলস|লোভ|স্বার্থ|অক্ষম|অযোগ্য|বোকা|কৃপণ|হিংস"")),""valence-target অমিল"",""""),IF(COUNTIF($B:$B,B7073)&gt;1,""ডুপ্লিকেট"",""""))"),"")</f>
        <v/>
      </c>
      <c r="Q7073" s="5" t="str">
        <f t="shared" si="1"/>
        <v>২ পরে</v>
      </c>
    </row>
    <row r="7074">
      <c r="A7074" s="4">
        <v>5126.0</v>
      </c>
      <c r="B7074" s="2" t="s">
        <v>28703</v>
      </c>
      <c r="C7074" s="2" t="s">
        <v>28704</v>
      </c>
      <c r="D7074" s="2" t="s">
        <v>28705</v>
      </c>
      <c r="E7074" s="2" t="s">
        <v>28706</v>
      </c>
      <c r="F7074" s="2" t="b">
        <v>1</v>
      </c>
      <c r="G7074" s="2" t="b">
        <v>0</v>
      </c>
      <c r="H7074" s="2" t="s">
        <v>37</v>
      </c>
      <c r="I7074" s="2" t="s">
        <v>22</v>
      </c>
      <c r="J7074" s="2" t="s">
        <v>565</v>
      </c>
      <c r="K7074" s="2" t="s">
        <v>495</v>
      </c>
      <c r="L7074" s="13" t="s">
        <v>496</v>
      </c>
      <c r="M7074" s="2" t="s">
        <v>26</v>
      </c>
      <c r="N7074" s="29"/>
      <c r="O7074" s="29"/>
      <c r="P7074" s="5" t="str">
        <f>IFERROR(__xludf.DUMMYFUNCTION("TEXTJOIN("" | "",TRUE,IF(OR(D7074="""",E7074="""",I7074="""",J7074="""",H7074=""""),""ফাঁকা ঘর"",""""),IF(AND(C7074&lt;&gt;"""",D7074&lt;&gt;"""",C7074=D7074),""gloss=figurative"",""""),IF(LEN(D7074)&lt;15,""figurative ছোট"",""""),IF(AND(I7074=""Positive"",REGEXMATCH(H7"&amp;"074,""মূর্খ|ভণ্ড|প্রতার|অলস|লোভ|স্বার্থ|অক্ষম|অযোগ্য|বোকা|কৃপণ|হিংস"")),""valence-target অমিল"",""""),IF(COUNTIF($B:$B,B7074)&gt;1,""ডুপ্লিকেট"",""""))"),"")</f>
        <v/>
      </c>
      <c r="Q7074" s="5" t="str">
        <f t="shared" si="1"/>
        <v>২ পরে</v>
      </c>
    </row>
    <row r="7075">
      <c r="A7075" s="4">
        <v>5127.0</v>
      </c>
      <c r="B7075" s="2" t="s">
        <v>28707</v>
      </c>
      <c r="C7075" s="2" t="s">
        <v>28708</v>
      </c>
      <c r="D7075" s="2" t="s">
        <v>28709</v>
      </c>
      <c r="E7075" s="2" t="s">
        <v>28710</v>
      </c>
      <c r="F7075" s="2" t="b">
        <v>1</v>
      </c>
      <c r="G7075" s="2" t="b">
        <v>0</v>
      </c>
      <c r="H7075" s="2" t="s">
        <v>37</v>
      </c>
      <c r="I7075" s="2" t="s">
        <v>22</v>
      </c>
      <c r="J7075" s="2" t="s">
        <v>565</v>
      </c>
      <c r="K7075" s="2" t="s">
        <v>495</v>
      </c>
      <c r="L7075" s="13" t="s">
        <v>496</v>
      </c>
      <c r="M7075" s="2" t="s">
        <v>26</v>
      </c>
      <c r="N7075" s="29"/>
      <c r="O7075" s="29"/>
      <c r="P7075" s="5" t="str">
        <f>IFERROR(__xludf.DUMMYFUNCTION("TEXTJOIN("" | "",TRUE,IF(OR(D7075="""",E7075="""",I7075="""",J7075="""",H7075=""""),""ফাঁকা ঘর"",""""),IF(AND(C7075&lt;&gt;"""",D7075&lt;&gt;"""",C7075=D7075),""gloss=figurative"",""""),IF(LEN(D7075)&lt;15,""figurative ছোট"",""""),IF(AND(I7075=""Positive"",REGEXMATCH(H7"&amp;"075,""মূর্খ|ভণ্ড|প্রতার|অলস|লোভ|স্বার্থ|অক্ষম|অযোগ্য|বোকা|কৃপণ|হিংস"")),""valence-target অমিল"",""""),IF(COUNTIF($B:$B,B7075)&gt;1,""ডুপ্লিকেট"",""""))"),"")</f>
        <v/>
      </c>
      <c r="Q7075" s="5" t="str">
        <f t="shared" si="1"/>
        <v>২ পরে</v>
      </c>
    </row>
    <row r="7076">
      <c r="A7076" s="4">
        <v>5128.0</v>
      </c>
      <c r="B7076" s="2" t="s">
        <v>28711</v>
      </c>
      <c r="C7076" s="2" t="s">
        <v>28712</v>
      </c>
      <c r="D7076" s="2" t="s">
        <v>28713</v>
      </c>
      <c r="E7076" s="2" t="s">
        <v>28714</v>
      </c>
      <c r="F7076" s="2" t="b">
        <v>1</v>
      </c>
      <c r="G7076" s="2" t="b">
        <v>0</v>
      </c>
      <c r="H7076" s="2" t="s">
        <v>37</v>
      </c>
      <c r="I7076" s="2" t="s">
        <v>22</v>
      </c>
      <c r="J7076" s="2" t="s">
        <v>2122</v>
      </c>
      <c r="K7076" s="2" t="s">
        <v>495</v>
      </c>
      <c r="L7076" s="13" t="s">
        <v>496</v>
      </c>
      <c r="M7076" s="2" t="s">
        <v>26</v>
      </c>
      <c r="N7076" s="29"/>
      <c r="O7076" s="29"/>
      <c r="P7076" s="5" t="str">
        <f>IFERROR(__xludf.DUMMYFUNCTION("TEXTJOIN("" | "",TRUE,IF(OR(D7076="""",E7076="""",I7076="""",J7076="""",H7076=""""),""ফাঁকা ঘর"",""""),IF(AND(C7076&lt;&gt;"""",D7076&lt;&gt;"""",C7076=D7076),""gloss=figurative"",""""),IF(LEN(D7076)&lt;15,""figurative ছোট"",""""),IF(AND(I7076=""Positive"",REGEXMATCH(H7"&amp;"076,""মূর্খ|ভণ্ড|প্রতার|অলস|লোভ|স্বার্থ|অক্ষম|অযোগ্য|বোকা|কৃপণ|হিংস"")),""valence-target অমিল"",""""),IF(COUNTIF($B:$B,B7076)&gt;1,""ডুপ্লিকেট"",""""))"),"")</f>
        <v/>
      </c>
      <c r="Q7076" s="5" t="str">
        <f t="shared" si="1"/>
        <v>২ পরে</v>
      </c>
    </row>
    <row r="7077">
      <c r="A7077" s="4">
        <v>5129.0</v>
      </c>
      <c r="B7077" s="2" t="s">
        <v>28715</v>
      </c>
      <c r="C7077" s="2" t="s">
        <v>28716</v>
      </c>
      <c r="D7077" s="2" t="s">
        <v>28717</v>
      </c>
      <c r="E7077" s="2" t="s">
        <v>28718</v>
      </c>
      <c r="F7077" s="2" t="b">
        <v>1</v>
      </c>
      <c r="G7077" s="2" t="b">
        <v>0</v>
      </c>
      <c r="H7077" s="2" t="s">
        <v>37</v>
      </c>
      <c r="I7077" s="2" t="s">
        <v>22</v>
      </c>
      <c r="J7077" s="2" t="s">
        <v>1117</v>
      </c>
      <c r="K7077" s="2" t="s">
        <v>495</v>
      </c>
      <c r="L7077" s="13" t="s">
        <v>496</v>
      </c>
      <c r="M7077" s="2" t="s">
        <v>26</v>
      </c>
      <c r="N7077" s="29"/>
      <c r="O7077" s="29"/>
      <c r="P7077" s="5" t="str">
        <f>IFERROR(__xludf.DUMMYFUNCTION("TEXTJOIN("" | "",TRUE,IF(OR(D7077="""",E7077="""",I7077="""",J7077="""",H7077=""""),""ফাঁকা ঘর"",""""),IF(AND(C7077&lt;&gt;"""",D7077&lt;&gt;"""",C7077=D7077),""gloss=figurative"",""""),IF(LEN(D7077)&lt;15,""figurative ছোট"",""""),IF(AND(I7077=""Positive"",REGEXMATCH(H7"&amp;"077,""মূর্খ|ভণ্ড|প্রতার|অলস|লোভ|স্বার্থ|অক্ষম|অযোগ্য|বোকা|কৃপণ|হিংস"")),""valence-target অমিল"",""""),IF(COUNTIF($B:$B,B7077)&gt;1,""ডুপ্লিকেট"",""""))"),"")</f>
        <v/>
      </c>
      <c r="Q7077" s="5" t="str">
        <f t="shared" si="1"/>
        <v>২ পরে</v>
      </c>
    </row>
    <row r="7078">
      <c r="A7078" s="4">
        <v>5130.0</v>
      </c>
      <c r="B7078" s="2" t="s">
        <v>28719</v>
      </c>
      <c r="C7078" s="2" t="s">
        <v>28720</v>
      </c>
      <c r="D7078" s="2" t="s">
        <v>28721</v>
      </c>
      <c r="E7078" s="2" t="s">
        <v>28722</v>
      </c>
      <c r="F7078" s="2" t="b">
        <v>1</v>
      </c>
      <c r="G7078" s="2" t="b">
        <v>0</v>
      </c>
      <c r="H7078" s="2" t="s">
        <v>37</v>
      </c>
      <c r="I7078" s="2" t="s">
        <v>22</v>
      </c>
      <c r="J7078" s="2" t="s">
        <v>2857</v>
      </c>
      <c r="K7078" s="2" t="s">
        <v>495</v>
      </c>
      <c r="L7078" s="13" t="s">
        <v>496</v>
      </c>
      <c r="M7078" s="2" t="s">
        <v>26</v>
      </c>
      <c r="N7078" s="29"/>
      <c r="O7078" s="29"/>
      <c r="P7078" s="5" t="str">
        <f>IFERROR(__xludf.DUMMYFUNCTION("TEXTJOIN("" | "",TRUE,IF(OR(D7078="""",E7078="""",I7078="""",J7078="""",H7078=""""),""ফাঁকা ঘর"",""""),IF(AND(C7078&lt;&gt;"""",D7078&lt;&gt;"""",C7078=D7078),""gloss=figurative"",""""),IF(LEN(D7078)&lt;15,""figurative ছোট"",""""),IF(AND(I7078=""Positive"",REGEXMATCH(H7"&amp;"078,""মূর্খ|ভণ্ড|প্রতার|অলস|লোভ|স্বার্থ|অক্ষম|অযোগ্য|বোকা|কৃপণ|হিংস"")),""valence-target অমিল"",""""),IF(COUNTIF($B:$B,B7078)&gt;1,""ডুপ্লিকেট"",""""))"),"")</f>
        <v/>
      </c>
      <c r="Q7078" s="5" t="str">
        <f t="shared" si="1"/>
        <v>২ পরে</v>
      </c>
    </row>
    <row r="7079">
      <c r="A7079" s="4">
        <v>5131.0</v>
      </c>
      <c r="B7079" s="2" t="s">
        <v>28723</v>
      </c>
      <c r="C7079" s="2" t="s">
        <v>28724</v>
      </c>
      <c r="D7079" s="2" t="s">
        <v>28725</v>
      </c>
      <c r="E7079" s="2" t="s">
        <v>28726</v>
      </c>
      <c r="F7079" s="2" t="b">
        <v>1</v>
      </c>
      <c r="G7079" s="2" t="b">
        <v>0</v>
      </c>
      <c r="H7079" s="2" t="s">
        <v>37</v>
      </c>
      <c r="I7079" s="2" t="s">
        <v>49</v>
      </c>
      <c r="J7079" s="2" t="s">
        <v>24748</v>
      </c>
      <c r="K7079" s="2" t="s">
        <v>495</v>
      </c>
      <c r="L7079" s="13" t="s">
        <v>496</v>
      </c>
      <c r="M7079" s="2" t="s">
        <v>26</v>
      </c>
      <c r="N7079" s="29"/>
      <c r="O7079" s="29"/>
      <c r="P7079" s="5" t="str">
        <f>IFERROR(__xludf.DUMMYFUNCTION("TEXTJOIN("" | "",TRUE,IF(OR(D7079="""",E7079="""",I7079="""",J7079="""",H7079=""""),""ফাঁকা ঘর"",""""),IF(AND(C7079&lt;&gt;"""",D7079&lt;&gt;"""",C7079=D7079),""gloss=figurative"",""""),IF(LEN(D7079)&lt;15,""figurative ছোট"",""""),IF(AND(I7079=""Positive"",REGEXMATCH(H7"&amp;"079,""মূর্খ|ভণ্ড|প্রতার|অলস|লোভ|স্বার্থ|অক্ষম|অযোগ্য|বোকা|কৃপণ|হিংস"")),""valence-target অমিল"",""""),IF(COUNTIF($B:$B,B7079)&gt;1,""ডুপ্লিকেট"",""""))"),"")</f>
        <v/>
      </c>
      <c r="Q7079" s="5" t="str">
        <f t="shared" si="1"/>
        <v>২ পরে</v>
      </c>
    </row>
    <row r="7080">
      <c r="A7080" s="4">
        <v>5133.0</v>
      </c>
      <c r="B7080" s="2" t="s">
        <v>28727</v>
      </c>
      <c r="C7080" s="2" t="s">
        <v>28728</v>
      </c>
      <c r="D7080" s="2" t="s">
        <v>28729</v>
      </c>
      <c r="E7080" s="2" t="s">
        <v>28730</v>
      </c>
      <c r="F7080" s="2" t="b">
        <v>1</v>
      </c>
      <c r="G7080" s="2" t="b">
        <v>0</v>
      </c>
      <c r="H7080" s="2" t="s">
        <v>37</v>
      </c>
      <c r="I7080" s="2" t="s">
        <v>22</v>
      </c>
      <c r="J7080" s="2" t="s">
        <v>14812</v>
      </c>
      <c r="K7080" s="2" t="s">
        <v>495</v>
      </c>
      <c r="L7080" s="13" t="s">
        <v>496</v>
      </c>
      <c r="M7080" s="2" t="s">
        <v>26</v>
      </c>
      <c r="N7080" s="29"/>
      <c r="O7080" s="29"/>
      <c r="P7080" s="5" t="str">
        <f>IFERROR(__xludf.DUMMYFUNCTION("TEXTJOIN("" | "",TRUE,IF(OR(D7080="""",E7080="""",I7080="""",J7080="""",H7080=""""),""ফাঁকা ঘর"",""""),IF(AND(C7080&lt;&gt;"""",D7080&lt;&gt;"""",C7080=D7080),""gloss=figurative"",""""),IF(LEN(D7080)&lt;15,""figurative ছোট"",""""),IF(AND(I7080=""Positive"",REGEXMATCH(H7"&amp;"080,""মূর্খ|ভণ্ড|প্রতার|অলস|লোভ|স্বার্থ|অক্ষম|অযোগ্য|বোকা|কৃপণ|হিংস"")),""valence-target অমিল"",""""),IF(COUNTIF($B:$B,B7080)&gt;1,""ডুপ্লিকেট"",""""))"),"")</f>
        <v/>
      </c>
      <c r="Q7080" s="5" t="str">
        <f t="shared" si="1"/>
        <v>২ পরে</v>
      </c>
    </row>
    <row r="7081">
      <c r="A7081" s="4">
        <v>5134.0</v>
      </c>
      <c r="B7081" s="2" t="s">
        <v>28731</v>
      </c>
      <c r="C7081" s="2" t="s">
        <v>28732</v>
      </c>
      <c r="D7081" s="2" t="s">
        <v>28733</v>
      </c>
      <c r="E7081" s="2" t="s">
        <v>28734</v>
      </c>
      <c r="F7081" s="2" t="b">
        <v>1</v>
      </c>
      <c r="G7081" s="2" t="b">
        <v>0</v>
      </c>
      <c r="H7081" s="2" t="s">
        <v>37</v>
      </c>
      <c r="I7081" s="2" t="s">
        <v>49</v>
      </c>
      <c r="J7081" s="2" t="s">
        <v>3364</v>
      </c>
      <c r="K7081" s="2" t="s">
        <v>495</v>
      </c>
      <c r="L7081" s="13" t="s">
        <v>496</v>
      </c>
      <c r="M7081" s="2" t="s">
        <v>26</v>
      </c>
      <c r="N7081" s="29"/>
      <c r="O7081" s="29"/>
      <c r="P7081" s="5" t="str">
        <f>IFERROR(__xludf.DUMMYFUNCTION("TEXTJOIN("" | "",TRUE,IF(OR(D7081="""",E7081="""",I7081="""",J7081="""",H7081=""""),""ফাঁকা ঘর"",""""),IF(AND(C7081&lt;&gt;"""",D7081&lt;&gt;"""",C7081=D7081),""gloss=figurative"",""""),IF(LEN(D7081)&lt;15,""figurative ছোট"",""""),IF(AND(I7081=""Positive"",REGEXMATCH(H7"&amp;"081,""মূর্খ|ভণ্ড|প্রতার|অলস|লোভ|স্বার্থ|অক্ষম|অযোগ্য|বোকা|কৃপণ|হিংস"")),""valence-target অমিল"",""""),IF(COUNTIF($B:$B,B7081)&gt;1,""ডুপ্লিকেট"",""""))"),"")</f>
        <v/>
      </c>
      <c r="Q7081" s="5" t="str">
        <f t="shared" si="1"/>
        <v>২ পরে</v>
      </c>
    </row>
    <row r="7082">
      <c r="A7082" s="4">
        <v>5136.0</v>
      </c>
      <c r="B7082" s="2" t="s">
        <v>28735</v>
      </c>
      <c r="C7082" s="2" t="s">
        <v>28736</v>
      </c>
      <c r="D7082" s="2" t="s">
        <v>28737</v>
      </c>
      <c r="E7082" s="2" t="s">
        <v>28738</v>
      </c>
      <c r="F7082" s="2" t="b">
        <v>1</v>
      </c>
      <c r="G7082" s="2" t="b">
        <v>0</v>
      </c>
      <c r="H7082" s="2" t="s">
        <v>37</v>
      </c>
      <c r="I7082" s="2" t="s">
        <v>22</v>
      </c>
      <c r="J7082" s="2" t="s">
        <v>22584</v>
      </c>
      <c r="K7082" s="2" t="s">
        <v>495</v>
      </c>
      <c r="L7082" s="13" t="s">
        <v>496</v>
      </c>
      <c r="M7082" s="2" t="s">
        <v>26</v>
      </c>
      <c r="N7082" s="29"/>
      <c r="O7082" s="29"/>
      <c r="P7082" s="5" t="str">
        <f>IFERROR(__xludf.DUMMYFUNCTION("TEXTJOIN("" | "",TRUE,IF(OR(D7082="""",E7082="""",I7082="""",J7082="""",H7082=""""),""ফাঁকা ঘর"",""""),IF(AND(C7082&lt;&gt;"""",D7082&lt;&gt;"""",C7082=D7082),""gloss=figurative"",""""),IF(LEN(D7082)&lt;15,""figurative ছোট"",""""),IF(AND(I7082=""Positive"",REGEXMATCH(H7"&amp;"082,""মূর্খ|ভণ্ড|প্রতার|অলস|লোভ|স্বার্থ|অক্ষম|অযোগ্য|বোকা|কৃপণ|হিংস"")),""valence-target অমিল"",""""),IF(COUNTIF($B:$B,B7082)&gt;1,""ডুপ্লিকেট"",""""))"),"")</f>
        <v/>
      </c>
      <c r="Q7082" s="5" t="str">
        <f t="shared" si="1"/>
        <v>২ পরে</v>
      </c>
    </row>
    <row r="7083">
      <c r="A7083" s="4">
        <v>5137.0</v>
      </c>
      <c r="B7083" s="2" t="s">
        <v>28739</v>
      </c>
      <c r="C7083" s="2" t="s">
        <v>28740</v>
      </c>
      <c r="D7083" s="2" t="s">
        <v>28741</v>
      </c>
      <c r="E7083" s="2" t="s">
        <v>28742</v>
      </c>
      <c r="F7083" s="2" t="b">
        <v>1</v>
      </c>
      <c r="G7083" s="2" t="b">
        <v>0</v>
      </c>
      <c r="H7083" s="2" t="s">
        <v>37</v>
      </c>
      <c r="I7083" s="2" t="s">
        <v>32</v>
      </c>
      <c r="J7083" s="2" t="s">
        <v>713</v>
      </c>
      <c r="K7083" s="2" t="s">
        <v>495</v>
      </c>
      <c r="L7083" s="13" t="s">
        <v>496</v>
      </c>
      <c r="M7083" s="2" t="s">
        <v>26</v>
      </c>
      <c r="N7083" s="29"/>
      <c r="O7083" s="29"/>
      <c r="P7083" s="5" t="str">
        <f>IFERROR(__xludf.DUMMYFUNCTION("TEXTJOIN("" | "",TRUE,IF(OR(D7083="""",E7083="""",I7083="""",J7083="""",H7083=""""),""ফাঁকা ঘর"",""""),IF(AND(C7083&lt;&gt;"""",D7083&lt;&gt;"""",C7083=D7083),""gloss=figurative"",""""),IF(LEN(D7083)&lt;15,""figurative ছোট"",""""),IF(AND(I7083=""Positive"",REGEXMATCH(H7"&amp;"083,""মূর্খ|ভণ্ড|প্রতার|অলস|লোভ|স্বার্থ|অক্ষম|অযোগ্য|বোকা|কৃপণ|হিংস"")),""valence-target অমিল"",""""),IF(COUNTIF($B:$B,B7083)&gt;1,""ডুপ্লিকেট"",""""))"),"")</f>
        <v/>
      </c>
      <c r="Q7083" s="5" t="str">
        <f t="shared" si="1"/>
        <v>২ পরে</v>
      </c>
    </row>
    <row r="7084">
      <c r="A7084" s="4">
        <v>5140.0</v>
      </c>
      <c r="B7084" s="2" t="s">
        <v>28743</v>
      </c>
      <c r="C7084" s="2" t="s">
        <v>28744</v>
      </c>
      <c r="D7084" s="2" t="s">
        <v>28745</v>
      </c>
      <c r="E7084" s="2" t="s">
        <v>28746</v>
      </c>
      <c r="F7084" s="2" t="b">
        <v>1</v>
      </c>
      <c r="G7084" s="2" t="b">
        <v>0</v>
      </c>
      <c r="H7084" s="2" t="s">
        <v>37</v>
      </c>
      <c r="I7084" s="2" t="s">
        <v>32</v>
      </c>
      <c r="J7084" s="2" t="s">
        <v>913</v>
      </c>
      <c r="K7084" s="2" t="s">
        <v>495</v>
      </c>
      <c r="L7084" s="13" t="s">
        <v>496</v>
      </c>
      <c r="M7084" s="2" t="s">
        <v>26</v>
      </c>
      <c r="N7084" s="29"/>
      <c r="O7084" s="29"/>
      <c r="P7084" s="5" t="str">
        <f>IFERROR(__xludf.DUMMYFUNCTION("TEXTJOIN("" | "",TRUE,IF(OR(D7084="""",E7084="""",I7084="""",J7084="""",H7084=""""),""ফাঁকা ঘর"",""""),IF(AND(C7084&lt;&gt;"""",D7084&lt;&gt;"""",C7084=D7084),""gloss=figurative"",""""),IF(LEN(D7084)&lt;15,""figurative ছোট"",""""),IF(AND(I7084=""Positive"",REGEXMATCH(H7"&amp;"084,""মূর্খ|ভণ্ড|প্রতার|অলস|লোভ|স্বার্থ|অক্ষম|অযোগ্য|বোকা|কৃপণ|হিংস"")),""valence-target অমিল"",""""),IF(COUNTIF($B:$B,B7084)&gt;1,""ডুপ্লিকেট"",""""))"),"")</f>
        <v/>
      </c>
      <c r="Q7084" s="5" t="str">
        <f t="shared" si="1"/>
        <v>২ পরে</v>
      </c>
    </row>
    <row r="7085">
      <c r="A7085" s="4">
        <v>5142.0</v>
      </c>
      <c r="B7085" s="2" t="s">
        <v>28747</v>
      </c>
      <c r="C7085" s="2" t="s">
        <v>28748</v>
      </c>
      <c r="D7085" s="2" t="s">
        <v>28749</v>
      </c>
      <c r="E7085" s="2" t="s">
        <v>28750</v>
      </c>
      <c r="F7085" s="2" t="b">
        <v>1</v>
      </c>
      <c r="G7085" s="2" t="b">
        <v>0</v>
      </c>
      <c r="H7085" s="2" t="s">
        <v>37</v>
      </c>
      <c r="I7085" s="2" t="s">
        <v>32</v>
      </c>
      <c r="J7085" s="2" t="s">
        <v>176</v>
      </c>
      <c r="K7085" s="2" t="s">
        <v>495</v>
      </c>
      <c r="L7085" s="13" t="s">
        <v>496</v>
      </c>
      <c r="M7085" s="2" t="s">
        <v>26</v>
      </c>
      <c r="N7085" s="29"/>
      <c r="O7085" s="29"/>
      <c r="P7085" s="5" t="str">
        <f>IFERROR(__xludf.DUMMYFUNCTION("TEXTJOIN("" | "",TRUE,IF(OR(D7085="""",E7085="""",I7085="""",J7085="""",H7085=""""),""ফাঁকা ঘর"",""""),IF(AND(C7085&lt;&gt;"""",D7085&lt;&gt;"""",C7085=D7085),""gloss=figurative"",""""),IF(LEN(D7085)&lt;15,""figurative ছোট"",""""),IF(AND(I7085=""Positive"",REGEXMATCH(H7"&amp;"085,""মূর্খ|ভণ্ড|প্রতার|অলস|লোভ|স্বার্থ|অক্ষম|অযোগ্য|বোকা|কৃপণ|হিংস"")),""valence-target অমিল"",""""),IF(COUNTIF($B:$B,B7085)&gt;1,""ডুপ্লিকেট"",""""))"),"")</f>
        <v/>
      </c>
      <c r="Q7085" s="5" t="str">
        <f t="shared" si="1"/>
        <v>২ পরে</v>
      </c>
    </row>
    <row r="7086">
      <c r="A7086" s="4">
        <v>5143.0</v>
      </c>
      <c r="B7086" s="2" t="s">
        <v>28751</v>
      </c>
      <c r="C7086" s="2" t="s">
        <v>28752</v>
      </c>
      <c r="D7086" s="2" t="s">
        <v>28753</v>
      </c>
      <c r="E7086" s="2" t="s">
        <v>28754</v>
      </c>
      <c r="F7086" s="2" t="b">
        <v>1</v>
      </c>
      <c r="G7086" s="2" t="b">
        <v>0</v>
      </c>
      <c r="H7086" s="2" t="s">
        <v>37</v>
      </c>
      <c r="I7086" s="2" t="s">
        <v>49</v>
      </c>
      <c r="J7086" s="2" t="s">
        <v>669</v>
      </c>
      <c r="K7086" s="2" t="s">
        <v>495</v>
      </c>
      <c r="L7086" s="13" t="s">
        <v>496</v>
      </c>
      <c r="M7086" s="2" t="s">
        <v>26</v>
      </c>
      <c r="N7086" s="29"/>
      <c r="O7086" s="29"/>
      <c r="P7086" s="5" t="str">
        <f>IFERROR(__xludf.DUMMYFUNCTION("TEXTJOIN("" | "",TRUE,IF(OR(D7086="""",E7086="""",I7086="""",J7086="""",H7086=""""),""ফাঁকা ঘর"",""""),IF(AND(C7086&lt;&gt;"""",D7086&lt;&gt;"""",C7086=D7086),""gloss=figurative"",""""),IF(LEN(D7086)&lt;15,""figurative ছোট"",""""),IF(AND(I7086=""Positive"",REGEXMATCH(H7"&amp;"086,""মূর্খ|ভণ্ড|প্রতার|অলস|লোভ|স্বার্থ|অক্ষম|অযোগ্য|বোকা|কৃপণ|হিংস"")),""valence-target অমিল"",""""),IF(COUNTIF($B:$B,B7086)&gt;1,""ডুপ্লিকেট"",""""))"),"")</f>
        <v/>
      </c>
      <c r="Q7086" s="5" t="str">
        <f t="shared" si="1"/>
        <v>২ পরে</v>
      </c>
    </row>
    <row r="7087">
      <c r="A7087" s="4">
        <v>5144.0</v>
      </c>
      <c r="B7087" s="2" t="s">
        <v>28755</v>
      </c>
      <c r="C7087" s="2" t="s">
        <v>28755</v>
      </c>
      <c r="D7087" s="2" t="s">
        <v>28756</v>
      </c>
      <c r="E7087" s="2" t="s">
        <v>28757</v>
      </c>
      <c r="F7087" s="2" t="b">
        <v>1</v>
      </c>
      <c r="G7087" s="2" t="b">
        <v>0</v>
      </c>
      <c r="H7087" s="2" t="s">
        <v>37</v>
      </c>
      <c r="I7087" s="2" t="s">
        <v>32</v>
      </c>
      <c r="J7087" s="2" t="s">
        <v>1644</v>
      </c>
      <c r="K7087" s="2" t="s">
        <v>495</v>
      </c>
      <c r="L7087" s="13" t="s">
        <v>496</v>
      </c>
      <c r="M7087" s="2" t="s">
        <v>26</v>
      </c>
      <c r="N7087" s="29"/>
      <c r="O7087" s="29"/>
      <c r="P7087" s="5" t="str">
        <f>IFERROR(__xludf.DUMMYFUNCTION("TEXTJOIN("" | "",TRUE,IF(OR(D7087="""",E7087="""",I7087="""",J7087="""",H7087=""""),""ফাঁকা ঘর"",""""),IF(AND(C7087&lt;&gt;"""",D7087&lt;&gt;"""",C7087=D7087),""gloss=figurative"",""""),IF(LEN(D7087)&lt;15,""figurative ছোট"",""""),IF(AND(I7087=""Positive"",REGEXMATCH(H7"&amp;"087,""মূর্খ|ভণ্ড|প্রতার|অলস|লোভ|স্বার্থ|অক্ষম|অযোগ্য|বোকা|কৃপণ|হিংস"")),""valence-target অমিল"",""""),IF(COUNTIF($B:$B,B7087)&gt;1,""ডুপ্লিকেট"",""""))"),"")</f>
        <v/>
      </c>
      <c r="Q7087" s="5" t="str">
        <f t="shared" si="1"/>
        <v>২ পরে</v>
      </c>
    </row>
    <row r="7088">
      <c r="A7088" s="4">
        <v>5145.0</v>
      </c>
      <c r="B7088" s="2" t="s">
        <v>28758</v>
      </c>
      <c r="C7088" s="2" t="s">
        <v>28759</v>
      </c>
      <c r="D7088" s="2" t="s">
        <v>28760</v>
      </c>
      <c r="E7088" s="2" t="s">
        <v>28761</v>
      </c>
      <c r="F7088" s="2" t="b">
        <v>1</v>
      </c>
      <c r="G7088" s="2" t="b">
        <v>0</v>
      </c>
      <c r="H7088" s="2" t="s">
        <v>37</v>
      </c>
      <c r="I7088" s="2" t="s">
        <v>49</v>
      </c>
      <c r="J7088" s="2" t="s">
        <v>762</v>
      </c>
      <c r="K7088" s="2" t="s">
        <v>495</v>
      </c>
      <c r="L7088" s="13" t="s">
        <v>496</v>
      </c>
      <c r="M7088" s="2" t="s">
        <v>26</v>
      </c>
      <c r="N7088" s="29"/>
      <c r="O7088" s="29"/>
      <c r="P7088" s="5" t="str">
        <f>IFERROR(__xludf.DUMMYFUNCTION("TEXTJOIN("" | "",TRUE,IF(OR(D7088="""",E7088="""",I7088="""",J7088="""",H7088=""""),""ফাঁকা ঘর"",""""),IF(AND(C7088&lt;&gt;"""",D7088&lt;&gt;"""",C7088=D7088),""gloss=figurative"",""""),IF(LEN(D7088)&lt;15,""figurative ছোট"",""""),IF(AND(I7088=""Positive"",REGEXMATCH(H7"&amp;"088,""মূর্খ|ভণ্ড|প্রতার|অলস|লোভ|স্বার্থ|অক্ষম|অযোগ্য|বোকা|কৃপণ|হিংস"")),""valence-target অমিল"",""""),IF(COUNTIF($B:$B,B7088)&gt;1,""ডুপ্লিকেট"",""""))"),"")</f>
        <v/>
      </c>
      <c r="Q7088" s="5" t="str">
        <f t="shared" si="1"/>
        <v>২ পরে</v>
      </c>
    </row>
    <row r="7089">
      <c r="A7089" s="4">
        <v>5148.0</v>
      </c>
      <c r="B7089" s="2" t="s">
        <v>28762</v>
      </c>
      <c r="C7089" s="2" t="s">
        <v>28763</v>
      </c>
      <c r="D7089" s="2" t="s">
        <v>28764</v>
      </c>
      <c r="E7089" s="2" t="s">
        <v>28765</v>
      </c>
      <c r="F7089" s="2" t="b">
        <v>1</v>
      </c>
      <c r="G7089" s="2" t="b">
        <v>0</v>
      </c>
      <c r="H7089" s="2" t="s">
        <v>37</v>
      </c>
      <c r="I7089" s="2" t="s">
        <v>22</v>
      </c>
      <c r="J7089" s="2" t="s">
        <v>3716</v>
      </c>
      <c r="K7089" s="2" t="s">
        <v>495</v>
      </c>
      <c r="L7089" s="13" t="s">
        <v>496</v>
      </c>
      <c r="M7089" s="2" t="s">
        <v>26</v>
      </c>
      <c r="N7089" s="29"/>
      <c r="O7089" s="29"/>
      <c r="P7089" s="5" t="str">
        <f>IFERROR(__xludf.DUMMYFUNCTION("TEXTJOIN("" | "",TRUE,IF(OR(D7089="""",E7089="""",I7089="""",J7089="""",H7089=""""),""ফাঁকা ঘর"",""""),IF(AND(C7089&lt;&gt;"""",D7089&lt;&gt;"""",C7089=D7089),""gloss=figurative"",""""),IF(LEN(D7089)&lt;15,""figurative ছোট"",""""),IF(AND(I7089=""Positive"",REGEXMATCH(H7"&amp;"089,""মূর্খ|ভণ্ড|প্রতার|অলস|লোভ|স্বার্থ|অক্ষম|অযোগ্য|বোকা|কৃপণ|হিংস"")),""valence-target অমিল"",""""),IF(COUNTIF($B:$B,B7089)&gt;1,""ডুপ্লিকেট"",""""))"),"")</f>
        <v/>
      </c>
      <c r="Q7089" s="5" t="str">
        <f t="shared" si="1"/>
        <v>২ পরে</v>
      </c>
    </row>
    <row r="7090">
      <c r="A7090" s="4">
        <v>5149.0</v>
      </c>
      <c r="B7090" s="2" t="s">
        <v>28766</v>
      </c>
      <c r="C7090" s="2" t="s">
        <v>28766</v>
      </c>
      <c r="D7090" s="2" t="s">
        <v>28767</v>
      </c>
      <c r="E7090" s="2" t="s">
        <v>28768</v>
      </c>
      <c r="F7090" s="2" t="b">
        <v>1</v>
      </c>
      <c r="G7090" s="2" t="b">
        <v>0</v>
      </c>
      <c r="H7090" s="2" t="s">
        <v>37</v>
      </c>
      <c r="I7090" s="2" t="s">
        <v>22</v>
      </c>
      <c r="J7090" s="2" t="s">
        <v>848</v>
      </c>
      <c r="K7090" s="2" t="s">
        <v>495</v>
      </c>
      <c r="L7090" s="13" t="s">
        <v>496</v>
      </c>
      <c r="M7090" s="2" t="s">
        <v>26</v>
      </c>
      <c r="N7090" s="29"/>
      <c r="O7090" s="29"/>
      <c r="P7090" s="5" t="str">
        <f>IFERROR(__xludf.DUMMYFUNCTION("TEXTJOIN("" | "",TRUE,IF(OR(D7090="""",E7090="""",I7090="""",J7090="""",H7090=""""),""ফাঁকা ঘর"",""""),IF(AND(C7090&lt;&gt;"""",D7090&lt;&gt;"""",C7090=D7090),""gloss=figurative"",""""),IF(LEN(D7090)&lt;15,""figurative ছোট"",""""),IF(AND(I7090=""Positive"",REGEXMATCH(H7"&amp;"090,""মূর্খ|ভণ্ড|প্রতার|অলস|লোভ|স্বার্থ|অক্ষম|অযোগ্য|বোকা|কৃপণ|হিংস"")),""valence-target অমিল"",""""),IF(COUNTIF($B:$B,B7090)&gt;1,""ডুপ্লিকেট"",""""))"),"")</f>
        <v/>
      </c>
      <c r="Q7090" s="5" t="str">
        <f t="shared" si="1"/>
        <v>২ পরে</v>
      </c>
    </row>
    <row r="7091">
      <c r="A7091" s="4">
        <v>5150.0</v>
      </c>
      <c r="B7091" s="2" t="s">
        <v>28769</v>
      </c>
      <c r="C7091" s="2" t="s">
        <v>28770</v>
      </c>
      <c r="D7091" s="2" t="s">
        <v>28771</v>
      </c>
      <c r="E7091" s="2" t="s">
        <v>28772</v>
      </c>
      <c r="F7091" s="2" t="b">
        <v>1</v>
      </c>
      <c r="G7091" s="2" t="b">
        <v>0</v>
      </c>
      <c r="H7091" s="2" t="s">
        <v>37</v>
      </c>
      <c r="I7091" s="2" t="s">
        <v>32</v>
      </c>
      <c r="J7091" s="2" t="s">
        <v>913</v>
      </c>
      <c r="K7091" s="2" t="s">
        <v>495</v>
      </c>
      <c r="L7091" s="13" t="s">
        <v>496</v>
      </c>
      <c r="M7091" s="2" t="s">
        <v>26</v>
      </c>
      <c r="N7091" s="29"/>
      <c r="O7091" s="29"/>
      <c r="P7091" s="5" t="str">
        <f>IFERROR(__xludf.DUMMYFUNCTION("TEXTJOIN("" | "",TRUE,IF(OR(D7091="""",E7091="""",I7091="""",J7091="""",H7091=""""),""ফাঁকা ঘর"",""""),IF(AND(C7091&lt;&gt;"""",D7091&lt;&gt;"""",C7091=D7091),""gloss=figurative"",""""),IF(LEN(D7091)&lt;15,""figurative ছোট"",""""),IF(AND(I7091=""Positive"",REGEXMATCH(H7"&amp;"091,""মূর্খ|ভণ্ড|প্রতার|অলস|লোভ|স্বার্থ|অক্ষম|অযোগ্য|বোকা|কৃপণ|হিংস"")),""valence-target অমিল"",""""),IF(COUNTIF($B:$B,B7091)&gt;1,""ডুপ্লিকেট"",""""))"),"")</f>
        <v/>
      </c>
      <c r="Q7091" s="5" t="str">
        <f t="shared" si="1"/>
        <v>২ পরে</v>
      </c>
    </row>
    <row r="7092">
      <c r="A7092" s="4">
        <v>5151.0</v>
      </c>
      <c r="B7092" s="2" t="s">
        <v>28773</v>
      </c>
      <c r="C7092" s="2" t="s">
        <v>28774</v>
      </c>
      <c r="D7092" s="2" t="s">
        <v>28775</v>
      </c>
      <c r="E7092" s="2" t="s">
        <v>28776</v>
      </c>
      <c r="F7092" s="2" t="b">
        <v>1</v>
      </c>
      <c r="G7092" s="2" t="b">
        <v>1</v>
      </c>
      <c r="H7092" s="2" t="s">
        <v>1982</v>
      </c>
      <c r="I7092" s="2" t="s">
        <v>49</v>
      </c>
      <c r="J7092" s="2" t="s">
        <v>1259</v>
      </c>
      <c r="K7092" s="2" t="s">
        <v>495</v>
      </c>
      <c r="L7092" s="13" t="s">
        <v>496</v>
      </c>
      <c r="M7092" s="2" t="s">
        <v>26</v>
      </c>
      <c r="N7092" s="29"/>
      <c r="O7092" s="29"/>
      <c r="P7092" s="5" t="str">
        <f>IFERROR(__xludf.DUMMYFUNCTION("TEXTJOIN("" | "",TRUE,IF(OR(D7092="""",E7092="""",I7092="""",J7092="""",H7092=""""),""ফাঁকা ঘর"",""""),IF(AND(C7092&lt;&gt;"""",D7092&lt;&gt;"""",C7092=D7092),""gloss=figurative"",""""),IF(LEN(D7092)&lt;15,""figurative ছোট"",""""),IF(AND(I7092=""Positive"",REGEXMATCH(H7"&amp;"092,""মূর্খ|ভণ্ড|প্রতার|অলস|লোভ|স্বার্থ|অক্ষম|অযোগ্য|বোকা|কৃপণ|হিংস"")),""valence-target অমিল"",""""),IF(COUNTIF($B:$B,B7092)&gt;1,""ডুপ্লিকেট"",""""))"),"")</f>
        <v/>
      </c>
      <c r="Q7092" s="5" t="str">
        <f t="shared" si="1"/>
        <v>২ পরে</v>
      </c>
    </row>
    <row r="7093">
      <c r="A7093" s="4">
        <v>5152.0</v>
      </c>
      <c r="B7093" s="2" t="s">
        <v>28777</v>
      </c>
      <c r="C7093" s="2" t="s">
        <v>28778</v>
      </c>
      <c r="D7093" s="2" t="s">
        <v>28779</v>
      </c>
      <c r="E7093" s="2" t="s">
        <v>28780</v>
      </c>
      <c r="F7093" s="2" t="b">
        <v>1</v>
      </c>
      <c r="G7093" s="2" t="b">
        <v>0</v>
      </c>
      <c r="H7093" s="2" t="s">
        <v>37</v>
      </c>
      <c r="I7093" s="2" t="s">
        <v>49</v>
      </c>
      <c r="J7093" s="2" t="s">
        <v>2442</v>
      </c>
      <c r="K7093" s="2" t="s">
        <v>495</v>
      </c>
      <c r="L7093" s="13" t="s">
        <v>496</v>
      </c>
      <c r="M7093" s="2" t="s">
        <v>26</v>
      </c>
      <c r="N7093" s="29"/>
      <c r="O7093" s="29"/>
      <c r="P7093" s="5" t="str">
        <f>IFERROR(__xludf.DUMMYFUNCTION("TEXTJOIN("" | "",TRUE,IF(OR(D7093="""",E7093="""",I7093="""",J7093="""",H7093=""""),""ফাঁকা ঘর"",""""),IF(AND(C7093&lt;&gt;"""",D7093&lt;&gt;"""",C7093=D7093),""gloss=figurative"",""""),IF(LEN(D7093)&lt;15,""figurative ছোট"",""""),IF(AND(I7093=""Positive"",REGEXMATCH(H7"&amp;"093,""মূর্খ|ভণ্ড|প্রতার|অলস|লোভ|স্বার্থ|অক্ষম|অযোগ্য|বোকা|কৃপণ|হিংস"")),""valence-target অমিল"",""""),IF(COUNTIF($B:$B,B7093)&gt;1,""ডুপ্লিকেট"",""""))"),"")</f>
        <v/>
      </c>
      <c r="Q7093" s="5" t="str">
        <f t="shared" si="1"/>
        <v>২ পরে</v>
      </c>
    </row>
    <row r="7094">
      <c r="A7094" s="4">
        <v>5154.0</v>
      </c>
      <c r="B7094" s="2" t="s">
        <v>28781</v>
      </c>
      <c r="C7094" s="2" t="s">
        <v>28782</v>
      </c>
      <c r="D7094" s="2" t="s">
        <v>28783</v>
      </c>
      <c r="E7094" s="2" t="s">
        <v>28784</v>
      </c>
      <c r="F7094" s="2" t="b">
        <v>1</v>
      </c>
      <c r="G7094" s="2" t="b">
        <v>0</v>
      </c>
      <c r="H7094" s="2" t="s">
        <v>37</v>
      </c>
      <c r="I7094" s="2" t="s">
        <v>22</v>
      </c>
      <c r="J7094" s="2" t="s">
        <v>3231</v>
      </c>
      <c r="K7094" s="2" t="s">
        <v>495</v>
      </c>
      <c r="L7094" s="13" t="s">
        <v>496</v>
      </c>
      <c r="M7094" s="2" t="s">
        <v>26</v>
      </c>
      <c r="N7094" s="29"/>
      <c r="O7094" s="29"/>
      <c r="P7094" s="5" t="str">
        <f>IFERROR(__xludf.DUMMYFUNCTION("TEXTJOIN("" | "",TRUE,IF(OR(D7094="""",E7094="""",I7094="""",J7094="""",H7094=""""),""ফাঁকা ঘর"",""""),IF(AND(C7094&lt;&gt;"""",D7094&lt;&gt;"""",C7094=D7094),""gloss=figurative"",""""),IF(LEN(D7094)&lt;15,""figurative ছোট"",""""),IF(AND(I7094=""Positive"",REGEXMATCH(H7"&amp;"094,""মূর্খ|ভণ্ড|প্রতার|অলস|লোভ|স্বার্থ|অক্ষম|অযোগ্য|বোকা|কৃপণ|হিংস"")),""valence-target অমিল"",""""),IF(COUNTIF($B:$B,B7094)&gt;1,""ডুপ্লিকেট"",""""))"),"")</f>
        <v/>
      </c>
      <c r="Q7094" s="5" t="str">
        <f t="shared" si="1"/>
        <v>২ পরে</v>
      </c>
    </row>
    <row r="7095">
      <c r="A7095" s="4">
        <v>5155.0</v>
      </c>
      <c r="B7095" s="2" t="s">
        <v>28785</v>
      </c>
      <c r="C7095" s="2" t="s">
        <v>28786</v>
      </c>
      <c r="D7095" s="2" t="s">
        <v>28787</v>
      </c>
      <c r="E7095" s="2" t="s">
        <v>28788</v>
      </c>
      <c r="F7095" s="2" t="b">
        <v>1</v>
      </c>
      <c r="G7095" s="2" t="b">
        <v>0</v>
      </c>
      <c r="H7095" s="2" t="s">
        <v>37</v>
      </c>
      <c r="I7095" s="2" t="s">
        <v>32</v>
      </c>
      <c r="J7095" s="2" t="s">
        <v>22541</v>
      </c>
      <c r="K7095" s="2" t="s">
        <v>495</v>
      </c>
      <c r="L7095" s="13" t="s">
        <v>496</v>
      </c>
      <c r="M7095" s="2" t="s">
        <v>26</v>
      </c>
      <c r="N7095" s="29"/>
      <c r="O7095" s="29"/>
      <c r="P7095" s="5" t="str">
        <f>IFERROR(__xludf.DUMMYFUNCTION("TEXTJOIN("" | "",TRUE,IF(OR(D7095="""",E7095="""",I7095="""",J7095="""",H7095=""""),""ফাঁকা ঘর"",""""),IF(AND(C7095&lt;&gt;"""",D7095&lt;&gt;"""",C7095=D7095),""gloss=figurative"",""""),IF(LEN(D7095)&lt;15,""figurative ছোট"",""""),IF(AND(I7095=""Positive"",REGEXMATCH(H7"&amp;"095,""মূর্খ|ভণ্ড|প্রতার|অলস|লোভ|স্বার্থ|অক্ষম|অযোগ্য|বোকা|কৃপণ|হিংস"")),""valence-target অমিল"",""""),IF(COUNTIF($B:$B,B7095)&gt;1,""ডুপ্লিকেট"",""""))"),"")</f>
        <v/>
      </c>
      <c r="Q7095" s="5" t="str">
        <f t="shared" si="1"/>
        <v>২ পরে</v>
      </c>
    </row>
    <row r="7096">
      <c r="A7096" s="4">
        <v>5156.0</v>
      </c>
      <c r="B7096" s="2" t="s">
        <v>28789</v>
      </c>
      <c r="C7096" s="2" t="s">
        <v>28790</v>
      </c>
      <c r="D7096" s="2" t="s">
        <v>28791</v>
      </c>
      <c r="E7096" s="2" t="s">
        <v>28792</v>
      </c>
      <c r="F7096" s="2" t="b">
        <v>1</v>
      </c>
      <c r="G7096" s="2" t="b">
        <v>0</v>
      </c>
      <c r="H7096" s="2" t="s">
        <v>37</v>
      </c>
      <c r="I7096" s="2" t="s">
        <v>32</v>
      </c>
      <c r="J7096" s="2" t="s">
        <v>22541</v>
      </c>
      <c r="K7096" s="2" t="s">
        <v>495</v>
      </c>
      <c r="L7096" s="13" t="s">
        <v>496</v>
      </c>
      <c r="M7096" s="2" t="s">
        <v>26</v>
      </c>
      <c r="N7096" s="29"/>
      <c r="O7096" s="29"/>
      <c r="P7096" s="5" t="str">
        <f>IFERROR(__xludf.DUMMYFUNCTION("TEXTJOIN("" | "",TRUE,IF(OR(D7096="""",E7096="""",I7096="""",J7096="""",H7096=""""),""ফাঁকা ঘর"",""""),IF(AND(C7096&lt;&gt;"""",D7096&lt;&gt;"""",C7096=D7096),""gloss=figurative"",""""),IF(LEN(D7096)&lt;15,""figurative ছোট"",""""),IF(AND(I7096=""Positive"",REGEXMATCH(H7"&amp;"096,""মূর্খ|ভণ্ড|প্রতার|অলস|লোভ|স্বার্থ|অক্ষম|অযোগ্য|বোকা|কৃপণ|হিংস"")),""valence-target অমিল"",""""),IF(COUNTIF($B:$B,B7096)&gt;1,""ডুপ্লিকেট"",""""))"),"")</f>
        <v/>
      </c>
      <c r="Q7096" s="5" t="str">
        <f t="shared" si="1"/>
        <v>২ পরে</v>
      </c>
    </row>
    <row r="7097">
      <c r="A7097" s="4">
        <v>5157.0</v>
      </c>
      <c r="B7097" s="2" t="s">
        <v>28793</v>
      </c>
      <c r="C7097" s="2" t="s">
        <v>28794</v>
      </c>
      <c r="D7097" s="2" t="s">
        <v>28795</v>
      </c>
      <c r="E7097" s="2" t="s">
        <v>28796</v>
      </c>
      <c r="F7097" s="2" t="b">
        <v>1</v>
      </c>
      <c r="G7097" s="2" t="b">
        <v>0</v>
      </c>
      <c r="H7097" s="2" t="s">
        <v>37</v>
      </c>
      <c r="I7097" s="2" t="s">
        <v>49</v>
      </c>
      <c r="J7097" s="2" t="s">
        <v>4924</v>
      </c>
      <c r="K7097" s="2" t="s">
        <v>495</v>
      </c>
      <c r="L7097" s="13" t="s">
        <v>496</v>
      </c>
      <c r="M7097" s="2" t="s">
        <v>26</v>
      </c>
      <c r="N7097" s="29"/>
      <c r="O7097" s="29"/>
      <c r="P7097" s="5" t="str">
        <f>IFERROR(__xludf.DUMMYFUNCTION("TEXTJOIN("" | "",TRUE,IF(OR(D7097="""",E7097="""",I7097="""",J7097="""",H7097=""""),""ফাঁকা ঘর"",""""),IF(AND(C7097&lt;&gt;"""",D7097&lt;&gt;"""",C7097=D7097),""gloss=figurative"",""""),IF(LEN(D7097)&lt;15,""figurative ছোট"",""""),IF(AND(I7097=""Positive"",REGEXMATCH(H7"&amp;"097,""মূর্খ|ভণ্ড|প্রতার|অলস|লোভ|স্বার্থ|অক্ষম|অযোগ্য|বোকা|কৃপণ|হিংস"")),""valence-target অমিল"",""""),IF(COUNTIF($B:$B,B7097)&gt;1,""ডুপ্লিকেট"",""""))"),"")</f>
        <v/>
      </c>
      <c r="Q7097" s="5" t="str">
        <f t="shared" si="1"/>
        <v>২ পরে</v>
      </c>
    </row>
    <row r="7098">
      <c r="A7098" s="4">
        <v>5159.0</v>
      </c>
      <c r="B7098" s="2" t="s">
        <v>28797</v>
      </c>
      <c r="C7098" s="2" t="s">
        <v>28798</v>
      </c>
      <c r="D7098" s="2" t="s">
        <v>28799</v>
      </c>
      <c r="E7098" s="2" t="s">
        <v>28800</v>
      </c>
      <c r="F7098" s="2" t="b">
        <v>1</v>
      </c>
      <c r="G7098" s="2" t="b">
        <v>0</v>
      </c>
      <c r="H7098" s="2" t="s">
        <v>1484</v>
      </c>
      <c r="I7098" s="2" t="s">
        <v>22</v>
      </c>
      <c r="J7098" s="2" t="s">
        <v>1013</v>
      </c>
      <c r="K7098" s="2" t="s">
        <v>495</v>
      </c>
      <c r="L7098" s="13" t="s">
        <v>496</v>
      </c>
      <c r="M7098" s="2" t="s">
        <v>26</v>
      </c>
      <c r="N7098" s="29"/>
      <c r="O7098" s="29"/>
      <c r="P7098" s="5" t="str">
        <f>IFERROR(__xludf.DUMMYFUNCTION("TEXTJOIN("" | "",TRUE,IF(OR(D7098="""",E7098="""",I7098="""",J7098="""",H7098=""""),""ফাঁকা ঘর"",""""),IF(AND(C7098&lt;&gt;"""",D7098&lt;&gt;"""",C7098=D7098),""gloss=figurative"",""""),IF(LEN(D7098)&lt;15,""figurative ছোট"",""""),IF(AND(I7098=""Positive"",REGEXMATCH(H7"&amp;"098,""মূর্খ|ভণ্ড|প্রতার|অলস|লোভ|স্বার্থ|অক্ষম|অযোগ্য|বোকা|কৃপণ|হিংস"")),""valence-target অমিল"",""""),IF(COUNTIF($B:$B,B7098)&gt;1,""ডুপ্লিকেট"",""""))"),"")</f>
        <v/>
      </c>
      <c r="Q7098" s="5" t="str">
        <f t="shared" si="1"/>
        <v>২ পরে</v>
      </c>
    </row>
    <row r="7099">
      <c r="A7099" s="4">
        <v>5160.0</v>
      </c>
      <c r="B7099" s="2" t="s">
        <v>28801</v>
      </c>
      <c r="C7099" s="2" t="s">
        <v>28802</v>
      </c>
      <c r="D7099" s="2" t="s">
        <v>28803</v>
      </c>
      <c r="E7099" s="2" t="s">
        <v>28804</v>
      </c>
      <c r="F7099" s="2" t="b">
        <v>1</v>
      </c>
      <c r="G7099" s="2" t="b">
        <v>0</v>
      </c>
      <c r="H7099" s="2" t="s">
        <v>1484</v>
      </c>
      <c r="I7099" s="2" t="s">
        <v>22</v>
      </c>
      <c r="J7099" s="2" t="s">
        <v>1013</v>
      </c>
      <c r="K7099" s="2" t="s">
        <v>495</v>
      </c>
      <c r="L7099" s="13" t="s">
        <v>496</v>
      </c>
      <c r="M7099" s="2" t="s">
        <v>26</v>
      </c>
      <c r="N7099" s="29"/>
      <c r="O7099" s="29"/>
      <c r="P7099" s="5" t="str">
        <f>IFERROR(__xludf.DUMMYFUNCTION("TEXTJOIN("" | "",TRUE,IF(OR(D7099="""",E7099="""",I7099="""",J7099="""",H7099=""""),""ফাঁকা ঘর"",""""),IF(AND(C7099&lt;&gt;"""",D7099&lt;&gt;"""",C7099=D7099),""gloss=figurative"",""""),IF(LEN(D7099)&lt;15,""figurative ছোট"",""""),IF(AND(I7099=""Positive"",REGEXMATCH(H7"&amp;"099,""মূর্খ|ভণ্ড|প্রতার|অলস|লোভ|স্বার্থ|অক্ষম|অযোগ্য|বোকা|কৃপণ|হিংস"")),""valence-target অমিল"",""""),IF(COUNTIF($B:$B,B7099)&gt;1,""ডুপ্লিকেট"",""""))"),"")</f>
        <v/>
      </c>
      <c r="Q7099" s="5" t="str">
        <f t="shared" si="1"/>
        <v>২ পরে</v>
      </c>
    </row>
    <row r="7100">
      <c r="A7100" s="4">
        <v>5161.0</v>
      </c>
      <c r="B7100" s="2" t="s">
        <v>28805</v>
      </c>
      <c r="C7100" s="2" t="s">
        <v>28805</v>
      </c>
      <c r="D7100" s="2" t="s">
        <v>28806</v>
      </c>
      <c r="E7100" s="2" t="s">
        <v>28807</v>
      </c>
      <c r="F7100" s="2" t="b">
        <v>1</v>
      </c>
      <c r="G7100" s="2" t="b">
        <v>0</v>
      </c>
      <c r="H7100" s="2" t="s">
        <v>1484</v>
      </c>
      <c r="I7100" s="2" t="s">
        <v>22</v>
      </c>
      <c r="J7100" s="2" t="s">
        <v>1013</v>
      </c>
      <c r="K7100" s="2" t="s">
        <v>495</v>
      </c>
      <c r="L7100" s="13" t="s">
        <v>496</v>
      </c>
      <c r="M7100" s="2" t="s">
        <v>26</v>
      </c>
      <c r="N7100" s="29"/>
      <c r="O7100" s="29"/>
      <c r="P7100" s="5" t="str">
        <f>IFERROR(__xludf.DUMMYFUNCTION("TEXTJOIN("" | "",TRUE,IF(OR(D7100="""",E7100="""",I7100="""",J7100="""",H7100=""""),""ফাঁকা ঘর"",""""),IF(AND(C7100&lt;&gt;"""",D7100&lt;&gt;"""",C7100=D7100),""gloss=figurative"",""""),IF(LEN(D7100)&lt;15,""figurative ছোট"",""""),IF(AND(I7100=""Positive"",REGEXMATCH(H7"&amp;"100,""মূর্খ|ভণ্ড|প্রতার|অলস|লোভ|স্বার্থ|অক্ষম|অযোগ্য|বোকা|কৃপণ|হিংস"")),""valence-target অমিল"",""""),IF(COUNTIF($B:$B,B7100)&gt;1,""ডুপ্লিকেট"",""""))"),"")</f>
        <v/>
      </c>
      <c r="Q7100" s="5" t="str">
        <f t="shared" si="1"/>
        <v>২ পরে</v>
      </c>
    </row>
    <row r="7101">
      <c r="A7101" s="4">
        <v>5162.0</v>
      </c>
      <c r="B7101" s="2" t="s">
        <v>28808</v>
      </c>
      <c r="C7101" s="2" t="s">
        <v>10777</v>
      </c>
      <c r="D7101" s="2" t="s">
        <v>28809</v>
      </c>
      <c r="E7101" s="2" t="s">
        <v>28810</v>
      </c>
      <c r="F7101" s="2" t="b">
        <v>1</v>
      </c>
      <c r="G7101" s="2" t="b">
        <v>0</v>
      </c>
      <c r="H7101" s="2" t="s">
        <v>37</v>
      </c>
      <c r="I7101" s="2" t="s">
        <v>22</v>
      </c>
      <c r="J7101" s="2" t="s">
        <v>1117</v>
      </c>
      <c r="K7101" s="2" t="s">
        <v>495</v>
      </c>
      <c r="L7101" s="13" t="s">
        <v>496</v>
      </c>
      <c r="M7101" s="2" t="s">
        <v>26</v>
      </c>
      <c r="N7101" s="29"/>
      <c r="O7101" s="29"/>
      <c r="P7101" s="5" t="str">
        <f>IFERROR(__xludf.DUMMYFUNCTION("TEXTJOIN("" | "",TRUE,IF(OR(D7101="""",E7101="""",I7101="""",J7101="""",H7101=""""),""ফাঁকা ঘর"",""""),IF(AND(C7101&lt;&gt;"""",D7101&lt;&gt;"""",C7101=D7101),""gloss=figurative"",""""),IF(LEN(D7101)&lt;15,""figurative ছোট"",""""),IF(AND(I7101=""Positive"",REGEXMATCH(H7"&amp;"101,""মূর্খ|ভণ্ড|প্রতার|অলস|লোভ|স্বার্থ|অক্ষম|অযোগ্য|বোকা|কৃপণ|হিংস"")),""valence-target অমিল"",""""),IF(COUNTIF($B:$B,B7101)&gt;1,""ডুপ্লিকেট"",""""))"),"")</f>
        <v/>
      </c>
      <c r="Q7101" s="5" t="str">
        <f t="shared" si="1"/>
        <v>২ পরে</v>
      </c>
    </row>
    <row r="7102">
      <c r="A7102" s="4">
        <v>5163.0</v>
      </c>
      <c r="B7102" s="2" t="s">
        <v>28811</v>
      </c>
      <c r="C7102" s="2" t="s">
        <v>28812</v>
      </c>
      <c r="D7102" s="2" t="s">
        <v>28813</v>
      </c>
      <c r="E7102" s="2" t="s">
        <v>28814</v>
      </c>
      <c r="F7102" s="2" t="b">
        <v>1</v>
      </c>
      <c r="G7102" s="2" t="b">
        <v>0</v>
      </c>
      <c r="H7102" s="2" t="s">
        <v>37</v>
      </c>
      <c r="I7102" s="2" t="s">
        <v>22</v>
      </c>
      <c r="J7102" s="2" t="s">
        <v>1117</v>
      </c>
      <c r="K7102" s="2" t="s">
        <v>495</v>
      </c>
      <c r="L7102" s="13" t="s">
        <v>496</v>
      </c>
      <c r="M7102" s="2" t="s">
        <v>26</v>
      </c>
      <c r="N7102" s="29"/>
      <c r="O7102" s="29"/>
      <c r="P7102" s="5" t="str">
        <f>IFERROR(__xludf.DUMMYFUNCTION("TEXTJOIN("" | "",TRUE,IF(OR(D7102="""",E7102="""",I7102="""",J7102="""",H7102=""""),""ফাঁকা ঘর"",""""),IF(AND(C7102&lt;&gt;"""",D7102&lt;&gt;"""",C7102=D7102),""gloss=figurative"",""""),IF(LEN(D7102)&lt;15,""figurative ছোট"",""""),IF(AND(I7102=""Positive"",REGEXMATCH(H7"&amp;"102,""মূর্খ|ভণ্ড|প্রতার|অলস|লোভ|স্বার্থ|অক্ষম|অযোগ্য|বোকা|কৃপণ|হিংস"")),""valence-target অমিল"",""""),IF(COUNTIF($B:$B,B7102)&gt;1,""ডুপ্লিকেট"",""""))"),"")</f>
        <v/>
      </c>
      <c r="Q7102" s="5" t="str">
        <f t="shared" si="1"/>
        <v>২ পরে</v>
      </c>
    </row>
    <row r="7103">
      <c r="A7103" s="4">
        <v>5164.0</v>
      </c>
      <c r="B7103" s="2" t="s">
        <v>28815</v>
      </c>
      <c r="C7103" s="2" t="s">
        <v>28816</v>
      </c>
      <c r="D7103" s="2" t="s">
        <v>28817</v>
      </c>
      <c r="E7103" s="2" t="s">
        <v>28818</v>
      </c>
      <c r="F7103" s="2" t="b">
        <v>1</v>
      </c>
      <c r="G7103" s="2" t="b">
        <v>0</v>
      </c>
      <c r="H7103" s="2" t="s">
        <v>37</v>
      </c>
      <c r="I7103" s="2" t="s">
        <v>22</v>
      </c>
      <c r="J7103" s="2" t="s">
        <v>1117</v>
      </c>
      <c r="K7103" s="2" t="s">
        <v>495</v>
      </c>
      <c r="L7103" s="13" t="s">
        <v>496</v>
      </c>
      <c r="M7103" s="2" t="s">
        <v>26</v>
      </c>
      <c r="N7103" s="29"/>
      <c r="O7103" s="29"/>
      <c r="P7103" s="5" t="str">
        <f>IFERROR(__xludf.DUMMYFUNCTION("TEXTJOIN("" | "",TRUE,IF(OR(D7103="""",E7103="""",I7103="""",J7103="""",H7103=""""),""ফাঁকা ঘর"",""""),IF(AND(C7103&lt;&gt;"""",D7103&lt;&gt;"""",C7103=D7103),""gloss=figurative"",""""),IF(LEN(D7103)&lt;15,""figurative ছোট"",""""),IF(AND(I7103=""Positive"",REGEXMATCH(H7"&amp;"103,""মূর্খ|ভণ্ড|প্রতার|অলস|লোভ|স্বার্থ|অক্ষম|অযোগ্য|বোকা|কৃপণ|হিংস"")),""valence-target অমিল"",""""),IF(COUNTIF($B:$B,B7103)&gt;1,""ডুপ্লিকেট"",""""))"),"")</f>
        <v/>
      </c>
      <c r="Q7103" s="5" t="str">
        <f t="shared" si="1"/>
        <v>২ পরে</v>
      </c>
    </row>
    <row r="7104">
      <c r="A7104" s="4">
        <v>5165.0</v>
      </c>
      <c r="B7104" s="2" t="s">
        <v>11118</v>
      </c>
      <c r="C7104" s="2" t="s">
        <v>11118</v>
      </c>
      <c r="D7104" s="2" t="s">
        <v>28819</v>
      </c>
      <c r="E7104" s="2" t="s">
        <v>28820</v>
      </c>
      <c r="F7104" s="2" t="b">
        <v>1</v>
      </c>
      <c r="G7104" s="2" t="b">
        <v>0</v>
      </c>
      <c r="H7104" s="2" t="s">
        <v>37</v>
      </c>
      <c r="I7104" s="2" t="s">
        <v>49</v>
      </c>
      <c r="J7104" s="2" t="s">
        <v>1679</v>
      </c>
      <c r="K7104" s="2" t="s">
        <v>495</v>
      </c>
      <c r="L7104" s="13" t="s">
        <v>496</v>
      </c>
      <c r="M7104" s="2" t="s">
        <v>26</v>
      </c>
      <c r="N7104" s="29"/>
      <c r="O7104" s="29"/>
      <c r="P7104" s="5" t="str">
        <f>IFERROR(__xludf.DUMMYFUNCTION("TEXTJOIN("" | "",TRUE,IF(OR(D7104="""",E7104="""",I7104="""",J7104="""",H7104=""""),""ফাঁকা ঘর"",""""),IF(AND(C7104&lt;&gt;"""",D7104&lt;&gt;"""",C7104=D7104),""gloss=figurative"",""""),IF(LEN(D7104)&lt;15,""figurative ছোট"",""""),IF(AND(I7104=""Positive"",REGEXMATCH(H7"&amp;"104,""মূর্খ|ভণ্ড|প্রতার|অলস|লোভ|স্বার্থ|অক্ষম|অযোগ্য|বোকা|কৃপণ|হিংস"")),""valence-target অমিল"",""""),IF(COUNTIF($B:$B,B7104)&gt;1,""ডুপ্লিকেট"",""""))"),"")</f>
        <v/>
      </c>
      <c r="Q7104" s="5" t="str">
        <f t="shared" si="1"/>
        <v>২ পরে</v>
      </c>
    </row>
    <row r="7105">
      <c r="A7105" s="4">
        <v>5166.0</v>
      </c>
      <c r="B7105" s="2" t="s">
        <v>28821</v>
      </c>
      <c r="C7105" s="2" t="s">
        <v>28822</v>
      </c>
      <c r="D7105" s="2" t="s">
        <v>28823</v>
      </c>
      <c r="E7105" s="2" t="s">
        <v>28824</v>
      </c>
      <c r="F7105" s="2" t="b">
        <v>1</v>
      </c>
      <c r="G7105" s="2" t="b">
        <v>0</v>
      </c>
      <c r="H7105" s="2" t="s">
        <v>37</v>
      </c>
      <c r="I7105" s="2" t="s">
        <v>49</v>
      </c>
      <c r="J7105" s="2" t="s">
        <v>762</v>
      </c>
      <c r="K7105" s="2" t="s">
        <v>495</v>
      </c>
      <c r="L7105" s="13" t="s">
        <v>496</v>
      </c>
      <c r="M7105" s="2" t="s">
        <v>26</v>
      </c>
      <c r="N7105" s="29"/>
      <c r="O7105" s="29"/>
      <c r="P7105" s="5" t="str">
        <f>IFERROR(__xludf.DUMMYFUNCTION("TEXTJOIN("" | "",TRUE,IF(OR(D7105="""",E7105="""",I7105="""",J7105="""",H7105=""""),""ফাঁকা ঘর"",""""),IF(AND(C7105&lt;&gt;"""",D7105&lt;&gt;"""",C7105=D7105),""gloss=figurative"",""""),IF(LEN(D7105)&lt;15,""figurative ছোট"",""""),IF(AND(I7105=""Positive"",REGEXMATCH(H7"&amp;"105,""মূর্খ|ভণ্ড|প্রতার|অলস|লোভ|স্বার্থ|অক্ষম|অযোগ্য|বোকা|কৃপণ|হিংস"")),""valence-target অমিল"",""""),IF(COUNTIF($B:$B,B7105)&gt;1,""ডুপ্লিকেট"",""""))"),"")</f>
        <v/>
      </c>
      <c r="Q7105" s="5" t="str">
        <f t="shared" si="1"/>
        <v>২ পরে</v>
      </c>
    </row>
    <row r="7106">
      <c r="A7106" s="4">
        <v>5168.0</v>
      </c>
      <c r="B7106" s="2" t="s">
        <v>28825</v>
      </c>
      <c r="C7106" s="2" t="s">
        <v>28826</v>
      </c>
      <c r="D7106" s="2" t="s">
        <v>28827</v>
      </c>
      <c r="E7106" s="2" t="s">
        <v>28828</v>
      </c>
      <c r="F7106" s="2" t="b">
        <v>1</v>
      </c>
      <c r="G7106" s="2" t="b">
        <v>0</v>
      </c>
      <c r="H7106" s="2" t="s">
        <v>37</v>
      </c>
      <c r="I7106" s="2" t="s">
        <v>49</v>
      </c>
      <c r="J7106" s="2" t="s">
        <v>669</v>
      </c>
      <c r="K7106" s="2" t="s">
        <v>495</v>
      </c>
      <c r="L7106" s="13" t="s">
        <v>496</v>
      </c>
      <c r="M7106" s="2" t="s">
        <v>26</v>
      </c>
      <c r="N7106" s="29"/>
      <c r="O7106" s="29"/>
      <c r="P7106" s="5" t="str">
        <f>IFERROR(__xludf.DUMMYFUNCTION("TEXTJOIN("" | "",TRUE,IF(OR(D7106="""",E7106="""",I7106="""",J7106="""",H7106=""""),""ফাঁকা ঘর"",""""),IF(AND(C7106&lt;&gt;"""",D7106&lt;&gt;"""",C7106=D7106),""gloss=figurative"",""""),IF(LEN(D7106)&lt;15,""figurative ছোট"",""""),IF(AND(I7106=""Positive"",REGEXMATCH(H7"&amp;"106,""মূর্খ|ভণ্ড|প্রতার|অলস|লোভ|স্বার্থ|অক্ষম|অযোগ্য|বোকা|কৃপণ|হিংস"")),""valence-target অমিল"",""""),IF(COUNTIF($B:$B,B7106)&gt;1,""ডুপ্লিকেট"",""""))"),"")</f>
        <v/>
      </c>
      <c r="Q7106" s="5" t="str">
        <f t="shared" si="1"/>
        <v>২ পরে</v>
      </c>
    </row>
    <row r="7107">
      <c r="A7107" s="4">
        <v>5170.0</v>
      </c>
      <c r="B7107" s="2" t="s">
        <v>28829</v>
      </c>
      <c r="C7107" s="2" t="s">
        <v>28830</v>
      </c>
      <c r="D7107" s="2" t="s">
        <v>28831</v>
      </c>
      <c r="E7107" s="2" t="s">
        <v>28832</v>
      </c>
      <c r="F7107" s="2" t="b">
        <v>1</v>
      </c>
      <c r="G7107" s="2" t="b">
        <v>0</v>
      </c>
      <c r="H7107" s="2" t="s">
        <v>37</v>
      </c>
      <c r="I7107" s="2" t="s">
        <v>32</v>
      </c>
      <c r="J7107" s="2" t="s">
        <v>19911</v>
      </c>
      <c r="K7107" s="2" t="s">
        <v>495</v>
      </c>
      <c r="L7107" s="13" t="s">
        <v>496</v>
      </c>
      <c r="M7107" s="2" t="s">
        <v>26</v>
      </c>
      <c r="N7107" s="29"/>
      <c r="O7107" s="29"/>
      <c r="P7107" s="5" t="str">
        <f>IFERROR(__xludf.DUMMYFUNCTION("TEXTJOIN("" | "",TRUE,IF(OR(D7107="""",E7107="""",I7107="""",J7107="""",H7107=""""),""ফাঁকা ঘর"",""""),IF(AND(C7107&lt;&gt;"""",D7107&lt;&gt;"""",C7107=D7107),""gloss=figurative"",""""),IF(LEN(D7107)&lt;15,""figurative ছোট"",""""),IF(AND(I7107=""Positive"",REGEXMATCH(H7"&amp;"107,""মূর্খ|ভণ্ড|প্রতার|অলস|লোভ|স্বার্থ|অক্ষম|অযোগ্য|বোকা|কৃপণ|হিংস"")),""valence-target অমিল"",""""),IF(COUNTIF($B:$B,B7107)&gt;1,""ডুপ্লিকেট"",""""))"),"")</f>
        <v/>
      </c>
      <c r="Q7107" s="5" t="str">
        <f t="shared" si="1"/>
        <v>২ পরে</v>
      </c>
    </row>
    <row r="7108">
      <c r="A7108" s="4">
        <v>5171.0</v>
      </c>
      <c r="B7108" s="2" t="s">
        <v>28833</v>
      </c>
      <c r="C7108" s="2" t="s">
        <v>28833</v>
      </c>
      <c r="D7108" s="2" t="s">
        <v>28834</v>
      </c>
      <c r="E7108" s="2" t="s">
        <v>28835</v>
      </c>
      <c r="F7108" s="2" t="b">
        <v>1</v>
      </c>
      <c r="G7108" s="2" t="b">
        <v>0</v>
      </c>
      <c r="H7108" s="2" t="s">
        <v>37</v>
      </c>
      <c r="I7108" s="2" t="s">
        <v>49</v>
      </c>
      <c r="J7108" s="2" t="s">
        <v>5524</v>
      </c>
      <c r="K7108" s="2" t="s">
        <v>495</v>
      </c>
      <c r="L7108" s="13" t="s">
        <v>496</v>
      </c>
      <c r="M7108" s="2" t="s">
        <v>26</v>
      </c>
      <c r="N7108" s="29"/>
      <c r="O7108" s="29"/>
      <c r="P7108" s="5" t="str">
        <f>IFERROR(__xludf.DUMMYFUNCTION("TEXTJOIN("" | "",TRUE,IF(OR(D7108="""",E7108="""",I7108="""",J7108="""",H7108=""""),""ফাঁকা ঘর"",""""),IF(AND(C7108&lt;&gt;"""",D7108&lt;&gt;"""",C7108=D7108),""gloss=figurative"",""""),IF(LEN(D7108)&lt;15,""figurative ছোট"",""""),IF(AND(I7108=""Positive"",REGEXMATCH(H7"&amp;"108,""মূর্খ|ভণ্ড|প্রতার|অলস|লোভ|স্বার্থ|অক্ষম|অযোগ্য|বোকা|কৃপণ|হিংস"")),""valence-target অমিল"",""""),IF(COUNTIF($B:$B,B7108)&gt;1,""ডুপ্লিকেট"",""""))"),"")</f>
        <v/>
      </c>
      <c r="Q7108" s="5" t="str">
        <f t="shared" si="1"/>
        <v>২ পরে</v>
      </c>
    </row>
    <row r="7109">
      <c r="A7109" s="4">
        <v>5172.0</v>
      </c>
      <c r="B7109" s="2" t="s">
        <v>28836</v>
      </c>
      <c r="C7109" s="2" t="s">
        <v>28837</v>
      </c>
      <c r="D7109" s="2" t="s">
        <v>28838</v>
      </c>
      <c r="E7109" s="2" t="s">
        <v>28839</v>
      </c>
      <c r="F7109" s="2" t="b">
        <v>1</v>
      </c>
      <c r="G7109" s="2" t="b">
        <v>0</v>
      </c>
      <c r="H7109" s="2" t="s">
        <v>37</v>
      </c>
      <c r="I7109" s="2" t="s">
        <v>32</v>
      </c>
      <c r="J7109" s="2" t="s">
        <v>436</v>
      </c>
      <c r="K7109" s="2" t="s">
        <v>495</v>
      </c>
      <c r="L7109" s="13" t="s">
        <v>496</v>
      </c>
      <c r="M7109" s="2" t="s">
        <v>26</v>
      </c>
      <c r="N7109" s="29"/>
      <c r="O7109" s="29"/>
      <c r="P7109" s="5" t="str">
        <f>IFERROR(__xludf.DUMMYFUNCTION("TEXTJOIN("" | "",TRUE,IF(OR(D7109="""",E7109="""",I7109="""",J7109="""",H7109=""""),""ফাঁকা ঘর"",""""),IF(AND(C7109&lt;&gt;"""",D7109&lt;&gt;"""",C7109=D7109),""gloss=figurative"",""""),IF(LEN(D7109)&lt;15,""figurative ছোট"",""""),IF(AND(I7109=""Positive"",REGEXMATCH(H7"&amp;"109,""মূর্খ|ভণ্ড|প্রতার|অলস|লোভ|স্বার্থ|অক্ষম|অযোগ্য|বোকা|কৃপণ|হিংস"")),""valence-target অমিল"",""""),IF(COUNTIF($B:$B,B7109)&gt;1,""ডুপ্লিকেট"",""""))"),"")</f>
        <v/>
      </c>
      <c r="Q7109" s="5" t="str">
        <f t="shared" si="1"/>
        <v>২ পরে</v>
      </c>
    </row>
    <row r="7110">
      <c r="A7110" s="4">
        <v>5173.0</v>
      </c>
      <c r="B7110" s="2" t="s">
        <v>28840</v>
      </c>
      <c r="C7110" s="2" t="s">
        <v>28841</v>
      </c>
      <c r="D7110" s="2" t="s">
        <v>28842</v>
      </c>
      <c r="E7110" s="2" t="s">
        <v>28843</v>
      </c>
      <c r="F7110" s="2" t="b">
        <v>1</v>
      </c>
      <c r="G7110" s="2" t="b">
        <v>0</v>
      </c>
      <c r="H7110" s="2" t="s">
        <v>37</v>
      </c>
      <c r="I7110" s="2" t="s">
        <v>22</v>
      </c>
      <c r="J7110" s="2" t="s">
        <v>947</v>
      </c>
      <c r="K7110" s="2" t="s">
        <v>495</v>
      </c>
      <c r="L7110" s="13" t="s">
        <v>496</v>
      </c>
      <c r="M7110" s="2" t="s">
        <v>26</v>
      </c>
      <c r="N7110" s="29"/>
      <c r="O7110" s="29"/>
      <c r="P7110" s="5" t="str">
        <f>IFERROR(__xludf.DUMMYFUNCTION("TEXTJOIN("" | "",TRUE,IF(OR(D7110="""",E7110="""",I7110="""",J7110="""",H7110=""""),""ফাঁকা ঘর"",""""),IF(AND(C7110&lt;&gt;"""",D7110&lt;&gt;"""",C7110=D7110),""gloss=figurative"",""""),IF(LEN(D7110)&lt;15,""figurative ছোট"",""""),IF(AND(I7110=""Positive"",REGEXMATCH(H7"&amp;"110,""মূর্খ|ভণ্ড|প্রতার|অলস|লোভ|স্বার্থ|অক্ষম|অযোগ্য|বোকা|কৃপণ|হিংস"")),""valence-target অমিল"",""""),IF(COUNTIF($B:$B,B7110)&gt;1,""ডুপ্লিকেট"",""""))"),"")</f>
        <v/>
      </c>
      <c r="Q7110" s="5" t="str">
        <f t="shared" si="1"/>
        <v>২ পরে</v>
      </c>
    </row>
    <row r="7111">
      <c r="A7111" s="4">
        <v>5174.0</v>
      </c>
      <c r="B7111" s="2" t="s">
        <v>28844</v>
      </c>
      <c r="C7111" s="2" t="s">
        <v>28845</v>
      </c>
      <c r="D7111" s="2" t="s">
        <v>28297</v>
      </c>
      <c r="E7111" s="2" t="s">
        <v>28298</v>
      </c>
      <c r="F7111" s="2" t="b">
        <v>1</v>
      </c>
      <c r="G7111" s="2" t="b">
        <v>0</v>
      </c>
      <c r="H7111" s="2" t="s">
        <v>37</v>
      </c>
      <c r="I7111" s="2" t="s">
        <v>22</v>
      </c>
      <c r="J7111" s="2" t="s">
        <v>2540</v>
      </c>
      <c r="K7111" s="2" t="s">
        <v>495</v>
      </c>
      <c r="L7111" s="13" t="s">
        <v>496</v>
      </c>
      <c r="M7111" s="2" t="s">
        <v>26</v>
      </c>
      <c r="N7111" s="29"/>
      <c r="O7111" s="29"/>
      <c r="P7111" s="5" t="str">
        <f>IFERROR(__xludf.DUMMYFUNCTION("TEXTJOIN("" | "",TRUE,IF(OR(D7111="""",E7111="""",I7111="""",J7111="""",H7111=""""),""ফাঁকা ঘর"",""""),IF(AND(C7111&lt;&gt;"""",D7111&lt;&gt;"""",C7111=D7111),""gloss=figurative"",""""),IF(LEN(D7111)&lt;15,""figurative ছোট"",""""),IF(AND(I7111=""Positive"",REGEXMATCH(H7"&amp;"111,""মূর্খ|ভণ্ড|প্রতার|অলস|লোভ|স্বার্থ|অক্ষম|অযোগ্য|বোকা|কৃপণ|হিংস"")),""valence-target অমিল"",""""),IF(COUNTIF($B:$B,B7111)&gt;1,""ডুপ্লিকেট"",""""))"),"")</f>
        <v/>
      </c>
      <c r="Q7111" s="5" t="str">
        <f t="shared" si="1"/>
        <v>২ পরে</v>
      </c>
    </row>
    <row r="7112">
      <c r="A7112" s="4">
        <v>5175.0</v>
      </c>
      <c r="B7112" s="2" t="s">
        <v>28846</v>
      </c>
      <c r="C7112" s="2" t="s">
        <v>28847</v>
      </c>
      <c r="D7112" s="2" t="s">
        <v>28848</v>
      </c>
      <c r="E7112" s="2" t="s">
        <v>28849</v>
      </c>
      <c r="F7112" s="2" t="b">
        <v>1</v>
      </c>
      <c r="G7112" s="2" t="b">
        <v>0</v>
      </c>
      <c r="H7112" s="2" t="s">
        <v>37</v>
      </c>
      <c r="I7112" s="2" t="s">
        <v>32</v>
      </c>
      <c r="J7112" s="2" t="s">
        <v>176</v>
      </c>
      <c r="K7112" s="2" t="s">
        <v>495</v>
      </c>
      <c r="L7112" s="13" t="s">
        <v>496</v>
      </c>
      <c r="M7112" s="2" t="s">
        <v>26</v>
      </c>
      <c r="N7112" s="29"/>
      <c r="O7112" s="29"/>
      <c r="P7112" s="5" t="str">
        <f>IFERROR(__xludf.DUMMYFUNCTION("TEXTJOIN("" | "",TRUE,IF(OR(D7112="""",E7112="""",I7112="""",J7112="""",H7112=""""),""ফাঁকা ঘর"",""""),IF(AND(C7112&lt;&gt;"""",D7112&lt;&gt;"""",C7112=D7112),""gloss=figurative"",""""),IF(LEN(D7112)&lt;15,""figurative ছোট"",""""),IF(AND(I7112=""Positive"",REGEXMATCH(H7"&amp;"112,""মূর্খ|ভণ্ড|প্রতার|অলস|লোভ|স্বার্থ|অক্ষম|অযোগ্য|বোকা|কৃপণ|হিংস"")),""valence-target অমিল"",""""),IF(COUNTIF($B:$B,B7112)&gt;1,""ডুপ্লিকেট"",""""))"),"")</f>
        <v/>
      </c>
      <c r="Q7112" s="5" t="str">
        <f t="shared" si="1"/>
        <v>২ পরে</v>
      </c>
    </row>
    <row r="7113">
      <c r="A7113" s="4">
        <v>5178.0</v>
      </c>
      <c r="B7113" s="2" t="s">
        <v>28850</v>
      </c>
      <c r="C7113" s="2" t="s">
        <v>28851</v>
      </c>
      <c r="D7113" s="2" t="s">
        <v>28852</v>
      </c>
      <c r="E7113" s="2" t="s">
        <v>28853</v>
      </c>
      <c r="F7113" s="2" t="b">
        <v>1</v>
      </c>
      <c r="G7113" s="2" t="b">
        <v>0</v>
      </c>
      <c r="H7113" s="2" t="s">
        <v>37</v>
      </c>
      <c r="I7113" s="2" t="s">
        <v>32</v>
      </c>
      <c r="J7113" s="2" t="s">
        <v>565</v>
      </c>
      <c r="K7113" s="2" t="s">
        <v>495</v>
      </c>
      <c r="L7113" s="13" t="s">
        <v>496</v>
      </c>
      <c r="M7113" s="2" t="s">
        <v>26</v>
      </c>
      <c r="N7113" s="29"/>
      <c r="O7113" s="29"/>
      <c r="P7113" s="5" t="str">
        <f>IFERROR(__xludf.DUMMYFUNCTION("TEXTJOIN("" | "",TRUE,IF(OR(D7113="""",E7113="""",I7113="""",J7113="""",H7113=""""),""ফাঁকা ঘর"",""""),IF(AND(C7113&lt;&gt;"""",D7113&lt;&gt;"""",C7113=D7113),""gloss=figurative"",""""),IF(LEN(D7113)&lt;15,""figurative ছোট"",""""),IF(AND(I7113=""Positive"",REGEXMATCH(H7"&amp;"113,""মূর্খ|ভণ্ড|প্রতার|অলস|লোভ|স্বার্থ|অক্ষম|অযোগ্য|বোকা|কৃপণ|হিংস"")),""valence-target অমিল"",""""),IF(COUNTIF($B:$B,B7113)&gt;1,""ডুপ্লিকেট"",""""))"),"")</f>
        <v/>
      </c>
      <c r="Q7113" s="5" t="str">
        <f t="shared" si="1"/>
        <v>২ পরে</v>
      </c>
    </row>
    <row r="7114">
      <c r="A7114" s="4">
        <v>5181.0</v>
      </c>
      <c r="B7114" s="2" t="s">
        <v>28854</v>
      </c>
      <c r="C7114" s="2" t="s">
        <v>28855</v>
      </c>
      <c r="D7114" s="2" t="s">
        <v>28856</v>
      </c>
      <c r="E7114" s="2" t="s">
        <v>28857</v>
      </c>
      <c r="F7114" s="2" t="b">
        <v>1</v>
      </c>
      <c r="G7114" s="2" t="b">
        <v>0</v>
      </c>
      <c r="H7114" s="2" t="s">
        <v>756</v>
      </c>
      <c r="I7114" s="2" t="s">
        <v>22</v>
      </c>
      <c r="J7114" s="2" t="s">
        <v>1700</v>
      </c>
      <c r="K7114" s="2" t="s">
        <v>495</v>
      </c>
      <c r="L7114" s="13" t="s">
        <v>496</v>
      </c>
      <c r="M7114" s="2" t="s">
        <v>26</v>
      </c>
      <c r="N7114" s="29"/>
      <c r="O7114" s="29"/>
      <c r="P7114" s="5" t="str">
        <f>IFERROR(__xludf.DUMMYFUNCTION("TEXTJOIN("" | "",TRUE,IF(OR(D7114="""",E7114="""",I7114="""",J7114="""",H7114=""""),""ফাঁকা ঘর"",""""),IF(AND(C7114&lt;&gt;"""",D7114&lt;&gt;"""",C7114=D7114),""gloss=figurative"",""""),IF(LEN(D7114)&lt;15,""figurative ছোট"",""""),IF(AND(I7114=""Positive"",REGEXMATCH(H7"&amp;"114,""মূর্খ|ভণ্ড|প্রতার|অলস|লোভ|স্বার্থ|অক্ষম|অযোগ্য|বোকা|কৃপণ|হিংস"")),""valence-target অমিল"",""""),IF(COUNTIF($B:$B,B7114)&gt;1,""ডুপ্লিকেট"",""""))"),"")</f>
        <v/>
      </c>
      <c r="Q7114" s="5" t="str">
        <f t="shared" si="1"/>
        <v>২ পরে</v>
      </c>
    </row>
    <row r="7115">
      <c r="A7115" s="4">
        <v>5182.0</v>
      </c>
      <c r="B7115" s="2" t="s">
        <v>28858</v>
      </c>
      <c r="C7115" s="2" t="s">
        <v>28859</v>
      </c>
      <c r="D7115" s="2" t="s">
        <v>28860</v>
      </c>
      <c r="E7115" s="2" t="s">
        <v>28861</v>
      </c>
      <c r="F7115" s="2" t="b">
        <v>1</v>
      </c>
      <c r="G7115" s="2" t="b">
        <v>0</v>
      </c>
      <c r="H7115" s="2" t="s">
        <v>1629</v>
      </c>
      <c r="I7115" s="2" t="s">
        <v>49</v>
      </c>
      <c r="J7115" s="2" t="s">
        <v>7526</v>
      </c>
      <c r="K7115" s="2" t="s">
        <v>495</v>
      </c>
      <c r="L7115" s="13" t="s">
        <v>496</v>
      </c>
      <c r="M7115" s="2" t="s">
        <v>26</v>
      </c>
      <c r="N7115" s="29"/>
      <c r="O7115" s="29"/>
      <c r="P7115" s="5" t="str">
        <f>IFERROR(__xludf.DUMMYFUNCTION("TEXTJOIN("" | "",TRUE,IF(OR(D7115="""",E7115="""",I7115="""",J7115="""",H7115=""""),""ফাঁকা ঘর"",""""),IF(AND(C7115&lt;&gt;"""",D7115&lt;&gt;"""",C7115=D7115),""gloss=figurative"",""""),IF(LEN(D7115)&lt;15,""figurative ছোট"",""""),IF(AND(I7115=""Positive"",REGEXMATCH(H7"&amp;"115,""মূর্খ|ভণ্ড|প্রতার|অলস|লোভ|স্বার্থ|অক্ষম|অযোগ্য|বোকা|কৃপণ|হিংস"")),""valence-target অমিল"",""""),IF(COUNTIF($B:$B,B7115)&gt;1,""ডুপ্লিকেট"",""""))"),"")</f>
        <v/>
      </c>
      <c r="Q7115" s="5" t="str">
        <f t="shared" si="1"/>
        <v>২ পরে</v>
      </c>
    </row>
    <row r="7116">
      <c r="A7116" s="4">
        <v>5183.0</v>
      </c>
      <c r="B7116" s="2" t="s">
        <v>28862</v>
      </c>
      <c r="C7116" s="2" t="s">
        <v>28863</v>
      </c>
      <c r="D7116" s="2" t="s">
        <v>28864</v>
      </c>
      <c r="E7116" s="2" t="s">
        <v>28865</v>
      </c>
      <c r="F7116" s="2" t="b">
        <v>1</v>
      </c>
      <c r="G7116" s="2" t="b">
        <v>1</v>
      </c>
      <c r="H7116" s="2" t="s">
        <v>1982</v>
      </c>
      <c r="I7116" s="2" t="s">
        <v>22</v>
      </c>
      <c r="J7116" s="2" t="s">
        <v>836</v>
      </c>
      <c r="K7116" s="2" t="s">
        <v>495</v>
      </c>
      <c r="L7116" s="13" t="s">
        <v>496</v>
      </c>
      <c r="M7116" s="2" t="s">
        <v>26</v>
      </c>
      <c r="N7116" s="29"/>
      <c r="O7116" s="29"/>
      <c r="P7116" s="5" t="str">
        <f>IFERROR(__xludf.DUMMYFUNCTION("TEXTJOIN("" | "",TRUE,IF(OR(D7116="""",E7116="""",I7116="""",J7116="""",H7116=""""),""ফাঁকা ঘর"",""""),IF(AND(C7116&lt;&gt;"""",D7116&lt;&gt;"""",C7116=D7116),""gloss=figurative"",""""),IF(LEN(D7116)&lt;15,""figurative ছোট"",""""),IF(AND(I7116=""Positive"",REGEXMATCH(H7"&amp;"116,""মূর্খ|ভণ্ড|প্রতার|অলস|লোভ|স্বার্থ|অক্ষম|অযোগ্য|বোকা|কৃপণ|হিংস"")),""valence-target অমিল"",""""),IF(COUNTIF($B:$B,B7116)&gt;1,""ডুপ্লিকেট"",""""))"),"")</f>
        <v/>
      </c>
      <c r="Q7116" s="5" t="str">
        <f t="shared" si="1"/>
        <v>২ পরে</v>
      </c>
    </row>
    <row r="7117">
      <c r="A7117" s="4">
        <v>5184.0</v>
      </c>
      <c r="B7117" s="2" t="s">
        <v>28866</v>
      </c>
      <c r="C7117" s="2" t="s">
        <v>28867</v>
      </c>
      <c r="D7117" s="2" t="s">
        <v>28868</v>
      </c>
      <c r="E7117" s="2" t="s">
        <v>28869</v>
      </c>
      <c r="F7117" s="2" t="b">
        <v>1</v>
      </c>
      <c r="G7117" s="2" t="b">
        <v>0</v>
      </c>
      <c r="H7117" s="2" t="s">
        <v>37</v>
      </c>
      <c r="I7117" s="2" t="s">
        <v>32</v>
      </c>
      <c r="J7117" s="2" t="s">
        <v>4711</v>
      </c>
      <c r="K7117" s="2" t="s">
        <v>495</v>
      </c>
      <c r="L7117" s="13" t="s">
        <v>496</v>
      </c>
      <c r="M7117" s="2" t="s">
        <v>26</v>
      </c>
      <c r="N7117" s="29"/>
      <c r="O7117" s="29"/>
      <c r="P7117" s="5" t="str">
        <f>IFERROR(__xludf.DUMMYFUNCTION("TEXTJOIN("" | "",TRUE,IF(OR(D7117="""",E7117="""",I7117="""",J7117="""",H7117=""""),""ফাঁকা ঘর"",""""),IF(AND(C7117&lt;&gt;"""",D7117&lt;&gt;"""",C7117=D7117),""gloss=figurative"",""""),IF(LEN(D7117)&lt;15,""figurative ছোট"",""""),IF(AND(I7117=""Positive"",REGEXMATCH(H7"&amp;"117,""মূর্খ|ভণ্ড|প্রতার|অলস|লোভ|স্বার্থ|অক্ষম|অযোগ্য|বোকা|কৃপণ|হিংস"")),""valence-target অমিল"",""""),IF(COUNTIF($B:$B,B7117)&gt;1,""ডুপ্লিকেট"",""""))"),"")</f>
        <v/>
      </c>
      <c r="Q7117" s="5" t="str">
        <f t="shared" si="1"/>
        <v>২ পরে</v>
      </c>
    </row>
    <row r="7118">
      <c r="A7118" s="4">
        <v>5185.0</v>
      </c>
      <c r="B7118" s="2" t="s">
        <v>28870</v>
      </c>
      <c r="C7118" s="2" t="s">
        <v>28871</v>
      </c>
      <c r="D7118" s="2" t="s">
        <v>28872</v>
      </c>
      <c r="E7118" s="2" t="s">
        <v>28873</v>
      </c>
      <c r="F7118" s="2" t="b">
        <v>1</v>
      </c>
      <c r="G7118" s="2" t="b">
        <v>0</v>
      </c>
      <c r="H7118" s="2" t="s">
        <v>37</v>
      </c>
      <c r="I7118" s="2" t="s">
        <v>22</v>
      </c>
      <c r="J7118" s="2" t="s">
        <v>3105</v>
      </c>
      <c r="K7118" s="2" t="s">
        <v>495</v>
      </c>
      <c r="L7118" s="13" t="s">
        <v>496</v>
      </c>
      <c r="M7118" s="2" t="s">
        <v>26</v>
      </c>
      <c r="N7118" s="29"/>
      <c r="O7118" s="29"/>
      <c r="P7118" s="5" t="str">
        <f>IFERROR(__xludf.DUMMYFUNCTION("TEXTJOIN("" | "",TRUE,IF(OR(D7118="""",E7118="""",I7118="""",J7118="""",H7118=""""),""ফাঁকা ঘর"",""""),IF(AND(C7118&lt;&gt;"""",D7118&lt;&gt;"""",C7118=D7118),""gloss=figurative"",""""),IF(LEN(D7118)&lt;15,""figurative ছোট"",""""),IF(AND(I7118=""Positive"",REGEXMATCH(H7"&amp;"118,""মূর্খ|ভণ্ড|প্রতার|অলস|লোভ|স্বার্থ|অক্ষম|অযোগ্য|বোকা|কৃপণ|হিংস"")),""valence-target অমিল"",""""),IF(COUNTIF($B:$B,B7118)&gt;1,""ডুপ্লিকেট"",""""))"),"")</f>
        <v/>
      </c>
      <c r="Q7118" s="5" t="str">
        <f t="shared" si="1"/>
        <v>২ পরে</v>
      </c>
    </row>
    <row r="7119">
      <c r="A7119" s="4">
        <v>5186.0</v>
      </c>
      <c r="B7119" s="2" t="s">
        <v>28874</v>
      </c>
      <c r="C7119" s="2" t="s">
        <v>28875</v>
      </c>
      <c r="D7119" s="2" t="s">
        <v>28876</v>
      </c>
      <c r="E7119" s="2" t="s">
        <v>28877</v>
      </c>
      <c r="F7119" s="2" t="b">
        <v>1</v>
      </c>
      <c r="G7119" s="2" t="b">
        <v>0</v>
      </c>
      <c r="H7119" s="2" t="s">
        <v>1284</v>
      </c>
      <c r="I7119" s="2" t="s">
        <v>32</v>
      </c>
      <c r="J7119" s="2" t="s">
        <v>1679</v>
      </c>
      <c r="K7119" s="2" t="s">
        <v>495</v>
      </c>
      <c r="L7119" s="13" t="s">
        <v>496</v>
      </c>
      <c r="M7119" s="2" t="s">
        <v>26</v>
      </c>
      <c r="N7119" s="29"/>
      <c r="O7119" s="29"/>
      <c r="P7119" s="5" t="str">
        <f>IFERROR(__xludf.DUMMYFUNCTION("TEXTJOIN("" | "",TRUE,IF(OR(D7119="""",E7119="""",I7119="""",J7119="""",H7119=""""),""ফাঁকা ঘর"",""""),IF(AND(C7119&lt;&gt;"""",D7119&lt;&gt;"""",C7119=D7119),""gloss=figurative"",""""),IF(LEN(D7119)&lt;15,""figurative ছোট"",""""),IF(AND(I7119=""Positive"",REGEXMATCH(H7"&amp;"119,""মূর্খ|ভণ্ড|প্রতার|অলস|লোভ|স্বার্থ|অক্ষম|অযোগ্য|বোকা|কৃপণ|হিংস"")),""valence-target অমিল"",""""),IF(COUNTIF($B:$B,B7119)&gt;1,""ডুপ্লিকেট"",""""))"),"")</f>
        <v/>
      </c>
      <c r="Q7119" s="5" t="str">
        <f t="shared" si="1"/>
        <v>২ পরে</v>
      </c>
    </row>
    <row r="7120">
      <c r="A7120" s="4">
        <v>5187.0</v>
      </c>
      <c r="B7120" s="2" t="s">
        <v>28878</v>
      </c>
      <c r="C7120" s="2" t="s">
        <v>28878</v>
      </c>
      <c r="D7120" s="2" t="s">
        <v>28879</v>
      </c>
      <c r="E7120" s="2" t="s">
        <v>28880</v>
      </c>
      <c r="F7120" s="2" t="b">
        <v>1</v>
      </c>
      <c r="G7120" s="2" t="b">
        <v>0</v>
      </c>
      <c r="H7120" s="2" t="s">
        <v>37</v>
      </c>
      <c r="I7120" s="2" t="s">
        <v>22</v>
      </c>
      <c r="J7120" s="2" t="s">
        <v>4112</v>
      </c>
      <c r="K7120" s="2" t="s">
        <v>495</v>
      </c>
      <c r="L7120" s="13" t="s">
        <v>496</v>
      </c>
      <c r="M7120" s="2" t="s">
        <v>26</v>
      </c>
      <c r="N7120" s="29"/>
      <c r="O7120" s="29"/>
      <c r="P7120" s="5" t="str">
        <f>IFERROR(__xludf.DUMMYFUNCTION("TEXTJOIN("" | "",TRUE,IF(OR(D7120="""",E7120="""",I7120="""",J7120="""",H7120=""""),""ফাঁকা ঘর"",""""),IF(AND(C7120&lt;&gt;"""",D7120&lt;&gt;"""",C7120=D7120),""gloss=figurative"",""""),IF(LEN(D7120)&lt;15,""figurative ছোট"",""""),IF(AND(I7120=""Positive"",REGEXMATCH(H7"&amp;"120,""মূর্খ|ভণ্ড|প্রতার|অলস|লোভ|স্বার্থ|অক্ষম|অযোগ্য|বোকা|কৃপণ|হিংস"")),""valence-target অমিল"",""""),IF(COUNTIF($B:$B,B7120)&gt;1,""ডুপ্লিকেট"",""""))"),"")</f>
        <v/>
      </c>
      <c r="Q7120" s="5" t="str">
        <f t="shared" si="1"/>
        <v>২ পরে</v>
      </c>
    </row>
    <row r="7121">
      <c r="A7121" s="4">
        <v>5189.0</v>
      </c>
      <c r="B7121" s="2" t="s">
        <v>28881</v>
      </c>
      <c r="C7121" s="2" t="s">
        <v>28882</v>
      </c>
      <c r="D7121" s="2" t="s">
        <v>28883</v>
      </c>
      <c r="E7121" s="2" t="s">
        <v>28884</v>
      </c>
      <c r="F7121" s="2" t="b">
        <v>1</v>
      </c>
      <c r="G7121" s="2" t="b">
        <v>0</v>
      </c>
      <c r="H7121" s="2" t="s">
        <v>37</v>
      </c>
      <c r="I7121" s="2" t="s">
        <v>49</v>
      </c>
      <c r="J7121" s="2" t="s">
        <v>1784</v>
      </c>
      <c r="K7121" s="2" t="s">
        <v>495</v>
      </c>
      <c r="L7121" s="13" t="s">
        <v>496</v>
      </c>
      <c r="M7121" s="2" t="s">
        <v>26</v>
      </c>
      <c r="N7121" s="29"/>
      <c r="O7121" s="29"/>
      <c r="P7121" s="5" t="str">
        <f>IFERROR(__xludf.DUMMYFUNCTION("TEXTJOIN("" | "",TRUE,IF(OR(D7121="""",E7121="""",I7121="""",J7121="""",H7121=""""),""ফাঁকা ঘর"",""""),IF(AND(C7121&lt;&gt;"""",D7121&lt;&gt;"""",C7121=D7121),""gloss=figurative"",""""),IF(LEN(D7121)&lt;15,""figurative ছোট"",""""),IF(AND(I7121=""Positive"",REGEXMATCH(H7"&amp;"121,""মূর্খ|ভণ্ড|প্রতার|অলস|লোভ|স্বার্থ|অক্ষম|অযোগ্য|বোকা|কৃপণ|হিংস"")),""valence-target অমিল"",""""),IF(COUNTIF($B:$B,B7121)&gt;1,""ডুপ্লিকেট"",""""))"),"")</f>
        <v/>
      </c>
      <c r="Q7121" s="5" t="str">
        <f t="shared" si="1"/>
        <v>২ পরে</v>
      </c>
    </row>
    <row r="7122">
      <c r="A7122" s="4">
        <v>5190.0</v>
      </c>
      <c r="B7122" s="2" t="s">
        <v>28885</v>
      </c>
      <c r="C7122" s="2" t="s">
        <v>28885</v>
      </c>
      <c r="D7122" s="2" t="s">
        <v>28886</v>
      </c>
      <c r="E7122" s="2" t="s">
        <v>28887</v>
      </c>
      <c r="F7122" s="2" t="b">
        <v>1</v>
      </c>
      <c r="G7122" s="2" t="b">
        <v>0</v>
      </c>
      <c r="H7122" s="2" t="s">
        <v>37</v>
      </c>
      <c r="I7122" s="2" t="s">
        <v>32</v>
      </c>
      <c r="J7122" s="2" t="s">
        <v>28888</v>
      </c>
      <c r="K7122" s="2" t="s">
        <v>495</v>
      </c>
      <c r="L7122" s="13" t="s">
        <v>496</v>
      </c>
      <c r="M7122" s="2" t="s">
        <v>26</v>
      </c>
      <c r="N7122" s="29"/>
      <c r="O7122" s="29"/>
      <c r="P7122" s="5" t="str">
        <f>IFERROR(__xludf.DUMMYFUNCTION("TEXTJOIN("" | "",TRUE,IF(OR(D7122="""",E7122="""",I7122="""",J7122="""",H7122=""""),""ফাঁকা ঘর"",""""),IF(AND(C7122&lt;&gt;"""",D7122&lt;&gt;"""",C7122=D7122),""gloss=figurative"",""""),IF(LEN(D7122)&lt;15,""figurative ছোট"",""""),IF(AND(I7122=""Positive"",REGEXMATCH(H7"&amp;"122,""মূর্খ|ভণ্ড|প্রতার|অলস|লোভ|স্বার্থ|অক্ষম|অযোগ্য|বোকা|কৃপণ|হিংস"")),""valence-target অমিল"",""""),IF(COUNTIF($B:$B,B7122)&gt;1,""ডুপ্লিকেট"",""""))"),"")</f>
        <v/>
      </c>
      <c r="Q7122" s="5" t="str">
        <f t="shared" si="1"/>
        <v>২ পরে</v>
      </c>
    </row>
    <row r="7123">
      <c r="A7123" s="4">
        <v>5191.0</v>
      </c>
      <c r="B7123" s="2" t="s">
        <v>28889</v>
      </c>
      <c r="C7123" s="2" t="s">
        <v>28890</v>
      </c>
      <c r="D7123" s="2" t="s">
        <v>28891</v>
      </c>
      <c r="E7123" s="2" t="s">
        <v>28892</v>
      </c>
      <c r="F7123" s="2" t="b">
        <v>1</v>
      </c>
      <c r="G7123" s="2" t="b">
        <v>0</v>
      </c>
      <c r="H7123" s="2" t="s">
        <v>2078</v>
      </c>
      <c r="I7123" s="2" t="s">
        <v>22</v>
      </c>
      <c r="J7123" s="2" t="s">
        <v>739</v>
      </c>
      <c r="K7123" s="2" t="s">
        <v>495</v>
      </c>
      <c r="L7123" s="13" t="s">
        <v>496</v>
      </c>
      <c r="M7123" s="2" t="s">
        <v>26</v>
      </c>
      <c r="N7123" s="29"/>
      <c r="O7123" s="29"/>
      <c r="P7123" s="5" t="str">
        <f>IFERROR(__xludf.DUMMYFUNCTION("TEXTJOIN("" | "",TRUE,IF(OR(D7123="""",E7123="""",I7123="""",J7123="""",H7123=""""),""ফাঁকা ঘর"",""""),IF(AND(C7123&lt;&gt;"""",D7123&lt;&gt;"""",C7123=D7123),""gloss=figurative"",""""),IF(LEN(D7123)&lt;15,""figurative ছোট"",""""),IF(AND(I7123=""Positive"",REGEXMATCH(H7"&amp;"123,""মূর্খ|ভণ্ড|প্রতার|অলস|লোভ|স্বার্থ|অক্ষম|অযোগ্য|বোকা|কৃপণ|হিংস"")),""valence-target অমিল"",""""),IF(COUNTIF($B:$B,B7123)&gt;1,""ডুপ্লিকেট"",""""))"),"")</f>
        <v/>
      </c>
      <c r="Q7123" s="5" t="str">
        <f t="shared" si="1"/>
        <v>২ পরে</v>
      </c>
    </row>
    <row r="7124">
      <c r="A7124" s="4">
        <v>5194.0</v>
      </c>
      <c r="B7124" s="2" t="s">
        <v>28893</v>
      </c>
      <c r="C7124" s="2" t="s">
        <v>28894</v>
      </c>
      <c r="D7124" s="2" t="s">
        <v>28895</v>
      </c>
      <c r="E7124" s="2" t="s">
        <v>28896</v>
      </c>
      <c r="F7124" s="2" t="b">
        <v>1</v>
      </c>
      <c r="G7124" s="2" t="b">
        <v>0</v>
      </c>
      <c r="H7124" s="2" t="s">
        <v>37</v>
      </c>
      <c r="I7124" s="2" t="s">
        <v>22</v>
      </c>
      <c r="J7124" s="2" t="s">
        <v>25240</v>
      </c>
      <c r="K7124" s="2" t="s">
        <v>495</v>
      </c>
      <c r="L7124" s="13" t="s">
        <v>496</v>
      </c>
      <c r="M7124" s="2" t="s">
        <v>26</v>
      </c>
      <c r="N7124" s="29"/>
      <c r="O7124" s="29"/>
      <c r="P7124" s="5" t="str">
        <f>IFERROR(__xludf.DUMMYFUNCTION("TEXTJOIN("" | "",TRUE,IF(OR(D7124="""",E7124="""",I7124="""",J7124="""",H7124=""""),""ফাঁকা ঘর"",""""),IF(AND(C7124&lt;&gt;"""",D7124&lt;&gt;"""",C7124=D7124),""gloss=figurative"",""""),IF(LEN(D7124)&lt;15,""figurative ছোট"",""""),IF(AND(I7124=""Positive"",REGEXMATCH(H7"&amp;"124,""মূর্খ|ভণ্ড|প্রতার|অলস|লোভ|স্বার্থ|অক্ষম|অযোগ্য|বোকা|কৃপণ|হিংস"")),""valence-target অমিল"",""""),IF(COUNTIF($B:$B,B7124)&gt;1,""ডুপ্লিকেট"",""""))"),"")</f>
        <v/>
      </c>
      <c r="Q7124" s="5" t="str">
        <f t="shared" si="1"/>
        <v>২ পরে</v>
      </c>
    </row>
    <row r="7125">
      <c r="A7125" s="4">
        <v>5195.0</v>
      </c>
      <c r="B7125" s="2" t="s">
        <v>28897</v>
      </c>
      <c r="C7125" s="2" t="s">
        <v>28898</v>
      </c>
      <c r="D7125" s="2" t="s">
        <v>28899</v>
      </c>
      <c r="E7125" s="2" t="s">
        <v>28900</v>
      </c>
      <c r="F7125" s="2" t="b">
        <v>1</v>
      </c>
      <c r="G7125" s="2" t="b">
        <v>0</v>
      </c>
      <c r="H7125" s="2" t="s">
        <v>37</v>
      </c>
      <c r="I7125" s="2" t="s">
        <v>22</v>
      </c>
      <c r="J7125" s="2" t="s">
        <v>3127</v>
      </c>
      <c r="K7125" s="2" t="s">
        <v>495</v>
      </c>
      <c r="L7125" s="13" t="s">
        <v>496</v>
      </c>
      <c r="M7125" s="2" t="s">
        <v>26</v>
      </c>
      <c r="N7125" s="29"/>
      <c r="O7125" s="29"/>
      <c r="P7125" s="5" t="str">
        <f>IFERROR(__xludf.DUMMYFUNCTION("TEXTJOIN("" | "",TRUE,IF(OR(D7125="""",E7125="""",I7125="""",J7125="""",H7125=""""),""ফাঁকা ঘর"",""""),IF(AND(C7125&lt;&gt;"""",D7125&lt;&gt;"""",C7125=D7125),""gloss=figurative"",""""),IF(LEN(D7125)&lt;15,""figurative ছোট"",""""),IF(AND(I7125=""Positive"",REGEXMATCH(H7"&amp;"125,""মূর্খ|ভণ্ড|প্রতার|অলস|লোভ|স্বার্থ|অক্ষম|অযোগ্য|বোকা|কৃপণ|হিংস"")),""valence-target অমিল"",""""),IF(COUNTIF($B:$B,B7125)&gt;1,""ডুপ্লিকেট"",""""))"),"")</f>
        <v/>
      </c>
      <c r="Q7125" s="5" t="str">
        <f t="shared" si="1"/>
        <v>২ পরে</v>
      </c>
    </row>
    <row r="7126">
      <c r="A7126" s="4">
        <v>5196.0</v>
      </c>
      <c r="B7126" s="2" t="s">
        <v>28901</v>
      </c>
      <c r="C7126" s="2" t="s">
        <v>28902</v>
      </c>
      <c r="D7126" s="2" t="s">
        <v>21410</v>
      </c>
      <c r="E7126" s="2" t="s">
        <v>28903</v>
      </c>
      <c r="F7126" s="2" t="b">
        <v>1</v>
      </c>
      <c r="G7126" s="2" t="b">
        <v>0</v>
      </c>
      <c r="H7126" s="2" t="s">
        <v>37</v>
      </c>
      <c r="I7126" s="2" t="s">
        <v>22</v>
      </c>
      <c r="J7126" s="2" t="s">
        <v>669</v>
      </c>
      <c r="K7126" s="2" t="s">
        <v>495</v>
      </c>
      <c r="L7126" s="13" t="s">
        <v>496</v>
      </c>
      <c r="M7126" s="2" t="s">
        <v>26</v>
      </c>
      <c r="N7126" s="29"/>
      <c r="O7126" s="29"/>
      <c r="P7126" s="5" t="str">
        <f>IFERROR(__xludf.DUMMYFUNCTION("TEXTJOIN("" | "",TRUE,IF(OR(D7126="""",E7126="""",I7126="""",J7126="""",H7126=""""),""ফাঁকা ঘর"",""""),IF(AND(C7126&lt;&gt;"""",D7126&lt;&gt;"""",C7126=D7126),""gloss=figurative"",""""),IF(LEN(D7126)&lt;15,""figurative ছোট"",""""),IF(AND(I7126=""Positive"",REGEXMATCH(H7"&amp;"126,""মূর্খ|ভণ্ড|প্রতার|অলস|লোভ|স্বার্থ|অক্ষম|অযোগ্য|বোকা|কৃপণ|হিংস"")),""valence-target অমিল"",""""),IF(COUNTIF($B:$B,B7126)&gt;1,""ডুপ্লিকেট"",""""))"),"")</f>
        <v/>
      </c>
      <c r="Q7126" s="5" t="str">
        <f t="shared" si="1"/>
        <v>২ পরে</v>
      </c>
    </row>
    <row r="7127">
      <c r="A7127" s="4">
        <v>5197.0</v>
      </c>
      <c r="B7127" s="2" t="s">
        <v>28904</v>
      </c>
      <c r="C7127" s="2" t="s">
        <v>28904</v>
      </c>
      <c r="D7127" s="2" t="s">
        <v>28905</v>
      </c>
      <c r="E7127" s="2" t="s">
        <v>28906</v>
      </c>
      <c r="F7127" s="2" t="b">
        <v>1</v>
      </c>
      <c r="G7127" s="2" t="b">
        <v>0</v>
      </c>
      <c r="H7127" s="2" t="s">
        <v>37</v>
      </c>
      <c r="I7127" s="2" t="s">
        <v>49</v>
      </c>
      <c r="J7127" s="2" t="s">
        <v>868</v>
      </c>
      <c r="K7127" s="2" t="s">
        <v>495</v>
      </c>
      <c r="L7127" s="13" t="s">
        <v>496</v>
      </c>
      <c r="M7127" s="2" t="s">
        <v>26</v>
      </c>
      <c r="N7127" s="29"/>
      <c r="O7127" s="29"/>
      <c r="P7127" s="5" t="str">
        <f>IFERROR(__xludf.DUMMYFUNCTION("TEXTJOIN("" | "",TRUE,IF(OR(D7127="""",E7127="""",I7127="""",J7127="""",H7127=""""),""ফাঁকা ঘর"",""""),IF(AND(C7127&lt;&gt;"""",D7127&lt;&gt;"""",C7127=D7127),""gloss=figurative"",""""),IF(LEN(D7127)&lt;15,""figurative ছোট"",""""),IF(AND(I7127=""Positive"",REGEXMATCH(H7"&amp;"127,""মূর্খ|ভণ্ড|প্রতার|অলস|লোভ|স্বার্থ|অক্ষম|অযোগ্য|বোকা|কৃপণ|হিংস"")),""valence-target অমিল"",""""),IF(COUNTIF($B:$B,B7127)&gt;1,""ডুপ্লিকেট"",""""))"),"")</f>
        <v/>
      </c>
      <c r="Q7127" s="5" t="str">
        <f t="shared" si="1"/>
        <v>২ পরে</v>
      </c>
    </row>
    <row r="7128">
      <c r="A7128" s="4">
        <v>5199.0</v>
      </c>
      <c r="B7128" s="2" t="s">
        <v>28907</v>
      </c>
      <c r="C7128" s="2" t="s">
        <v>28908</v>
      </c>
      <c r="D7128" s="2" t="s">
        <v>28909</v>
      </c>
      <c r="E7128" s="2" t="s">
        <v>28910</v>
      </c>
      <c r="F7128" s="2" t="b">
        <v>1</v>
      </c>
      <c r="G7128" s="2" t="b">
        <v>0</v>
      </c>
      <c r="H7128" s="2" t="s">
        <v>37</v>
      </c>
      <c r="I7128" s="2" t="s">
        <v>22</v>
      </c>
      <c r="J7128" s="2" t="s">
        <v>1656</v>
      </c>
      <c r="K7128" s="2" t="s">
        <v>495</v>
      </c>
      <c r="L7128" s="13" t="s">
        <v>496</v>
      </c>
      <c r="M7128" s="2" t="s">
        <v>26</v>
      </c>
      <c r="N7128" s="29"/>
      <c r="O7128" s="29"/>
      <c r="P7128" s="5" t="str">
        <f>IFERROR(__xludf.DUMMYFUNCTION("TEXTJOIN("" | "",TRUE,IF(OR(D7128="""",E7128="""",I7128="""",J7128="""",H7128=""""),""ফাঁকা ঘর"",""""),IF(AND(C7128&lt;&gt;"""",D7128&lt;&gt;"""",C7128=D7128),""gloss=figurative"",""""),IF(LEN(D7128)&lt;15,""figurative ছোট"",""""),IF(AND(I7128=""Positive"",REGEXMATCH(H7"&amp;"128,""মূর্খ|ভণ্ড|প্রতার|অলস|লোভ|স্বার্থ|অক্ষম|অযোগ্য|বোকা|কৃপণ|হিংস"")),""valence-target অমিল"",""""),IF(COUNTIF($B:$B,B7128)&gt;1,""ডুপ্লিকেট"",""""))"),"")</f>
        <v/>
      </c>
      <c r="Q7128" s="5" t="str">
        <f t="shared" si="1"/>
        <v>২ পরে</v>
      </c>
    </row>
    <row r="7129">
      <c r="A7129" s="4">
        <v>5200.0</v>
      </c>
      <c r="B7129" s="2" t="s">
        <v>28911</v>
      </c>
      <c r="C7129" s="2" t="s">
        <v>28911</v>
      </c>
      <c r="D7129" s="2" t="s">
        <v>28912</v>
      </c>
      <c r="E7129" s="2" t="s">
        <v>28913</v>
      </c>
      <c r="F7129" s="2" t="b">
        <v>1</v>
      </c>
      <c r="G7129" s="2" t="b">
        <v>0</v>
      </c>
      <c r="H7129" s="2" t="s">
        <v>37</v>
      </c>
      <c r="I7129" s="2" t="s">
        <v>49</v>
      </c>
      <c r="J7129" s="2" t="s">
        <v>26333</v>
      </c>
      <c r="K7129" s="2" t="s">
        <v>495</v>
      </c>
      <c r="L7129" s="13" t="s">
        <v>496</v>
      </c>
      <c r="M7129" s="2" t="s">
        <v>26</v>
      </c>
      <c r="N7129" s="29"/>
      <c r="O7129" s="29"/>
      <c r="P7129" s="5" t="str">
        <f>IFERROR(__xludf.DUMMYFUNCTION("TEXTJOIN("" | "",TRUE,IF(OR(D7129="""",E7129="""",I7129="""",J7129="""",H7129=""""),""ফাঁকা ঘর"",""""),IF(AND(C7129&lt;&gt;"""",D7129&lt;&gt;"""",C7129=D7129),""gloss=figurative"",""""),IF(LEN(D7129)&lt;15,""figurative ছোট"",""""),IF(AND(I7129=""Positive"",REGEXMATCH(H7"&amp;"129,""মূর্খ|ভণ্ড|প্রতার|অলস|লোভ|স্বার্থ|অক্ষম|অযোগ্য|বোকা|কৃপণ|হিংস"")),""valence-target অমিল"",""""),IF(COUNTIF($B:$B,B7129)&gt;1,""ডুপ্লিকেট"",""""))"),"")</f>
        <v/>
      </c>
      <c r="Q7129" s="5" t="str">
        <f t="shared" si="1"/>
        <v>২ পরে</v>
      </c>
    </row>
    <row r="7130">
      <c r="A7130" s="4">
        <v>5202.0</v>
      </c>
      <c r="B7130" s="2" t="s">
        <v>28914</v>
      </c>
      <c r="C7130" s="2" t="s">
        <v>28915</v>
      </c>
      <c r="D7130" s="2" t="s">
        <v>28916</v>
      </c>
      <c r="E7130" s="2" t="s">
        <v>28917</v>
      </c>
      <c r="F7130" s="2" t="b">
        <v>1</v>
      </c>
      <c r="G7130" s="2" t="b">
        <v>0</v>
      </c>
      <c r="H7130" s="2" t="s">
        <v>37</v>
      </c>
      <c r="I7130" s="2" t="s">
        <v>22</v>
      </c>
      <c r="J7130" s="2" t="s">
        <v>665</v>
      </c>
      <c r="K7130" s="2" t="s">
        <v>495</v>
      </c>
      <c r="L7130" s="13" t="s">
        <v>496</v>
      </c>
      <c r="M7130" s="2" t="s">
        <v>26</v>
      </c>
      <c r="N7130" s="29"/>
      <c r="O7130" s="29"/>
      <c r="P7130" s="5" t="str">
        <f>IFERROR(__xludf.DUMMYFUNCTION("TEXTJOIN("" | "",TRUE,IF(OR(D7130="""",E7130="""",I7130="""",J7130="""",H7130=""""),""ফাঁকা ঘর"",""""),IF(AND(C7130&lt;&gt;"""",D7130&lt;&gt;"""",C7130=D7130),""gloss=figurative"",""""),IF(LEN(D7130)&lt;15,""figurative ছোট"",""""),IF(AND(I7130=""Positive"",REGEXMATCH(H7"&amp;"130,""মূর্খ|ভণ্ড|প্রতার|অলস|লোভ|স্বার্থ|অক্ষম|অযোগ্য|বোকা|কৃপণ|হিংস"")),""valence-target অমিল"",""""),IF(COUNTIF($B:$B,B7130)&gt;1,""ডুপ্লিকেট"",""""))"),"")</f>
        <v/>
      </c>
      <c r="Q7130" s="5" t="str">
        <f t="shared" si="1"/>
        <v>২ পরে</v>
      </c>
    </row>
    <row r="7131">
      <c r="A7131" s="4">
        <v>5204.0</v>
      </c>
      <c r="B7131" s="2" t="s">
        <v>28918</v>
      </c>
      <c r="C7131" s="2" t="s">
        <v>28919</v>
      </c>
      <c r="D7131" s="2" t="s">
        <v>28920</v>
      </c>
      <c r="E7131" s="2" t="s">
        <v>28921</v>
      </c>
      <c r="F7131" s="2" t="b">
        <v>1</v>
      </c>
      <c r="G7131" s="2" t="b">
        <v>1</v>
      </c>
      <c r="H7131" s="2" t="s">
        <v>1106</v>
      </c>
      <c r="I7131" s="2" t="s">
        <v>22</v>
      </c>
      <c r="J7131" s="2" t="s">
        <v>1315</v>
      </c>
      <c r="K7131" s="2" t="s">
        <v>495</v>
      </c>
      <c r="L7131" s="13" t="s">
        <v>496</v>
      </c>
      <c r="M7131" s="2" t="s">
        <v>26</v>
      </c>
      <c r="N7131" s="29"/>
      <c r="O7131" s="29"/>
      <c r="P7131" s="5" t="str">
        <f>IFERROR(__xludf.DUMMYFUNCTION("TEXTJOIN("" | "",TRUE,IF(OR(D7131="""",E7131="""",I7131="""",J7131="""",H7131=""""),""ফাঁকা ঘর"",""""),IF(AND(C7131&lt;&gt;"""",D7131&lt;&gt;"""",C7131=D7131),""gloss=figurative"",""""),IF(LEN(D7131)&lt;15,""figurative ছোট"",""""),IF(AND(I7131=""Positive"",REGEXMATCH(H7"&amp;"131,""মূর্খ|ভণ্ড|প্রতার|অলস|লোভ|স্বার্থ|অক্ষম|অযোগ্য|বোকা|কৃপণ|হিংস"")),""valence-target অমিল"",""""),IF(COUNTIF($B:$B,B7131)&gt;1,""ডুপ্লিকেট"",""""))"),"")</f>
        <v/>
      </c>
      <c r="Q7131" s="5" t="str">
        <f t="shared" si="1"/>
        <v>২ পরে</v>
      </c>
    </row>
    <row r="7132">
      <c r="A7132" s="4">
        <v>5205.0</v>
      </c>
      <c r="B7132" s="2" t="s">
        <v>28922</v>
      </c>
      <c r="C7132" s="2" t="s">
        <v>28923</v>
      </c>
      <c r="D7132" s="2" t="s">
        <v>28924</v>
      </c>
      <c r="E7132" s="2" t="s">
        <v>28925</v>
      </c>
      <c r="F7132" s="2" t="b">
        <v>1</v>
      </c>
      <c r="G7132" s="2" t="b">
        <v>0</v>
      </c>
      <c r="H7132" s="2" t="s">
        <v>37</v>
      </c>
      <c r="I7132" s="2" t="s">
        <v>32</v>
      </c>
      <c r="J7132" s="2" t="s">
        <v>2440</v>
      </c>
      <c r="K7132" s="2" t="s">
        <v>495</v>
      </c>
      <c r="L7132" s="13" t="s">
        <v>496</v>
      </c>
      <c r="M7132" s="2" t="s">
        <v>26</v>
      </c>
      <c r="N7132" s="29"/>
      <c r="O7132" s="29"/>
      <c r="P7132" s="5" t="str">
        <f>IFERROR(__xludf.DUMMYFUNCTION("TEXTJOIN("" | "",TRUE,IF(OR(D7132="""",E7132="""",I7132="""",J7132="""",H7132=""""),""ফাঁকা ঘর"",""""),IF(AND(C7132&lt;&gt;"""",D7132&lt;&gt;"""",C7132=D7132),""gloss=figurative"",""""),IF(LEN(D7132)&lt;15,""figurative ছোট"",""""),IF(AND(I7132=""Positive"",REGEXMATCH(H7"&amp;"132,""মূর্খ|ভণ্ড|প্রতার|অলস|লোভ|স্বার্থ|অক্ষম|অযোগ্য|বোকা|কৃপণ|হিংস"")),""valence-target অমিল"",""""),IF(COUNTIF($B:$B,B7132)&gt;1,""ডুপ্লিকেট"",""""))"),"")</f>
        <v/>
      </c>
      <c r="Q7132" s="5" t="str">
        <f t="shared" si="1"/>
        <v>২ পরে</v>
      </c>
    </row>
    <row r="7133">
      <c r="A7133" s="4">
        <v>5206.0</v>
      </c>
      <c r="B7133" s="2" t="s">
        <v>28926</v>
      </c>
      <c r="C7133" s="2" t="s">
        <v>28927</v>
      </c>
      <c r="D7133" s="2" t="s">
        <v>28928</v>
      </c>
      <c r="E7133" s="2" t="s">
        <v>28929</v>
      </c>
      <c r="F7133" s="2" t="b">
        <v>1</v>
      </c>
      <c r="G7133" s="2" t="b">
        <v>0</v>
      </c>
      <c r="H7133" s="2" t="s">
        <v>37</v>
      </c>
      <c r="I7133" s="2" t="s">
        <v>32</v>
      </c>
      <c r="J7133" s="2" t="s">
        <v>2440</v>
      </c>
      <c r="K7133" s="2" t="s">
        <v>495</v>
      </c>
      <c r="L7133" s="13" t="s">
        <v>496</v>
      </c>
      <c r="M7133" s="2" t="s">
        <v>26</v>
      </c>
      <c r="N7133" s="29"/>
      <c r="O7133" s="29"/>
      <c r="P7133" s="5" t="str">
        <f>IFERROR(__xludf.DUMMYFUNCTION("TEXTJOIN("" | "",TRUE,IF(OR(D7133="""",E7133="""",I7133="""",J7133="""",H7133=""""),""ফাঁকা ঘর"",""""),IF(AND(C7133&lt;&gt;"""",D7133&lt;&gt;"""",C7133=D7133),""gloss=figurative"",""""),IF(LEN(D7133)&lt;15,""figurative ছোট"",""""),IF(AND(I7133=""Positive"",REGEXMATCH(H7"&amp;"133,""মূর্খ|ভণ্ড|প্রতার|অলস|লোভ|স্বার্থ|অক্ষম|অযোগ্য|বোকা|কৃপণ|হিংস"")),""valence-target অমিল"",""""),IF(COUNTIF($B:$B,B7133)&gt;1,""ডুপ্লিকেট"",""""))"),"")</f>
        <v/>
      </c>
      <c r="Q7133" s="5" t="str">
        <f t="shared" si="1"/>
        <v>২ পরে</v>
      </c>
    </row>
    <row r="7134">
      <c r="A7134" s="4">
        <v>5207.0</v>
      </c>
      <c r="B7134" s="2" t="s">
        <v>28930</v>
      </c>
      <c r="C7134" s="2" t="s">
        <v>28931</v>
      </c>
      <c r="D7134" s="2" t="s">
        <v>28932</v>
      </c>
      <c r="E7134" s="2" t="s">
        <v>28933</v>
      </c>
      <c r="F7134" s="2" t="b">
        <v>1</v>
      </c>
      <c r="G7134" s="2" t="b">
        <v>0</v>
      </c>
      <c r="H7134" s="2" t="s">
        <v>37</v>
      </c>
      <c r="I7134" s="2" t="s">
        <v>32</v>
      </c>
      <c r="J7134" s="2" t="s">
        <v>2440</v>
      </c>
      <c r="K7134" s="2" t="s">
        <v>495</v>
      </c>
      <c r="L7134" s="13" t="s">
        <v>496</v>
      </c>
      <c r="M7134" s="2" t="s">
        <v>26</v>
      </c>
      <c r="N7134" s="29"/>
      <c r="O7134" s="29"/>
      <c r="P7134" s="5" t="str">
        <f>IFERROR(__xludf.DUMMYFUNCTION("TEXTJOIN("" | "",TRUE,IF(OR(D7134="""",E7134="""",I7134="""",J7134="""",H7134=""""),""ফাঁকা ঘর"",""""),IF(AND(C7134&lt;&gt;"""",D7134&lt;&gt;"""",C7134=D7134),""gloss=figurative"",""""),IF(LEN(D7134)&lt;15,""figurative ছোট"",""""),IF(AND(I7134=""Positive"",REGEXMATCH(H7"&amp;"134,""মূর্খ|ভণ্ড|প্রতার|অলস|লোভ|স্বার্থ|অক্ষম|অযোগ্য|বোকা|কৃপণ|হিংস"")),""valence-target অমিল"",""""),IF(COUNTIF($B:$B,B7134)&gt;1,""ডুপ্লিকেট"",""""))"),"")</f>
        <v/>
      </c>
      <c r="Q7134" s="5" t="str">
        <f t="shared" si="1"/>
        <v>২ পরে</v>
      </c>
    </row>
    <row r="7135">
      <c r="A7135" s="4">
        <v>5208.0</v>
      </c>
      <c r="B7135" s="2" t="s">
        <v>28934</v>
      </c>
      <c r="C7135" s="2" t="s">
        <v>28935</v>
      </c>
      <c r="D7135" s="2" t="s">
        <v>28936</v>
      </c>
      <c r="E7135" s="2" t="s">
        <v>28937</v>
      </c>
      <c r="F7135" s="2" t="b">
        <v>1</v>
      </c>
      <c r="G7135" s="2" t="b">
        <v>0</v>
      </c>
      <c r="H7135" s="2" t="s">
        <v>37</v>
      </c>
      <c r="I7135" s="2" t="s">
        <v>22</v>
      </c>
      <c r="J7135" s="2" t="s">
        <v>1717</v>
      </c>
      <c r="K7135" s="2" t="s">
        <v>495</v>
      </c>
      <c r="L7135" s="13" t="s">
        <v>496</v>
      </c>
      <c r="M7135" s="2" t="s">
        <v>26</v>
      </c>
      <c r="N7135" s="29"/>
      <c r="O7135" s="29"/>
      <c r="P7135" s="5" t="str">
        <f>IFERROR(__xludf.DUMMYFUNCTION("TEXTJOIN("" | "",TRUE,IF(OR(D7135="""",E7135="""",I7135="""",J7135="""",H7135=""""),""ফাঁকা ঘর"",""""),IF(AND(C7135&lt;&gt;"""",D7135&lt;&gt;"""",C7135=D7135),""gloss=figurative"",""""),IF(LEN(D7135)&lt;15,""figurative ছোট"",""""),IF(AND(I7135=""Positive"",REGEXMATCH(H7"&amp;"135,""মূর্খ|ভণ্ড|প্রতার|অলস|লোভ|স্বার্থ|অক্ষম|অযোগ্য|বোকা|কৃপণ|হিংস"")),""valence-target অমিল"",""""),IF(COUNTIF($B:$B,B7135)&gt;1,""ডুপ্লিকেট"",""""))"),"")</f>
        <v/>
      </c>
      <c r="Q7135" s="5" t="str">
        <f t="shared" si="1"/>
        <v>২ পরে</v>
      </c>
    </row>
    <row r="7136">
      <c r="A7136" s="4">
        <v>5210.0</v>
      </c>
      <c r="B7136" s="2" t="s">
        <v>28938</v>
      </c>
      <c r="C7136" s="2" t="s">
        <v>28938</v>
      </c>
      <c r="D7136" s="2" t="s">
        <v>28939</v>
      </c>
      <c r="E7136" s="2" t="s">
        <v>28940</v>
      </c>
      <c r="F7136" s="2" t="b">
        <v>1</v>
      </c>
      <c r="G7136" s="2" t="b">
        <v>0</v>
      </c>
      <c r="H7136" s="2" t="s">
        <v>37</v>
      </c>
      <c r="I7136" s="2" t="s">
        <v>32</v>
      </c>
      <c r="J7136" s="2" t="s">
        <v>4039</v>
      </c>
      <c r="K7136" s="2" t="s">
        <v>495</v>
      </c>
      <c r="L7136" s="13" t="s">
        <v>496</v>
      </c>
      <c r="M7136" s="2" t="s">
        <v>26</v>
      </c>
      <c r="N7136" s="29"/>
      <c r="O7136" s="29"/>
      <c r="P7136" s="5" t="str">
        <f>IFERROR(__xludf.DUMMYFUNCTION("TEXTJOIN("" | "",TRUE,IF(OR(D7136="""",E7136="""",I7136="""",J7136="""",H7136=""""),""ফাঁকা ঘর"",""""),IF(AND(C7136&lt;&gt;"""",D7136&lt;&gt;"""",C7136=D7136),""gloss=figurative"",""""),IF(LEN(D7136)&lt;15,""figurative ছোট"",""""),IF(AND(I7136=""Positive"",REGEXMATCH(H7"&amp;"136,""মূর্খ|ভণ্ড|প্রতার|অলস|লোভ|স্বার্থ|অক্ষম|অযোগ্য|বোকা|কৃপণ|হিংস"")),""valence-target অমিল"",""""),IF(COUNTIF($B:$B,B7136)&gt;1,""ডুপ্লিকেট"",""""))"),"")</f>
        <v/>
      </c>
      <c r="Q7136" s="5" t="str">
        <f t="shared" si="1"/>
        <v>২ পরে</v>
      </c>
    </row>
    <row r="7137">
      <c r="A7137" s="4">
        <v>5214.0</v>
      </c>
      <c r="B7137" s="2" t="s">
        <v>28941</v>
      </c>
      <c r="C7137" s="2" t="s">
        <v>28942</v>
      </c>
      <c r="D7137" s="2" t="s">
        <v>28943</v>
      </c>
      <c r="E7137" s="2" t="s">
        <v>28944</v>
      </c>
      <c r="F7137" s="2" t="b">
        <v>1</v>
      </c>
      <c r="G7137" s="2" t="b">
        <v>1</v>
      </c>
      <c r="H7137" s="2" t="s">
        <v>28945</v>
      </c>
      <c r="I7137" s="2" t="s">
        <v>22</v>
      </c>
      <c r="J7137" s="2" t="s">
        <v>1315</v>
      </c>
      <c r="K7137" s="2" t="s">
        <v>495</v>
      </c>
      <c r="L7137" s="13" t="s">
        <v>496</v>
      </c>
      <c r="M7137" s="2" t="s">
        <v>26</v>
      </c>
      <c r="N7137" s="29"/>
      <c r="O7137" s="29"/>
      <c r="P7137" s="5" t="str">
        <f>IFERROR(__xludf.DUMMYFUNCTION("TEXTJOIN("" | "",TRUE,IF(OR(D7137="""",E7137="""",I7137="""",J7137="""",H7137=""""),""ফাঁকা ঘর"",""""),IF(AND(C7137&lt;&gt;"""",D7137&lt;&gt;"""",C7137=D7137),""gloss=figurative"",""""),IF(LEN(D7137)&lt;15,""figurative ছোট"",""""),IF(AND(I7137=""Positive"",REGEXMATCH(H7"&amp;"137,""মূর্খ|ভণ্ড|প্রতার|অলস|লোভ|স্বার্থ|অক্ষম|অযোগ্য|বোকা|কৃপণ|হিংস"")),""valence-target অমিল"",""""),IF(COUNTIF($B:$B,B7137)&gt;1,""ডুপ্লিকেট"",""""))"),"")</f>
        <v/>
      </c>
      <c r="Q7137" s="5" t="str">
        <f t="shared" si="1"/>
        <v>২ পরে</v>
      </c>
    </row>
    <row r="7138">
      <c r="A7138" s="4">
        <v>5218.0</v>
      </c>
      <c r="B7138" s="2" t="s">
        <v>28946</v>
      </c>
      <c r="C7138" s="2" t="s">
        <v>28947</v>
      </c>
      <c r="D7138" s="2" t="s">
        <v>28948</v>
      </c>
      <c r="E7138" s="2" t="s">
        <v>28949</v>
      </c>
      <c r="F7138" s="2" t="b">
        <v>1</v>
      </c>
      <c r="G7138" s="2" t="b">
        <v>0</v>
      </c>
      <c r="H7138" s="2" t="s">
        <v>37</v>
      </c>
      <c r="I7138" s="2" t="s">
        <v>49</v>
      </c>
      <c r="J7138" s="2" t="s">
        <v>708</v>
      </c>
      <c r="K7138" s="2" t="s">
        <v>495</v>
      </c>
      <c r="L7138" s="13" t="s">
        <v>496</v>
      </c>
      <c r="M7138" s="2" t="s">
        <v>26</v>
      </c>
      <c r="N7138" s="29"/>
      <c r="O7138" s="29"/>
      <c r="P7138" s="5" t="str">
        <f>IFERROR(__xludf.DUMMYFUNCTION("TEXTJOIN("" | "",TRUE,IF(OR(D7138="""",E7138="""",I7138="""",J7138="""",H7138=""""),""ফাঁকা ঘর"",""""),IF(AND(C7138&lt;&gt;"""",D7138&lt;&gt;"""",C7138=D7138),""gloss=figurative"",""""),IF(LEN(D7138)&lt;15,""figurative ছোট"",""""),IF(AND(I7138=""Positive"",REGEXMATCH(H7"&amp;"138,""মূর্খ|ভণ্ড|প্রতার|অলস|লোভ|স্বার্থ|অক্ষম|অযোগ্য|বোকা|কৃপণ|হিংস"")),""valence-target অমিল"",""""),IF(COUNTIF($B:$B,B7138)&gt;1,""ডুপ্লিকেট"",""""))"),"")</f>
        <v/>
      </c>
      <c r="Q7138" s="5" t="str">
        <f t="shared" si="1"/>
        <v>২ পরে</v>
      </c>
    </row>
    <row r="7139">
      <c r="A7139" s="4">
        <v>5219.0</v>
      </c>
      <c r="B7139" s="2" t="s">
        <v>9568</v>
      </c>
      <c r="C7139" s="2" t="s">
        <v>28950</v>
      </c>
      <c r="D7139" s="2" t="s">
        <v>28951</v>
      </c>
      <c r="E7139" s="2" t="s">
        <v>28952</v>
      </c>
      <c r="F7139" s="2" t="b">
        <v>1</v>
      </c>
      <c r="G7139" s="2" t="b">
        <v>0</v>
      </c>
      <c r="H7139" s="2" t="s">
        <v>37</v>
      </c>
      <c r="I7139" s="2" t="s">
        <v>22</v>
      </c>
      <c r="J7139" s="2" t="s">
        <v>1603</v>
      </c>
      <c r="K7139" s="2" t="s">
        <v>495</v>
      </c>
      <c r="L7139" s="13" t="s">
        <v>496</v>
      </c>
      <c r="M7139" s="2" t="s">
        <v>26</v>
      </c>
      <c r="N7139" s="29"/>
      <c r="O7139" s="29"/>
      <c r="P7139" s="5" t="str">
        <f>IFERROR(__xludf.DUMMYFUNCTION("TEXTJOIN("" | "",TRUE,IF(OR(D7139="""",E7139="""",I7139="""",J7139="""",H7139=""""),""ফাঁকা ঘর"",""""),IF(AND(C7139&lt;&gt;"""",D7139&lt;&gt;"""",C7139=D7139),""gloss=figurative"",""""),IF(LEN(D7139)&lt;15,""figurative ছোট"",""""),IF(AND(I7139=""Positive"",REGEXMATCH(H7"&amp;"139,""মূর্খ|ভণ্ড|প্রতার|অলস|লোভ|স্বার্থ|অক্ষম|অযোগ্য|বোকা|কৃপণ|হিংস"")),""valence-target অমিল"",""""),IF(COUNTIF($B:$B,B7139)&gt;1,""ডুপ্লিকেট"",""""))"),"")</f>
        <v/>
      </c>
      <c r="Q7139" s="5" t="str">
        <f t="shared" si="1"/>
        <v>২ পরে</v>
      </c>
    </row>
    <row r="7140">
      <c r="A7140" s="4">
        <v>5220.0</v>
      </c>
      <c r="B7140" s="2" t="s">
        <v>28953</v>
      </c>
      <c r="C7140" s="2" t="s">
        <v>28954</v>
      </c>
      <c r="D7140" s="2" t="s">
        <v>28955</v>
      </c>
      <c r="E7140" s="2" t="s">
        <v>28956</v>
      </c>
      <c r="F7140" s="2" t="b">
        <v>1</v>
      </c>
      <c r="G7140" s="2" t="b">
        <v>0</v>
      </c>
      <c r="H7140" s="2" t="s">
        <v>37</v>
      </c>
      <c r="I7140" s="2" t="s">
        <v>32</v>
      </c>
      <c r="J7140" s="2" t="s">
        <v>340</v>
      </c>
      <c r="K7140" s="2" t="s">
        <v>495</v>
      </c>
      <c r="L7140" s="13" t="s">
        <v>496</v>
      </c>
      <c r="M7140" s="2" t="s">
        <v>26</v>
      </c>
      <c r="N7140" s="29"/>
      <c r="O7140" s="29"/>
      <c r="P7140" s="5" t="str">
        <f>IFERROR(__xludf.DUMMYFUNCTION("TEXTJOIN("" | "",TRUE,IF(OR(D7140="""",E7140="""",I7140="""",J7140="""",H7140=""""),""ফাঁকা ঘর"",""""),IF(AND(C7140&lt;&gt;"""",D7140&lt;&gt;"""",C7140=D7140),""gloss=figurative"",""""),IF(LEN(D7140)&lt;15,""figurative ছোট"",""""),IF(AND(I7140=""Positive"",REGEXMATCH(H7"&amp;"140,""মূর্খ|ভণ্ড|প্রতার|অলস|লোভ|স্বার্থ|অক্ষম|অযোগ্য|বোকা|কৃপণ|হিংস"")),""valence-target অমিল"",""""),IF(COUNTIF($B:$B,B7140)&gt;1,""ডুপ্লিকেট"",""""))"),"")</f>
        <v/>
      </c>
      <c r="Q7140" s="5" t="str">
        <f t="shared" si="1"/>
        <v>২ পরে</v>
      </c>
    </row>
    <row r="7141">
      <c r="A7141" s="4">
        <v>5222.0</v>
      </c>
      <c r="B7141" s="2" t="s">
        <v>28957</v>
      </c>
      <c r="C7141" s="2" t="s">
        <v>28958</v>
      </c>
      <c r="D7141" s="2" t="s">
        <v>28959</v>
      </c>
      <c r="E7141" s="2" t="s">
        <v>28960</v>
      </c>
      <c r="F7141" s="2" t="b">
        <v>1</v>
      </c>
      <c r="G7141" s="2" t="b">
        <v>0</v>
      </c>
      <c r="H7141" s="2" t="s">
        <v>37</v>
      </c>
      <c r="I7141" s="2" t="s">
        <v>49</v>
      </c>
      <c r="J7141" s="2" t="s">
        <v>3364</v>
      </c>
      <c r="K7141" s="2" t="s">
        <v>495</v>
      </c>
      <c r="L7141" s="13" t="s">
        <v>496</v>
      </c>
      <c r="M7141" s="2" t="s">
        <v>26</v>
      </c>
      <c r="N7141" s="29"/>
      <c r="O7141" s="29"/>
      <c r="P7141" s="5" t="str">
        <f>IFERROR(__xludf.DUMMYFUNCTION("TEXTJOIN("" | "",TRUE,IF(OR(D7141="""",E7141="""",I7141="""",J7141="""",H7141=""""),""ফাঁকা ঘর"",""""),IF(AND(C7141&lt;&gt;"""",D7141&lt;&gt;"""",C7141=D7141),""gloss=figurative"",""""),IF(LEN(D7141)&lt;15,""figurative ছোট"",""""),IF(AND(I7141=""Positive"",REGEXMATCH(H7"&amp;"141,""মূর্খ|ভণ্ড|প্রতার|অলস|লোভ|স্বার্থ|অক্ষম|অযোগ্য|বোকা|কৃপণ|হিংস"")),""valence-target অমিল"",""""),IF(COUNTIF($B:$B,B7141)&gt;1,""ডুপ্লিকেট"",""""))"),"")</f>
        <v/>
      </c>
      <c r="Q7141" s="5" t="str">
        <f t="shared" si="1"/>
        <v>২ পরে</v>
      </c>
    </row>
    <row r="7142">
      <c r="A7142" s="4">
        <v>5223.0</v>
      </c>
      <c r="B7142" s="2" t="s">
        <v>28961</v>
      </c>
      <c r="C7142" s="2" t="s">
        <v>28961</v>
      </c>
      <c r="D7142" s="2" t="s">
        <v>28962</v>
      </c>
      <c r="E7142" s="2" t="s">
        <v>28963</v>
      </c>
      <c r="F7142" s="2" t="b">
        <v>1</v>
      </c>
      <c r="G7142" s="2" t="b">
        <v>0</v>
      </c>
      <c r="H7142" s="2" t="s">
        <v>37</v>
      </c>
      <c r="I7142" s="2" t="s">
        <v>32</v>
      </c>
      <c r="J7142" s="2" t="s">
        <v>1621</v>
      </c>
      <c r="K7142" s="2" t="s">
        <v>495</v>
      </c>
      <c r="L7142" s="13" t="s">
        <v>496</v>
      </c>
      <c r="M7142" s="2" t="s">
        <v>26</v>
      </c>
      <c r="N7142" s="29"/>
      <c r="O7142" s="29"/>
      <c r="P7142" s="5" t="str">
        <f>IFERROR(__xludf.DUMMYFUNCTION("TEXTJOIN("" | "",TRUE,IF(OR(D7142="""",E7142="""",I7142="""",J7142="""",H7142=""""),""ফাঁকা ঘর"",""""),IF(AND(C7142&lt;&gt;"""",D7142&lt;&gt;"""",C7142=D7142),""gloss=figurative"",""""),IF(LEN(D7142)&lt;15,""figurative ছোট"",""""),IF(AND(I7142=""Positive"",REGEXMATCH(H7"&amp;"142,""মূর্খ|ভণ্ড|প্রতার|অলস|লোভ|স্বার্থ|অক্ষম|অযোগ্য|বোকা|কৃপণ|হিংস"")),""valence-target অমিল"",""""),IF(COUNTIF($B:$B,B7142)&gt;1,""ডুপ্লিকেট"",""""))"),"")</f>
        <v/>
      </c>
      <c r="Q7142" s="5" t="str">
        <f t="shared" si="1"/>
        <v>২ পরে</v>
      </c>
    </row>
    <row r="7143">
      <c r="A7143" s="4">
        <v>5224.0</v>
      </c>
      <c r="B7143" s="2" t="s">
        <v>9898</v>
      </c>
      <c r="C7143" s="2" t="s">
        <v>9898</v>
      </c>
      <c r="D7143" s="2" t="s">
        <v>28964</v>
      </c>
      <c r="E7143" s="2" t="s">
        <v>28965</v>
      </c>
      <c r="F7143" s="2" t="b">
        <v>1</v>
      </c>
      <c r="G7143" s="2" t="b">
        <v>0</v>
      </c>
      <c r="H7143" s="2" t="s">
        <v>37</v>
      </c>
      <c r="I7143" s="2" t="s">
        <v>22</v>
      </c>
      <c r="J7143" s="2" t="s">
        <v>729</v>
      </c>
      <c r="K7143" s="2" t="s">
        <v>495</v>
      </c>
      <c r="L7143" s="13" t="s">
        <v>496</v>
      </c>
      <c r="M7143" s="2" t="s">
        <v>26</v>
      </c>
      <c r="N7143" s="29"/>
      <c r="O7143" s="29"/>
      <c r="P7143" s="5" t="str">
        <f>IFERROR(__xludf.DUMMYFUNCTION("TEXTJOIN("" | "",TRUE,IF(OR(D7143="""",E7143="""",I7143="""",J7143="""",H7143=""""),""ফাঁকা ঘর"",""""),IF(AND(C7143&lt;&gt;"""",D7143&lt;&gt;"""",C7143=D7143),""gloss=figurative"",""""),IF(LEN(D7143)&lt;15,""figurative ছোট"",""""),IF(AND(I7143=""Positive"",REGEXMATCH(H7"&amp;"143,""মূর্খ|ভণ্ড|প্রতার|অলস|লোভ|স্বার্থ|অক্ষম|অযোগ্য|বোকা|কৃপণ|হিংস"")),""valence-target অমিল"",""""),IF(COUNTIF($B:$B,B7143)&gt;1,""ডুপ্লিকেট"",""""))"),"")</f>
        <v/>
      </c>
      <c r="Q7143" s="5" t="str">
        <f t="shared" si="1"/>
        <v>২ পরে</v>
      </c>
    </row>
    <row r="7144">
      <c r="A7144" s="4">
        <v>5226.0</v>
      </c>
      <c r="B7144" s="2" t="s">
        <v>28966</v>
      </c>
      <c r="C7144" s="2" t="s">
        <v>28967</v>
      </c>
      <c r="D7144" s="2" t="s">
        <v>28968</v>
      </c>
      <c r="E7144" s="2" t="s">
        <v>28969</v>
      </c>
      <c r="F7144" s="2" t="b">
        <v>1</v>
      </c>
      <c r="G7144" s="2" t="b">
        <v>0</v>
      </c>
      <c r="H7144" s="2" t="s">
        <v>37</v>
      </c>
      <c r="I7144" s="2" t="s">
        <v>22</v>
      </c>
      <c r="J7144" s="2" t="s">
        <v>1700</v>
      </c>
      <c r="K7144" s="2" t="s">
        <v>495</v>
      </c>
      <c r="L7144" s="13" t="s">
        <v>496</v>
      </c>
      <c r="M7144" s="2" t="s">
        <v>26</v>
      </c>
      <c r="N7144" s="29"/>
      <c r="O7144" s="29"/>
      <c r="P7144" s="5" t="str">
        <f>IFERROR(__xludf.DUMMYFUNCTION("TEXTJOIN("" | "",TRUE,IF(OR(D7144="""",E7144="""",I7144="""",J7144="""",H7144=""""),""ফাঁকা ঘর"",""""),IF(AND(C7144&lt;&gt;"""",D7144&lt;&gt;"""",C7144=D7144),""gloss=figurative"",""""),IF(LEN(D7144)&lt;15,""figurative ছোট"",""""),IF(AND(I7144=""Positive"",REGEXMATCH(H7"&amp;"144,""মূর্খ|ভণ্ড|প্রতার|অলস|লোভ|স্বার্থ|অক্ষম|অযোগ্য|বোকা|কৃপণ|হিংস"")),""valence-target অমিল"",""""),IF(COUNTIF($B:$B,B7144)&gt;1,""ডুপ্লিকেট"",""""))"),"")</f>
        <v/>
      </c>
      <c r="Q7144" s="5" t="str">
        <f t="shared" si="1"/>
        <v>২ পরে</v>
      </c>
    </row>
    <row r="7145">
      <c r="A7145" s="4">
        <v>5227.0</v>
      </c>
      <c r="B7145" s="2" t="s">
        <v>28970</v>
      </c>
      <c r="C7145" s="2" t="s">
        <v>28971</v>
      </c>
      <c r="D7145" s="2" t="s">
        <v>28972</v>
      </c>
      <c r="E7145" s="2" t="s">
        <v>28973</v>
      </c>
      <c r="F7145" s="2" t="b">
        <v>1</v>
      </c>
      <c r="G7145" s="2" t="b">
        <v>0</v>
      </c>
      <c r="H7145" s="2" t="s">
        <v>37</v>
      </c>
      <c r="I7145" s="2" t="s">
        <v>22</v>
      </c>
      <c r="J7145" s="2" t="s">
        <v>1700</v>
      </c>
      <c r="K7145" s="2" t="s">
        <v>495</v>
      </c>
      <c r="L7145" s="13" t="s">
        <v>496</v>
      </c>
      <c r="M7145" s="2" t="s">
        <v>26</v>
      </c>
      <c r="N7145" s="29"/>
      <c r="O7145" s="29"/>
      <c r="P7145" s="5" t="str">
        <f>IFERROR(__xludf.DUMMYFUNCTION("TEXTJOIN("" | "",TRUE,IF(OR(D7145="""",E7145="""",I7145="""",J7145="""",H7145=""""),""ফাঁকা ঘর"",""""),IF(AND(C7145&lt;&gt;"""",D7145&lt;&gt;"""",C7145=D7145),""gloss=figurative"",""""),IF(LEN(D7145)&lt;15,""figurative ছোট"",""""),IF(AND(I7145=""Positive"",REGEXMATCH(H7"&amp;"145,""মূর্খ|ভণ্ড|প্রতার|অলস|লোভ|স্বার্থ|অক্ষম|অযোগ্য|বোকা|কৃপণ|হিংস"")),""valence-target অমিল"",""""),IF(COUNTIF($B:$B,B7145)&gt;1,""ডুপ্লিকেট"",""""))"),"")</f>
        <v/>
      </c>
      <c r="Q7145" s="5" t="str">
        <f t="shared" si="1"/>
        <v>২ পরে</v>
      </c>
    </row>
    <row r="7146">
      <c r="A7146" s="4">
        <v>5228.0</v>
      </c>
      <c r="B7146" s="2" t="s">
        <v>28974</v>
      </c>
      <c r="C7146" s="2" t="s">
        <v>28975</v>
      </c>
      <c r="D7146" s="2" t="s">
        <v>28976</v>
      </c>
      <c r="E7146" s="2" t="s">
        <v>28977</v>
      </c>
      <c r="F7146" s="2" t="b">
        <v>1</v>
      </c>
      <c r="G7146" s="2" t="b">
        <v>0</v>
      </c>
      <c r="H7146" s="2" t="s">
        <v>1025</v>
      </c>
      <c r="I7146" s="2" t="s">
        <v>22</v>
      </c>
      <c r="J7146" s="2" t="s">
        <v>1438</v>
      </c>
      <c r="K7146" s="2" t="s">
        <v>495</v>
      </c>
      <c r="L7146" s="13" t="s">
        <v>496</v>
      </c>
      <c r="M7146" s="2" t="s">
        <v>26</v>
      </c>
      <c r="N7146" s="29"/>
      <c r="O7146" s="29"/>
      <c r="P7146" s="5" t="str">
        <f>IFERROR(__xludf.DUMMYFUNCTION("TEXTJOIN("" | "",TRUE,IF(OR(D7146="""",E7146="""",I7146="""",J7146="""",H7146=""""),""ফাঁকা ঘর"",""""),IF(AND(C7146&lt;&gt;"""",D7146&lt;&gt;"""",C7146=D7146),""gloss=figurative"",""""),IF(LEN(D7146)&lt;15,""figurative ছোট"",""""),IF(AND(I7146=""Positive"",REGEXMATCH(H7"&amp;"146,""মূর্খ|ভণ্ড|প্রতার|অলস|লোভ|স্বার্থ|অক্ষম|অযোগ্য|বোকা|কৃপণ|হিংস"")),""valence-target অমিল"",""""),IF(COUNTIF($B:$B,B7146)&gt;1,""ডুপ্লিকেট"",""""))"),"")</f>
        <v/>
      </c>
      <c r="Q7146" s="5" t="str">
        <f t="shared" si="1"/>
        <v>২ পরে</v>
      </c>
    </row>
    <row r="7147">
      <c r="A7147" s="4">
        <v>5229.0</v>
      </c>
      <c r="B7147" s="2" t="s">
        <v>28978</v>
      </c>
      <c r="C7147" s="2" t="s">
        <v>28979</v>
      </c>
      <c r="D7147" s="2" t="s">
        <v>21410</v>
      </c>
      <c r="E7147" s="2" t="s">
        <v>28980</v>
      </c>
      <c r="F7147" s="2" t="b">
        <v>1</v>
      </c>
      <c r="G7147" s="2" t="b">
        <v>0</v>
      </c>
      <c r="H7147" s="2" t="s">
        <v>37</v>
      </c>
      <c r="I7147" s="2" t="s">
        <v>22</v>
      </c>
      <c r="J7147" s="2" t="s">
        <v>669</v>
      </c>
      <c r="K7147" s="2" t="s">
        <v>495</v>
      </c>
      <c r="L7147" s="13" t="s">
        <v>496</v>
      </c>
      <c r="M7147" s="2" t="s">
        <v>26</v>
      </c>
      <c r="N7147" s="29"/>
      <c r="O7147" s="29"/>
      <c r="P7147" s="5" t="str">
        <f>IFERROR(__xludf.DUMMYFUNCTION("TEXTJOIN("" | "",TRUE,IF(OR(D7147="""",E7147="""",I7147="""",J7147="""",H7147=""""),""ফাঁকা ঘর"",""""),IF(AND(C7147&lt;&gt;"""",D7147&lt;&gt;"""",C7147=D7147),""gloss=figurative"",""""),IF(LEN(D7147)&lt;15,""figurative ছোট"",""""),IF(AND(I7147=""Positive"",REGEXMATCH(H7"&amp;"147,""মূর্খ|ভণ্ড|প্রতার|অলস|লোভ|স্বার্থ|অক্ষম|অযোগ্য|বোকা|কৃপণ|হিংস"")),""valence-target অমিল"",""""),IF(COUNTIF($B:$B,B7147)&gt;1,""ডুপ্লিকেট"",""""))"),"")</f>
        <v/>
      </c>
      <c r="Q7147" s="5" t="str">
        <f t="shared" si="1"/>
        <v>২ পরে</v>
      </c>
    </row>
    <row r="7148">
      <c r="A7148" s="4">
        <v>5233.0</v>
      </c>
      <c r="B7148" s="2" t="s">
        <v>28981</v>
      </c>
      <c r="C7148" s="2" t="s">
        <v>28981</v>
      </c>
      <c r="D7148" s="2" t="s">
        <v>28982</v>
      </c>
      <c r="E7148" s="2" t="s">
        <v>28983</v>
      </c>
      <c r="F7148" s="2" t="b">
        <v>1</v>
      </c>
      <c r="G7148" s="2" t="b">
        <v>0</v>
      </c>
      <c r="H7148" s="2" t="s">
        <v>37</v>
      </c>
      <c r="I7148" s="2" t="s">
        <v>22</v>
      </c>
      <c r="J7148" s="2" t="s">
        <v>1717</v>
      </c>
      <c r="K7148" s="2" t="s">
        <v>495</v>
      </c>
      <c r="L7148" s="13" t="s">
        <v>496</v>
      </c>
      <c r="M7148" s="2" t="s">
        <v>26</v>
      </c>
      <c r="N7148" s="29"/>
      <c r="O7148" s="29"/>
      <c r="P7148" s="5" t="str">
        <f>IFERROR(__xludf.DUMMYFUNCTION("TEXTJOIN("" | "",TRUE,IF(OR(D7148="""",E7148="""",I7148="""",J7148="""",H7148=""""),""ফাঁকা ঘর"",""""),IF(AND(C7148&lt;&gt;"""",D7148&lt;&gt;"""",C7148=D7148),""gloss=figurative"",""""),IF(LEN(D7148)&lt;15,""figurative ছোট"",""""),IF(AND(I7148=""Positive"",REGEXMATCH(H7"&amp;"148,""মূর্খ|ভণ্ড|প্রতার|অলস|লোভ|স্বার্থ|অক্ষম|অযোগ্য|বোকা|কৃপণ|হিংস"")),""valence-target অমিল"",""""),IF(COUNTIF($B:$B,B7148)&gt;1,""ডুপ্লিকেট"",""""))"),"")</f>
        <v/>
      </c>
      <c r="Q7148" s="5" t="str">
        <f t="shared" si="1"/>
        <v>২ পরে</v>
      </c>
    </row>
    <row r="7149">
      <c r="A7149" s="4">
        <v>5235.0</v>
      </c>
      <c r="B7149" s="2" t="s">
        <v>28984</v>
      </c>
      <c r="C7149" s="2" t="s">
        <v>28985</v>
      </c>
      <c r="D7149" s="2" t="s">
        <v>28986</v>
      </c>
      <c r="E7149" s="2" t="s">
        <v>28987</v>
      </c>
      <c r="F7149" s="2" t="b">
        <v>1</v>
      </c>
      <c r="G7149" s="2" t="b">
        <v>0</v>
      </c>
      <c r="H7149" s="2" t="s">
        <v>1484</v>
      </c>
      <c r="I7149" s="2" t="s">
        <v>22</v>
      </c>
      <c r="J7149" s="2" t="s">
        <v>43</v>
      </c>
      <c r="K7149" s="2" t="s">
        <v>495</v>
      </c>
      <c r="L7149" s="13" t="s">
        <v>496</v>
      </c>
      <c r="M7149" s="2" t="s">
        <v>26</v>
      </c>
      <c r="N7149" s="29"/>
      <c r="O7149" s="29"/>
      <c r="P7149" s="5" t="str">
        <f>IFERROR(__xludf.DUMMYFUNCTION("TEXTJOIN("" | "",TRUE,IF(OR(D7149="""",E7149="""",I7149="""",J7149="""",H7149=""""),""ফাঁকা ঘর"",""""),IF(AND(C7149&lt;&gt;"""",D7149&lt;&gt;"""",C7149=D7149),""gloss=figurative"",""""),IF(LEN(D7149)&lt;15,""figurative ছোট"",""""),IF(AND(I7149=""Positive"",REGEXMATCH(H7"&amp;"149,""মূর্খ|ভণ্ড|প্রতার|অলস|লোভ|স্বার্থ|অক্ষম|অযোগ্য|বোকা|কৃপণ|হিংস"")),""valence-target অমিল"",""""),IF(COUNTIF($B:$B,B7149)&gt;1,""ডুপ্লিকেট"",""""))"),"")</f>
        <v/>
      </c>
      <c r="Q7149" s="5" t="str">
        <f t="shared" si="1"/>
        <v>২ পরে</v>
      </c>
    </row>
    <row r="7150">
      <c r="A7150" s="4">
        <v>5236.0</v>
      </c>
      <c r="B7150" s="2" t="s">
        <v>28988</v>
      </c>
      <c r="C7150" s="2" t="s">
        <v>28989</v>
      </c>
      <c r="D7150" s="2" t="s">
        <v>28990</v>
      </c>
      <c r="E7150" s="2" t="s">
        <v>28991</v>
      </c>
      <c r="F7150" s="2" t="b">
        <v>1</v>
      </c>
      <c r="G7150" s="2" t="b">
        <v>0</v>
      </c>
      <c r="H7150" s="2" t="s">
        <v>1571</v>
      </c>
      <c r="I7150" s="2" t="s">
        <v>22</v>
      </c>
      <c r="J7150" s="2" t="s">
        <v>1572</v>
      </c>
      <c r="K7150" s="2" t="s">
        <v>495</v>
      </c>
      <c r="L7150" s="13" t="s">
        <v>496</v>
      </c>
      <c r="M7150" s="2" t="s">
        <v>26</v>
      </c>
      <c r="N7150" s="29"/>
      <c r="O7150" s="29"/>
      <c r="P7150" s="5" t="str">
        <f>IFERROR(__xludf.DUMMYFUNCTION("TEXTJOIN("" | "",TRUE,IF(OR(D7150="""",E7150="""",I7150="""",J7150="""",H7150=""""),""ফাঁকা ঘর"",""""),IF(AND(C7150&lt;&gt;"""",D7150&lt;&gt;"""",C7150=D7150),""gloss=figurative"",""""),IF(LEN(D7150)&lt;15,""figurative ছোট"",""""),IF(AND(I7150=""Positive"",REGEXMATCH(H7"&amp;"150,""মূর্খ|ভণ্ড|প্রতার|অলস|লোভ|স্বার্থ|অক্ষম|অযোগ্য|বোকা|কৃপণ|হিংস"")),""valence-target অমিল"",""""),IF(COUNTIF($B:$B,B7150)&gt;1,""ডুপ্লিকেট"",""""))"),"")</f>
        <v/>
      </c>
      <c r="Q7150" s="5" t="str">
        <f t="shared" si="1"/>
        <v>২ পরে</v>
      </c>
    </row>
    <row r="7151">
      <c r="A7151" s="4">
        <v>5240.0</v>
      </c>
      <c r="B7151" s="2" t="s">
        <v>28992</v>
      </c>
      <c r="C7151" s="2" t="s">
        <v>28992</v>
      </c>
      <c r="D7151" s="2" t="s">
        <v>28993</v>
      </c>
      <c r="E7151" s="2" t="s">
        <v>28994</v>
      </c>
      <c r="F7151" s="2" t="b">
        <v>1</v>
      </c>
      <c r="G7151" s="2" t="b">
        <v>0</v>
      </c>
      <c r="H7151" s="2" t="s">
        <v>37</v>
      </c>
      <c r="I7151" s="2" t="s">
        <v>22</v>
      </c>
      <c r="J7151" s="2" t="s">
        <v>28368</v>
      </c>
      <c r="K7151" s="2" t="s">
        <v>495</v>
      </c>
      <c r="L7151" s="13" t="s">
        <v>496</v>
      </c>
      <c r="M7151" s="2" t="s">
        <v>26</v>
      </c>
      <c r="N7151" s="29"/>
      <c r="O7151" s="29"/>
      <c r="P7151" s="5" t="str">
        <f>IFERROR(__xludf.DUMMYFUNCTION("TEXTJOIN("" | "",TRUE,IF(OR(D7151="""",E7151="""",I7151="""",J7151="""",H7151=""""),""ফাঁকা ঘর"",""""),IF(AND(C7151&lt;&gt;"""",D7151&lt;&gt;"""",C7151=D7151),""gloss=figurative"",""""),IF(LEN(D7151)&lt;15,""figurative ছোট"",""""),IF(AND(I7151=""Positive"",REGEXMATCH(H7"&amp;"151,""মূর্খ|ভণ্ড|প্রতার|অলস|লোভ|স্বার্থ|অক্ষম|অযোগ্য|বোকা|কৃপণ|হিংস"")),""valence-target অমিল"",""""),IF(COUNTIF($B:$B,B7151)&gt;1,""ডুপ্লিকেট"",""""))"),"")</f>
        <v/>
      </c>
      <c r="Q7151" s="5" t="str">
        <f t="shared" si="1"/>
        <v>২ পরে</v>
      </c>
    </row>
    <row r="7152">
      <c r="A7152" s="4">
        <v>5241.0</v>
      </c>
      <c r="B7152" s="2" t="s">
        <v>28995</v>
      </c>
      <c r="C7152" s="2" t="s">
        <v>28995</v>
      </c>
      <c r="D7152" s="2" t="s">
        <v>28996</v>
      </c>
      <c r="E7152" s="2" t="s">
        <v>28997</v>
      </c>
      <c r="F7152" s="2" t="b">
        <v>1</v>
      </c>
      <c r="G7152" s="2" t="b">
        <v>0</v>
      </c>
      <c r="H7152" s="2" t="s">
        <v>37</v>
      </c>
      <c r="I7152" s="2" t="s">
        <v>22</v>
      </c>
      <c r="J7152" s="2" t="s">
        <v>7659</v>
      </c>
      <c r="K7152" s="2" t="s">
        <v>495</v>
      </c>
      <c r="L7152" s="13" t="s">
        <v>496</v>
      </c>
      <c r="M7152" s="2" t="s">
        <v>26</v>
      </c>
      <c r="N7152" s="29"/>
      <c r="O7152" s="29"/>
      <c r="P7152" s="5" t="str">
        <f>IFERROR(__xludf.DUMMYFUNCTION("TEXTJOIN("" | "",TRUE,IF(OR(D7152="""",E7152="""",I7152="""",J7152="""",H7152=""""),""ফাঁকা ঘর"",""""),IF(AND(C7152&lt;&gt;"""",D7152&lt;&gt;"""",C7152=D7152),""gloss=figurative"",""""),IF(LEN(D7152)&lt;15,""figurative ছোট"",""""),IF(AND(I7152=""Positive"",REGEXMATCH(H7"&amp;"152,""মূর্খ|ভণ্ড|প্রতার|অলস|লোভ|স্বার্থ|অক্ষম|অযোগ্য|বোকা|কৃপণ|হিংস"")),""valence-target অমিল"",""""),IF(COUNTIF($B:$B,B7152)&gt;1,""ডুপ্লিকেট"",""""))"),"")</f>
        <v/>
      </c>
      <c r="Q7152" s="5" t="str">
        <f t="shared" si="1"/>
        <v>২ পরে</v>
      </c>
    </row>
    <row r="7153">
      <c r="A7153" s="4">
        <v>5243.0</v>
      </c>
      <c r="B7153" s="2" t="s">
        <v>28998</v>
      </c>
      <c r="C7153" s="2" t="s">
        <v>28999</v>
      </c>
      <c r="D7153" s="2" t="s">
        <v>29000</v>
      </c>
      <c r="E7153" s="2" t="s">
        <v>29001</v>
      </c>
      <c r="F7153" s="2" t="b">
        <v>1</v>
      </c>
      <c r="G7153" s="2" t="b">
        <v>0</v>
      </c>
      <c r="H7153" s="2" t="s">
        <v>37</v>
      </c>
      <c r="I7153" s="2" t="s">
        <v>32</v>
      </c>
      <c r="J7153" s="2" t="s">
        <v>538</v>
      </c>
      <c r="K7153" s="2" t="s">
        <v>495</v>
      </c>
      <c r="L7153" s="13" t="s">
        <v>496</v>
      </c>
      <c r="M7153" s="2" t="s">
        <v>26</v>
      </c>
      <c r="N7153" s="29"/>
      <c r="O7153" s="29"/>
      <c r="P7153" s="5" t="str">
        <f>IFERROR(__xludf.DUMMYFUNCTION("TEXTJOIN("" | "",TRUE,IF(OR(D7153="""",E7153="""",I7153="""",J7153="""",H7153=""""),""ফাঁকা ঘর"",""""),IF(AND(C7153&lt;&gt;"""",D7153&lt;&gt;"""",C7153=D7153),""gloss=figurative"",""""),IF(LEN(D7153)&lt;15,""figurative ছোট"",""""),IF(AND(I7153=""Positive"",REGEXMATCH(H7"&amp;"153,""মূর্খ|ভণ্ড|প্রতার|অলস|লোভ|স্বার্থ|অক্ষম|অযোগ্য|বোকা|কৃপণ|হিংস"")),""valence-target অমিল"",""""),IF(COUNTIF($B:$B,B7153)&gt;1,""ডুপ্লিকেট"",""""))"),"")</f>
        <v/>
      </c>
      <c r="Q7153" s="5" t="str">
        <f t="shared" si="1"/>
        <v>২ পরে</v>
      </c>
    </row>
    <row r="7154">
      <c r="A7154" s="4">
        <v>5247.0</v>
      </c>
      <c r="B7154" s="2" t="s">
        <v>29002</v>
      </c>
      <c r="C7154" s="2" t="s">
        <v>29003</v>
      </c>
      <c r="D7154" s="2" t="s">
        <v>29004</v>
      </c>
      <c r="E7154" s="2" t="s">
        <v>29005</v>
      </c>
      <c r="F7154" s="2" t="b">
        <v>1</v>
      </c>
      <c r="G7154" s="2" t="b">
        <v>0</v>
      </c>
      <c r="H7154" s="2" t="s">
        <v>37</v>
      </c>
      <c r="I7154" s="2" t="s">
        <v>22</v>
      </c>
      <c r="J7154" s="2" t="s">
        <v>1239</v>
      </c>
      <c r="K7154" s="2" t="s">
        <v>495</v>
      </c>
      <c r="L7154" s="13" t="s">
        <v>496</v>
      </c>
      <c r="M7154" s="2" t="s">
        <v>26</v>
      </c>
      <c r="N7154" s="29"/>
      <c r="O7154" s="29"/>
      <c r="P7154" s="5" t="str">
        <f>IFERROR(__xludf.DUMMYFUNCTION("TEXTJOIN("" | "",TRUE,IF(OR(D7154="""",E7154="""",I7154="""",J7154="""",H7154=""""),""ফাঁকা ঘর"",""""),IF(AND(C7154&lt;&gt;"""",D7154&lt;&gt;"""",C7154=D7154),""gloss=figurative"",""""),IF(LEN(D7154)&lt;15,""figurative ছোট"",""""),IF(AND(I7154=""Positive"",REGEXMATCH(H7"&amp;"154,""মূর্খ|ভণ্ড|প্রতার|অলস|লোভ|স্বার্থ|অক্ষম|অযোগ্য|বোকা|কৃপণ|হিংস"")),""valence-target অমিল"",""""),IF(COUNTIF($B:$B,B7154)&gt;1,""ডুপ্লিকেট"",""""))"),"")</f>
        <v/>
      </c>
      <c r="Q7154" s="5" t="str">
        <f t="shared" si="1"/>
        <v>২ পরে</v>
      </c>
    </row>
    <row r="7155">
      <c r="A7155" s="4">
        <v>5248.0</v>
      </c>
      <c r="B7155" s="2" t="s">
        <v>29006</v>
      </c>
      <c r="C7155" s="2" t="s">
        <v>29007</v>
      </c>
      <c r="D7155" s="2" t="s">
        <v>29008</v>
      </c>
      <c r="E7155" s="2" t="s">
        <v>29009</v>
      </c>
      <c r="F7155" s="2" t="b">
        <v>1</v>
      </c>
      <c r="G7155" s="2" t="b">
        <v>0</v>
      </c>
      <c r="H7155" s="2" t="s">
        <v>3407</v>
      </c>
      <c r="I7155" s="2" t="s">
        <v>22</v>
      </c>
      <c r="J7155" s="2" t="s">
        <v>225</v>
      </c>
      <c r="K7155" s="2" t="s">
        <v>495</v>
      </c>
      <c r="L7155" s="13" t="s">
        <v>496</v>
      </c>
      <c r="M7155" s="2" t="s">
        <v>26</v>
      </c>
      <c r="N7155" s="29"/>
      <c r="O7155" s="29"/>
      <c r="P7155" s="5" t="str">
        <f>IFERROR(__xludf.DUMMYFUNCTION("TEXTJOIN("" | "",TRUE,IF(OR(D7155="""",E7155="""",I7155="""",J7155="""",H7155=""""),""ফাঁকা ঘর"",""""),IF(AND(C7155&lt;&gt;"""",D7155&lt;&gt;"""",C7155=D7155),""gloss=figurative"",""""),IF(LEN(D7155)&lt;15,""figurative ছোট"",""""),IF(AND(I7155=""Positive"",REGEXMATCH(H7"&amp;"155,""মূর্খ|ভণ্ড|প্রতার|অলস|লোভ|স্বার্থ|অক্ষম|অযোগ্য|বোকা|কৃপণ|হিংস"")),""valence-target অমিল"",""""),IF(COUNTIF($B:$B,B7155)&gt;1,""ডুপ্লিকেট"",""""))"),"")</f>
        <v/>
      </c>
      <c r="Q7155" s="5" t="str">
        <f t="shared" si="1"/>
        <v>২ পরে</v>
      </c>
    </row>
    <row r="7156">
      <c r="A7156" s="4">
        <v>5251.0</v>
      </c>
      <c r="B7156" s="2" t="s">
        <v>29010</v>
      </c>
      <c r="C7156" s="2" t="s">
        <v>29011</v>
      </c>
      <c r="D7156" s="2" t="s">
        <v>29012</v>
      </c>
      <c r="E7156" s="2" t="s">
        <v>29013</v>
      </c>
      <c r="F7156" s="2" t="b">
        <v>1</v>
      </c>
      <c r="G7156" s="2" t="b">
        <v>0</v>
      </c>
      <c r="H7156" s="2" t="s">
        <v>37</v>
      </c>
      <c r="I7156" s="2" t="s">
        <v>22</v>
      </c>
      <c r="J7156" s="2" t="s">
        <v>565</v>
      </c>
      <c r="K7156" s="2" t="s">
        <v>495</v>
      </c>
      <c r="L7156" s="13" t="s">
        <v>496</v>
      </c>
      <c r="M7156" s="2" t="s">
        <v>26</v>
      </c>
      <c r="N7156" s="29"/>
      <c r="O7156" s="29"/>
      <c r="P7156" s="5" t="str">
        <f>IFERROR(__xludf.DUMMYFUNCTION("TEXTJOIN("" | "",TRUE,IF(OR(D7156="""",E7156="""",I7156="""",J7156="""",H7156=""""),""ফাঁকা ঘর"",""""),IF(AND(C7156&lt;&gt;"""",D7156&lt;&gt;"""",C7156=D7156),""gloss=figurative"",""""),IF(LEN(D7156)&lt;15,""figurative ছোট"",""""),IF(AND(I7156=""Positive"",REGEXMATCH(H7"&amp;"156,""মূর্খ|ভণ্ড|প্রতার|অলস|লোভ|স্বার্থ|অক্ষম|অযোগ্য|বোকা|কৃপণ|হিংস"")),""valence-target অমিল"",""""),IF(COUNTIF($B:$B,B7156)&gt;1,""ডুপ্লিকেট"",""""))"),"")</f>
        <v/>
      </c>
      <c r="Q7156" s="5" t="str">
        <f t="shared" si="1"/>
        <v>২ পরে</v>
      </c>
    </row>
    <row r="7157">
      <c r="A7157" s="4">
        <v>5255.0</v>
      </c>
      <c r="B7157" s="2" t="s">
        <v>29014</v>
      </c>
      <c r="C7157" s="2" t="s">
        <v>29015</v>
      </c>
      <c r="D7157" s="2" t="s">
        <v>29016</v>
      </c>
      <c r="E7157" s="2" t="s">
        <v>29017</v>
      </c>
      <c r="F7157" s="2" t="b">
        <v>1</v>
      </c>
      <c r="G7157" s="2" t="b">
        <v>0</v>
      </c>
      <c r="H7157" s="2" t="s">
        <v>37</v>
      </c>
      <c r="I7157" s="2" t="s">
        <v>22</v>
      </c>
      <c r="J7157" s="2" t="s">
        <v>29018</v>
      </c>
      <c r="K7157" s="2" t="s">
        <v>495</v>
      </c>
      <c r="L7157" s="13" t="s">
        <v>496</v>
      </c>
      <c r="M7157" s="2" t="s">
        <v>26</v>
      </c>
      <c r="N7157" s="29"/>
      <c r="O7157" s="29"/>
      <c r="P7157" s="5" t="str">
        <f>IFERROR(__xludf.DUMMYFUNCTION("TEXTJOIN("" | "",TRUE,IF(OR(D7157="""",E7157="""",I7157="""",J7157="""",H7157=""""),""ফাঁকা ঘর"",""""),IF(AND(C7157&lt;&gt;"""",D7157&lt;&gt;"""",C7157=D7157),""gloss=figurative"",""""),IF(LEN(D7157)&lt;15,""figurative ছোট"",""""),IF(AND(I7157=""Positive"",REGEXMATCH(H7"&amp;"157,""মূর্খ|ভণ্ড|প্রতার|অলস|লোভ|স্বার্থ|অক্ষম|অযোগ্য|বোকা|কৃপণ|হিংস"")),""valence-target অমিল"",""""),IF(COUNTIF($B:$B,B7157)&gt;1,""ডুপ্লিকেট"",""""))"),"")</f>
        <v/>
      </c>
      <c r="Q7157" s="5" t="str">
        <f t="shared" si="1"/>
        <v>২ পরে</v>
      </c>
    </row>
    <row r="7158">
      <c r="A7158" s="4">
        <v>5256.0</v>
      </c>
      <c r="B7158" s="2" t="s">
        <v>29019</v>
      </c>
      <c r="C7158" s="2" t="s">
        <v>29020</v>
      </c>
      <c r="D7158" s="2" t="s">
        <v>29021</v>
      </c>
      <c r="E7158" s="2" t="s">
        <v>29022</v>
      </c>
      <c r="F7158" s="2" t="b">
        <v>1</v>
      </c>
      <c r="G7158" s="2" t="b">
        <v>0</v>
      </c>
      <c r="H7158" s="2" t="s">
        <v>37</v>
      </c>
      <c r="I7158" s="2" t="s">
        <v>49</v>
      </c>
      <c r="J7158" s="2" t="s">
        <v>4670</v>
      </c>
      <c r="K7158" s="2" t="s">
        <v>495</v>
      </c>
      <c r="L7158" s="13" t="s">
        <v>496</v>
      </c>
      <c r="M7158" s="2" t="s">
        <v>26</v>
      </c>
      <c r="N7158" s="29"/>
      <c r="O7158" s="29"/>
      <c r="P7158" s="5" t="str">
        <f>IFERROR(__xludf.DUMMYFUNCTION("TEXTJOIN("" | "",TRUE,IF(OR(D7158="""",E7158="""",I7158="""",J7158="""",H7158=""""),""ফাঁকা ঘর"",""""),IF(AND(C7158&lt;&gt;"""",D7158&lt;&gt;"""",C7158=D7158),""gloss=figurative"",""""),IF(LEN(D7158)&lt;15,""figurative ছোট"",""""),IF(AND(I7158=""Positive"",REGEXMATCH(H7"&amp;"158,""মূর্খ|ভণ্ড|প্রতার|অলস|লোভ|স্বার্থ|অক্ষম|অযোগ্য|বোকা|কৃপণ|হিংস"")),""valence-target অমিল"",""""),IF(COUNTIF($B:$B,B7158)&gt;1,""ডুপ্লিকেট"",""""))"),"")</f>
        <v/>
      </c>
      <c r="Q7158" s="5" t="str">
        <f t="shared" si="1"/>
        <v>২ পরে</v>
      </c>
    </row>
    <row r="7159">
      <c r="A7159" s="4">
        <v>5259.0</v>
      </c>
      <c r="B7159" s="2" t="s">
        <v>29023</v>
      </c>
      <c r="C7159" s="2" t="s">
        <v>29024</v>
      </c>
      <c r="D7159" s="2" t="s">
        <v>27957</v>
      </c>
      <c r="E7159" s="2" t="s">
        <v>29025</v>
      </c>
      <c r="F7159" s="2" t="b">
        <v>1</v>
      </c>
      <c r="G7159" s="2" t="b">
        <v>0</v>
      </c>
      <c r="H7159" s="2" t="s">
        <v>37</v>
      </c>
      <c r="I7159" s="2" t="s">
        <v>22</v>
      </c>
      <c r="J7159" s="2" t="s">
        <v>820</v>
      </c>
      <c r="K7159" s="2" t="s">
        <v>495</v>
      </c>
      <c r="L7159" s="13" t="s">
        <v>496</v>
      </c>
      <c r="M7159" s="2" t="s">
        <v>26</v>
      </c>
      <c r="N7159" s="29"/>
      <c r="O7159" s="29"/>
      <c r="P7159" s="5" t="str">
        <f>IFERROR(__xludf.DUMMYFUNCTION("TEXTJOIN("" | "",TRUE,IF(OR(D7159="""",E7159="""",I7159="""",J7159="""",H7159=""""),""ফাঁকা ঘর"",""""),IF(AND(C7159&lt;&gt;"""",D7159&lt;&gt;"""",C7159=D7159),""gloss=figurative"",""""),IF(LEN(D7159)&lt;15,""figurative ছোট"",""""),IF(AND(I7159=""Positive"",REGEXMATCH(H7"&amp;"159,""মূর্খ|ভণ্ড|প্রতার|অলস|লোভ|স্বার্থ|অক্ষম|অযোগ্য|বোকা|কৃপণ|হিংস"")),""valence-target অমিল"",""""),IF(COUNTIF($B:$B,B7159)&gt;1,""ডুপ্লিকেট"",""""))"),"")</f>
        <v/>
      </c>
      <c r="Q7159" s="5" t="str">
        <f t="shared" si="1"/>
        <v>২ পরে</v>
      </c>
    </row>
    <row r="7160">
      <c r="A7160" s="4">
        <v>5260.0</v>
      </c>
      <c r="B7160" s="2" t="s">
        <v>29026</v>
      </c>
      <c r="C7160" s="2" t="s">
        <v>29027</v>
      </c>
      <c r="D7160" s="2" t="s">
        <v>29028</v>
      </c>
      <c r="E7160" s="2" t="s">
        <v>29029</v>
      </c>
      <c r="F7160" s="2" t="b">
        <v>1</v>
      </c>
      <c r="G7160" s="2" t="b">
        <v>0</v>
      </c>
      <c r="H7160" s="2" t="s">
        <v>37</v>
      </c>
      <c r="I7160" s="2" t="s">
        <v>22</v>
      </c>
      <c r="J7160" s="2" t="s">
        <v>1569</v>
      </c>
      <c r="K7160" s="2" t="s">
        <v>495</v>
      </c>
      <c r="L7160" s="13" t="s">
        <v>496</v>
      </c>
      <c r="M7160" s="2" t="s">
        <v>26</v>
      </c>
      <c r="N7160" s="29"/>
      <c r="O7160" s="29"/>
      <c r="P7160" s="5" t="str">
        <f>IFERROR(__xludf.DUMMYFUNCTION("TEXTJOIN("" | "",TRUE,IF(OR(D7160="""",E7160="""",I7160="""",J7160="""",H7160=""""),""ফাঁকা ঘর"",""""),IF(AND(C7160&lt;&gt;"""",D7160&lt;&gt;"""",C7160=D7160),""gloss=figurative"",""""),IF(LEN(D7160)&lt;15,""figurative ছোট"",""""),IF(AND(I7160=""Positive"",REGEXMATCH(H7"&amp;"160,""মূর্খ|ভণ্ড|প্রতার|অলস|লোভ|স্বার্থ|অক্ষম|অযোগ্য|বোকা|কৃপণ|হিংস"")),""valence-target অমিল"",""""),IF(COUNTIF($B:$B,B7160)&gt;1,""ডুপ্লিকেট"",""""))"),"")</f>
        <v/>
      </c>
      <c r="Q7160" s="5" t="str">
        <f t="shared" si="1"/>
        <v>২ পরে</v>
      </c>
    </row>
    <row r="7161">
      <c r="A7161" s="4">
        <v>5262.0</v>
      </c>
      <c r="B7161" s="2" t="s">
        <v>29030</v>
      </c>
      <c r="C7161" s="2" t="s">
        <v>29031</v>
      </c>
      <c r="D7161" s="2" t="s">
        <v>20321</v>
      </c>
      <c r="E7161" s="2" t="s">
        <v>29032</v>
      </c>
      <c r="F7161" s="2" t="b">
        <v>1</v>
      </c>
      <c r="G7161" s="2" t="b">
        <v>0</v>
      </c>
      <c r="H7161" s="2" t="s">
        <v>37</v>
      </c>
      <c r="I7161" s="2" t="s">
        <v>22</v>
      </c>
      <c r="J7161" s="2" t="s">
        <v>17749</v>
      </c>
      <c r="K7161" s="2" t="s">
        <v>495</v>
      </c>
      <c r="L7161" s="13" t="s">
        <v>496</v>
      </c>
      <c r="M7161" s="2" t="s">
        <v>26</v>
      </c>
      <c r="N7161" s="29"/>
      <c r="O7161" s="29"/>
      <c r="P7161" s="5" t="str">
        <f>IFERROR(__xludf.DUMMYFUNCTION("TEXTJOIN("" | "",TRUE,IF(OR(D7161="""",E7161="""",I7161="""",J7161="""",H7161=""""),""ফাঁকা ঘর"",""""),IF(AND(C7161&lt;&gt;"""",D7161&lt;&gt;"""",C7161=D7161),""gloss=figurative"",""""),IF(LEN(D7161)&lt;15,""figurative ছোট"",""""),IF(AND(I7161=""Positive"",REGEXMATCH(H7"&amp;"161,""মূর্খ|ভণ্ড|প্রতার|অলস|লোভ|স্বার্থ|অক্ষম|অযোগ্য|বোকা|কৃপণ|হিংস"")),""valence-target অমিল"",""""),IF(COUNTIF($B:$B,B7161)&gt;1,""ডুপ্লিকেট"",""""))"),"")</f>
        <v/>
      </c>
      <c r="Q7161" s="5" t="str">
        <f t="shared" si="1"/>
        <v>২ পরে</v>
      </c>
    </row>
    <row r="7162">
      <c r="A7162" s="4">
        <v>5264.0</v>
      </c>
      <c r="B7162" s="2" t="s">
        <v>29033</v>
      </c>
      <c r="C7162" s="2" t="s">
        <v>29034</v>
      </c>
      <c r="D7162" s="2" t="s">
        <v>29016</v>
      </c>
      <c r="E7162" s="2" t="s">
        <v>29035</v>
      </c>
      <c r="F7162" s="2" t="b">
        <v>1</v>
      </c>
      <c r="G7162" s="2" t="b">
        <v>0</v>
      </c>
      <c r="H7162" s="2" t="s">
        <v>37</v>
      </c>
      <c r="I7162" s="2" t="s">
        <v>22</v>
      </c>
      <c r="J7162" s="2" t="s">
        <v>29018</v>
      </c>
      <c r="K7162" s="2" t="s">
        <v>495</v>
      </c>
      <c r="L7162" s="13" t="s">
        <v>496</v>
      </c>
      <c r="M7162" s="2" t="s">
        <v>26</v>
      </c>
      <c r="N7162" s="29"/>
      <c r="O7162" s="29"/>
      <c r="P7162" s="5" t="str">
        <f>IFERROR(__xludf.DUMMYFUNCTION("TEXTJOIN("" | "",TRUE,IF(OR(D7162="""",E7162="""",I7162="""",J7162="""",H7162=""""),""ফাঁকা ঘর"",""""),IF(AND(C7162&lt;&gt;"""",D7162&lt;&gt;"""",C7162=D7162),""gloss=figurative"",""""),IF(LEN(D7162)&lt;15,""figurative ছোট"",""""),IF(AND(I7162=""Positive"",REGEXMATCH(H7"&amp;"162,""মূর্খ|ভণ্ড|প্রতার|অলস|লোভ|স্বার্থ|অক্ষম|অযোগ্য|বোকা|কৃপণ|হিংস"")),""valence-target অমিল"",""""),IF(COUNTIF($B:$B,B7162)&gt;1,""ডুপ্লিকেট"",""""))"),"")</f>
        <v/>
      </c>
      <c r="Q7162" s="5" t="str">
        <f t="shared" si="1"/>
        <v>২ পরে</v>
      </c>
    </row>
    <row r="7163">
      <c r="A7163" s="4">
        <v>5265.0</v>
      </c>
      <c r="B7163" s="2" t="s">
        <v>29036</v>
      </c>
      <c r="C7163" s="2" t="s">
        <v>29037</v>
      </c>
      <c r="D7163" s="2" t="s">
        <v>29038</v>
      </c>
      <c r="E7163" s="2" t="s">
        <v>29039</v>
      </c>
      <c r="F7163" s="2" t="b">
        <v>1</v>
      </c>
      <c r="G7163" s="2" t="b">
        <v>0</v>
      </c>
      <c r="H7163" s="2" t="s">
        <v>37</v>
      </c>
      <c r="I7163" s="2" t="s">
        <v>22</v>
      </c>
      <c r="J7163" s="2" t="s">
        <v>820</v>
      </c>
      <c r="K7163" s="2" t="s">
        <v>495</v>
      </c>
      <c r="L7163" s="13" t="s">
        <v>496</v>
      </c>
      <c r="M7163" s="2" t="s">
        <v>26</v>
      </c>
      <c r="N7163" s="29"/>
      <c r="O7163" s="29"/>
      <c r="P7163" s="5" t="str">
        <f>IFERROR(__xludf.DUMMYFUNCTION("TEXTJOIN("" | "",TRUE,IF(OR(D7163="""",E7163="""",I7163="""",J7163="""",H7163=""""),""ফাঁকা ঘর"",""""),IF(AND(C7163&lt;&gt;"""",D7163&lt;&gt;"""",C7163=D7163),""gloss=figurative"",""""),IF(LEN(D7163)&lt;15,""figurative ছোট"",""""),IF(AND(I7163=""Positive"",REGEXMATCH(H7"&amp;"163,""মূর্খ|ভণ্ড|প্রতার|অলস|লোভ|স্বার্থ|অক্ষম|অযোগ্য|বোকা|কৃপণ|হিংস"")),""valence-target অমিল"",""""),IF(COUNTIF($B:$B,B7163)&gt;1,""ডুপ্লিকেট"",""""))"),"")</f>
        <v/>
      </c>
      <c r="Q7163" s="5" t="str">
        <f t="shared" si="1"/>
        <v>২ পরে</v>
      </c>
    </row>
    <row r="7164">
      <c r="A7164" s="4">
        <v>5266.0</v>
      </c>
      <c r="B7164" s="2" t="s">
        <v>29040</v>
      </c>
      <c r="C7164" s="2" t="s">
        <v>29041</v>
      </c>
      <c r="D7164" s="2" t="s">
        <v>29042</v>
      </c>
      <c r="E7164" s="2" t="s">
        <v>29043</v>
      </c>
      <c r="F7164" s="2" t="b">
        <v>1</v>
      </c>
      <c r="G7164" s="2" t="b">
        <v>0</v>
      </c>
      <c r="H7164" s="2" t="s">
        <v>37</v>
      </c>
      <c r="I7164" s="2" t="s">
        <v>22</v>
      </c>
      <c r="J7164" s="2" t="s">
        <v>820</v>
      </c>
      <c r="K7164" s="2" t="s">
        <v>495</v>
      </c>
      <c r="L7164" s="13" t="s">
        <v>496</v>
      </c>
      <c r="M7164" s="2" t="s">
        <v>26</v>
      </c>
      <c r="N7164" s="29"/>
      <c r="O7164" s="29"/>
      <c r="P7164" s="5" t="str">
        <f>IFERROR(__xludf.DUMMYFUNCTION("TEXTJOIN("" | "",TRUE,IF(OR(D7164="""",E7164="""",I7164="""",J7164="""",H7164=""""),""ফাঁকা ঘর"",""""),IF(AND(C7164&lt;&gt;"""",D7164&lt;&gt;"""",C7164=D7164),""gloss=figurative"",""""),IF(LEN(D7164)&lt;15,""figurative ছোট"",""""),IF(AND(I7164=""Positive"",REGEXMATCH(H7"&amp;"164,""মূর্খ|ভণ্ড|প্রতার|অলস|লোভ|স্বার্থ|অক্ষম|অযোগ্য|বোকা|কৃপণ|হিংস"")),""valence-target অমিল"",""""),IF(COUNTIF($B:$B,B7164)&gt;1,""ডুপ্লিকেট"",""""))"),"")</f>
        <v/>
      </c>
      <c r="Q7164" s="5" t="str">
        <f t="shared" si="1"/>
        <v>২ পরে</v>
      </c>
    </row>
    <row r="7165">
      <c r="A7165" s="4">
        <v>5267.0</v>
      </c>
      <c r="B7165" s="2" t="s">
        <v>29044</v>
      </c>
      <c r="C7165" s="2" t="s">
        <v>29045</v>
      </c>
      <c r="D7165" s="2" t="s">
        <v>29046</v>
      </c>
      <c r="E7165" s="2" t="s">
        <v>29047</v>
      </c>
      <c r="F7165" s="2" t="b">
        <v>1</v>
      </c>
      <c r="G7165" s="2" t="b">
        <v>0</v>
      </c>
      <c r="H7165" s="2" t="s">
        <v>37</v>
      </c>
      <c r="I7165" s="2" t="s">
        <v>22</v>
      </c>
      <c r="J7165" s="2" t="s">
        <v>4688</v>
      </c>
      <c r="K7165" s="2" t="s">
        <v>495</v>
      </c>
      <c r="L7165" s="13" t="s">
        <v>496</v>
      </c>
      <c r="M7165" s="2" t="s">
        <v>26</v>
      </c>
      <c r="N7165" s="29"/>
      <c r="O7165" s="29"/>
      <c r="P7165" s="5" t="str">
        <f>IFERROR(__xludf.DUMMYFUNCTION("TEXTJOIN("" | "",TRUE,IF(OR(D7165="""",E7165="""",I7165="""",J7165="""",H7165=""""),""ফাঁকা ঘর"",""""),IF(AND(C7165&lt;&gt;"""",D7165&lt;&gt;"""",C7165=D7165),""gloss=figurative"",""""),IF(LEN(D7165)&lt;15,""figurative ছোট"",""""),IF(AND(I7165=""Positive"",REGEXMATCH(H7"&amp;"165,""মূর্খ|ভণ্ড|প্রতার|অলস|লোভ|স্বার্থ|অক্ষম|অযোগ্য|বোকা|কৃপণ|হিংস"")),""valence-target অমিল"",""""),IF(COUNTIF($B:$B,B7165)&gt;1,""ডুপ্লিকেট"",""""))"),"")</f>
        <v/>
      </c>
      <c r="Q7165" s="5" t="str">
        <f t="shared" si="1"/>
        <v>২ পরে</v>
      </c>
    </row>
    <row r="7166">
      <c r="A7166" s="4">
        <v>5268.0</v>
      </c>
      <c r="B7166" s="2" t="s">
        <v>29048</v>
      </c>
      <c r="C7166" s="2" t="s">
        <v>29049</v>
      </c>
      <c r="D7166" s="2" t="s">
        <v>29050</v>
      </c>
      <c r="E7166" s="2" t="s">
        <v>29051</v>
      </c>
      <c r="F7166" s="2" t="b">
        <v>1</v>
      </c>
      <c r="G7166" s="2" t="b">
        <v>1</v>
      </c>
      <c r="H7166" s="2" t="s">
        <v>1106</v>
      </c>
      <c r="I7166" s="2" t="s">
        <v>32</v>
      </c>
      <c r="J7166" s="2" t="s">
        <v>1315</v>
      </c>
      <c r="K7166" s="2" t="s">
        <v>495</v>
      </c>
      <c r="L7166" s="13" t="s">
        <v>496</v>
      </c>
      <c r="M7166" s="2" t="s">
        <v>26</v>
      </c>
      <c r="N7166" s="29"/>
      <c r="O7166" s="29"/>
      <c r="P7166" s="5" t="str">
        <f>IFERROR(__xludf.DUMMYFUNCTION("TEXTJOIN("" | "",TRUE,IF(OR(D7166="""",E7166="""",I7166="""",J7166="""",H7166=""""),""ফাঁকা ঘর"",""""),IF(AND(C7166&lt;&gt;"""",D7166&lt;&gt;"""",C7166=D7166),""gloss=figurative"",""""),IF(LEN(D7166)&lt;15,""figurative ছোট"",""""),IF(AND(I7166=""Positive"",REGEXMATCH(H7"&amp;"166,""মূর্খ|ভণ্ড|প্রতার|অলস|লোভ|স্বার্থ|অক্ষম|অযোগ্য|বোকা|কৃপণ|হিংস"")),""valence-target অমিল"",""""),IF(COUNTIF($B:$B,B7166)&gt;1,""ডুপ্লিকেট"",""""))"),"")</f>
        <v/>
      </c>
      <c r="Q7166" s="5" t="str">
        <f t="shared" si="1"/>
        <v>২ পরে</v>
      </c>
    </row>
    <row r="7167">
      <c r="A7167" s="4">
        <v>5270.0</v>
      </c>
      <c r="B7167" s="2" t="s">
        <v>29052</v>
      </c>
      <c r="C7167" s="2" t="s">
        <v>29053</v>
      </c>
      <c r="D7167" s="2" t="s">
        <v>29054</v>
      </c>
      <c r="E7167" s="2" t="s">
        <v>29055</v>
      </c>
      <c r="F7167" s="2" t="b">
        <v>1</v>
      </c>
      <c r="G7167" s="2" t="b">
        <v>0</v>
      </c>
      <c r="H7167" s="2" t="s">
        <v>37</v>
      </c>
      <c r="I7167" s="2" t="s">
        <v>22</v>
      </c>
      <c r="J7167" s="2" t="s">
        <v>723</v>
      </c>
      <c r="K7167" s="2" t="s">
        <v>495</v>
      </c>
      <c r="L7167" s="13" t="s">
        <v>496</v>
      </c>
      <c r="M7167" s="2" t="s">
        <v>26</v>
      </c>
      <c r="N7167" s="29"/>
      <c r="O7167" s="29"/>
      <c r="P7167" s="5" t="str">
        <f>IFERROR(__xludf.DUMMYFUNCTION("TEXTJOIN("" | "",TRUE,IF(OR(D7167="""",E7167="""",I7167="""",J7167="""",H7167=""""),""ফাঁকা ঘর"",""""),IF(AND(C7167&lt;&gt;"""",D7167&lt;&gt;"""",C7167=D7167),""gloss=figurative"",""""),IF(LEN(D7167)&lt;15,""figurative ছোট"",""""),IF(AND(I7167=""Positive"",REGEXMATCH(H7"&amp;"167,""মূর্খ|ভণ্ড|প্রতার|অলস|লোভ|স্বার্থ|অক্ষম|অযোগ্য|বোকা|কৃপণ|হিংস"")),""valence-target অমিল"",""""),IF(COUNTIF($B:$B,B7167)&gt;1,""ডুপ্লিকেট"",""""))"),"")</f>
        <v/>
      </c>
      <c r="Q7167" s="5" t="str">
        <f t="shared" si="1"/>
        <v>২ পরে</v>
      </c>
    </row>
    <row r="7168">
      <c r="A7168" s="4">
        <v>5271.0</v>
      </c>
      <c r="B7168" s="2" t="s">
        <v>29056</v>
      </c>
      <c r="C7168" s="2" t="s">
        <v>29057</v>
      </c>
      <c r="D7168" s="2" t="s">
        <v>29058</v>
      </c>
      <c r="E7168" s="2" t="s">
        <v>29059</v>
      </c>
      <c r="F7168" s="2" t="b">
        <v>1</v>
      </c>
      <c r="G7168" s="2" t="b">
        <v>0</v>
      </c>
      <c r="H7168" s="2" t="s">
        <v>37</v>
      </c>
      <c r="I7168" s="2" t="s">
        <v>22</v>
      </c>
      <c r="J7168" s="2" t="s">
        <v>2869</v>
      </c>
      <c r="K7168" s="2" t="s">
        <v>495</v>
      </c>
      <c r="L7168" s="13" t="s">
        <v>496</v>
      </c>
      <c r="M7168" s="2" t="s">
        <v>26</v>
      </c>
      <c r="N7168" s="29"/>
      <c r="O7168" s="29"/>
      <c r="P7168" s="5" t="str">
        <f>IFERROR(__xludf.DUMMYFUNCTION("TEXTJOIN("" | "",TRUE,IF(OR(D7168="""",E7168="""",I7168="""",J7168="""",H7168=""""),""ফাঁকা ঘর"",""""),IF(AND(C7168&lt;&gt;"""",D7168&lt;&gt;"""",C7168=D7168),""gloss=figurative"",""""),IF(LEN(D7168)&lt;15,""figurative ছোট"",""""),IF(AND(I7168=""Positive"",REGEXMATCH(H7"&amp;"168,""মূর্খ|ভণ্ড|প্রতার|অলস|লোভ|স্বার্থ|অক্ষম|অযোগ্য|বোকা|কৃপণ|হিংস"")),""valence-target অমিল"",""""),IF(COUNTIF($B:$B,B7168)&gt;1,""ডুপ্লিকেট"",""""))"),"")</f>
        <v/>
      </c>
      <c r="Q7168" s="5" t="str">
        <f t="shared" si="1"/>
        <v>২ পরে</v>
      </c>
    </row>
    <row r="7169">
      <c r="A7169" s="4">
        <v>5273.0</v>
      </c>
      <c r="B7169" s="2" t="s">
        <v>29060</v>
      </c>
      <c r="C7169" s="2" t="s">
        <v>29061</v>
      </c>
      <c r="D7169" s="2" t="s">
        <v>29062</v>
      </c>
      <c r="E7169" s="2" t="s">
        <v>29063</v>
      </c>
      <c r="F7169" s="2" t="b">
        <v>1</v>
      </c>
      <c r="G7169" s="2" t="b">
        <v>0</v>
      </c>
      <c r="H7169" s="2" t="s">
        <v>37</v>
      </c>
      <c r="I7169" s="2" t="s">
        <v>32</v>
      </c>
      <c r="J7169" s="2" t="s">
        <v>2108</v>
      </c>
      <c r="K7169" s="2" t="s">
        <v>495</v>
      </c>
      <c r="L7169" s="13" t="s">
        <v>496</v>
      </c>
      <c r="M7169" s="2" t="s">
        <v>26</v>
      </c>
      <c r="N7169" s="29"/>
      <c r="O7169" s="29"/>
      <c r="P7169" s="5" t="str">
        <f>IFERROR(__xludf.DUMMYFUNCTION("TEXTJOIN("" | "",TRUE,IF(OR(D7169="""",E7169="""",I7169="""",J7169="""",H7169=""""),""ফাঁকা ঘর"",""""),IF(AND(C7169&lt;&gt;"""",D7169&lt;&gt;"""",C7169=D7169),""gloss=figurative"",""""),IF(LEN(D7169)&lt;15,""figurative ছোট"",""""),IF(AND(I7169=""Positive"",REGEXMATCH(H7"&amp;"169,""মূর্খ|ভণ্ড|প্রতার|অলস|লোভ|স্বার্থ|অক্ষম|অযোগ্য|বোকা|কৃপণ|হিংস"")),""valence-target অমিল"",""""),IF(COUNTIF($B:$B,B7169)&gt;1,""ডুপ্লিকেট"",""""))"),"")</f>
        <v/>
      </c>
      <c r="Q7169" s="5" t="str">
        <f t="shared" si="1"/>
        <v>২ পরে</v>
      </c>
    </row>
    <row r="7170">
      <c r="A7170" s="4">
        <v>5275.0</v>
      </c>
      <c r="B7170" s="2" t="s">
        <v>29064</v>
      </c>
      <c r="C7170" s="2" t="s">
        <v>29065</v>
      </c>
      <c r="D7170" s="2" t="s">
        <v>29066</v>
      </c>
      <c r="E7170" s="2" t="s">
        <v>29067</v>
      </c>
      <c r="F7170" s="2" t="b">
        <v>1</v>
      </c>
      <c r="G7170" s="2" t="b">
        <v>0</v>
      </c>
      <c r="H7170" s="2" t="s">
        <v>37</v>
      </c>
      <c r="I7170" s="2" t="s">
        <v>22</v>
      </c>
      <c r="J7170" s="2" t="s">
        <v>43</v>
      </c>
      <c r="K7170" s="2" t="s">
        <v>495</v>
      </c>
      <c r="L7170" s="13" t="s">
        <v>496</v>
      </c>
      <c r="M7170" s="2" t="s">
        <v>26</v>
      </c>
      <c r="N7170" s="29"/>
      <c r="O7170" s="29"/>
      <c r="P7170" s="5" t="str">
        <f>IFERROR(__xludf.DUMMYFUNCTION("TEXTJOIN("" | "",TRUE,IF(OR(D7170="""",E7170="""",I7170="""",J7170="""",H7170=""""),""ফাঁকা ঘর"",""""),IF(AND(C7170&lt;&gt;"""",D7170&lt;&gt;"""",C7170=D7170),""gloss=figurative"",""""),IF(LEN(D7170)&lt;15,""figurative ছোট"",""""),IF(AND(I7170=""Positive"",REGEXMATCH(H7"&amp;"170,""মূর্খ|ভণ্ড|প্রতার|অলস|লোভ|স্বার্থ|অক্ষম|অযোগ্য|বোকা|কৃপণ|হিংস"")),""valence-target অমিল"",""""),IF(COUNTIF($B:$B,B7170)&gt;1,""ডুপ্লিকেট"",""""))"),"")</f>
        <v/>
      </c>
      <c r="Q7170" s="5" t="str">
        <f t="shared" si="1"/>
        <v>২ পরে</v>
      </c>
    </row>
    <row r="7171">
      <c r="A7171" s="4">
        <v>5276.0</v>
      </c>
      <c r="B7171" s="2" t="s">
        <v>29068</v>
      </c>
      <c r="C7171" s="2" t="s">
        <v>29069</v>
      </c>
      <c r="D7171" s="2" t="s">
        <v>29070</v>
      </c>
      <c r="E7171" s="2" t="s">
        <v>29071</v>
      </c>
      <c r="F7171" s="2" t="b">
        <v>1</v>
      </c>
      <c r="G7171" s="2" t="b">
        <v>0</v>
      </c>
      <c r="H7171" s="2" t="s">
        <v>37</v>
      </c>
      <c r="I7171" s="2" t="s">
        <v>22</v>
      </c>
      <c r="J7171" s="2" t="s">
        <v>1397</v>
      </c>
      <c r="K7171" s="2" t="s">
        <v>495</v>
      </c>
      <c r="L7171" s="13" t="s">
        <v>496</v>
      </c>
      <c r="M7171" s="2" t="s">
        <v>26</v>
      </c>
      <c r="N7171" s="29"/>
      <c r="O7171" s="29"/>
      <c r="P7171" s="5" t="str">
        <f>IFERROR(__xludf.DUMMYFUNCTION("TEXTJOIN("" | "",TRUE,IF(OR(D7171="""",E7171="""",I7171="""",J7171="""",H7171=""""),""ফাঁকা ঘর"",""""),IF(AND(C7171&lt;&gt;"""",D7171&lt;&gt;"""",C7171=D7171),""gloss=figurative"",""""),IF(LEN(D7171)&lt;15,""figurative ছোট"",""""),IF(AND(I7171=""Positive"",REGEXMATCH(H7"&amp;"171,""মূর্খ|ভণ্ড|প্রতার|অলস|লোভ|স্বার্থ|অক্ষম|অযোগ্য|বোকা|কৃপণ|হিংস"")),""valence-target অমিল"",""""),IF(COUNTIF($B:$B,B7171)&gt;1,""ডুপ্লিকেট"",""""))"),"")</f>
        <v/>
      </c>
      <c r="Q7171" s="5" t="str">
        <f t="shared" si="1"/>
        <v>২ পরে</v>
      </c>
    </row>
    <row r="7172">
      <c r="A7172" s="4">
        <v>5277.0</v>
      </c>
      <c r="B7172" s="2" t="s">
        <v>29072</v>
      </c>
      <c r="C7172" s="2" t="s">
        <v>29073</v>
      </c>
      <c r="D7172" s="2" t="s">
        <v>29074</v>
      </c>
      <c r="E7172" s="2" t="s">
        <v>29075</v>
      </c>
      <c r="F7172" s="2" t="b">
        <v>1</v>
      </c>
      <c r="G7172" s="2" t="b">
        <v>0</v>
      </c>
      <c r="H7172" s="2" t="s">
        <v>37</v>
      </c>
      <c r="I7172" s="2" t="s">
        <v>49</v>
      </c>
      <c r="J7172" s="2" t="s">
        <v>2040</v>
      </c>
      <c r="K7172" s="2" t="s">
        <v>495</v>
      </c>
      <c r="L7172" s="13" t="s">
        <v>496</v>
      </c>
      <c r="M7172" s="2" t="s">
        <v>26</v>
      </c>
      <c r="N7172" s="29"/>
      <c r="O7172" s="29"/>
      <c r="P7172" s="5" t="str">
        <f>IFERROR(__xludf.DUMMYFUNCTION("TEXTJOIN("" | "",TRUE,IF(OR(D7172="""",E7172="""",I7172="""",J7172="""",H7172=""""),""ফাঁকা ঘর"",""""),IF(AND(C7172&lt;&gt;"""",D7172&lt;&gt;"""",C7172=D7172),""gloss=figurative"",""""),IF(LEN(D7172)&lt;15,""figurative ছোট"",""""),IF(AND(I7172=""Positive"",REGEXMATCH(H7"&amp;"172,""মূর্খ|ভণ্ড|প্রতার|অলস|লোভ|স্বার্থ|অক্ষম|অযোগ্য|বোকা|কৃপণ|হিংস"")),""valence-target অমিল"",""""),IF(COUNTIF($B:$B,B7172)&gt;1,""ডুপ্লিকেট"",""""))"),"")</f>
        <v/>
      </c>
      <c r="Q7172" s="5" t="str">
        <f t="shared" si="1"/>
        <v>২ পরে</v>
      </c>
    </row>
    <row r="7173">
      <c r="A7173" s="4">
        <v>5278.0</v>
      </c>
      <c r="B7173" s="2" t="s">
        <v>29076</v>
      </c>
      <c r="C7173" s="2" t="s">
        <v>29077</v>
      </c>
      <c r="D7173" s="2" t="s">
        <v>29078</v>
      </c>
      <c r="E7173" s="2" t="s">
        <v>29079</v>
      </c>
      <c r="F7173" s="2" t="b">
        <v>1</v>
      </c>
      <c r="G7173" s="2" t="b">
        <v>0</v>
      </c>
      <c r="H7173" s="2" t="s">
        <v>37</v>
      </c>
      <c r="I7173" s="2" t="s">
        <v>22</v>
      </c>
      <c r="J7173" s="2" t="s">
        <v>1803</v>
      </c>
      <c r="K7173" s="2" t="s">
        <v>495</v>
      </c>
      <c r="L7173" s="13" t="s">
        <v>496</v>
      </c>
      <c r="M7173" s="2" t="s">
        <v>26</v>
      </c>
      <c r="N7173" s="29"/>
      <c r="O7173" s="29"/>
      <c r="P7173" s="5" t="str">
        <f>IFERROR(__xludf.DUMMYFUNCTION("TEXTJOIN("" | "",TRUE,IF(OR(D7173="""",E7173="""",I7173="""",J7173="""",H7173=""""),""ফাঁকা ঘর"",""""),IF(AND(C7173&lt;&gt;"""",D7173&lt;&gt;"""",C7173=D7173),""gloss=figurative"",""""),IF(LEN(D7173)&lt;15,""figurative ছোট"",""""),IF(AND(I7173=""Positive"",REGEXMATCH(H7"&amp;"173,""মূর্খ|ভণ্ড|প্রতার|অলস|লোভ|স্বার্থ|অক্ষম|অযোগ্য|বোকা|কৃপণ|হিংস"")),""valence-target অমিল"",""""),IF(COUNTIF($B:$B,B7173)&gt;1,""ডুপ্লিকেট"",""""))"),"")</f>
        <v/>
      </c>
      <c r="Q7173" s="5" t="str">
        <f t="shared" si="1"/>
        <v>২ পরে</v>
      </c>
    </row>
    <row r="7174">
      <c r="A7174" s="4">
        <v>5279.0</v>
      </c>
      <c r="B7174" s="2" t="s">
        <v>29080</v>
      </c>
      <c r="C7174" s="2" t="s">
        <v>29081</v>
      </c>
      <c r="D7174" s="2" t="s">
        <v>29082</v>
      </c>
      <c r="E7174" s="2" t="s">
        <v>29083</v>
      </c>
      <c r="F7174" s="2" t="b">
        <v>1</v>
      </c>
      <c r="G7174" s="2" t="b">
        <v>0</v>
      </c>
      <c r="H7174" s="2" t="s">
        <v>37</v>
      </c>
      <c r="I7174" s="2" t="s">
        <v>49</v>
      </c>
      <c r="J7174" s="2" t="s">
        <v>1803</v>
      </c>
      <c r="K7174" s="2" t="s">
        <v>495</v>
      </c>
      <c r="L7174" s="13" t="s">
        <v>496</v>
      </c>
      <c r="M7174" s="2" t="s">
        <v>26</v>
      </c>
      <c r="N7174" s="29"/>
      <c r="O7174" s="29"/>
      <c r="P7174" s="5" t="str">
        <f>IFERROR(__xludf.DUMMYFUNCTION("TEXTJOIN("" | "",TRUE,IF(OR(D7174="""",E7174="""",I7174="""",J7174="""",H7174=""""),""ফাঁকা ঘর"",""""),IF(AND(C7174&lt;&gt;"""",D7174&lt;&gt;"""",C7174=D7174),""gloss=figurative"",""""),IF(LEN(D7174)&lt;15,""figurative ছোট"",""""),IF(AND(I7174=""Positive"",REGEXMATCH(H7"&amp;"174,""মূর্খ|ভণ্ড|প্রতার|অলস|লোভ|স্বার্থ|অক্ষম|অযোগ্য|বোকা|কৃপণ|হিংস"")),""valence-target অমিল"",""""),IF(COUNTIF($B:$B,B7174)&gt;1,""ডুপ্লিকেট"",""""))"),"")</f>
        <v/>
      </c>
      <c r="Q7174" s="5" t="str">
        <f t="shared" si="1"/>
        <v>২ পরে</v>
      </c>
    </row>
    <row r="7175">
      <c r="A7175" s="4">
        <v>5281.0</v>
      </c>
      <c r="B7175" s="2" t="s">
        <v>29084</v>
      </c>
      <c r="C7175" s="2" t="s">
        <v>29085</v>
      </c>
      <c r="D7175" s="2" t="s">
        <v>29086</v>
      </c>
      <c r="E7175" s="2" t="s">
        <v>29087</v>
      </c>
      <c r="F7175" s="2" t="b">
        <v>1</v>
      </c>
      <c r="G7175" s="2" t="b">
        <v>0</v>
      </c>
      <c r="H7175" s="2" t="s">
        <v>37</v>
      </c>
      <c r="I7175" s="2" t="s">
        <v>32</v>
      </c>
      <c r="J7175" s="2" t="s">
        <v>1803</v>
      </c>
      <c r="K7175" s="2" t="s">
        <v>495</v>
      </c>
      <c r="L7175" s="13" t="s">
        <v>496</v>
      </c>
      <c r="M7175" s="2" t="s">
        <v>26</v>
      </c>
      <c r="N7175" s="29"/>
      <c r="O7175" s="29"/>
      <c r="P7175" s="5" t="str">
        <f>IFERROR(__xludf.DUMMYFUNCTION("TEXTJOIN("" | "",TRUE,IF(OR(D7175="""",E7175="""",I7175="""",J7175="""",H7175=""""),""ফাঁকা ঘর"",""""),IF(AND(C7175&lt;&gt;"""",D7175&lt;&gt;"""",C7175=D7175),""gloss=figurative"",""""),IF(LEN(D7175)&lt;15,""figurative ছোট"",""""),IF(AND(I7175=""Positive"",REGEXMATCH(H7"&amp;"175,""মূর্খ|ভণ্ড|প্রতার|অলস|লোভ|স্বার্থ|অক্ষম|অযোগ্য|বোকা|কৃপণ|হিংস"")),""valence-target অমিল"",""""),IF(COUNTIF($B:$B,B7175)&gt;1,""ডুপ্লিকেট"",""""))"),"")</f>
        <v/>
      </c>
      <c r="Q7175" s="5" t="str">
        <f t="shared" si="1"/>
        <v>২ পরে</v>
      </c>
    </row>
    <row r="7176">
      <c r="A7176" s="4">
        <v>5282.0</v>
      </c>
      <c r="B7176" s="2" t="s">
        <v>29088</v>
      </c>
      <c r="C7176" s="2" t="s">
        <v>29089</v>
      </c>
      <c r="D7176" s="2" t="s">
        <v>29090</v>
      </c>
      <c r="E7176" s="2" t="s">
        <v>29091</v>
      </c>
      <c r="F7176" s="2" t="b">
        <v>1</v>
      </c>
      <c r="G7176" s="2" t="b">
        <v>0</v>
      </c>
      <c r="H7176" s="2" t="s">
        <v>37</v>
      </c>
      <c r="I7176" s="2" t="s">
        <v>49</v>
      </c>
      <c r="J7176" s="2" t="s">
        <v>1803</v>
      </c>
      <c r="K7176" s="2" t="s">
        <v>495</v>
      </c>
      <c r="L7176" s="13" t="s">
        <v>496</v>
      </c>
      <c r="M7176" s="2" t="s">
        <v>26</v>
      </c>
      <c r="N7176" s="29"/>
      <c r="O7176" s="29"/>
      <c r="P7176" s="5" t="str">
        <f>IFERROR(__xludf.DUMMYFUNCTION("TEXTJOIN("" | "",TRUE,IF(OR(D7176="""",E7176="""",I7176="""",J7176="""",H7176=""""),""ফাঁকা ঘর"",""""),IF(AND(C7176&lt;&gt;"""",D7176&lt;&gt;"""",C7176=D7176),""gloss=figurative"",""""),IF(LEN(D7176)&lt;15,""figurative ছোট"",""""),IF(AND(I7176=""Positive"",REGEXMATCH(H7"&amp;"176,""মূর্খ|ভণ্ড|প্রতার|অলস|লোভ|স্বার্থ|অক্ষম|অযোগ্য|বোকা|কৃপণ|হিংস"")),""valence-target অমিল"",""""),IF(COUNTIF($B:$B,B7176)&gt;1,""ডুপ্লিকেট"",""""))"),"")</f>
        <v/>
      </c>
      <c r="Q7176" s="5" t="str">
        <f t="shared" si="1"/>
        <v>২ পরে</v>
      </c>
    </row>
    <row r="7177">
      <c r="A7177" s="4">
        <v>5283.0</v>
      </c>
      <c r="B7177" s="2" t="s">
        <v>29092</v>
      </c>
      <c r="C7177" s="2" t="s">
        <v>29092</v>
      </c>
      <c r="D7177" s="2" t="s">
        <v>29093</v>
      </c>
      <c r="E7177" s="2" t="s">
        <v>29094</v>
      </c>
      <c r="F7177" s="2" t="b">
        <v>1</v>
      </c>
      <c r="G7177" s="2" t="b">
        <v>0</v>
      </c>
      <c r="H7177" s="2" t="s">
        <v>37</v>
      </c>
      <c r="I7177" s="2" t="s">
        <v>22</v>
      </c>
      <c r="J7177" s="2" t="s">
        <v>836</v>
      </c>
      <c r="K7177" s="2" t="s">
        <v>495</v>
      </c>
      <c r="L7177" s="13" t="s">
        <v>496</v>
      </c>
      <c r="M7177" s="2" t="s">
        <v>26</v>
      </c>
      <c r="N7177" s="29"/>
      <c r="O7177" s="29"/>
      <c r="P7177" s="5" t="str">
        <f>IFERROR(__xludf.DUMMYFUNCTION("TEXTJOIN("" | "",TRUE,IF(OR(D7177="""",E7177="""",I7177="""",J7177="""",H7177=""""),""ফাঁকা ঘর"",""""),IF(AND(C7177&lt;&gt;"""",D7177&lt;&gt;"""",C7177=D7177),""gloss=figurative"",""""),IF(LEN(D7177)&lt;15,""figurative ছোট"",""""),IF(AND(I7177=""Positive"",REGEXMATCH(H7"&amp;"177,""মূর্খ|ভণ্ড|প্রতার|অলস|লোভ|স্বার্থ|অক্ষম|অযোগ্য|বোকা|কৃপণ|হিংস"")),""valence-target অমিল"",""""),IF(COUNTIF($B:$B,B7177)&gt;1,""ডুপ্লিকেট"",""""))"),"")</f>
        <v/>
      </c>
      <c r="Q7177" s="5" t="str">
        <f t="shared" si="1"/>
        <v>২ পরে</v>
      </c>
    </row>
    <row r="7178">
      <c r="A7178" s="4">
        <v>5284.0</v>
      </c>
      <c r="B7178" s="2" t="s">
        <v>29095</v>
      </c>
      <c r="C7178" s="2" t="s">
        <v>29096</v>
      </c>
      <c r="D7178" s="2" t="s">
        <v>29097</v>
      </c>
      <c r="E7178" s="2" t="s">
        <v>29098</v>
      </c>
      <c r="F7178" s="2" t="b">
        <v>1</v>
      </c>
      <c r="G7178" s="2" t="b">
        <v>0</v>
      </c>
      <c r="H7178" s="2" t="s">
        <v>37</v>
      </c>
      <c r="I7178" s="2" t="s">
        <v>22</v>
      </c>
      <c r="J7178" s="2" t="s">
        <v>1717</v>
      </c>
      <c r="K7178" s="2" t="s">
        <v>495</v>
      </c>
      <c r="L7178" s="13" t="s">
        <v>496</v>
      </c>
      <c r="M7178" s="2" t="s">
        <v>26</v>
      </c>
      <c r="N7178" s="29"/>
      <c r="O7178" s="29"/>
      <c r="P7178" s="5" t="str">
        <f>IFERROR(__xludf.DUMMYFUNCTION("TEXTJOIN("" | "",TRUE,IF(OR(D7178="""",E7178="""",I7178="""",J7178="""",H7178=""""),""ফাঁকা ঘর"",""""),IF(AND(C7178&lt;&gt;"""",D7178&lt;&gt;"""",C7178=D7178),""gloss=figurative"",""""),IF(LEN(D7178)&lt;15,""figurative ছোট"",""""),IF(AND(I7178=""Positive"",REGEXMATCH(H7"&amp;"178,""মূর্খ|ভণ্ড|প্রতার|অলস|লোভ|স্বার্থ|অক্ষম|অযোগ্য|বোকা|কৃপণ|হিংস"")),""valence-target অমিল"",""""),IF(COUNTIF($B:$B,B7178)&gt;1,""ডুপ্লিকেট"",""""))"),"")</f>
        <v/>
      </c>
      <c r="Q7178" s="5" t="str">
        <f t="shared" si="1"/>
        <v>২ পরে</v>
      </c>
    </row>
    <row r="7179">
      <c r="A7179" s="4">
        <v>5285.0</v>
      </c>
      <c r="B7179" s="2" t="s">
        <v>29099</v>
      </c>
      <c r="C7179" s="2" t="s">
        <v>29100</v>
      </c>
      <c r="D7179" s="2" t="s">
        <v>29101</v>
      </c>
      <c r="E7179" s="2" t="s">
        <v>29102</v>
      </c>
      <c r="F7179" s="2" t="b">
        <v>1</v>
      </c>
      <c r="G7179" s="2" t="b">
        <v>0</v>
      </c>
      <c r="H7179" s="2" t="s">
        <v>37</v>
      </c>
      <c r="I7179" s="2" t="s">
        <v>22</v>
      </c>
      <c r="J7179" s="2" t="s">
        <v>820</v>
      </c>
      <c r="K7179" s="2" t="s">
        <v>495</v>
      </c>
      <c r="L7179" s="13" t="s">
        <v>496</v>
      </c>
      <c r="M7179" s="2" t="s">
        <v>26</v>
      </c>
      <c r="N7179" s="29"/>
      <c r="O7179" s="29"/>
      <c r="P7179" s="5" t="str">
        <f>IFERROR(__xludf.DUMMYFUNCTION("TEXTJOIN("" | "",TRUE,IF(OR(D7179="""",E7179="""",I7179="""",J7179="""",H7179=""""),""ফাঁকা ঘর"",""""),IF(AND(C7179&lt;&gt;"""",D7179&lt;&gt;"""",C7179=D7179),""gloss=figurative"",""""),IF(LEN(D7179)&lt;15,""figurative ছোট"",""""),IF(AND(I7179=""Positive"",REGEXMATCH(H7"&amp;"179,""মূর্খ|ভণ্ড|প্রতার|অলস|লোভ|স্বার্থ|অক্ষম|অযোগ্য|বোকা|কৃপণ|হিংস"")),""valence-target অমিল"",""""),IF(COUNTIF($B:$B,B7179)&gt;1,""ডুপ্লিকেট"",""""))"),"")</f>
        <v/>
      </c>
      <c r="Q7179" s="5" t="str">
        <f t="shared" si="1"/>
        <v>২ পরে</v>
      </c>
    </row>
    <row r="7180">
      <c r="A7180" s="4">
        <v>5287.0</v>
      </c>
      <c r="B7180" s="2" t="s">
        <v>29103</v>
      </c>
      <c r="C7180" s="2" t="s">
        <v>29104</v>
      </c>
      <c r="D7180" s="2" t="s">
        <v>29105</v>
      </c>
      <c r="E7180" s="2" t="s">
        <v>29106</v>
      </c>
      <c r="F7180" s="2" t="b">
        <v>1</v>
      </c>
      <c r="G7180" s="2" t="b">
        <v>0</v>
      </c>
      <c r="H7180" s="2" t="s">
        <v>37</v>
      </c>
      <c r="I7180" s="2" t="s">
        <v>22</v>
      </c>
      <c r="J7180" s="2" t="s">
        <v>1471</v>
      </c>
      <c r="K7180" s="2" t="s">
        <v>495</v>
      </c>
      <c r="L7180" s="13" t="s">
        <v>496</v>
      </c>
      <c r="M7180" s="2" t="s">
        <v>26</v>
      </c>
      <c r="N7180" s="29"/>
      <c r="O7180" s="29"/>
      <c r="P7180" s="5" t="str">
        <f>IFERROR(__xludf.DUMMYFUNCTION("TEXTJOIN("" | "",TRUE,IF(OR(D7180="""",E7180="""",I7180="""",J7180="""",H7180=""""),""ফাঁকা ঘর"",""""),IF(AND(C7180&lt;&gt;"""",D7180&lt;&gt;"""",C7180=D7180),""gloss=figurative"",""""),IF(LEN(D7180)&lt;15,""figurative ছোট"",""""),IF(AND(I7180=""Positive"",REGEXMATCH(H7"&amp;"180,""মূর্খ|ভণ্ড|প্রতার|অলস|লোভ|স্বার্থ|অক্ষম|অযোগ্য|বোকা|কৃপণ|হিংস"")),""valence-target অমিল"",""""),IF(COUNTIF($B:$B,B7180)&gt;1,""ডুপ্লিকেট"",""""))"),"")</f>
        <v/>
      </c>
      <c r="Q7180" s="5" t="str">
        <f t="shared" si="1"/>
        <v>২ পরে</v>
      </c>
    </row>
    <row r="7181">
      <c r="A7181" s="4">
        <v>5288.0</v>
      </c>
      <c r="B7181" s="2" t="s">
        <v>29107</v>
      </c>
      <c r="C7181" s="2" t="s">
        <v>29108</v>
      </c>
      <c r="D7181" s="2" t="s">
        <v>29109</v>
      </c>
      <c r="E7181" s="2" t="s">
        <v>29110</v>
      </c>
      <c r="F7181" s="2" t="b">
        <v>1</v>
      </c>
      <c r="G7181" s="2" t="b">
        <v>0</v>
      </c>
      <c r="H7181" s="2" t="s">
        <v>37</v>
      </c>
      <c r="I7181" s="2" t="s">
        <v>49</v>
      </c>
      <c r="J7181" s="2" t="s">
        <v>1813</v>
      </c>
      <c r="K7181" s="2" t="s">
        <v>495</v>
      </c>
      <c r="L7181" s="13" t="s">
        <v>496</v>
      </c>
      <c r="M7181" s="2" t="s">
        <v>26</v>
      </c>
      <c r="N7181" s="29"/>
      <c r="O7181" s="29"/>
      <c r="P7181" s="5" t="str">
        <f>IFERROR(__xludf.DUMMYFUNCTION("TEXTJOIN("" | "",TRUE,IF(OR(D7181="""",E7181="""",I7181="""",J7181="""",H7181=""""),""ফাঁকা ঘর"",""""),IF(AND(C7181&lt;&gt;"""",D7181&lt;&gt;"""",C7181=D7181),""gloss=figurative"",""""),IF(LEN(D7181)&lt;15,""figurative ছোট"",""""),IF(AND(I7181=""Positive"",REGEXMATCH(H7"&amp;"181,""মূর্খ|ভণ্ড|প্রতার|অলস|লোভ|স্বার্থ|অক্ষম|অযোগ্য|বোকা|কৃপণ|হিংস"")),""valence-target অমিল"",""""),IF(COUNTIF($B:$B,B7181)&gt;1,""ডুপ্লিকেট"",""""))"),"")</f>
        <v/>
      </c>
      <c r="Q7181" s="5" t="str">
        <f t="shared" si="1"/>
        <v>২ পরে</v>
      </c>
    </row>
    <row r="7182">
      <c r="A7182" s="4">
        <v>5290.0</v>
      </c>
      <c r="B7182" s="2" t="s">
        <v>29111</v>
      </c>
      <c r="C7182" s="2" t="s">
        <v>29112</v>
      </c>
      <c r="D7182" s="2" t="s">
        <v>29113</v>
      </c>
      <c r="E7182" s="2" t="s">
        <v>29114</v>
      </c>
      <c r="F7182" s="2" t="b">
        <v>1</v>
      </c>
      <c r="G7182" s="2" t="b">
        <v>0</v>
      </c>
      <c r="H7182" s="2" t="s">
        <v>37</v>
      </c>
      <c r="I7182" s="2" t="s">
        <v>22</v>
      </c>
      <c r="J7182" s="2" t="s">
        <v>947</v>
      </c>
      <c r="K7182" s="2" t="s">
        <v>495</v>
      </c>
      <c r="L7182" s="13" t="s">
        <v>496</v>
      </c>
      <c r="M7182" s="2" t="s">
        <v>26</v>
      </c>
      <c r="N7182" s="29"/>
      <c r="O7182" s="29"/>
      <c r="P7182" s="5" t="str">
        <f>IFERROR(__xludf.DUMMYFUNCTION("TEXTJOIN("" | "",TRUE,IF(OR(D7182="""",E7182="""",I7182="""",J7182="""",H7182=""""),""ফাঁকা ঘর"",""""),IF(AND(C7182&lt;&gt;"""",D7182&lt;&gt;"""",C7182=D7182),""gloss=figurative"",""""),IF(LEN(D7182)&lt;15,""figurative ছোট"",""""),IF(AND(I7182=""Positive"",REGEXMATCH(H7"&amp;"182,""মূর্খ|ভণ্ড|প্রতার|অলস|লোভ|স্বার্থ|অক্ষম|অযোগ্য|বোকা|কৃপণ|হিংস"")),""valence-target অমিল"",""""),IF(COUNTIF($B:$B,B7182)&gt;1,""ডুপ্লিকেট"",""""))"),"")</f>
        <v/>
      </c>
      <c r="Q7182" s="5" t="str">
        <f t="shared" si="1"/>
        <v>২ পরে</v>
      </c>
    </row>
    <row r="7183">
      <c r="A7183" s="4">
        <v>5291.0</v>
      </c>
      <c r="B7183" s="2" t="s">
        <v>29115</v>
      </c>
      <c r="C7183" s="2" t="s">
        <v>29116</v>
      </c>
      <c r="D7183" s="2" t="s">
        <v>29117</v>
      </c>
      <c r="E7183" s="2" t="s">
        <v>29118</v>
      </c>
      <c r="F7183" s="2" t="b">
        <v>1</v>
      </c>
      <c r="G7183" s="2" t="b">
        <v>0</v>
      </c>
      <c r="H7183" s="2" t="s">
        <v>37</v>
      </c>
      <c r="I7183" s="2" t="s">
        <v>22</v>
      </c>
      <c r="J7183" s="2" t="s">
        <v>836</v>
      </c>
      <c r="K7183" s="2" t="s">
        <v>495</v>
      </c>
      <c r="L7183" s="13" t="s">
        <v>496</v>
      </c>
      <c r="M7183" s="2" t="s">
        <v>26</v>
      </c>
      <c r="N7183" s="29"/>
      <c r="O7183" s="29"/>
      <c r="P7183" s="5" t="str">
        <f>IFERROR(__xludf.DUMMYFUNCTION("TEXTJOIN("" | "",TRUE,IF(OR(D7183="""",E7183="""",I7183="""",J7183="""",H7183=""""),""ফাঁকা ঘর"",""""),IF(AND(C7183&lt;&gt;"""",D7183&lt;&gt;"""",C7183=D7183),""gloss=figurative"",""""),IF(LEN(D7183)&lt;15,""figurative ছোট"",""""),IF(AND(I7183=""Positive"",REGEXMATCH(H7"&amp;"183,""মূর্খ|ভণ্ড|প্রতার|অলস|লোভ|স্বার্থ|অক্ষম|অযোগ্য|বোকা|কৃপণ|হিংস"")),""valence-target অমিল"",""""),IF(COUNTIF($B:$B,B7183)&gt;1,""ডুপ্লিকেট"",""""))"),"")</f>
        <v/>
      </c>
      <c r="Q7183" s="5" t="str">
        <f t="shared" si="1"/>
        <v>২ পরে</v>
      </c>
    </row>
    <row r="7184">
      <c r="A7184" s="4">
        <v>5292.0</v>
      </c>
      <c r="B7184" s="2" t="s">
        <v>29119</v>
      </c>
      <c r="C7184" s="2" t="s">
        <v>29120</v>
      </c>
      <c r="D7184" s="2" t="s">
        <v>29121</v>
      </c>
      <c r="E7184" s="2" t="s">
        <v>29122</v>
      </c>
      <c r="F7184" s="2" t="b">
        <v>1</v>
      </c>
      <c r="G7184" s="2" t="b">
        <v>1</v>
      </c>
      <c r="H7184" s="2" t="s">
        <v>1106</v>
      </c>
      <c r="I7184" s="2" t="s">
        <v>22</v>
      </c>
      <c r="J7184" s="2" t="s">
        <v>855</v>
      </c>
      <c r="K7184" s="2" t="s">
        <v>495</v>
      </c>
      <c r="L7184" s="13" t="s">
        <v>496</v>
      </c>
      <c r="M7184" s="2" t="s">
        <v>26</v>
      </c>
      <c r="N7184" s="29"/>
      <c r="O7184" s="29"/>
      <c r="P7184" s="5" t="str">
        <f>IFERROR(__xludf.DUMMYFUNCTION("TEXTJOIN("" | "",TRUE,IF(OR(D7184="""",E7184="""",I7184="""",J7184="""",H7184=""""),""ফাঁকা ঘর"",""""),IF(AND(C7184&lt;&gt;"""",D7184&lt;&gt;"""",C7184=D7184),""gloss=figurative"",""""),IF(LEN(D7184)&lt;15,""figurative ছোট"",""""),IF(AND(I7184=""Positive"",REGEXMATCH(H7"&amp;"184,""মূর্খ|ভণ্ড|প্রতার|অলস|লোভ|স্বার্থ|অক্ষম|অযোগ্য|বোকা|কৃপণ|হিংস"")),""valence-target অমিল"",""""),IF(COUNTIF($B:$B,B7184)&gt;1,""ডুপ্লিকেট"",""""))"),"")</f>
        <v/>
      </c>
      <c r="Q7184" s="5" t="str">
        <f t="shared" si="1"/>
        <v>২ পরে</v>
      </c>
    </row>
    <row r="7185">
      <c r="A7185" s="4">
        <v>5293.0</v>
      </c>
      <c r="B7185" s="2" t="s">
        <v>29123</v>
      </c>
      <c r="C7185" s="2" t="s">
        <v>29124</v>
      </c>
      <c r="D7185" s="2" t="s">
        <v>29125</v>
      </c>
      <c r="E7185" s="2" t="s">
        <v>29126</v>
      </c>
      <c r="F7185" s="2" t="b">
        <v>1</v>
      </c>
      <c r="G7185" s="2" t="b">
        <v>0</v>
      </c>
      <c r="H7185" s="2" t="s">
        <v>37</v>
      </c>
      <c r="I7185" s="2" t="s">
        <v>32</v>
      </c>
      <c r="J7185" s="2" t="s">
        <v>1621</v>
      </c>
      <c r="K7185" s="2" t="s">
        <v>495</v>
      </c>
      <c r="L7185" s="13" t="s">
        <v>496</v>
      </c>
      <c r="M7185" s="2" t="s">
        <v>26</v>
      </c>
      <c r="N7185" s="29"/>
      <c r="O7185" s="29"/>
      <c r="P7185" s="5" t="str">
        <f>IFERROR(__xludf.DUMMYFUNCTION("TEXTJOIN("" | "",TRUE,IF(OR(D7185="""",E7185="""",I7185="""",J7185="""",H7185=""""),""ফাঁকা ঘর"",""""),IF(AND(C7185&lt;&gt;"""",D7185&lt;&gt;"""",C7185=D7185),""gloss=figurative"",""""),IF(LEN(D7185)&lt;15,""figurative ছোট"",""""),IF(AND(I7185=""Positive"",REGEXMATCH(H7"&amp;"185,""মূর্খ|ভণ্ড|প্রতার|অলস|লোভ|স্বার্থ|অক্ষম|অযোগ্য|বোকা|কৃপণ|হিংস"")),""valence-target অমিল"",""""),IF(COUNTIF($B:$B,B7185)&gt;1,""ডুপ্লিকেট"",""""))"),"")</f>
        <v/>
      </c>
      <c r="Q7185" s="5" t="str">
        <f t="shared" si="1"/>
        <v>২ পরে</v>
      </c>
    </row>
    <row r="7186">
      <c r="A7186" s="4">
        <v>5294.0</v>
      </c>
      <c r="B7186" s="2" t="s">
        <v>29127</v>
      </c>
      <c r="C7186" s="2" t="s">
        <v>29128</v>
      </c>
      <c r="D7186" s="2" t="s">
        <v>29129</v>
      </c>
      <c r="E7186" s="2" t="s">
        <v>29130</v>
      </c>
      <c r="F7186" s="2" t="b">
        <v>1</v>
      </c>
      <c r="G7186" s="2" t="b">
        <v>1</v>
      </c>
      <c r="H7186" s="2" t="s">
        <v>1106</v>
      </c>
      <c r="I7186" s="2" t="s">
        <v>32</v>
      </c>
      <c r="J7186" s="2" t="s">
        <v>1510</v>
      </c>
      <c r="K7186" s="2" t="s">
        <v>495</v>
      </c>
      <c r="L7186" s="13" t="s">
        <v>496</v>
      </c>
      <c r="M7186" s="2" t="s">
        <v>26</v>
      </c>
      <c r="N7186" s="29"/>
      <c r="O7186" s="29"/>
      <c r="P7186" s="5" t="str">
        <f>IFERROR(__xludf.DUMMYFUNCTION("TEXTJOIN("" | "",TRUE,IF(OR(D7186="""",E7186="""",I7186="""",J7186="""",H7186=""""),""ফাঁকা ঘর"",""""),IF(AND(C7186&lt;&gt;"""",D7186&lt;&gt;"""",C7186=D7186),""gloss=figurative"",""""),IF(LEN(D7186)&lt;15,""figurative ছোট"",""""),IF(AND(I7186=""Positive"",REGEXMATCH(H7"&amp;"186,""মূর্খ|ভণ্ড|প্রতার|অলস|লোভ|স্বার্থ|অক্ষম|অযোগ্য|বোকা|কৃপণ|হিংস"")),""valence-target অমিল"",""""),IF(COUNTIF($B:$B,B7186)&gt;1,""ডুপ্লিকেট"",""""))"),"")</f>
        <v/>
      </c>
      <c r="Q7186" s="5" t="str">
        <f t="shared" si="1"/>
        <v>২ পরে</v>
      </c>
    </row>
    <row r="7187">
      <c r="A7187" s="4">
        <v>5296.0</v>
      </c>
      <c r="B7187" s="2" t="s">
        <v>29131</v>
      </c>
      <c r="C7187" s="2" t="s">
        <v>29131</v>
      </c>
      <c r="D7187" s="2" t="s">
        <v>29132</v>
      </c>
      <c r="E7187" s="2" t="s">
        <v>29133</v>
      </c>
      <c r="F7187" s="2" t="b">
        <v>1</v>
      </c>
      <c r="G7187" s="2" t="b">
        <v>0</v>
      </c>
      <c r="H7187" s="2" t="s">
        <v>37</v>
      </c>
      <c r="I7187" s="2" t="s">
        <v>32</v>
      </c>
      <c r="J7187" s="2" t="s">
        <v>708</v>
      </c>
      <c r="K7187" s="2" t="s">
        <v>495</v>
      </c>
      <c r="L7187" s="13" t="s">
        <v>496</v>
      </c>
      <c r="M7187" s="2" t="s">
        <v>26</v>
      </c>
      <c r="N7187" s="29"/>
      <c r="O7187" s="29"/>
      <c r="P7187" s="5" t="str">
        <f>IFERROR(__xludf.DUMMYFUNCTION("TEXTJOIN("" | "",TRUE,IF(OR(D7187="""",E7187="""",I7187="""",J7187="""",H7187=""""),""ফাঁকা ঘর"",""""),IF(AND(C7187&lt;&gt;"""",D7187&lt;&gt;"""",C7187=D7187),""gloss=figurative"",""""),IF(LEN(D7187)&lt;15,""figurative ছোট"",""""),IF(AND(I7187=""Positive"",REGEXMATCH(H7"&amp;"187,""মূর্খ|ভণ্ড|প্রতার|অলস|লোভ|স্বার্থ|অক্ষম|অযোগ্য|বোকা|কৃপণ|হিংস"")),""valence-target অমিল"",""""),IF(COUNTIF($B:$B,B7187)&gt;1,""ডুপ্লিকেট"",""""))"),"")</f>
        <v/>
      </c>
      <c r="Q7187" s="5" t="str">
        <f t="shared" si="1"/>
        <v>২ পরে</v>
      </c>
    </row>
    <row r="7188">
      <c r="A7188" s="4">
        <v>5297.0</v>
      </c>
      <c r="B7188" s="2" t="s">
        <v>29134</v>
      </c>
      <c r="C7188" s="2" t="s">
        <v>29135</v>
      </c>
      <c r="D7188" s="2" t="s">
        <v>29136</v>
      </c>
      <c r="E7188" s="2" t="s">
        <v>29137</v>
      </c>
      <c r="F7188" s="2" t="b">
        <v>1</v>
      </c>
      <c r="G7188" s="2" t="b">
        <v>0</v>
      </c>
      <c r="H7188" s="2" t="s">
        <v>37</v>
      </c>
      <c r="I7188" s="2" t="s">
        <v>49</v>
      </c>
      <c r="J7188" s="2" t="s">
        <v>636</v>
      </c>
      <c r="K7188" s="2" t="s">
        <v>495</v>
      </c>
      <c r="L7188" s="13" t="s">
        <v>496</v>
      </c>
      <c r="M7188" s="2" t="s">
        <v>26</v>
      </c>
      <c r="N7188" s="29"/>
      <c r="O7188" s="29"/>
      <c r="P7188" s="5" t="str">
        <f>IFERROR(__xludf.DUMMYFUNCTION("TEXTJOIN("" | "",TRUE,IF(OR(D7188="""",E7188="""",I7188="""",J7188="""",H7188=""""),""ফাঁকা ঘর"",""""),IF(AND(C7188&lt;&gt;"""",D7188&lt;&gt;"""",C7188=D7188),""gloss=figurative"",""""),IF(LEN(D7188)&lt;15,""figurative ছোট"",""""),IF(AND(I7188=""Positive"",REGEXMATCH(H7"&amp;"188,""মূর্খ|ভণ্ড|প্রতার|অলস|লোভ|স্বার্থ|অক্ষম|অযোগ্য|বোকা|কৃপণ|হিংস"")),""valence-target অমিল"",""""),IF(COUNTIF($B:$B,B7188)&gt;1,""ডুপ্লিকেট"",""""))"),"")</f>
        <v/>
      </c>
      <c r="Q7188" s="5" t="str">
        <f t="shared" si="1"/>
        <v>২ পরে</v>
      </c>
    </row>
    <row r="7189">
      <c r="A7189" s="4">
        <v>5299.0</v>
      </c>
      <c r="B7189" s="2" t="s">
        <v>29138</v>
      </c>
      <c r="C7189" s="2" t="s">
        <v>29139</v>
      </c>
      <c r="D7189" s="2" t="s">
        <v>25280</v>
      </c>
      <c r="E7189" s="2" t="s">
        <v>29140</v>
      </c>
      <c r="F7189" s="2" t="b">
        <v>1</v>
      </c>
      <c r="G7189" s="2" t="b">
        <v>0</v>
      </c>
      <c r="H7189" s="2" t="s">
        <v>37</v>
      </c>
      <c r="I7189" s="2" t="s">
        <v>22</v>
      </c>
      <c r="J7189" s="2" t="s">
        <v>665</v>
      </c>
      <c r="K7189" s="2" t="s">
        <v>495</v>
      </c>
      <c r="L7189" s="13" t="s">
        <v>496</v>
      </c>
      <c r="M7189" s="2" t="s">
        <v>26</v>
      </c>
      <c r="N7189" s="29"/>
      <c r="O7189" s="29"/>
      <c r="P7189" s="5" t="str">
        <f>IFERROR(__xludf.DUMMYFUNCTION("TEXTJOIN("" | "",TRUE,IF(OR(D7189="""",E7189="""",I7189="""",J7189="""",H7189=""""),""ফাঁকা ঘর"",""""),IF(AND(C7189&lt;&gt;"""",D7189&lt;&gt;"""",C7189=D7189),""gloss=figurative"",""""),IF(LEN(D7189)&lt;15,""figurative ছোট"",""""),IF(AND(I7189=""Positive"",REGEXMATCH(H7"&amp;"189,""মূর্খ|ভণ্ড|প্রতার|অলস|লোভ|স্বার্থ|অক্ষম|অযোগ্য|বোকা|কৃপণ|হিংস"")),""valence-target অমিল"",""""),IF(COUNTIF($B:$B,B7189)&gt;1,""ডুপ্লিকেট"",""""))"),"")</f>
        <v/>
      </c>
      <c r="Q7189" s="5" t="str">
        <f t="shared" si="1"/>
        <v>২ পরে</v>
      </c>
    </row>
    <row r="7190">
      <c r="A7190" s="4">
        <v>5300.0</v>
      </c>
      <c r="B7190" s="2" t="s">
        <v>29141</v>
      </c>
      <c r="C7190" s="2" t="s">
        <v>29141</v>
      </c>
      <c r="D7190" s="2" t="s">
        <v>29142</v>
      </c>
      <c r="E7190" s="2" t="s">
        <v>29143</v>
      </c>
      <c r="F7190" s="2" t="b">
        <v>1</v>
      </c>
      <c r="G7190" s="2" t="b">
        <v>1</v>
      </c>
      <c r="H7190" s="2" t="s">
        <v>2372</v>
      </c>
      <c r="I7190" s="2" t="s">
        <v>22</v>
      </c>
      <c r="J7190" s="2" t="s">
        <v>616</v>
      </c>
      <c r="K7190" s="2" t="s">
        <v>495</v>
      </c>
      <c r="L7190" s="13" t="s">
        <v>496</v>
      </c>
      <c r="M7190" s="2" t="s">
        <v>26</v>
      </c>
      <c r="N7190" s="29"/>
      <c r="O7190" s="29"/>
      <c r="P7190" s="5" t="str">
        <f>IFERROR(__xludf.DUMMYFUNCTION("TEXTJOIN("" | "",TRUE,IF(OR(D7190="""",E7190="""",I7190="""",J7190="""",H7190=""""),""ফাঁকা ঘর"",""""),IF(AND(C7190&lt;&gt;"""",D7190&lt;&gt;"""",C7190=D7190),""gloss=figurative"",""""),IF(LEN(D7190)&lt;15,""figurative ছোট"",""""),IF(AND(I7190=""Positive"",REGEXMATCH(H7"&amp;"190,""মূর্খ|ভণ্ড|প্রতার|অলস|লোভ|স্বার্থ|অক্ষম|অযোগ্য|বোকা|কৃপণ|হিংস"")),""valence-target অমিল"",""""),IF(COUNTIF($B:$B,B7190)&gt;1,""ডুপ্লিকেট"",""""))"),"")</f>
        <v/>
      </c>
      <c r="Q7190" s="5" t="str">
        <f t="shared" si="1"/>
        <v>২ পরে</v>
      </c>
    </row>
    <row r="7191">
      <c r="A7191" s="4">
        <v>5301.0</v>
      </c>
      <c r="B7191" s="2" t="s">
        <v>29144</v>
      </c>
      <c r="C7191" s="2" t="s">
        <v>29145</v>
      </c>
      <c r="D7191" s="2" t="s">
        <v>29146</v>
      </c>
      <c r="E7191" s="2" t="s">
        <v>29147</v>
      </c>
      <c r="F7191" s="2" t="b">
        <v>1</v>
      </c>
      <c r="G7191" s="2" t="b">
        <v>0</v>
      </c>
      <c r="H7191" s="2" t="s">
        <v>37</v>
      </c>
      <c r="I7191" s="2" t="s">
        <v>32</v>
      </c>
      <c r="J7191" s="2" t="s">
        <v>28368</v>
      </c>
      <c r="K7191" s="2" t="s">
        <v>495</v>
      </c>
      <c r="L7191" s="13" t="s">
        <v>496</v>
      </c>
      <c r="M7191" s="2" t="s">
        <v>26</v>
      </c>
      <c r="N7191" s="29"/>
      <c r="O7191" s="29"/>
      <c r="P7191" s="5" t="str">
        <f>IFERROR(__xludf.DUMMYFUNCTION("TEXTJOIN("" | "",TRUE,IF(OR(D7191="""",E7191="""",I7191="""",J7191="""",H7191=""""),""ফাঁকা ঘর"",""""),IF(AND(C7191&lt;&gt;"""",D7191&lt;&gt;"""",C7191=D7191),""gloss=figurative"",""""),IF(LEN(D7191)&lt;15,""figurative ছোট"",""""),IF(AND(I7191=""Positive"",REGEXMATCH(H7"&amp;"191,""মূর্খ|ভণ্ড|প্রতার|অলস|লোভ|স্বার্থ|অক্ষম|অযোগ্য|বোকা|কৃপণ|হিংস"")),""valence-target অমিল"",""""),IF(COUNTIF($B:$B,B7191)&gt;1,""ডুপ্লিকেট"",""""))"),"")</f>
        <v/>
      </c>
      <c r="Q7191" s="5" t="str">
        <f t="shared" si="1"/>
        <v>২ পরে</v>
      </c>
    </row>
    <row r="7192">
      <c r="A7192" s="4">
        <v>5302.0</v>
      </c>
      <c r="B7192" s="2" t="s">
        <v>29148</v>
      </c>
      <c r="C7192" s="2" t="s">
        <v>29149</v>
      </c>
      <c r="D7192" s="2" t="s">
        <v>29150</v>
      </c>
      <c r="E7192" s="2" t="s">
        <v>29151</v>
      </c>
      <c r="F7192" s="2" t="b">
        <v>1</v>
      </c>
      <c r="G7192" s="2" t="b">
        <v>1</v>
      </c>
      <c r="H7192" s="2" t="s">
        <v>25011</v>
      </c>
      <c r="I7192" s="2" t="s">
        <v>49</v>
      </c>
      <c r="J7192" s="2" t="s">
        <v>3327</v>
      </c>
      <c r="K7192" s="2" t="s">
        <v>495</v>
      </c>
      <c r="L7192" s="13" t="s">
        <v>496</v>
      </c>
      <c r="M7192" s="2" t="s">
        <v>26</v>
      </c>
      <c r="N7192" s="29"/>
      <c r="O7192" s="29"/>
      <c r="P7192" s="5" t="str">
        <f>IFERROR(__xludf.DUMMYFUNCTION("TEXTJOIN("" | "",TRUE,IF(OR(D7192="""",E7192="""",I7192="""",J7192="""",H7192=""""),""ফাঁকা ঘর"",""""),IF(AND(C7192&lt;&gt;"""",D7192&lt;&gt;"""",C7192=D7192),""gloss=figurative"",""""),IF(LEN(D7192)&lt;15,""figurative ছোট"",""""),IF(AND(I7192=""Positive"",REGEXMATCH(H7"&amp;"192,""মূর্খ|ভণ্ড|প্রতার|অলস|লোভ|স্বার্থ|অক্ষম|অযোগ্য|বোকা|কৃপণ|হিংস"")),""valence-target অমিল"",""""),IF(COUNTIF($B:$B,B7192)&gt;1,""ডুপ্লিকেট"",""""))"),"")</f>
        <v/>
      </c>
      <c r="Q7192" s="5" t="str">
        <f t="shared" si="1"/>
        <v>২ পরে</v>
      </c>
    </row>
    <row r="7193">
      <c r="A7193" s="4">
        <v>5303.0</v>
      </c>
      <c r="B7193" s="2" t="s">
        <v>29152</v>
      </c>
      <c r="C7193" s="2" t="s">
        <v>29153</v>
      </c>
      <c r="D7193" s="2" t="s">
        <v>29154</v>
      </c>
      <c r="E7193" s="2" t="s">
        <v>29155</v>
      </c>
      <c r="F7193" s="2" t="b">
        <v>1</v>
      </c>
      <c r="G7193" s="2" t="b">
        <v>0</v>
      </c>
      <c r="H7193" s="2" t="s">
        <v>37</v>
      </c>
      <c r="I7193" s="2" t="s">
        <v>22</v>
      </c>
      <c r="J7193" s="2" t="s">
        <v>665</v>
      </c>
      <c r="K7193" s="2" t="s">
        <v>495</v>
      </c>
      <c r="L7193" s="13" t="s">
        <v>496</v>
      </c>
      <c r="M7193" s="2" t="s">
        <v>26</v>
      </c>
      <c r="N7193" s="29"/>
      <c r="O7193" s="29"/>
      <c r="P7193" s="5" t="str">
        <f>IFERROR(__xludf.DUMMYFUNCTION("TEXTJOIN("" | "",TRUE,IF(OR(D7193="""",E7193="""",I7193="""",J7193="""",H7193=""""),""ফাঁকা ঘর"",""""),IF(AND(C7193&lt;&gt;"""",D7193&lt;&gt;"""",C7193=D7193),""gloss=figurative"",""""),IF(LEN(D7193)&lt;15,""figurative ছোট"",""""),IF(AND(I7193=""Positive"",REGEXMATCH(H7"&amp;"193,""মূর্খ|ভণ্ড|প্রতার|অলস|লোভ|স্বার্থ|অক্ষম|অযোগ্য|বোকা|কৃপণ|হিংস"")),""valence-target অমিল"",""""),IF(COUNTIF($B:$B,B7193)&gt;1,""ডুপ্লিকেট"",""""))"),"")</f>
        <v/>
      </c>
      <c r="Q7193" s="5" t="str">
        <f t="shared" si="1"/>
        <v>২ পরে</v>
      </c>
    </row>
    <row r="7194">
      <c r="A7194" s="4">
        <v>5304.0</v>
      </c>
      <c r="B7194" s="2" t="s">
        <v>29156</v>
      </c>
      <c r="C7194" s="2" t="s">
        <v>29157</v>
      </c>
      <c r="D7194" s="2" t="s">
        <v>29158</v>
      </c>
      <c r="E7194" s="2" t="s">
        <v>29159</v>
      </c>
      <c r="F7194" s="2" t="b">
        <v>1</v>
      </c>
      <c r="G7194" s="2" t="b">
        <v>0</v>
      </c>
      <c r="H7194" s="2" t="s">
        <v>37</v>
      </c>
      <c r="I7194" s="2" t="s">
        <v>22</v>
      </c>
      <c r="J7194" s="2" t="s">
        <v>4711</v>
      </c>
      <c r="K7194" s="2" t="s">
        <v>495</v>
      </c>
      <c r="L7194" s="13" t="s">
        <v>496</v>
      </c>
      <c r="M7194" s="2" t="s">
        <v>26</v>
      </c>
      <c r="N7194" s="29"/>
      <c r="O7194" s="29"/>
      <c r="P7194" s="5" t="str">
        <f>IFERROR(__xludf.DUMMYFUNCTION("TEXTJOIN("" | "",TRUE,IF(OR(D7194="""",E7194="""",I7194="""",J7194="""",H7194=""""),""ফাঁকা ঘর"",""""),IF(AND(C7194&lt;&gt;"""",D7194&lt;&gt;"""",C7194=D7194),""gloss=figurative"",""""),IF(LEN(D7194)&lt;15,""figurative ছোট"",""""),IF(AND(I7194=""Positive"",REGEXMATCH(H7"&amp;"194,""মূর্খ|ভণ্ড|প্রতার|অলস|লোভ|স্বার্থ|অক্ষম|অযোগ্য|বোকা|কৃপণ|হিংস"")),""valence-target অমিল"",""""),IF(COUNTIF($B:$B,B7194)&gt;1,""ডুপ্লিকেট"",""""))"),"")</f>
        <v/>
      </c>
      <c r="Q7194" s="5" t="str">
        <f t="shared" si="1"/>
        <v>২ পরে</v>
      </c>
    </row>
    <row r="7195">
      <c r="A7195" s="4">
        <v>5305.0</v>
      </c>
      <c r="B7195" s="2" t="s">
        <v>29160</v>
      </c>
      <c r="C7195" s="2" t="s">
        <v>29161</v>
      </c>
      <c r="D7195" s="2" t="s">
        <v>29162</v>
      </c>
      <c r="E7195" s="2" t="s">
        <v>29163</v>
      </c>
      <c r="F7195" s="2" t="b">
        <v>1</v>
      </c>
      <c r="G7195" s="2" t="b">
        <v>0</v>
      </c>
      <c r="H7195" s="2" t="s">
        <v>37</v>
      </c>
      <c r="I7195" s="2" t="s">
        <v>49</v>
      </c>
      <c r="J7195" s="2" t="s">
        <v>3506</v>
      </c>
      <c r="K7195" s="2" t="s">
        <v>495</v>
      </c>
      <c r="L7195" s="13" t="s">
        <v>496</v>
      </c>
      <c r="M7195" s="2" t="s">
        <v>26</v>
      </c>
      <c r="N7195" s="29"/>
      <c r="O7195" s="29"/>
      <c r="P7195" s="5" t="str">
        <f>IFERROR(__xludf.DUMMYFUNCTION("TEXTJOIN("" | "",TRUE,IF(OR(D7195="""",E7195="""",I7195="""",J7195="""",H7195=""""),""ফাঁকা ঘর"",""""),IF(AND(C7195&lt;&gt;"""",D7195&lt;&gt;"""",C7195=D7195),""gloss=figurative"",""""),IF(LEN(D7195)&lt;15,""figurative ছোট"",""""),IF(AND(I7195=""Positive"",REGEXMATCH(H7"&amp;"195,""মূর্খ|ভণ্ড|প্রতার|অলস|লোভ|স্বার্থ|অক্ষম|অযোগ্য|বোকা|কৃপণ|হিংস"")),""valence-target অমিল"",""""),IF(COUNTIF($B:$B,B7195)&gt;1,""ডুপ্লিকেট"",""""))"),"")</f>
        <v/>
      </c>
      <c r="Q7195" s="5" t="str">
        <f t="shared" si="1"/>
        <v>২ পরে</v>
      </c>
    </row>
    <row r="7196">
      <c r="A7196" s="4">
        <v>5307.0</v>
      </c>
      <c r="B7196" s="2" t="s">
        <v>29164</v>
      </c>
      <c r="C7196" s="2" t="s">
        <v>29165</v>
      </c>
      <c r="D7196" s="2" t="s">
        <v>29166</v>
      </c>
      <c r="E7196" s="2" t="s">
        <v>29167</v>
      </c>
      <c r="F7196" s="2" t="b">
        <v>1</v>
      </c>
      <c r="G7196" s="2" t="b">
        <v>1</v>
      </c>
      <c r="H7196" s="2" t="s">
        <v>1106</v>
      </c>
      <c r="I7196" s="2" t="s">
        <v>22</v>
      </c>
      <c r="J7196" s="2" t="s">
        <v>1315</v>
      </c>
      <c r="K7196" s="2" t="s">
        <v>495</v>
      </c>
      <c r="L7196" s="13" t="s">
        <v>496</v>
      </c>
      <c r="M7196" s="2" t="s">
        <v>26</v>
      </c>
      <c r="N7196" s="29"/>
      <c r="O7196" s="29"/>
      <c r="P7196" s="5" t="str">
        <f>IFERROR(__xludf.DUMMYFUNCTION("TEXTJOIN("" | "",TRUE,IF(OR(D7196="""",E7196="""",I7196="""",J7196="""",H7196=""""),""ফাঁকা ঘর"",""""),IF(AND(C7196&lt;&gt;"""",D7196&lt;&gt;"""",C7196=D7196),""gloss=figurative"",""""),IF(LEN(D7196)&lt;15,""figurative ছোট"",""""),IF(AND(I7196=""Positive"",REGEXMATCH(H7"&amp;"196,""মূর্খ|ভণ্ড|প্রতার|অলস|লোভ|স্বার্থ|অক্ষম|অযোগ্য|বোকা|কৃপণ|হিংস"")),""valence-target অমিল"",""""),IF(COUNTIF($B:$B,B7196)&gt;1,""ডুপ্লিকেট"",""""))"),"")</f>
        <v/>
      </c>
      <c r="Q7196" s="5" t="str">
        <f t="shared" si="1"/>
        <v>২ পরে</v>
      </c>
    </row>
    <row r="7197">
      <c r="A7197" s="4">
        <v>5308.0</v>
      </c>
      <c r="B7197" s="2" t="s">
        <v>29168</v>
      </c>
      <c r="C7197" s="2" t="s">
        <v>29169</v>
      </c>
      <c r="D7197" s="2" t="s">
        <v>29170</v>
      </c>
      <c r="E7197" s="2" t="s">
        <v>29171</v>
      </c>
      <c r="F7197" s="2" t="b">
        <v>1</v>
      </c>
      <c r="G7197" s="2" t="b">
        <v>0</v>
      </c>
      <c r="H7197" s="2" t="s">
        <v>37</v>
      </c>
      <c r="I7197" s="2" t="s">
        <v>49</v>
      </c>
      <c r="J7197" s="2" t="s">
        <v>2040</v>
      </c>
      <c r="K7197" s="2" t="s">
        <v>495</v>
      </c>
      <c r="L7197" s="13" t="s">
        <v>496</v>
      </c>
      <c r="M7197" s="2" t="s">
        <v>26</v>
      </c>
      <c r="N7197" s="29"/>
      <c r="O7197" s="29"/>
      <c r="P7197" s="5" t="str">
        <f>IFERROR(__xludf.DUMMYFUNCTION("TEXTJOIN("" | "",TRUE,IF(OR(D7197="""",E7197="""",I7197="""",J7197="""",H7197=""""),""ফাঁকা ঘর"",""""),IF(AND(C7197&lt;&gt;"""",D7197&lt;&gt;"""",C7197=D7197),""gloss=figurative"",""""),IF(LEN(D7197)&lt;15,""figurative ছোট"",""""),IF(AND(I7197=""Positive"",REGEXMATCH(H7"&amp;"197,""মূর্খ|ভণ্ড|প্রতার|অলস|লোভ|স্বার্থ|অক্ষম|অযোগ্য|বোকা|কৃপণ|হিংস"")),""valence-target অমিল"",""""),IF(COUNTIF($B:$B,B7197)&gt;1,""ডুপ্লিকেট"",""""))"),"")</f>
        <v/>
      </c>
      <c r="Q7197" s="5" t="str">
        <f t="shared" si="1"/>
        <v>২ পরে</v>
      </c>
    </row>
    <row r="7198">
      <c r="A7198" s="4">
        <v>5309.0</v>
      </c>
      <c r="B7198" s="2" t="s">
        <v>29172</v>
      </c>
      <c r="C7198" s="2" t="s">
        <v>29173</v>
      </c>
      <c r="D7198" s="2" t="s">
        <v>29174</v>
      </c>
      <c r="E7198" s="2" t="s">
        <v>29175</v>
      </c>
      <c r="F7198" s="2" t="b">
        <v>1</v>
      </c>
      <c r="G7198" s="2" t="b">
        <v>0</v>
      </c>
      <c r="H7198" s="2" t="s">
        <v>37</v>
      </c>
      <c r="I7198" s="2" t="s">
        <v>49</v>
      </c>
      <c r="J7198" s="2" t="s">
        <v>2040</v>
      </c>
      <c r="K7198" s="2" t="s">
        <v>495</v>
      </c>
      <c r="L7198" s="13" t="s">
        <v>496</v>
      </c>
      <c r="M7198" s="2" t="s">
        <v>26</v>
      </c>
      <c r="N7198" s="29"/>
      <c r="O7198" s="29"/>
      <c r="P7198" s="5" t="str">
        <f>IFERROR(__xludf.DUMMYFUNCTION("TEXTJOIN("" | "",TRUE,IF(OR(D7198="""",E7198="""",I7198="""",J7198="""",H7198=""""),""ফাঁকা ঘর"",""""),IF(AND(C7198&lt;&gt;"""",D7198&lt;&gt;"""",C7198=D7198),""gloss=figurative"",""""),IF(LEN(D7198)&lt;15,""figurative ছোট"",""""),IF(AND(I7198=""Positive"",REGEXMATCH(H7"&amp;"198,""মূর্খ|ভণ্ড|প্রতার|অলস|লোভ|স্বার্থ|অক্ষম|অযোগ্য|বোকা|কৃপণ|হিংস"")),""valence-target অমিল"",""""),IF(COUNTIF($B:$B,B7198)&gt;1,""ডুপ্লিকেট"",""""))"),"")</f>
        <v/>
      </c>
      <c r="Q7198" s="5" t="str">
        <f t="shared" si="1"/>
        <v>২ পরে</v>
      </c>
    </row>
    <row r="7199">
      <c r="A7199" s="4">
        <v>5310.0</v>
      </c>
      <c r="B7199" s="2" t="s">
        <v>29176</v>
      </c>
      <c r="C7199" s="2" t="s">
        <v>29177</v>
      </c>
      <c r="D7199" s="2" t="s">
        <v>29178</v>
      </c>
      <c r="E7199" s="2" t="s">
        <v>29179</v>
      </c>
      <c r="F7199" s="2" t="b">
        <v>1</v>
      </c>
      <c r="G7199" s="2" t="b">
        <v>1</v>
      </c>
      <c r="H7199" s="2" t="s">
        <v>1982</v>
      </c>
      <c r="I7199" s="2" t="s">
        <v>32</v>
      </c>
      <c r="J7199" s="2" t="s">
        <v>739</v>
      </c>
      <c r="K7199" s="2" t="s">
        <v>495</v>
      </c>
      <c r="L7199" s="13" t="s">
        <v>496</v>
      </c>
      <c r="M7199" s="2" t="s">
        <v>26</v>
      </c>
      <c r="N7199" s="29"/>
      <c r="O7199" s="29"/>
      <c r="P7199" s="5" t="str">
        <f>IFERROR(__xludf.DUMMYFUNCTION("TEXTJOIN("" | "",TRUE,IF(OR(D7199="""",E7199="""",I7199="""",J7199="""",H7199=""""),""ফাঁকা ঘর"",""""),IF(AND(C7199&lt;&gt;"""",D7199&lt;&gt;"""",C7199=D7199),""gloss=figurative"",""""),IF(LEN(D7199)&lt;15,""figurative ছোট"",""""),IF(AND(I7199=""Positive"",REGEXMATCH(H7"&amp;"199,""মূর্খ|ভণ্ড|প্রতার|অলস|লোভ|স্বার্থ|অক্ষম|অযোগ্য|বোকা|কৃপণ|হিংস"")),""valence-target অমিল"",""""),IF(COUNTIF($B:$B,B7199)&gt;1,""ডুপ্লিকেট"",""""))"),"")</f>
        <v/>
      </c>
      <c r="Q7199" s="5" t="str">
        <f t="shared" si="1"/>
        <v>২ পরে</v>
      </c>
    </row>
    <row r="7200">
      <c r="A7200" s="4">
        <v>5312.0</v>
      </c>
      <c r="B7200" s="2" t="s">
        <v>29180</v>
      </c>
      <c r="C7200" s="2" t="s">
        <v>29181</v>
      </c>
      <c r="D7200" s="2" t="s">
        <v>29182</v>
      </c>
      <c r="E7200" s="2" t="s">
        <v>29183</v>
      </c>
      <c r="F7200" s="2" t="b">
        <v>1</v>
      </c>
      <c r="G7200" s="2" t="b">
        <v>0</v>
      </c>
      <c r="H7200" s="2" t="s">
        <v>37</v>
      </c>
      <c r="I7200" s="2" t="s">
        <v>32</v>
      </c>
      <c r="J7200" s="2" t="s">
        <v>300</v>
      </c>
      <c r="K7200" s="2" t="s">
        <v>495</v>
      </c>
      <c r="L7200" s="13" t="s">
        <v>496</v>
      </c>
      <c r="M7200" s="2" t="s">
        <v>26</v>
      </c>
      <c r="N7200" s="29"/>
      <c r="O7200" s="29"/>
      <c r="P7200" s="5" t="str">
        <f>IFERROR(__xludf.DUMMYFUNCTION("TEXTJOIN("" | "",TRUE,IF(OR(D7200="""",E7200="""",I7200="""",J7200="""",H7200=""""),""ফাঁকা ঘর"",""""),IF(AND(C7200&lt;&gt;"""",D7200&lt;&gt;"""",C7200=D7200),""gloss=figurative"",""""),IF(LEN(D7200)&lt;15,""figurative ছোট"",""""),IF(AND(I7200=""Positive"",REGEXMATCH(H7"&amp;"200,""মূর্খ|ভণ্ড|প্রতার|অলস|লোভ|স্বার্থ|অক্ষম|অযোগ্য|বোকা|কৃপণ|হিংস"")),""valence-target অমিল"",""""),IF(COUNTIF($B:$B,B7200)&gt;1,""ডুপ্লিকেট"",""""))"),"")</f>
        <v/>
      </c>
      <c r="Q7200" s="5" t="str">
        <f t="shared" si="1"/>
        <v>২ পরে</v>
      </c>
    </row>
    <row r="7201">
      <c r="A7201" s="4">
        <v>5315.0</v>
      </c>
      <c r="B7201" s="2" t="s">
        <v>29184</v>
      </c>
      <c r="C7201" s="2" t="s">
        <v>29185</v>
      </c>
      <c r="D7201" s="2" t="s">
        <v>29186</v>
      </c>
      <c r="E7201" s="2" t="s">
        <v>29187</v>
      </c>
      <c r="F7201" s="2" t="b">
        <v>1</v>
      </c>
      <c r="G7201" s="2" t="b">
        <v>0</v>
      </c>
      <c r="H7201" s="2" t="s">
        <v>1334</v>
      </c>
      <c r="I7201" s="2" t="s">
        <v>22</v>
      </c>
      <c r="J7201" s="2" t="s">
        <v>820</v>
      </c>
      <c r="K7201" s="2" t="s">
        <v>495</v>
      </c>
      <c r="L7201" s="13" t="s">
        <v>496</v>
      </c>
      <c r="M7201" s="2" t="s">
        <v>26</v>
      </c>
      <c r="N7201" s="29"/>
      <c r="O7201" s="29"/>
      <c r="P7201" s="5" t="str">
        <f>IFERROR(__xludf.DUMMYFUNCTION("TEXTJOIN("" | "",TRUE,IF(OR(D7201="""",E7201="""",I7201="""",J7201="""",H7201=""""),""ফাঁকা ঘর"",""""),IF(AND(C7201&lt;&gt;"""",D7201&lt;&gt;"""",C7201=D7201),""gloss=figurative"",""""),IF(LEN(D7201)&lt;15,""figurative ছোট"",""""),IF(AND(I7201=""Positive"",REGEXMATCH(H7"&amp;"201,""মূর্খ|ভণ্ড|প্রতার|অলস|লোভ|স্বার্থ|অক্ষম|অযোগ্য|বোকা|কৃপণ|হিংস"")),""valence-target অমিল"",""""),IF(COUNTIF($B:$B,B7201)&gt;1,""ডুপ্লিকেট"",""""))"),"")</f>
        <v/>
      </c>
      <c r="Q7201" s="5" t="str">
        <f t="shared" si="1"/>
        <v>২ পরে</v>
      </c>
    </row>
    <row r="7202">
      <c r="A7202" s="4">
        <v>5316.0</v>
      </c>
      <c r="B7202" s="2" t="s">
        <v>29188</v>
      </c>
      <c r="C7202" s="2" t="s">
        <v>29189</v>
      </c>
      <c r="D7202" s="2" t="s">
        <v>29190</v>
      </c>
      <c r="E7202" s="2" t="s">
        <v>29191</v>
      </c>
      <c r="F7202" s="2" t="b">
        <v>1</v>
      </c>
      <c r="G7202" s="2" t="b">
        <v>0</v>
      </c>
      <c r="H7202" s="2" t="s">
        <v>37</v>
      </c>
      <c r="I7202" s="2" t="s">
        <v>22</v>
      </c>
      <c r="J7202" s="2" t="s">
        <v>1438</v>
      </c>
      <c r="K7202" s="2" t="s">
        <v>495</v>
      </c>
      <c r="L7202" s="13" t="s">
        <v>496</v>
      </c>
      <c r="M7202" s="2" t="s">
        <v>26</v>
      </c>
      <c r="N7202" s="29"/>
      <c r="O7202" s="29"/>
      <c r="P7202" s="5" t="str">
        <f>IFERROR(__xludf.DUMMYFUNCTION("TEXTJOIN("" | "",TRUE,IF(OR(D7202="""",E7202="""",I7202="""",J7202="""",H7202=""""),""ফাঁকা ঘর"",""""),IF(AND(C7202&lt;&gt;"""",D7202&lt;&gt;"""",C7202=D7202),""gloss=figurative"",""""),IF(LEN(D7202)&lt;15,""figurative ছোট"",""""),IF(AND(I7202=""Positive"",REGEXMATCH(H7"&amp;"202,""মূর্খ|ভণ্ড|প্রতার|অলস|লোভ|স্বার্থ|অক্ষম|অযোগ্য|বোকা|কৃপণ|হিংস"")),""valence-target অমিল"",""""),IF(COUNTIF($B:$B,B7202)&gt;1,""ডুপ্লিকেট"",""""))"),"")</f>
        <v/>
      </c>
      <c r="Q7202" s="5" t="str">
        <f t="shared" si="1"/>
        <v>২ পরে</v>
      </c>
    </row>
    <row r="7203">
      <c r="A7203" s="4">
        <v>5317.0</v>
      </c>
      <c r="B7203" s="2" t="s">
        <v>29192</v>
      </c>
      <c r="C7203" s="2" t="s">
        <v>29193</v>
      </c>
      <c r="D7203" s="2" t="s">
        <v>29194</v>
      </c>
      <c r="E7203" s="2" t="s">
        <v>29195</v>
      </c>
      <c r="F7203" s="2" t="b">
        <v>1</v>
      </c>
      <c r="G7203" s="2" t="b">
        <v>0</v>
      </c>
      <c r="H7203" s="2" t="s">
        <v>37</v>
      </c>
      <c r="I7203" s="2" t="s">
        <v>49</v>
      </c>
      <c r="J7203" s="2" t="s">
        <v>29196</v>
      </c>
      <c r="K7203" s="2" t="s">
        <v>495</v>
      </c>
      <c r="L7203" s="13" t="s">
        <v>496</v>
      </c>
      <c r="M7203" s="2" t="s">
        <v>26</v>
      </c>
      <c r="N7203" s="29"/>
      <c r="O7203" s="29"/>
      <c r="P7203" s="5" t="str">
        <f>IFERROR(__xludf.DUMMYFUNCTION("TEXTJOIN("" | "",TRUE,IF(OR(D7203="""",E7203="""",I7203="""",J7203="""",H7203=""""),""ফাঁকা ঘর"",""""),IF(AND(C7203&lt;&gt;"""",D7203&lt;&gt;"""",C7203=D7203),""gloss=figurative"",""""),IF(LEN(D7203)&lt;15,""figurative ছোট"",""""),IF(AND(I7203=""Positive"",REGEXMATCH(H7"&amp;"203,""মূর্খ|ভণ্ড|প্রতার|অলস|লোভ|স্বার্থ|অক্ষম|অযোগ্য|বোকা|কৃপণ|হিংস"")),""valence-target অমিল"",""""),IF(COUNTIF($B:$B,B7203)&gt;1,""ডুপ্লিকেট"",""""))"),"")</f>
        <v/>
      </c>
      <c r="Q7203" s="5" t="str">
        <f t="shared" si="1"/>
        <v>২ পরে</v>
      </c>
    </row>
    <row r="7204">
      <c r="A7204" s="4">
        <v>5318.0</v>
      </c>
      <c r="B7204" s="2" t="s">
        <v>29197</v>
      </c>
      <c r="C7204" s="2" t="s">
        <v>29198</v>
      </c>
      <c r="D7204" s="2" t="s">
        <v>29199</v>
      </c>
      <c r="E7204" s="2" t="s">
        <v>29200</v>
      </c>
      <c r="F7204" s="2" t="b">
        <v>1</v>
      </c>
      <c r="G7204" s="2" t="b">
        <v>0</v>
      </c>
      <c r="H7204" s="2" t="s">
        <v>37</v>
      </c>
      <c r="I7204" s="2" t="s">
        <v>49</v>
      </c>
      <c r="J7204" s="2" t="s">
        <v>913</v>
      </c>
      <c r="K7204" s="2" t="s">
        <v>495</v>
      </c>
      <c r="L7204" s="13" t="s">
        <v>496</v>
      </c>
      <c r="M7204" s="2" t="s">
        <v>26</v>
      </c>
      <c r="N7204" s="29"/>
      <c r="O7204" s="29"/>
      <c r="P7204" s="5" t="str">
        <f>IFERROR(__xludf.DUMMYFUNCTION("TEXTJOIN("" | "",TRUE,IF(OR(D7204="""",E7204="""",I7204="""",J7204="""",H7204=""""),""ফাঁকা ঘর"",""""),IF(AND(C7204&lt;&gt;"""",D7204&lt;&gt;"""",C7204=D7204),""gloss=figurative"",""""),IF(LEN(D7204)&lt;15,""figurative ছোট"",""""),IF(AND(I7204=""Positive"",REGEXMATCH(H7"&amp;"204,""মূর্খ|ভণ্ড|প্রতার|অলস|লোভ|স্বার্থ|অক্ষম|অযোগ্য|বোকা|কৃপণ|হিংস"")),""valence-target অমিল"",""""),IF(COUNTIF($B:$B,B7204)&gt;1,""ডুপ্লিকেট"",""""))"),"")</f>
        <v/>
      </c>
      <c r="Q7204" s="5" t="str">
        <f t="shared" si="1"/>
        <v>২ পরে</v>
      </c>
    </row>
    <row r="7205">
      <c r="A7205" s="4">
        <v>5319.0</v>
      </c>
      <c r="B7205" s="2" t="s">
        <v>29201</v>
      </c>
      <c r="C7205" s="2" t="s">
        <v>29202</v>
      </c>
      <c r="D7205" s="2" t="s">
        <v>29203</v>
      </c>
      <c r="E7205" s="2" t="s">
        <v>29204</v>
      </c>
      <c r="F7205" s="2" t="b">
        <v>1</v>
      </c>
      <c r="G7205" s="2" t="b">
        <v>0</v>
      </c>
      <c r="H7205" s="2" t="s">
        <v>37</v>
      </c>
      <c r="I7205" s="2" t="s">
        <v>49</v>
      </c>
      <c r="J7205" s="2" t="s">
        <v>26600</v>
      </c>
      <c r="K7205" s="2" t="s">
        <v>495</v>
      </c>
      <c r="L7205" s="13" t="s">
        <v>496</v>
      </c>
      <c r="M7205" s="2" t="s">
        <v>26</v>
      </c>
      <c r="N7205" s="29"/>
      <c r="O7205" s="29"/>
      <c r="P7205" s="5" t="str">
        <f>IFERROR(__xludf.DUMMYFUNCTION("TEXTJOIN("" | "",TRUE,IF(OR(D7205="""",E7205="""",I7205="""",J7205="""",H7205=""""),""ফাঁকা ঘর"",""""),IF(AND(C7205&lt;&gt;"""",D7205&lt;&gt;"""",C7205=D7205),""gloss=figurative"",""""),IF(LEN(D7205)&lt;15,""figurative ছোট"",""""),IF(AND(I7205=""Positive"",REGEXMATCH(H7"&amp;"205,""মূর্খ|ভণ্ড|প্রতার|অলস|লোভ|স্বার্থ|অক্ষম|অযোগ্য|বোকা|কৃপণ|হিংস"")),""valence-target অমিল"",""""),IF(COUNTIF($B:$B,B7205)&gt;1,""ডুপ্লিকেট"",""""))"),"")</f>
        <v/>
      </c>
      <c r="Q7205" s="5" t="str">
        <f t="shared" si="1"/>
        <v>২ পরে</v>
      </c>
    </row>
    <row r="7206">
      <c r="A7206" s="4">
        <v>5320.0</v>
      </c>
      <c r="B7206" s="2" t="s">
        <v>29205</v>
      </c>
      <c r="C7206" s="2" t="s">
        <v>29206</v>
      </c>
      <c r="D7206" s="2" t="s">
        <v>29207</v>
      </c>
      <c r="E7206" s="2" t="s">
        <v>29208</v>
      </c>
      <c r="F7206" s="2" t="b">
        <v>1</v>
      </c>
      <c r="G7206" s="2" t="b">
        <v>0</v>
      </c>
      <c r="H7206" s="2" t="s">
        <v>37</v>
      </c>
      <c r="I7206" s="2" t="s">
        <v>32</v>
      </c>
      <c r="J7206" s="2" t="s">
        <v>1518</v>
      </c>
      <c r="K7206" s="2" t="s">
        <v>495</v>
      </c>
      <c r="L7206" s="13" t="s">
        <v>496</v>
      </c>
      <c r="M7206" s="2" t="s">
        <v>26</v>
      </c>
      <c r="N7206" s="29"/>
      <c r="O7206" s="29"/>
      <c r="P7206" s="5" t="str">
        <f>IFERROR(__xludf.DUMMYFUNCTION("TEXTJOIN("" | "",TRUE,IF(OR(D7206="""",E7206="""",I7206="""",J7206="""",H7206=""""),""ফাঁকা ঘর"",""""),IF(AND(C7206&lt;&gt;"""",D7206&lt;&gt;"""",C7206=D7206),""gloss=figurative"",""""),IF(LEN(D7206)&lt;15,""figurative ছোট"",""""),IF(AND(I7206=""Positive"",REGEXMATCH(H7"&amp;"206,""মূর্খ|ভণ্ড|প্রতার|অলস|লোভ|স্বার্থ|অক্ষম|অযোগ্য|বোকা|কৃপণ|হিংস"")),""valence-target অমিল"",""""),IF(COUNTIF($B:$B,B7206)&gt;1,""ডুপ্লিকেট"",""""))"),"")</f>
        <v/>
      </c>
      <c r="Q7206" s="5" t="str">
        <f t="shared" si="1"/>
        <v>২ পরে</v>
      </c>
    </row>
    <row r="7207">
      <c r="A7207" s="4">
        <v>5322.0</v>
      </c>
      <c r="B7207" s="2" t="s">
        <v>29209</v>
      </c>
      <c r="C7207" s="2" t="s">
        <v>29210</v>
      </c>
      <c r="D7207" s="2" t="s">
        <v>29211</v>
      </c>
      <c r="E7207" s="2" t="s">
        <v>29212</v>
      </c>
      <c r="F7207" s="2" t="b">
        <v>1</v>
      </c>
      <c r="G7207" s="2" t="b">
        <v>0</v>
      </c>
      <c r="H7207" s="2" t="s">
        <v>37</v>
      </c>
      <c r="I7207" s="2" t="s">
        <v>22</v>
      </c>
      <c r="J7207" s="2" t="s">
        <v>1074</v>
      </c>
      <c r="K7207" s="2" t="s">
        <v>495</v>
      </c>
      <c r="L7207" s="13" t="s">
        <v>496</v>
      </c>
      <c r="M7207" s="2" t="s">
        <v>26</v>
      </c>
      <c r="N7207" s="29"/>
      <c r="O7207" s="29"/>
      <c r="P7207" s="5" t="str">
        <f>IFERROR(__xludf.DUMMYFUNCTION("TEXTJOIN("" | "",TRUE,IF(OR(D7207="""",E7207="""",I7207="""",J7207="""",H7207=""""),""ফাঁকা ঘর"",""""),IF(AND(C7207&lt;&gt;"""",D7207&lt;&gt;"""",C7207=D7207),""gloss=figurative"",""""),IF(LEN(D7207)&lt;15,""figurative ছোট"",""""),IF(AND(I7207=""Positive"",REGEXMATCH(H7"&amp;"207,""মূর্খ|ভণ্ড|প্রতার|অলস|লোভ|স্বার্থ|অক্ষম|অযোগ্য|বোকা|কৃপণ|হিংস"")),""valence-target অমিল"",""""),IF(COUNTIF($B:$B,B7207)&gt;1,""ডুপ্লিকেট"",""""))"),"")</f>
        <v/>
      </c>
      <c r="Q7207" s="5" t="str">
        <f t="shared" si="1"/>
        <v>২ পরে</v>
      </c>
    </row>
    <row r="7208">
      <c r="A7208" s="4">
        <v>5326.0</v>
      </c>
      <c r="B7208" s="2" t="s">
        <v>29213</v>
      </c>
      <c r="C7208" s="2" t="s">
        <v>29214</v>
      </c>
      <c r="D7208" s="2" t="s">
        <v>29215</v>
      </c>
      <c r="E7208" s="2" t="s">
        <v>29216</v>
      </c>
      <c r="F7208" s="2" t="b">
        <v>1</v>
      </c>
      <c r="G7208" s="2" t="b">
        <v>0</v>
      </c>
      <c r="H7208" s="2" t="s">
        <v>37</v>
      </c>
      <c r="I7208" s="2" t="s">
        <v>22</v>
      </c>
      <c r="J7208" s="2" t="s">
        <v>1117</v>
      </c>
      <c r="K7208" s="2" t="s">
        <v>495</v>
      </c>
      <c r="L7208" s="13" t="s">
        <v>496</v>
      </c>
      <c r="M7208" s="2" t="s">
        <v>26</v>
      </c>
      <c r="N7208" s="29"/>
      <c r="O7208" s="29"/>
      <c r="P7208" s="5" t="str">
        <f>IFERROR(__xludf.DUMMYFUNCTION("TEXTJOIN("" | "",TRUE,IF(OR(D7208="""",E7208="""",I7208="""",J7208="""",H7208=""""),""ফাঁকা ঘর"",""""),IF(AND(C7208&lt;&gt;"""",D7208&lt;&gt;"""",C7208=D7208),""gloss=figurative"",""""),IF(LEN(D7208)&lt;15,""figurative ছোট"",""""),IF(AND(I7208=""Positive"",REGEXMATCH(H7"&amp;"208,""মূর্খ|ভণ্ড|প্রতার|অলস|লোভ|স্বার্থ|অক্ষম|অযোগ্য|বোকা|কৃপণ|হিংস"")),""valence-target অমিল"",""""),IF(COUNTIF($B:$B,B7208)&gt;1,""ডুপ্লিকেট"",""""))"),"")</f>
        <v/>
      </c>
      <c r="Q7208" s="5" t="str">
        <f t="shared" si="1"/>
        <v>২ পরে</v>
      </c>
    </row>
    <row r="7209">
      <c r="A7209" s="4">
        <v>5328.0</v>
      </c>
      <c r="B7209" s="2" t="s">
        <v>29217</v>
      </c>
      <c r="C7209" s="2" t="s">
        <v>29218</v>
      </c>
      <c r="D7209" s="2" t="s">
        <v>29219</v>
      </c>
      <c r="E7209" s="2" t="s">
        <v>29220</v>
      </c>
      <c r="F7209" s="2" t="b">
        <v>1</v>
      </c>
      <c r="G7209" s="2" t="b">
        <v>0</v>
      </c>
      <c r="H7209" s="2" t="s">
        <v>37</v>
      </c>
      <c r="I7209" s="2" t="s">
        <v>32</v>
      </c>
      <c r="J7209" s="2" t="s">
        <v>2108</v>
      </c>
      <c r="K7209" s="2" t="s">
        <v>495</v>
      </c>
      <c r="L7209" s="13" t="s">
        <v>496</v>
      </c>
      <c r="M7209" s="2" t="s">
        <v>26</v>
      </c>
      <c r="N7209" s="29"/>
      <c r="O7209" s="29"/>
      <c r="P7209" s="5" t="str">
        <f>IFERROR(__xludf.DUMMYFUNCTION("TEXTJOIN("" | "",TRUE,IF(OR(D7209="""",E7209="""",I7209="""",J7209="""",H7209=""""),""ফাঁকা ঘর"",""""),IF(AND(C7209&lt;&gt;"""",D7209&lt;&gt;"""",C7209=D7209),""gloss=figurative"",""""),IF(LEN(D7209)&lt;15,""figurative ছোট"",""""),IF(AND(I7209=""Positive"",REGEXMATCH(H7"&amp;"209,""মূর্খ|ভণ্ড|প্রতার|অলস|লোভ|স্বার্থ|অক্ষম|অযোগ্য|বোকা|কৃপণ|হিংস"")),""valence-target অমিল"",""""),IF(COUNTIF($B:$B,B7209)&gt;1,""ডুপ্লিকেট"",""""))"),"")</f>
        <v/>
      </c>
      <c r="Q7209" s="5" t="str">
        <f t="shared" si="1"/>
        <v>২ পরে</v>
      </c>
    </row>
    <row r="7210">
      <c r="A7210" s="4">
        <v>5329.0</v>
      </c>
      <c r="B7210" s="2" t="s">
        <v>29221</v>
      </c>
      <c r="C7210" s="2" t="s">
        <v>29222</v>
      </c>
      <c r="D7210" s="2" t="s">
        <v>29223</v>
      </c>
      <c r="E7210" s="2" t="s">
        <v>29224</v>
      </c>
      <c r="F7210" s="2" t="b">
        <v>1</v>
      </c>
      <c r="G7210" s="2" t="b">
        <v>0</v>
      </c>
      <c r="H7210" s="2" t="s">
        <v>37</v>
      </c>
      <c r="I7210" s="2" t="s">
        <v>22</v>
      </c>
      <c r="J7210" s="2" t="s">
        <v>3105</v>
      </c>
      <c r="K7210" s="2" t="s">
        <v>495</v>
      </c>
      <c r="L7210" s="13" t="s">
        <v>496</v>
      </c>
      <c r="M7210" s="2" t="s">
        <v>26</v>
      </c>
      <c r="N7210" s="29"/>
      <c r="O7210" s="29"/>
      <c r="P7210" s="5" t="str">
        <f>IFERROR(__xludf.DUMMYFUNCTION("TEXTJOIN("" | "",TRUE,IF(OR(D7210="""",E7210="""",I7210="""",J7210="""",H7210=""""),""ফাঁকা ঘর"",""""),IF(AND(C7210&lt;&gt;"""",D7210&lt;&gt;"""",C7210=D7210),""gloss=figurative"",""""),IF(LEN(D7210)&lt;15,""figurative ছোট"",""""),IF(AND(I7210=""Positive"",REGEXMATCH(H7"&amp;"210,""মূর্খ|ভণ্ড|প্রতার|অলস|লোভ|স্বার্থ|অক্ষম|অযোগ্য|বোকা|কৃপণ|হিংস"")),""valence-target অমিল"",""""),IF(COUNTIF($B:$B,B7210)&gt;1,""ডুপ্লিকেট"",""""))"),"")</f>
        <v/>
      </c>
      <c r="Q7210" s="5" t="str">
        <f t="shared" si="1"/>
        <v>২ পরে</v>
      </c>
    </row>
    <row r="7211">
      <c r="A7211" s="4">
        <v>5330.0</v>
      </c>
      <c r="B7211" s="2" t="s">
        <v>29225</v>
      </c>
      <c r="C7211" s="2" t="s">
        <v>29226</v>
      </c>
      <c r="D7211" s="2" t="s">
        <v>29227</v>
      </c>
      <c r="E7211" s="2" t="s">
        <v>29228</v>
      </c>
      <c r="F7211" s="2" t="b">
        <v>1</v>
      </c>
      <c r="G7211" s="2" t="b">
        <v>0</v>
      </c>
      <c r="H7211" s="2" t="s">
        <v>1284</v>
      </c>
      <c r="I7211" s="2" t="s">
        <v>22</v>
      </c>
      <c r="J7211" s="2" t="s">
        <v>29229</v>
      </c>
      <c r="K7211" s="2" t="s">
        <v>495</v>
      </c>
      <c r="L7211" s="13" t="s">
        <v>496</v>
      </c>
      <c r="M7211" s="2" t="s">
        <v>26</v>
      </c>
      <c r="N7211" s="29"/>
      <c r="O7211" s="29"/>
      <c r="P7211" s="5" t="str">
        <f>IFERROR(__xludf.DUMMYFUNCTION("TEXTJOIN("" | "",TRUE,IF(OR(D7211="""",E7211="""",I7211="""",J7211="""",H7211=""""),""ফাঁকা ঘর"",""""),IF(AND(C7211&lt;&gt;"""",D7211&lt;&gt;"""",C7211=D7211),""gloss=figurative"",""""),IF(LEN(D7211)&lt;15,""figurative ছোট"",""""),IF(AND(I7211=""Positive"",REGEXMATCH(H7"&amp;"211,""মূর্খ|ভণ্ড|প্রতার|অলস|লোভ|স্বার্থ|অক্ষম|অযোগ্য|বোকা|কৃপণ|হিংস"")),""valence-target অমিল"",""""),IF(COUNTIF($B:$B,B7211)&gt;1,""ডুপ্লিকেট"",""""))"),"")</f>
        <v/>
      </c>
      <c r="Q7211" s="5" t="str">
        <f t="shared" si="1"/>
        <v>২ পরে</v>
      </c>
    </row>
    <row r="7212">
      <c r="A7212" s="4">
        <v>5334.0</v>
      </c>
      <c r="B7212" s="2" t="s">
        <v>29230</v>
      </c>
      <c r="C7212" s="2" t="s">
        <v>29231</v>
      </c>
      <c r="D7212" s="2" t="s">
        <v>29232</v>
      </c>
      <c r="E7212" s="2" t="s">
        <v>29233</v>
      </c>
      <c r="F7212" s="2" t="b">
        <v>1</v>
      </c>
      <c r="G7212" s="2" t="b">
        <v>0</v>
      </c>
      <c r="H7212" s="2" t="s">
        <v>37</v>
      </c>
      <c r="I7212" s="2" t="s">
        <v>32</v>
      </c>
      <c r="J7212" s="2" t="s">
        <v>808</v>
      </c>
      <c r="K7212" s="2" t="s">
        <v>495</v>
      </c>
      <c r="L7212" s="13" t="s">
        <v>496</v>
      </c>
      <c r="M7212" s="2" t="s">
        <v>26</v>
      </c>
      <c r="N7212" s="29"/>
      <c r="O7212" s="29"/>
      <c r="P7212" s="5" t="str">
        <f>IFERROR(__xludf.DUMMYFUNCTION("TEXTJOIN("" | "",TRUE,IF(OR(D7212="""",E7212="""",I7212="""",J7212="""",H7212=""""),""ফাঁকা ঘর"",""""),IF(AND(C7212&lt;&gt;"""",D7212&lt;&gt;"""",C7212=D7212),""gloss=figurative"",""""),IF(LEN(D7212)&lt;15,""figurative ছোট"",""""),IF(AND(I7212=""Positive"",REGEXMATCH(H7"&amp;"212,""মূর্খ|ভণ্ড|প্রতার|অলস|লোভ|স্বার্থ|অক্ষম|অযোগ্য|বোকা|কৃপণ|হিংস"")),""valence-target অমিল"",""""),IF(COUNTIF($B:$B,B7212)&gt;1,""ডুপ্লিকেট"",""""))"),"")</f>
        <v/>
      </c>
      <c r="Q7212" s="5" t="str">
        <f t="shared" si="1"/>
        <v>২ পরে</v>
      </c>
    </row>
    <row r="7213">
      <c r="A7213" s="4">
        <v>5335.0</v>
      </c>
      <c r="B7213" s="2" t="s">
        <v>29234</v>
      </c>
      <c r="C7213" s="2" t="s">
        <v>29234</v>
      </c>
      <c r="D7213" s="2" t="s">
        <v>29235</v>
      </c>
      <c r="E7213" s="2" t="s">
        <v>29236</v>
      </c>
      <c r="F7213" s="2" t="b">
        <v>1</v>
      </c>
      <c r="G7213" s="2" t="b">
        <v>0</v>
      </c>
      <c r="H7213" s="2" t="s">
        <v>37</v>
      </c>
      <c r="I7213" s="2" t="s">
        <v>22</v>
      </c>
      <c r="J7213" s="2" t="s">
        <v>1013</v>
      </c>
      <c r="K7213" s="2" t="s">
        <v>495</v>
      </c>
      <c r="L7213" s="13" t="s">
        <v>496</v>
      </c>
      <c r="M7213" s="2" t="s">
        <v>26</v>
      </c>
      <c r="N7213" s="29"/>
      <c r="O7213" s="29"/>
      <c r="P7213" s="5" t="str">
        <f>IFERROR(__xludf.DUMMYFUNCTION("TEXTJOIN("" | "",TRUE,IF(OR(D7213="""",E7213="""",I7213="""",J7213="""",H7213=""""),""ফাঁকা ঘর"",""""),IF(AND(C7213&lt;&gt;"""",D7213&lt;&gt;"""",C7213=D7213),""gloss=figurative"",""""),IF(LEN(D7213)&lt;15,""figurative ছোট"",""""),IF(AND(I7213=""Positive"",REGEXMATCH(H7"&amp;"213,""মূর্খ|ভণ্ড|প্রতার|অলস|লোভ|স্বার্থ|অক্ষম|অযোগ্য|বোকা|কৃপণ|হিংস"")),""valence-target অমিল"",""""),IF(COUNTIF($B:$B,B7213)&gt;1,""ডুপ্লিকেট"",""""))"),"")</f>
        <v/>
      </c>
      <c r="Q7213" s="5" t="str">
        <f t="shared" si="1"/>
        <v>২ পরে</v>
      </c>
    </row>
    <row r="7214">
      <c r="A7214" s="4">
        <v>5337.0</v>
      </c>
      <c r="B7214" s="2" t="s">
        <v>29237</v>
      </c>
      <c r="C7214" s="2" t="s">
        <v>29238</v>
      </c>
      <c r="D7214" s="2" t="s">
        <v>29239</v>
      </c>
      <c r="E7214" s="2" t="s">
        <v>29240</v>
      </c>
      <c r="F7214" s="2" t="b">
        <v>1</v>
      </c>
      <c r="G7214" s="2" t="b">
        <v>0</v>
      </c>
      <c r="H7214" s="2" t="s">
        <v>37</v>
      </c>
      <c r="I7214" s="2" t="s">
        <v>22</v>
      </c>
      <c r="J7214" s="2" t="s">
        <v>1630</v>
      </c>
      <c r="K7214" s="2" t="s">
        <v>495</v>
      </c>
      <c r="L7214" s="13" t="s">
        <v>496</v>
      </c>
      <c r="M7214" s="2" t="s">
        <v>26</v>
      </c>
      <c r="N7214" s="29"/>
      <c r="O7214" s="29"/>
      <c r="P7214" s="5" t="str">
        <f>IFERROR(__xludf.DUMMYFUNCTION("TEXTJOIN("" | "",TRUE,IF(OR(D7214="""",E7214="""",I7214="""",J7214="""",H7214=""""),""ফাঁকা ঘর"",""""),IF(AND(C7214&lt;&gt;"""",D7214&lt;&gt;"""",C7214=D7214),""gloss=figurative"",""""),IF(LEN(D7214)&lt;15,""figurative ছোট"",""""),IF(AND(I7214=""Positive"",REGEXMATCH(H7"&amp;"214,""মূর্খ|ভণ্ড|প্রতার|অলস|লোভ|স্বার্থ|অক্ষম|অযোগ্য|বোকা|কৃপণ|হিংস"")),""valence-target অমিল"",""""),IF(COUNTIF($B:$B,B7214)&gt;1,""ডুপ্লিকেট"",""""))"),"")</f>
        <v/>
      </c>
      <c r="Q7214" s="5" t="str">
        <f t="shared" si="1"/>
        <v>২ পরে</v>
      </c>
    </row>
    <row r="7215">
      <c r="A7215" s="4">
        <v>5338.0</v>
      </c>
      <c r="B7215" s="2" t="s">
        <v>29241</v>
      </c>
      <c r="C7215" s="2" t="s">
        <v>29242</v>
      </c>
      <c r="D7215" s="2" t="s">
        <v>29243</v>
      </c>
      <c r="E7215" s="2" t="s">
        <v>29244</v>
      </c>
      <c r="F7215" s="2" t="b">
        <v>1</v>
      </c>
      <c r="G7215" s="2" t="b">
        <v>0</v>
      </c>
      <c r="H7215" s="2" t="s">
        <v>37</v>
      </c>
      <c r="I7215" s="2" t="s">
        <v>22</v>
      </c>
      <c r="J7215" s="2" t="s">
        <v>1038</v>
      </c>
      <c r="K7215" s="2" t="s">
        <v>495</v>
      </c>
      <c r="L7215" s="13" t="s">
        <v>496</v>
      </c>
      <c r="M7215" s="2" t="s">
        <v>26</v>
      </c>
      <c r="N7215" s="29"/>
      <c r="O7215" s="29"/>
      <c r="P7215" s="5" t="str">
        <f>IFERROR(__xludf.DUMMYFUNCTION("TEXTJOIN("" | "",TRUE,IF(OR(D7215="""",E7215="""",I7215="""",J7215="""",H7215=""""),""ফাঁকা ঘর"",""""),IF(AND(C7215&lt;&gt;"""",D7215&lt;&gt;"""",C7215=D7215),""gloss=figurative"",""""),IF(LEN(D7215)&lt;15,""figurative ছোট"",""""),IF(AND(I7215=""Positive"",REGEXMATCH(H7"&amp;"215,""মূর্খ|ভণ্ড|প্রতার|অলস|লোভ|স্বার্থ|অক্ষম|অযোগ্য|বোকা|কৃপণ|হিংস"")),""valence-target অমিল"",""""),IF(COUNTIF($B:$B,B7215)&gt;1,""ডুপ্লিকেট"",""""))"),"")</f>
        <v/>
      </c>
      <c r="Q7215" s="5" t="str">
        <f t="shared" si="1"/>
        <v>২ পরে</v>
      </c>
    </row>
    <row r="7216">
      <c r="A7216" s="4">
        <v>5339.0</v>
      </c>
      <c r="B7216" s="2" t="s">
        <v>29245</v>
      </c>
      <c r="C7216" s="2" t="s">
        <v>29246</v>
      </c>
      <c r="D7216" s="2" t="s">
        <v>29247</v>
      </c>
      <c r="E7216" s="2" t="s">
        <v>29248</v>
      </c>
      <c r="F7216" s="2" t="b">
        <v>1</v>
      </c>
      <c r="G7216" s="2" t="b">
        <v>0</v>
      </c>
      <c r="H7216" s="2" t="s">
        <v>37</v>
      </c>
      <c r="I7216" s="2" t="s">
        <v>22</v>
      </c>
      <c r="J7216" s="2" t="s">
        <v>1038</v>
      </c>
      <c r="K7216" s="2" t="s">
        <v>495</v>
      </c>
      <c r="L7216" s="13" t="s">
        <v>496</v>
      </c>
      <c r="M7216" s="2" t="s">
        <v>26</v>
      </c>
      <c r="N7216" s="29"/>
      <c r="O7216" s="29"/>
      <c r="P7216" s="5" t="str">
        <f>IFERROR(__xludf.DUMMYFUNCTION("TEXTJOIN("" | "",TRUE,IF(OR(D7216="""",E7216="""",I7216="""",J7216="""",H7216=""""),""ফাঁকা ঘর"",""""),IF(AND(C7216&lt;&gt;"""",D7216&lt;&gt;"""",C7216=D7216),""gloss=figurative"",""""),IF(LEN(D7216)&lt;15,""figurative ছোট"",""""),IF(AND(I7216=""Positive"",REGEXMATCH(H7"&amp;"216,""মূর্খ|ভণ্ড|প্রতার|অলস|লোভ|স্বার্থ|অক্ষম|অযোগ্য|বোকা|কৃপণ|হিংস"")),""valence-target অমিল"",""""),IF(COUNTIF($B:$B,B7216)&gt;1,""ডুপ্লিকেট"",""""))"),"")</f>
        <v/>
      </c>
      <c r="Q7216" s="5" t="str">
        <f t="shared" si="1"/>
        <v>২ পরে</v>
      </c>
    </row>
    <row r="7217">
      <c r="A7217" s="4">
        <v>5341.0</v>
      </c>
      <c r="B7217" s="2" t="s">
        <v>10333</v>
      </c>
      <c r="C7217" s="2" t="s">
        <v>10333</v>
      </c>
      <c r="D7217" s="2" t="s">
        <v>29249</v>
      </c>
      <c r="E7217" s="2" t="s">
        <v>29250</v>
      </c>
      <c r="F7217" s="2" t="b">
        <v>1</v>
      </c>
      <c r="G7217" s="2" t="b">
        <v>0</v>
      </c>
      <c r="H7217" s="2" t="s">
        <v>37</v>
      </c>
      <c r="I7217" s="2" t="s">
        <v>32</v>
      </c>
      <c r="J7217" s="2" t="s">
        <v>3156</v>
      </c>
      <c r="K7217" s="2" t="s">
        <v>495</v>
      </c>
      <c r="L7217" s="13" t="s">
        <v>496</v>
      </c>
      <c r="M7217" s="2" t="s">
        <v>26</v>
      </c>
      <c r="N7217" s="29"/>
      <c r="O7217" s="29"/>
      <c r="P7217" s="5" t="str">
        <f>IFERROR(__xludf.DUMMYFUNCTION("TEXTJOIN("" | "",TRUE,IF(OR(D7217="""",E7217="""",I7217="""",J7217="""",H7217=""""),""ফাঁকা ঘর"",""""),IF(AND(C7217&lt;&gt;"""",D7217&lt;&gt;"""",C7217=D7217),""gloss=figurative"",""""),IF(LEN(D7217)&lt;15,""figurative ছোট"",""""),IF(AND(I7217=""Positive"",REGEXMATCH(H7"&amp;"217,""মূর্খ|ভণ্ড|প্রতার|অলস|লোভ|স্বার্থ|অক্ষম|অযোগ্য|বোকা|কৃপণ|হিংস"")),""valence-target অমিল"",""""),IF(COUNTIF($B:$B,B7217)&gt;1,""ডুপ্লিকেট"",""""))"),"")</f>
        <v/>
      </c>
      <c r="Q7217" s="5" t="str">
        <f t="shared" si="1"/>
        <v>২ পরে</v>
      </c>
    </row>
    <row r="7218">
      <c r="A7218" s="4">
        <v>5344.0</v>
      </c>
      <c r="B7218" s="2" t="s">
        <v>29251</v>
      </c>
      <c r="C7218" s="2" t="s">
        <v>29252</v>
      </c>
      <c r="D7218" s="2" t="s">
        <v>29253</v>
      </c>
      <c r="E7218" s="2" t="s">
        <v>29254</v>
      </c>
      <c r="F7218" s="2" t="b">
        <v>1</v>
      </c>
      <c r="G7218" s="2" t="b">
        <v>1</v>
      </c>
      <c r="H7218" s="2" t="s">
        <v>1106</v>
      </c>
      <c r="I7218" s="2" t="s">
        <v>22</v>
      </c>
      <c r="J7218" s="2" t="s">
        <v>665</v>
      </c>
      <c r="K7218" s="2" t="s">
        <v>495</v>
      </c>
      <c r="L7218" s="13" t="s">
        <v>496</v>
      </c>
      <c r="M7218" s="2" t="s">
        <v>26</v>
      </c>
      <c r="N7218" s="29"/>
      <c r="O7218" s="29"/>
      <c r="P7218" s="5" t="str">
        <f>IFERROR(__xludf.DUMMYFUNCTION("TEXTJOIN("" | "",TRUE,IF(OR(D7218="""",E7218="""",I7218="""",J7218="""",H7218=""""),""ফাঁকা ঘর"",""""),IF(AND(C7218&lt;&gt;"""",D7218&lt;&gt;"""",C7218=D7218),""gloss=figurative"",""""),IF(LEN(D7218)&lt;15,""figurative ছোট"",""""),IF(AND(I7218=""Positive"",REGEXMATCH(H7"&amp;"218,""মূর্খ|ভণ্ড|প্রতার|অলস|লোভ|স্বার্থ|অক্ষম|অযোগ্য|বোকা|কৃপণ|হিংস"")),""valence-target অমিল"",""""),IF(COUNTIF($B:$B,B7218)&gt;1,""ডুপ্লিকেট"",""""))"),"")</f>
        <v/>
      </c>
      <c r="Q7218" s="5" t="str">
        <f t="shared" si="1"/>
        <v>২ পরে</v>
      </c>
    </row>
    <row r="7219">
      <c r="A7219" s="4">
        <v>5350.0</v>
      </c>
      <c r="B7219" s="2" t="s">
        <v>29255</v>
      </c>
      <c r="C7219" s="2" t="s">
        <v>29256</v>
      </c>
      <c r="D7219" s="2" t="s">
        <v>29257</v>
      </c>
      <c r="E7219" s="2" t="s">
        <v>29258</v>
      </c>
      <c r="F7219" s="2" t="b">
        <v>1</v>
      </c>
      <c r="G7219" s="2" t="b">
        <v>0</v>
      </c>
      <c r="H7219" s="2" t="s">
        <v>37</v>
      </c>
      <c r="I7219" s="2" t="s">
        <v>22</v>
      </c>
      <c r="J7219" s="2" t="s">
        <v>820</v>
      </c>
      <c r="K7219" s="2" t="s">
        <v>495</v>
      </c>
      <c r="L7219" s="13" t="s">
        <v>496</v>
      </c>
      <c r="M7219" s="2" t="s">
        <v>26</v>
      </c>
      <c r="N7219" s="29"/>
      <c r="O7219" s="29"/>
      <c r="P7219" s="5" t="str">
        <f>IFERROR(__xludf.DUMMYFUNCTION("TEXTJOIN("" | "",TRUE,IF(OR(D7219="""",E7219="""",I7219="""",J7219="""",H7219=""""),""ফাঁকা ঘর"",""""),IF(AND(C7219&lt;&gt;"""",D7219&lt;&gt;"""",C7219=D7219),""gloss=figurative"",""""),IF(LEN(D7219)&lt;15,""figurative ছোট"",""""),IF(AND(I7219=""Positive"",REGEXMATCH(H7"&amp;"219,""মূর্খ|ভণ্ড|প্রতার|অলস|লোভ|স্বার্থ|অক্ষম|অযোগ্য|বোকা|কৃপণ|হিংস"")),""valence-target অমিল"",""""),IF(COUNTIF($B:$B,B7219)&gt;1,""ডুপ্লিকেট"",""""))"),"")</f>
        <v/>
      </c>
      <c r="Q7219" s="5" t="str">
        <f t="shared" si="1"/>
        <v>২ পরে</v>
      </c>
    </row>
    <row r="7220">
      <c r="A7220" s="4">
        <v>5356.0</v>
      </c>
      <c r="B7220" s="2" t="s">
        <v>29259</v>
      </c>
      <c r="C7220" s="2" t="s">
        <v>29260</v>
      </c>
      <c r="D7220" s="2" t="s">
        <v>29261</v>
      </c>
      <c r="E7220" s="2" t="s">
        <v>29262</v>
      </c>
      <c r="F7220" s="2" t="b">
        <v>1</v>
      </c>
      <c r="G7220" s="2" t="b">
        <v>0</v>
      </c>
      <c r="H7220" s="2" t="s">
        <v>37</v>
      </c>
      <c r="I7220" s="2" t="s">
        <v>22</v>
      </c>
      <c r="J7220" s="2" t="s">
        <v>29263</v>
      </c>
      <c r="K7220" s="2" t="s">
        <v>495</v>
      </c>
      <c r="L7220" s="13" t="s">
        <v>496</v>
      </c>
      <c r="M7220" s="2" t="s">
        <v>26</v>
      </c>
      <c r="N7220" s="29"/>
      <c r="O7220" s="29"/>
      <c r="P7220" s="5" t="str">
        <f>IFERROR(__xludf.DUMMYFUNCTION("TEXTJOIN("" | "",TRUE,IF(OR(D7220="""",E7220="""",I7220="""",J7220="""",H7220=""""),""ফাঁকা ঘর"",""""),IF(AND(C7220&lt;&gt;"""",D7220&lt;&gt;"""",C7220=D7220),""gloss=figurative"",""""),IF(LEN(D7220)&lt;15,""figurative ছোট"",""""),IF(AND(I7220=""Positive"",REGEXMATCH(H7"&amp;"220,""মূর্খ|ভণ্ড|প্রতার|অলস|লোভ|স্বার্থ|অক্ষম|অযোগ্য|বোকা|কৃপণ|হিংস"")),""valence-target অমিল"",""""),IF(COUNTIF($B:$B,B7220)&gt;1,""ডুপ্লিকেট"",""""))"),"")</f>
        <v/>
      </c>
      <c r="Q7220" s="5" t="str">
        <f t="shared" si="1"/>
        <v>২ পরে</v>
      </c>
    </row>
    <row r="7221">
      <c r="A7221" s="4">
        <v>5357.0</v>
      </c>
      <c r="B7221" s="2" t="s">
        <v>29264</v>
      </c>
      <c r="C7221" s="2" t="s">
        <v>29265</v>
      </c>
      <c r="D7221" s="2" t="s">
        <v>29266</v>
      </c>
      <c r="E7221" s="2" t="s">
        <v>29267</v>
      </c>
      <c r="F7221" s="2" t="b">
        <v>1</v>
      </c>
      <c r="G7221" s="2" t="b">
        <v>0</v>
      </c>
      <c r="H7221" s="2" t="s">
        <v>37</v>
      </c>
      <c r="I7221" s="2" t="s">
        <v>49</v>
      </c>
      <c r="J7221" s="2" t="s">
        <v>1008</v>
      </c>
      <c r="K7221" s="2" t="s">
        <v>495</v>
      </c>
      <c r="L7221" s="13" t="s">
        <v>496</v>
      </c>
      <c r="M7221" s="2" t="s">
        <v>26</v>
      </c>
      <c r="N7221" s="29"/>
      <c r="O7221" s="29"/>
      <c r="P7221" s="5" t="str">
        <f>IFERROR(__xludf.DUMMYFUNCTION("TEXTJOIN("" | "",TRUE,IF(OR(D7221="""",E7221="""",I7221="""",J7221="""",H7221=""""),""ফাঁকা ঘর"",""""),IF(AND(C7221&lt;&gt;"""",D7221&lt;&gt;"""",C7221=D7221),""gloss=figurative"",""""),IF(LEN(D7221)&lt;15,""figurative ছোট"",""""),IF(AND(I7221=""Positive"",REGEXMATCH(H7"&amp;"221,""মূর্খ|ভণ্ড|প্রতার|অলস|লোভ|স্বার্থ|অক্ষম|অযোগ্য|বোকা|কৃপণ|হিংস"")),""valence-target অমিল"",""""),IF(COUNTIF($B:$B,B7221)&gt;1,""ডুপ্লিকেট"",""""))"),"")</f>
        <v/>
      </c>
      <c r="Q7221" s="5" t="str">
        <f t="shared" si="1"/>
        <v>২ পরে</v>
      </c>
    </row>
    <row r="7222">
      <c r="A7222" s="4">
        <v>5359.0</v>
      </c>
      <c r="B7222" s="2" t="s">
        <v>29268</v>
      </c>
      <c r="C7222" s="2" t="s">
        <v>29269</v>
      </c>
      <c r="D7222" s="2" t="s">
        <v>29270</v>
      </c>
      <c r="E7222" s="2" t="s">
        <v>29271</v>
      </c>
      <c r="F7222" s="2" t="b">
        <v>1</v>
      </c>
      <c r="G7222" s="2" t="b">
        <v>0</v>
      </c>
      <c r="H7222" s="2" t="s">
        <v>37</v>
      </c>
      <c r="I7222" s="2" t="s">
        <v>22</v>
      </c>
      <c r="J7222" s="2" t="s">
        <v>2255</v>
      </c>
      <c r="K7222" s="2" t="s">
        <v>495</v>
      </c>
      <c r="L7222" s="13" t="s">
        <v>496</v>
      </c>
      <c r="M7222" s="2" t="s">
        <v>26</v>
      </c>
      <c r="N7222" s="29"/>
      <c r="O7222" s="29"/>
      <c r="P7222" s="5" t="str">
        <f>IFERROR(__xludf.DUMMYFUNCTION("TEXTJOIN("" | "",TRUE,IF(OR(D7222="""",E7222="""",I7222="""",J7222="""",H7222=""""),""ফাঁকা ঘর"",""""),IF(AND(C7222&lt;&gt;"""",D7222&lt;&gt;"""",C7222=D7222),""gloss=figurative"",""""),IF(LEN(D7222)&lt;15,""figurative ছোট"",""""),IF(AND(I7222=""Positive"",REGEXMATCH(H7"&amp;"222,""মূর্খ|ভণ্ড|প্রতার|অলস|লোভ|স্বার্থ|অক্ষম|অযোগ্য|বোকা|কৃপণ|হিংস"")),""valence-target অমিল"",""""),IF(COUNTIF($B:$B,B7222)&gt;1,""ডুপ্লিকেট"",""""))"),"")</f>
        <v/>
      </c>
      <c r="Q7222" s="5" t="str">
        <f t="shared" si="1"/>
        <v>২ পরে</v>
      </c>
    </row>
    <row r="7223">
      <c r="A7223" s="4">
        <v>5360.0</v>
      </c>
      <c r="B7223" s="2" t="s">
        <v>29272</v>
      </c>
      <c r="C7223" s="2" t="s">
        <v>29273</v>
      </c>
      <c r="D7223" s="2" t="s">
        <v>29274</v>
      </c>
      <c r="E7223" s="2" t="s">
        <v>29275</v>
      </c>
      <c r="F7223" s="2" t="b">
        <v>1</v>
      </c>
      <c r="G7223" s="2" t="b">
        <v>0</v>
      </c>
      <c r="H7223" s="2" t="s">
        <v>37</v>
      </c>
      <c r="I7223" s="2" t="s">
        <v>22</v>
      </c>
      <c r="J7223" s="2" t="s">
        <v>2255</v>
      </c>
      <c r="K7223" s="2" t="s">
        <v>495</v>
      </c>
      <c r="L7223" s="13" t="s">
        <v>496</v>
      </c>
      <c r="M7223" s="2" t="s">
        <v>26</v>
      </c>
      <c r="N7223" s="29"/>
      <c r="O7223" s="29"/>
      <c r="P7223" s="5" t="str">
        <f>IFERROR(__xludf.DUMMYFUNCTION("TEXTJOIN("" | "",TRUE,IF(OR(D7223="""",E7223="""",I7223="""",J7223="""",H7223=""""),""ফাঁকা ঘর"",""""),IF(AND(C7223&lt;&gt;"""",D7223&lt;&gt;"""",C7223=D7223),""gloss=figurative"",""""),IF(LEN(D7223)&lt;15,""figurative ছোট"",""""),IF(AND(I7223=""Positive"",REGEXMATCH(H7"&amp;"223,""মূর্খ|ভণ্ড|প্রতার|অলস|লোভ|স্বার্থ|অক্ষম|অযোগ্য|বোকা|কৃপণ|হিংস"")),""valence-target অমিল"",""""),IF(COUNTIF($B:$B,B7223)&gt;1,""ডুপ্লিকেট"",""""))"),"")</f>
        <v/>
      </c>
      <c r="Q7223" s="5" t="str">
        <f t="shared" si="1"/>
        <v>২ পরে</v>
      </c>
    </row>
    <row r="7224">
      <c r="A7224" s="4">
        <v>5361.0</v>
      </c>
      <c r="B7224" s="2" t="s">
        <v>29276</v>
      </c>
      <c r="C7224" s="2" t="s">
        <v>29277</v>
      </c>
      <c r="D7224" s="2" t="s">
        <v>29278</v>
      </c>
      <c r="E7224" s="2" t="s">
        <v>29279</v>
      </c>
      <c r="F7224" s="2" t="b">
        <v>1</v>
      </c>
      <c r="G7224" s="2" t="b">
        <v>0</v>
      </c>
      <c r="H7224" s="2" t="s">
        <v>37</v>
      </c>
      <c r="I7224" s="2" t="s">
        <v>32</v>
      </c>
      <c r="J7224" s="2" t="s">
        <v>891</v>
      </c>
      <c r="K7224" s="2" t="s">
        <v>495</v>
      </c>
      <c r="L7224" s="13" t="s">
        <v>496</v>
      </c>
      <c r="M7224" s="2" t="s">
        <v>26</v>
      </c>
      <c r="N7224" s="29"/>
      <c r="O7224" s="29"/>
      <c r="P7224" s="5" t="str">
        <f>IFERROR(__xludf.DUMMYFUNCTION("TEXTJOIN("" | "",TRUE,IF(OR(D7224="""",E7224="""",I7224="""",J7224="""",H7224=""""),""ফাঁকা ঘর"",""""),IF(AND(C7224&lt;&gt;"""",D7224&lt;&gt;"""",C7224=D7224),""gloss=figurative"",""""),IF(LEN(D7224)&lt;15,""figurative ছোট"",""""),IF(AND(I7224=""Positive"",REGEXMATCH(H7"&amp;"224,""মূর্খ|ভণ্ড|প্রতার|অলস|লোভ|স্বার্থ|অক্ষম|অযোগ্য|বোকা|কৃপণ|হিংস"")),""valence-target অমিল"",""""),IF(COUNTIF($B:$B,B7224)&gt;1,""ডুপ্লিকেট"",""""))"),"")</f>
        <v/>
      </c>
      <c r="Q7224" s="5" t="str">
        <f t="shared" si="1"/>
        <v>২ পরে</v>
      </c>
    </row>
    <row r="7225">
      <c r="A7225" s="4">
        <v>5363.0</v>
      </c>
      <c r="B7225" s="2" t="s">
        <v>29280</v>
      </c>
      <c r="C7225" s="2" t="s">
        <v>29281</v>
      </c>
      <c r="D7225" s="2" t="s">
        <v>29282</v>
      </c>
      <c r="E7225" s="2" t="s">
        <v>29283</v>
      </c>
      <c r="F7225" s="2" t="b">
        <v>1</v>
      </c>
      <c r="G7225" s="2" t="b">
        <v>1</v>
      </c>
      <c r="H7225" s="2" t="s">
        <v>2173</v>
      </c>
      <c r="I7225" s="2" t="s">
        <v>49</v>
      </c>
      <c r="J7225" s="2" t="s">
        <v>1239</v>
      </c>
      <c r="K7225" s="2" t="s">
        <v>495</v>
      </c>
      <c r="L7225" s="13" t="s">
        <v>496</v>
      </c>
      <c r="M7225" s="2" t="s">
        <v>26</v>
      </c>
      <c r="N7225" s="29"/>
      <c r="O7225" s="29"/>
      <c r="P7225" s="5" t="str">
        <f>IFERROR(__xludf.DUMMYFUNCTION("TEXTJOIN("" | "",TRUE,IF(OR(D7225="""",E7225="""",I7225="""",J7225="""",H7225=""""),""ফাঁকা ঘর"",""""),IF(AND(C7225&lt;&gt;"""",D7225&lt;&gt;"""",C7225=D7225),""gloss=figurative"",""""),IF(LEN(D7225)&lt;15,""figurative ছোট"",""""),IF(AND(I7225=""Positive"",REGEXMATCH(H7"&amp;"225,""মূর্খ|ভণ্ড|প্রতার|অলস|লোভ|স্বার্থ|অক্ষম|অযোগ্য|বোকা|কৃপণ|হিংস"")),""valence-target অমিল"",""""),IF(COUNTIF($B:$B,B7225)&gt;1,""ডুপ্লিকেট"",""""))"),"")</f>
        <v/>
      </c>
      <c r="Q7225" s="5" t="str">
        <f t="shared" si="1"/>
        <v>২ পরে</v>
      </c>
    </row>
    <row r="7226">
      <c r="A7226" s="4">
        <v>5364.0</v>
      </c>
      <c r="B7226" s="2" t="s">
        <v>29284</v>
      </c>
      <c r="C7226" s="2" t="s">
        <v>29285</v>
      </c>
      <c r="D7226" s="2" t="s">
        <v>29286</v>
      </c>
      <c r="E7226" s="2" t="s">
        <v>29287</v>
      </c>
      <c r="F7226" s="2" t="b">
        <v>1</v>
      </c>
      <c r="G7226" s="2" t="b">
        <v>0</v>
      </c>
      <c r="H7226" s="2" t="s">
        <v>37</v>
      </c>
      <c r="I7226" s="2" t="s">
        <v>49</v>
      </c>
      <c r="J7226" s="2" t="s">
        <v>2201</v>
      </c>
      <c r="K7226" s="2" t="s">
        <v>495</v>
      </c>
      <c r="L7226" s="13" t="s">
        <v>496</v>
      </c>
      <c r="M7226" s="2" t="s">
        <v>26</v>
      </c>
      <c r="N7226" s="29"/>
      <c r="O7226" s="29"/>
      <c r="P7226" s="5" t="str">
        <f>IFERROR(__xludf.DUMMYFUNCTION("TEXTJOIN("" | "",TRUE,IF(OR(D7226="""",E7226="""",I7226="""",J7226="""",H7226=""""),""ফাঁকা ঘর"",""""),IF(AND(C7226&lt;&gt;"""",D7226&lt;&gt;"""",C7226=D7226),""gloss=figurative"",""""),IF(LEN(D7226)&lt;15,""figurative ছোট"",""""),IF(AND(I7226=""Positive"",REGEXMATCH(H7"&amp;"226,""মূর্খ|ভণ্ড|প্রতার|অলস|লোভ|স্বার্থ|অক্ষম|অযোগ্য|বোকা|কৃপণ|হিংস"")),""valence-target অমিল"",""""),IF(COUNTIF($B:$B,B7226)&gt;1,""ডুপ্লিকেট"",""""))"),"")</f>
        <v/>
      </c>
      <c r="Q7226" s="5" t="str">
        <f t="shared" si="1"/>
        <v>২ পরে</v>
      </c>
    </row>
    <row r="7227">
      <c r="A7227" s="4">
        <v>5366.0</v>
      </c>
      <c r="B7227" s="2" t="s">
        <v>29288</v>
      </c>
      <c r="C7227" s="2" t="s">
        <v>29289</v>
      </c>
      <c r="D7227" s="2" t="s">
        <v>29290</v>
      </c>
      <c r="E7227" s="2" t="s">
        <v>29291</v>
      </c>
      <c r="F7227" s="2" t="b">
        <v>1</v>
      </c>
      <c r="G7227" s="2" t="b">
        <v>0</v>
      </c>
      <c r="H7227" s="2" t="s">
        <v>37</v>
      </c>
      <c r="I7227" s="2" t="s">
        <v>22</v>
      </c>
      <c r="J7227" s="2" t="s">
        <v>1962</v>
      </c>
      <c r="K7227" s="2" t="s">
        <v>495</v>
      </c>
      <c r="L7227" s="13" t="s">
        <v>496</v>
      </c>
      <c r="M7227" s="2" t="s">
        <v>26</v>
      </c>
      <c r="N7227" s="29"/>
      <c r="O7227" s="29"/>
      <c r="P7227" s="5" t="str">
        <f>IFERROR(__xludf.DUMMYFUNCTION("TEXTJOIN("" | "",TRUE,IF(OR(D7227="""",E7227="""",I7227="""",J7227="""",H7227=""""),""ফাঁকা ঘর"",""""),IF(AND(C7227&lt;&gt;"""",D7227&lt;&gt;"""",C7227=D7227),""gloss=figurative"",""""),IF(LEN(D7227)&lt;15,""figurative ছোট"",""""),IF(AND(I7227=""Positive"",REGEXMATCH(H7"&amp;"227,""মূর্খ|ভণ্ড|প্রতার|অলস|লোভ|স্বার্থ|অক্ষম|অযোগ্য|বোকা|কৃপণ|হিংস"")),""valence-target অমিল"",""""),IF(COUNTIF($B:$B,B7227)&gt;1,""ডুপ্লিকেট"",""""))"),"")</f>
        <v/>
      </c>
      <c r="Q7227" s="5" t="str">
        <f t="shared" si="1"/>
        <v>২ পরে</v>
      </c>
    </row>
    <row r="7228">
      <c r="A7228" s="4">
        <v>5367.0</v>
      </c>
      <c r="B7228" s="2" t="s">
        <v>29292</v>
      </c>
      <c r="C7228" s="2" t="s">
        <v>29292</v>
      </c>
      <c r="D7228" s="2" t="s">
        <v>29293</v>
      </c>
      <c r="E7228" s="2" t="s">
        <v>29294</v>
      </c>
      <c r="F7228" s="2" t="b">
        <v>1</v>
      </c>
      <c r="G7228" s="2" t="b">
        <v>0</v>
      </c>
      <c r="H7228" s="2" t="s">
        <v>37</v>
      </c>
      <c r="I7228" s="2" t="s">
        <v>32</v>
      </c>
      <c r="J7228" s="2" t="s">
        <v>23459</v>
      </c>
      <c r="K7228" s="2" t="s">
        <v>495</v>
      </c>
      <c r="L7228" s="13" t="s">
        <v>496</v>
      </c>
      <c r="M7228" s="2" t="s">
        <v>26</v>
      </c>
      <c r="N7228" s="29"/>
      <c r="O7228" s="29"/>
      <c r="P7228" s="5" t="str">
        <f>IFERROR(__xludf.DUMMYFUNCTION("TEXTJOIN("" | "",TRUE,IF(OR(D7228="""",E7228="""",I7228="""",J7228="""",H7228=""""),""ফাঁকা ঘর"",""""),IF(AND(C7228&lt;&gt;"""",D7228&lt;&gt;"""",C7228=D7228),""gloss=figurative"",""""),IF(LEN(D7228)&lt;15,""figurative ছোট"",""""),IF(AND(I7228=""Positive"",REGEXMATCH(H7"&amp;"228,""মূর্খ|ভণ্ড|প্রতার|অলস|লোভ|স্বার্থ|অক্ষম|অযোগ্য|বোকা|কৃপণ|হিংস"")),""valence-target অমিল"",""""),IF(COUNTIF($B:$B,B7228)&gt;1,""ডুপ্লিকেট"",""""))"),"")</f>
        <v/>
      </c>
      <c r="Q7228" s="5" t="str">
        <f t="shared" si="1"/>
        <v>২ পরে</v>
      </c>
    </row>
    <row r="7229">
      <c r="A7229" s="4">
        <v>5368.0</v>
      </c>
      <c r="B7229" s="2" t="s">
        <v>29295</v>
      </c>
      <c r="C7229" s="2" t="s">
        <v>29296</v>
      </c>
      <c r="D7229" s="2" t="s">
        <v>29297</v>
      </c>
      <c r="E7229" s="2" t="s">
        <v>29298</v>
      </c>
      <c r="F7229" s="2" t="b">
        <v>1</v>
      </c>
      <c r="G7229" s="2" t="b">
        <v>0</v>
      </c>
      <c r="H7229" s="2" t="s">
        <v>37</v>
      </c>
      <c r="I7229" s="2" t="s">
        <v>22</v>
      </c>
      <c r="J7229" s="2" t="s">
        <v>2857</v>
      </c>
      <c r="K7229" s="2" t="s">
        <v>495</v>
      </c>
      <c r="L7229" s="13" t="s">
        <v>496</v>
      </c>
      <c r="M7229" s="2" t="s">
        <v>26</v>
      </c>
      <c r="N7229" s="29"/>
      <c r="O7229" s="29"/>
      <c r="P7229" s="5" t="str">
        <f>IFERROR(__xludf.DUMMYFUNCTION("TEXTJOIN("" | "",TRUE,IF(OR(D7229="""",E7229="""",I7229="""",J7229="""",H7229=""""),""ফাঁকা ঘর"",""""),IF(AND(C7229&lt;&gt;"""",D7229&lt;&gt;"""",C7229=D7229),""gloss=figurative"",""""),IF(LEN(D7229)&lt;15,""figurative ছোট"",""""),IF(AND(I7229=""Positive"",REGEXMATCH(H7"&amp;"229,""মূর্খ|ভণ্ড|প্রতার|অলস|লোভ|স্বার্থ|অক্ষম|অযোগ্য|বোকা|কৃপণ|হিংস"")),""valence-target অমিল"",""""),IF(COUNTIF($B:$B,B7229)&gt;1,""ডুপ্লিকেট"",""""))"),"")</f>
        <v/>
      </c>
      <c r="Q7229" s="5" t="str">
        <f t="shared" si="1"/>
        <v>২ পরে</v>
      </c>
    </row>
    <row r="7230">
      <c r="A7230" s="4">
        <v>5369.0</v>
      </c>
      <c r="B7230" s="2" t="s">
        <v>29299</v>
      </c>
      <c r="C7230" s="2" t="s">
        <v>29300</v>
      </c>
      <c r="D7230" s="2" t="s">
        <v>29301</v>
      </c>
      <c r="E7230" s="2" t="s">
        <v>29302</v>
      </c>
      <c r="F7230" s="2" t="b">
        <v>1</v>
      </c>
      <c r="G7230" s="2" t="b">
        <v>0</v>
      </c>
      <c r="H7230" s="2" t="s">
        <v>37</v>
      </c>
      <c r="I7230" s="2" t="s">
        <v>49</v>
      </c>
      <c r="J7230" s="2" t="s">
        <v>2122</v>
      </c>
      <c r="K7230" s="2" t="s">
        <v>495</v>
      </c>
      <c r="L7230" s="13" t="s">
        <v>496</v>
      </c>
      <c r="M7230" s="2" t="s">
        <v>26</v>
      </c>
      <c r="N7230" s="29"/>
      <c r="O7230" s="29"/>
      <c r="P7230" s="5" t="str">
        <f>IFERROR(__xludf.DUMMYFUNCTION("TEXTJOIN("" | "",TRUE,IF(OR(D7230="""",E7230="""",I7230="""",J7230="""",H7230=""""),""ফাঁকা ঘর"",""""),IF(AND(C7230&lt;&gt;"""",D7230&lt;&gt;"""",C7230=D7230),""gloss=figurative"",""""),IF(LEN(D7230)&lt;15,""figurative ছোট"",""""),IF(AND(I7230=""Positive"",REGEXMATCH(H7"&amp;"230,""মূর্খ|ভণ্ড|প্রতার|অলস|লোভ|স্বার্থ|অক্ষম|অযোগ্য|বোকা|কৃপণ|হিংস"")),""valence-target অমিল"",""""),IF(COUNTIF($B:$B,B7230)&gt;1,""ডুপ্লিকেট"",""""))"),"")</f>
        <v/>
      </c>
      <c r="Q7230" s="5" t="str">
        <f t="shared" si="1"/>
        <v>২ পরে</v>
      </c>
    </row>
    <row r="7231">
      <c r="A7231" s="4">
        <v>5370.0</v>
      </c>
      <c r="B7231" s="2" t="s">
        <v>29303</v>
      </c>
      <c r="C7231" s="2" t="s">
        <v>29304</v>
      </c>
      <c r="D7231" s="2" t="s">
        <v>29305</v>
      </c>
      <c r="E7231" s="2" t="s">
        <v>29306</v>
      </c>
      <c r="F7231" s="2" t="b">
        <v>1</v>
      </c>
      <c r="G7231" s="2" t="b">
        <v>0</v>
      </c>
      <c r="H7231" s="2" t="s">
        <v>37</v>
      </c>
      <c r="I7231" s="2" t="s">
        <v>22</v>
      </c>
      <c r="J7231" s="2" t="s">
        <v>1008</v>
      </c>
      <c r="K7231" s="2" t="s">
        <v>495</v>
      </c>
      <c r="L7231" s="13" t="s">
        <v>496</v>
      </c>
      <c r="M7231" s="2" t="s">
        <v>26</v>
      </c>
      <c r="N7231" s="29"/>
      <c r="O7231" s="29"/>
      <c r="P7231" s="5" t="str">
        <f>IFERROR(__xludf.DUMMYFUNCTION("TEXTJOIN("" | "",TRUE,IF(OR(D7231="""",E7231="""",I7231="""",J7231="""",H7231=""""),""ফাঁকা ঘর"",""""),IF(AND(C7231&lt;&gt;"""",D7231&lt;&gt;"""",C7231=D7231),""gloss=figurative"",""""),IF(LEN(D7231)&lt;15,""figurative ছোট"",""""),IF(AND(I7231=""Positive"",REGEXMATCH(H7"&amp;"231,""মূর্খ|ভণ্ড|প্রতার|অলস|লোভ|স্বার্থ|অক্ষম|অযোগ্য|বোকা|কৃপণ|হিংস"")),""valence-target অমিল"",""""),IF(COUNTIF($B:$B,B7231)&gt;1,""ডুপ্লিকেট"",""""))"),"")</f>
        <v/>
      </c>
      <c r="Q7231" s="5" t="str">
        <f t="shared" si="1"/>
        <v>২ পরে</v>
      </c>
    </row>
    <row r="7232">
      <c r="A7232" s="4">
        <v>5376.0</v>
      </c>
      <c r="B7232" s="2" t="s">
        <v>29307</v>
      </c>
      <c r="C7232" s="2" t="s">
        <v>29308</v>
      </c>
      <c r="D7232" s="2" t="s">
        <v>29309</v>
      </c>
      <c r="E7232" s="2" t="s">
        <v>29310</v>
      </c>
      <c r="F7232" s="2" t="b">
        <v>1</v>
      </c>
      <c r="G7232" s="2" t="b">
        <v>0</v>
      </c>
      <c r="H7232" s="2" t="s">
        <v>37</v>
      </c>
      <c r="I7232" s="2" t="s">
        <v>32</v>
      </c>
      <c r="J7232" s="2" t="s">
        <v>3653</v>
      </c>
      <c r="K7232" s="2" t="s">
        <v>495</v>
      </c>
      <c r="L7232" s="13" t="s">
        <v>496</v>
      </c>
      <c r="M7232" s="2" t="s">
        <v>26</v>
      </c>
      <c r="N7232" s="29"/>
      <c r="O7232" s="29"/>
      <c r="P7232" s="5" t="str">
        <f>IFERROR(__xludf.DUMMYFUNCTION("TEXTJOIN("" | "",TRUE,IF(OR(D7232="""",E7232="""",I7232="""",J7232="""",H7232=""""),""ফাঁকা ঘর"",""""),IF(AND(C7232&lt;&gt;"""",D7232&lt;&gt;"""",C7232=D7232),""gloss=figurative"",""""),IF(LEN(D7232)&lt;15,""figurative ছোট"",""""),IF(AND(I7232=""Positive"",REGEXMATCH(H7"&amp;"232,""মূর্খ|ভণ্ড|প্রতার|অলস|লোভ|স্বার্থ|অক্ষম|অযোগ্য|বোকা|কৃপণ|হিংস"")),""valence-target অমিল"",""""),IF(COUNTIF($B:$B,B7232)&gt;1,""ডুপ্লিকেট"",""""))"),"")</f>
        <v/>
      </c>
      <c r="Q7232" s="5" t="str">
        <f t="shared" si="1"/>
        <v>২ পরে</v>
      </c>
    </row>
    <row r="7233">
      <c r="A7233" s="4">
        <v>5377.0</v>
      </c>
      <c r="B7233" s="2" t="s">
        <v>29311</v>
      </c>
      <c r="C7233" s="2" t="s">
        <v>29311</v>
      </c>
      <c r="D7233" s="2" t="s">
        <v>29312</v>
      </c>
      <c r="E7233" s="2" t="s">
        <v>29313</v>
      </c>
      <c r="F7233" s="2" t="b">
        <v>1</v>
      </c>
      <c r="G7233" s="2" t="b">
        <v>0</v>
      </c>
      <c r="H7233" s="2" t="s">
        <v>37</v>
      </c>
      <c r="I7233" s="2" t="s">
        <v>22</v>
      </c>
      <c r="J7233" s="2" t="s">
        <v>964</v>
      </c>
      <c r="K7233" s="2" t="s">
        <v>495</v>
      </c>
      <c r="L7233" s="13" t="s">
        <v>496</v>
      </c>
      <c r="M7233" s="2" t="s">
        <v>26</v>
      </c>
      <c r="N7233" s="29"/>
      <c r="O7233" s="29"/>
      <c r="P7233" s="5" t="str">
        <f>IFERROR(__xludf.DUMMYFUNCTION("TEXTJOIN("" | "",TRUE,IF(OR(D7233="""",E7233="""",I7233="""",J7233="""",H7233=""""),""ফাঁকা ঘর"",""""),IF(AND(C7233&lt;&gt;"""",D7233&lt;&gt;"""",C7233=D7233),""gloss=figurative"",""""),IF(LEN(D7233)&lt;15,""figurative ছোট"",""""),IF(AND(I7233=""Positive"",REGEXMATCH(H7"&amp;"233,""মূর্খ|ভণ্ড|প্রতার|অলস|লোভ|স্বার্থ|অক্ষম|অযোগ্য|বোকা|কৃপণ|হিংস"")),""valence-target অমিল"",""""),IF(COUNTIF($B:$B,B7233)&gt;1,""ডুপ্লিকেট"",""""))"),"")</f>
        <v/>
      </c>
      <c r="Q7233" s="5" t="str">
        <f t="shared" si="1"/>
        <v>২ পরে</v>
      </c>
    </row>
    <row r="7234">
      <c r="A7234" s="4">
        <v>5380.0</v>
      </c>
      <c r="B7234" s="2" t="s">
        <v>29314</v>
      </c>
      <c r="C7234" s="2" t="s">
        <v>29315</v>
      </c>
      <c r="D7234" s="2" t="s">
        <v>29316</v>
      </c>
      <c r="E7234" s="2" t="s">
        <v>29317</v>
      </c>
      <c r="F7234" s="2" t="b">
        <v>1</v>
      </c>
      <c r="G7234" s="2" t="b">
        <v>0</v>
      </c>
      <c r="H7234" s="2" t="s">
        <v>37</v>
      </c>
      <c r="I7234" s="2" t="s">
        <v>49</v>
      </c>
      <c r="J7234" s="2" t="s">
        <v>1679</v>
      </c>
      <c r="K7234" s="2" t="s">
        <v>495</v>
      </c>
      <c r="L7234" s="13" t="s">
        <v>496</v>
      </c>
      <c r="M7234" s="2" t="s">
        <v>26</v>
      </c>
      <c r="N7234" s="29"/>
      <c r="O7234" s="29"/>
      <c r="P7234" s="5" t="str">
        <f>IFERROR(__xludf.DUMMYFUNCTION("TEXTJOIN("" | "",TRUE,IF(OR(D7234="""",E7234="""",I7234="""",J7234="""",H7234=""""),""ফাঁকা ঘর"",""""),IF(AND(C7234&lt;&gt;"""",D7234&lt;&gt;"""",C7234=D7234),""gloss=figurative"",""""),IF(LEN(D7234)&lt;15,""figurative ছোট"",""""),IF(AND(I7234=""Positive"",REGEXMATCH(H7"&amp;"234,""মূর্খ|ভণ্ড|প্রতার|অলস|লোভ|স্বার্থ|অক্ষম|অযোগ্য|বোকা|কৃপণ|হিংস"")),""valence-target অমিল"",""""),IF(COUNTIF($B:$B,B7234)&gt;1,""ডুপ্লিকেট"",""""))"),"")</f>
        <v/>
      </c>
      <c r="Q7234" s="5" t="str">
        <f t="shared" si="1"/>
        <v>২ পরে</v>
      </c>
    </row>
    <row r="7235">
      <c r="A7235" s="4">
        <v>5381.0</v>
      </c>
      <c r="B7235" s="2" t="s">
        <v>29318</v>
      </c>
      <c r="C7235" s="2" t="s">
        <v>29319</v>
      </c>
      <c r="D7235" s="2" t="s">
        <v>29320</v>
      </c>
      <c r="E7235" s="2" t="s">
        <v>29321</v>
      </c>
      <c r="F7235" s="2" t="b">
        <v>1</v>
      </c>
      <c r="G7235" s="2" t="b">
        <v>0</v>
      </c>
      <c r="H7235" s="2" t="s">
        <v>37</v>
      </c>
      <c r="I7235" s="2" t="s">
        <v>22</v>
      </c>
      <c r="J7235" s="2" t="s">
        <v>836</v>
      </c>
      <c r="K7235" s="2" t="s">
        <v>495</v>
      </c>
      <c r="L7235" s="13" t="s">
        <v>496</v>
      </c>
      <c r="M7235" s="2" t="s">
        <v>26</v>
      </c>
      <c r="N7235" s="29"/>
      <c r="O7235" s="29"/>
      <c r="P7235" s="5" t="str">
        <f>IFERROR(__xludf.DUMMYFUNCTION("TEXTJOIN("" | "",TRUE,IF(OR(D7235="""",E7235="""",I7235="""",J7235="""",H7235=""""),""ফাঁকা ঘর"",""""),IF(AND(C7235&lt;&gt;"""",D7235&lt;&gt;"""",C7235=D7235),""gloss=figurative"",""""),IF(LEN(D7235)&lt;15,""figurative ছোট"",""""),IF(AND(I7235=""Positive"",REGEXMATCH(H7"&amp;"235,""মূর্খ|ভণ্ড|প্রতার|অলস|লোভ|স্বার্থ|অক্ষম|অযোগ্য|বোকা|কৃপণ|হিংস"")),""valence-target অমিল"",""""),IF(COUNTIF($B:$B,B7235)&gt;1,""ডুপ্লিকেট"",""""))"),"")</f>
        <v/>
      </c>
      <c r="Q7235" s="5" t="str">
        <f t="shared" si="1"/>
        <v>২ পরে</v>
      </c>
    </row>
    <row r="7236">
      <c r="A7236" s="4">
        <v>5383.0</v>
      </c>
      <c r="B7236" s="2" t="s">
        <v>29322</v>
      </c>
      <c r="C7236" s="2" t="s">
        <v>29323</v>
      </c>
      <c r="D7236" s="2" t="s">
        <v>29324</v>
      </c>
      <c r="E7236" s="2" t="s">
        <v>29325</v>
      </c>
      <c r="F7236" s="2" t="b">
        <v>1</v>
      </c>
      <c r="G7236" s="2" t="b">
        <v>0</v>
      </c>
      <c r="H7236" s="2" t="s">
        <v>37</v>
      </c>
      <c r="I7236" s="2" t="s">
        <v>22</v>
      </c>
      <c r="J7236" s="2" t="s">
        <v>1603</v>
      </c>
      <c r="K7236" s="2" t="s">
        <v>495</v>
      </c>
      <c r="L7236" s="13" t="s">
        <v>496</v>
      </c>
      <c r="M7236" s="2" t="s">
        <v>26</v>
      </c>
      <c r="N7236" s="29"/>
      <c r="O7236" s="29"/>
      <c r="P7236" s="5" t="str">
        <f>IFERROR(__xludf.DUMMYFUNCTION("TEXTJOIN("" | "",TRUE,IF(OR(D7236="""",E7236="""",I7236="""",J7236="""",H7236=""""),""ফাঁকা ঘর"",""""),IF(AND(C7236&lt;&gt;"""",D7236&lt;&gt;"""",C7236=D7236),""gloss=figurative"",""""),IF(LEN(D7236)&lt;15,""figurative ছোট"",""""),IF(AND(I7236=""Positive"",REGEXMATCH(H7"&amp;"236,""মূর্খ|ভণ্ড|প্রতার|অলস|লোভ|স্বার্থ|অক্ষম|অযোগ্য|বোকা|কৃপণ|হিংস"")),""valence-target অমিল"",""""),IF(COUNTIF($B:$B,B7236)&gt;1,""ডুপ্লিকেট"",""""))"),"")</f>
        <v/>
      </c>
      <c r="Q7236" s="5" t="str">
        <f t="shared" si="1"/>
        <v>২ পরে</v>
      </c>
    </row>
    <row r="7237">
      <c r="A7237" s="4">
        <v>5384.0</v>
      </c>
      <c r="B7237" s="2" t="s">
        <v>29326</v>
      </c>
      <c r="C7237" s="2" t="s">
        <v>29327</v>
      </c>
      <c r="D7237" s="2" t="s">
        <v>29328</v>
      </c>
      <c r="E7237" s="2" t="s">
        <v>29329</v>
      </c>
      <c r="F7237" s="2" t="b">
        <v>1</v>
      </c>
      <c r="G7237" s="2" t="b">
        <v>0</v>
      </c>
      <c r="H7237" s="2" t="s">
        <v>37</v>
      </c>
      <c r="I7237" s="2" t="s">
        <v>22</v>
      </c>
      <c r="J7237" s="2" t="s">
        <v>1603</v>
      </c>
      <c r="K7237" s="2" t="s">
        <v>495</v>
      </c>
      <c r="L7237" s="13" t="s">
        <v>496</v>
      </c>
      <c r="M7237" s="2" t="s">
        <v>26</v>
      </c>
      <c r="N7237" s="29"/>
      <c r="O7237" s="29"/>
      <c r="P7237" s="5" t="str">
        <f>IFERROR(__xludf.DUMMYFUNCTION("TEXTJOIN("" | "",TRUE,IF(OR(D7237="""",E7237="""",I7237="""",J7237="""",H7237=""""),""ফাঁকা ঘর"",""""),IF(AND(C7237&lt;&gt;"""",D7237&lt;&gt;"""",C7237=D7237),""gloss=figurative"",""""),IF(LEN(D7237)&lt;15,""figurative ছোট"",""""),IF(AND(I7237=""Positive"",REGEXMATCH(H7"&amp;"237,""মূর্খ|ভণ্ড|প্রতার|অলস|লোভ|স্বার্থ|অক্ষম|অযোগ্য|বোকা|কৃপণ|হিংস"")),""valence-target অমিল"",""""),IF(COUNTIF($B:$B,B7237)&gt;1,""ডুপ্লিকেট"",""""))"),"")</f>
        <v/>
      </c>
      <c r="Q7237" s="5" t="str">
        <f t="shared" si="1"/>
        <v>২ পরে</v>
      </c>
    </row>
    <row r="7238">
      <c r="A7238" s="4">
        <v>5385.0</v>
      </c>
      <c r="B7238" s="2" t="s">
        <v>29330</v>
      </c>
      <c r="C7238" s="2" t="s">
        <v>29331</v>
      </c>
      <c r="D7238" s="2" t="s">
        <v>29332</v>
      </c>
      <c r="E7238" s="2" t="s">
        <v>29333</v>
      </c>
      <c r="F7238" s="2" t="b">
        <v>1</v>
      </c>
      <c r="G7238" s="2" t="b">
        <v>0</v>
      </c>
      <c r="H7238" s="2" t="s">
        <v>37</v>
      </c>
      <c r="I7238" s="2" t="s">
        <v>22</v>
      </c>
      <c r="J7238" s="2" t="s">
        <v>842</v>
      </c>
      <c r="K7238" s="2" t="s">
        <v>495</v>
      </c>
      <c r="L7238" s="13" t="s">
        <v>496</v>
      </c>
      <c r="M7238" s="2" t="s">
        <v>26</v>
      </c>
      <c r="N7238" s="29"/>
      <c r="O7238" s="29"/>
      <c r="P7238" s="5" t="str">
        <f>IFERROR(__xludf.DUMMYFUNCTION("TEXTJOIN("" | "",TRUE,IF(OR(D7238="""",E7238="""",I7238="""",J7238="""",H7238=""""),""ফাঁকা ঘর"",""""),IF(AND(C7238&lt;&gt;"""",D7238&lt;&gt;"""",C7238=D7238),""gloss=figurative"",""""),IF(LEN(D7238)&lt;15,""figurative ছোট"",""""),IF(AND(I7238=""Positive"",REGEXMATCH(H7"&amp;"238,""মূর্খ|ভণ্ড|প্রতার|অলস|লোভ|স্বার্থ|অক্ষম|অযোগ্য|বোকা|কৃপণ|হিংস"")),""valence-target অমিল"",""""),IF(COUNTIF($B:$B,B7238)&gt;1,""ডুপ্লিকেট"",""""))"),"")</f>
        <v/>
      </c>
      <c r="Q7238" s="5" t="str">
        <f t="shared" si="1"/>
        <v>২ পরে</v>
      </c>
    </row>
    <row r="7239">
      <c r="A7239" s="4">
        <v>5386.0</v>
      </c>
      <c r="B7239" s="2" t="s">
        <v>29334</v>
      </c>
      <c r="C7239" s="2" t="s">
        <v>29335</v>
      </c>
      <c r="D7239" s="2" t="s">
        <v>28127</v>
      </c>
      <c r="E7239" s="2" t="s">
        <v>29336</v>
      </c>
      <c r="F7239" s="2" t="b">
        <v>1</v>
      </c>
      <c r="G7239" s="2" t="b">
        <v>0</v>
      </c>
      <c r="H7239" s="2" t="s">
        <v>37</v>
      </c>
      <c r="I7239" s="2" t="s">
        <v>22</v>
      </c>
      <c r="J7239" s="2" t="s">
        <v>836</v>
      </c>
      <c r="K7239" s="2" t="s">
        <v>495</v>
      </c>
      <c r="L7239" s="13" t="s">
        <v>496</v>
      </c>
      <c r="M7239" s="2" t="s">
        <v>26</v>
      </c>
      <c r="N7239" s="29"/>
      <c r="O7239" s="29"/>
      <c r="P7239" s="5" t="str">
        <f>IFERROR(__xludf.DUMMYFUNCTION("TEXTJOIN("" | "",TRUE,IF(OR(D7239="""",E7239="""",I7239="""",J7239="""",H7239=""""),""ফাঁকা ঘর"",""""),IF(AND(C7239&lt;&gt;"""",D7239&lt;&gt;"""",C7239=D7239),""gloss=figurative"",""""),IF(LEN(D7239)&lt;15,""figurative ছোট"",""""),IF(AND(I7239=""Positive"",REGEXMATCH(H7"&amp;"239,""মূর্খ|ভণ্ড|প্রতার|অলস|লোভ|স্বার্থ|অক্ষম|অযোগ্য|বোকা|কৃপণ|হিংস"")),""valence-target অমিল"",""""),IF(COUNTIF($B:$B,B7239)&gt;1,""ডুপ্লিকেট"",""""))"),"")</f>
        <v/>
      </c>
      <c r="Q7239" s="5" t="str">
        <f t="shared" si="1"/>
        <v>২ পরে</v>
      </c>
    </row>
    <row r="7240">
      <c r="A7240" s="4">
        <v>5388.0</v>
      </c>
      <c r="B7240" s="2" t="s">
        <v>29337</v>
      </c>
      <c r="C7240" s="2" t="s">
        <v>29338</v>
      </c>
      <c r="D7240" s="2" t="s">
        <v>29339</v>
      </c>
      <c r="E7240" s="2" t="s">
        <v>29340</v>
      </c>
      <c r="F7240" s="2" t="b">
        <v>1</v>
      </c>
      <c r="G7240" s="2" t="b">
        <v>0</v>
      </c>
      <c r="H7240" s="2" t="s">
        <v>37</v>
      </c>
      <c r="I7240" s="2" t="s">
        <v>32</v>
      </c>
      <c r="J7240" s="2" t="s">
        <v>913</v>
      </c>
      <c r="K7240" s="2" t="s">
        <v>495</v>
      </c>
      <c r="L7240" s="13" t="s">
        <v>496</v>
      </c>
      <c r="M7240" s="2" t="s">
        <v>26</v>
      </c>
      <c r="N7240" s="29"/>
      <c r="O7240" s="29"/>
      <c r="P7240" s="5" t="str">
        <f>IFERROR(__xludf.DUMMYFUNCTION("TEXTJOIN("" | "",TRUE,IF(OR(D7240="""",E7240="""",I7240="""",J7240="""",H7240=""""),""ফাঁকা ঘর"",""""),IF(AND(C7240&lt;&gt;"""",D7240&lt;&gt;"""",C7240=D7240),""gloss=figurative"",""""),IF(LEN(D7240)&lt;15,""figurative ছোট"",""""),IF(AND(I7240=""Positive"",REGEXMATCH(H7"&amp;"240,""মূর্খ|ভণ্ড|প্রতার|অলস|লোভ|স্বার্থ|অক্ষম|অযোগ্য|বোকা|কৃপণ|হিংস"")),""valence-target অমিল"",""""),IF(COUNTIF($B:$B,B7240)&gt;1,""ডুপ্লিকেট"",""""))"),"")</f>
        <v/>
      </c>
      <c r="Q7240" s="5" t="str">
        <f t="shared" si="1"/>
        <v>২ পরে</v>
      </c>
    </row>
    <row r="7241">
      <c r="A7241" s="4">
        <v>5389.0</v>
      </c>
      <c r="B7241" s="2" t="s">
        <v>29341</v>
      </c>
      <c r="C7241" s="2" t="s">
        <v>29342</v>
      </c>
      <c r="D7241" s="2" t="s">
        <v>29343</v>
      </c>
      <c r="E7241" s="2" t="s">
        <v>29344</v>
      </c>
      <c r="F7241" s="2" t="b">
        <v>1</v>
      </c>
      <c r="G7241" s="2" t="b">
        <v>0</v>
      </c>
      <c r="H7241" s="2" t="s">
        <v>37</v>
      </c>
      <c r="I7241" s="2" t="s">
        <v>22</v>
      </c>
      <c r="J7241" s="2" t="s">
        <v>766</v>
      </c>
      <c r="K7241" s="2" t="s">
        <v>495</v>
      </c>
      <c r="L7241" s="13" t="s">
        <v>496</v>
      </c>
      <c r="M7241" s="2" t="s">
        <v>26</v>
      </c>
      <c r="N7241" s="29"/>
      <c r="O7241" s="29"/>
      <c r="P7241" s="5" t="str">
        <f>IFERROR(__xludf.DUMMYFUNCTION("TEXTJOIN("" | "",TRUE,IF(OR(D7241="""",E7241="""",I7241="""",J7241="""",H7241=""""),""ফাঁকা ঘর"",""""),IF(AND(C7241&lt;&gt;"""",D7241&lt;&gt;"""",C7241=D7241),""gloss=figurative"",""""),IF(LEN(D7241)&lt;15,""figurative ছোট"",""""),IF(AND(I7241=""Positive"",REGEXMATCH(H7"&amp;"241,""মূর্খ|ভণ্ড|প্রতার|অলস|লোভ|স্বার্থ|অক্ষম|অযোগ্য|বোকা|কৃপণ|হিংস"")),""valence-target অমিল"",""""),IF(COUNTIF($B:$B,B7241)&gt;1,""ডুপ্লিকেট"",""""))"),"")</f>
        <v/>
      </c>
      <c r="Q7241" s="5" t="str">
        <f t="shared" si="1"/>
        <v>২ পরে</v>
      </c>
    </row>
    <row r="7242">
      <c r="A7242" s="4">
        <v>5392.0</v>
      </c>
      <c r="B7242" s="2" t="s">
        <v>29345</v>
      </c>
      <c r="C7242" s="2" t="s">
        <v>29346</v>
      </c>
      <c r="D7242" s="2" t="s">
        <v>29347</v>
      </c>
      <c r="E7242" s="2" t="s">
        <v>29348</v>
      </c>
      <c r="F7242" s="2" t="b">
        <v>1</v>
      </c>
      <c r="G7242" s="2" t="b">
        <v>0</v>
      </c>
      <c r="H7242" s="2" t="s">
        <v>37</v>
      </c>
      <c r="I7242" s="2" t="s">
        <v>32</v>
      </c>
      <c r="J7242" s="2" t="s">
        <v>1518</v>
      </c>
      <c r="K7242" s="2" t="s">
        <v>495</v>
      </c>
      <c r="L7242" s="13" t="s">
        <v>496</v>
      </c>
      <c r="M7242" s="2" t="s">
        <v>26</v>
      </c>
      <c r="N7242" s="29"/>
      <c r="O7242" s="29"/>
      <c r="P7242" s="5" t="str">
        <f>IFERROR(__xludf.DUMMYFUNCTION("TEXTJOIN("" | "",TRUE,IF(OR(D7242="""",E7242="""",I7242="""",J7242="""",H7242=""""),""ফাঁকা ঘর"",""""),IF(AND(C7242&lt;&gt;"""",D7242&lt;&gt;"""",C7242=D7242),""gloss=figurative"",""""),IF(LEN(D7242)&lt;15,""figurative ছোট"",""""),IF(AND(I7242=""Positive"",REGEXMATCH(H7"&amp;"242,""মূর্খ|ভণ্ড|প্রতার|অলস|লোভ|স্বার্থ|অক্ষম|অযোগ্য|বোকা|কৃপণ|হিংস"")),""valence-target অমিল"",""""),IF(COUNTIF($B:$B,B7242)&gt;1,""ডুপ্লিকেট"",""""))"),"")</f>
        <v/>
      </c>
      <c r="Q7242" s="5" t="str">
        <f t="shared" si="1"/>
        <v>২ পরে</v>
      </c>
    </row>
    <row r="7243">
      <c r="A7243" s="4">
        <v>5395.0</v>
      </c>
      <c r="B7243" s="2" t="s">
        <v>29349</v>
      </c>
      <c r="C7243" s="2" t="s">
        <v>29350</v>
      </c>
      <c r="D7243" s="2" t="s">
        <v>29046</v>
      </c>
      <c r="E7243" s="2" t="s">
        <v>29351</v>
      </c>
      <c r="F7243" s="2" t="b">
        <v>1</v>
      </c>
      <c r="G7243" s="2" t="b">
        <v>0</v>
      </c>
      <c r="H7243" s="2" t="s">
        <v>37</v>
      </c>
      <c r="I7243" s="2" t="s">
        <v>22</v>
      </c>
      <c r="J7243" s="2" t="s">
        <v>820</v>
      </c>
      <c r="K7243" s="2" t="s">
        <v>495</v>
      </c>
      <c r="L7243" s="13" t="s">
        <v>496</v>
      </c>
      <c r="M7243" s="2" t="s">
        <v>26</v>
      </c>
      <c r="N7243" s="29"/>
      <c r="O7243" s="29"/>
      <c r="P7243" s="5" t="str">
        <f>IFERROR(__xludf.DUMMYFUNCTION("TEXTJOIN("" | "",TRUE,IF(OR(D7243="""",E7243="""",I7243="""",J7243="""",H7243=""""),""ফাঁকা ঘর"",""""),IF(AND(C7243&lt;&gt;"""",D7243&lt;&gt;"""",C7243=D7243),""gloss=figurative"",""""),IF(LEN(D7243)&lt;15,""figurative ছোট"",""""),IF(AND(I7243=""Positive"",REGEXMATCH(H7"&amp;"243,""মূর্খ|ভণ্ড|প্রতার|অলস|লোভ|স্বার্থ|অক্ষম|অযোগ্য|বোকা|কৃপণ|হিংস"")),""valence-target অমিল"",""""),IF(COUNTIF($B:$B,B7243)&gt;1,""ডুপ্লিকেট"",""""))"),"")</f>
        <v/>
      </c>
      <c r="Q7243" s="5" t="str">
        <f t="shared" si="1"/>
        <v>২ পরে</v>
      </c>
    </row>
    <row r="7244">
      <c r="A7244" s="4">
        <v>5396.0</v>
      </c>
      <c r="B7244" s="2" t="s">
        <v>29352</v>
      </c>
      <c r="C7244" s="2" t="s">
        <v>29353</v>
      </c>
      <c r="D7244" s="2" t="s">
        <v>29354</v>
      </c>
      <c r="E7244" s="2" t="s">
        <v>29355</v>
      </c>
      <c r="F7244" s="2" t="b">
        <v>1</v>
      </c>
      <c r="G7244" s="2" t="b">
        <v>0</v>
      </c>
      <c r="H7244" s="2" t="s">
        <v>37</v>
      </c>
      <c r="I7244" s="2" t="s">
        <v>22</v>
      </c>
      <c r="J7244" s="2" t="s">
        <v>990</v>
      </c>
      <c r="K7244" s="2" t="s">
        <v>495</v>
      </c>
      <c r="L7244" s="13" t="s">
        <v>496</v>
      </c>
      <c r="M7244" s="2" t="s">
        <v>26</v>
      </c>
      <c r="N7244" s="29"/>
      <c r="O7244" s="29"/>
      <c r="P7244" s="5" t="str">
        <f>IFERROR(__xludf.DUMMYFUNCTION("TEXTJOIN("" | "",TRUE,IF(OR(D7244="""",E7244="""",I7244="""",J7244="""",H7244=""""),""ফাঁকা ঘর"",""""),IF(AND(C7244&lt;&gt;"""",D7244&lt;&gt;"""",C7244=D7244),""gloss=figurative"",""""),IF(LEN(D7244)&lt;15,""figurative ছোট"",""""),IF(AND(I7244=""Positive"",REGEXMATCH(H7"&amp;"244,""মূর্খ|ভণ্ড|প্রতার|অলস|লোভ|স্বার্থ|অক্ষম|অযোগ্য|বোকা|কৃপণ|হিংস"")),""valence-target অমিল"",""""),IF(COUNTIF($B:$B,B7244)&gt;1,""ডুপ্লিকেট"",""""))"),"")</f>
        <v/>
      </c>
      <c r="Q7244" s="5" t="str">
        <f t="shared" si="1"/>
        <v>২ পরে</v>
      </c>
    </row>
    <row r="7245">
      <c r="A7245" s="4">
        <v>5398.0</v>
      </c>
      <c r="B7245" s="2" t="s">
        <v>29356</v>
      </c>
      <c r="C7245" s="2" t="s">
        <v>29357</v>
      </c>
      <c r="D7245" s="2" t="s">
        <v>29358</v>
      </c>
      <c r="E7245" s="2" t="s">
        <v>29359</v>
      </c>
      <c r="F7245" s="2" t="b">
        <v>1</v>
      </c>
      <c r="G7245" s="2" t="b">
        <v>0</v>
      </c>
      <c r="H7245" s="2" t="s">
        <v>37</v>
      </c>
      <c r="I7245" s="2" t="s">
        <v>22</v>
      </c>
      <c r="J7245" s="2" t="s">
        <v>947</v>
      </c>
      <c r="K7245" s="2" t="s">
        <v>495</v>
      </c>
      <c r="L7245" s="13" t="s">
        <v>496</v>
      </c>
      <c r="M7245" s="2" t="s">
        <v>26</v>
      </c>
      <c r="N7245" s="29"/>
      <c r="O7245" s="29"/>
      <c r="P7245" s="5" t="str">
        <f>IFERROR(__xludf.DUMMYFUNCTION("TEXTJOIN("" | "",TRUE,IF(OR(D7245="""",E7245="""",I7245="""",J7245="""",H7245=""""),""ফাঁকা ঘর"",""""),IF(AND(C7245&lt;&gt;"""",D7245&lt;&gt;"""",C7245=D7245),""gloss=figurative"",""""),IF(LEN(D7245)&lt;15,""figurative ছোট"",""""),IF(AND(I7245=""Positive"",REGEXMATCH(H7"&amp;"245,""মূর্খ|ভণ্ড|প্রতার|অলস|লোভ|স্বার্থ|অক্ষম|অযোগ্য|বোকা|কৃপণ|হিংস"")),""valence-target অমিল"",""""),IF(COUNTIF($B:$B,B7245)&gt;1,""ডুপ্লিকেট"",""""))"),"")</f>
        <v/>
      </c>
      <c r="Q7245" s="5" t="str">
        <f t="shared" si="1"/>
        <v>২ পরে</v>
      </c>
    </row>
    <row r="7246">
      <c r="A7246" s="4">
        <v>5399.0</v>
      </c>
      <c r="B7246" s="2" t="s">
        <v>29360</v>
      </c>
      <c r="C7246" s="2" t="s">
        <v>29360</v>
      </c>
      <c r="D7246" s="2" t="s">
        <v>29361</v>
      </c>
      <c r="E7246" s="2" t="s">
        <v>29362</v>
      </c>
      <c r="F7246" s="2" t="b">
        <v>1</v>
      </c>
      <c r="G7246" s="2" t="b">
        <v>0</v>
      </c>
      <c r="H7246" s="2" t="s">
        <v>37</v>
      </c>
      <c r="I7246" s="2" t="s">
        <v>49</v>
      </c>
      <c r="J7246" s="2" t="s">
        <v>26612</v>
      </c>
      <c r="K7246" s="2" t="s">
        <v>495</v>
      </c>
      <c r="L7246" s="13" t="s">
        <v>496</v>
      </c>
      <c r="M7246" s="2" t="s">
        <v>26</v>
      </c>
      <c r="N7246" s="29"/>
      <c r="O7246" s="29"/>
      <c r="P7246" s="5" t="str">
        <f>IFERROR(__xludf.DUMMYFUNCTION("TEXTJOIN("" | "",TRUE,IF(OR(D7246="""",E7246="""",I7246="""",J7246="""",H7246=""""),""ফাঁকা ঘর"",""""),IF(AND(C7246&lt;&gt;"""",D7246&lt;&gt;"""",C7246=D7246),""gloss=figurative"",""""),IF(LEN(D7246)&lt;15,""figurative ছোট"",""""),IF(AND(I7246=""Positive"",REGEXMATCH(H7"&amp;"246,""মূর্খ|ভণ্ড|প্রতার|অলস|লোভ|স্বার্থ|অক্ষম|অযোগ্য|বোকা|কৃপণ|হিংস"")),""valence-target অমিল"",""""),IF(COUNTIF($B:$B,B7246)&gt;1,""ডুপ্লিকেট"",""""))"),"")</f>
        <v/>
      </c>
      <c r="Q7246" s="5" t="str">
        <f t="shared" si="1"/>
        <v>২ পরে</v>
      </c>
    </row>
    <row r="7247">
      <c r="A7247" s="4">
        <v>5400.0</v>
      </c>
      <c r="B7247" s="2" t="s">
        <v>29363</v>
      </c>
      <c r="C7247" s="2" t="s">
        <v>29364</v>
      </c>
      <c r="D7247" s="2" t="s">
        <v>29365</v>
      </c>
      <c r="E7247" s="2" t="s">
        <v>29366</v>
      </c>
      <c r="F7247" s="2" t="b">
        <v>1</v>
      </c>
      <c r="G7247" s="2" t="b">
        <v>0</v>
      </c>
      <c r="H7247" s="2" t="s">
        <v>37</v>
      </c>
      <c r="I7247" s="2" t="s">
        <v>49</v>
      </c>
      <c r="J7247" s="2" t="s">
        <v>1175</v>
      </c>
      <c r="K7247" s="2" t="s">
        <v>495</v>
      </c>
      <c r="L7247" s="13" t="s">
        <v>496</v>
      </c>
      <c r="M7247" s="2" t="s">
        <v>26</v>
      </c>
      <c r="N7247" s="29"/>
      <c r="O7247" s="29"/>
      <c r="P7247" s="5" t="str">
        <f>IFERROR(__xludf.DUMMYFUNCTION("TEXTJOIN("" | "",TRUE,IF(OR(D7247="""",E7247="""",I7247="""",J7247="""",H7247=""""),""ফাঁকা ঘর"",""""),IF(AND(C7247&lt;&gt;"""",D7247&lt;&gt;"""",C7247=D7247),""gloss=figurative"",""""),IF(LEN(D7247)&lt;15,""figurative ছোট"",""""),IF(AND(I7247=""Positive"",REGEXMATCH(H7"&amp;"247,""মূর্খ|ভণ্ড|প্রতার|অলস|লোভ|স্বার্থ|অক্ষম|অযোগ্য|বোকা|কৃপণ|হিংস"")),""valence-target অমিল"",""""),IF(COUNTIF($B:$B,B7247)&gt;1,""ডুপ্লিকেট"",""""))"),"")</f>
        <v/>
      </c>
      <c r="Q7247" s="5" t="str">
        <f t="shared" si="1"/>
        <v>২ পরে</v>
      </c>
    </row>
    <row r="7248">
      <c r="A7248" s="4">
        <v>5404.0</v>
      </c>
      <c r="B7248" s="2" t="s">
        <v>29367</v>
      </c>
      <c r="C7248" s="2" t="s">
        <v>29368</v>
      </c>
      <c r="D7248" s="2" t="s">
        <v>29369</v>
      </c>
      <c r="E7248" s="2" t="s">
        <v>29370</v>
      </c>
      <c r="F7248" s="2" t="b">
        <v>1</v>
      </c>
      <c r="G7248" s="2" t="b">
        <v>0</v>
      </c>
      <c r="H7248" s="2" t="s">
        <v>37</v>
      </c>
      <c r="I7248" s="2" t="s">
        <v>32</v>
      </c>
      <c r="J7248" s="2" t="s">
        <v>729</v>
      </c>
      <c r="K7248" s="2" t="s">
        <v>495</v>
      </c>
      <c r="L7248" s="13" t="s">
        <v>496</v>
      </c>
      <c r="M7248" s="2" t="s">
        <v>26</v>
      </c>
      <c r="N7248" s="29"/>
      <c r="O7248" s="29"/>
      <c r="P7248" s="5" t="str">
        <f>IFERROR(__xludf.DUMMYFUNCTION("TEXTJOIN("" | "",TRUE,IF(OR(D7248="""",E7248="""",I7248="""",J7248="""",H7248=""""),""ফাঁকা ঘর"",""""),IF(AND(C7248&lt;&gt;"""",D7248&lt;&gt;"""",C7248=D7248),""gloss=figurative"",""""),IF(LEN(D7248)&lt;15,""figurative ছোট"",""""),IF(AND(I7248=""Positive"",REGEXMATCH(H7"&amp;"248,""মূর্খ|ভণ্ড|প্রতার|অলস|লোভ|স্বার্থ|অক্ষম|অযোগ্য|বোকা|কৃপণ|হিংস"")),""valence-target অমিল"",""""),IF(COUNTIF($B:$B,B7248)&gt;1,""ডুপ্লিকেট"",""""))"),"")</f>
        <v/>
      </c>
      <c r="Q7248" s="5" t="str">
        <f t="shared" si="1"/>
        <v>২ পরে</v>
      </c>
    </row>
    <row r="7249">
      <c r="A7249" s="4">
        <v>5406.0</v>
      </c>
      <c r="B7249" s="2" t="s">
        <v>29371</v>
      </c>
      <c r="C7249" s="2" t="s">
        <v>29372</v>
      </c>
      <c r="D7249" s="2" t="s">
        <v>29373</v>
      </c>
      <c r="E7249" s="2" t="s">
        <v>29374</v>
      </c>
      <c r="F7249" s="2" t="b">
        <v>1</v>
      </c>
      <c r="G7249" s="2" t="b">
        <v>0</v>
      </c>
      <c r="H7249" s="2" t="s">
        <v>37</v>
      </c>
      <c r="I7249" s="2" t="s">
        <v>22</v>
      </c>
      <c r="J7249" s="2" t="s">
        <v>4026</v>
      </c>
      <c r="K7249" s="2" t="s">
        <v>495</v>
      </c>
      <c r="L7249" s="13" t="s">
        <v>496</v>
      </c>
      <c r="M7249" s="2" t="s">
        <v>26</v>
      </c>
      <c r="N7249" s="29"/>
      <c r="O7249" s="29"/>
      <c r="P7249" s="5" t="str">
        <f>IFERROR(__xludf.DUMMYFUNCTION("TEXTJOIN("" | "",TRUE,IF(OR(D7249="""",E7249="""",I7249="""",J7249="""",H7249=""""),""ফাঁকা ঘর"",""""),IF(AND(C7249&lt;&gt;"""",D7249&lt;&gt;"""",C7249=D7249),""gloss=figurative"",""""),IF(LEN(D7249)&lt;15,""figurative ছোট"",""""),IF(AND(I7249=""Positive"",REGEXMATCH(H7"&amp;"249,""মূর্খ|ভণ্ড|প্রতার|অলস|লোভ|স্বার্থ|অক্ষম|অযোগ্য|বোকা|কৃপণ|হিংস"")),""valence-target অমিল"",""""),IF(COUNTIF($B:$B,B7249)&gt;1,""ডুপ্লিকেট"",""""))"),"")</f>
        <v/>
      </c>
      <c r="Q7249" s="5" t="str">
        <f t="shared" si="1"/>
        <v>২ পরে</v>
      </c>
    </row>
    <row r="7250">
      <c r="A7250" s="4">
        <v>5413.0</v>
      </c>
      <c r="B7250" s="2" t="s">
        <v>29375</v>
      </c>
      <c r="C7250" s="2" t="s">
        <v>29376</v>
      </c>
      <c r="D7250" s="2" t="s">
        <v>29377</v>
      </c>
      <c r="E7250" s="2" t="s">
        <v>29378</v>
      </c>
      <c r="F7250" s="2" t="b">
        <v>1</v>
      </c>
      <c r="G7250" s="2" t="b">
        <v>0</v>
      </c>
      <c r="H7250" s="2" t="s">
        <v>37</v>
      </c>
      <c r="I7250" s="2" t="s">
        <v>32</v>
      </c>
      <c r="J7250" s="2" t="s">
        <v>300</v>
      </c>
      <c r="K7250" s="2" t="s">
        <v>495</v>
      </c>
      <c r="L7250" s="13" t="s">
        <v>496</v>
      </c>
      <c r="M7250" s="2" t="s">
        <v>26</v>
      </c>
      <c r="N7250" s="29"/>
      <c r="O7250" s="29"/>
      <c r="P7250" s="5" t="str">
        <f>IFERROR(__xludf.DUMMYFUNCTION("TEXTJOIN("" | "",TRUE,IF(OR(D7250="""",E7250="""",I7250="""",J7250="""",H7250=""""),""ফাঁকা ঘর"",""""),IF(AND(C7250&lt;&gt;"""",D7250&lt;&gt;"""",C7250=D7250),""gloss=figurative"",""""),IF(LEN(D7250)&lt;15,""figurative ছোট"",""""),IF(AND(I7250=""Positive"",REGEXMATCH(H7"&amp;"250,""মূর্খ|ভণ্ড|প্রতার|অলস|লোভ|স্বার্থ|অক্ষম|অযোগ্য|বোকা|কৃপণ|হিংস"")),""valence-target অমিল"",""""),IF(COUNTIF($B:$B,B7250)&gt;1,""ডুপ্লিকেট"",""""))"),"")</f>
        <v/>
      </c>
      <c r="Q7250" s="5" t="str">
        <f t="shared" si="1"/>
        <v>২ পরে</v>
      </c>
    </row>
    <row r="7251">
      <c r="A7251" s="4">
        <v>5415.0</v>
      </c>
      <c r="B7251" s="2" t="s">
        <v>29379</v>
      </c>
      <c r="C7251" s="2" t="s">
        <v>29379</v>
      </c>
      <c r="D7251" s="2" t="s">
        <v>29380</v>
      </c>
      <c r="E7251" s="2" t="s">
        <v>29381</v>
      </c>
      <c r="F7251" s="2" t="b">
        <v>1</v>
      </c>
      <c r="G7251" s="2" t="b">
        <v>1</v>
      </c>
      <c r="H7251" s="2" t="s">
        <v>1106</v>
      </c>
      <c r="I7251" s="2" t="s">
        <v>22</v>
      </c>
      <c r="J7251" s="2" t="s">
        <v>836</v>
      </c>
      <c r="K7251" s="2" t="s">
        <v>495</v>
      </c>
      <c r="L7251" s="13" t="s">
        <v>496</v>
      </c>
      <c r="M7251" s="2" t="s">
        <v>26</v>
      </c>
      <c r="N7251" s="29"/>
      <c r="O7251" s="29"/>
      <c r="P7251" s="5" t="str">
        <f>IFERROR(__xludf.DUMMYFUNCTION("TEXTJOIN("" | "",TRUE,IF(OR(D7251="""",E7251="""",I7251="""",J7251="""",H7251=""""),""ফাঁকা ঘর"",""""),IF(AND(C7251&lt;&gt;"""",D7251&lt;&gt;"""",C7251=D7251),""gloss=figurative"",""""),IF(LEN(D7251)&lt;15,""figurative ছোট"",""""),IF(AND(I7251=""Positive"",REGEXMATCH(H7"&amp;"251,""মূর্খ|ভণ্ড|প্রতার|অলস|লোভ|স্বার্থ|অক্ষম|অযোগ্য|বোকা|কৃপণ|হিংস"")),""valence-target অমিল"",""""),IF(COUNTIF($B:$B,B7251)&gt;1,""ডুপ্লিকেট"",""""))"),"")</f>
        <v/>
      </c>
      <c r="Q7251" s="5" t="str">
        <f t="shared" si="1"/>
        <v>২ পরে</v>
      </c>
    </row>
    <row r="7252">
      <c r="A7252" s="4">
        <v>5418.0</v>
      </c>
      <c r="B7252" s="2" t="s">
        <v>29382</v>
      </c>
      <c r="C7252" s="2" t="s">
        <v>29383</v>
      </c>
      <c r="D7252" s="2" t="s">
        <v>29384</v>
      </c>
      <c r="E7252" s="2" t="s">
        <v>29385</v>
      </c>
      <c r="F7252" s="2" t="b">
        <v>1</v>
      </c>
      <c r="G7252" s="2" t="b">
        <v>1</v>
      </c>
      <c r="H7252" s="2" t="s">
        <v>1106</v>
      </c>
      <c r="I7252" s="2" t="s">
        <v>22</v>
      </c>
      <c r="J7252" s="2" t="s">
        <v>1315</v>
      </c>
      <c r="K7252" s="2" t="s">
        <v>495</v>
      </c>
      <c r="L7252" s="13" t="s">
        <v>496</v>
      </c>
      <c r="M7252" s="2" t="s">
        <v>26</v>
      </c>
      <c r="N7252" s="29"/>
      <c r="O7252" s="29"/>
      <c r="P7252" s="5" t="str">
        <f>IFERROR(__xludf.DUMMYFUNCTION("TEXTJOIN("" | "",TRUE,IF(OR(D7252="""",E7252="""",I7252="""",J7252="""",H7252=""""),""ফাঁকা ঘর"",""""),IF(AND(C7252&lt;&gt;"""",D7252&lt;&gt;"""",C7252=D7252),""gloss=figurative"",""""),IF(LEN(D7252)&lt;15,""figurative ছোট"",""""),IF(AND(I7252=""Positive"",REGEXMATCH(H7"&amp;"252,""মূর্খ|ভণ্ড|প্রতার|অলস|লোভ|স্বার্থ|অক্ষম|অযোগ্য|বোকা|কৃপণ|হিংস"")),""valence-target অমিল"",""""),IF(COUNTIF($B:$B,B7252)&gt;1,""ডুপ্লিকেট"",""""))"),"")</f>
        <v/>
      </c>
      <c r="Q7252" s="5" t="str">
        <f t="shared" si="1"/>
        <v>২ পরে</v>
      </c>
    </row>
    <row r="7253">
      <c r="A7253" s="4">
        <v>5419.0</v>
      </c>
      <c r="B7253" s="2" t="s">
        <v>29386</v>
      </c>
      <c r="C7253" s="2" t="s">
        <v>29387</v>
      </c>
      <c r="D7253" s="2" t="s">
        <v>29388</v>
      </c>
      <c r="E7253" s="2" t="s">
        <v>29389</v>
      </c>
      <c r="F7253" s="2" t="b">
        <v>1</v>
      </c>
      <c r="G7253" s="2" t="b">
        <v>1</v>
      </c>
      <c r="H7253" s="2" t="s">
        <v>1982</v>
      </c>
      <c r="I7253" s="2" t="s">
        <v>22</v>
      </c>
      <c r="J7253" s="2" t="s">
        <v>836</v>
      </c>
      <c r="K7253" s="2" t="s">
        <v>495</v>
      </c>
      <c r="L7253" s="13" t="s">
        <v>496</v>
      </c>
      <c r="M7253" s="2" t="s">
        <v>26</v>
      </c>
      <c r="N7253" s="29"/>
      <c r="O7253" s="29"/>
      <c r="P7253" s="5" t="str">
        <f>IFERROR(__xludf.DUMMYFUNCTION("TEXTJOIN("" | "",TRUE,IF(OR(D7253="""",E7253="""",I7253="""",J7253="""",H7253=""""),""ফাঁকা ঘর"",""""),IF(AND(C7253&lt;&gt;"""",D7253&lt;&gt;"""",C7253=D7253),""gloss=figurative"",""""),IF(LEN(D7253)&lt;15,""figurative ছোট"",""""),IF(AND(I7253=""Positive"",REGEXMATCH(H7"&amp;"253,""মূর্খ|ভণ্ড|প্রতার|অলস|লোভ|স্বার্থ|অক্ষম|অযোগ্য|বোকা|কৃপণ|হিংস"")),""valence-target অমিল"",""""),IF(COUNTIF($B:$B,B7253)&gt;1,""ডুপ্লিকেট"",""""))"),"")</f>
        <v/>
      </c>
      <c r="Q7253" s="5" t="str">
        <f t="shared" si="1"/>
        <v>২ পরে</v>
      </c>
    </row>
    <row r="7254">
      <c r="A7254" s="4">
        <v>5420.0</v>
      </c>
      <c r="B7254" s="2" t="s">
        <v>29390</v>
      </c>
      <c r="C7254" s="2" t="s">
        <v>29391</v>
      </c>
      <c r="D7254" s="2" t="s">
        <v>29392</v>
      </c>
      <c r="E7254" s="2" t="s">
        <v>29393</v>
      </c>
      <c r="F7254" s="2" t="b">
        <v>1</v>
      </c>
      <c r="G7254" s="2" t="b">
        <v>1</v>
      </c>
      <c r="H7254" s="2" t="s">
        <v>1982</v>
      </c>
      <c r="I7254" s="2" t="s">
        <v>22</v>
      </c>
      <c r="J7254" s="2" t="s">
        <v>836</v>
      </c>
      <c r="K7254" s="2" t="s">
        <v>495</v>
      </c>
      <c r="L7254" s="13" t="s">
        <v>496</v>
      </c>
      <c r="M7254" s="2" t="s">
        <v>26</v>
      </c>
      <c r="N7254" s="29"/>
      <c r="O7254" s="29"/>
      <c r="P7254" s="5" t="str">
        <f>IFERROR(__xludf.DUMMYFUNCTION("TEXTJOIN("" | "",TRUE,IF(OR(D7254="""",E7254="""",I7254="""",J7254="""",H7254=""""),""ফাঁকা ঘর"",""""),IF(AND(C7254&lt;&gt;"""",D7254&lt;&gt;"""",C7254=D7254),""gloss=figurative"",""""),IF(LEN(D7254)&lt;15,""figurative ছোট"",""""),IF(AND(I7254=""Positive"",REGEXMATCH(H7"&amp;"254,""মূর্খ|ভণ্ড|প্রতার|অলস|লোভ|স্বার্থ|অক্ষম|অযোগ্য|বোকা|কৃপণ|হিংস"")),""valence-target অমিল"",""""),IF(COUNTIF($B:$B,B7254)&gt;1,""ডুপ্লিকেট"",""""))"),"")</f>
        <v/>
      </c>
      <c r="Q7254" s="5" t="str">
        <f t="shared" si="1"/>
        <v>২ পরে</v>
      </c>
    </row>
    <row r="7255">
      <c r="A7255" s="4">
        <v>5426.0</v>
      </c>
      <c r="B7255" s="2" t="s">
        <v>29394</v>
      </c>
      <c r="C7255" s="2" t="s">
        <v>29395</v>
      </c>
      <c r="D7255" s="2" t="s">
        <v>29396</v>
      </c>
      <c r="E7255" s="2" t="s">
        <v>29397</v>
      </c>
      <c r="F7255" s="2" t="b">
        <v>1</v>
      </c>
      <c r="G7255" s="2" t="b">
        <v>0</v>
      </c>
      <c r="H7255" s="2" t="s">
        <v>37</v>
      </c>
      <c r="I7255" s="2" t="s">
        <v>22</v>
      </c>
      <c r="J7255" s="2" t="s">
        <v>24807</v>
      </c>
      <c r="K7255" s="2" t="s">
        <v>495</v>
      </c>
      <c r="L7255" s="13" t="s">
        <v>496</v>
      </c>
      <c r="M7255" s="2" t="s">
        <v>26</v>
      </c>
      <c r="N7255" s="29"/>
      <c r="O7255" s="29"/>
      <c r="P7255" s="5" t="str">
        <f>IFERROR(__xludf.DUMMYFUNCTION("TEXTJOIN("" | "",TRUE,IF(OR(D7255="""",E7255="""",I7255="""",J7255="""",H7255=""""),""ফাঁকা ঘর"",""""),IF(AND(C7255&lt;&gt;"""",D7255&lt;&gt;"""",C7255=D7255),""gloss=figurative"",""""),IF(LEN(D7255)&lt;15,""figurative ছোট"",""""),IF(AND(I7255=""Positive"",REGEXMATCH(H7"&amp;"255,""মূর্খ|ভণ্ড|প্রতার|অলস|লোভ|স্বার্থ|অক্ষম|অযোগ্য|বোকা|কৃপণ|হিংস"")),""valence-target অমিল"",""""),IF(COUNTIF($B:$B,B7255)&gt;1,""ডুপ্লিকেট"",""""))"),"")</f>
        <v/>
      </c>
      <c r="Q7255" s="5" t="str">
        <f t="shared" si="1"/>
        <v>২ পরে</v>
      </c>
    </row>
    <row r="7256">
      <c r="A7256" s="4">
        <v>5428.0</v>
      </c>
      <c r="B7256" s="2" t="s">
        <v>29398</v>
      </c>
      <c r="C7256" s="2" t="s">
        <v>29399</v>
      </c>
      <c r="D7256" s="2" t="s">
        <v>29400</v>
      </c>
      <c r="E7256" s="2" t="s">
        <v>29401</v>
      </c>
      <c r="F7256" s="2" t="b">
        <v>1</v>
      </c>
      <c r="G7256" s="2" t="b">
        <v>0</v>
      </c>
      <c r="H7256" s="2" t="s">
        <v>37</v>
      </c>
      <c r="I7256" s="2" t="s">
        <v>22</v>
      </c>
      <c r="J7256" s="2" t="s">
        <v>1684</v>
      </c>
      <c r="K7256" s="2" t="s">
        <v>495</v>
      </c>
      <c r="L7256" s="13" t="s">
        <v>496</v>
      </c>
      <c r="M7256" s="2" t="s">
        <v>26</v>
      </c>
      <c r="N7256" s="29"/>
      <c r="O7256" s="29"/>
      <c r="P7256" s="5" t="str">
        <f>IFERROR(__xludf.DUMMYFUNCTION("TEXTJOIN("" | "",TRUE,IF(OR(D7256="""",E7256="""",I7256="""",J7256="""",H7256=""""),""ফাঁকা ঘর"",""""),IF(AND(C7256&lt;&gt;"""",D7256&lt;&gt;"""",C7256=D7256),""gloss=figurative"",""""),IF(LEN(D7256)&lt;15,""figurative ছোট"",""""),IF(AND(I7256=""Positive"",REGEXMATCH(H7"&amp;"256,""মূর্খ|ভণ্ড|প্রতার|অলস|লোভ|স্বার্থ|অক্ষম|অযোগ্য|বোকা|কৃপণ|হিংস"")),""valence-target অমিল"",""""),IF(COUNTIF($B:$B,B7256)&gt;1,""ডুপ্লিকেট"",""""))"),"")</f>
        <v/>
      </c>
      <c r="Q7256" s="5" t="str">
        <f t="shared" si="1"/>
        <v>২ পরে</v>
      </c>
    </row>
    <row r="7257">
      <c r="A7257" s="4">
        <v>5429.0</v>
      </c>
      <c r="B7257" s="2" t="s">
        <v>29402</v>
      </c>
      <c r="C7257" s="2" t="s">
        <v>29403</v>
      </c>
      <c r="D7257" s="2" t="s">
        <v>29404</v>
      </c>
      <c r="E7257" s="2" t="s">
        <v>29405</v>
      </c>
      <c r="F7257" s="2" t="b">
        <v>1</v>
      </c>
      <c r="G7257" s="2" t="b">
        <v>0</v>
      </c>
      <c r="H7257" s="2" t="s">
        <v>37</v>
      </c>
      <c r="I7257" s="2" t="s">
        <v>32</v>
      </c>
      <c r="J7257" s="2" t="s">
        <v>1679</v>
      </c>
      <c r="K7257" s="2" t="s">
        <v>495</v>
      </c>
      <c r="L7257" s="13" t="s">
        <v>496</v>
      </c>
      <c r="M7257" s="2" t="s">
        <v>26</v>
      </c>
      <c r="N7257" s="29"/>
      <c r="O7257" s="29"/>
      <c r="P7257" s="5" t="str">
        <f>IFERROR(__xludf.DUMMYFUNCTION("TEXTJOIN("" | "",TRUE,IF(OR(D7257="""",E7257="""",I7257="""",J7257="""",H7257=""""),""ফাঁকা ঘর"",""""),IF(AND(C7257&lt;&gt;"""",D7257&lt;&gt;"""",C7257=D7257),""gloss=figurative"",""""),IF(LEN(D7257)&lt;15,""figurative ছোট"",""""),IF(AND(I7257=""Positive"",REGEXMATCH(H7"&amp;"257,""মূর্খ|ভণ্ড|প্রতার|অলস|লোভ|স্বার্থ|অক্ষম|অযোগ্য|বোকা|কৃপণ|হিংস"")),""valence-target অমিল"",""""),IF(COUNTIF($B:$B,B7257)&gt;1,""ডুপ্লিকেট"",""""))"),"")</f>
        <v/>
      </c>
      <c r="Q7257" s="5" t="str">
        <f t="shared" si="1"/>
        <v>২ পরে</v>
      </c>
    </row>
    <row r="7258">
      <c r="A7258" s="4">
        <v>5433.0</v>
      </c>
      <c r="B7258" s="2" t="s">
        <v>29406</v>
      </c>
      <c r="C7258" s="2" t="s">
        <v>29407</v>
      </c>
      <c r="D7258" s="2" t="s">
        <v>29408</v>
      </c>
      <c r="E7258" s="2" t="s">
        <v>29409</v>
      </c>
      <c r="F7258" s="2" t="b">
        <v>1</v>
      </c>
      <c r="G7258" s="2" t="b">
        <v>0</v>
      </c>
      <c r="H7258" s="2" t="s">
        <v>37</v>
      </c>
      <c r="I7258" s="2" t="s">
        <v>22</v>
      </c>
      <c r="J7258" s="2" t="s">
        <v>1630</v>
      </c>
      <c r="K7258" s="2" t="s">
        <v>495</v>
      </c>
      <c r="L7258" s="13" t="s">
        <v>496</v>
      </c>
      <c r="M7258" s="2" t="s">
        <v>26</v>
      </c>
      <c r="N7258" s="29"/>
      <c r="O7258" s="29"/>
      <c r="P7258" s="5" t="str">
        <f>IFERROR(__xludf.DUMMYFUNCTION("TEXTJOIN("" | "",TRUE,IF(OR(D7258="""",E7258="""",I7258="""",J7258="""",H7258=""""),""ফাঁকা ঘর"",""""),IF(AND(C7258&lt;&gt;"""",D7258&lt;&gt;"""",C7258=D7258),""gloss=figurative"",""""),IF(LEN(D7258)&lt;15,""figurative ছোট"",""""),IF(AND(I7258=""Positive"",REGEXMATCH(H7"&amp;"258,""মূর্খ|ভণ্ড|প্রতার|অলস|লোভ|স্বার্থ|অক্ষম|অযোগ্য|বোকা|কৃপণ|হিংস"")),""valence-target অমিল"",""""),IF(COUNTIF($B:$B,B7258)&gt;1,""ডুপ্লিকেট"",""""))"),"")</f>
        <v/>
      </c>
      <c r="Q7258" s="5" t="str">
        <f t="shared" si="1"/>
        <v>২ পরে</v>
      </c>
    </row>
    <row r="7259">
      <c r="A7259" s="4">
        <v>5439.0</v>
      </c>
      <c r="B7259" s="2" t="s">
        <v>29410</v>
      </c>
      <c r="C7259" s="2" t="s">
        <v>29411</v>
      </c>
      <c r="D7259" s="2" t="s">
        <v>29412</v>
      </c>
      <c r="E7259" s="2" t="s">
        <v>29413</v>
      </c>
      <c r="F7259" s="2" t="b">
        <v>1</v>
      </c>
      <c r="G7259" s="2" t="b">
        <v>0</v>
      </c>
      <c r="H7259" s="2" t="s">
        <v>37</v>
      </c>
      <c r="I7259" s="2" t="s">
        <v>22</v>
      </c>
      <c r="J7259" s="2" t="s">
        <v>1962</v>
      </c>
      <c r="K7259" s="2" t="s">
        <v>495</v>
      </c>
      <c r="L7259" s="13" t="s">
        <v>496</v>
      </c>
      <c r="M7259" s="2" t="s">
        <v>26</v>
      </c>
      <c r="N7259" s="29"/>
      <c r="O7259" s="29"/>
      <c r="P7259" s="5" t="str">
        <f>IFERROR(__xludf.DUMMYFUNCTION("TEXTJOIN("" | "",TRUE,IF(OR(D7259="""",E7259="""",I7259="""",J7259="""",H7259=""""),""ফাঁকা ঘর"",""""),IF(AND(C7259&lt;&gt;"""",D7259&lt;&gt;"""",C7259=D7259),""gloss=figurative"",""""),IF(LEN(D7259)&lt;15,""figurative ছোট"",""""),IF(AND(I7259=""Positive"",REGEXMATCH(H7"&amp;"259,""মূর্খ|ভণ্ড|প্রতার|অলস|লোভ|স্বার্থ|অক্ষম|অযোগ্য|বোকা|কৃপণ|হিংস"")),""valence-target অমিল"",""""),IF(COUNTIF($B:$B,B7259)&gt;1,""ডুপ্লিকেট"",""""))"),"")</f>
        <v/>
      </c>
      <c r="Q7259" s="5" t="str">
        <f t="shared" si="1"/>
        <v>২ পরে</v>
      </c>
    </row>
    <row r="7260">
      <c r="A7260" s="4">
        <v>5440.0</v>
      </c>
      <c r="B7260" s="2" t="s">
        <v>29414</v>
      </c>
      <c r="C7260" s="2" t="s">
        <v>10344</v>
      </c>
      <c r="D7260" s="2" t="s">
        <v>29415</v>
      </c>
      <c r="E7260" s="2" t="s">
        <v>29416</v>
      </c>
      <c r="F7260" s="2" t="b">
        <v>1</v>
      </c>
      <c r="G7260" s="2" t="b">
        <v>0</v>
      </c>
      <c r="H7260" s="2" t="s">
        <v>37</v>
      </c>
      <c r="I7260" s="2" t="s">
        <v>22</v>
      </c>
      <c r="J7260" s="2" t="s">
        <v>3501</v>
      </c>
      <c r="K7260" s="2" t="s">
        <v>495</v>
      </c>
      <c r="L7260" s="13" t="s">
        <v>496</v>
      </c>
      <c r="M7260" s="2" t="s">
        <v>26</v>
      </c>
      <c r="N7260" s="29"/>
      <c r="O7260" s="29"/>
      <c r="P7260" s="5" t="str">
        <f>IFERROR(__xludf.DUMMYFUNCTION("TEXTJOIN("" | "",TRUE,IF(OR(D7260="""",E7260="""",I7260="""",J7260="""",H7260=""""),""ফাঁকা ঘর"",""""),IF(AND(C7260&lt;&gt;"""",D7260&lt;&gt;"""",C7260=D7260),""gloss=figurative"",""""),IF(LEN(D7260)&lt;15,""figurative ছোট"",""""),IF(AND(I7260=""Positive"",REGEXMATCH(H7"&amp;"260,""মূর্খ|ভণ্ড|প্রতার|অলস|লোভ|স্বার্থ|অক্ষম|অযোগ্য|বোকা|কৃপণ|হিংস"")),""valence-target অমিল"",""""),IF(COUNTIF($B:$B,B7260)&gt;1,""ডুপ্লিকেট"",""""))"),"")</f>
        <v/>
      </c>
      <c r="Q7260" s="5" t="str">
        <f t="shared" si="1"/>
        <v>২ পরে</v>
      </c>
    </row>
    <row r="7261">
      <c r="A7261" s="4">
        <v>5441.0</v>
      </c>
      <c r="B7261" s="2" t="s">
        <v>29417</v>
      </c>
      <c r="C7261" s="2" t="s">
        <v>29418</v>
      </c>
      <c r="D7261" s="2" t="s">
        <v>29419</v>
      </c>
      <c r="E7261" s="2" t="s">
        <v>29420</v>
      </c>
      <c r="F7261" s="2" t="b">
        <v>1</v>
      </c>
      <c r="G7261" s="2" t="b">
        <v>0</v>
      </c>
      <c r="H7261" s="2" t="s">
        <v>37</v>
      </c>
      <c r="I7261" s="2" t="s">
        <v>22</v>
      </c>
      <c r="J7261" s="2" t="s">
        <v>6440</v>
      </c>
      <c r="K7261" s="2" t="s">
        <v>495</v>
      </c>
      <c r="L7261" s="13" t="s">
        <v>496</v>
      </c>
      <c r="M7261" s="2" t="s">
        <v>26</v>
      </c>
      <c r="N7261" s="29"/>
      <c r="O7261" s="29"/>
      <c r="P7261" s="5" t="str">
        <f>IFERROR(__xludf.DUMMYFUNCTION("TEXTJOIN("" | "",TRUE,IF(OR(D7261="""",E7261="""",I7261="""",J7261="""",H7261=""""),""ফাঁকা ঘর"",""""),IF(AND(C7261&lt;&gt;"""",D7261&lt;&gt;"""",C7261=D7261),""gloss=figurative"",""""),IF(LEN(D7261)&lt;15,""figurative ছোট"",""""),IF(AND(I7261=""Positive"",REGEXMATCH(H7"&amp;"261,""মূর্খ|ভণ্ড|প্রতার|অলস|লোভ|স্বার্থ|অক্ষম|অযোগ্য|বোকা|কৃপণ|হিংস"")),""valence-target অমিল"",""""),IF(COUNTIF($B:$B,B7261)&gt;1,""ডুপ্লিকেট"",""""))"),"")</f>
        <v/>
      </c>
      <c r="Q7261" s="5" t="str">
        <f t="shared" si="1"/>
        <v>২ পরে</v>
      </c>
    </row>
    <row r="7262">
      <c r="A7262" s="4">
        <v>5442.0</v>
      </c>
      <c r="B7262" s="2" t="s">
        <v>29421</v>
      </c>
      <c r="C7262" s="2" t="s">
        <v>29422</v>
      </c>
      <c r="D7262" s="2" t="s">
        <v>29423</v>
      </c>
      <c r="E7262" s="2" t="s">
        <v>29424</v>
      </c>
      <c r="F7262" s="2" t="b">
        <v>1</v>
      </c>
      <c r="G7262" s="2" t="b">
        <v>0</v>
      </c>
      <c r="H7262" s="2" t="s">
        <v>37</v>
      </c>
      <c r="I7262" s="2" t="s">
        <v>22</v>
      </c>
      <c r="J7262" s="2" t="s">
        <v>947</v>
      </c>
      <c r="K7262" s="2" t="s">
        <v>495</v>
      </c>
      <c r="L7262" s="13" t="s">
        <v>496</v>
      </c>
      <c r="M7262" s="2" t="s">
        <v>26</v>
      </c>
      <c r="N7262" s="29"/>
      <c r="O7262" s="29"/>
      <c r="P7262" s="5" t="str">
        <f>IFERROR(__xludf.DUMMYFUNCTION("TEXTJOIN("" | "",TRUE,IF(OR(D7262="""",E7262="""",I7262="""",J7262="""",H7262=""""),""ফাঁকা ঘর"",""""),IF(AND(C7262&lt;&gt;"""",D7262&lt;&gt;"""",C7262=D7262),""gloss=figurative"",""""),IF(LEN(D7262)&lt;15,""figurative ছোট"",""""),IF(AND(I7262=""Positive"",REGEXMATCH(H7"&amp;"262,""মূর্খ|ভণ্ড|প্রতার|অলস|লোভ|স্বার্থ|অক্ষম|অযোগ্য|বোকা|কৃপণ|হিংস"")),""valence-target অমিল"",""""),IF(COUNTIF($B:$B,B7262)&gt;1,""ডুপ্লিকেট"",""""))"),"")</f>
        <v/>
      </c>
      <c r="Q7262" s="5" t="str">
        <f t="shared" si="1"/>
        <v>২ পরে</v>
      </c>
    </row>
    <row r="7263">
      <c r="A7263" s="4">
        <v>5443.0</v>
      </c>
      <c r="B7263" s="2" t="s">
        <v>29425</v>
      </c>
      <c r="C7263" s="2" t="s">
        <v>29426</v>
      </c>
      <c r="D7263" s="2" t="s">
        <v>29427</v>
      </c>
      <c r="E7263" s="2" t="s">
        <v>29428</v>
      </c>
      <c r="F7263" s="2" t="b">
        <v>1</v>
      </c>
      <c r="G7263" s="2" t="b">
        <v>0</v>
      </c>
      <c r="H7263" s="2" t="s">
        <v>37</v>
      </c>
      <c r="I7263" s="2" t="s">
        <v>32</v>
      </c>
      <c r="J7263" s="2" t="s">
        <v>842</v>
      </c>
      <c r="K7263" s="2" t="s">
        <v>495</v>
      </c>
      <c r="L7263" s="13" t="s">
        <v>496</v>
      </c>
      <c r="M7263" s="2" t="s">
        <v>26</v>
      </c>
      <c r="N7263" s="29"/>
      <c r="O7263" s="29"/>
      <c r="P7263" s="5" t="str">
        <f>IFERROR(__xludf.DUMMYFUNCTION("TEXTJOIN("" | "",TRUE,IF(OR(D7263="""",E7263="""",I7263="""",J7263="""",H7263=""""),""ফাঁকা ঘর"",""""),IF(AND(C7263&lt;&gt;"""",D7263&lt;&gt;"""",C7263=D7263),""gloss=figurative"",""""),IF(LEN(D7263)&lt;15,""figurative ছোট"",""""),IF(AND(I7263=""Positive"",REGEXMATCH(H7"&amp;"263,""মূর্খ|ভণ্ড|প্রতার|অলস|লোভ|স্বার্থ|অক্ষম|অযোগ্য|বোকা|কৃপণ|হিংস"")),""valence-target অমিল"",""""),IF(COUNTIF($B:$B,B7263)&gt;1,""ডুপ্লিকেট"",""""))"),"")</f>
        <v/>
      </c>
      <c r="Q7263" s="5" t="str">
        <f t="shared" si="1"/>
        <v>২ পরে</v>
      </c>
    </row>
    <row r="7264">
      <c r="A7264" s="4">
        <v>5444.0</v>
      </c>
      <c r="B7264" s="2" t="s">
        <v>29429</v>
      </c>
      <c r="C7264" s="2" t="s">
        <v>29430</v>
      </c>
      <c r="D7264" s="2" t="s">
        <v>29431</v>
      </c>
      <c r="E7264" s="2" t="s">
        <v>29432</v>
      </c>
      <c r="F7264" s="2" t="b">
        <v>1</v>
      </c>
      <c r="G7264" s="2" t="b">
        <v>0</v>
      </c>
      <c r="H7264" s="2" t="s">
        <v>37</v>
      </c>
      <c r="I7264" s="2" t="s">
        <v>49</v>
      </c>
      <c r="J7264" s="2" t="s">
        <v>1598</v>
      </c>
      <c r="K7264" s="2" t="s">
        <v>495</v>
      </c>
      <c r="L7264" s="13" t="s">
        <v>496</v>
      </c>
      <c r="M7264" s="2" t="s">
        <v>26</v>
      </c>
      <c r="N7264" s="29"/>
      <c r="O7264" s="29"/>
      <c r="P7264" s="5" t="str">
        <f>IFERROR(__xludf.DUMMYFUNCTION("TEXTJOIN("" | "",TRUE,IF(OR(D7264="""",E7264="""",I7264="""",J7264="""",H7264=""""),""ফাঁকা ঘর"",""""),IF(AND(C7264&lt;&gt;"""",D7264&lt;&gt;"""",C7264=D7264),""gloss=figurative"",""""),IF(LEN(D7264)&lt;15,""figurative ছোট"",""""),IF(AND(I7264=""Positive"",REGEXMATCH(H7"&amp;"264,""মূর্খ|ভণ্ড|প্রতার|অলস|লোভ|স্বার্থ|অক্ষম|অযোগ্য|বোকা|কৃপণ|হিংস"")),""valence-target অমিল"",""""),IF(COUNTIF($B:$B,B7264)&gt;1,""ডুপ্লিকেট"",""""))"),"")</f>
        <v/>
      </c>
      <c r="Q7264" s="5" t="str">
        <f t="shared" si="1"/>
        <v>২ পরে</v>
      </c>
    </row>
    <row r="7265">
      <c r="A7265" s="4">
        <v>5446.0</v>
      </c>
      <c r="B7265" s="2" t="s">
        <v>29433</v>
      </c>
      <c r="C7265" s="2" t="s">
        <v>29434</v>
      </c>
      <c r="D7265" s="2" t="s">
        <v>29435</v>
      </c>
      <c r="E7265" s="2" t="s">
        <v>29436</v>
      </c>
      <c r="F7265" s="2" t="b">
        <v>1</v>
      </c>
      <c r="G7265" s="2" t="b">
        <v>0</v>
      </c>
      <c r="H7265" s="2" t="s">
        <v>37</v>
      </c>
      <c r="I7265" s="2" t="s">
        <v>49</v>
      </c>
      <c r="J7265" s="2" t="s">
        <v>762</v>
      </c>
      <c r="K7265" s="2" t="s">
        <v>495</v>
      </c>
      <c r="L7265" s="13" t="s">
        <v>496</v>
      </c>
      <c r="M7265" s="2" t="s">
        <v>26</v>
      </c>
      <c r="N7265" s="29"/>
      <c r="O7265" s="29"/>
      <c r="P7265" s="5" t="str">
        <f>IFERROR(__xludf.DUMMYFUNCTION("TEXTJOIN("" | "",TRUE,IF(OR(D7265="""",E7265="""",I7265="""",J7265="""",H7265=""""),""ফাঁকা ঘর"",""""),IF(AND(C7265&lt;&gt;"""",D7265&lt;&gt;"""",C7265=D7265),""gloss=figurative"",""""),IF(LEN(D7265)&lt;15,""figurative ছোট"",""""),IF(AND(I7265=""Positive"",REGEXMATCH(H7"&amp;"265,""মূর্খ|ভণ্ড|প্রতার|অলস|লোভ|স্বার্থ|অক্ষম|অযোগ্য|বোকা|কৃপণ|হিংস"")),""valence-target অমিল"",""""),IF(COUNTIF($B:$B,B7265)&gt;1,""ডুপ্লিকেট"",""""))"),"")</f>
        <v/>
      </c>
      <c r="Q7265" s="5" t="str">
        <f t="shared" si="1"/>
        <v>২ পরে</v>
      </c>
    </row>
    <row r="7266">
      <c r="A7266" s="4">
        <v>5448.0</v>
      </c>
      <c r="B7266" s="2" t="s">
        <v>29437</v>
      </c>
      <c r="C7266" s="2" t="s">
        <v>29438</v>
      </c>
      <c r="D7266" s="2" t="s">
        <v>29439</v>
      </c>
      <c r="E7266" s="2" t="s">
        <v>29440</v>
      </c>
      <c r="F7266" s="2" t="b">
        <v>1</v>
      </c>
      <c r="G7266" s="2" t="b">
        <v>0</v>
      </c>
      <c r="H7266" s="2" t="s">
        <v>37</v>
      </c>
      <c r="I7266" s="2" t="s">
        <v>22</v>
      </c>
      <c r="J7266" s="2" t="s">
        <v>808</v>
      </c>
      <c r="K7266" s="2" t="s">
        <v>495</v>
      </c>
      <c r="L7266" s="13" t="s">
        <v>496</v>
      </c>
      <c r="M7266" s="2" t="s">
        <v>26</v>
      </c>
      <c r="N7266" s="29"/>
      <c r="O7266" s="29"/>
      <c r="P7266" s="5" t="str">
        <f>IFERROR(__xludf.DUMMYFUNCTION("TEXTJOIN("" | "",TRUE,IF(OR(D7266="""",E7266="""",I7266="""",J7266="""",H7266=""""),""ফাঁকা ঘর"",""""),IF(AND(C7266&lt;&gt;"""",D7266&lt;&gt;"""",C7266=D7266),""gloss=figurative"",""""),IF(LEN(D7266)&lt;15,""figurative ছোট"",""""),IF(AND(I7266=""Positive"",REGEXMATCH(H7"&amp;"266,""মূর্খ|ভণ্ড|প্রতার|অলস|লোভ|স্বার্থ|অক্ষম|অযোগ্য|বোকা|কৃপণ|হিংস"")),""valence-target অমিল"",""""),IF(COUNTIF($B:$B,B7266)&gt;1,""ডুপ্লিকেট"",""""))"),"")</f>
        <v/>
      </c>
      <c r="Q7266" s="5" t="str">
        <f t="shared" si="1"/>
        <v>২ পরে</v>
      </c>
    </row>
    <row r="7267">
      <c r="A7267" s="4">
        <v>5449.0</v>
      </c>
      <c r="B7267" s="2" t="s">
        <v>29441</v>
      </c>
      <c r="C7267" s="2" t="s">
        <v>29442</v>
      </c>
      <c r="D7267" s="2" t="s">
        <v>29443</v>
      </c>
      <c r="E7267" s="2" t="s">
        <v>29444</v>
      </c>
      <c r="F7267" s="2" t="b">
        <v>1</v>
      </c>
      <c r="G7267" s="2" t="b">
        <v>0</v>
      </c>
      <c r="H7267" s="2" t="s">
        <v>37</v>
      </c>
      <c r="I7267" s="2" t="s">
        <v>22</v>
      </c>
      <c r="J7267" s="2" t="s">
        <v>836</v>
      </c>
      <c r="K7267" s="2" t="s">
        <v>495</v>
      </c>
      <c r="L7267" s="13" t="s">
        <v>496</v>
      </c>
      <c r="M7267" s="2" t="s">
        <v>26</v>
      </c>
      <c r="N7267" s="29"/>
      <c r="O7267" s="29"/>
      <c r="P7267" s="5" t="str">
        <f>IFERROR(__xludf.DUMMYFUNCTION("TEXTJOIN("" | "",TRUE,IF(OR(D7267="""",E7267="""",I7267="""",J7267="""",H7267=""""),""ফাঁকা ঘর"",""""),IF(AND(C7267&lt;&gt;"""",D7267&lt;&gt;"""",C7267=D7267),""gloss=figurative"",""""),IF(LEN(D7267)&lt;15,""figurative ছোট"",""""),IF(AND(I7267=""Positive"",REGEXMATCH(H7"&amp;"267,""মূর্খ|ভণ্ড|প্রতার|অলস|লোভ|স্বার্থ|অক্ষম|অযোগ্য|বোকা|কৃপণ|হিংস"")),""valence-target অমিল"",""""),IF(COUNTIF($B:$B,B7267)&gt;1,""ডুপ্লিকেট"",""""))"),"")</f>
        <v/>
      </c>
      <c r="Q7267" s="5" t="str">
        <f t="shared" si="1"/>
        <v>২ পরে</v>
      </c>
    </row>
    <row r="7268">
      <c r="A7268" s="4">
        <v>5452.0</v>
      </c>
      <c r="B7268" s="2" t="s">
        <v>29445</v>
      </c>
      <c r="C7268" s="2" t="s">
        <v>29446</v>
      </c>
      <c r="D7268" s="2" t="s">
        <v>29447</v>
      </c>
      <c r="E7268" s="2" t="s">
        <v>29448</v>
      </c>
      <c r="F7268" s="2" t="b">
        <v>1</v>
      </c>
      <c r="G7268" s="2" t="b">
        <v>0</v>
      </c>
      <c r="H7268" s="2" t="s">
        <v>37</v>
      </c>
      <c r="I7268" s="2" t="s">
        <v>22</v>
      </c>
      <c r="J7268" s="2" t="s">
        <v>2122</v>
      </c>
      <c r="K7268" s="2" t="s">
        <v>495</v>
      </c>
      <c r="L7268" s="13" t="s">
        <v>496</v>
      </c>
      <c r="M7268" s="2" t="s">
        <v>26</v>
      </c>
      <c r="N7268" s="29"/>
      <c r="O7268" s="29"/>
      <c r="P7268" s="5" t="str">
        <f>IFERROR(__xludf.DUMMYFUNCTION("TEXTJOIN("" | "",TRUE,IF(OR(D7268="""",E7268="""",I7268="""",J7268="""",H7268=""""),""ফাঁকা ঘর"",""""),IF(AND(C7268&lt;&gt;"""",D7268&lt;&gt;"""",C7268=D7268),""gloss=figurative"",""""),IF(LEN(D7268)&lt;15,""figurative ছোট"",""""),IF(AND(I7268=""Positive"",REGEXMATCH(H7"&amp;"268,""মূর্খ|ভণ্ড|প্রতার|অলস|লোভ|স্বার্থ|অক্ষম|অযোগ্য|বোকা|কৃপণ|হিংস"")),""valence-target অমিল"",""""),IF(COUNTIF($B:$B,B7268)&gt;1,""ডুপ্লিকেট"",""""))"),"")</f>
        <v/>
      </c>
      <c r="Q7268" s="5" t="str">
        <f t="shared" si="1"/>
        <v>২ পরে</v>
      </c>
    </row>
    <row r="7269">
      <c r="A7269" s="4">
        <v>5454.0</v>
      </c>
      <c r="B7269" s="2" t="s">
        <v>29449</v>
      </c>
      <c r="C7269" s="2" t="s">
        <v>29450</v>
      </c>
      <c r="D7269" s="2" t="s">
        <v>29451</v>
      </c>
      <c r="E7269" s="2" t="s">
        <v>29452</v>
      </c>
      <c r="F7269" s="2" t="b">
        <v>1</v>
      </c>
      <c r="G7269" s="2" t="b">
        <v>0</v>
      </c>
      <c r="H7269" s="2" t="s">
        <v>5283</v>
      </c>
      <c r="I7269" s="2" t="s">
        <v>22</v>
      </c>
      <c r="J7269" s="2" t="s">
        <v>1686</v>
      </c>
      <c r="K7269" s="2" t="s">
        <v>495</v>
      </c>
      <c r="L7269" s="13" t="s">
        <v>496</v>
      </c>
      <c r="M7269" s="2" t="s">
        <v>26</v>
      </c>
      <c r="N7269" s="29"/>
      <c r="O7269" s="29"/>
      <c r="P7269" s="5" t="str">
        <f>IFERROR(__xludf.DUMMYFUNCTION("TEXTJOIN("" | "",TRUE,IF(OR(D7269="""",E7269="""",I7269="""",J7269="""",H7269=""""),""ফাঁকা ঘর"",""""),IF(AND(C7269&lt;&gt;"""",D7269&lt;&gt;"""",C7269=D7269),""gloss=figurative"",""""),IF(LEN(D7269)&lt;15,""figurative ছোট"",""""),IF(AND(I7269=""Positive"",REGEXMATCH(H7"&amp;"269,""মূর্খ|ভণ্ড|প্রতার|অলস|লোভ|স্বার্থ|অক্ষম|অযোগ্য|বোকা|কৃপণ|হিংস"")),""valence-target অমিল"",""""),IF(COUNTIF($B:$B,B7269)&gt;1,""ডুপ্লিকেট"",""""))"),"")</f>
        <v/>
      </c>
      <c r="Q7269" s="5" t="str">
        <f t="shared" si="1"/>
        <v>২ পরে</v>
      </c>
    </row>
    <row r="7270">
      <c r="A7270" s="4">
        <v>5455.0</v>
      </c>
      <c r="B7270" s="2" t="s">
        <v>29453</v>
      </c>
      <c r="C7270" s="2" t="s">
        <v>29454</v>
      </c>
      <c r="D7270" s="2" t="s">
        <v>29455</v>
      </c>
      <c r="E7270" s="2" t="s">
        <v>29456</v>
      </c>
      <c r="F7270" s="2" t="b">
        <v>1</v>
      </c>
      <c r="G7270" s="2" t="b">
        <v>0</v>
      </c>
      <c r="H7270" s="2" t="s">
        <v>37</v>
      </c>
      <c r="I7270" s="2" t="s">
        <v>49</v>
      </c>
      <c r="J7270" s="2" t="s">
        <v>891</v>
      </c>
      <c r="K7270" s="2" t="s">
        <v>495</v>
      </c>
      <c r="L7270" s="13" t="s">
        <v>496</v>
      </c>
      <c r="M7270" s="2" t="s">
        <v>26</v>
      </c>
      <c r="N7270" s="29"/>
      <c r="O7270" s="29"/>
      <c r="P7270" s="5" t="str">
        <f>IFERROR(__xludf.DUMMYFUNCTION("TEXTJOIN("" | "",TRUE,IF(OR(D7270="""",E7270="""",I7270="""",J7270="""",H7270=""""),""ফাঁকা ঘর"",""""),IF(AND(C7270&lt;&gt;"""",D7270&lt;&gt;"""",C7270=D7270),""gloss=figurative"",""""),IF(LEN(D7270)&lt;15,""figurative ছোট"",""""),IF(AND(I7270=""Positive"",REGEXMATCH(H7"&amp;"270,""মূর্খ|ভণ্ড|প্রতার|অলস|লোভ|স্বার্থ|অক্ষম|অযোগ্য|বোকা|কৃপণ|হিংস"")),""valence-target অমিল"",""""),IF(COUNTIF($B:$B,B7270)&gt;1,""ডুপ্লিকেট"",""""))"),"")</f>
        <v/>
      </c>
      <c r="Q7270" s="5" t="str">
        <f t="shared" si="1"/>
        <v>২ পরে</v>
      </c>
    </row>
    <row r="7271">
      <c r="A7271" s="4">
        <v>5456.0</v>
      </c>
      <c r="B7271" s="2" t="s">
        <v>29457</v>
      </c>
      <c r="C7271" s="2" t="s">
        <v>29458</v>
      </c>
      <c r="D7271" s="2" t="s">
        <v>28195</v>
      </c>
      <c r="E7271" s="2" t="s">
        <v>29459</v>
      </c>
      <c r="F7271" s="2" t="b">
        <v>1</v>
      </c>
      <c r="G7271" s="2" t="b">
        <v>0</v>
      </c>
      <c r="H7271" s="2" t="s">
        <v>37</v>
      </c>
      <c r="I7271" s="2" t="s">
        <v>22</v>
      </c>
      <c r="J7271" s="2" t="s">
        <v>1397</v>
      </c>
      <c r="K7271" s="2" t="s">
        <v>495</v>
      </c>
      <c r="L7271" s="13" t="s">
        <v>496</v>
      </c>
      <c r="M7271" s="2" t="s">
        <v>26</v>
      </c>
      <c r="N7271" s="29"/>
      <c r="O7271" s="29"/>
      <c r="P7271" s="5" t="str">
        <f>IFERROR(__xludf.DUMMYFUNCTION("TEXTJOIN("" | "",TRUE,IF(OR(D7271="""",E7271="""",I7271="""",J7271="""",H7271=""""),""ফাঁকা ঘর"",""""),IF(AND(C7271&lt;&gt;"""",D7271&lt;&gt;"""",C7271=D7271),""gloss=figurative"",""""),IF(LEN(D7271)&lt;15,""figurative ছোট"",""""),IF(AND(I7271=""Positive"",REGEXMATCH(H7"&amp;"271,""মূর্খ|ভণ্ড|প্রতার|অলস|লোভ|স্বার্থ|অক্ষম|অযোগ্য|বোকা|কৃপণ|হিংস"")),""valence-target অমিল"",""""),IF(COUNTIF($B:$B,B7271)&gt;1,""ডুপ্লিকেট"",""""))"),"")</f>
        <v/>
      </c>
      <c r="Q7271" s="5" t="str">
        <f t="shared" si="1"/>
        <v>২ পরে</v>
      </c>
    </row>
    <row r="7272">
      <c r="A7272" s="4">
        <v>5458.0</v>
      </c>
      <c r="B7272" s="2" t="s">
        <v>29460</v>
      </c>
      <c r="C7272" s="2" t="s">
        <v>29461</v>
      </c>
      <c r="D7272" s="2" t="s">
        <v>29462</v>
      </c>
      <c r="E7272" s="2" t="s">
        <v>29463</v>
      </c>
      <c r="F7272" s="2" t="b">
        <v>1</v>
      </c>
      <c r="G7272" s="2" t="b">
        <v>0</v>
      </c>
      <c r="H7272" s="2" t="s">
        <v>37</v>
      </c>
      <c r="I7272" s="2" t="s">
        <v>22</v>
      </c>
      <c r="J7272" s="2" t="s">
        <v>23421</v>
      </c>
      <c r="K7272" s="2" t="s">
        <v>495</v>
      </c>
      <c r="L7272" s="13" t="s">
        <v>496</v>
      </c>
      <c r="M7272" s="2" t="s">
        <v>26</v>
      </c>
      <c r="N7272" s="29"/>
      <c r="O7272" s="29"/>
      <c r="P7272" s="5" t="str">
        <f>IFERROR(__xludf.DUMMYFUNCTION("TEXTJOIN("" | "",TRUE,IF(OR(D7272="""",E7272="""",I7272="""",J7272="""",H7272=""""),""ফাঁকা ঘর"",""""),IF(AND(C7272&lt;&gt;"""",D7272&lt;&gt;"""",C7272=D7272),""gloss=figurative"",""""),IF(LEN(D7272)&lt;15,""figurative ছোট"",""""),IF(AND(I7272=""Positive"",REGEXMATCH(H7"&amp;"272,""মূর্খ|ভণ্ড|প্রতার|অলস|লোভ|স্বার্থ|অক্ষম|অযোগ্য|বোকা|কৃপণ|হিংস"")),""valence-target অমিল"",""""),IF(COUNTIF($B:$B,B7272)&gt;1,""ডুপ্লিকেট"",""""))"),"")</f>
        <v/>
      </c>
      <c r="Q7272" s="5" t="str">
        <f t="shared" si="1"/>
        <v>২ পরে</v>
      </c>
    </row>
    <row r="7273">
      <c r="A7273" s="4">
        <v>5459.0</v>
      </c>
      <c r="B7273" s="2" t="s">
        <v>29464</v>
      </c>
      <c r="C7273" s="2" t="s">
        <v>29465</v>
      </c>
      <c r="D7273" s="2" t="s">
        <v>29466</v>
      </c>
      <c r="E7273" s="2" t="s">
        <v>29467</v>
      </c>
      <c r="F7273" s="2" t="b">
        <v>1</v>
      </c>
      <c r="G7273" s="2" t="b">
        <v>0</v>
      </c>
      <c r="H7273" s="2" t="s">
        <v>37</v>
      </c>
      <c r="I7273" s="2" t="s">
        <v>22</v>
      </c>
      <c r="J7273" s="2" t="s">
        <v>3585</v>
      </c>
      <c r="K7273" s="2" t="s">
        <v>495</v>
      </c>
      <c r="L7273" s="13" t="s">
        <v>496</v>
      </c>
      <c r="M7273" s="2" t="s">
        <v>26</v>
      </c>
      <c r="N7273" s="29"/>
      <c r="O7273" s="29"/>
      <c r="P7273" s="5" t="str">
        <f>IFERROR(__xludf.DUMMYFUNCTION("TEXTJOIN("" | "",TRUE,IF(OR(D7273="""",E7273="""",I7273="""",J7273="""",H7273=""""),""ফাঁকা ঘর"",""""),IF(AND(C7273&lt;&gt;"""",D7273&lt;&gt;"""",C7273=D7273),""gloss=figurative"",""""),IF(LEN(D7273)&lt;15,""figurative ছোট"",""""),IF(AND(I7273=""Positive"",REGEXMATCH(H7"&amp;"273,""মূর্খ|ভণ্ড|প্রতার|অলস|লোভ|স্বার্থ|অক্ষম|অযোগ্য|বোকা|কৃপণ|হিংস"")),""valence-target অমিল"",""""),IF(COUNTIF($B:$B,B7273)&gt;1,""ডুপ্লিকেট"",""""))"),"")</f>
        <v/>
      </c>
      <c r="Q7273" s="5" t="str">
        <f t="shared" si="1"/>
        <v>২ পরে</v>
      </c>
    </row>
    <row r="7274">
      <c r="A7274" s="4">
        <v>5460.0</v>
      </c>
      <c r="B7274" s="2" t="s">
        <v>29468</v>
      </c>
      <c r="C7274" s="2" t="s">
        <v>29469</v>
      </c>
      <c r="D7274" s="2" t="s">
        <v>29470</v>
      </c>
      <c r="E7274" s="2" t="s">
        <v>29471</v>
      </c>
      <c r="F7274" s="2" t="b">
        <v>1</v>
      </c>
      <c r="G7274" s="2" t="b">
        <v>0</v>
      </c>
      <c r="H7274" s="2" t="s">
        <v>37</v>
      </c>
      <c r="I7274" s="2" t="s">
        <v>22</v>
      </c>
      <c r="J7274" s="2" t="s">
        <v>29472</v>
      </c>
      <c r="K7274" s="2" t="s">
        <v>495</v>
      </c>
      <c r="L7274" s="13" t="s">
        <v>496</v>
      </c>
      <c r="M7274" s="2" t="s">
        <v>26</v>
      </c>
      <c r="N7274" s="29"/>
      <c r="O7274" s="29"/>
      <c r="P7274" s="5" t="str">
        <f>IFERROR(__xludf.DUMMYFUNCTION("TEXTJOIN("" | "",TRUE,IF(OR(D7274="""",E7274="""",I7274="""",J7274="""",H7274=""""),""ফাঁকা ঘর"",""""),IF(AND(C7274&lt;&gt;"""",D7274&lt;&gt;"""",C7274=D7274),""gloss=figurative"",""""),IF(LEN(D7274)&lt;15,""figurative ছোট"",""""),IF(AND(I7274=""Positive"",REGEXMATCH(H7"&amp;"274,""মূর্খ|ভণ্ড|প্রতার|অলস|লোভ|স্বার্থ|অক্ষম|অযোগ্য|বোকা|কৃপণ|হিংস"")),""valence-target অমিল"",""""),IF(COUNTIF($B:$B,B7274)&gt;1,""ডুপ্লিকেট"",""""))"),"")</f>
        <v/>
      </c>
      <c r="Q7274" s="5" t="str">
        <f t="shared" si="1"/>
        <v>২ পরে</v>
      </c>
    </row>
    <row r="7275">
      <c r="A7275" s="4">
        <v>5461.0</v>
      </c>
      <c r="B7275" s="2" t="s">
        <v>29473</v>
      </c>
      <c r="C7275" s="2" t="s">
        <v>29474</v>
      </c>
      <c r="D7275" s="2" t="s">
        <v>29475</v>
      </c>
      <c r="E7275" s="2" t="s">
        <v>29476</v>
      </c>
      <c r="F7275" s="2" t="b">
        <v>1</v>
      </c>
      <c r="G7275" s="2" t="b">
        <v>1</v>
      </c>
      <c r="H7275" s="2" t="s">
        <v>1106</v>
      </c>
      <c r="I7275" s="2" t="s">
        <v>22</v>
      </c>
      <c r="J7275" s="2" t="s">
        <v>1925</v>
      </c>
      <c r="K7275" s="2" t="s">
        <v>495</v>
      </c>
      <c r="L7275" s="13" t="s">
        <v>496</v>
      </c>
      <c r="M7275" s="2" t="s">
        <v>26</v>
      </c>
      <c r="N7275" s="29"/>
      <c r="O7275" s="29"/>
      <c r="P7275" s="5" t="str">
        <f>IFERROR(__xludf.DUMMYFUNCTION("TEXTJOIN("" | "",TRUE,IF(OR(D7275="""",E7275="""",I7275="""",J7275="""",H7275=""""),""ফাঁকা ঘর"",""""),IF(AND(C7275&lt;&gt;"""",D7275&lt;&gt;"""",C7275=D7275),""gloss=figurative"",""""),IF(LEN(D7275)&lt;15,""figurative ছোট"",""""),IF(AND(I7275=""Positive"",REGEXMATCH(H7"&amp;"275,""মূর্খ|ভণ্ড|প্রতার|অলস|লোভ|স্বার্থ|অক্ষম|অযোগ্য|বোকা|কৃপণ|হিংস"")),""valence-target অমিল"",""""),IF(COUNTIF($B:$B,B7275)&gt;1,""ডুপ্লিকেট"",""""))"),"")</f>
        <v/>
      </c>
      <c r="Q7275" s="5" t="str">
        <f t="shared" si="1"/>
        <v>২ পরে</v>
      </c>
    </row>
    <row r="7276">
      <c r="A7276" s="4">
        <v>5462.0</v>
      </c>
      <c r="B7276" s="2" t="s">
        <v>29477</v>
      </c>
      <c r="C7276" s="2" t="s">
        <v>29478</v>
      </c>
      <c r="D7276" s="2" t="s">
        <v>29479</v>
      </c>
      <c r="E7276" s="2" t="s">
        <v>29480</v>
      </c>
      <c r="F7276" s="2" t="b">
        <v>1</v>
      </c>
      <c r="G7276" s="2" t="b">
        <v>0</v>
      </c>
      <c r="H7276" s="2" t="s">
        <v>37</v>
      </c>
      <c r="I7276" s="2" t="s">
        <v>32</v>
      </c>
      <c r="J7276" s="2" t="s">
        <v>766</v>
      </c>
      <c r="K7276" s="2" t="s">
        <v>495</v>
      </c>
      <c r="L7276" s="13" t="s">
        <v>496</v>
      </c>
      <c r="M7276" s="2" t="s">
        <v>26</v>
      </c>
      <c r="N7276" s="29"/>
      <c r="O7276" s="29"/>
      <c r="P7276" s="5" t="str">
        <f>IFERROR(__xludf.DUMMYFUNCTION("TEXTJOIN("" | "",TRUE,IF(OR(D7276="""",E7276="""",I7276="""",J7276="""",H7276=""""),""ফাঁকা ঘর"",""""),IF(AND(C7276&lt;&gt;"""",D7276&lt;&gt;"""",C7276=D7276),""gloss=figurative"",""""),IF(LEN(D7276)&lt;15,""figurative ছোট"",""""),IF(AND(I7276=""Positive"",REGEXMATCH(H7"&amp;"276,""মূর্খ|ভণ্ড|প্রতার|অলস|লোভ|স্বার্থ|অক্ষম|অযোগ্য|বোকা|কৃপণ|হিংস"")),""valence-target অমিল"",""""),IF(COUNTIF($B:$B,B7276)&gt;1,""ডুপ্লিকেট"",""""))"),"")</f>
        <v/>
      </c>
      <c r="Q7276" s="5" t="str">
        <f t="shared" si="1"/>
        <v>২ পরে</v>
      </c>
    </row>
    <row r="7277">
      <c r="A7277" s="4">
        <v>5463.0</v>
      </c>
      <c r="B7277" s="2" t="s">
        <v>29481</v>
      </c>
      <c r="C7277" s="2" t="s">
        <v>29482</v>
      </c>
      <c r="D7277" s="2" t="s">
        <v>29483</v>
      </c>
      <c r="E7277" s="2" t="s">
        <v>29484</v>
      </c>
      <c r="F7277" s="2" t="b">
        <v>1</v>
      </c>
      <c r="G7277" s="2" t="b">
        <v>0</v>
      </c>
      <c r="H7277" s="2" t="s">
        <v>37</v>
      </c>
      <c r="I7277" s="2" t="s">
        <v>49</v>
      </c>
      <c r="J7277" s="2" t="s">
        <v>3506</v>
      </c>
      <c r="K7277" s="2" t="s">
        <v>495</v>
      </c>
      <c r="L7277" s="13" t="s">
        <v>496</v>
      </c>
      <c r="M7277" s="2" t="s">
        <v>26</v>
      </c>
      <c r="N7277" s="29"/>
      <c r="O7277" s="29"/>
      <c r="P7277" s="5" t="str">
        <f>IFERROR(__xludf.DUMMYFUNCTION("TEXTJOIN("" | "",TRUE,IF(OR(D7277="""",E7277="""",I7277="""",J7277="""",H7277=""""),""ফাঁকা ঘর"",""""),IF(AND(C7277&lt;&gt;"""",D7277&lt;&gt;"""",C7277=D7277),""gloss=figurative"",""""),IF(LEN(D7277)&lt;15,""figurative ছোট"",""""),IF(AND(I7277=""Positive"",REGEXMATCH(H7"&amp;"277,""মূর্খ|ভণ্ড|প্রতার|অলস|লোভ|স্বার্থ|অক্ষম|অযোগ্য|বোকা|কৃপণ|হিংস"")),""valence-target অমিল"",""""),IF(COUNTIF($B:$B,B7277)&gt;1,""ডুপ্লিকেট"",""""))"),"")</f>
        <v/>
      </c>
      <c r="Q7277" s="5" t="str">
        <f t="shared" si="1"/>
        <v>২ পরে</v>
      </c>
    </row>
    <row r="7278">
      <c r="A7278" s="4">
        <v>5464.0</v>
      </c>
      <c r="B7278" s="2" t="s">
        <v>29485</v>
      </c>
      <c r="C7278" s="2" t="s">
        <v>29486</v>
      </c>
      <c r="D7278" s="2" t="s">
        <v>29487</v>
      </c>
      <c r="E7278" s="2" t="s">
        <v>29488</v>
      </c>
      <c r="F7278" s="2" t="b">
        <v>1</v>
      </c>
      <c r="G7278" s="2" t="b">
        <v>0</v>
      </c>
      <c r="H7278" s="2" t="s">
        <v>37</v>
      </c>
      <c r="I7278" s="2" t="s">
        <v>49</v>
      </c>
      <c r="J7278" s="2" t="s">
        <v>3506</v>
      </c>
      <c r="K7278" s="2" t="s">
        <v>495</v>
      </c>
      <c r="L7278" s="13" t="s">
        <v>496</v>
      </c>
      <c r="M7278" s="2" t="s">
        <v>26</v>
      </c>
      <c r="N7278" s="29"/>
      <c r="O7278" s="29"/>
      <c r="P7278" s="5" t="str">
        <f>IFERROR(__xludf.DUMMYFUNCTION("TEXTJOIN("" | "",TRUE,IF(OR(D7278="""",E7278="""",I7278="""",J7278="""",H7278=""""),""ফাঁকা ঘর"",""""),IF(AND(C7278&lt;&gt;"""",D7278&lt;&gt;"""",C7278=D7278),""gloss=figurative"",""""),IF(LEN(D7278)&lt;15,""figurative ছোট"",""""),IF(AND(I7278=""Positive"",REGEXMATCH(H7"&amp;"278,""মূর্খ|ভণ্ড|প্রতার|অলস|লোভ|স্বার্থ|অক্ষম|অযোগ্য|বোকা|কৃপণ|হিংস"")),""valence-target অমিল"",""""),IF(COUNTIF($B:$B,B7278)&gt;1,""ডুপ্লিকেট"",""""))"),"")</f>
        <v/>
      </c>
      <c r="Q7278" s="5" t="str">
        <f t="shared" si="1"/>
        <v>২ পরে</v>
      </c>
    </row>
    <row r="7279">
      <c r="A7279" s="4">
        <v>5466.0</v>
      </c>
      <c r="B7279" s="2" t="s">
        <v>29489</v>
      </c>
      <c r="C7279" s="2" t="s">
        <v>29490</v>
      </c>
      <c r="D7279" s="2" t="s">
        <v>29491</v>
      </c>
      <c r="E7279" s="2" t="s">
        <v>29492</v>
      </c>
      <c r="F7279" s="2" t="b">
        <v>1</v>
      </c>
      <c r="G7279" s="2" t="b">
        <v>0</v>
      </c>
      <c r="H7279" s="2" t="s">
        <v>37</v>
      </c>
      <c r="I7279" s="2" t="s">
        <v>22</v>
      </c>
      <c r="J7279" s="2" t="s">
        <v>2122</v>
      </c>
      <c r="K7279" s="2" t="s">
        <v>495</v>
      </c>
      <c r="L7279" s="13" t="s">
        <v>496</v>
      </c>
      <c r="M7279" s="2" t="s">
        <v>26</v>
      </c>
      <c r="N7279" s="29"/>
      <c r="O7279" s="29"/>
      <c r="P7279" s="5" t="str">
        <f>IFERROR(__xludf.DUMMYFUNCTION("TEXTJOIN("" | "",TRUE,IF(OR(D7279="""",E7279="""",I7279="""",J7279="""",H7279=""""),""ফাঁকা ঘর"",""""),IF(AND(C7279&lt;&gt;"""",D7279&lt;&gt;"""",C7279=D7279),""gloss=figurative"",""""),IF(LEN(D7279)&lt;15,""figurative ছোট"",""""),IF(AND(I7279=""Positive"",REGEXMATCH(H7"&amp;"279,""মূর্খ|ভণ্ড|প্রতার|অলস|লোভ|স্বার্থ|অক্ষম|অযোগ্য|বোকা|কৃপণ|হিংস"")),""valence-target অমিল"",""""),IF(COUNTIF($B:$B,B7279)&gt;1,""ডুপ্লিকেট"",""""))"),"")</f>
        <v/>
      </c>
      <c r="Q7279" s="5" t="str">
        <f t="shared" si="1"/>
        <v>২ পরে</v>
      </c>
    </row>
    <row r="7280">
      <c r="A7280" s="4">
        <v>5467.0</v>
      </c>
      <c r="B7280" s="2" t="s">
        <v>29493</v>
      </c>
      <c r="C7280" s="2" t="s">
        <v>29494</v>
      </c>
      <c r="D7280" s="2" t="s">
        <v>29495</v>
      </c>
      <c r="E7280" s="2" t="s">
        <v>29496</v>
      </c>
      <c r="F7280" s="2" t="b">
        <v>1</v>
      </c>
      <c r="G7280" s="2" t="b">
        <v>0</v>
      </c>
      <c r="H7280" s="2" t="s">
        <v>1188</v>
      </c>
      <c r="I7280" s="2" t="s">
        <v>22</v>
      </c>
      <c r="J7280" s="2" t="s">
        <v>4112</v>
      </c>
      <c r="K7280" s="2" t="s">
        <v>495</v>
      </c>
      <c r="L7280" s="13" t="s">
        <v>496</v>
      </c>
      <c r="M7280" s="2" t="s">
        <v>26</v>
      </c>
      <c r="N7280" s="29"/>
      <c r="O7280" s="29"/>
      <c r="P7280" s="5" t="str">
        <f>IFERROR(__xludf.DUMMYFUNCTION("TEXTJOIN("" | "",TRUE,IF(OR(D7280="""",E7280="""",I7280="""",J7280="""",H7280=""""),""ফাঁকা ঘর"",""""),IF(AND(C7280&lt;&gt;"""",D7280&lt;&gt;"""",C7280=D7280),""gloss=figurative"",""""),IF(LEN(D7280)&lt;15,""figurative ছোট"",""""),IF(AND(I7280=""Positive"",REGEXMATCH(H7"&amp;"280,""মূর্খ|ভণ্ড|প্রতার|অলস|লোভ|স্বার্থ|অক্ষম|অযোগ্য|বোকা|কৃপণ|হিংস"")),""valence-target অমিল"",""""),IF(COUNTIF($B:$B,B7280)&gt;1,""ডুপ্লিকেট"",""""))"),"")</f>
        <v/>
      </c>
      <c r="Q7280" s="5" t="str">
        <f t="shared" si="1"/>
        <v>২ পরে</v>
      </c>
    </row>
    <row r="7281">
      <c r="A7281" s="4">
        <v>5468.0</v>
      </c>
      <c r="B7281" s="2" t="s">
        <v>29497</v>
      </c>
      <c r="C7281" s="2" t="s">
        <v>29498</v>
      </c>
      <c r="D7281" s="2" t="s">
        <v>29499</v>
      </c>
      <c r="E7281" s="2" t="s">
        <v>29500</v>
      </c>
      <c r="F7281" s="2" t="b">
        <v>1</v>
      </c>
      <c r="G7281" s="2" t="b">
        <v>0</v>
      </c>
      <c r="H7281" s="2" t="s">
        <v>1188</v>
      </c>
      <c r="I7281" s="2" t="s">
        <v>22</v>
      </c>
      <c r="J7281" s="2" t="s">
        <v>640</v>
      </c>
      <c r="K7281" s="2" t="s">
        <v>495</v>
      </c>
      <c r="L7281" s="13" t="s">
        <v>496</v>
      </c>
      <c r="M7281" s="2" t="s">
        <v>26</v>
      </c>
      <c r="N7281" s="29"/>
      <c r="O7281" s="29"/>
      <c r="P7281" s="5" t="str">
        <f>IFERROR(__xludf.DUMMYFUNCTION("TEXTJOIN("" | "",TRUE,IF(OR(D7281="""",E7281="""",I7281="""",J7281="""",H7281=""""),""ফাঁকা ঘর"",""""),IF(AND(C7281&lt;&gt;"""",D7281&lt;&gt;"""",C7281=D7281),""gloss=figurative"",""""),IF(LEN(D7281)&lt;15,""figurative ছোট"",""""),IF(AND(I7281=""Positive"",REGEXMATCH(H7"&amp;"281,""মূর্খ|ভণ্ড|প্রতার|অলস|লোভ|স্বার্থ|অক্ষম|অযোগ্য|বোকা|কৃপণ|হিংস"")),""valence-target অমিল"",""""),IF(COUNTIF($B:$B,B7281)&gt;1,""ডুপ্লিকেট"",""""))"),"")</f>
        <v/>
      </c>
      <c r="Q7281" s="5" t="str">
        <f t="shared" si="1"/>
        <v>২ পরে</v>
      </c>
    </row>
    <row r="7282">
      <c r="A7282" s="4">
        <v>5469.0</v>
      </c>
      <c r="B7282" s="2" t="s">
        <v>29501</v>
      </c>
      <c r="C7282" s="2" t="s">
        <v>29502</v>
      </c>
      <c r="D7282" s="2" t="s">
        <v>29503</v>
      </c>
      <c r="E7282" s="2" t="s">
        <v>29504</v>
      </c>
      <c r="F7282" s="2" t="b">
        <v>1</v>
      </c>
      <c r="G7282" s="2" t="b">
        <v>0</v>
      </c>
      <c r="H7282" s="2" t="s">
        <v>37</v>
      </c>
      <c r="I7282" s="2" t="s">
        <v>22</v>
      </c>
      <c r="J7282" s="2" t="s">
        <v>565</v>
      </c>
      <c r="K7282" s="2" t="s">
        <v>495</v>
      </c>
      <c r="L7282" s="13" t="s">
        <v>496</v>
      </c>
      <c r="M7282" s="2" t="s">
        <v>26</v>
      </c>
      <c r="N7282" s="29"/>
      <c r="O7282" s="29"/>
      <c r="P7282" s="5" t="str">
        <f>IFERROR(__xludf.DUMMYFUNCTION("TEXTJOIN("" | "",TRUE,IF(OR(D7282="""",E7282="""",I7282="""",J7282="""",H7282=""""),""ফাঁকা ঘর"",""""),IF(AND(C7282&lt;&gt;"""",D7282&lt;&gt;"""",C7282=D7282),""gloss=figurative"",""""),IF(LEN(D7282)&lt;15,""figurative ছোট"",""""),IF(AND(I7282=""Positive"",REGEXMATCH(H7"&amp;"282,""মূর্খ|ভণ্ড|প্রতার|অলস|লোভ|স্বার্থ|অক্ষম|অযোগ্য|বোকা|কৃপণ|হিংস"")),""valence-target অমিল"",""""),IF(COUNTIF($B:$B,B7282)&gt;1,""ডুপ্লিকেট"",""""))"),"")</f>
        <v/>
      </c>
      <c r="Q7282" s="5" t="str">
        <f t="shared" si="1"/>
        <v>২ পরে</v>
      </c>
    </row>
    <row r="7283">
      <c r="A7283" s="4">
        <v>5470.0</v>
      </c>
      <c r="B7283" s="2" t="s">
        <v>29505</v>
      </c>
      <c r="C7283" s="2" t="s">
        <v>29506</v>
      </c>
      <c r="D7283" s="2" t="s">
        <v>29507</v>
      </c>
      <c r="E7283" s="2" t="s">
        <v>29508</v>
      </c>
      <c r="F7283" s="2" t="b">
        <v>1</v>
      </c>
      <c r="G7283" s="2" t="b">
        <v>0</v>
      </c>
      <c r="H7283" s="2" t="s">
        <v>5283</v>
      </c>
      <c r="I7283" s="2" t="s">
        <v>49</v>
      </c>
      <c r="J7283" s="2" t="s">
        <v>1254</v>
      </c>
      <c r="K7283" s="2" t="s">
        <v>495</v>
      </c>
      <c r="L7283" s="13" t="s">
        <v>496</v>
      </c>
      <c r="M7283" s="2" t="s">
        <v>26</v>
      </c>
      <c r="N7283" s="29"/>
      <c r="O7283" s="29"/>
      <c r="P7283" s="5" t="str">
        <f>IFERROR(__xludf.DUMMYFUNCTION("TEXTJOIN("" | "",TRUE,IF(OR(D7283="""",E7283="""",I7283="""",J7283="""",H7283=""""),""ফাঁকা ঘর"",""""),IF(AND(C7283&lt;&gt;"""",D7283&lt;&gt;"""",C7283=D7283),""gloss=figurative"",""""),IF(LEN(D7283)&lt;15,""figurative ছোট"",""""),IF(AND(I7283=""Positive"",REGEXMATCH(H7"&amp;"283,""মূর্খ|ভণ্ড|প্রতার|অলস|লোভ|স্বার্থ|অক্ষম|অযোগ্য|বোকা|কৃপণ|হিংস"")),""valence-target অমিল"",""""),IF(COUNTIF($B:$B,B7283)&gt;1,""ডুপ্লিকেট"",""""))"),"")</f>
        <v/>
      </c>
      <c r="Q7283" s="5" t="str">
        <f t="shared" si="1"/>
        <v>২ পরে</v>
      </c>
    </row>
    <row r="7284">
      <c r="A7284" s="4">
        <v>5471.0</v>
      </c>
      <c r="B7284" s="2" t="s">
        <v>29509</v>
      </c>
      <c r="C7284" s="2" t="s">
        <v>29510</v>
      </c>
      <c r="D7284" s="2" t="s">
        <v>29511</v>
      </c>
      <c r="E7284" s="2" t="s">
        <v>29512</v>
      </c>
      <c r="F7284" s="2" t="b">
        <v>1</v>
      </c>
      <c r="G7284" s="2" t="b">
        <v>0</v>
      </c>
      <c r="H7284" s="2" t="s">
        <v>5283</v>
      </c>
      <c r="I7284" s="2" t="s">
        <v>22</v>
      </c>
      <c r="J7284" s="2" t="s">
        <v>1686</v>
      </c>
      <c r="K7284" s="2" t="s">
        <v>495</v>
      </c>
      <c r="L7284" s="13" t="s">
        <v>496</v>
      </c>
      <c r="M7284" s="2" t="s">
        <v>26</v>
      </c>
      <c r="N7284" s="29"/>
      <c r="O7284" s="29"/>
      <c r="P7284" s="5" t="str">
        <f>IFERROR(__xludf.DUMMYFUNCTION("TEXTJOIN("" | "",TRUE,IF(OR(D7284="""",E7284="""",I7284="""",J7284="""",H7284=""""),""ফাঁকা ঘর"",""""),IF(AND(C7284&lt;&gt;"""",D7284&lt;&gt;"""",C7284=D7284),""gloss=figurative"",""""),IF(LEN(D7284)&lt;15,""figurative ছোট"",""""),IF(AND(I7284=""Positive"",REGEXMATCH(H7"&amp;"284,""মূর্খ|ভণ্ড|প্রতার|অলস|লোভ|স্বার্থ|অক্ষম|অযোগ্য|বোকা|কৃপণ|হিংস"")),""valence-target অমিল"",""""),IF(COUNTIF($B:$B,B7284)&gt;1,""ডুপ্লিকেট"",""""))"),"")</f>
        <v/>
      </c>
      <c r="Q7284" s="5" t="str">
        <f t="shared" si="1"/>
        <v>২ পরে</v>
      </c>
    </row>
    <row r="7285">
      <c r="A7285" s="4">
        <v>5472.0</v>
      </c>
      <c r="B7285" s="2" t="s">
        <v>29513</v>
      </c>
      <c r="C7285" s="2" t="s">
        <v>29514</v>
      </c>
      <c r="D7285" s="2" t="s">
        <v>29515</v>
      </c>
      <c r="E7285" s="2" t="s">
        <v>29516</v>
      </c>
      <c r="F7285" s="2" t="b">
        <v>1</v>
      </c>
      <c r="G7285" s="2" t="b">
        <v>0</v>
      </c>
      <c r="H7285" s="2" t="s">
        <v>37</v>
      </c>
      <c r="I7285" s="2" t="s">
        <v>49</v>
      </c>
      <c r="J7285" s="2" t="s">
        <v>1018</v>
      </c>
      <c r="K7285" s="2" t="s">
        <v>495</v>
      </c>
      <c r="L7285" s="13" t="s">
        <v>496</v>
      </c>
      <c r="M7285" s="2" t="s">
        <v>26</v>
      </c>
      <c r="N7285" s="29"/>
      <c r="O7285" s="29"/>
      <c r="P7285" s="5" t="str">
        <f>IFERROR(__xludf.DUMMYFUNCTION("TEXTJOIN("" | "",TRUE,IF(OR(D7285="""",E7285="""",I7285="""",J7285="""",H7285=""""),""ফাঁকা ঘর"",""""),IF(AND(C7285&lt;&gt;"""",D7285&lt;&gt;"""",C7285=D7285),""gloss=figurative"",""""),IF(LEN(D7285)&lt;15,""figurative ছোট"",""""),IF(AND(I7285=""Positive"",REGEXMATCH(H7"&amp;"285,""মূর্খ|ভণ্ড|প্রতার|অলস|লোভ|স্বার্থ|অক্ষম|অযোগ্য|বোকা|কৃপণ|হিংস"")),""valence-target অমিল"",""""),IF(COUNTIF($B:$B,B7285)&gt;1,""ডুপ্লিকেট"",""""))"),"")</f>
        <v/>
      </c>
      <c r="Q7285" s="5" t="str">
        <f t="shared" si="1"/>
        <v>২ পরে</v>
      </c>
    </row>
    <row r="7286">
      <c r="A7286" s="4">
        <v>5473.0</v>
      </c>
      <c r="B7286" s="2" t="s">
        <v>29517</v>
      </c>
      <c r="C7286" s="2" t="s">
        <v>29518</v>
      </c>
      <c r="D7286" s="2" t="s">
        <v>29207</v>
      </c>
      <c r="E7286" s="2" t="s">
        <v>29519</v>
      </c>
      <c r="F7286" s="2" t="b">
        <v>1</v>
      </c>
      <c r="G7286" s="2" t="b">
        <v>0</v>
      </c>
      <c r="H7286" s="2" t="s">
        <v>37</v>
      </c>
      <c r="I7286" s="2" t="s">
        <v>32</v>
      </c>
      <c r="J7286" s="2" t="s">
        <v>913</v>
      </c>
      <c r="K7286" s="2" t="s">
        <v>495</v>
      </c>
      <c r="L7286" s="13" t="s">
        <v>496</v>
      </c>
      <c r="M7286" s="2" t="s">
        <v>26</v>
      </c>
      <c r="N7286" s="29"/>
      <c r="O7286" s="29"/>
      <c r="P7286" s="5" t="str">
        <f>IFERROR(__xludf.DUMMYFUNCTION("TEXTJOIN("" | "",TRUE,IF(OR(D7286="""",E7286="""",I7286="""",J7286="""",H7286=""""),""ফাঁকা ঘর"",""""),IF(AND(C7286&lt;&gt;"""",D7286&lt;&gt;"""",C7286=D7286),""gloss=figurative"",""""),IF(LEN(D7286)&lt;15,""figurative ছোট"",""""),IF(AND(I7286=""Positive"",REGEXMATCH(H7"&amp;"286,""মূর্খ|ভণ্ড|প্রতার|অলস|লোভ|স্বার্থ|অক্ষম|অযোগ্য|বোকা|কৃপণ|হিংস"")),""valence-target অমিল"",""""),IF(COUNTIF($B:$B,B7286)&gt;1,""ডুপ্লিকেট"",""""))"),"")</f>
        <v/>
      </c>
      <c r="Q7286" s="5" t="str">
        <f t="shared" si="1"/>
        <v>২ পরে</v>
      </c>
    </row>
    <row r="7287">
      <c r="A7287" s="4">
        <v>5475.0</v>
      </c>
      <c r="B7287" s="2" t="s">
        <v>29520</v>
      </c>
      <c r="C7287" s="2" t="s">
        <v>29521</v>
      </c>
      <c r="D7287" s="2" t="s">
        <v>29522</v>
      </c>
      <c r="E7287" s="2" t="s">
        <v>29523</v>
      </c>
      <c r="F7287" s="2" t="b">
        <v>1</v>
      </c>
      <c r="G7287" s="2" t="b">
        <v>0</v>
      </c>
      <c r="H7287" s="2" t="s">
        <v>37</v>
      </c>
      <c r="I7287" s="2" t="s">
        <v>22</v>
      </c>
      <c r="J7287" s="2" t="s">
        <v>7857</v>
      </c>
      <c r="K7287" s="2" t="s">
        <v>495</v>
      </c>
      <c r="L7287" s="13" t="s">
        <v>496</v>
      </c>
      <c r="M7287" s="2" t="s">
        <v>26</v>
      </c>
      <c r="N7287" s="29"/>
      <c r="O7287" s="29"/>
      <c r="P7287" s="5" t="str">
        <f>IFERROR(__xludf.DUMMYFUNCTION("TEXTJOIN("" | "",TRUE,IF(OR(D7287="""",E7287="""",I7287="""",J7287="""",H7287=""""),""ফাঁকা ঘর"",""""),IF(AND(C7287&lt;&gt;"""",D7287&lt;&gt;"""",C7287=D7287),""gloss=figurative"",""""),IF(LEN(D7287)&lt;15,""figurative ছোট"",""""),IF(AND(I7287=""Positive"",REGEXMATCH(H7"&amp;"287,""মূর্খ|ভণ্ড|প্রতার|অলস|লোভ|স্বার্থ|অক্ষম|অযোগ্য|বোকা|কৃপণ|হিংস"")),""valence-target অমিল"",""""),IF(COUNTIF($B:$B,B7287)&gt;1,""ডুপ্লিকেট"",""""))"),"")</f>
        <v/>
      </c>
      <c r="Q7287" s="5" t="str">
        <f t="shared" si="1"/>
        <v>২ পরে</v>
      </c>
    </row>
    <row r="7288">
      <c r="A7288" s="4">
        <v>5476.0</v>
      </c>
      <c r="B7288" s="2" t="s">
        <v>29524</v>
      </c>
      <c r="C7288" s="2" t="s">
        <v>29524</v>
      </c>
      <c r="D7288" s="2" t="s">
        <v>29525</v>
      </c>
      <c r="E7288" s="2" t="s">
        <v>29526</v>
      </c>
      <c r="F7288" s="2" t="b">
        <v>1</v>
      </c>
      <c r="G7288" s="2" t="b">
        <v>0</v>
      </c>
      <c r="H7288" s="2" t="s">
        <v>37</v>
      </c>
      <c r="I7288" s="2" t="s">
        <v>22</v>
      </c>
      <c r="J7288" s="2" t="s">
        <v>2165</v>
      </c>
      <c r="K7288" s="2" t="s">
        <v>495</v>
      </c>
      <c r="L7288" s="13" t="s">
        <v>496</v>
      </c>
      <c r="M7288" s="2" t="s">
        <v>26</v>
      </c>
      <c r="N7288" s="29"/>
      <c r="O7288" s="29"/>
      <c r="P7288" s="5" t="str">
        <f>IFERROR(__xludf.DUMMYFUNCTION("TEXTJOIN("" | "",TRUE,IF(OR(D7288="""",E7288="""",I7288="""",J7288="""",H7288=""""),""ফাঁকা ঘর"",""""),IF(AND(C7288&lt;&gt;"""",D7288&lt;&gt;"""",C7288=D7288),""gloss=figurative"",""""),IF(LEN(D7288)&lt;15,""figurative ছোট"",""""),IF(AND(I7288=""Positive"",REGEXMATCH(H7"&amp;"288,""মূর্খ|ভণ্ড|প্রতার|অলস|লোভ|স্বার্থ|অক্ষম|অযোগ্য|বোকা|কৃপণ|হিংস"")),""valence-target অমিল"",""""),IF(COUNTIF($B:$B,B7288)&gt;1,""ডুপ্লিকেট"",""""))"),"")</f>
        <v/>
      </c>
      <c r="Q7288" s="5" t="str">
        <f t="shared" si="1"/>
        <v>২ পরে</v>
      </c>
    </row>
    <row r="7289">
      <c r="A7289" s="4">
        <v>5478.0</v>
      </c>
      <c r="B7289" s="2" t="s">
        <v>29527</v>
      </c>
      <c r="C7289" s="2" t="s">
        <v>29527</v>
      </c>
      <c r="D7289" s="2" t="s">
        <v>29528</v>
      </c>
      <c r="E7289" s="2" t="s">
        <v>29529</v>
      </c>
      <c r="F7289" s="2" t="b">
        <v>1</v>
      </c>
      <c r="G7289" s="2" t="b">
        <v>0</v>
      </c>
      <c r="H7289" s="2" t="s">
        <v>37</v>
      </c>
      <c r="I7289" s="2" t="s">
        <v>22</v>
      </c>
      <c r="J7289" s="2" t="s">
        <v>2140</v>
      </c>
      <c r="K7289" s="2" t="s">
        <v>495</v>
      </c>
      <c r="L7289" s="13" t="s">
        <v>496</v>
      </c>
      <c r="M7289" s="2" t="s">
        <v>26</v>
      </c>
      <c r="N7289" s="29"/>
      <c r="O7289" s="29"/>
      <c r="P7289" s="5" t="str">
        <f>IFERROR(__xludf.DUMMYFUNCTION("TEXTJOIN("" | "",TRUE,IF(OR(D7289="""",E7289="""",I7289="""",J7289="""",H7289=""""),""ফাঁকা ঘর"",""""),IF(AND(C7289&lt;&gt;"""",D7289&lt;&gt;"""",C7289=D7289),""gloss=figurative"",""""),IF(LEN(D7289)&lt;15,""figurative ছোট"",""""),IF(AND(I7289=""Positive"",REGEXMATCH(H7"&amp;"289,""মূর্খ|ভণ্ড|প্রতার|অলস|লোভ|স্বার্থ|অক্ষম|অযোগ্য|বোকা|কৃপণ|হিংস"")),""valence-target অমিল"",""""),IF(COUNTIF($B:$B,B7289)&gt;1,""ডুপ্লিকেট"",""""))"),"")</f>
        <v/>
      </c>
      <c r="Q7289" s="5" t="str">
        <f t="shared" si="1"/>
        <v>২ পরে</v>
      </c>
    </row>
    <row r="7290">
      <c r="A7290" s="4">
        <v>5479.0</v>
      </c>
      <c r="B7290" s="2" t="s">
        <v>29530</v>
      </c>
      <c r="C7290" s="2" t="s">
        <v>29530</v>
      </c>
      <c r="D7290" s="2" t="s">
        <v>29531</v>
      </c>
      <c r="E7290" s="2" t="s">
        <v>29532</v>
      </c>
      <c r="F7290" s="2" t="b">
        <v>1</v>
      </c>
      <c r="G7290" s="2" t="b">
        <v>0</v>
      </c>
      <c r="H7290" s="2" t="s">
        <v>37</v>
      </c>
      <c r="I7290" s="2" t="s">
        <v>22</v>
      </c>
      <c r="J7290" s="2" t="s">
        <v>1934</v>
      </c>
      <c r="K7290" s="2" t="s">
        <v>495</v>
      </c>
      <c r="L7290" s="13" t="s">
        <v>496</v>
      </c>
      <c r="M7290" s="2" t="s">
        <v>26</v>
      </c>
      <c r="N7290" s="29"/>
      <c r="O7290" s="29"/>
      <c r="P7290" s="5" t="str">
        <f>IFERROR(__xludf.DUMMYFUNCTION("TEXTJOIN("" | "",TRUE,IF(OR(D7290="""",E7290="""",I7290="""",J7290="""",H7290=""""),""ফাঁকা ঘর"",""""),IF(AND(C7290&lt;&gt;"""",D7290&lt;&gt;"""",C7290=D7290),""gloss=figurative"",""""),IF(LEN(D7290)&lt;15,""figurative ছোট"",""""),IF(AND(I7290=""Positive"",REGEXMATCH(H7"&amp;"290,""মূর্খ|ভণ্ড|প্রতার|অলস|লোভ|স্বার্থ|অক্ষম|অযোগ্য|বোকা|কৃপণ|হিংস"")),""valence-target অমিল"",""""),IF(COUNTIF($B:$B,B7290)&gt;1,""ডুপ্লিকেট"",""""))"),"")</f>
        <v/>
      </c>
      <c r="Q7290" s="5" t="str">
        <f t="shared" si="1"/>
        <v>২ পরে</v>
      </c>
    </row>
    <row r="7291">
      <c r="A7291" s="4">
        <v>5480.0</v>
      </c>
      <c r="B7291" s="2" t="s">
        <v>29533</v>
      </c>
      <c r="C7291" s="2" t="s">
        <v>29534</v>
      </c>
      <c r="D7291" s="2" t="s">
        <v>29535</v>
      </c>
      <c r="E7291" s="2" t="s">
        <v>29536</v>
      </c>
      <c r="F7291" s="2" t="b">
        <v>1</v>
      </c>
      <c r="G7291" s="2" t="b">
        <v>0</v>
      </c>
      <c r="H7291" s="2" t="s">
        <v>37</v>
      </c>
      <c r="I7291" s="2" t="s">
        <v>22</v>
      </c>
      <c r="J7291" s="2" t="s">
        <v>1397</v>
      </c>
      <c r="K7291" s="2" t="s">
        <v>495</v>
      </c>
      <c r="L7291" s="13" t="s">
        <v>496</v>
      </c>
      <c r="M7291" s="2" t="s">
        <v>26</v>
      </c>
      <c r="N7291" s="29"/>
      <c r="O7291" s="29"/>
      <c r="P7291" s="5" t="str">
        <f>IFERROR(__xludf.DUMMYFUNCTION("TEXTJOIN("" | "",TRUE,IF(OR(D7291="""",E7291="""",I7291="""",J7291="""",H7291=""""),""ফাঁকা ঘর"",""""),IF(AND(C7291&lt;&gt;"""",D7291&lt;&gt;"""",C7291=D7291),""gloss=figurative"",""""),IF(LEN(D7291)&lt;15,""figurative ছোট"",""""),IF(AND(I7291=""Positive"",REGEXMATCH(H7"&amp;"291,""মূর্খ|ভণ্ড|প্রতার|অলস|লোভ|স্বার্থ|অক্ষম|অযোগ্য|বোকা|কৃপণ|হিংস"")),""valence-target অমিল"",""""),IF(COUNTIF($B:$B,B7291)&gt;1,""ডুপ্লিকেট"",""""))"),"")</f>
        <v/>
      </c>
      <c r="Q7291" s="5" t="str">
        <f t="shared" si="1"/>
        <v>২ পরে</v>
      </c>
    </row>
    <row r="7292">
      <c r="A7292" s="4">
        <v>5481.0</v>
      </c>
      <c r="B7292" s="2" t="s">
        <v>29537</v>
      </c>
      <c r="C7292" s="2" t="s">
        <v>29538</v>
      </c>
      <c r="D7292" s="2" t="s">
        <v>29539</v>
      </c>
      <c r="E7292" s="2" t="s">
        <v>29540</v>
      </c>
      <c r="F7292" s="2" t="b">
        <v>1</v>
      </c>
      <c r="G7292" s="2" t="b">
        <v>0</v>
      </c>
      <c r="H7292" s="2" t="s">
        <v>37</v>
      </c>
      <c r="I7292" s="2" t="s">
        <v>22</v>
      </c>
      <c r="J7292" s="2" t="s">
        <v>1038</v>
      </c>
      <c r="K7292" s="2" t="s">
        <v>495</v>
      </c>
      <c r="L7292" s="13" t="s">
        <v>496</v>
      </c>
      <c r="M7292" s="2" t="s">
        <v>26</v>
      </c>
      <c r="N7292" s="29"/>
      <c r="O7292" s="29"/>
      <c r="P7292" s="5" t="str">
        <f>IFERROR(__xludf.DUMMYFUNCTION("TEXTJOIN("" | "",TRUE,IF(OR(D7292="""",E7292="""",I7292="""",J7292="""",H7292=""""),""ফাঁকা ঘর"",""""),IF(AND(C7292&lt;&gt;"""",D7292&lt;&gt;"""",C7292=D7292),""gloss=figurative"",""""),IF(LEN(D7292)&lt;15,""figurative ছোট"",""""),IF(AND(I7292=""Positive"",REGEXMATCH(H7"&amp;"292,""মূর্খ|ভণ্ড|প্রতার|অলস|লোভ|স্বার্থ|অক্ষম|অযোগ্য|বোকা|কৃপণ|হিংস"")),""valence-target অমিল"",""""),IF(COUNTIF($B:$B,B7292)&gt;1,""ডুপ্লিকেট"",""""))"),"")</f>
        <v/>
      </c>
      <c r="Q7292" s="5" t="str">
        <f t="shared" si="1"/>
        <v>২ পরে</v>
      </c>
    </row>
    <row r="7293">
      <c r="A7293" s="4">
        <v>5482.0</v>
      </c>
      <c r="B7293" s="2" t="s">
        <v>29541</v>
      </c>
      <c r="C7293" s="2" t="s">
        <v>29541</v>
      </c>
      <c r="D7293" s="2" t="s">
        <v>29542</v>
      </c>
      <c r="E7293" s="2" t="s">
        <v>29543</v>
      </c>
      <c r="F7293" s="2" t="b">
        <v>1</v>
      </c>
      <c r="G7293" s="2" t="b">
        <v>0</v>
      </c>
      <c r="H7293" s="2" t="s">
        <v>37</v>
      </c>
      <c r="I7293" s="2" t="s">
        <v>49</v>
      </c>
      <c r="J7293" s="2" t="s">
        <v>2122</v>
      </c>
      <c r="K7293" s="2" t="s">
        <v>495</v>
      </c>
      <c r="L7293" s="13" t="s">
        <v>496</v>
      </c>
      <c r="M7293" s="2" t="s">
        <v>26</v>
      </c>
      <c r="N7293" s="29"/>
      <c r="O7293" s="29"/>
      <c r="P7293" s="5" t="str">
        <f>IFERROR(__xludf.DUMMYFUNCTION("TEXTJOIN("" | "",TRUE,IF(OR(D7293="""",E7293="""",I7293="""",J7293="""",H7293=""""),""ফাঁকা ঘর"",""""),IF(AND(C7293&lt;&gt;"""",D7293&lt;&gt;"""",C7293=D7293),""gloss=figurative"",""""),IF(LEN(D7293)&lt;15,""figurative ছোট"",""""),IF(AND(I7293=""Positive"",REGEXMATCH(H7"&amp;"293,""মূর্খ|ভণ্ড|প্রতার|অলস|লোভ|স্বার্থ|অক্ষম|অযোগ্য|বোকা|কৃপণ|হিংস"")),""valence-target অমিল"",""""),IF(COUNTIF($B:$B,B7293)&gt;1,""ডুপ্লিকেট"",""""))"),"")</f>
        <v/>
      </c>
      <c r="Q7293" s="5" t="str">
        <f t="shared" si="1"/>
        <v>২ পরে</v>
      </c>
    </row>
    <row r="7294">
      <c r="A7294" s="4">
        <v>5483.0</v>
      </c>
      <c r="B7294" s="2" t="s">
        <v>29544</v>
      </c>
      <c r="C7294" s="2" t="s">
        <v>29545</v>
      </c>
      <c r="D7294" s="2" t="s">
        <v>21410</v>
      </c>
      <c r="E7294" s="2" t="s">
        <v>29546</v>
      </c>
      <c r="F7294" s="2" t="b">
        <v>1</v>
      </c>
      <c r="G7294" s="2" t="b">
        <v>0</v>
      </c>
      <c r="H7294" s="2" t="s">
        <v>37</v>
      </c>
      <c r="I7294" s="2" t="s">
        <v>22</v>
      </c>
      <c r="J7294" s="2" t="s">
        <v>669</v>
      </c>
      <c r="K7294" s="2" t="s">
        <v>495</v>
      </c>
      <c r="L7294" s="13" t="s">
        <v>496</v>
      </c>
      <c r="M7294" s="2" t="s">
        <v>26</v>
      </c>
      <c r="N7294" s="29"/>
      <c r="O7294" s="29"/>
      <c r="P7294" s="5" t="str">
        <f>IFERROR(__xludf.DUMMYFUNCTION("TEXTJOIN("" | "",TRUE,IF(OR(D7294="""",E7294="""",I7294="""",J7294="""",H7294=""""),""ফাঁকা ঘর"",""""),IF(AND(C7294&lt;&gt;"""",D7294&lt;&gt;"""",C7294=D7294),""gloss=figurative"",""""),IF(LEN(D7294)&lt;15,""figurative ছোট"",""""),IF(AND(I7294=""Positive"",REGEXMATCH(H7"&amp;"294,""মূর্খ|ভণ্ড|প্রতার|অলস|লোভ|স্বার্থ|অক্ষম|অযোগ্য|বোকা|কৃপণ|হিংস"")),""valence-target অমিল"",""""),IF(COUNTIF($B:$B,B7294)&gt;1,""ডুপ্লিকেট"",""""))"),"")</f>
        <v/>
      </c>
      <c r="Q7294" s="5" t="str">
        <f t="shared" si="1"/>
        <v>২ পরে</v>
      </c>
    </row>
    <row r="7295">
      <c r="A7295" s="4">
        <v>5484.0</v>
      </c>
      <c r="B7295" s="2" t="s">
        <v>29547</v>
      </c>
      <c r="C7295" s="2" t="s">
        <v>29547</v>
      </c>
      <c r="D7295" s="2" t="s">
        <v>29548</v>
      </c>
      <c r="E7295" s="2" t="s">
        <v>29549</v>
      </c>
      <c r="F7295" s="2" t="b">
        <v>1</v>
      </c>
      <c r="G7295" s="2" t="b">
        <v>0</v>
      </c>
      <c r="H7295" s="2" t="s">
        <v>37</v>
      </c>
      <c r="I7295" s="2" t="s">
        <v>32</v>
      </c>
      <c r="J7295" s="2" t="s">
        <v>669</v>
      </c>
      <c r="K7295" s="2" t="s">
        <v>495</v>
      </c>
      <c r="L7295" s="13" t="s">
        <v>496</v>
      </c>
      <c r="M7295" s="2" t="s">
        <v>26</v>
      </c>
      <c r="N7295" s="29"/>
      <c r="O7295" s="29"/>
      <c r="P7295" s="5" t="str">
        <f>IFERROR(__xludf.DUMMYFUNCTION("TEXTJOIN("" | "",TRUE,IF(OR(D7295="""",E7295="""",I7295="""",J7295="""",H7295=""""),""ফাঁকা ঘর"",""""),IF(AND(C7295&lt;&gt;"""",D7295&lt;&gt;"""",C7295=D7295),""gloss=figurative"",""""),IF(LEN(D7295)&lt;15,""figurative ছোট"",""""),IF(AND(I7295=""Positive"",REGEXMATCH(H7"&amp;"295,""মূর্খ|ভণ্ড|প্রতার|অলস|লোভ|স্বার্থ|অক্ষম|অযোগ্য|বোকা|কৃপণ|হিংস"")),""valence-target অমিল"",""""),IF(COUNTIF($B:$B,B7295)&gt;1,""ডুপ্লিকেট"",""""))"),"")</f>
        <v/>
      </c>
      <c r="Q7295" s="5" t="str">
        <f t="shared" si="1"/>
        <v>২ পরে</v>
      </c>
    </row>
    <row r="7296">
      <c r="A7296" s="4">
        <v>5485.0</v>
      </c>
      <c r="B7296" s="2" t="s">
        <v>29550</v>
      </c>
      <c r="C7296" s="2" t="s">
        <v>29551</v>
      </c>
      <c r="D7296" s="2" t="s">
        <v>29552</v>
      </c>
      <c r="E7296" s="2" t="s">
        <v>29553</v>
      </c>
      <c r="F7296" s="2" t="b">
        <v>1</v>
      </c>
      <c r="G7296" s="2" t="b">
        <v>0</v>
      </c>
      <c r="H7296" s="2" t="s">
        <v>37</v>
      </c>
      <c r="I7296" s="2" t="s">
        <v>22</v>
      </c>
      <c r="J7296" s="2" t="s">
        <v>669</v>
      </c>
      <c r="K7296" s="2" t="s">
        <v>495</v>
      </c>
      <c r="L7296" s="13" t="s">
        <v>496</v>
      </c>
      <c r="M7296" s="2" t="s">
        <v>26</v>
      </c>
      <c r="N7296" s="29"/>
      <c r="O7296" s="29"/>
      <c r="P7296" s="5" t="str">
        <f>IFERROR(__xludf.DUMMYFUNCTION("TEXTJOIN("" | "",TRUE,IF(OR(D7296="""",E7296="""",I7296="""",J7296="""",H7296=""""),""ফাঁকা ঘর"",""""),IF(AND(C7296&lt;&gt;"""",D7296&lt;&gt;"""",C7296=D7296),""gloss=figurative"",""""),IF(LEN(D7296)&lt;15,""figurative ছোট"",""""),IF(AND(I7296=""Positive"",REGEXMATCH(H7"&amp;"296,""মূর্খ|ভণ্ড|প্রতার|অলস|লোভ|স্বার্থ|অক্ষম|অযোগ্য|বোকা|কৃপণ|হিংস"")),""valence-target অমিল"",""""),IF(COUNTIF($B:$B,B7296)&gt;1,""ডুপ্লিকেট"",""""))"),"")</f>
        <v/>
      </c>
      <c r="Q7296" s="5" t="str">
        <f t="shared" si="1"/>
        <v>২ পরে</v>
      </c>
    </row>
    <row r="7297">
      <c r="A7297" s="4">
        <v>5486.0</v>
      </c>
      <c r="B7297" s="2" t="s">
        <v>29554</v>
      </c>
      <c r="C7297" s="2" t="s">
        <v>29555</v>
      </c>
      <c r="D7297" s="2" t="s">
        <v>29556</v>
      </c>
      <c r="E7297" s="2" t="s">
        <v>29557</v>
      </c>
      <c r="F7297" s="2" t="b">
        <v>1</v>
      </c>
      <c r="G7297" s="2" t="b">
        <v>0</v>
      </c>
      <c r="H7297" s="2" t="s">
        <v>756</v>
      </c>
      <c r="I7297" s="2" t="s">
        <v>22</v>
      </c>
      <c r="J7297" s="2" t="s">
        <v>855</v>
      </c>
      <c r="K7297" s="2" t="s">
        <v>495</v>
      </c>
      <c r="L7297" s="13" t="s">
        <v>496</v>
      </c>
      <c r="M7297" s="2" t="s">
        <v>26</v>
      </c>
      <c r="N7297" s="29"/>
      <c r="O7297" s="29"/>
      <c r="P7297" s="5" t="str">
        <f>IFERROR(__xludf.DUMMYFUNCTION("TEXTJOIN("" | "",TRUE,IF(OR(D7297="""",E7297="""",I7297="""",J7297="""",H7297=""""),""ফাঁকা ঘর"",""""),IF(AND(C7297&lt;&gt;"""",D7297&lt;&gt;"""",C7297=D7297),""gloss=figurative"",""""),IF(LEN(D7297)&lt;15,""figurative ছোট"",""""),IF(AND(I7297=""Positive"",REGEXMATCH(H7"&amp;"297,""মূর্খ|ভণ্ড|প্রতার|অলস|লোভ|স্বার্থ|অক্ষম|অযোগ্য|বোকা|কৃপণ|হিংস"")),""valence-target অমিল"",""""),IF(COUNTIF($B:$B,B7297)&gt;1,""ডুপ্লিকেট"",""""))"),"")</f>
        <v/>
      </c>
      <c r="Q7297" s="5" t="str">
        <f t="shared" si="1"/>
        <v>২ পরে</v>
      </c>
    </row>
    <row r="7298">
      <c r="A7298" s="4">
        <v>5487.0</v>
      </c>
      <c r="B7298" s="2" t="s">
        <v>29558</v>
      </c>
      <c r="C7298" s="2" t="s">
        <v>29559</v>
      </c>
      <c r="D7298" s="2" t="s">
        <v>29560</v>
      </c>
      <c r="E7298" s="2" t="s">
        <v>29561</v>
      </c>
      <c r="F7298" s="2" t="b">
        <v>1</v>
      </c>
      <c r="G7298" s="2" t="b">
        <v>0</v>
      </c>
      <c r="H7298" s="2" t="s">
        <v>37</v>
      </c>
      <c r="I7298" s="2" t="s">
        <v>49</v>
      </c>
      <c r="J7298" s="2" t="s">
        <v>5084</v>
      </c>
      <c r="K7298" s="2" t="s">
        <v>495</v>
      </c>
      <c r="L7298" s="13" t="s">
        <v>496</v>
      </c>
      <c r="M7298" s="2" t="s">
        <v>26</v>
      </c>
      <c r="N7298" s="29"/>
      <c r="O7298" s="29"/>
      <c r="P7298" s="5" t="str">
        <f>IFERROR(__xludf.DUMMYFUNCTION("TEXTJOIN("" | "",TRUE,IF(OR(D7298="""",E7298="""",I7298="""",J7298="""",H7298=""""),""ফাঁকা ঘর"",""""),IF(AND(C7298&lt;&gt;"""",D7298&lt;&gt;"""",C7298=D7298),""gloss=figurative"",""""),IF(LEN(D7298)&lt;15,""figurative ছোট"",""""),IF(AND(I7298=""Positive"",REGEXMATCH(H7"&amp;"298,""মূর্খ|ভণ্ড|প্রতার|অলস|লোভ|স্বার্থ|অক্ষম|অযোগ্য|বোকা|কৃপণ|হিংস"")),""valence-target অমিল"",""""),IF(COUNTIF($B:$B,B7298)&gt;1,""ডুপ্লিকেট"",""""))"),"")</f>
        <v/>
      </c>
      <c r="Q7298" s="5" t="str">
        <f t="shared" si="1"/>
        <v>২ পরে</v>
      </c>
    </row>
    <row r="7299">
      <c r="A7299" s="4">
        <v>5488.0</v>
      </c>
      <c r="B7299" s="2" t="s">
        <v>29562</v>
      </c>
      <c r="C7299" s="2" t="s">
        <v>29563</v>
      </c>
      <c r="D7299" s="2" t="s">
        <v>29564</v>
      </c>
      <c r="E7299" s="2" t="s">
        <v>29565</v>
      </c>
      <c r="F7299" s="2" t="b">
        <v>1</v>
      </c>
      <c r="G7299" s="2" t="b">
        <v>0</v>
      </c>
      <c r="H7299" s="2" t="s">
        <v>37</v>
      </c>
      <c r="I7299" s="2" t="s">
        <v>49</v>
      </c>
      <c r="J7299" s="2" t="s">
        <v>1476</v>
      </c>
      <c r="K7299" s="2" t="s">
        <v>495</v>
      </c>
      <c r="L7299" s="13" t="s">
        <v>496</v>
      </c>
      <c r="M7299" s="2" t="s">
        <v>26</v>
      </c>
      <c r="N7299" s="29"/>
      <c r="O7299" s="29"/>
      <c r="P7299" s="5" t="str">
        <f>IFERROR(__xludf.DUMMYFUNCTION("TEXTJOIN("" | "",TRUE,IF(OR(D7299="""",E7299="""",I7299="""",J7299="""",H7299=""""),""ফাঁকা ঘর"",""""),IF(AND(C7299&lt;&gt;"""",D7299&lt;&gt;"""",C7299=D7299),""gloss=figurative"",""""),IF(LEN(D7299)&lt;15,""figurative ছোট"",""""),IF(AND(I7299=""Positive"",REGEXMATCH(H7"&amp;"299,""মূর্খ|ভণ্ড|প্রতার|অলস|লোভ|স্বার্থ|অক্ষম|অযোগ্য|বোকা|কৃপণ|হিংস"")),""valence-target অমিল"",""""),IF(COUNTIF($B:$B,B7299)&gt;1,""ডুপ্লিকেট"",""""))"),"")</f>
        <v/>
      </c>
      <c r="Q7299" s="5" t="str">
        <f t="shared" si="1"/>
        <v>২ পরে</v>
      </c>
    </row>
    <row r="7300">
      <c r="A7300" s="4">
        <v>5489.0</v>
      </c>
      <c r="B7300" s="2" t="s">
        <v>29566</v>
      </c>
      <c r="C7300" s="2" t="s">
        <v>29567</v>
      </c>
      <c r="D7300" s="2" t="s">
        <v>29568</v>
      </c>
      <c r="E7300" s="2" t="s">
        <v>29569</v>
      </c>
      <c r="F7300" s="2" t="b">
        <v>1</v>
      </c>
      <c r="G7300" s="2" t="b">
        <v>0</v>
      </c>
      <c r="H7300" s="2" t="s">
        <v>37</v>
      </c>
      <c r="I7300" s="2" t="s">
        <v>49</v>
      </c>
      <c r="J7300" s="2" t="s">
        <v>1476</v>
      </c>
      <c r="K7300" s="2" t="s">
        <v>495</v>
      </c>
      <c r="L7300" s="13" t="s">
        <v>496</v>
      </c>
      <c r="M7300" s="2" t="s">
        <v>26</v>
      </c>
      <c r="N7300" s="29"/>
      <c r="O7300" s="29"/>
      <c r="P7300" s="5" t="str">
        <f>IFERROR(__xludf.DUMMYFUNCTION("TEXTJOIN("" | "",TRUE,IF(OR(D7300="""",E7300="""",I7300="""",J7300="""",H7300=""""),""ফাঁকা ঘর"",""""),IF(AND(C7300&lt;&gt;"""",D7300&lt;&gt;"""",C7300=D7300),""gloss=figurative"",""""),IF(LEN(D7300)&lt;15,""figurative ছোট"",""""),IF(AND(I7300=""Positive"",REGEXMATCH(H7"&amp;"300,""মূর্খ|ভণ্ড|প্রতার|অলস|লোভ|স্বার্থ|অক্ষম|অযোগ্য|বোকা|কৃপণ|হিংস"")),""valence-target অমিল"",""""),IF(COUNTIF($B:$B,B7300)&gt;1,""ডুপ্লিকেট"",""""))"),"")</f>
        <v/>
      </c>
      <c r="Q7300" s="5" t="str">
        <f t="shared" si="1"/>
        <v>২ পরে</v>
      </c>
    </row>
    <row r="7301">
      <c r="A7301" s="4">
        <v>5490.0</v>
      </c>
      <c r="B7301" s="2" t="s">
        <v>29570</v>
      </c>
      <c r="C7301" s="2" t="s">
        <v>29571</v>
      </c>
      <c r="D7301" s="2" t="s">
        <v>29572</v>
      </c>
      <c r="E7301" s="2" t="s">
        <v>29573</v>
      </c>
      <c r="F7301" s="2" t="b">
        <v>1</v>
      </c>
      <c r="G7301" s="2" t="b">
        <v>0</v>
      </c>
      <c r="H7301" s="2" t="s">
        <v>37</v>
      </c>
      <c r="I7301" s="2" t="s">
        <v>49</v>
      </c>
      <c r="J7301" s="2" t="s">
        <v>26387</v>
      </c>
      <c r="K7301" s="2" t="s">
        <v>495</v>
      </c>
      <c r="L7301" s="13" t="s">
        <v>496</v>
      </c>
      <c r="M7301" s="2" t="s">
        <v>26</v>
      </c>
      <c r="N7301" s="29"/>
      <c r="O7301" s="29"/>
      <c r="P7301" s="5" t="str">
        <f>IFERROR(__xludf.DUMMYFUNCTION("TEXTJOIN("" | "",TRUE,IF(OR(D7301="""",E7301="""",I7301="""",J7301="""",H7301=""""),""ফাঁকা ঘর"",""""),IF(AND(C7301&lt;&gt;"""",D7301&lt;&gt;"""",C7301=D7301),""gloss=figurative"",""""),IF(LEN(D7301)&lt;15,""figurative ছোট"",""""),IF(AND(I7301=""Positive"",REGEXMATCH(H7"&amp;"301,""মূর্খ|ভণ্ড|প্রতার|অলস|লোভ|স্বার্থ|অক্ষম|অযোগ্য|বোকা|কৃপণ|হিংস"")),""valence-target অমিল"",""""),IF(COUNTIF($B:$B,B7301)&gt;1,""ডুপ্লিকেট"",""""))"),"")</f>
        <v/>
      </c>
      <c r="Q7301" s="5" t="str">
        <f t="shared" si="1"/>
        <v>২ পরে</v>
      </c>
    </row>
    <row r="7302">
      <c r="A7302" s="4">
        <v>5491.0</v>
      </c>
      <c r="B7302" s="2" t="s">
        <v>29574</v>
      </c>
      <c r="C7302" s="2" t="s">
        <v>29575</v>
      </c>
      <c r="D7302" s="2" t="s">
        <v>29576</v>
      </c>
      <c r="E7302" s="2" t="s">
        <v>29577</v>
      </c>
      <c r="F7302" s="2" t="b">
        <v>1</v>
      </c>
      <c r="G7302" s="2" t="b">
        <v>0</v>
      </c>
      <c r="H7302" s="2" t="s">
        <v>37</v>
      </c>
      <c r="I7302" s="2" t="s">
        <v>22</v>
      </c>
      <c r="J7302" s="2" t="s">
        <v>2040</v>
      </c>
      <c r="K7302" s="2" t="s">
        <v>495</v>
      </c>
      <c r="L7302" s="13" t="s">
        <v>496</v>
      </c>
      <c r="M7302" s="2" t="s">
        <v>26</v>
      </c>
      <c r="N7302" s="29"/>
      <c r="O7302" s="29"/>
      <c r="P7302" s="5" t="str">
        <f>IFERROR(__xludf.DUMMYFUNCTION("TEXTJOIN("" | "",TRUE,IF(OR(D7302="""",E7302="""",I7302="""",J7302="""",H7302=""""),""ফাঁকা ঘর"",""""),IF(AND(C7302&lt;&gt;"""",D7302&lt;&gt;"""",C7302=D7302),""gloss=figurative"",""""),IF(LEN(D7302)&lt;15,""figurative ছোট"",""""),IF(AND(I7302=""Positive"",REGEXMATCH(H7"&amp;"302,""মূর্খ|ভণ্ড|প্রতার|অলস|লোভ|স্বার্থ|অক্ষম|অযোগ্য|বোকা|কৃপণ|হিংস"")),""valence-target অমিল"",""""),IF(COUNTIF($B:$B,B7302)&gt;1,""ডুপ্লিকেট"",""""))"),"")</f>
        <v/>
      </c>
      <c r="Q7302" s="5" t="str">
        <f t="shared" si="1"/>
        <v>২ পরে</v>
      </c>
    </row>
    <row r="7303">
      <c r="A7303" s="4">
        <v>5493.0</v>
      </c>
      <c r="B7303" s="2" t="s">
        <v>29578</v>
      </c>
      <c r="C7303" s="2" t="s">
        <v>29579</v>
      </c>
      <c r="D7303" s="2" t="s">
        <v>29580</v>
      </c>
      <c r="E7303" s="2" t="s">
        <v>29581</v>
      </c>
      <c r="F7303" s="2" t="b">
        <v>1</v>
      </c>
      <c r="G7303" s="2" t="b">
        <v>0</v>
      </c>
      <c r="H7303" s="2" t="s">
        <v>37</v>
      </c>
      <c r="I7303" s="2" t="s">
        <v>22</v>
      </c>
      <c r="J7303" s="2" t="s">
        <v>2629</v>
      </c>
      <c r="K7303" s="2" t="s">
        <v>495</v>
      </c>
      <c r="L7303" s="13" t="s">
        <v>496</v>
      </c>
      <c r="M7303" s="2" t="s">
        <v>26</v>
      </c>
      <c r="N7303" s="29"/>
      <c r="O7303" s="29"/>
      <c r="P7303" s="5" t="str">
        <f>IFERROR(__xludf.DUMMYFUNCTION("TEXTJOIN("" | "",TRUE,IF(OR(D7303="""",E7303="""",I7303="""",J7303="""",H7303=""""),""ফাঁকা ঘর"",""""),IF(AND(C7303&lt;&gt;"""",D7303&lt;&gt;"""",C7303=D7303),""gloss=figurative"",""""),IF(LEN(D7303)&lt;15,""figurative ছোট"",""""),IF(AND(I7303=""Positive"",REGEXMATCH(H7"&amp;"303,""মূর্খ|ভণ্ড|প্রতার|অলস|লোভ|স্বার্থ|অক্ষম|অযোগ্য|বোকা|কৃপণ|হিংস"")),""valence-target অমিল"",""""),IF(COUNTIF($B:$B,B7303)&gt;1,""ডুপ্লিকেট"",""""))"),"")</f>
        <v/>
      </c>
      <c r="Q7303" s="5" t="str">
        <f t="shared" si="1"/>
        <v>২ পরে</v>
      </c>
    </row>
    <row r="7304">
      <c r="A7304" s="4">
        <v>5494.0</v>
      </c>
      <c r="B7304" s="2" t="s">
        <v>29582</v>
      </c>
      <c r="C7304" s="2" t="s">
        <v>29583</v>
      </c>
      <c r="D7304" s="2" t="s">
        <v>29584</v>
      </c>
      <c r="E7304" s="2" t="s">
        <v>29585</v>
      </c>
      <c r="F7304" s="2" t="b">
        <v>1</v>
      </c>
      <c r="G7304" s="2" t="b">
        <v>0</v>
      </c>
      <c r="H7304" s="2" t="s">
        <v>37</v>
      </c>
      <c r="I7304" s="2" t="s">
        <v>22</v>
      </c>
      <c r="J7304" s="2" t="s">
        <v>2040</v>
      </c>
      <c r="K7304" s="2" t="s">
        <v>495</v>
      </c>
      <c r="L7304" s="13" t="s">
        <v>496</v>
      </c>
      <c r="M7304" s="2" t="s">
        <v>26</v>
      </c>
      <c r="N7304" s="29"/>
      <c r="O7304" s="29"/>
      <c r="P7304" s="5" t="str">
        <f>IFERROR(__xludf.DUMMYFUNCTION("TEXTJOIN("" | "",TRUE,IF(OR(D7304="""",E7304="""",I7304="""",J7304="""",H7304=""""),""ফাঁকা ঘর"",""""),IF(AND(C7304&lt;&gt;"""",D7304&lt;&gt;"""",C7304=D7304),""gloss=figurative"",""""),IF(LEN(D7304)&lt;15,""figurative ছোট"",""""),IF(AND(I7304=""Positive"",REGEXMATCH(H7"&amp;"304,""মূর্খ|ভণ্ড|প্রতার|অলস|লোভ|স্বার্থ|অক্ষম|অযোগ্য|বোকা|কৃপণ|হিংস"")),""valence-target অমিল"",""""),IF(COUNTIF($B:$B,B7304)&gt;1,""ডুপ্লিকেট"",""""))"),"")</f>
        <v/>
      </c>
      <c r="Q7304" s="5" t="str">
        <f t="shared" si="1"/>
        <v>২ পরে</v>
      </c>
    </row>
    <row r="7305">
      <c r="A7305" s="4">
        <v>5495.0</v>
      </c>
      <c r="B7305" s="2" t="s">
        <v>29586</v>
      </c>
      <c r="C7305" s="2" t="s">
        <v>29587</v>
      </c>
      <c r="D7305" s="2" t="s">
        <v>29588</v>
      </c>
      <c r="E7305" s="2" t="s">
        <v>29589</v>
      </c>
      <c r="F7305" s="2" t="b">
        <v>1</v>
      </c>
      <c r="G7305" s="2" t="b">
        <v>0</v>
      </c>
      <c r="H7305" s="2" t="s">
        <v>37</v>
      </c>
      <c r="I7305" s="2" t="s">
        <v>49</v>
      </c>
      <c r="J7305" s="2" t="s">
        <v>2040</v>
      </c>
      <c r="K7305" s="2" t="s">
        <v>495</v>
      </c>
      <c r="L7305" s="13" t="s">
        <v>496</v>
      </c>
      <c r="M7305" s="2" t="s">
        <v>26</v>
      </c>
      <c r="N7305" s="29"/>
      <c r="O7305" s="29"/>
      <c r="P7305" s="5" t="str">
        <f>IFERROR(__xludf.DUMMYFUNCTION("TEXTJOIN("" | "",TRUE,IF(OR(D7305="""",E7305="""",I7305="""",J7305="""",H7305=""""),""ফাঁকা ঘর"",""""),IF(AND(C7305&lt;&gt;"""",D7305&lt;&gt;"""",C7305=D7305),""gloss=figurative"",""""),IF(LEN(D7305)&lt;15,""figurative ছোট"",""""),IF(AND(I7305=""Positive"",REGEXMATCH(H7"&amp;"305,""মূর্খ|ভণ্ড|প্রতার|অলস|লোভ|স্বার্থ|অক্ষম|অযোগ্য|বোকা|কৃপণ|হিংস"")),""valence-target অমিল"",""""),IF(COUNTIF($B:$B,B7305)&gt;1,""ডুপ্লিকেট"",""""))"),"")</f>
        <v/>
      </c>
      <c r="Q7305" s="5" t="str">
        <f t="shared" si="1"/>
        <v>২ পরে</v>
      </c>
    </row>
    <row r="7306">
      <c r="A7306" s="4">
        <v>5496.0</v>
      </c>
      <c r="B7306" s="2" t="s">
        <v>29590</v>
      </c>
      <c r="C7306" s="2" t="s">
        <v>29591</v>
      </c>
      <c r="D7306" s="2" t="s">
        <v>29592</v>
      </c>
      <c r="E7306" s="2" t="s">
        <v>29593</v>
      </c>
      <c r="F7306" s="2" t="b">
        <v>1</v>
      </c>
      <c r="G7306" s="2" t="b">
        <v>0</v>
      </c>
      <c r="H7306" s="2" t="s">
        <v>37</v>
      </c>
      <c r="I7306" s="2" t="s">
        <v>49</v>
      </c>
      <c r="J7306" s="2" t="s">
        <v>2040</v>
      </c>
      <c r="K7306" s="2" t="s">
        <v>495</v>
      </c>
      <c r="L7306" s="13" t="s">
        <v>496</v>
      </c>
      <c r="M7306" s="2" t="s">
        <v>26</v>
      </c>
      <c r="N7306" s="29"/>
      <c r="O7306" s="29"/>
      <c r="P7306" s="5" t="str">
        <f>IFERROR(__xludf.DUMMYFUNCTION("TEXTJOIN("" | "",TRUE,IF(OR(D7306="""",E7306="""",I7306="""",J7306="""",H7306=""""),""ফাঁকা ঘর"",""""),IF(AND(C7306&lt;&gt;"""",D7306&lt;&gt;"""",C7306=D7306),""gloss=figurative"",""""),IF(LEN(D7306)&lt;15,""figurative ছোট"",""""),IF(AND(I7306=""Positive"",REGEXMATCH(H7"&amp;"306,""মূর্খ|ভণ্ড|প্রতার|অলস|লোভ|স্বার্থ|অক্ষম|অযোগ্য|বোকা|কৃপণ|হিংস"")),""valence-target অমিল"",""""),IF(COUNTIF($B:$B,B7306)&gt;1,""ডুপ্লিকেট"",""""))"),"")</f>
        <v/>
      </c>
      <c r="Q7306" s="5" t="str">
        <f t="shared" si="1"/>
        <v>২ পরে</v>
      </c>
    </row>
    <row r="7307">
      <c r="A7307" s="4">
        <v>5497.0</v>
      </c>
      <c r="B7307" s="2" t="s">
        <v>29594</v>
      </c>
      <c r="C7307" s="2" t="s">
        <v>29595</v>
      </c>
      <c r="D7307" s="2" t="s">
        <v>21617</v>
      </c>
      <c r="E7307" s="2" t="s">
        <v>29596</v>
      </c>
      <c r="F7307" s="2" t="b">
        <v>1</v>
      </c>
      <c r="G7307" s="2" t="b">
        <v>1</v>
      </c>
      <c r="H7307" s="2" t="s">
        <v>1106</v>
      </c>
      <c r="I7307" s="2" t="s">
        <v>22</v>
      </c>
      <c r="J7307" s="2" t="s">
        <v>1679</v>
      </c>
      <c r="K7307" s="2" t="s">
        <v>495</v>
      </c>
      <c r="L7307" s="13" t="s">
        <v>496</v>
      </c>
      <c r="M7307" s="2" t="s">
        <v>26</v>
      </c>
      <c r="N7307" s="29"/>
      <c r="O7307" s="29"/>
      <c r="P7307" s="5" t="str">
        <f>IFERROR(__xludf.DUMMYFUNCTION("TEXTJOIN("" | "",TRUE,IF(OR(D7307="""",E7307="""",I7307="""",J7307="""",H7307=""""),""ফাঁকা ঘর"",""""),IF(AND(C7307&lt;&gt;"""",D7307&lt;&gt;"""",C7307=D7307),""gloss=figurative"",""""),IF(LEN(D7307)&lt;15,""figurative ছোট"",""""),IF(AND(I7307=""Positive"",REGEXMATCH(H7"&amp;"307,""মূর্খ|ভণ্ড|প্রতার|অলস|লোভ|স্বার্থ|অক্ষম|অযোগ্য|বোকা|কৃপণ|হিংস"")),""valence-target অমিল"",""""),IF(COUNTIF($B:$B,B7307)&gt;1,""ডুপ্লিকেট"",""""))"),"")</f>
        <v/>
      </c>
      <c r="Q7307" s="5" t="str">
        <f t="shared" si="1"/>
        <v>২ পরে</v>
      </c>
    </row>
    <row r="7308">
      <c r="A7308" s="4">
        <v>5500.0</v>
      </c>
      <c r="B7308" s="2" t="s">
        <v>29597</v>
      </c>
      <c r="C7308" s="2" t="s">
        <v>29598</v>
      </c>
      <c r="D7308" s="2" t="s">
        <v>29599</v>
      </c>
      <c r="E7308" s="2" t="s">
        <v>29600</v>
      </c>
      <c r="F7308" s="2" t="b">
        <v>1</v>
      </c>
      <c r="G7308" s="2" t="b">
        <v>1</v>
      </c>
      <c r="H7308" s="2" t="s">
        <v>29601</v>
      </c>
      <c r="I7308" s="2" t="s">
        <v>49</v>
      </c>
      <c r="J7308" s="2" t="s">
        <v>1798</v>
      </c>
      <c r="K7308" s="2" t="s">
        <v>495</v>
      </c>
      <c r="L7308" s="13" t="s">
        <v>496</v>
      </c>
      <c r="M7308" s="2" t="s">
        <v>26</v>
      </c>
      <c r="N7308" s="29"/>
      <c r="O7308" s="29"/>
      <c r="P7308" s="5" t="str">
        <f>IFERROR(__xludf.DUMMYFUNCTION("TEXTJOIN("" | "",TRUE,IF(OR(D7308="""",E7308="""",I7308="""",J7308="""",H7308=""""),""ফাঁকা ঘর"",""""),IF(AND(C7308&lt;&gt;"""",D7308&lt;&gt;"""",C7308=D7308),""gloss=figurative"",""""),IF(LEN(D7308)&lt;15,""figurative ছোট"",""""),IF(AND(I7308=""Positive"",REGEXMATCH(H7"&amp;"308,""মূর্খ|ভণ্ড|প্রতার|অলস|লোভ|স্বার্থ|অক্ষম|অযোগ্য|বোকা|কৃপণ|হিংস"")),""valence-target অমিল"",""""),IF(COUNTIF($B:$B,B7308)&gt;1,""ডুপ্লিকেট"",""""))"),"")</f>
        <v/>
      </c>
      <c r="Q7308" s="5" t="str">
        <f t="shared" si="1"/>
        <v>২ পরে</v>
      </c>
    </row>
    <row r="7309">
      <c r="A7309" s="4">
        <v>5501.0</v>
      </c>
      <c r="B7309" s="2" t="s">
        <v>29602</v>
      </c>
      <c r="C7309" s="2" t="s">
        <v>29602</v>
      </c>
      <c r="D7309" s="2" t="s">
        <v>29603</v>
      </c>
      <c r="E7309" s="2" t="s">
        <v>29604</v>
      </c>
      <c r="F7309" s="2" t="b">
        <v>1</v>
      </c>
      <c r="G7309" s="2" t="b">
        <v>0</v>
      </c>
      <c r="H7309" s="2" t="s">
        <v>37</v>
      </c>
      <c r="I7309" s="2" t="s">
        <v>22</v>
      </c>
      <c r="J7309" s="2" t="s">
        <v>300</v>
      </c>
      <c r="K7309" s="2" t="s">
        <v>495</v>
      </c>
      <c r="L7309" s="13" t="s">
        <v>496</v>
      </c>
      <c r="M7309" s="2" t="s">
        <v>26</v>
      </c>
      <c r="N7309" s="29"/>
      <c r="O7309" s="29"/>
      <c r="P7309" s="5" t="str">
        <f>IFERROR(__xludf.DUMMYFUNCTION("TEXTJOIN("" | "",TRUE,IF(OR(D7309="""",E7309="""",I7309="""",J7309="""",H7309=""""),""ফাঁকা ঘর"",""""),IF(AND(C7309&lt;&gt;"""",D7309&lt;&gt;"""",C7309=D7309),""gloss=figurative"",""""),IF(LEN(D7309)&lt;15,""figurative ছোট"",""""),IF(AND(I7309=""Positive"",REGEXMATCH(H7"&amp;"309,""মূর্খ|ভণ্ড|প্রতার|অলস|লোভ|স্বার্থ|অক্ষম|অযোগ্য|বোকা|কৃপণ|হিংস"")),""valence-target অমিল"",""""),IF(COUNTIF($B:$B,B7309)&gt;1,""ডুপ্লিকেট"",""""))"),"")</f>
        <v/>
      </c>
      <c r="Q7309" s="5" t="str">
        <f t="shared" si="1"/>
        <v>২ পরে</v>
      </c>
    </row>
    <row r="7310">
      <c r="A7310" s="4">
        <v>5502.0</v>
      </c>
      <c r="B7310" s="2" t="s">
        <v>29605</v>
      </c>
      <c r="C7310" s="2" t="s">
        <v>29606</v>
      </c>
      <c r="D7310" s="2" t="s">
        <v>29607</v>
      </c>
      <c r="E7310" s="2" t="s">
        <v>29608</v>
      </c>
      <c r="F7310" s="2" t="b">
        <v>1</v>
      </c>
      <c r="G7310" s="2" t="b">
        <v>0</v>
      </c>
      <c r="H7310" s="2" t="s">
        <v>37</v>
      </c>
      <c r="I7310" s="2" t="s">
        <v>49</v>
      </c>
      <c r="J7310" s="2" t="s">
        <v>300</v>
      </c>
      <c r="K7310" s="2" t="s">
        <v>495</v>
      </c>
      <c r="L7310" s="13" t="s">
        <v>496</v>
      </c>
      <c r="M7310" s="2" t="s">
        <v>26</v>
      </c>
      <c r="N7310" s="29"/>
      <c r="O7310" s="29"/>
      <c r="P7310" s="5" t="str">
        <f>IFERROR(__xludf.DUMMYFUNCTION("TEXTJOIN("" | "",TRUE,IF(OR(D7310="""",E7310="""",I7310="""",J7310="""",H7310=""""),""ফাঁকা ঘর"",""""),IF(AND(C7310&lt;&gt;"""",D7310&lt;&gt;"""",C7310=D7310),""gloss=figurative"",""""),IF(LEN(D7310)&lt;15,""figurative ছোট"",""""),IF(AND(I7310=""Positive"",REGEXMATCH(H7"&amp;"310,""মূর্খ|ভণ্ড|প্রতার|অলস|লোভ|স্বার্থ|অক্ষম|অযোগ্য|বোকা|কৃপণ|হিংস"")),""valence-target অমিল"",""""),IF(COUNTIF($B:$B,B7310)&gt;1,""ডুপ্লিকেট"",""""))"),"")</f>
        <v/>
      </c>
      <c r="Q7310" s="5" t="str">
        <f t="shared" si="1"/>
        <v>২ পরে</v>
      </c>
    </row>
    <row r="7311">
      <c r="A7311" s="4">
        <v>5504.0</v>
      </c>
      <c r="B7311" s="2" t="s">
        <v>29609</v>
      </c>
      <c r="C7311" s="2" t="s">
        <v>29610</v>
      </c>
      <c r="D7311" s="2" t="s">
        <v>29611</v>
      </c>
      <c r="E7311" s="2" t="s">
        <v>29612</v>
      </c>
      <c r="F7311" s="2" t="b">
        <v>1</v>
      </c>
      <c r="G7311" s="2" t="b">
        <v>0</v>
      </c>
      <c r="H7311" s="2" t="s">
        <v>37</v>
      </c>
      <c r="I7311" s="2" t="s">
        <v>49</v>
      </c>
      <c r="J7311" s="2" t="s">
        <v>2386</v>
      </c>
      <c r="K7311" s="2" t="s">
        <v>495</v>
      </c>
      <c r="L7311" s="13" t="s">
        <v>496</v>
      </c>
      <c r="M7311" s="2" t="s">
        <v>26</v>
      </c>
      <c r="N7311" s="29"/>
      <c r="O7311" s="29"/>
      <c r="P7311" s="5" t="str">
        <f>IFERROR(__xludf.DUMMYFUNCTION("TEXTJOIN("" | "",TRUE,IF(OR(D7311="""",E7311="""",I7311="""",J7311="""",H7311=""""),""ফাঁকা ঘর"",""""),IF(AND(C7311&lt;&gt;"""",D7311&lt;&gt;"""",C7311=D7311),""gloss=figurative"",""""),IF(LEN(D7311)&lt;15,""figurative ছোট"",""""),IF(AND(I7311=""Positive"",REGEXMATCH(H7"&amp;"311,""মূর্খ|ভণ্ড|প্রতার|অলস|লোভ|স্বার্থ|অক্ষম|অযোগ্য|বোকা|কৃপণ|হিংস"")),""valence-target অমিল"",""""),IF(COUNTIF($B:$B,B7311)&gt;1,""ডুপ্লিকেট"",""""))"),"")</f>
        <v/>
      </c>
      <c r="Q7311" s="5" t="str">
        <f t="shared" si="1"/>
        <v>২ পরে</v>
      </c>
    </row>
    <row r="7312">
      <c r="A7312" s="4">
        <v>5505.0</v>
      </c>
      <c r="B7312" s="2" t="s">
        <v>29613</v>
      </c>
      <c r="C7312" s="2" t="s">
        <v>29614</v>
      </c>
      <c r="D7312" s="2" t="s">
        <v>29615</v>
      </c>
      <c r="E7312" s="2" t="s">
        <v>29616</v>
      </c>
      <c r="F7312" s="2" t="b">
        <v>1</v>
      </c>
      <c r="G7312" s="2" t="b">
        <v>1</v>
      </c>
      <c r="H7312" s="2" t="s">
        <v>1982</v>
      </c>
      <c r="I7312" s="2" t="s">
        <v>22</v>
      </c>
      <c r="J7312" s="2" t="s">
        <v>1315</v>
      </c>
      <c r="K7312" s="2" t="s">
        <v>495</v>
      </c>
      <c r="L7312" s="13" t="s">
        <v>496</v>
      </c>
      <c r="M7312" s="2" t="s">
        <v>26</v>
      </c>
      <c r="N7312" s="29"/>
      <c r="O7312" s="29"/>
      <c r="P7312" s="5" t="str">
        <f>IFERROR(__xludf.DUMMYFUNCTION("TEXTJOIN("" | "",TRUE,IF(OR(D7312="""",E7312="""",I7312="""",J7312="""",H7312=""""),""ফাঁকা ঘর"",""""),IF(AND(C7312&lt;&gt;"""",D7312&lt;&gt;"""",C7312=D7312),""gloss=figurative"",""""),IF(LEN(D7312)&lt;15,""figurative ছোট"",""""),IF(AND(I7312=""Positive"",REGEXMATCH(H7"&amp;"312,""মূর্খ|ভণ্ড|প্রতার|অলস|লোভ|স্বার্থ|অক্ষম|অযোগ্য|বোকা|কৃপণ|হিংস"")),""valence-target অমিল"",""""),IF(COUNTIF($B:$B,B7312)&gt;1,""ডুপ্লিকেট"",""""))"),"")</f>
        <v/>
      </c>
      <c r="Q7312" s="5" t="str">
        <f t="shared" si="1"/>
        <v>২ পরে</v>
      </c>
    </row>
    <row r="7313">
      <c r="A7313" s="4">
        <v>5506.0</v>
      </c>
      <c r="B7313" s="2" t="s">
        <v>29617</v>
      </c>
      <c r="C7313" s="2" t="s">
        <v>29618</v>
      </c>
      <c r="D7313" s="2" t="s">
        <v>29619</v>
      </c>
      <c r="E7313" s="2" t="s">
        <v>29620</v>
      </c>
      <c r="F7313" s="2" t="b">
        <v>1</v>
      </c>
      <c r="G7313" s="2" t="b">
        <v>0</v>
      </c>
      <c r="H7313" s="2" t="s">
        <v>37</v>
      </c>
      <c r="I7313" s="2" t="s">
        <v>49</v>
      </c>
      <c r="J7313" s="2" t="s">
        <v>2165</v>
      </c>
      <c r="K7313" s="2" t="s">
        <v>495</v>
      </c>
      <c r="L7313" s="13" t="s">
        <v>496</v>
      </c>
      <c r="M7313" s="2" t="s">
        <v>26</v>
      </c>
      <c r="N7313" s="29"/>
      <c r="O7313" s="29"/>
      <c r="P7313" s="5" t="str">
        <f>IFERROR(__xludf.DUMMYFUNCTION("TEXTJOIN("" | "",TRUE,IF(OR(D7313="""",E7313="""",I7313="""",J7313="""",H7313=""""),""ফাঁকা ঘর"",""""),IF(AND(C7313&lt;&gt;"""",D7313&lt;&gt;"""",C7313=D7313),""gloss=figurative"",""""),IF(LEN(D7313)&lt;15,""figurative ছোট"",""""),IF(AND(I7313=""Positive"",REGEXMATCH(H7"&amp;"313,""মূর্খ|ভণ্ড|প্রতার|অলস|লোভ|স্বার্থ|অক্ষম|অযোগ্য|বোকা|কৃপণ|হিংস"")),""valence-target অমিল"",""""),IF(COUNTIF($B:$B,B7313)&gt;1,""ডুপ্লিকেট"",""""))"),"")</f>
        <v/>
      </c>
      <c r="Q7313" s="5" t="str">
        <f t="shared" si="1"/>
        <v>২ পরে</v>
      </c>
    </row>
    <row r="7314">
      <c r="A7314" s="4">
        <v>5507.0</v>
      </c>
      <c r="B7314" s="2" t="s">
        <v>29621</v>
      </c>
      <c r="C7314" s="2" t="s">
        <v>29622</v>
      </c>
      <c r="D7314" s="2" t="s">
        <v>29623</v>
      </c>
      <c r="E7314" s="2" t="s">
        <v>29624</v>
      </c>
      <c r="F7314" s="2" t="b">
        <v>1</v>
      </c>
      <c r="G7314" s="2" t="b">
        <v>0</v>
      </c>
      <c r="H7314" s="2" t="s">
        <v>756</v>
      </c>
      <c r="I7314" s="2" t="s">
        <v>22</v>
      </c>
      <c r="J7314" s="2" t="s">
        <v>300</v>
      </c>
      <c r="K7314" s="2" t="s">
        <v>495</v>
      </c>
      <c r="L7314" s="13" t="s">
        <v>496</v>
      </c>
      <c r="M7314" s="2" t="s">
        <v>26</v>
      </c>
      <c r="N7314" s="29"/>
      <c r="O7314" s="29"/>
      <c r="P7314" s="5" t="str">
        <f>IFERROR(__xludf.DUMMYFUNCTION("TEXTJOIN("" | "",TRUE,IF(OR(D7314="""",E7314="""",I7314="""",J7314="""",H7314=""""),""ফাঁকা ঘর"",""""),IF(AND(C7314&lt;&gt;"""",D7314&lt;&gt;"""",C7314=D7314),""gloss=figurative"",""""),IF(LEN(D7314)&lt;15,""figurative ছোট"",""""),IF(AND(I7314=""Positive"",REGEXMATCH(H7"&amp;"314,""মূর্খ|ভণ্ড|প্রতার|অলস|লোভ|স্বার্থ|অক্ষম|অযোগ্য|বোকা|কৃপণ|হিংস"")),""valence-target অমিল"",""""),IF(COUNTIF($B:$B,B7314)&gt;1,""ডুপ্লিকেট"",""""))"),"")</f>
        <v/>
      </c>
      <c r="Q7314" s="5" t="str">
        <f t="shared" si="1"/>
        <v>২ পরে</v>
      </c>
    </row>
    <row r="7315">
      <c r="A7315" s="4">
        <v>5508.0</v>
      </c>
      <c r="B7315" s="2" t="s">
        <v>29625</v>
      </c>
      <c r="C7315" s="2" t="s">
        <v>29626</v>
      </c>
      <c r="D7315" s="2" t="s">
        <v>29627</v>
      </c>
      <c r="E7315" s="2" t="s">
        <v>29628</v>
      </c>
      <c r="F7315" s="2" t="b">
        <v>1</v>
      </c>
      <c r="G7315" s="2" t="b">
        <v>0</v>
      </c>
      <c r="H7315" s="2" t="s">
        <v>37</v>
      </c>
      <c r="I7315" s="2" t="s">
        <v>49</v>
      </c>
      <c r="J7315" s="2" t="s">
        <v>225</v>
      </c>
      <c r="K7315" s="2" t="s">
        <v>495</v>
      </c>
      <c r="L7315" s="13" t="s">
        <v>496</v>
      </c>
      <c r="M7315" s="2" t="s">
        <v>26</v>
      </c>
      <c r="N7315" s="29"/>
      <c r="O7315" s="29"/>
      <c r="P7315" s="5" t="str">
        <f>IFERROR(__xludf.DUMMYFUNCTION("TEXTJOIN("" | "",TRUE,IF(OR(D7315="""",E7315="""",I7315="""",J7315="""",H7315=""""),""ফাঁকা ঘর"",""""),IF(AND(C7315&lt;&gt;"""",D7315&lt;&gt;"""",C7315=D7315),""gloss=figurative"",""""),IF(LEN(D7315)&lt;15,""figurative ছোট"",""""),IF(AND(I7315=""Positive"",REGEXMATCH(H7"&amp;"315,""মূর্খ|ভণ্ড|প্রতার|অলস|লোভ|স্বার্থ|অক্ষম|অযোগ্য|বোকা|কৃপণ|হিংস"")),""valence-target অমিল"",""""),IF(COUNTIF($B:$B,B7315)&gt;1,""ডুপ্লিকেট"",""""))"),"")</f>
        <v/>
      </c>
      <c r="Q7315" s="5" t="str">
        <f t="shared" si="1"/>
        <v>২ পরে</v>
      </c>
    </row>
    <row r="7316">
      <c r="A7316" s="4">
        <v>5509.0</v>
      </c>
      <c r="B7316" s="2" t="s">
        <v>29629</v>
      </c>
      <c r="C7316" s="2" t="s">
        <v>29630</v>
      </c>
      <c r="D7316" s="2" t="s">
        <v>29631</v>
      </c>
      <c r="E7316" s="2" t="s">
        <v>29632</v>
      </c>
      <c r="F7316" s="2" t="b">
        <v>1</v>
      </c>
      <c r="G7316" s="2" t="b">
        <v>0</v>
      </c>
      <c r="H7316" s="2" t="s">
        <v>37</v>
      </c>
      <c r="I7316" s="2" t="s">
        <v>49</v>
      </c>
      <c r="J7316" s="2" t="s">
        <v>6932</v>
      </c>
      <c r="K7316" s="2" t="s">
        <v>495</v>
      </c>
      <c r="L7316" s="13" t="s">
        <v>496</v>
      </c>
      <c r="M7316" s="2" t="s">
        <v>26</v>
      </c>
      <c r="N7316" s="29"/>
      <c r="O7316" s="29"/>
      <c r="P7316" s="5" t="str">
        <f>IFERROR(__xludf.DUMMYFUNCTION("TEXTJOIN("" | "",TRUE,IF(OR(D7316="""",E7316="""",I7316="""",J7316="""",H7316=""""),""ফাঁকা ঘর"",""""),IF(AND(C7316&lt;&gt;"""",D7316&lt;&gt;"""",C7316=D7316),""gloss=figurative"",""""),IF(LEN(D7316)&lt;15,""figurative ছোট"",""""),IF(AND(I7316=""Positive"",REGEXMATCH(H7"&amp;"316,""মূর্খ|ভণ্ড|প্রতার|অলস|লোভ|স্বার্থ|অক্ষম|অযোগ্য|বোকা|কৃপণ|হিংস"")),""valence-target অমিল"",""""),IF(COUNTIF($B:$B,B7316)&gt;1,""ডুপ্লিকেট"",""""))"),"")</f>
        <v/>
      </c>
      <c r="Q7316" s="5" t="str">
        <f t="shared" si="1"/>
        <v>২ পরে</v>
      </c>
    </row>
    <row r="7317">
      <c r="A7317" s="4">
        <v>5513.0</v>
      </c>
      <c r="B7317" s="2" t="s">
        <v>29633</v>
      </c>
      <c r="C7317" s="2" t="s">
        <v>29634</v>
      </c>
      <c r="D7317" s="2" t="s">
        <v>29623</v>
      </c>
      <c r="E7317" s="2" t="s">
        <v>29635</v>
      </c>
      <c r="F7317" s="2" t="b">
        <v>1</v>
      </c>
      <c r="G7317" s="2" t="b">
        <v>0</v>
      </c>
      <c r="H7317" s="2" t="s">
        <v>756</v>
      </c>
      <c r="I7317" s="2" t="s">
        <v>22</v>
      </c>
      <c r="J7317" s="2" t="s">
        <v>300</v>
      </c>
      <c r="K7317" s="2" t="s">
        <v>495</v>
      </c>
      <c r="L7317" s="13" t="s">
        <v>496</v>
      </c>
      <c r="M7317" s="2" t="s">
        <v>26</v>
      </c>
      <c r="N7317" s="29"/>
      <c r="O7317" s="29"/>
      <c r="P7317" s="5" t="str">
        <f>IFERROR(__xludf.DUMMYFUNCTION("TEXTJOIN("" | "",TRUE,IF(OR(D7317="""",E7317="""",I7317="""",J7317="""",H7317=""""),""ফাঁকা ঘর"",""""),IF(AND(C7317&lt;&gt;"""",D7317&lt;&gt;"""",C7317=D7317),""gloss=figurative"",""""),IF(LEN(D7317)&lt;15,""figurative ছোট"",""""),IF(AND(I7317=""Positive"",REGEXMATCH(H7"&amp;"317,""মূর্খ|ভণ্ড|প্রতার|অলস|লোভ|স্বার্থ|অক্ষম|অযোগ্য|বোকা|কৃপণ|হিংস"")),""valence-target অমিল"",""""),IF(COUNTIF($B:$B,B7317)&gt;1,""ডুপ্লিকেট"",""""))"),"")</f>
        <v/>
      </c>
      <c r="Q7317" s="5" t="str">
        <f t="shared" si="1"/>
        <v>২ পরে</v>
      </c>
    </row>
    <row r="7318">
      <c r="A7318" s="4">
        <v>5515.0</v>
      </c>
      <c r="B7318" s="2" t="s">
        <v>29636</v>
      </c>
      <c r="C7318" s="2" t="s">
        <v>29637</v>
      </c>
      <c r="D7318" s="2" t="s">
        <v>29638</v>
      </c>
      <c r="E7318" s="2" t="s">
        <v>29639</v>
      </c>
      <c r="F7318" s="2" t="b">
        <v>1</v>
      </c>
      <c r="G7318" s="2" t="b">
        <v>1</v>
      </c>
      <c r="H7318" s="2" t="s">
        <v>1106</v>
      </c>
      <c r="I7318" s="2" t="s">
        <v>32</v>
      </c>
      <c r="J7318" s="2" t="s">
        <v>1239</v>
      </c>
      <c r="K7318" s="2" t="s">
        <v>495</v>
      </c>
      <c r="L7318" s="13" t="s">
        <v>496</v>
      </c>
      <c r="M7318" s="2" t="s">
        <v>26</v>
      </c>
      <c r="N7318" s="29"/>
      <c r="O7318" s="29"/>
      <c r="P7318" s="5" t="str">
        <f>IFERROR(__xludf.DUMMYFUNCTION("TEXTJOIN("" | "",TRUE,IF(OR(D7318="""",E7318="""",I7318="""",J7318="""",H7318=""""),""ফাঁকা ঘর"",""""),IF(AND(C7318&lt;&gt;"""",D7318&lt;&gt;"""",C7318=D7318),""gloss=figurative"",""""),IF(LEN(D7318)&lt;15,""figurative ছোট"",""""),IF(AND(I7318=""Positive"",REGEXMATCH(H7"&amp;"318,""মূর্খ|ভণ্ড|প্রতার|অলস|লোভ|স্বার্থ|অক্ষম|অযোগ্য|বোকা|কৃপণ|হিংস"")),""valence-target অমিল"",""""),IF(COUNTIF($B:$B,B7318)&gt;1,""ডুপ্লিকেট"",""""))"),"")</f>
        <v/>
      </c>
      <c r="Q7318" s="5" t="str">
        <f t="shared" si="1"/>
        <v>২ পরে</v>
      </c>
    </row>
    <row r="7319">
      <c r="A7319" s="4">
        <v>5516.0</v>
      </c>
      <c r="B7319" s="2" t="s">
        <v>29640</v>
      </c>
      <c r="C7319" s="2" t="s">
        <v>29641</v>
      </c>
      <c r="D7319" s="2" t="s">
        <v>29642</v>
      </c>
      <c r="E7319" s="2" t="s">
        <v>29643</v>
      </c>
      <c r="F7319" s="2" t="b">
        <v>1</v>
      </c>
      <c r="G7319" s="2" t="b">
        <v>0</v>
      </c>
      <c r="H7319" s="2" t="s">
        <v>37</v>
      </c>
      <c r="I7319" s="2" t="s">
        <v>22</v>
      </c>
      <c r="J7319" s="2" t="s">
        <v>2857</v>
      </c>
      <c r="K7319" s="2" t="s">
        <v>495</v>
      </c>
      <c r="L7319" s="13" t="s">
        <v>496</v>
      </c>
      <c r="M7319" s="2" t="s">
        <v>26</v>
      </c>
      <c r="N7319" s="29"/>
      <c r="O7319" s="29"/>
      <c r="P7319" s="5" t="str">
        <f>IFERROR(__xludf.DUMMYFUNCTION("TEXTJOIN("" | "",TRUE,IF(OR(D7319="""",E7319="""",I7319="""",J7319="""",H7319=""""),""ফাঁকা ঘর"",""""),IF(AND(C7319&lt;&gt;"""",D7319&lt;&gt;"""",C7319=D7319),""gloss=figurative"",""""),IF(LEN(D7319)&lt;15,""figurative ছোট"",""""),IF(AND(I7319=""Positive"",REGEXMATCH(H7"&amp;"319,""মূর্খ|ভণ্ড|প্রতার|অলস|লোভ|স্বার্থ|অক্ষম|অযোগ্য|বোকা|কৃপণ|হিংস"")),""valence-target অমিল"",""""),IF(COUNTIF($B:$B,B7319)&gt;1,""ডুপ্লিকেট"",""""))"),"")</f>
        <v/>
      </c>
      <c r="Q7319" s="5" t="str">
        <f t="shared" si="1"/>
        <v>২ পরে</v>
      </c>
    </row>
    <row r="7320">
      <c r="A7320" s="4">
        <v>5517.0</v>
      </c>
      <c r="B7320" s="2" t="s">
        <v>29644</v>
      </c>
      <c r="C7320" s="2" t="s">
        <v>29645</v>
      </c>
      <c r="D7320" s="2" t="s">
        <v>29646</v>
      </c>
      <c r="E7320" s="2" t="s">
        <v>29647</v>
      </c>
      <c r="F7320" s="2" t="b">
        <v>1</v>
      </c>
      <c r="G7320" s="2" t="b">
        <v>0</v>
      </c>
      <c r="H7320" s="2" t="s">
        <v>37</v>
      </c>
      <c r="I7320" s="2" t="s">
        <v>22</v>
      </c>
      <c r="J7320" s="2" t="s">
        <v>2857</v>
      </c>
      <c r="K7320" s="2" t="s">
        <v>495</v>
      </c>
      <c r="L7320" s="13" t="s">
        <v>496</v>
      </c>
      <c r="M7320" s="2" t="s">
        <v>26</v>
      </c>
      <c r="N7320" s="29"/>
      <c r="O7320" s="29"/>
      <c r="P7320" s="5" t="str">
        <f>IFERROR(__xludf.DUMMYFUNCTION("TEXTJOIN("" | "",TRUE,IF(OR(D7320="""",E7320="""",I7320="""",J7320="""",H7320=""""),""ফাঁকা ঘর"",""""),IF(AND(C7320&lt;&gt;"""",D7320&lt;&gt;"""",C7320=D7320),""gloss=figurative"",""""),IF(LEN(D7320)&lt;15,""figurative ছোট"",""""),IF(AND(I7320=""Positive"",REGEXMATCH(H7"&amp;"320,""মূর্খ|ভণ্ড|প্রতার|অলস|লোভ|স্বার্থ|অক্ষম|অযোগ্য|বোকা|কৃপণ|হিংস"")),""valence-target অমিল"",""""),IF(COUNTIF($B:$B,B7320)&gt;1,""ডুপ্লিকেট"",""""))"),"")</f>
        <v/>
      </c>
      <c r="Q7320" s="5" t="str">
        <f t="shared" si="1"/>
        <v>২ পরে</v>
      </c>
    </row>
    <row r="7321">
      <c r="A7321" s="4">
        <v>5520.0</v>
      </c>
      <c r="B7321" s="2" t="s">
        <v>29648</v>
      </c>
      <c r="C7321" s="2" t="s">
        <v>29649</v>
      </c>
      <c r="D7321" s="2" t="s">
        <v>29650</v>
      </c>
      <c r="E7321" s="2" t="s">
        <v>29651</v>
      </c>
      <c r="F7321" s="2" t="b">
        <v>1</v>
      </c>
      <c r="G7321" s="2" t="b">
        <v>0</v>
      </c>
      <c r="H7321" s="2" t="s">
        <v>2229</v>
      </c>
      <c r="I7321" s="2" t="s">
        <v>49</v>
      </c>
      <c r="J7321" s="2" t="s">
        <v>16278</v>
      </c>
      <c r="K7321" s="2" t="s">
        <v>495</v>
      </c>
      <c r="L7321" s="13" t="s">
        <v>496</v>
      </c>
      <c r="M7321" s="2" t="s">
        <v>26</v>
      </c>
      <c r="N7321" s="29"/>
      <c r="O7321" s="29"/>
      <c r="P7321" s="5" t="str">
        <f>IFERROR(__xludf.DUMMYFUNCTION("TEXTJOIN("" | "",TRUE,IF(OR(D7321="""",E7321="""",I7321="""",J7321="""",H7321=""""),""ফাঁকা ঘর"",""""),IF(AND(C7321&lt;&gt;"""",D7321&lt;&gt;"""",C7321=D7321),""gloss=figurative"",""""),IF(LEN(D7321)&lt;15,""figurative ছোট"",""""),IF(AND(I7321=""Positive"",REGEXMATCH(H7"&amp;"321,""মূর্খ|ভণ্ড|প্রতার|অলস|লোভ|স্বার্থ|অক্ষম|অযোগ্য|বোকা|কৃপণ|হিংস"")),""valence-target অমিল"",""""),IF(COUNTIF($B:$B,B7321)&gt;1,""ডুপ্লিকেট"",""""))"),"")</f>
        <v/>
      </c>
      <c r="Q7321" s="5" t="str">
        <f t="shared" si="1"/>
        <v>২ পরে</v>
      </c>
    </row>
    <row r="7322">
      <c r="A7322" s="4">
        <v>5521.0</v>
      </c>
      <c r="B7322" s="2" t="s">
        <v>29652</v>
      </c>
      <c r="C7322" s="2" t="s">
        <v>29653</v>
      </c>
      <c r="D7322" s="2" t="s">
        <v>29654</v>
      </c>
      <c r="E7322" s="2" t="s">
        <v>29655</v>
      </c>
      <c r="F7322" s="2" t="b">
        <v>1</v>
      </c>
      <c r="G7322" s="2" t="b">
        <v>0</v>
      </c>
      <c r="H7322" s="2" t="s">
        <v>37</v>
      </c>
      <c r="I7322" s="2" t="s">
        <v>22</v>
      </c>
      <c r="J7322" s="2" t="s">
        <v>820</v>
      </c>
      <c r="K7322" s="2" t="s">
        <v>495</v>
      </c>
      <c r="L7322" s="13" t="s">
        <v>496</v>
      </c>
      <c r="M7322" s="2" t="s">
        <v>26</v>
      </c>
      <c r="N7322" s="29"/>
      <c r="O7322" s="29"/>
      <c r="P7322" s="5" t="str">
        <f>IFERROR(__xludf.DUMMYFUNCTION("TEXTJOIN("" | "",TRUE,IF(OR(D7322="""",E7322="""",I7322="""",J7322="""",H7322=""""),""ফাঁকা ঘর"",""""),IF(AND(C7322&lt;&gt;"""",D7322&lt;&gt;"""",C7322=D7322),""gloss=figurative"",""""),IF(LEN(D7322)&lt;15,""figurative ছোট"",""""),IF(AND(I7322=""Positive"",REGEXMATCH(H7"&amp;"322,""মূর্খ|ভণ্ড|প্রতার|অলস|লোভ|স্বার্থ|অক্ষম|অযোগ্য|বোকা|কৃপণ|হিংস"")),""valence-target অমিল"",""""),IF(COUNTIF($B:$B,B7322)&gt;1,""ডুপ্লিকেট"",""""))"),"")</f>
        <v/>
      </c>
      <c r="Q7322" s="5" t="str">
        <f t="shared" si="1"/>
        <v>২ পরে</v>
      </c>
    </row>
    <row r="7323">
      <c r="A7323" s="4">
        <v>5522.0</v>
      </c>
      <c r="B7323" s="2" t="s">
        <v>29656</v>
      </c>
      <c r="C7323" s="2" t="s">
        <v>29657</v>
      </c>
      <c r="D7323" s="2" t="s">
        <v>29658</v>
      </c>
      <c r="E7323" s="2" t="s">
        <v>29659</v>
      </c>
      <c r="F7323" s="2" t="b">
        <v>1</v>
      </c>
      <c r="G7323" s="2" t="b">
        <v>0</v>
      </c>
      <c r="H7323" s="2" t="s">
        <v>37</v>
      </c>
      <c r="I7323" s="2" t="s">
        <v>49</v>
      </c>
      <c r="J7323" s="2" t="s">
        <v>11358</v>
      </c>
      <c r="K7323" s="2" t="s">
        <v>495</v>
      </c>
      <c r="L7323" s="13" t="s">
        <v>496</v>
      </c>
      <c r="M7323" s="2" t="s">
        <v>26</v>
      </c>
      <c r="N7323" s="29"/>
      <c r="O7323" s="29"/>
      <c r="P7323" s="5" t="str">
        <f>IFERROR(__xludf.DUMMYFUNCTION("TEXTJOIN("" | "",TRUE,IF(OR(D7323="""",E7323="""",I7323="""",J7323="""",H7323=""""),""ফাঁকা ঘর"",""""),IF(AND(C7323&lt;&gt;"""",D7323&lt;&gt;"""",C7323=D7323),""gloss=figurative"",""""),IF(LEN(D7323)&lt;15,""figurative ছোট"",""""),IF(AND(I7323=""Positive"",REGEXMATCH(H7"&amp;"323,""মূর্খ|ভণ্ড|প্রতার|অলস|লোভ|স্বার্থ|অক্ষম|অযোগ্য|বোকা|কৃপণ|হিংস"")),""valence-target অমিল"",""""),IF(COUNTIF($B:$B,B7323)&gt;1,""ডুপ্লিকেট"",""""))"),"")</f>
        <v/>
      </c>
      <c r="Q7323" s="5" t="str">
        <f t="shared" si="1"/>
        <v>২ পরে</v>
      </c>
    </row>
    <row r="7324">
      <c r="A7324" s="4">
        <v>5523.0</v>
      </c>
      <c r="B7324" s="2" t="s">
        <v>29660</v>
      </c>
      <c r="C7324" s="2" t="s">
        <v>29661</v>
      </c>
      <c r="D7324" s="2" t="s">
        <v>29662</v>
      </c>
      <c r="E7324" s="2" t="s">
        <v>29663</v>
      </c>
      <c r="F7324" s="2" t="b">
        <v>1</v>
      </c>
      <c r="G7324" s="2" t="b">
        <v>0</v>
      </c>
      <c r="H7324" s="2" t="s">
        <v>37</v>
      </c>
      <c r="I7324" s="2" t="s">
        <v>49</v>
      </c>
      <c r="J7324" s="2" t="s">
        <v>2386</v>
      </c>
      <c r="K7324" s="2" t="s">
        <v>495</v>
      </c>
      <c r="L7324" s="13" t="s">
        <v>496</v>
      </c>
      <c r="M7324" s="2" t="s">
        <v>26</v>
      </c>
      <c r="N7324" s="29"/>
      <c r="O7324" s="29"/>
      <c r="P7324" s="5" t="str">
        <f>IFERROR(__xludf.DUMMYFUNCTION("TEXTJOIN("" | "",TRUE,IF(OR(D7324="""",E7324="""",I7324="""",J7324="""",H7324=""""),""ফাঁকা ঘর"",""""),IF(AND(C7324&lt;&gt;"""",D7324&lt;&gt;"""",C7324=D7324),""gloss=figurative"",""""),IF(LEN(D7324)&lt;15,""figurative ছোট"",""""),IF(AND(I7324=""Positive"",REGEXMATCH(H7"&amp;"324,""মূর্খ|ভণ্ড|প্রতার|অলস|লোভ|স্বার্থ|অক্ষম|অযোগ্য|বোকা|কৃপণ|হিংস"")),""valence-target অমিল"",""""),IF(COUNTIF($B:$B,B7324)&gt;1,""ডুপ্লিকেট"",""""))"),"")</f>
        <v/>
      </c>
      <c r="Q7324" s="5" t="str">
        <f t="shared" si="1"/>
        <v>২ পরে</v>
      </c>
    </row>
    <row r="7325">
      <c r="A7325" s="4">
        <v>5524.0</v>
      </c>
      <c r="B7325" s="2" t="s">
        <v>29664</v>
      </c>
      <c r="C7325" s="2" t="s">
        <v>29665</v>
      </c>
      <c r="D7325" s="2" t="s">
        <v>29666</v>
      </c>
      <c r="E7325" s="2" t="s">
        <v>29667</v>
      </c>
      <c r="F7325" s="2" t="b">
        <v>1</v>
      </c>
      <c r="G7325" s="2" t="b">
        <v>0</v>
      </c>
      <c r="H7325" s="2" t="s">
        <v>37</v>
      </c>
      <c r="I7325" s="2" t="s">
        <v>32</v>
      </c>
      <c r="J7325" s="2" t="s">
        <v>868</v>
      </c>
      <c r="K7325" s="2" t="s">
        <v>495</v>
      </c>
      <c r="L7325" s="13" t="s">
        <v>496</v>
      </c>
      <c r="M7325" s="2" t="s">
        <v>26</v>
      </c>
      <c r="N7325" s="29"/>
      <c r="O7325" s="29"/>
      <c r="P7325" s="5" t="str">
        <f>IFERROR(__xludf.DUMMYFUNCTION("TEXTJOIN("" | "",TRUE,IF(OR(D7325="""",E7325="""",I7325="""",J7325="""",H7325=""""),""ফাঁকা ঘর"",""""),IF(AND(C7325&lt;&gt;"""",D7325&lt;&gt;"""",C7325=D7325),""gloss=figurative"",""""),IF(LEN(D7325)&lt;15,""figurative ছোট"",""""),IF(AND(I7325=""Positive"",REGEXMATCH(H7"&amp;"325,""মূর্খ|ভণ্ড|প্রতার|অলস|লোভ|স্বার্থ|অক্ষম|অযোগ্য|বোকা|কৃপণ|হিংস"")),""valence-target অমিল"",""""),IF(COUNTIF($B:$B,B7325)&gt;1,""ডুপ্লিকেট"",""""))"),"")</f>
        <v/>
      </c>
      <c r="Q7325" s="5" t="str">
        <f t="shared" si="1"/>
        <v>২ পরে</v>
      </c>
    </row>
    <row r="7326">
      <c r="A7326" s="4">
        <v>5525.0</v>
      </c>
      <c r="B7326" s="2" t="s">
        <v>29668</v>
      </c>
      <c r="C7326" s="2" t="s">
        <v>29669</v>
      </c>
      <c r="D7326" s="2" t="s">
        <v>29670</v>
      </c>
      <c r="E7326" s="2" t="s">
        <v>29671</v>
      </c>
      <c r="F7326" s="2" t="b">
        <v>1</v>
      </c>
      <c r="G7326" s="2" t="b">
        <v>0</v>
      </c>
      <c r="H7326" s="2" t="s">
        <v>3161</v>
      </c>
      <c r="I7326" s="2" t="s">
        <v>22</v>
      </c>
      <c r="J7326" s="2" t="s">
        <v>601</v>
      </c>
      <c r="K7326" s="2" t="s">
        <v>495</v>
      </c>
      <c r="L7326" s="13" t="s">
        <v>496</v>
      </c>
      <c r="M7326" s="2" t="s">
        <v>26</v>
      </c>
      <c r="N7326" s="29"/>
      <c r="O7326" s="29"/>
      <c r="P7326" s="5" t="str">
        <f>IFERROR(__xludf.DUMMYFUNCTION("TEXTJOIN("" | "",TRUE,IF(OR(D7326="""",E7326="""",I7326="""",J7326="""",H7326=""""),""ফাঁকা ঘর"",""""),IF(AND(C7326&lt;&gt;"""",D7326&lt;&gt;"""",C7326=D7326),""gloss=figurative"",""""),IF(LEN(D7326)&lt;15,""figurative ছোট"",""""),IF(AND(I7326=""Positive"",REGEXMATCH(H7"&amp;"326,""মূর্খ|ভণ্ড|প্রতার|অলস|লোভ|স্বার্থ|অক্ষম|অযোগ্য|বোকা|কৃপণ|হিংস"")),""valence-target অমিল"",""""),IF(COUNTIF($B:$B,B7326)&gt;1,""ডুপ্লিকেট"",""""))"),"")</f>
        <v/>
      </c>
      <c r="Q7326" s="5" t="str">
        <f t="shared" si="1"/>
        <v>২ পরে</v>
      </c>
    </row>
    <row r="7327">
      <c r="A7327" s="4">
        <v>5526.0</v>
      </c>
      <c r="B7327" s="2" t="s">
        <v>29672</v>
      </c>
      <c r="C7327" s="2" t="s">
        <v>29672</v>
      </c>
      <c r="D7327" s="2" t="s">
        <v>29673</v>
      </c>
      <c r="E7327" s="2" t="s">
        <v>29674</v>
      </c>
      <c r="F7327" s="2" t="b">
        <v>1</v>
      </c>
      <c r="G7327" s="2" t="b">
        <v>0</v>
      </c>
      <c r="H7327" s="2" t="s">
        <v>37</v>
      </c>
      <c r="I7327" s="2" t="s">
        <v>32</v>
      </c>
      <c r="J7327" s="2" t="s">
        <v>436</v>
      </c>
      <c r="K7327" s="2" t="s">
        <v>495</v>
      </c>
      <c r="L7327" s="13" t="s">
        <v>496</v>
      </c>
      <c r="M7327" s="2" t="s">
        <v>26</v>
      </c>
      <c r="N7327" s="29"/>
      <c r="O7327" s="29"/>
      <c r="P7327" s="5" t="str">
        <f>IFERROR(__xludf.DUMMYFUNCTION("TEXTJOIN("" | "",TRUE,IF(OR(D7327="""",E7327="""",I7327="""",J7327="""",H7327=""""),""ফাঁকা ঘর"",""""),IF(AND(C7327&lt;&gt;"""",D7327&lt;&gt;"""",C7327=D7327),""gloss=figurative"",""""),IF(LEN(D7327)&lt;15,""figurative ছোট"",""""),IF(AND(I7327=""Positive"",REGEXMATCH(H7"&amp;"327,""মূর্খ|ভণ্ড|প্রতার|অলস|লোভ|স্বার্থ|অক্ষম|অযোগ্য|বোকা|কৃপণ|হিংস"")),""valence-target অমিল"",""""),IF(COUNTIF($B:$B,B7327)&gt;1,""ডুপ্লিকেট"",""""))"),"")</f>
        <v/>
      </c>
      <c r="Q7327" s="5" t="str">
        <f t="shared" si="1"/>
        <v>২ পরে</v>
      </c>
    </row>
    <row r="7328">
      <c r="A7328" s="4">
        <v>5527.0</v>
      </c>
      <c r="B7328" s="2" t="s">
        <v>19985</v>
      </c>
      <c r="C7328" s="2" t="s">
        <v>29675</v>
      </c>
      <c r="D7328" s="2" t="s">
        <v>29676</v>
      </c>
      <c r="E7328" s="2" t="s">
        <v>29677</v>
      </c>
      <c r="F7328" s="2" t="b">
        <v>1</v>
      </c>
      <c r="G7328" s="2" t="b">
        <v>0</v>
      </c>
      <c r="H7328" s="2" t="s">
        <v>37</v>
      </c>
      <c r="I7328" s="2" t="s">
        <v>49</v>
      </c>
      <c r="J7328" s="2" t="s">
        <v>300</v>
      </c>
      <c r="K7328" s="2" t="s">
        <v>495</v>
      </c>
      <c r="L7328" s="13" t="s">
        <v>496</v>
      </c>
      <c r="M7328" s="2" t="s">
        <v>26</v>
      </c>
      <c r="N7328" s="29"/>
      <c r="O7328" s="29"/>
      <c r="P7328" s="5" t="str">
        <f>IFERROR(__xludf.DUMMYFUNCTION("TEXTJOIN("" | "",TRUE,IF(OR(D7328="""",E7328="""",I7328="""",J7328="""",H7328=""""),""ফাঁকা ঘর"",""""),IF(AND(C7328&lt;&gt;"""",D7328&lt;&gt;"""",C7328=D7328),""gloss=figurative"",""""),IF(LEN(D7328)&lt;15,""figurative ছোট"",""""),IF(AND(I7328=""Positive"",REGEXMATCH(H7"&amp;"328,""মূর্খ|ভণ্ড|প্রতার|অলস|লোভ|স্বার্থ|অক্ষম|অযোগ্য|বোকা|কৃপণ|হিংস"")),""valence-target অমিল"",""""),IF(COUNTIF($B:$B,B7328)&gt;1,""ডুপ্লিকেট"",""""))"),"")</f>
        <v/>
      </c>
      <c r="Q7328" s="5" t="str">
        <f t="shared" si="1"/>
        <v>২ পরে</v>
      </c>
    </row>
    <row r="7329">
      <c r="A7329" s="4">
        <v>5528.0</v>
      </c>
      <c r="B7329" s="2" t="s">
        <v>29678</v>
      </c>
      <c r="C7329" s="2" t="s">
        <v>19989</v>
      </c>
      <c r="D7329" s="2" t="s">
        <v>29679</v>
      </c>
      <c r="E7329" s="2" t="s">
        <v>29680</v>
      </c>
      <c r="F7329" s="2" t="b">
        <v>1</v>
      </c>
      <c r="G7329" s="2" t="b">
        <v>0</v>
      </c>
      <c r="H7329" s="2" t="s">
        <v>37</v>
      </c>
      <c r="I7329" s="2" t="s">
        <v>22</v>
      </c>
      <c r="J7329" s="2" t="s">
        <v>3156</v>
      </c>
      <c r="K7329" s="2" t="s">
        <v>495</v>
      </c>
      <c r="L7329" s="13" t="s">
        <v>496</v>
      </c>
      <c r="M7329" s="2" t="s">
        <v>26</v>
      </c>
      <c r="N7329" s="29"/>
      <c r="O7329" s="29"/>
      <c r="P7329" s="5" t="str">
        <f>IFERROR(__xludf.DUMMYFUNCTION("TEXTJOIN("" | "",TRUE,IF(OR(D7329="""",E7329="""",I7329="""",J7329="""",H7329=""""),""ফাঁকা ঘর"",""""),IF(AND(C7329&lt;&gt;"""",D7329&lt;&gt;"""",C7329=D7329),""gloss=figurative"",""""),IF(LEN(D7329)&lt;15,""figurative ছোট"",""""),IF(AND(I7329=""Positive"",REGEXMATCH(H7"&amp;"329,""মূর্খ|ভণ্ড|প্রতার|অলস|লোভ|স্বার্থ|অক্ষম|অযোগ্য|বোকা|কৃপণ|হিংস"")),""valence-target অমিল"",""""),IF(COUNTIF($B:$B,B7329)&gt;1,""ডুপ্লিকেট"",""""))"),"")</f>
        <v/>
      </c>
      <c r="Q7329" s="5" t="str">
        <f t="shared" si="1"/>
        <v>২ পরে</v>
      </c>
    </row>
    <row r="7330">
      <c r="A7330" s="4">
        <v>5529.0</v>
      </c>
      <c r="B7330" s="2" t="s">
        <v>29681</v>
      </c>
      <c r="C7330" s="2" t="s">
        <v>29682</v>
      </c>
      <c r="D7330" s="2" t="s">
        <v>29683</v>
      </c>
      <c r="E7330" s="2" t="s">
        <v>29684</v>
      </c>
      <c r="F7330" s="2" t="b">
        <v>1</v>
      </c>
      <c r="G7330" s="2" t="b">
        <v>1</v>
      </c>
      <c r="H7330" s="2" t="s">
        <v>1211</v>
      </c>
      <c r="I7330" s="2" t="s">
        <v>49</v>
      </c>
      <c r="J7330" s="2" t="s">
        <v>1443</v>
      </c>
      <c r="K7330" s="2" t="s">
        <v>495</v>
      </c>
      <c r="L7330" s="13" t="s">
        <v>496</v>
      </c>
      <c r="M7330" s="2" t="s">
        <v>26</v>
      </c>
      <c r="N7330" s="29"/>
      <c r="O7330" s="29"/>
      <c r="P7330" s="5" t="str">
        <f>IFERROR(__xludf.DUMMYFUNCTION("TEXTJOIN("" | "",TRUE,IF(OR(D7330="""",E7330="""",I7330="""",J7330="""",H7330=""""),""ফাঁকা ঘর"",""""),IF(AND(C7330&lt;&gt;"""",D7330&lt;&gt;"""",C7330=D7330),""gloss=figurative"",""""),IF(LEN(D7330)&lt;15,""figurative ছোট"",""""),IF(AND(I7330=""Positive"",REGEXMATCH(H7"&amp;"330,""মূর্খ|ভণ্ড|প্রতার|অলস|লোভ|স্বার্থ|অক্ষম|অযোগ্য|বোকা|কৃপণ|হিংস"")),""valence-target অমিল"",""""),IF(COUNTIF($B:$B,B7330)&gt;1,""ডুপ্লিকেট"",""""))"),"")</f>
        <v/>
      </c>
      <c r="Q7330" s="5" t="str">
        <f t="shared" si="1"/>
        <v>২ পরে</v>
      </c>
    </row>
    <row r="7331">
      <c r="A7331" s="4">
        <v>5530.0</v>
      </c>
      <c r="B7331" s="2" t="s">
        <v>29685</v>
      </c>
      <c r="C7331" s="2" t="s">
        <v>29686</v>
      </c>
      <c r="D7331" s="2" t="s">
        <v>29687</v>
      </c>
      <c r="E7331" s="2" t="s">
        <v>29688</v>
      </c>
      <c r="F7331" s="2" t="b">
        <v>1</v>
      </c>
      <c r="G7331" s="2" t="b">
        <v>0</v>
      </c>
      <c r="H7331" s="2" t="s">
        <v>37</v>
      </c>
      <c r="I7331" s="2" t="s">
        <v>32</v>
      </c>
      <c r="J7331" s="2" t="s">
        <v>2835</v>
      </c>
      <c r="K7331" s="2" t="s">
        <v>495</v>
      </c>
      <c r="L7331" s="13" t="s">
        <v>496</v>
      </c>
      <c r="M7331" s="2" t="s">
        <v>26</v>
      </c>
      <c r="N7331" s="29"/>
      <c r="O7331" s="29"/>
      <c r="P7331" s="5" t="str">
        <f>IFERROR(__xludf.DUMMYFUNCTION("TEXTJOIN("" | "",TRUE,IF(OR(D7331="""",E7331="""",I7331="""",J7331="""",H7331=""""),""ফাঁকা ঘর"",""""),IF(AND(C7331&lt;&gt;"""",D7331&lt;&gt;"""",C7331=D7331),""gloss=figurative"",""""),IF(LEN(D7331)&lt;15,""figurative ছোট"",""""),IF(AND(I7331=""Positive"",REGEXMATCH(H7"&amp;"331,""মূর্খ|ভণ্ড|প্রতার|অলস|লোভ|স্বার্থ|অক্ষম|অযোগ্য|বোকা|কৃপণ|হিংস"")),""valence-target অমিল"",""""),IF(COUNTIF($B:$B,B7331)&gt;1,""ডুপ্লিকেট"",""""))"),"")</f>
        <v/>
      </c>
      <c r="Q7331" s="5" t="str">
        <f t="shared" si="1"/>
        <v>২ পরে</v>
      </c>
    </row>
    <row r="7332">
      <c r="A7332" s="4">
        <v>5532.0</v>
      </c>
      <c r="B7332" s="2" t="s">
        <v>29689</v>
      </c>
      <c r="C7332" s="2" t="s">
        <v>29690</v>
      </c>
      <c r="D7332" s="2" t="s">
        <v>29691</v>
      </c>
      <c r="E7332" s="2" t="s">
        <v>29692</v>
      </c>
      <c r="F7332" s="2" t="b">
        <v>1</v>
      </c>
      <c r="G7332" s="2" t="b">
        <v>0</v>
      </c>
      <c r="H7332" s="2" t="s">
        <v>37</v>
      </c>
      <c r="I7332" s="2" t="s">
        <v>22</v>
      </c>
      <c r="J7332" s="2" t="s">
        <v>708</v>
      </c>
      <c r="K7332" s="2" t="s">
        <v>495</v>
      </c>
      <c r="L7332" s="13" t="s">
        <v>496</v>
      </c>
      <c r="M7332" s="2" t="s">
        <v>26</v>
      </c>
      <c r="N7332" s="29"/>
      <c r="O7332" s="29"/>
      <c r="P7332" s="5" t="str">
        <f>IFERROR(__xludf.DUMMYFUNCTION("TEXTJOIN("" | "",TRUE,IF(OR(D7332="""",E7332="""",I7332="""",J7332="""",H7332=""""),""ফাঁকা ঘর"",""""),IF(AND(C7332&lt;&gt;"""",D7332&lt;&gt;"""",C7332=D7332),""gloss=figurative"",""""),IF(LEN(D7332)&lt;15,""figurative ছোট"",""""),IF(AND(I7332=""Positive"",REGEXMATCH(H7"&amp;"332,""মূর্খ|ভণ্ড|প্রতার|অলস|লোভ|স্বার্থ|অক্ষম|অযোগ্য|বোকা|কৃপণ|হিংস"")),""valence-target অমিল"",""""),IF(COUNTIF($B:$B,B7332)&gt;1,""ডুপ্লিকেট"",""""))"),"")</f>
        <v/>
      </c>
      <c r="Q7332" s="5" t="str">
        <f t="shared" si="1"/>
        <v>২ পরে</v>
      </c>
    </row>
    <row r="7333">
      <c r="A7333" s="4">
        <v>5533.0</v>
      </c>
      <c r="B7333" s="2" t="s">
        <v>29693</v>
      </c>
      <c r="C7333" s="2" t="s">
        <v>29693</v>
      </c>
      <c r="D7333" s="2" t="s">
        <v>29694</v>
      </c>
      <c r="E7333" s="2" t="s">
        <v>29695</v>
      </c>
      <c r="F7333" s="2" t="b">
        <v>1</v>
      </c>
      <c r="G7333" s="2" t="b">
        <v>0</v>
      </c>
      <c r="H7333" s="2" t="s">
        <v>37</v>
      </c>
      <c r="I7333" s="2" t="s">
        <v>22</v>
      </c>
      <c r="J7333" s="2" t="s">
        <v>581</v>
      </c>
      <c r="K7333" s="2" t="s">
        <v>495</v>
      </c>
      <c r="L7333" s="13" t="s">
        <v>496</v>
      </c>
      <c r="M7333" s="2" t="s">
        <v>26</v>
      </c>
      <c r="N7333" s="29"/>
      <c r="O7333" s="29"/>
      <c r="P7333" s="5" t="str">
        <f>IFERROR(__xludf.DUMMYFUNCTION("TEXTJOIN("" | "",TRUE,IF(OR(D7333="""",E7333="""",I7333="""",J7333="""",H7333=""""),""ফাঁকা ঘর"",""""),IF(AND(C7333&lt;&gt;"""",D7333&lt;&gt;"""",C7333=D7333),""gloss=figurative"",""""),IF(LEN(D7333)&lt;15,""figurative ছোট"",""""),IF(AND(I7333=""Positive"",REGEXMATCH(H7"&amp;"333,""মূর্খ|ভণ্ড|প্রতার|অলস|লোভ|স্বার্থ|অক্ষম|অযোগ্য|বোকা|কৃপণ|হিংস"")),""valence-target অমিল"",""""),IF(COUNTIF($B:$B,B7333)&gt;1,""ডুপ্লিকেট"",""""))"),"")</f>
        <v/>
      </c>
      <c r="Q7333" s="5" t="str">
        <f t="shared" si="1"/>
        <v>২ পরে</v>
      </c>
    </row>
    <row r="7334">
      <c r="A7334" s="4">
        <v>5535.0</v>
      </c>
      <c r="B7334" s="2" t="s">
        <v>29696</v>
      </c>
      <c r="C7334" s="2" t="s">
        <v>29697</v>
      </c>
      <c r="D7334" s="2" t="s">
        <v>29698</v>
      </c>
      <c r="E7334" s="2" t="s">
        <v>29699</v>
      </c>
      <c r="F7334" s="2" t="b">
        <v>1</v>
      </c>
      <c r="G7334" s="2" t="b">
        <v>0</v>
      </c>
      <c r="H7334" s="2" t="s">
        <v>37</v>
      </c>
      <c r="I7334" s="2" t="s">
        <v>32</v>
      </c>
      <c r="J7334" s="2" t="s">
        <v>1553</v>
      </c>
      <c r="K7334" s="2" t="s">
        <v>495</v>
      </c>
      <c r="L7334" s="13" t="s">
        <v>496</v>
      </c>
      <c r="M7334" s="2" t="s">
        <v>26</v>
      </c>
      <c r="N7334" s="29"/>
      <c r="O7334" s="29"/>
      <c r="P7334" s="5" t="str">
        <f>IFERROR(__xludf.DUMMYFUNCTION("TEXTJOIN("" | "",TRUE,IF(OR(D7334="""",E7334="""",I7334="""",J7334="""",H7334=""""),""ফাঁকা ঘর"",""""),IF(AND(C7334&lt;&gt;"""",D7334&lt;&gt;"""",C7334=D7334),""gloss=figurative"",""""),IF(LEN(D7334)&lt;15,""figurative ছোট"",""""),IF(AND(I7334=""Positive"",REGEXMATCH(H7"&amp;"334,""মূর্খ|ভণ্ড|প্রতার|অলস|লোভ|স্বার্থ|অক্ষম|অযোগ্য|বোকা|কৃপণ|হিংস"")),""valence-target অমিল"",""""),IF(COUNTIF($B:$B,B7334)&gt;1,""ডুপ্লিকেট"",""""))"),"")</f>
        <v/>
      </c>
      <c r="Q7334" s="5" t="str">
        <f t="shared" si="1"/>
        <v>২ পরে</v>
      </c>
    </row>
    <row r="7335">
      <c r="A7335" s="4">
        <v>5536.0</v>
      </c>
      <c r="B7335" s="2" t="s">
        <v>29700</v>
      </c>
      <c r="C7335" s="2" t="s">
        <v>29701</v>
      </c>
      <c r="D7335" s="2" t="s">
        <v>29702</v>
      </c>
      <c r="E7335" s="2" t="s">
        <v>29703</v>
      </c>
      <c r="F7335" s="2" t="b">
        <v>1</v>
      </c>
      <c r="G7335" s="2" t="b">
        <v>0</v>
      </c>
      <c r="H7335" s="2" t="s">
        <v>37</v>
      </c>
      <c r="I7335" s="2" t="s">
        <v>22</v>
      </c>
      <c r="J7335" s="2" t="s">
        <v>820</v>
      </c>
      <c r="K7335" s="2" t="s">
        <v>495</v>
      </c>
      <c r="L7335" s="13" t="s">
        <v>496</v>
      </c>
      <c r="M7335" s="2" t="s">
        <v>26</v>
      </c>
      <c r="N7335" s="29"/>
      <c r="O7335" s="29"/>
      <c r="P7335" s="5" t="str">
        <f>IFERROR(__xludf.DUMMYFUNCTION("TEXTJOIN("" | "",TRUE,IF(OR(D7335="""",E7335="""",I7335="""",J7335="""",H7335=""""),""ফাঁকা ঘর"",""""),IF(AND(C7335&lt;&gt;"""",D7335&lt;&gt;"""",C7335=D7335),""gloss=figurative"",""""),IF(LEN(D7335)&lt;15,""figurative ছোট"",""""),IF(AND(I7335=""Positive"",REGEXMATCH(H7"&amp;"335,""মূর্খ|ভণ্ড|প্রতার|অলস|লোভ|স্বার্থ|অক্ষম|অযোগ্য|বোকা|কৃপণ|হিংস"")),""valence-target অমিল"",""""),IF(COUNTIF($B:$B,B7335)&gt;1,""ডুপ্লিকেট"",""""))"),"")</f>
        <v/>
      </c>
      <c r="Q7335" s="5" t="str">
        <f t="shared" si="1"/>
        <v>২ পরে</v>
      </c>
    </row>
    <row r="7336">
      <c r="A7336" s="4">
        <v>5538.0</v>
      </c>
      <c r="B7336" s="2" t="s">
        <v>29704</v>
      </c>
      <c r="C7336" s="2" t="s">
        <v>29704</v>
      </c>
      <c r="D7336" s="2" t="s">
        <v>29705</v>
      </c>
      <c r="E7336" s="2" t="s">
        <v>29706</v>
      </c>
      <c r="F7336" s="2" t="b">
        <v>1</v>
      </c>
      <c r="G7336" s="2" t="b">
        <v>0</v>
      </c>
      <c r="H7336" s="2" t="s">
        <v>37</v>
      </c>
      <c r="I7336" s="2" t="s">
        <v>32</v>
      </c>
      <c r="J7336" s="2" t="s">
        <v>5524</v>
      </c>
      <c r="K7336" s="2" t="s">
        <v>495</v>
      </c>
      <c r="L7336" s="13" t="s">
        <v>496</v>
      </c>
      <c r="M7336" s="2" t="s">
        <v>26</v>
      </c>
      <c r="N7336" s="29"/>
      <c r="O7336" s="29"/>
      <c r="P7336" s="5" t="str">
        <f>IFERROR(__xludf.DUMMYFUNCTION("TEXTJOIN("" | "",TRUE,IF(OR(D7336="""",E7336="""",I7336="""",J7336="""",H7336=""""),""ফাঁকা ঘর"",""""),IF(AND(C7336&lt;&gt;"""",D7336&lt;&gt;"""",C7336=D7336),""gloss=figurative"",""""),IF(LEN(D7336)&lt;15,""figurative ছোট"",""""),IF(AND(I7336=""Positive"",REGEXMATCH(H7"&amp;"336,""মূর্খ|ভণ্ড|প্রতার|অলস|লোভ|স্বার্থ|অক্ষম|অযোগ্য|বোকা|কৃপণ|হিংস"")),""valence-target অমিল"",""""),IF(COUNTIF($B:$B,B7336)&gt;1,""ডুপ্লিকেট"",""""))"),"")</f>
        <v/>
      </c>
      <c r="Q7336" s="5" t="str">
        <f t="shared" si="1"/>
        <v>২ পরে</v>
      </c>
    </row>
    <row r="7337">
      <c r="A7337" s="4">
        <v>5539.0</v>
      </c>
      <c r="B7337" s="2" t="s">
        <v>29707</v>
      </c>
      <c r="C7337" s="2" t="s">
        <v>29708</v>
      </c>
      <c r="D7337" s="2" t="s">
        <v>29709</v>
      </c>
      <c r="E7337" s="2" t="s">
        <v>29710</v>
      </c>
      <c r="F7337" s="2" t="b">
        <v>1</v>
      </c>
      <c r="G7337" s="2" t="b">
        <v>0</v>
      </c>
      <c r="H7337" s="2" t="s">
        <v>37</v>
      </c>
      <c r="I7337" s="2" t="s">
        <v>32</v>
      </c>
      <c r="J7337" s="2" t="s">
        <v>964</v>
      </c>
      <c r="K7337" s="2" t="s">
        <v>495</v>
      </c>
      <c r="L7337" s="13" t="s">
        <v>496</v>
      </c>
      <c r="M7337" s="2" t="s">
        <v>26</v>
      </c>
      <c r="N7337" s="29"/>
      <c r="O7337" s="29"/>
      <c r="P7337" s="5" t="str">
        <f>IFERROR(__xludf.DUMMYFUNCTION("TEXTJOIN("" | "",TRUE,IF(OR(D7337="""",E7337="""",I7337="""",J7337="""",H7337=""""),""ফাঁকা ঘর"",""""),IF(AND(C7337&lt;&gt;"""",D7337&lt;&gt;"""",C7337=D7337),""gloss=figurative"",""""),IF(LEN(D7337)&lt;15,""figurative ছোট"",""""),IF(AND(I7337=""Positive"",REGEXMATCH(H7"&amp;"337,""মূর্খ|ভণ্ড|প্রতার|অলস|লোভ|স্বার্থ|অক্ষম|অযোগ্য|বোকা|কৃপণ|হিংস"")),""valence-target অমিল"",""""),IF(COUNTIF($B:$B,B7337)&gt;1,""ডুপ্লিকেট"",""""))"),"")</f>
        <v/>
      </c>
      <c r="Q7337" s="5" t="str">
        <f t="shared" si="1"/>
        <v>২ পরে</v>
      </c>
    </row>
    <row r="7338">
      <c r="A7338" s="4">
        <v>5540.0</v>
      </c>
      <c r="B7338" s="2" t="s">
        <v>29711</v>
      </c>
      <c r="C7338" s="2" t="s">
        <v>29712</v>
      </c>
      <c r="D7338" s="2" t="s">
        <v>29713</v>
      </c>
      <c r="E7338" s="2" t="s">
        <v>29714</v>
      </c>
      <c r="F7338" s="2" t="b">
        <v>1</v>
      </c>
      <c r="G7338" s="2" t="b">
        <v>0</v>
      </c>
      <c r="H7338" s="2" t="s">
        <v>749</v>
      </c>
      <c r="I7338" s="2" t="s">
        <v>22</v>
      </c>
      <c r="J7338" s="2" t="s">
        <v>750</v>
      </c>
      <c r="K7338" s="2" t="s">
        <v>495</v>
      </c>
      <c r="L7338" s="13" t="s">
        <v>496</v>
      </c>
      <c r="M7338" s="2" t="s">
        <v>26</v>
      </c>
      <c r="N7338" s="29"/>
      <c r="O7338" s="29"/>
      <c r="P7338" s="5" t="str">
        <f>IFERROR(__xludf.DUMMYFUNCTION("TEXTJOIN("" | "",TRUE,IF(OR(D7338="""",E7338="""",I7338="""",J7338="""",H7338=""""),""ফাঁকা ঘর"",""""),IF(AND(C7338&lt;&gt;"""",D7338&lt;&gt;"""",C7338=D7338),""gloss=figurative"",""""),IF(LEN(D7338)&lt;15,""figurative ছোট"",""""),IF(AND(I7338=""Positive"",REGEXMATCH(H7"&amp;"338,""মূর্খ|ভণ্ড|প্রতার|অলস|লোভ|স্বার্থ|অক্ষম|অযোগ্য|বোকা|কৃপণ|হিংস"")),""valence-target অমিল"",""""),IF(COUNTIF($B:$B,B7338)&gt;1,""ডুপ্লিকেট"",""""))"),"")</f>
        <v/>
      </c>
      <c r="Q7338" s="5" t="str">
        <f t="shared" si="1"/>
        <v>২ পরে</v>
      </c>
    </row>
    <row r="7339">
      <c r="A7339" s="4">
        <v>5541.0</v>
      </c>
      <c r="B7339" s="2" t="s">
        <v>29715</v>
      </c>
      <c r="C7339" s="2" t="s">
        <v>29716</v>
      </c>
      <c r="D7339" s="2" t="s">
        <v>29717</v>
      </c>
      <c r="E7339" s="2" t="s">
        <v>29718</v>
      </c>
      <c r="F7339" s="2" t="b">
        <v>1</v>
      </c>
      <c r="G7339" s="2" t="b">
        <v>0</v>
      </c>
      <c r="H7339" s="2" t="s">
        <v>37</v>
      </c>
      <c r="I7339" s="2" t="s">
        <v>49</v>
      </c>
      <c r="J7339" s="2" t="s">
        <v>708</v>
      </c>
      <c r="K7339" s="2" t="s">
        <v>495</v>
      </c>
      <c r="L7339" s="13" t="s">
        <v>496</v>
      </c>
      <c r="M7339" s="2" t="s">
        <v>26</v>
      </c>
      <c r="N7339" s="29"/>
      <c r="O7339" s="29"/>
      <c r="P7339" s="5" t="str">
        <f>IFERROR(__xludf.DUMMYFUNCTION("TEXTJOIN("" | "",TRUE,IF(OR(D7339="""",E7339="""",I7339="""",J7339="""",H7339=""""),""ফাঁকা ঘর"",""""),IF(AND(C7339&lt;&gt;"""",D7339&lt;&gt;"""",C7339=D7339),""gloss=figurative"",""""),IF(LEN(D7339)&lt;15,""figurative ছোট"",""""),IF(AND(I7339=""Positive"",REGEXMATCH(H7"&amp;"339,""মূর্খ|ভণ্ড|প্রতার|অলস|লোভ|স্বার্থ|অক্ষম|অযোগ্য|বোকা|কৃপণ|হিংস"")),""valence-target অমিল"",""""),IF(COUNTIF($B:$B,B7339)&gt;1,""ডুপ্লিকেট"",""""))"),"")</f>
        <v/>
      </c>
      <c r="Q7339" s="5" t="str">
        <f t="shared" si="1"/>
        <v>২ পরে</v>
      </c>
    </row>
    <row r="7340">
      <c r="A7340" s="4">
        <v>5542.0</v>
      </c>
      <c r="B7340" s="2" t="s">
        <v>29719</v>
      </c>
      <c r="C7340" s="2" t="s">
        <v>29719</v>
      </c>
      <c r="D7340" s="2" t="s">
        <v>29720</v>
      </c>
      <c r="E7340" s="2" t="s">
        <v>29721</v>
      </c>
      <c r="F7340" s="2" t="b">
        <v>1</v>
      </c>
      <c r="G7340" s="2" t="b">
        <v>0</v>
      </c>
      <c r="H7340" s="2" t="s">
        <v>3161</v>
      </c>
      <c r="I7340" s="2" t="s">
        <v>22</v>
      </c>
      <c r="J7340" s="2" t="s">
        <v>601</v>
      </c>
      <c r="K7340" s="2" t="s">
        <v>495</v>
      </c>
      <c r="L7340" s="13" t="s">
        <v>496</v>
      </c>
      <c r="M7340" s="2" t="s">
        <v>26</v>
      </c>
      <c r="N7340" s="29"/>
      <c r="O7340" s="29"/>
      <c r="P7340" s="5" t="str">
        <f>IFERROR(__xludf.DUMMYFUNCTION("TEXTJOIN("" | "",TRUE,IF(OR(D7340="""",E7340="""",I7340="""",J7340="""",H7340=""""),""ফাঁকা ঘর"",""""),IF(AND(C7340&lt;&gt;"""",D7340&lt;&gt;"""",C7340=D7340),""gloss=figurative"",""""),IF(LEN(D7340)&lt;15,""figurative ছোট"",""""),IF(AND(I7340=""Positive"",REGEXMATCH(H7"&amp;"340,""মূর্খ|ভণ্ড|প্রতার|অলস|লোভ|স্বার্থ|অক্ষম|অযোগ্য|বোকা|কৃপণ|হিংস"")),""valence-target অমিল"",""""),IF(COUNTIF($B:$B,B7340)&gt;1,""ডুপ্লিকেট"",""""))"),"")</f>
        <v/>
      </c>
      <c r="Q7340" s="5" t="str">
        <f t="shared" si="1"/>
        <v>২ পরে</v>
      </c>
    </row>
    <row r="7341">
      <c r="A7341" s="4">
        <v>5544.0</v>
      </c>
      <c r="B7341" s="2" t="s">
        <v>29722</v>
      </c>
      <c r="C7341" s="2" t="s">
        <v>29723</v>
      </c>
      <c r="D7341" s="2" t="s">
        <v>29724</v>
      </c>
      <c r="E7341" s="2" t="s">
        <v>29725</v>
      </c>
      <c r="F7341" s="2" t="b">
        <v>1</v>
      </c>
      <c r="G7341" s="2" t="b">
        <v>0</v>
      </c>
      <c r="H7341" s="2" t="s">
        <v>37</v>
      </c>
      <c r="I7341" s="2" t="s">
        <v>49</v>
      </c>
      <c r="J7341" s="2" t="s">
        <v>1553</v>
      </c>
      <c r="K7341" s="2" t="s">
        <v>495</v>
      </c>
      <c r="L7341" s="13" t="s">
        <v>496</v>
      </c>
      <c r="M7341" s="2" t="s">
        <v>26</v>
      </c>
      <c r="N7341" s="29"/>
      <c r="O7341" s="29"/>
      <c r="P7341" s="5" t="str">
        <f>IFERROR(__xludf.DUMMYFUNCTION("TEXTJOIN("" | "",TRUE,IF(OR(D7341="""",E7341="""",I7341="""",J7341="""",H7341=""""),""ফাঁকা ঘর"",""""),IF(AND(C7341&lt;&gt;"""",D7341&lt;&gt;"""",C7341=D7341),""gloss=figurative"",""""),IF(LEN(D7341)&lt;15,""figurative ছোট"",""""),IF(AND(I7341=""Positive"",REGEXMATCH(H7"&amp;"341,""মূর্খ|ভণ্ড|প্রতার|অলস|লোভ|স্বার্থ|অক্ষম|অযোগ্য|বোকা|কৃপণ|হিংস"")),""valence-target অমিল"",""""),IF(COUNTIF($B:$B,B7341)&gt;1,""ডুপ্লিকেট"",""""))"),"")</f>
        <v/>
      </c>
      <c r="Q7341" s="5" t="str">
        <f t="shared" si="1"/>
        <v>২ পরে</v>
      </c>
    </row>
    <row r="7342">
      <c r="A7342" s="4">
        <v>5545.0</v>
      </c>
      <c r="B7342" s="2" t="s">
        <v>29726</v>
      </c>
      <c r="C7342" s="2" t="s">
        <v>29726</v>
      </c>
      <c r="D7342" s="2" t="s">
        <v>29727</v>
      </c>
      <c r="E7342" s="2" t="s">
        <v>6934</v>
      </c>
      <c r="F7342" s="2" t="b">
        <v>1</v>
      </c>
      <c r="G7342" s="2" t="b">
        <v>0</v>
      </c>
      <c r="H7342" s="2" t="s">
        <v>3161</v>
      </c>
      <c r="I7342" s="2" t="s">
        <v>22</v>
      </c>
      <c r="J7342" s="2" t="s">
        <v>601</v>
      </c>
      <c r="K7342" s="2" t="s">
        <v>495</v>
      </c>
      <c r="L7342" s="13" t="s">
        <v>496</v>
      </c>
      <c r="M7342" s="2" t="s">
        <v>26</v>
      </c>
      <c r="N7342" s="29"/>
      <c r="O7342" s="29"/>
      <c r="P7342" s="5" t="str">
        <f>IFERROR(__xludf.DUMMYFUNCTION("TEXTJOIN("" | "",TRUE,IF(OR(D7342="""",E7342="""",I7342="""",J7342="""",H7342=""""),""ফাঁকা ঘর"",""""),IF(AND(C7342&lt;&gt;"""",D7342&lt;&gt;"""",C7342=D7342),""gloss=figurative"",""""),IF(LEN(D7342)&lt;15,""figurative ছোট"",""""),IF(AND(I7342=""Positive"",REGEXMATCH(H7"&amp;"342,""মূর্খ|ভণ্ড|প্রতার|অলস|লোভ|স্বার্থ|অক্ষম|অযোগ্য|বোকা|কৃপণ|হিংস"")),""valence-target অমিল"",""""),IF(COUNTIF($B:$B,B7342)&gt;1,""ডুপ্লিকেট"",""""))"),"")</f>
        <v/>
      </c>
      <c r="Q7342" s="5" t="str">
        <f t="shared" si="1"/>
        <v>২ পরে</v>
      </c>
    </row>
    <row r="7343">
      <c r="A7343" s="4">
        <v>5547.0</v>
      </c>
      <c r="B7343" s="2" t="s">
        <v>29728</v>
      </c>
      <c r="C7343" s="2" t="s">
        <v>29729</v>
      </c>
      <c r="D7343" s="2" t="s">
        <v>29730</v>
      </c>
      <c r="E7343" s="2" t="s">
        <v>29731</v>
      </c>
      <c r="F7343" s="2" t="b">
        <v>1</v>
      </c>
      <c r="G7343" s="2" t="b">
        <v>0</v>
      </c>
      <c r="H7343" s="2" t="s">
        <v>37</v>
      </c>
      <c r="I7343" s="2" t="s">
        <v>22</v>
      </c>
      <c r="J7343" s="2" t="s">
        <v>553</v>
      </c>
      <c r="K7343" s="2" t="s">
        <v>495</v>
      </c>
      <c r="L7343" s="13" t="s">
        <v>496</v>
      </c>
      <c r="M7343" s="2" t="s">
        <v>26</v>
      </c>
      <c r="N7343" s="29"/>
      <c r="O7343" s="29"/>
      <c r="P7343" s="5" t="str">
        <f>IFERROR(__xludf.DUMMYFUNCTION("TEXTJOIN("" | "",TRUE,IF(OR(D7343="""",E7343="""",I7343="""",J7343="""",H7343=""""),""ফাঁকা ঘর"",""""),IF(AND(C7343&lt;&gt;"""",D7343&lt;&gt;"""",C7343=D7343),""gloss=figurative"",""""),IF(LEN(D7343)&lt;15,""figurative ছোট"",""""),IF(AND(I7343=""Positive"",REGEXMATCH(H7"&amp;"343,""মূর্খ|ভণ্ড|প্রতার|অলস|লোভ|স্বার্থ|অক্ষম|অযোগ্য|বোকা|কৃপণ|হিংস"")),""valence-target অমিল"",""""),IF(COUNTIF($B:$B,B7343)&gt;1,""ডুপ্লিকেট"",""""))"),"")</f>
        <v/>
      </c>
      <c r="Q7343" s="5" t="str">
        <f t="shared" si="1"/>
        <v>২ পরে</v>
      </c>
    </row>
    <row r="7344">
      <c r="A7344" s="4">
        <v>5548.0</v>
      </c>
      <c r="B7344" s="2" t="s">
        <v>29732</v>
      </c>
      <c r="C7344" s="2" t="s">
        <v>29733</v>
      </c>
      <c r="D7344" s="2" t="s">
        <v>29734</v>
      </c>
      <c r="E7344" s="2" t="s">
        <v>29735</v>
      </c>
      <c r="F7344" s="2" t="b">
        <v>1</v>
      </c>
      <c r="G7344" s="2" t="b">
        <v>0</v>
      </c>
      <c r="H7344" s="2" t="s">
        <v>37</v>
      </c>
      <c r="I7344" s="2" t="s">
        <v>22</v>
      </c>
      <c r="J7344" s="2" t="s">
        <v>6440</v>
      </c>
      <c r="K7344" s="2" t="s">
        <v>495</v>
      </c>
      <c r="L7344" s="13" t="s">
        <v>496</v>
      </c>
      <c r="M7344" s="2" t="s">
        <v>26</v>
      </c>
      <c r="N7344" s="29"/>
      <c r="O7344" s="29"/>
      <c r="P7344" s="5" t="str">
        <f>IFERROR(__xludf.DUMMYFUNCTION("TEXTJOIN("" | "",TRUE,IF(OR(D7344="""",E7344="""",I7344="""",J7344="""",H7344=""""),""ফাঁকা ঘর"",""""),IF(AND(C7344&lt;&gt;"""",D7344&lt;&gt;"""",C7344=D7344),""gloss=figurative"",""""),IF(LEN(D7344)&lt;15,""figurative ছোট"",""""),IF(AND(I7344=""Positive"",REGEXMATCH(H7"&amp;"344,""মূর্খ|ভণ্ড|প্রতার|অলস|লোভ|স্বার্থ|অক্ষম|অযোগ্য|বোকা|কৃপণ|হিংস"")),""valence-target অমিল"",""""),IF(COUNTIF($B:$B,B7344)&gt;1,""ডুপ্লিকেট"",""""))"),"")</f>
        <v/>
      </c>
      <c r="Q7344" s="5" t="str">
        <f t="shared" si="1"/>
        <v>২ পরে</v>
      </c>
    </row>
    <row r="7345">
      <c r="A7345" s="4">
        <v>5549.0</v>
      </c>
      <c r="B7345" s="2" t="s">
        <v>29736</v>
      </c>
      <c r="C7345" s="2" t="s">
        <v>29737</v>
      </c>
      <c r="D7345" s="2" t="s">
        <v>29738</v>
      </c>
      <c r="E7345" s="2" t="s">
        <v>29739</v>
      </c>
      <c r="F7345" s="2" t="b">
        <v>1</v>
      </c>
      <c r="G7345" s="2" t="b">
        <v>0</v>
      </c>
      <c r="H7345" s="2" t="s">
        <v>3407</v>
      </c>
      <c r="I7345" s="2" t="s">
        <v>22</v>
      </c>
      <c r="J7345" s="2" t="s">
        <v>447</v>
      </c>
      <c r="K7345" s="2" t="s">
        <v>495</v>
      </c>
      <c r="L7345" s="13" t="s">
        <v>496</v>
      </c>
      <c r="M7345" s="2" t="s">
        <v>26</v>
      </c>
      <c r="N7345" s="29"/>
      <c r="O7345" s="29"/>
      <c r="P7345" s="5" t="str">
        <f>IFERROR(__xludf.DUMMYFUNCTION("TEXTJOIN("" | "",TRUE,IF(OR(D7345="""",E7345="""",I7345="""",J7345="""",H7345=""""),""ফাঁকা ঘর"",""""),IF(AND(C7345&lt;&gt;"""",D7345&lt;&gt;"""",C7345=D7345),""gloss=figurative"",""""),IF(LEN(D7345)&lt;15,""figurative ছোট"",""""),IF(AND(I7345=""Positive"",REGEXMATCH(H7"&amp;"345,""মূর্খ|ভণ্ড|প্রতার|অলস|লোভ|স্বার্থ|অক্ষম|অযোগ্য|বোকা|কৃপণ|হিংস"")),""valence-target অমিল"",""""),IF(COUNTIF($B:$B,B7345)&gt;1,""ডুপ্লিকেট"",""""))"),"")</f>
        <v/>
      </c>
      <c r="Q7345" s="5" t="str">
        <f t="shared" si="1"/>
        <v>২ পরে</v>
      </c>
    </row>
    <row r="7346">
      <c r="A7346" s="4">
        <v>5550.0</v>
      </c>
      <c r="B7346" s="2" t="s">
        <v>29740</v>
      </c>
      <c r="C7346" s="2" t="s">
        <v>29741</v>
      </c>
      <c r="D7346" s="2" t="s">
        <v>27095</v>
      </c>
      <c r="E7346" s="2" t="s">
        <v>29742</v>
      </c>
      <c r="F7346" s="2" t="b">
        <v>1</v>
      </c>
      <c r="G7346" s="2" t="b">
        <v>0</v>
      </c>
      <c r="H7346" s="2" t="s">
        <v>1484</v>
      </c>
      <c r="I7346" s="2" t="s">
        <v>22</v>
      </c>
      <c r="J7346" s="2" t="s">
        <v>27097</v>
      </c>
      <c r="K7346" s="2" t="s">
        <v>495</v>
      </c>
      <c r="L7346" s="13" t="s">
        <v>496</v>
      </c>
      <c r="M7346" s="2" t="s">
        <v>26</v>
      </c>
      <c r="N7346" s="29"/>
      <c r="O7346" s="29"/>
      <c r="P7346" s="5" t="str">
        <f>IFERROR(__xludf.DUMMYFUNCTION("TEXTJOIN("" | "",TRUE,IF(OR(D7346="""",E7346="""",I7346="""",J7346="""",H7346=""""),""ফাঁকা ঘর"",""""),IF(AND(C7346&lt;&gt;"""",D7346&lt;&gt;"""",C7346=D7346),""gloss=figurative"",""""),IF(LEN(D7346)&lt;15,""figurative ছোট"",""""),IF(AND(I7346=""Positive"",REGEXMATCH(H7"&amp;"346,""মূর্খ|ভণ্ড|প্রতার|অলস|লোভ|স্বার্থ|অক্ষম|অযোগ্য|বোকা|কৃপণ|হিংস"")),""valence-target অমিল"",""""),IF(COUNTIF($B:$B,B7346)&gt;1,""ডুপ্লিকেট"",""""))"),"")</f>
        <v/>
      </c>
      <c r="Q7346" s="5" t="str">
        <f t="shared" si="1"/>
        <v>২ পরে</v>
      </c>
    </row>
    <row r="7347">
      <c r="A7347" s="4">
        <v>5553.0</v>
      </c>
      <c r="B7347" s="2" t="s">
        <v>29743</v>
      </c>
      <c r="C7347" s="2" t="s">
        <v>29743</v>
      </c>
      <c r="D7347" s="2" t="s">
        <v>21617</v>
      </c>
      <c r="E7347" s="2" t="s">
        <v>29744</v>
      </c>
      <c r="F7347" s="2" t="b">
        <v>1</v>
      </c>
      <c r="G7347" s="2" t="b">
        <v>1</v>
      </c>
      <c r="H7347" s="2" t="s">
        <v>1106</v>
      </c>
      <c r="I7347" s="2" t="s">
        <v>22</v>
      </c>
      <c r="J7347" s="2" t="s">
        <v>1679</v>
      </c>
      <c r="K7347" s="2" t="s">
        <v>495</v>
      </c>
      <c r="L7347" s="13" t="s">
        <v>496</v>
      </c>
      <c r="M7347" s="2" t="s">
        <v>26</v>
      </c>
      <c r="N7347" s="29"/>
      <c r="O7347" s="29"/>
      <c r="P7347" s="5" t="str">
        <f>IFERROR(__xludf.DUMMYFUNCTION("TEXTJOIN("" | "",TRUE,IF(OR(D7347="""",E7347="""",I7347="""",J7347="""",H7347=""""),""ফাঁকা ঘর"",""""),IF(AND(C7347&lt;&gt;"""",D7347&lt;&gt;"""",C7347=D7347),""gloss=figurative"",""""),IF(LEN(D7347)&lt;15,""figurative ছোট"",""""),IF(AND(I7347=""Positive"",REGEXMATCH(H7"&amp;"347,""মূর্খ|ভণ্ড|প্রতার|অলস|লোভ|স্বার্থ|অক্ষম|অযোগ্য|বোকা|কৃপণ|হিংস"")),""valence-target অমিল"",""""),IF(COUNTIF($B:$B,B7347)&gt;1,""ডুপ্লিকেট"",""""))"),"")</f>
        <v/>
      </c>
      <c r="Q7347" s="5" t="str">
        <f t="shared" si="1"/>
        <v>২ পরে</v>
      </c>
    </row>
    <row r="7348">
      <c r="A7348" s="4">
        <v>5556.0</v>
      </c>
      <c r="B7348" s="2" t="s">
        <v>29745</v>
      </c>
      <c r="C7348" s="2" t="s">
        <v>29746</v>
      </c>
      <c r="D7348" s="2" t="s">
        <v>29747</v>
      </c>
      <c r="E7348" s="2" t="s">
        <v>29748</v>
      </c>
      <c r="F7348" s="2" t="b">
        <v>1</v>
      </c>
      <c r="G7348" s="2" t="b">
        <v>0</v>
      </c>
      <c r="H7348" s="2" t="s">
        <v>37</v>
      </c>
      <c r="I7348" s="2" t="s">
        <v>22</v>
      </c>
      <c r="J7348" s="2" t="s">
        <v>6634</v>
      </c>
      <c r="K7348" s="2" t="s">
        <v>495</v>
      </c>
      <c r="L7348" s="13" t="s">
        <v>496</v>
      </c>
      <c r="M7348" s="2" t="s">
        <v>26</v>
      </c>
      <c r="N7348" s="29"/>
      <c r="O7348" s="29"/>
      <c r="P7348" s="5" t="str">
        <f>IFERROR(__xludf.DUMMYFUNCTION("TEXTJOIN("" | "",TRUE,IF(OR(D7348="""",E7348="""",I7348="""",J7348="""",H7348=""""),""ফাঁকা ঘর"",""""),IF(AND(C7348&lt;&gt;"""",D7348&lt;&gt;"""",C7348=D7348),""gloss=figurative"",""""),IF(LEN(D7348)&lt;15,""figurative ছোট"",""""),IF(AND(I7348=""Positive"",REGEXMATCH(H7"&amp;"348,""মূর্খ|ভণ্ড|প্রতার|অলস|লোভ|স্বার্থ|অক্ষম|অযোগ্য|বোকা|কৃপণ|হিংস"")),""valence-target অমিল"",""""),IF(COUNTIF($B:$B,B7348)&gt;1,""ডুপ্লিকেট"",""""))"),"")</f>
        <v/>
      </c>
      <c r="Q7348" s="5" t="str">
        <f t="shared" si="1"/>
        <v>২ পরে</v>
      </c>
    </row>
    <row r="7349">
      <c r="A7349" s="4">
        <v>5557.0</v>
      </c>
      <c r="B7349" s="2" t="s">
        <v>29749</v>
      </c>
      <c r="C7349" s="2" t="s">
        <v>29750</v>
      </c>
      <c r="D7349" s="2" t="s">
        <v>29751</v>
      </c>
      <c r="E7349" s="2" t="s">
        <v>29752</v>
      </c>
      <c r="F7349" s="2" t="b">
        <v>1</v>
      </c>
      <c r="G7349" s="2" t="b">
        <v>1</v>
      </c>
      <c r="H7349" s="2" t="s">
        <v>1106</v>
      </c>
      <c r="I7349" s="2" t="s">
        <v>22</v>
      </c>
      <c r="J7349" s="2" t="s">
        <v>1315</v>
      </c>
      <c r="K7349" s="2" t="s">
        <v>495</v>
      </c>
      <c r="L7349" s="13" t="s">
        <v>496</v>
      </c>
      <c r="M7349" s="2" t="s">
        <v>26</v>
      </c>
      <c r="N7349" s="29"/>
      <c r="O7349" s="29"/>
      <c r="P7349" s="5" t="str">
        <f>IFERROR(__xludf.DUMMYFUNCTION("TEXTJOIN("" | "",TRUE,IF(OR(D7349="""",E7349="""",I7349="""",J7349="""",H7349=""""),""ফাঁকা ঘর"",""""),IF(AND(C7349&lt;&gt;"""",D7349&lt;&gt;"""",C7349=D7349),""gloss=figurative"",""""),IF(LEN(D7349)&lt;15,""figurative ছোট"",""""),IF(AND(I7349=""Positive"",REGEXMATCH(H7"&amp;"349,""মূর্খ|ভণ্ড|প্রতার|অলস|লোভ|স্বার্থ|অক্ষম|অযোগ্য|বোকা|কৃপণ|হিংস"")),""valence-target অমিল"",""""),IF(COUNTIF($B:$B,B7349)&gt;1,""ডুপ্লিকেট"",""""))"),"")</f>
        <v/>
      </c>
      <c r="Q7349" s="5" t="str">
        <f t="shared" si="1"/>
        <v>২ পরে</v>
      </c>
    </row>
    <row r="7350">
      <c r="A7350" s="4">
        <v>5558.0</v>
      </c>
      <c r="B7350" s="2" t="s">
        <v>29753</v>
      </c>
      <c r="C7350" s="2" t="s">
        <v>29754</v>
      </c>
      <c r="D7350" s="2" t="s">
        <v>29755</v>
      </c>
      <c r="E7350" s="2" t="s">
        <v>29756</v>
      </c>
      <c r="F7350" s="2" t="b">
        <v>1</v>
      </c>
      <c r="G7350" s="2" t="b">
        <v>1</v>
      </c>
      <c r="H7350" s="2" t="s">
        <v>1106</v>
      </c>
      <c r="I7350" s="2" t="s">
        <v>22</v>
      </c>
      <c r="J7350" s="2" t="s">
        <v>1315</v>
      </c>
      <c r="K7350" s="2" t="s">
        <v>495</v>
      </c>
      <c r="L7350" s="13" t="s">
        <v>496</v>
      </c>
      <c r="M7350" s="2" t="s">
        <v>26</v>
      </c>
      <c r="N7350" s="29"/>
      <c r="O7350" s="29"/>
      <c r="P7350" s="5" t="str">
        <f>IFERROR(__xludf.DUMMYFUNCTION("TEXTJOIN("" | "",TRUE,IF(OR(D7350="""",E7350="""",I7350="""",J7350="""",H7350=""""),""ফাঁকা ঘর"",""""),IF(AND(C7350&lt;&gt;"""",D7350&lt;&gt;"""",C7350=D7350),""gloss=figurative"",""""),IF(LEN(D7350)&lt;15,""figurative ছোট"",""""),IF(AND(I7350=""Positive"",REGEXMATCH(H7"&amp;"350,""মূর্খ|ভণ্ড|প্রতার|অলস|লোভ|স্বার্থ|অক্ষম|অযোগ্য|বোকা|কৃপণ|হিংস"")),""valence-target অমিল"",""""),IF(COUNTIF($B:$B,B7350)&gt;1,""ডুপ্লিকেট"",""""))"),"")</f>
        <v/>
      </c>
      <c r="Q7350" s="5" t="str">
        <f t="shared" si="1"/>
        <v>২ পরে</v>
      </c>
    </row>
    <row r="7351">
      <c r="A7351" s="4">
        <v>5560.0</v>
      </c>
      <c r="B7351" s="2" t="s">
        <v>29757</v>
      </c>
      <c r="C7351" s="2" t="s">
        <v>29757</v>
      </c>
      <c r="D7351" s="2" t="s">
        <v>29758</v>
      </c>
      <c r="E7351" s="2" t="s">
        <v>29759</v>
      </c>
      <c r="F7351" s="2" t="b">
        <v>1</v>
      </c>
      <c r="G7351" s="2" t="b">
        <v>0</v>
      </c>
      <c r="H7351" s="2" t="s">
        <v>37</v>
      </c>
      <c r="I7351" s="2" t="s">
        <v>22</v>
      </c>
      <c r="J7351" s="2" t="s">
        <v>4463</v>
      </c>
      <c r="K7351" s="2" t="s">
        <v>495</v>
      </c>
      <c r="L7351" s="13" t="s">
        <v>496</v>
      </c>
      <c r="M7351" s="2" t="s">
        <v>26</v>
      </c>
      <c r="N7351" s="29"/>
      <c r="O7351" s="29"/>
      <c r="P7351" s="5" t="str">
        <f>IFERROR(__xludf.DUMMYFUNCTION("TEXTJOIN("" | "",TRUE,IF(OR(D7351="""",E7351="""",I7351="""",J7351="""",H7351=""""),""ফাঁকা ঘর"",""""),IF(AND(C7351&lt;&gt;"""",D7351&lt;&gt;"""",C7351=D7351),""gloss=figurative"",""""),IF(LEN(D7351)&lt;15,""figurative ছোট"",""""),IF(AND(I7351=""Positive"",REGEXMATCH(H7"&amp;"351,""মূর্খ|ভণ্ড|প্রতার|অলস|লোভ|স্বার্থ|অক্ষম|অযোগ্য|বোকা|কৃপণ|হিংস"")),""valence-target অমিল"",""""),IF(COUNTIF($B:$B,B7351)&gt;1,""ডুপ্লিকেট"",""""))"),"")</f>
        <v/>
      </c>
      <c r="Q7351" s="5" t="str">
        <f t="shared" si="1"/>
        <v>২ পরে</v>
      </c>
    </row>
    <row r="7352">
      <c r="A7352" s="4">
        <v>5561.0</v>
      </c>
      <c r="B7352" s="2" t="s">
        <v>29760</v>
      </c>
      <c r="C7352" s="2" t="s">
        <v>29761</v>
      </c>
      <c r="D7352" s="2" t="s">
        <v>29762</v>
      </c>
      <c r="E7352" s="2" t="s">
        <v>29763</v>
      </c>
      <c r="F7352" s="2" t="b">
        <v>1</v>
      </c>
      <c r="G7352" s="2" t="b">
        <v>0</v>
      </c>
      <c r="H7352" s="2" t="s">
        <v>37</v>
      </c>
      <c r="I7352" s="2" t="s">
        <v>22</v>
      </c>
      <c r="J7352" s="2" t="s">
        <v>1239</v>
      </c>
      <c r="K7352" s="2" t="s">
        <v>495</v>
      </c>
      <c r="L7352" s="13" t="s">
        <v>496</v>
      </c>
      <c r="M7352" s="2" t="s">
        <v>26</v>
      </c>
      <c r="N7352" s="29"/>
      <c r="O7352" s="29"/>
      <c r="P7352" s="5" t="str">
        <f>IFERROR(__xludf.DUMMYFUNCTION("TEXTJOIN("" | "",TRUE,IF(OR(D7352="""",E7352="""",I7352="""",J7352="""",H7352=""""),""ফাঁকা ঘর"",""""),IF(AND(C7352&lt;&gt;"""",D7352&lt;&gt;"""",C7352=D7352),""gloss=figurative"",""""),IF(LEN(D7352)&lt;15,""figurative ছোট"",""""),IF(AND(I7352=""Positive"",REGEXMATCH(H7"&amp;"352,""মূর্খ|ভণ্ড|প্রতার|অলস|লোভ|স্বার্থ|অক্ষম|অযোগ্য|বোকা|কৃপণ|হিংস"")),""valence-target অমিল"",""""),IF(COUNTIF($B:$B,B7352)&gt;1,""ডুপ্লিকেট"",""""))"),"")</f>
        <v/>
      </c>
      <c r="Q7352" s="5" t="str">
        <f t="shared" si="1"/>
        <v>২ পরে</v>
      </c>
    </row>
    <row r="7353">
      <c r="A7353" s="4">
        <v>5562.0</v>
      </c>
      <c r="B7353" s="2" t="s">
        <v>29764</v>
      </c>
      <c r="C7353" s="2" t="s">
        <v>29764</v>
      </c>
      <c r="D7353" s="2" t="s">
        <v>29765</v>
      </c>
      <c r="E7353" s="2" t="s">
        <v>29766</v>
      </c>
      <c r="F7353" s="2" t="b">
        <v>1</v>
      </c>
      <c r="G7353" s="2" t="b">
        <v>0</v>
      </c>
      <c r="H7353" s="2" t="s">
        <v>37</v>
      </c>
      <c r="I7353" s="2" t="s">
        <v>32</v>
      </c>
      <c r="J7353" s="2" t="s">
        <v>29767</v>
      </c>
      <c r="K7353" s="2" t="s">
        <v>495</v>
      </c>
      <c r="L7353" s="13" t="s">
        <v>496</v>
      </c>
      <c r="M7353" s="2" t="s">
        <v>26</v>
      </c>
      <c r="N7353" s="29"/>
      <c r="O7353" s="29"/>
      <c r="P7353" s="5" t="str">
        <f>IFERROR(__xludf.DUMMYFUNCTION("TEXTJOIN("" | "",TRUE,IF(OR(D7353="""",E7353="""",I7353="""",J7353="""",H7353=""""),""ফাঁকা ঘর"",""""),IF(AND(C7353&lt;&gt;"""",D7353&lt;&gt;"""",C7353=D7353),""gloss=figurative"",""""),IF(LEN(D7353)&lt;15,""figurative ছোট"",""""),IF(AND(I7353=""Positive"",REGEXMATCH(H7"&amp;"353,""মূর্খ|ভণ্ড|প্রতার|অলস|লোভ|স্বার্থ|অক্ষম|অযোগ্য|বোকা|কৃপণ|হিংস"")),""valence-target অমিল"",""""),IF(COUNTIF($B:$B,B7353)&gt;1,""ডুপ্লিকেট"",""""))"),"")</f>
        <v/>
      </c>
      <c r="Q7353" s="5" t="str">
        <f t="shared" si="1"/>
        <v>২ পরে</v>
      </c>
    </row>
    <row r="7354">
      <c r="A7354" s="4">
        <v>5563.0</v>
      </c>
      <c r="B7354" s="2" t="s">
        <v>29768</v>
      </c>
      <c r="C7354" s="2" t="s">
        <v>29769</v>
      </c>
      <c r="D7354" s="2" t="s">
        <v>29770</v>
      </c>
      <c r="E7354" s="2" t="s">
        <v>29771</v>
      </c>
      <c r="F7354" s="2" t="b">
        <v>1</v>
      </c>
      <c r="G7354" s="2" t="b">
        <v>0</v>
      </c>
      <c r="H7354" s="2" t="s">
        <v>37</v>
      </c>
      <c r="I7354" s="2" t="s">
        <v>22</v>
      </c>
      <c r="J7354" s="2" t="s">
        <v>1934</v>
      </c>
      <c r="K7354" s="2" t="s">
        <v>495</v>
      </c>
      <c r="L7354" s="13" t="s">
        <v>496</v>
      </c>
      <c r="M7354" s="2" t="s">
        <v>26</v>
      </c>
      <c r="N7354" s="29"/>
      <c r="O7354" s="29"/>
      <c r="P7354" s="5" t="str">
        <f>IFERROR(__xludf.DUMMYFUNCTION("TEXTJOIN("" | "",TRUE,IF(OR(D7354="""",E7354="""",I7354="""",J7354="""",H7354=""""),""ফাঁকা ঘর"",""""),IF(AND(C7354&lt;&gt;"""",D7354&lt;&gt;"""",C7354=D7354),""gloss=figurative"",""""),IF(LEN(D7354)&lt;15,""figurative ছোট"",""""),IF(AND(I7354=""Positive"",REGEXMATCH(H7"&amp;"354,""মূর্খ|ভণ্ড|প্রতার|অলস|লোভ|স্বার্থ|অক্ষম|অযোগ্য|বোকা|কৃপণ|হিংস"")),""valence-target অমিল"",""""),IF(COUNTIF($B:$B,B7354)&gt;1,""ডুপ্লিকেট"",""""))"),"")</f>
        <v/>
      </c>
      <c r="Q7354" s="5" t="str">
        <f t="shared" si="1"/>
        <v>২ পরে</v>
      </c>
    </row>
    <row r="7355">
      <c r="A7355" s="4">
        <v>5565.0</v>
      </c>
      <c r="B7355" s="2" t="s">
        <v>29772</v>
      </c>
      <c r="C7355" s="2" t="s">
        <v>29772</v>
      </c>
      <c r="D7355" s="2" t="s">
        <v>29773</v>
      </c>
      <c r="E7355" s="2" t="s">
        <v>29774</v>
      </c>
      <c r="F7355" s="2" t="b">
        <v>1</v>
      </c>
      <c r="G7355" s="2" t="b">
        <v>0</v>
      </c>
      <c r="H7355" s="2" t="s">
        <v>37</v>
      </c>
      <c r="I7355" s="2" t="s">
        <v>22</v>
      </c>
      <c r="J7355" s="2" t="s">
        <v>1635</v>
      </c>
      <c r="K7355" s="2" t="s">
        <v>495</v>
      </c>
      <c r="L7355" s="13" t="s">
        <v>496</v>
      </c>
      <c r="M7355" s="2" t="s">
        <v>26</v>
      </c>
      <c r="N7355" s="29"/>
      <c r="O7355" s="29"/>
      <c r="P7355" s="5" t="str">
        <f>IFERROR(__xludf.DUMMYFUNCTION("TEXTJOIN("" | "",TRUE,IF(OR(D7355="""",E7355="""",I7355="""",J7355="""",H7355=""""),""ফাঁকা ঘর"",""""),IF(AND(C7355&lt;&gt;"""",D7355&lt;&gt;"""",C7355=D7355),""gloss=figurative"",""""),IF(LEN(D7355)&lt;15,""figurative ছোট"",""""),IF(AND(I7355=""Positive"",REGEXMATCH(H7"&amp;"355,""মূর্খ|ভণ্ড|প্রতার|অলস|লোভ|স্বার্থ|অক্ষম|অযোগ্য|বোকা|কৃপণ|হিংস"")),""valence-target অমিল"",""""),IF(COUNTIF($B:$B,B7355)&gt;1,""ডুপ্লিকেট"",""""))"),"")</f>
        <v/>
      </c>
      <c r="Q7355" s="5" t="str">
        <f t="shared" si="1"/>
        <v>২ পরে</v>
      </c>
    </row>
    <row r="7356">
      <c r="A7356" s="4">
        <v>5566.0</v>
      </c>
      <c r="B7356" s="2" t="s">
        <v>29775</v>
      </c>
      <c r="C7356" s="2" t="s">
        <v>29776</v>
      </c>
      <c r="D7356" s="2" t="s">
        <v>29777</v>
      </c>
      <c r="E7356" s="2" t="s">
        <v>29778</v>
      </c>
      <c r="F7356" s="2" t="b">
        <v>1</v>
      </c>
      <c r="G7356" s="2" t="b">
        <v>0</v>
      </c>
      <c r="H7356" s="2" t="s">
        <v>37</v>
      </c>
      <c r="I7356" s="2" t="s">
        <v>49</v>
      </c>
      <c r="J7356" s="2" t="s">
        <v>868</v>
      </c>
      <c r="K7356" s="2" t="s">
        <v>495</v>
      </c>
      <c r="L7356" s="13" t="s">
        <v>496</v>
      </c>
      <c r="M7356" s="2" t="s">
        <v>26</v>
      </c>
      <c r="N7356" s="29"/>
      <c r="O7356" s="29"/>
      <c r="P7356" s="5" t="str">
        <f>IFERROR(__xludf.DUMMYFUNCTION("TEXTJOIN("" | "",TRUE,IF(OR(D7356="""",E7356="""",I7356="""",J7356="""",H7356=""""),""ফাঁকা ঘর"",""""),IF(AND(C7356&lt;&gt;"""",D7356&lt;&gt;"""",C7356=D7356),""gloss=figurative"",""""),IF(LEN(D7356)&lt;15,""figurative ছোট"",""""),IF(AND(I7356=""Positive"",REGEXMATCH(H7"&amp;"356,""মূর্খ|ভণ্ড|প্রতার|অলস|লোভ|স্বার্থ|অক্ষম|অযোগ্য|বোকা|কৃপণ|হিংস"")),""valence-target অমিল"",""""),IF(COUNTIF($B:$B,B7356)&gt;1,""ডুপ্লিকেট"",""""))"),"")</f>
        <v/>
      </c>
      <c r="Q7356" s="5" t="str">
        <f t="shared" si="1"/>
        <v>২ পরে</v>
      </c>
    </row>
    <row r="7357">
      <c r="A7357" s="4">
        <v>5567.0</v>
      </c>
      <c r="B7357" s="2" t="s">
        <v>29779</v>
      </c>
      <c r="C7357" s="2" t="s">
        <v>29780</v>
      </c>
      <c r="D7357" s="2" t="s">
        <v>29781</v>
      </c>
      <c r="E7357" s="2" t="s">
        <v>29782</v>
      </c>
      <c r="F7357" s="2" t="b">
        <v>1</v>
      </c>
      <c r="G7357" s="2" t="b">
        <v>0</v>
      </c>
      <c r="H7357" s="2" t="s">
        <v>37</v>
      </c>
      <c r="I7357" s="2" t="s">
        <v>32</v>
      </c>
      <c r="J7357" s="2" t="s">
        <v>2234</v>
      </c>
      <c r="K7357" s="2" t="s">
        <v>495</v>
      </c>
      <c r="L7357" s="13" t="s">
        <v>496</v>
      </c>
      <c r="M7357" s="2" t="s">
        <v>26</v>
      </c>
      <c r="N7357" s="29"/>
      <c r="O7357" s="29"/>
      <c r="P7357" s="5" t="str">
        <f>IFERROR(__xludf.DUMMYFUNCTION("TEXTJOIN("" | "",TRUE,IF(OR(D7357="""",E7357="""",I7357="""",J7357="""",H7357=""""),""ফাঁকা ঘর"",""""),IF(AND(C7357&lt;&gt;"""",D7357&lt;&gt;"""",C7357=D7357),""gloss=figurative"",""""),IF(LEN(D7357)&lt;15,""figurative ছোট"",""""),IF(AND(I7357=""Positive"",REGEXMATCH(H7"&amp;"357,""মূর্খ|ভণ্ড|প্রতার|অলস|লোভ|স্বার্থ|অক্ষম|অযোগ্য|বোকা|কৃপণ|হিংস"")),""valence-target অমিল"",""""),IF(COUNTIF($B:$B,B7357)&gt;1,""ডুপ্লিকেট"",""""))"),"")</f>
        <v/>
      </c>
      <c r="Q7357" s="5" t="str">
        <f t="shared" si="1"/>
        <v>২ পরে</v>
      </c>
    </row>
    <row r="7358">
      <c r="A7358" s="4">
        <v>5569.0</v>
      </c>
      <c r="B7358" s="2" t="s">
        <v>29783</v>
      </c>
      <c r="C7358" s="2" t="s">
        <v>10513</v>
      </c>
      <c r="D7358" s="2" t="s">
        <v>29784</v>
      </c>
      <c r="E7358" s="2" t="s">
        <v>29785</v>
      </c>
      <c r="F7358" s="2" t="b">
        <v>1</v>
      </c>
      <c r="G7358" s="2" t="b">
        <v>0</v>
      </c>
      <c r="H7358" s="2" t="s">
        <v>37</v>
      </c>
      <c r="I7358" s="2" t="s">
        <v>49</v>
      </c>
      <c r="J7358" s="2" t="s">
        <v>868</v>
      </c>
      <c r="K7358" s="2" t="s">
        <v>495</v>
      </c>
      <c r="L7358" s="13" t="s">
        <v>496</v>
      </c>
      <c r="M7358" s="2" t="s">
        <v>26</v>
      </c>
      <c r="N7358" s="29"/>
      <c r="O7358" s="29"/>
      <c r="P7358" s="5" t="str">
        <f>IFERROR(__xludf.DUMMYFUNCTION("TEXTJOIN("" | "",TRUE,IF(OR(D7358="""",E7358="""",I7358="""",J7358="""",H7358=""""),""ফাঁকা ঘর"",""""),IF(AND(C7358&lt;&gt;"""",D7358&lt;&gt;"""",C7358=D7358),""gloss=figurative"",""""),IF(LEN(D7358)&lt;15,""figurative ছোট"",""""),IF(AND(I7358=""Positive"",REGEXMATCH(H7"&amp;"358,""মূর্খ|ভণ্ড|প্রতার|অলস|লোভ|স্বার্থ|অক্ষম|অযোগ্য|বোকা|কৃপণ|হিংস"")),""valence-target অমিল"",""""),IF(COUNTIF($B:$B,B7358)&gt;1,""ডুপ্লিকেট"",""""))"),"")</f>
        <v/>
      </c>
      <c r="Q7358" s="5" t="str">
        <f t="shared" si="1"/>
        <v>২ পরে</v>
      </c>
    </row>
    <row r="7359">
      <c r="A7359" s="4">
        <v>5570.0</v>
      </c>
      <c r="B7359" s="2" t="s">
        <v>29786</v>
      </c>
      <c r="C7359" s="2" t="s">
        <v>29787</v>
      </c>
      <c r="D7359" s="2" t="s">
        <v>29788</v>
      </c>
      <c r="E7359" s="2" t="s">
        <v>29789</v>
      </c>
      <c r="F7359" s="2" t="b">
        <v>1</v>
      </c>
      <c r="G7359" s="2" t="b">
        <v>0</v>
      </c>
      <c r="H7359" s="2" t="s">
        <v>37</v>
      </c>
      <c r="I7359" s="2" t="s">
        <v>49</v>
      </c>
      <c r="J7359" s="2" t="s">
        <v>868</v>
      </c>
      <c r="K7359" s="2" t="s">
        <v>495</v>
      </c>
      <c r="L7359" s="13" t="s">
        <v>496</v>
      </c>
      <c r="M7359" s="2" t="s">
        <v>26</v>
      </c>
      <c r="N7359" s="29"/>
      <c r="O7359" s="29"/>
      <c r="P7359" s="5" t="str">
        <f>IFERROR(__xludf.DUMMYFUNCTION("TEXTJOIN("" | "",TRUE,IF(OR(D7359="""",E7359="""",I7359="""",J7359="""",H7359=""""),""ফাঁকা ঘর"",""""),IF(AND(C7359&lt;&gt;"""",D7359&lt;&gt;"""",C7359=D7359),""gloss=figurative"",""""),IF(LEN(D7359)&lt;15,""figurative ছোট"",""""),IF(AND(I7359=""Positive"",REGEXMATCH(H7"&amp;"359,""মূর্খ|ভণ্ড|প্রতার|অলস|লোভ|স্বার্থ|অক্ষম|অযোগ্য|বোকা|কৃপণ|হিংস"")),""valence-target অমিল"",""""),IF(COUNTIF($B:$B,B7359)&gt;1,""ডুপ্লিকেট"",""""))"),"")</f>
        <v/>
      </c>
      <c r="Q7359" s="5" t="str">
        <f t="shared" si="1"/>
        <v>২ পরে</v>
      </c>
    </row>
    <row r="7360">
      <c r="A7360" s="4">
        <v>5572.0</v>
      </c>
      <c r="B7360" s="2" t="s">
        <v>29790</v>
      </c>
      <c r="C7360" s="2" t="s">
        <v>29791</v>
      </c>
      <c r="D7360" s="2" t="s">
        <v>29792</v>
      </c>
      <c r="E7360" s="2" t="s">
        <v>29793</v>
      </c>
      <c r="F7360" s="2" t="b">
        <v>1</v>
      </c>
      <c r="G7360" s="2" t="b">
        <v>0</v>
      </c>
      <c r="H7360" s="2" t="s">
        <v>37</v>
      </c>
      <c r="I7360" s="2" t="s">
        <v>22</v>
      </c>
      <c r="J7360" s="2" t="s">
        <v>820</v>
      </c>
      <c r="K7360" s="2" t="s">
        <v>495</v>
      </c>
      <c r="L7360" s="13" t="s">
        <v>496</v>
      </c>
      <c r="M7360" s="2" t="s">
        <v>26</v>
      </c>
      <c r="N7360" s="29"/>
      <c r="O7360" s="29"/>
      <c r="P7360" s="5" t="str">
        <f>IFERROR(__xludf.DUMMYFUNCTION("TEXTJOIN("" | "",TRUE,IF(OR(D7360="""",E7360="""",I7360="""",J7360="""",H7360=""""),""ফাঁকা ঘর"",""""),IF(AND(C7360&lt;&gt;"""",D7360&lt;&gt;"""",C7360=D7360),""gloss=figurative"",""""),IF(LEN(D7360)&lt;15,""figurative ছোট"",""""),IF(AND(I7360=""Positive"",REGEXMATCH(H7"&amp;"360,""মূর্খ|ভণ্ড|প্রতার|অলস|লোভ|স্বার্থ|অক্ষম|অযোগ্য|বোকা|কৃপণ|হিংস"")),""valence-target অমিল"",""""),IF(COUNTIF($B:$B,B7360)&gt;1,""ডুপ্লিকেট"",""""))"),"")</f>
        <v/>
      </c>
      <c r="Q7360" s="5" t="str">
        <f t="shared" si="1"/>
        <v>২ পরে</v>
      </c>
    </row>
    <row r="7361">
      <c r="A7361" s="4">
        <v>5573.0</v>
      </c>
      <c r="B7361" s="2" t="s">
        <v>29794</v>
      </c>
      <c r="C7361" s="2" t="s">
        <v>29795</v>
      </c>
      <c r="D7361" s="2" t="s">
        <v>29796</v>
      </c>
      <c r="E7361" s="2" t="s">
        <v>29797</v>
      </c>
      <c r="F7361" s="2" t="b">
        <v>1</v>
      </c>
      <c r="G7361" s="2" t="b">
        <v>0</v>
      </c>
      <c r="H7361" s="2" t="s">
        <v>37</v>
      </c>
      <c r="I7361" s="2" t="s">
        <v>22</v>
      </c>
      <c r="J7361" s="2" t="s">
        <v>2857</v>
      </c>
      <c r="K7361" s="2" t="s">
        <v>495</v>
      </c>
      <c r="L7361" s="13" t="s">
        <v>496</v>
      </c>
      <c r="M7361" s="2" t="s">
        <v>26</v>
      </c>
      <c r="N7361" s="29"/>
      <c r="O7361" s="29"/>
      <c r="P7361" s="5" t="str">
        <f>IFERROR(__xludf.DUMMYFUNCTION("TEXTJOIN("" | "",TRUE,IF(OR(D7361="""",E7361="""",I7361="""",J7361="""",H7361=""""),""ফাঁকা ঘর"",""""),IF(AND(C7361&lt;&gt;"""",D7361&lt;&gt;"""",C7361=D7361),""gloss=figurative"",""""),IF(LEN(D7361)&lt;15,""figurative ছোট"",""""),IF(AND(I7361=""Positive"",REGEXMATCH(H7"&amp;"361,""মূর্খ|ভণ্ড|প্রতার|অলস|লোভ|স্বার্থ|অক্ষম|অযোগ্য|বোকা|কৃপণ|হিংস"")),""valence-target অমিল"",""""),IF(COUNTIF($B:$B,B7361)&gt;1,""ডুপ্লিকেট"",""""))"),"")</f>
        <v/>
      </c>
      <c r="Q7361" s="5" t="str">
        <f t="shared" si="1"/>
        <v>২ পরে</v>
      </c>
    </row>
    <row r="7362">
      <c r="A7362" s="4">
        <v>5575.0</v>
      </c>
      <c r="B7362" s="2" t="s">
        <v>29798</v>
      </c>
      <c r="C7362" s="2" t="s">
        <v>29799</v>
      </c>
      <c r="D7362" s="2" t="s">
        <v>29800</v>
      </c>
      <c r="E7362" s="2" t="s">
        <v>29801</v>
      </c>
      <c r="F7362" s="2" t="b">
        <v>1</v>
      </c>
      <c r="G7362" s="2" t="b">
        <v>1</v>
      </c>
      <c r="H7362" s="2" t="s">
        <v>5054</v>
      </c>
      <c r="I7362" s="2" t="s">
        <v>22</v>
      </c>
      <c r="J7362" s="2" t="s">
        <v>640</v>
      </c>
      <c r="K7362" s="2" t="s">
        <v>495</v>
      </c>
      <c r="L7362" s="13" t="s">
        <v>496</v>
      </c>
      <c r="M7362" s="2" t="s">
        <v>26</v>
      </c>
      <c r="N7362" s="29"/>
      <c r="O7362" s="29"/>
      <c r="P7362" s="5" t="str">
        <f>IFERROR(__xludf.DUMMYFUNCTION("TEXTJOIN("" | "",TRUE,IF(OR(D7362="""",E7362="""",I7362="""",J7362="""",H7362=""""),""ফাঁকা ঘর"",""""),IF(AND(C7362&lt;&gt;"""",D7362&lt;&gt;"""",C7362=D7362),""gloss=figurative"",""""),IF(LEN(D7362)&lt;15,""figurative ছোট"",""""),IF(AND(I7362=""Positive"",REGEXMATCH(H7"&amp;"362,""মূর্খ|ভণ্ড|প্রতার|অলস|লোভ|স্বার্থ|অক্ষম|অযোগ্য|বোকা|কৃপণ|হিংস"")),""valence-target অমিল"",""""),IF(COUNTIF($B:$B,B7362)&gt;1,""ডুপ্লিকেট"",""""))"),"")</f>
        <v/>
      </c>
      <c r="Q7362" s="5" t="str">
        <f t="shared" si="1"/>
        <v>২ পরে</v>
      </c>
    </row>
    <row r="7363">
      <c r="A7363" s="4">
        <v>5579.0</v>
      </c>
      <c r="B7363" s="2" t="s">
        <v>29802</v>
      </c>
      <c r="C7363" s="2" t="s">
        <v>29803</v>
      </c>
      <c r="D7363" s="2" t="s">
        <v>29804</v>
      </c>
      <c r="E7363" s="2" t="s">
        <v>29805</v>
      </c>
      <c r="F7363" s="2" t="b">
        <v>1</v>
      </c>
      <c r="G7363" s="2" t="b">
        <v>0</v>
      </c>
      <c r="H7363" s="2" t="s">
        <v>37</v>
      </c>
      <c r="I7363" s="2" t="s">
        <v>22</v>
      </c>
      <c r="J7363" s="2" t="s">
        <v>1962</v>
      </c>
      <c r="K7363" s="2" t="s">
        <v>495</v>
      </c>
      <c r="L7363" s="13" t="s">
        <v>496</v>
      </c>
      <c r="M7363" s="2" t="s">
        <v>26</v>
      </c>
      <c r="N7363" s="29"/>
      <c r="O7363" s="29"/>
      <c r="P7363" s="5" t="str">
        <f>IFERROR(__xludf.DUMMYFUNCTION("TEXTJOIN("" | "",TRUE,IF(OR(D7363="""",E7363="""",I7363="""",J7363="""",H7363=""""),""ফাঁকা ঘর"",""""),IF(AND(C7363&lt;&gt;"""",D7363&lt;&gt;"""",C7363=D7363),""gloss=figurative"",""""),IF(LEN(D7363)&lt;15,""figurative ছোট"",""""),IF(AND(I7363=""Positive"",REGEXMATCH(H7"&amp;"363,""মূর্খ|ভণ্ড|প্রতার|অলস|লোভ|স্বার্থ|অক্ষম|অযোগ্য|বোকা|কৃপণ|হিংস"")),""valence-target অমিল"",""""),IF(COUNTIF($B:$B,B7363)&gt;1,""ডুপ্লিকেট"",""""))"),"")</f>
        <v/>
      </c>
      <c r="Q7363" s="5" t="str">
        <f t="shared" si="1"/>
        <v>২ পরে</v>
      </c>
    </row>
    <row r="7364">
      <c r="A7364" s="4">
        <v>5580.0</v>
      </c>
      <c r="B7364" s="2" t="s">
        <v>29806</v>
      </c>
      <c r="C7364" s="2" t="s">
        <v>29807</v>
      </c>
      <c r="D7364" s="2" t="s">
        <v>29808</v>
      </c>
      <c r="E7364" s="2" t="s">
        <v>29809</v>
      </c>
      <c r="F7364" s="2" t="b">
        <v>1</v>
      </c>
      <c r="G7364" s="2" t="b">
        <v>0</v>
      </c>
      <c r="H7364" s="2" t="s">
        <v>37</v>
      </c>
      <c r="I7364" s="2" t="s">
        <v>32</v>
      </c>
      <c r="J7364" s="2" t="s">
        <v>17749</v>
      </c>
      <c r="K7364" s="2" t="s">
        <v>495</v>
      </c>
      <c r="L7364" s="13" t="s">
        <v>496</v>
      </c>
      <c r="M7364" s="2" t="s">
        <v>26</v>
      </c>
      <c r="N7364" s="29"/>
      <c r="O7364" s="29"/>
      <c r="P7364" s="5" t="str">
        <f>IFERROR(__xludf.DUMMYFUNCTION("TEXTJOIN("" | "",TRUE,IF(OR(D7364="""",E7364="""",I7364="""",J7364="""",H7364=""""),""ফাঁকা ঘর"",""""),IF(AND(C7364&lt;&gt;"""",D7364&lt;&gt;"""",C7364=D7364),""gloss=figurative"",""""),IF(LEN(D7364)&lt;15,""figurative ছোট"",""""),IF(AND(I7364=""Positive"",REGEXMATCH(H7"&amp;"364,""মূর্খ|ভণ্ড|প্রতার|অলস|লোভ|স্বার্থ|অক্ষম|অযোগ্য|বোকা|কৃপণ|হিংস"")),""valence-target অমিল"",""""),IF(COUNTIF($B:$B,B7364)&gt;1,""ডুপ্লিকেট"",""""))"),"")</f>
        <v/>
      </c>
      <c r="Q7364" s="5" t="str">
        <f t="shared" si="1"/>
        <v>২ পরে</v>
      </c>
    </row>
    <row r="7365">
      <c r="A7365" s="4">
        <v>5581.0</v>
      </c>
      <c r="B7365" s="2" t="s">
        <v>29810</v>
      </c>
      <c r="C7365" s="2" t="s">
        <v>29811</v>
      </c>
      <c r="D7365" s="2" t="s">
        <v>29812</v>
      </c>
      <c r="E7365" s="2" t="s">
        <v>29813</v>
      </c>
      <c r="F7365" s="2" t="b">
        <v>1</v>
      </c>
      <c r="G7365" s="2" t="b">
        <v>1</v>
      </c>
      <c r="H7365" s="2" t="s">
        <v>1106</v>
      </c>
      <c r="I7365" s="2" t="s">
        <v>22</v>
      </c>
      <c r="J7365" s="2" t="s">
        <v>820</v>
      </c>
      <c r="K7365" s="2" t="s">
        <v>495</v>
      </c>
      <c r="L7365" s="13" t="s">
        <v>496</v>
      </c>
      <c r="M7365" s="2" t="s">
        <v>26</v>
      </c>
      <c r="N7365" s="29"/>
      <c r="O7365" s="29"/>
      <c r="P7365" s="5" t="str">
        <f>IFERROR(__xludf.DUMMYFUNCTION("TEXTJOIN("" | "",TRUE,IF(OR(D7365="""",E7365="""",I7365="""",J7365="""",H7365=""""),""ফাঁকা ঘর"",""""),IF(AND(C7365&lt;&gt;"""",D7365&lt;&gt;"""",C7365=D7365),""gloss=figurative"",""""),IF(LEN(D7365)&lt;15,""figurative ছোট"",""""),IF(AND(I7365=""Positive"",REGEXMATCH(H7"&amp;"365,""মূর্খ|ভণ্ড|প্রতার|অলস|লোভ|স্বার্থ|অক্ষম|অযোগ্য|বোকা|কৃপণ|হিংস"")),""valence-target অমিল"",""""),IF(COUNTIF($B:$B,B7365)&gt;1,""ডুপ্লিকেট"",""""))"),"")</f>
        <v/>
      </c>
      <c r="Q7365" s="5" t="str">
        <f t="shared" si="1"/>
        <v>২ পরে</v>
      </c>
    </row>
    <row r="7366">
      <c r="A7366" s="4">
        <v>5585.0</v>
      </c>
      <c r="B7366" s="2" t="s">
        <v>13369</v>
      </c>
      <c r="C7366" s="2" t="s">
        <v>13369</v>
      </c>
      <c r="D7366" s="2" t="s">
        <v>29814</v>
      </c>
      <c r="E7366" s="2" t="s">
        <v>29815</v>
      </c>
      <c r="F7366" s="2" t="b">
        <v>1</v>
      </c>
      <c r="G7366" s="2" t="b">
        <v>0</v>
      </c>
      <c r="H7366" s="2" t="s">
        <v>37</v>
      </c>
      <c r="I7366" s="2" t="s">
        <v>22</v>
      </c>
      <c r="J7366" s="2" t="s">
        <v>842</v>
      </c>
      <c r="K7366" s="2" t="s">
        <v>495</v>
      </c>
      <c r="L7366" s="13" t="s">
        <v>496</v>
      </c>
      <c r="M7366" s="2" t="s">
        <v>26</v>
      </c>
      <c r="N7366" s="29"/>
      <c r="O7366" s="29"/>
      <c r="P7366" s="5" t="str">
        <f>IFERROR(__xludf.DUMMYFUNCTION("TEXTJOIN("" | "",TRUE,IF(OR(D7366="""",E7366="""",I7366="""",J7366="""",H7366=""""),""ফাঁকা ঘর"",""""),IF(AND(C7366&lt;&gt;"""",D7366&lt;&gt;"""",C7366=D7366),""gloss=figurative"",""""),IF(LEN(D7366)&lt;15,""figurative ছোট"",""""),IF(AND(I7366=""Positive"",REGEXMATCH(H7"&amp;"366,""মূর্খ|ভণ্ড|প্রতার|অলস|লোভ|স্বার্থ|অক্ষম|অযোগ্য|বোকা|কৃপণ|হিংস"")),""valence-target অমিল"",""""),IF(COUNTIF($B:$B,B7366)&gt;1,""ডুপ্লিকেট"",""""))"),"")</f>
        <v/>
      </c>
      <c r="Q7366" s="5" t="str">
        <f t="shared" si="1"/>
        <v>২ পরে</v>
      </c>
    </row>
    <row r="7367">
      <c r="A7367" s="4">
        <v>5586.0</v>
      </c>
      <c r="B7367" s="2" t="s">
        <v>29816</v>
      </c>
      <c r="C7367" s="2" t="s">
        <v>29817</v>
      </c>
      <c r="D7367" s="2" t="s">
        <v>29818</v>
      </c>
      <c r="E7367" s="2" t="s">
        <v>29819</v>
      </c>
      <c r="F7367" s="2" t="b">
        <v>1</v>
      </c>
      <c r="G7367" s="2" t="b">
        <v>0</v>
      </c>
      <c r="H7367" s="2" t="s">
        <v>37</v>
      </c>
      <c r="I7367" s="2" t="s">
        <v>22</v>
      </c>
      <c r="J7367" s="2" t="s">
        <v>5829</v>
      </c>
      <c r="K7367" s="2" t="s">
        <v>495</v>
      </c>
      <c r="L7367" s="13" t="s">
        <v>496</v>
      </c>
      <c r="M7367" s="2" t="s">
        <v>26</v>
      </c>
      <c r="N7367" s="29"/>
      <c r="O7367" s="29"/>
      <c r="P7367" s="5" t="str">
        <f>IFERROR(__xludf.DUMMYFUNCTION("TEXTJOIN("" | "",TRUE,IF(OR(D7367="""",E7367="""",I7367="""",J7367="""",H7367=""""),""ফাঁকা ঘর"",""""),IF(AND(C7367&lt;&gt;"""",D7367&lt;&gt;"""",C7367=D7367),""gloss=figurative"",""""),IF(LEN(D7367)&lt;15,""figurative ছোট"",""""),IF(AND(I7367=""Positive"",REGEXMATCH(H7"&amp;"367,""মূর্খ|ভণ্ড|প্রতার|অলস|লোভ|স্বার্থ|অক্ষম|অযোগ্য|বোকা|কৃপণ|হিংস"")),""valence-target অমিল"",""""),IF(COUNTIF($B:$B,B7367)&gt;1,""ডুপ্লিকেট"",""""))"),"")</f>
        <v/>
      </c>
      <c r="Q7367" s="5" t="str">
        <f t="shared" si="1"/>
        <v>২ পরে</v>
      </c>
    </row>
    <row r="7368">
      <c r="A7368" s="4">
        <v>5589.0</v>
      </c>
      <c r="B7368" s="2" t="s">
        <v>29820</v>
      </c>
      <c r="C7368" s="2" t="s">
        <v>29821</v>
      </c>
      <c r="D7368" s="2" t="s">
        <v>29822</v>
      </c>
      <c r="E7368" s="2" t="s">
        <v>29823</v>
      </c>
      <c r="F7368" s="2" t="b">
        <v>1</v>
      </c>
      <c r="G7368" s="2" t="b">
        <v>0</v>
      </c>
      <c r="H7368" s="2" t="s">
        <v>37</v>
      </c>
      <c r="I7368" s="2" t="s">
        <v>49</v>
      </c>
      <c r="J7368" s="2" t="s">
        <v>1915</v>
      </c>
      <c r="K7368" s="2" t="s">
        <v>495</v>
      </c>
      <c r="L7368" s="13" t="s">
        <v>496</v>
      </c>
      <c r="M7368" s="2" t="s">
        <v>26</v>
      </c>
      <c r="N7368" s="29"/>
      <c r="O7368" s="29"/>
      <c r="P7368" s="5" t="str">
        <f>IFERROR(__xludf.DUMMYFUNCTION("TEXTJOIN("" | "",TRUE,IF(OR(D7368="""",E7368="""",I7368="""",J7368="""",H7368=""""),""ফাঁকা ঘর"",""""),IF(AND(C7368&lt;&gt;"""",D7368&lt;&gt;"""",C7368=D7368),""gloss=figurative"",""""),IF(LEN(D7368)&lt;15,""figurative ছোট"",""""),IF(AND(I7368=""Positive"",REGEXMATCH(H7"&amp;"368,""মূর্খ|ভণ্ড|প্রতার|অলস|লোভ|স্বার্থ|অক্ষম|অযোগ্য|বোকা|কৃপণ|হিংস"")),""valence-target অমিল"",""""),IF(COUNTIF($B:$B,B7368)&gt;1,""ডুপ্লিকেট"",""""))"),"")</f>
        <v/>
      </c>
      <c r="Q7368" s="5" t="str">
        <f t="shared" si="1"/>
        <v>২ পরে</v>
      </c>
    </row>
    <row r="7369">
      <c r="A7369" s="4">
        <v>5590.0</v>
      </c>
      <c r="B7369" s="2" t="s">
        <v>29824</v>
      </c>
      <c r="C7369" s="2" t="s">
        <v>29824</v>
      </c>
      <c r="D7369" s="2" t="s">
        <v>29825</v>
      </c>
      <c r="E7369" s="2" t="s">
        <v>29826</v>
      </c>
      <c r="F7369" s="2" t="b">
        <v>1</v>
      </c>
      <c r="G7369" s="2" t="b">
        <v>0</v>
      </c>
      <c r="H7369" s="2" t="s">
        <v>37</v>
      </c>
      <c r="I7369" s="2" t="s">
        <v>22</v>
      </c>
      <c r="J7369" s="2" t="s">
        <v>665</v>
      </c>
      <c r="K7369" s="2" t="s">
        <v>495</v>
      </c>
      <c r="L7369" s="13" t="s">
        <v>496</v>
      </c>
      <c r="M7369" s="2" t="s">
        <v>26</v>
      </c>
      <c r="N7369" s="29"/>
      <c r="O7369" s="29"/>
      <c r="P7369" s="5" t="str">
        <f>IFERROR(__xludf.DUMMYFUNCTION("TEXTJOIN("" | "",TRUE,IF(OR(D7369="""",E7369="""",I7369="""",J7369="""",H7369=""""),""ফাঁকা ঘর"",""""),IF(AND(C7369&lt;&gt;"""",D7369&lt;&gt;"""",C7369=D7369),""gloss=figurative"",""""),IF(LEN(D7369)&lt;15,""figurative ছোট"",""""),IF(AND(I7369=""Positive"",REGEXMATCH(H7"&amp;"369,""মূর্খ|ভণ্ড|প্রতার|অলস|লোভ|স্বার্থ|অক্ষম|অযোগ্য|বোকা|কৃপণ|হিংস"")),""valence-target অমিল"",""""),IF(COUNTIF($B:$B,B7369)&gt;1,""ডুপ্লিকেট"",""""))"),"")</f>
        <v/>
      </c>
      <c r="Q7369" s="5" t="str">
        <f t="shared" si="1"/>
        <v>২ পরে</v>
      </c>
    </row>
    <row r="7370">
      <c r="A7370" s="4">
        <v>5591.0</v>
      </c>
      <c r="B7370" s="2" t="s">
        <v>29827</v>
      </c>
      <c r="C7370" s="2" t="s">
        <v>29828</v>
      </c>
      <c r="D7370" s="2" t="s">
        <v>29829</v>
      </c>
      <c r="E7370" s="2" t="s">
        <v>29830</v>
      </c>
      <c r="F7370" s="2" t="b">
        <v>1</v>
      </c>
      <c r="G7370" s="2" t="b">
        <v>0</v>
      </c>
      <c r="H7370" s="2" t="s">
        <v>37</v>
      </c>
      <c r="I7370" s="2" t="s">
        <v>22</v>
      </c>
      <c r="J7370" s="2" t="s">
        <v>5136</v>
      </c>
      <c r="K7370" s="2" t="s">
        <v>495</v>
      </c>
      <c r="L7370" s="13" t="s">
        <v>496</v>
      </c>
      <c r="M7370" s="2" t="s">
        <v>26</v>
      </c>
      <c r="N7370" s="29"/>
      <c r="O7370" s="29"/>
      <c r="P7370" s="5" t="str">
        <f>IFERROR(__xludf.DUMMYFUNCTION("TEXTJOIN("" | "",TRUE,IF(OR(D7370="""",E7370="""",I7370="""",J7370="""",H7370=""""),""ফাঁকা ঘর"",""""),IF(AND(C7370&lt;&gt;"""",D7370&lt;&gt;"""",C7370=D7370),""gloss=figurative"",""""),IF(LEN(D7370)&lt;15,""figurative ছোট"",""""),IF(AND(I7370=""Positive"",REGEXMATCH(H7"&amp;"370,""মূর্খ|ভণ্ড|প্রতার|অলস|লোভ|স্বার্থ|অক্ষম|অযোগ্য|বোকা|কৃপণ|হিংস"")),""valence-target অমিল"",""""),IF(COUNTIF($B:$B,B7370)&gt;1,""ডুপ্লিকেট"",""""))"),"")</f>
        <v/>
      </c>
      <c r="Q7370" s="5" t="str">
        <f t="shared" si="1"/>
        <v>২ পরে</v>
      </c>
    </row>
    <row r="7371">
      <c r="A7371" s="4">
        <v>5593.0</v>
      </c>
      <c r="B7371" s="2" t="s">
        <v>29831</v>
      </c>
      <c r="C7371" s="2" t="s">
        <v>29832</v>
      </c>
      <c r="D7371" s="2" t="s">
        <v>29833</v>
      </c>
      <c r="E7371" s="2" t="s">
        <v>29834</v>
      </c>
      <c r="F7371" s="2" t="b">
        <v>1</v>
      </c>
      <c r="G7371" s="2" t="b">
        <v>0</v>
      </c>
      <c r="H7371" s="2" t="s">
        <v>37</v>
      </c>
      <c r="I7371" s="2" t="s">
        <v>22</v>
      </c>
      <c r="J7371" s="2" t="s">
        <v>1915</v>
      </c>
      <c r="K7371" s="2" t="s">
        <v>495</v>
      </c>
      <c r="L7371" s="13" t="s">
        <v>496</v>
      </c>
      <c r="M7371" s="2" t="s">
        <v>26</v>
      </c>
      <c r="N7371" s="29"/>
      <c r="O7371" s="29"/>
      <c r="P7371" s="5" t="str">
        <f>IFERROR(__xludf.DUMMYFUNCTION("TEXTJOIN("" | "",TRUE,IF(OR(D7371="""",E7371="""",I7371="""",J7371="""",H7371=""""),""ফাঁকা ঘর"",""""),IF(AND(C7371&lt;&gt;"""",D7371&lt;&gt;"""",C7371=D7371),""gloss=figurative"",""""),IF(LEN(D7371)&lt;15,""figurative ছোট"",""""),IF(AND(I7371=""Positive"",REGEXMATCH(H7"&amp;"371,""মূর্খ|ভণ্ড|প্রতার|অলস|লোভ|স্বার্থ|অক্ষম|অযোগ্য|বোকা|কৃপণ|হিংস"")),""valence-target অমিল"",""""),IF(COUNTIF($B:$B,B7371)&gt;1,""ডুপ্লিকেট"",""""))"),"")</f>
        <v/>
      </c>
      <c r="Q7371" s="5" t="str">
        <f t="shared" si="1"/>
        <v>২ পরে</v>
      </c>
    </row>
    <row r="7372">
      <c r="A7372" s="4">
        <v>5594.0</v>
      </c>
      <c r="B7372" s="2" t="s">
        <v>29835</v>
      </c>
      <c r="C7372" s="2" t="s">
        <v>29835</v>
      </c>
      <c r="D7372" s="2" t="s">
        <v>29836</v>
      </c>
      <c r="E7372" s="2" t="s">
        <v>29837</v>
      </c>
      <c r="F7372" s="2" t="b">
        <v>1</v>
      </c>
      <c r="G7372" s="2" t="b">
        <v>0</v>
      </c>
      <c r="H7372" s="2" t="s">
        <v>37</v>
      </c>
      <c r="I7372" s="2" t="s">
        <v>22</v>
      </c>
      <c r="J7372" s="2" t="s">
        <v>1027</v>
      </c>
      <c r="K7372" s="2" t="s">
        <v>495</v>
      </c>
      <c r="L7372" s="13" t="s">
        <v>496</v>
      </c>
      <c r="M7372" s="2" t="s">
        <v>26</v>
      </c>
      <c r="N7372" s="29"/>
      <c r="O7372" s="29"/>
      <c r="P7372" s="5" t="str">
        <f>IFERROR(__xludf.DUMMYFUNCTION("TEXTJOIN("" | "",TRUE,IF(OR(D7372="""",E7372="""",I7372="""",J7372="""",H7372=""""),""ফাঁকা ঘর"",""""),IF(AND(C7372&lt;&gt;"""",D7372&lt;&gt;"""",C7372=D7372),""gloss=figurative"",""""),IF(LEN(D7372)&lt;15,""figurative ছোট"",""""),IF(AND(I7372=""Positive"",REGEXMATCH(H7"&amp;"372,""মূর্খ|ভণ্ড|প্রতার|অলস|লোভ|স্বার্থ|অক্ষম|অযোগ্য|বোকা|কৃপণ|হিংস"")),""valence-target অমিল"",""""),IF(COUNTIF($B:$B,B7372)&gt;1,""ডুপ্লিকেট"",""""))"),"")</f>
        <v/>
      </c>
      <c r="Q7372" s="5" t="str">
        <f t="shared" si="1"/>
        <v>২ পরে</v>
      </c>
    </row>
    <row r="7373">
      <c r="A7373" s="4">
        <v>5595.0</v>
      </c>
      <c r="B7373" s="2" t="s">
        <v>29838</v>
      </c>
      <c r="C7373" s="2" t="s">
        <v>29839</v>
      </c>
      <c r="D7373" s="2" t="s">
        <v>29840</v>
      </c>
      <c r="E7373" s="2" t="s">
        <v>29841</v>
      </c>
      <c r="F7373" s="2" t="b">
        <v>1</v>
      </c>
      <c r="G7373" s="2" t="b">
        <v>0</v>
      </c>
      <c r="H7373" s="2" t="s">
        <v>37</v>
      </c>
      <c r="I7373" s="2" t="s">
        <v>22</v>
      </c>
      <c r="J7373" s="2" t="s">
        <v>1895</v>
      </c>
      <c r="K7373" s="2" t="s">
        <v>495</v>
      </c>
      <c r="L7373" s="13" t="s">
        <v>496</v>
      </c>
      <c r="M7373" s="2" t="s">
        <v>26</v>
      </c>
      <c r="N7373" s="29"/>
      <c r="O7373" s="29"/>
      <c r="P7373" s="5" t="str">
        <f>IFERROR(__xludf.DUMMYFUNCTION("TEXTJOIN("" | "",TRUE,IF(OR(D7373="""",E7373="""",I7373="""",J7373="""",H7373=""""),""ফাঁকা ঘর"",""""),IF(AND(C7373&lt;&gt;"""",D7373&lt;&gt;"""",C7373=D7373),""gloss=figurative"",""""),IF(LEN(D7373)&lt;15,""figurative ছোট"",""""),IF(AND(I7373=""Positive"",REGEXMATCH(H7"&amp;"373,""মূর্খ|ভণ্ড|প্রতার|অলস|লোভ|স্বার্থ|অক্ষম|অযোগ্য|বোকা|কৃপণ|হিংস"")),""valence-target অমিল"",""""),IF(COUNTIF($B:$B,B7373)&gt;1,""ডুপ্লিকেট"",""""))"),"")</f>
        <v/>
      </c>
      <c r="Q7373" s="5" t="str">
        <f t="shared" si="1"/>
        <v>২ পরে</v>
      </c>
    </row>
    <row r="7374">
      <c r="A7374" s="4">
        <v>5598.0</v>
      </c>
      <c r="B7374" s="2" t="s">
        <v>29842</v>
      </c>
      <c r="C7374" s="2" t="s">
        <v>29842</v>
      </c>
      <c r="D7374" s="2" t="s">
        <v>29843</v>
      </c>
      <c r="E7374" s="2" t="s">
        <v>29844</v>
      </c>
      <c r="F7374" s="2" t="b">
        <v>1</v>
      </c>
      <c r="G7374" s="2" t="b">
        <v>0</v>
      </c>
      <c r="H7374" s="2" t="s">
        <v>37</v>
      </c>
      <c r="I7374" s="2" t="s">
        <v>22</v>
      </c>
      <c r="J7374" s="2" t="s">
        <v>855</v>
      </c>
      <c r="K7374" s="2" t="s">
        <v>495</v>
      </c>
      <c r="L7374" s="13" t="s">
        <v>496</v>
      </c>
      <c r="M7374" s="2" t="s">
        <v>26</v>
      </c>
      <c r="N7374" s="29"/>
      <c r="O7374" s="29"/>
      <c r="P7374" s="5" t="str">
        <f>IFERROR(__xludf.DUMMYFUNCTION("TEXTJOIN("" | "",TRUE,IF(OR(D7374="""",E7374="""",I7374="""",J7374="""",H7374=""""),""ফাঁকা ঘর"",""""),IF(AND(C7374&lt;&gt;"""",D7374&lt;&gt;"""",C7374=D7374),""gloss=figurative"",""""),IF(LEN(D7374)&lt;15,""figurative ছোট"",""""),IF(AND(I7374=""Positive"",REGEXMATCH(H7"&amp;"374,""মূর্খ|ভণ্ড|প্রতার|অলস|লোভ|স্বার্থ|অক্ষম|অযোগ্য|বোকা|কৃপণ|হিংস"")),""valence-target অমিল"",""""),IF(COUNTIF($B:$B,B7374)&gt;1,""ডুপ্লিকেট"",""""))"),"")</f>
        <v/>
      </c>
      <c r="Q7374" s="5" t="str">
        <f t="shared" si="1"/>
        <v>২ পরে</v>
      </c>
    </row>
    <row r="7375">
      <c r="A7375" s="4">
        <v>5599.0</v>
      </c>
      <c r="B7375" s="2" t="s">
        <v>29845</v>
      </c>
      <c r="C7375" s="2" t="s">
        <v>29846</v>
      </c>
      <c r="D7375" s="2" t="s">
        <v>29847</v>
      </c>
      <c r="E7375" s="2" t="s">
        <v>29848</v>
      </c>
      <c r="F7375" s="2" t="b">
        <v>1</v>
      </c>
      <c r="G7375" s="2" t="b">
        <v>0</v>
      </c>
      <c r="H7375" s="2" t="s">
        <v>37</v>
      </c>
      <c r="I7375" s="2" t="s">
        <v>22</v>
      </c>
      <c r="J7375" s="2" t="s">
        <v>2165</v>
      </c>
      <c r="K7375" s="2" t="s">
        <v>495</v>
      </c>
      <c r="L7375" s="13" t="s">
        <v>496</v>
      </c>
      <c r="M7375" s="2" t="s">
        <v>26</v>
      </c>
      <c r="N7375" s="29"/>
      <c r="O7375" s="29"/>
      <c r="P7375" s="5" t="str">
        <f>IFERROR(__xludf.DUMMYFUNCTION("TEXTJOIN("" | "",TRUE,IF(OR(D7375="""",E7375="""",I7375="""",J7375="""",H7375=""""),""ফাঁকা ঘর"",""""),IF(AND(C7375&lt;&gt;"""",D7375&lt;&gt;"""",C7375=D7375),""gloss=figurative"",""""),IF(LEN(D7375)&lt;15,""figurative ছোট"",""""),IF(AND(I7375=""Positive"",REGEXMATCH(H7"&amp;"375,""মূর্খ|ভণ্ড|প্রতার|অলস|লোভ|স্বার্থ|অক্ষম|অযোগ্য|বোকা|কৃপণ|হিংস"")),""valence-target অমিল"",""""),IF(COUNTIF($B:$B,B7375)&gt;1,""ডুপ্লিকেট"",""""))"),"")</f>
        <v/>
      </c>
      <c r="Q7375" s="5" t="str">
        <f t="shared" si="1"/>
        <v>২ পরে</v>
      </c>
    </row>
    <row r="7376">
      <c r="A7376" s="4">
        <v>5600.0</v>
      </c>
      <c r="B7376" s="2" t="s">
        <v>29849</v>
      </c>
      <c r="C7376" s="2" t="s">
        <v>29850</v>
      </c>
      <c r="D7376" s="2" t="s">
        <v>29851</v>
      </c>
      <c r="E7376" s="2" t="s">
        <v>29852</v>
      </c>
      <c r="F7376" s="2" t="b">
        <v>1</v>
      </c>
      <c r="G7376" s="2" t="b">
        <v>0</v>
      </c>
      <c r="H7376" s="2" t="s">
        <v>37</v>
      </c>
      <c r="I7376" s="2" t="s">
        <v>32</v>
      </c>
      <c r="J7376" s="2" t="s">
        <v>4463</v>
      </c>
      <c r="K7376" s="2" t="s">
        <v>495</v>
      </c>
      <c r="L7376" s="13" t="s">
        <v>496</v>
      </c>
      <c r="M7376" s="2" t="s">
        <v>26</v>
      </c>
      <c r="N7376" s="29"/>
      <c r="O7376" s="29"/>
      <c r="P7376" s="5" t="str">
        <f>IFERROR(__xludf.DUMMYFUNCTION("TEXTJOIN("" | "",TRUE,IF(OR(D7376="""",E7376="""",I7376="""",J7376="""",H7376=""""),""ফাঁকা ঘর"",""""),IF(AND(C7376&lt;&gt;"""",D7376&lt;&gt;"""",C7376=D7376),""gloss=figurative"",""""),IF(LEN(D7376)&lt;15,""figurative ছোট"",""""),IF(AND(I7376=""Positive"",REGEXMATCH(H7"&amp;"376,""মূর্খ|ভণ্ড|প্রতার|অলস|লোভ|স্বার্থ|অক্ষম|অযোগ্য|বোকা|কৃপণ|হিংস"")),""valence-target অমিল"",""""),IF(COUNTIF($B:$B,B7376)&gt;1,""ডুপ্লিকেট"",""""))"),"")</f>
        <v/>
      </c>
      <c r="Q7376" s="5" t="str">
        <f t="shared" si="1"/>
        <v>২ পরে</v>
      </c>
    </row>
    <row r="7377">
      <c r="A7377" s="4">
        <v>5601.0</v>
      </c>
      <c r="B7377" s="2" t="s">
        <v>29853</v>
      </c>
      <c r="C7377" s="2" t="s">
        <v>29854</v>
      </c>
      <c r="D7377" s="2" t="s">
        <v>29855</v>
      </c>
      <c r="E7377" s="2" t="s">
        <v>29856</v>
      </c>
      <c r="F7377" s="2" t="b">
        <v>1</v>
      </c>
      <c r="G7377" s="2" t="b">
        <v>0</v>
      </c>
      <c r="H7377" s="2" t="s">
        <v>37</v>
      </c>
      <c r="I7377" s="2" t="s">
        <v>22</v>
      </c>
      <c r="J7377" s="2" t="s">
        <v>1962</v>
      </c>
      <c r="K7377" s="2" t="s">
        <v>495</v>
      </c>
      <c r="L7377" s="13" t="s">
        <v>496</v>
      </c>
      <c r="M7377" s="2" t="s">
        <v>26</v>
      </c>
      <c r="N7377" s="29"/>
      <c r="O7377" s="29"/>
      <c r="P7377" s="5" t="str">
        <f>IFERROR(__xludf.DUMMYFUNCTION("TEXTJOIN("" | "",TRUE,IF(OR(D7377="""",E7377="""",I7377="""",J7377="""",H7377=""""),""ফাঁকা ঘর"",""""),IF(AND(C7377&lt;&gt;"""",D7377&lt;&gt;"""",C7377=D7377),""gloss=figurative"",""""),IF(LEN(D7377)&lt;15,""figurative ছোট"",""""),IF(AND(I7377=""Positive"",REGEXMATCH(H7"&amp;"377,""মূর্খ|ভণ্ড|প্রতার|অলস|লোভ|স্বার্থ|অক্ষম|অযোগ্য|বোকা|কৃপণ|হিংস"")),""valence-target অমিল"",""""),IF(COUNTIF($B:$B,B7377)&gt;1,""ডুপ্লিকেট"",""""))"),"")</f>
        <v/>
      </c>
      <c r="Q7377" s="5" t="str">
        <f t="shared" si="1"/>
        <v>২ পরে</v>
      </c>
    </row>
    <row r="7378">
      <c r="A7378" s="4">
        <v>5602.0</v>
      </c>
      <c r="B7378" s="2" t="s">
        <v>29857</v>
      </c>
      <c r="C7378" s="2" t="s">
        <v>29858</v>
      </c>
      <c r="D7378" s="2" t="s">
        <v>29859</v>
      </c>
      <c r="E7378" s="2" t="s">
        <v>29860</v>
      </c>
      <c r="F7378" s="2" t="b">
        <v>1</v>
      </c>
      <c r="G7378" s="2" t="b">
        <v>0</v>
      </c>
      <c r="H7378" s="2" t="s">
        <v>37</v>
      </c>
      <c r="I7378" s="2" t="s">
        <v>49</v>
      </c>
      <c r="J7378" s="2" t="s">
        <v>22988</v>
      </c>
      <c r="K7378" s="2" t="s">
        <v>495</v>
      </c>
      <c r="L7378" s="13" t="s">
        <v>496</v>
      </c>
      <c r="M7378" s="2" t="s">
        <v>26</v>
      </c>
      <c r="N7378" s="29"/>
      <c r="O7378" s="29"/>
      <c r="P7378" s="5" t="str">
        <f>IFERROR(__xludf.DUMMYFUNCTION("TEXTJOIN("" | "",TRUE,IF(OR(D7378="""",E7378="""",I7378="""",J7378="""",H7378=""""),""ফাঁকা ঘর"",""""),IF(AND(C7378&lt;&gt;"""",D7378&lt;&gt;"""",C7378=D7378),""gloss=figurative"",""""),IF(LEN(D7378)&lt;15,""figurative ছোট"",""""),IF(AND(I7378=""Positive"",REGEXMATCH(H7"&amp;"378,""মূর্খ|ভণ্ড|প্রতার|অলস|লোভ|স্বার্থ|অক্ষম|অযোগ্য|বোকা|কৃপণ|হিংস"")),""valence-target অমিল"",""""),IF(COUNTIF($B:$B,B7378)&gt;1,""ডুপ্লিকেট"",""""))"),"")</f>
        <v/>
      </c>
      <c r="Q7378" s="5" t="str">
        <f t="shared" si="1"/>
        <v>২ পরে</v>
      </c>
    </row>
    <row r="7379">
      <c r="A7379" s="4">
        <v>5605.0</v>
      </c>
      <c r="B7379" s="2" t="s">
        <v>29861</v>
      </c>
      <c r="C7379" s="2" t="s">
        <v>29862</v>
      </c>
      <c r="D7379" s="2" t="s">
        <v>29863</v>
      </c>
      <c r="E7379" s="2" t="s">
        <v>29864</v>
      </c>
      <c r="F7379" s="2" t="b">
        <v>1</v>
      </c>
      <c r="G7379" s="2" t="b">
        <v>0</v>
      </c>
      <c r="H7379" s="2" t="s">
        <v>37</v>
      </c>
      <c r="I7379" s="2" t="s">
        <v>22</v>
      </c>
      <c r="J7379" s="2" t="s">
        <v>1859</v>
      </c>
      <c r="K7379" s="2" t="s">
        <v>495</v>
      </c>
      <c r="L7379" s="13" t="s">
        <v>496</v>
      </c>
      <c r="M7379" s="2" t="s">
        <v>26</v>
      </c>
      <c r="N7379" s="29"/>
      <c r="O7379" s="29"/>
      <c r="P7379" s="5" t="str">
        <f>IFERROR(__xludf.DUMMYFUNCTION("TEXTJOIN("" | "",TRUE,IF(OR(D7379="""",E7379="""",I7379="""",J7379="""",H7379=""""),""ফাঁকা ঘর"",""""),IF(AND(C7379&lt;&gt;"""",D7379&lt;&gt;"""",C7379=D7379),""gloss=figurative"",""""),IF(LEN(D7379)&lt;15,""figurative ছোট"",""""),IF(AND(I7379=""Positive"",REGEXMATCH(H7"&amp;"379,""মূর্খ|ভণ্ড|প্রতার|অলস|লোভ|স্বার্থ|অক্ষম|অযোগ্য|বোকা|কৃপণ|হিংস"")),""valence-target অমিল"",""""),IF(COUNTIF($B:$B,B7379)&gt;1,""ডুপ্লিকেট"",""""))"),"")</f>
        <v/>
      </c>
      <c r="Q7379" s="5" t="str">
        <f t="shared" si="1"/>
        <v>২ পরে</v>
      </c>
    </row>
    <row r="7380">
      <c r="A7380" s="4">
        <v>5608.0</v>
      </c>
      <c r="B7380" s="2" t="s">
        <v>29865</v>
      </c>
      <c r="C7380" s="2" t="s">
        <v>29865</v>
      </c>
      <c r="D7380" s="2" t="s">
        <v>29866</v>
      </c>
      <c r="E7380" s="2" t="s">
        <v>29867</v>
      </c>
      <c r="F7380" s="2" t="b">
        <v>1</v>
      </c>
      <c r="G7380" s="2" t="b">
        <v>0</v>
      </c>
      <c r="H7380" s="2" t="s">
        <v>37</v>
      </c>
      <c r="I7380" s="2" t="s">
        <v>32</v>
      </c>
      <c r="J7380" s="2" t="s">
        <v>3475</v>
      </c>
      <c r="K7380" s="2" t="s">
        <v>495</v>
      </c>
      <c r="L7380" s="13" t="s">
        <v>496</v>
      </c>
      <c r="M7380" s="2" t="s">
        <v>26</v>
      </c>
      <c r="N7380" s="29"/>
      <c r="O7380" s="29"/>
      <c r="P7380" s="5" t="str">
        <f>IFERROR(__xludf.DUMMYFUNCTION("TEXTJOIN("" | "",TRUE,IF(OR(D7380="""",E7380="""",I7380="""",J7380="""",H7380=""""),""ফাঁকা ঘর"",""""),IF(AND(C7380&lt;&gt;"""",D7380&lt;&gt;"""",C7380=D7380),""gloss=figurative"",""""),IF(LEN(D7380)&lt;15,""figurative ছোট"",""""),IF(AND(I7380=""Positive"",REGEXMATCH(H7"&amp;"380,""মূর্খ|ভণ্ড|প্রতার|অলস|লোভ|স্বার্থ|অক্ষম|অযোগ্য|বোকা|কৃপণ|হিংস"")),""valence-target অমিল"",""""),IF(COUNTIF($B:$B,B7380)&gt;1,""ডুপ্লিকেট"",""""))"),"")</f>
        <v/>
      </c>
      <c r="Q7380" s="5" t="str">
        <f t="shared" si="1"/>
        <v>২ পরে</v>
      </c>
    </row>
    <row r="7381">
      <c r="A7381" s="4">
        <v>5609.0</v>
      </c>
      <c r="B7381" s="2" t="s">
        <v>29868</v>
      </c>
      <c r="C7381" s="2" t="s">
        <v>29869</v>
      </c>
      <c r="D7381" s="2" t="s">
        <v>29870</v>
      </c>
      <c r="E7381" s="2" t="s">
        <v>29871</v>
      </c>
      <c r="F7381" s="2" t="b">
        <v>1</v>
      </c>
      <c r="G7381" s="2" t="b">
        <v>0</v>
      </c>
      <c r="H7381" s="2" t="s">
        <v>37</v>
      </c>
      <c r="I7381" s="2" t="s">
        <v>22</v>
      </c>
      <c r="J7381" s="2" t="s">
        <v>1013</v>
      </c>
      <c r="K7381" s="2" t="s">
        <v>495</v>
      </c>
      <c r="L7381" s="13" t="s">
        <v>496</v>
      </c>
      <c r="M7381" s="2" t="s">
        <v>26</v>
      </c>
      <c r="N7381" s="29"/>
      <c r="O7381" s="29"/>
      <c r="P7381" s="5" t="str">
        <f>IFERROR(__xludf.DUMMYFUNCTION("TEXTJOIN("" | "",TRUE,IF(OR(D7381="""",E7381="""",I7381="""",J7381="""",H7381=""""),""ফাঁকা ঘর"",""""),IF(AND(C7381&lt;&gt;"""",D7381&lt;&gt;"""",C7381=D7381),""gloss=figurative"",""""),IF(LEN(D7381)&lt;15,""figurative ছোট"",""""),IF(AND(I7381=""Positive"",REGEXMATCH(H7"&amp;"381,""মূর্খ|ভণ্ড|প্রতার|অলস|লোভ|স্বার্থ|অক্ষম|অযোগ্য|বোকা|কৃপণ|হিংস"")),""valence-target অমিল"",""""),IF(COUNTIF($B:$B,B7381)&gt;1,""ডুপ্লিকেট"",""""))"),"")</f>
        <v/>
      </c>
      <c r="Q7381" s="5" t="str">
        <f t="shared" si="1"/>
        <v>২ পরে</v>
      </c>
    </row>
    <row r="7382">
      <c r="A7382" s="4">
        <v>5612.0</v>
      </c>
      <c r="B7382" s="2" t="s">
        <v>29872</v>
      </c>
      <c r="C7382" s="2" t="s">
        <v>29872</v>
      </c>
      <c r="D7382" s="2" t="s">
        <v>29873</v>
      </c>
      <c r="E7382" s="2" t="s">
        <v>29874</v>
      </c>
      <c r="F7382" s="2" t="b">
        <v>1</v>
      </c>
      <c r="G7382" s="2" t="b">
        <v>0</v>
      </c>
      <c r="H7382" s="2" t="s">
        <v>37</v>
      </c>
      <c r="I7382" s="2" t="s">
        <v>22</v>
      </c>
      <c r="J7382" s="2" t="s">
        <v>2869</v>
      </c>
      <c r="K7382" s="2" t="s">
        <v>495</v>
      </c>
      <c r="L7382" s="13" t="s">
        <v>496</v>
      </c>
      <c r="M7382" s="2" t="s">
        <v>26</v>
      </c>
      <c r="N7382" s="29"/>
      <c r="O7382" s="29"/>
      <c r="P7382" s="5" t="str">
        <f>IFERROR(__xludf.DUMMYFUNCTION("TEXTJOIN("" | "",TRUE,IF(OR(D7382="""",E7382="""",I7382="""",J7382="""",H7382=""""),""ফাঁকা ঘর"",""""),IF(AND(C7382&lt;&gt;"""",D7382&lt;&gt;"""",C7382=D7382),""gloss=figurative"",""""),IF(LEN(D7382)&lt;15,""figurative ছোট"",""""),IF(AND(I7382=""Positive"",REGEXMATCH(H7"&amp;"382,""মূর্খ|ভণ্ড|প্রতার|অলস|লোভ|স্বার্থ|অক্ষম|অযোগ্য|বোকা|কৃপণ|হিংস"")),""valence-target অমিল"",""""),IF(COUNTIF($B:$B,B7382)&gt;1,""ডুপ্লিকেট"",""""))"),"")</f>
        <v/>
      </c>
      <c r="Q7382" s="5" t="str">
        <f t="shared" si="1"/>
        <v>২ পরে</v>
      </c>
    </row>
    <row r="7383">
      <c r="A7383" s="4">
        <v>5614.0</v>
      </c>
      <c r="B7383" s="2" t="s">
        <v>29875</v>
      </c>
      <c r="C7383" s="2" t="s">
        <v>29876</v>
      </c>
      <c r="D7383" s="2" t="s">
        <v>28916</v>
      </c>
      <c r="E7383" s="2" t="s">
        <v>29877</v>
      </c>
      <c r="F7383" s="2" t="b">
        <v>1</v>
      </c>
      <c r="G7383" s="2" t="b">
        <v>0</v>
      </c>
      <c r="H7383" s="2" t="s">
        <v>37</v>
      </c>
      <c r="I7383" s="2" t="s">
        <v>22</v>
      </c>
      <c r="J7383" s="2" t="s">
        <v>665</v>
      </c>
      <c r="K7383" s="2" t="s">
        <v>495</v>
      </c>
      <c r="L7383" s="13" t="s">
        <v>496</v>
      </c>
      <c r="M7383" s="2" t="s">
        <v>26</v>
      </c>
      <c r="N7383" s="29"/>
      <c r="O7383" s="29"/>
      <c r="P7383" s="5" t="str">
        <f>IFERROR(__xludf.DUMMYFUNCTION("TEXTJOIN("" | "",TRUE,IF(OR(D7383="""",E7383="""",I7383="""",J7383="""",H7383=""""),""ফাঁকা ঘর"",""""),IF(AND(C7383&lt;&gt;"""",D7383&lt;&gt;"""",C7383=D7383),""gloss=figurative"",""""),IF(LEN(D7383)&lt;15,""figurative ছোট"",""""),IF(AND(I7383=""Positive"",REGEXMATCH(H7"&amp;"383,""মূর্খ|ভণ্ড|প্রতার|অলস|লোভ|স্বার্থ|অক্ষম|অযোগ্য|বোকা|কৃপণ|হিংস"")),""valence-target অমিল"",""""),IF(COUNTIF($B:$B,B7383)&gt;1,""ডুপ্লিকেট"",""""))"),"")</f>
        <v/>
      </c>
      <c r="Q7383" s="5" t="str">
        <f t="shared" si="1"/>
        <v>২ পরে</v>
      </c>
    </row>
    <row r="7384">
      <c r="A7384" s="4">
        <v>5615.0</v>
      </c>
      <c r="B7384" s="2" t="s">
        <v>29878</v>
      </c>
      <c r="C7384" s="2" t="s">
        <v>29879</v>
      </c>
      <c r="D7384" s="2" t="s">
        <v>29253</v>
      </c>
      <c r="E7384" s="2" t="s">
        <v>29880</v>
      </c>
      <c r="F7384" s="2" t="b">
        <v>1</v>
      </c>
      <c r="G7384" s="2" t="b">
        <v>1</v>
      </c>
      <c r="H7384" s="2" t="s">
        <v>1106</v>
      </c>
      <c r="I7384" s="2" t="s">
        <v>22</v>
      </c>
      <c r="J7384" s="2" t="s">
        <v>665</v>
      </c>
      <c r="K7384" s="2" t="s">
        <v>495</v>
      </c>
      <c r="L7384" s="13" t="s">
        <v>496</v>
      </c>
      <c r="M7384" s="2" t="s">
        <v>26</v>
      </c>
      <c r="N7384" s="29"/>
      <c r="O7384" s="29"/>
      <c r="P7384" s="5" t="str">
        <f>IFERROR(__xludf.DUMMYFUNCTION("TEXTJOIN("" | "",TRUE,IF(OR(D7384="""",E7384="""",I7384="""",J7384="""",H7384=""""),""ফাঁকা ঘর"",""""),IF(AND(C7384&lt;&gt;"""",D7384&lt;&gt;"""",C7384=D7384),""gloss=figurative"",""""),IF(LEN(D7384)&lt;15,""figurative ছোট"",""""),IF(AND(I7384=""Positive"",REGEXMATCH(H7"&amp;"384,""মূর্খ|ভণ্ড|প্রতার|অলস|লোভ|স্বার্থ|অক্ষম|অযোগ্য|বোকা|কৃপণ|হিংস"")),""valence-target অমিল"",""""),IF(COUNTIF($B:$B,B7384)&gt;1,""ডুপ্লিকেট"",""""))"),"")</f>
        <v/>
      </c>
      <c r="Q7384" s="5" t="str">
        <f t="shared" si="1"/>
        <v>২ পরে</v>
      </c>
    </row>
    <row r="7385">
      <c r="A7385" s="4">
        <v>5616.0</v>
      </c>
      <c r="B7385" s="2" t="s">
        <v>29881</v>
      </c>
      <c r="C7385" s="2" t="s">
        <v>29882</v>
      </c>
      <c r="D7385" s="2" t="s">
        <v>29883</v>
      </c>
      <c r="E7385" s="2" t="s">
        <v>29884</v>
      </c>
      <c r="F7385" s="2" t="b">
        <v>1</v>
      </c>
      <c r="G7385" s="2" t="b">
        <v>0</v>
      </c>
      <c r="H7385" s="2" t="s">
        <v>37</v>
      </c>
      <c r="I7385" s="2" t="s">
        <v>22</v>
      </c>
      <c r="J7385" s="2" t="s">
        <v>1859</v>
      </c>
      <c r="K7385" s="2" t="s">
        <v>495</v>
      </c>
      <c r="L7385" s="13" t="s">
        <v>496</v>
      </c>
      <c r="M7385" s="2" t="s">
        <v>26</v>
      </c>
      <c r="N7385" s="29"/>
      <c r="O7385" s="29"/>
      <c r="P7385" s="5" t="str">
        <f>IFERROR(__xludf.DUMMYFUNCTION("TEXTJOIN("" | "",TRUE,IF(OR(D7385="""",E7385="""",I7385="""",J7385="""",H7385=""""),""ফাঁকা ঘর"",""""),IF(AND(C7385&lt;&gt;"""",D7385&lt;&gt;"""",C7385=D7385),""gloss=figurative"",""""),IF(LEN(D7385)&lt;15,""figurative ছোট"",""""),IF(AND(I7385=""Positive"",REGEXMATCH(H7"&amp;"385,""মূর্খ|ভণ্ড|প্রতার|অলস|লোভ|স্বার্থ|অক্ষম|অযোগ্য|বোকা|কৃপণ|হিংস"")),""valence-target অমিল"",""""),IF(COUNTIF($B:$B,B7385)&gt;1,""ডুপ্লিকেট"",""""))"),"")</f>
        <v/>
      </c>
      <c r="Q7385" s="5" t="str">
        <f t="shared" si="1"/>
        <v>২ পরে</v>
      </c>
    </row>
    <row r="7386">
      <c r="A7386" s="4">
        <v>5617.0</v>
      </c>
      <c r="B7386" s="2" t="s">
        <v>29885</v>
      </c>
      <c r="C7386" s="2" t="s">
        <v>29886</v>
      </c>
      <c r="D7386" s="2" t="s">
        <v>29887</v>
      </c>
      <c r="E7386" s="2" t="s">
        <v>29888</v>
      </c>
      <c r="F7386" s="2" t="b">
        <v>1</v>
      </c>
      <c r="G7386" s="2" t="b">
        <v>0</v>
      </c>
      <c r="H7386" s="2" t="s">
        <v>37</v>
      </c>
      <c r="I7386" s="2" t="s">
        <v>22</v>
      </c>
      <c r="J7386" s="2" t="s">
        <v>1962</v>
      </c>
      <c r="K7386" s="2" t="s">
        <v>495</v>
      </c>
      <c r="L7386" s="13" t="s">
        <v>496</v>
      </c>
      <c r="M7386" s="2" t="s">
        <v>26</v>
      </c>
      <c r="N7386" s="29"/>
      <c r="O7386" s="29"/>
      <c r="P7386" s="5" t="str">
        <f>IFERROR(__xludf.DUMMYFUNCTION("TEXTJOIN("" | "",TRUE,IF(OR(D7386="""",E7386="""",I7386="""",J7386="""",H7386=""""),""ফাঁকা ঘর"",""""),IF(AND(C7386&lt;&gt;"""",D7386&lt;&gt;"""",C7386=D7386),""gloss=figurative"",""""),IF(LEN(D7386)&lt;15,""figurative ছোট"",""""),IF(AND(I7386=""Positive"",REGEXMATCH(H7"&amp;"386,""মূর্খ|ভণ্ড|প্রতার|অলস|লোভ|স্বার্থ|অক্ষম|অযোগ্য|বোকা|কৃপণ|হিংস"")),""valence-target অমিল"",""""),IF(COUNTIF($B:$B,B7386)&gt;1,""ডুপ্লিকেট"",""""))"),"")</f>
        <v/>
      </c>
      <c r="Q7386" s="5" t="str">
        <f t="shared" si="1"/>
        <v>২ পরে</v>
      </c>
    </row>
    <row r="7387">
      <c r="A7387" s="4">
        <v>5619.0</v>
      </c>
      <c r="B7387" s="2" t="s">
        <v>29889</v>
      </c>
      <c r="C7387" s="2" t="s">
        <v>29890</v>
      </c>
      <c r="D7387" s="2" t="s">
        <v>29891</v>
      </c>
      <c r="E7387" s="2" t="s">
        <v>29892</v>
      </c>
      <c r="F7387" s="2" t="b">
        <v>1</v>
      </c>
      <c r="G7387" s="2" t="b">
        <v>0</v>
      </c>
      <c r="H7387" s="2" t="s">
        <v>37</v>
      </c>
      <c r="I7387" s="2" t="s">
        <v>22</v>
      </c>
      <c r="J7387" s="2" t="s">
        <v>2255</v>
      </c>
      <c r="K7387" s="2" t="s">
        <v>495</v>
      </c>
      <c r="L7387" s="13" t="s">
        <v>496</v>
      </c>
      <c r="M7387" s="2" t="s">
        <v>26</v>
      </c>
      <c r="N7387" s="29"/>
      <c r="O7387" s="29"/>
      <c r="P7387" s="5" t="str">
        <f>IFERROR(__xludf.DUMMYFUNCTION("TEXTJOIN("" | "",TRUE,IF(OR(D7387="""",E7387="""",I7387="""",J7387="""",H7387=""""),""ফাঁকা ঘর"",""""),IF(AND(C7387&lt;&gt;"""",D7387&lt;&gt;"""",C7387=D7387),""gloss=figurative"",""""),IF(LEN(D7387)&lt;15,""figurative ছোট"",""""),IF(AND(I7387=""Positive"",REGEXMATCH(H7"&amp;"387,""মূর্খ|ভণ্ড|প্রতার|অলস|লোভ|স্বার্থ|অক্ষম|অযোগ্য|বোকা|কৃপণ|হিংস"")),""valence-target অমিল"",""""),IF(COUNTIF($B:$B,B7387)&gt;1,""ডুপ্লিকেট"",""""))"),"")</f>
        <v/>
      </c>
      <c r="Q7387" s="5" t="str">
        <f t="shared" si="1"/>
        <v>২ পরে</v>
      </c>
    </row>
    <row r="7388">
      <c r="A7388" s="4">
        <v>5620.0</v>
      </c>
      <c r="B7388" s="2" t="s">
        <v>29893</v>
      </c>
      <c r="C7388" s="2" t="s">
        <v>29894</v>
      </c>
      <c r="D7388" s="2" t="s">
        <v>29895</v>
      </c>
      <c r="E7388" s="2" t="s">
        <v>29896</v>
      </c>
      <c r="F7388" s="2" t="b">
        <v>1</v>
      </c>
      <c r="G7388" s="2" t="b">
        <v>0</v>
      </c>
      <c r="H7388" s="2" t="s">
        <v>37</v>
      </c>
      <c r="I7388" s="2" t="s">
        <v>22</v>
      </c>
      <c r="J7388" s="2" t="s">
        <v>2255</v>
      </c>
      <c r="K7388" s="2" t="s">
        <v>495</v>
      </c>
      <c r="L7388" s="13" t="s">
        <v>496</v>
      </c>
      <c r="M7388" s="2" t="s">
        <v>26</v>
      </c>
      <c r="N7388" s="29"/>
      <c r="O7388" s="29"/>
      <c r="P7388" s="5" t="str">
        <f>IFERROR(__xludf.DUMMYFUNCTION("TEXTJOIN("" | "",TRUE,IF(OR(D7388="""",E7388="""",I7388="""",J7388="""",H7388=""""),""ফাঁকা ঘর"",""""),IF(AND(C7388&lt;&gt;"""",D7388&lt;&gt;"""",C7388=D7388),""gloss=figurative"",""""),IF(LEN(D7388)&lt;15,""figurative ছোট"",""""),IF(AND(I7388=""Positive"",REGEXMATCH(H7"&amp;"388,""মূর্খ|ভণ্ড|প্রতার|অলস|লোভ|স্বার্থ|অক্ষম|অযোগ্য|বোকা|কৃপণ|হিংস"")),""valence-target অমিল"",""""),IF(COUNTIF($B:$B,B7388)&gt;1,""ডুপ্লিকেট"",""""))"),"")</f>
        <v/>
      </c>
      <c r="Q7388" s="5" t="str">
        <f t="shared" si="1"/>
        <v>২ পরে</v>
      </c>
    </row>
    <row r="7389">
      <c r="A7389" s="4">
        <v>5621.0</v>
      </c>
      <c r="B7389" s="2" t="s">
        <v>13346</v>
      </c>
      <c r="C7389" s="2" t="s">
        <v>29897</v>
      </c>
      <c r="D7389" s="2" t="s">
        <v>29898</v>
      </c>
      <c r="E7389" s="2" t="s">
        <v>29899</v>
      </c>
      <c r="F7389" s="2" t="b">
        <v>1</v>
      </c>
      <c r="G7389" s="2" t="b">
        <v>1</v>
      </c>
      <c r="H7389" s="2" t="s">
        <v>1065</v>
      </c>
      <c r="I7389" s="2" t="s">
        <v>49</v>
      </c>
      <c r="J7389" s="2" t="s">
        <v>1212</v>
      </c>
      <c r="K7389" s="2" t="s">
        <v>495</v>
      </c>
      <c r="L7389" s="13" t="s">
        <v>496</v>
      </c>
      <c r="M7389" s="2" t="s">
        <v>26</v>
      </c>
      <c r="N7389" s="29"/>
      <c r="O7389" s="29"/>
      <c r="P7389" s="5" t="str">
        <f>IFERROR(__xludf.DUMMYFUNCTION("TEXTJOIN("" | "",TRUE,IF(OR(D7389="""",E7389="""",I7389="""",J7389="""",H7389=""""),""ফাঁকা ঘর"",""""),IF(AND(C7389&lt;&gt;"""",D7389&lt;&gt;"""",C7389=D7389),""gloss=figurative"",""""),IF(LEN(D7389)&lt;15,""figurative ছোট"",""""),IF(AND(I7389=""Positive"",REGEXMATCH(H7"&amp;"389,""মূর্খ|ভণ্ড|প্রতার|অলস|লোভ|স্বার্থ|অক্ষম|অযোগ্য|বোকা|কৃপণ|হিংস"")),""valence-target অমিল"",""""),IF(COUNTIF($B:$B,B7389)&gt;1,""ডুপ্লিকেট"",""""))"),"")</f>
        <v/>
      </c>
      <c r="Q7389" s="5" t="str">
        <f t="shared" si="1"/>
        <v>২ পরে</v>
      </c>
    </row>
    <row r="7390">
      <c r="A7390" s="4">
        <v>5624.0</v>
      </c>
      <c r="B7390" s="2" t="s">
        <v>29900</v>
      </c>
      <c r="C7390" s="2" t="s">
        <v>29901</v>
      </c>
      <c r="D7390" s="2" t="s">
        <v>29902</v>
      </c>
      <c r="E7390" s="2" t="s">
        <v>29903</v>
      </c>
      <c r="F7390" s="2" t="b">
        <v>1</v>
      </c>
      <c r="G7390" s="2" t="b">
        <v>0</v>
      </c>
      <c r="H7390" s="2" t="s">
        <v>37</v>
      </c>
      <c r="I7390" s="2" t="s">
        <v>49</v>
      </c>
      <c r="J7390" s="2" t="s">
        <v>729</v>
      </c>
      <c r="K7390" s="2" t="s">
        <v>495</v>
      </c>
      <c r="L7390" s="13" t="s">
        <v>496</v>
      </c>
      <c r="M7390" s="2" t="s">
        <v>26</v>
      </c>
      <c r="N7390" s="29"/>
      <c r="O7390" s="29"/>
      <c r="P7390" s="5" t="str">
        <f>IFERROR(__xludf.DUMMYFUNCTION("TEXTJOIN("" | "",TRUE,IF(OR(D7390="""",E7390="""",I7390="""",J7390="""",H7390=""""),""ফাঁকা ঘর"",""""),IF(AND(C7390&lt;&gt;"""",D7390&lt;&gt;"""",C7390=D7390),""gloss=figurative"",""""),IF(LEN(D7390)&lt;15,""figurative ছোট"",""""),IF(AND(I7390=""Positive"",REGEXMATCH(H7"&amp;"390,""মূর্খ|ভণ্ড|প্রতার|অলস|লোভ|স্বার্থ|অক্ষম|অযোগ্য|বোকা|কৃপণ|হিংস"")),""valence-target অমিল"",""""),IF(COUNTIF($B:$B,B7390)&gt;1,""ডুপ্লিকেট"",""""))"),"")</f>
        <v/>
      </c>
      <c r="Q7390" s="5" t="str">
        <f t="shared" si="1"/>
        <v>২ পরে</v>
      </c>
    </row>
    <row r="7391">
      <c r="A7391" s="4">
        <v>5626.0</v>
      </c>
      <c r="B7391" s="2" t="s">
        <v>29904</v>
      </c>
      <c r="C7391" s="2" t="s">
        <v>29904</v>
      </c>
      <c r="D7391" s="2" t="s">
        <v>29905</v>
      </c>
      <c r="E7391" s="2" t="s">
        <v>29906</v>
      </c>
      <c r="F7391" s="2" t="b">
        <v>1</v>
      </c>
      <c r="G7391" s="2" t="b">
        <v>0</v>
      </c>
      <c r="H7391" s="2" t="s">
        <v>37</v>
      </c>
      <c r="I7391" s="2" t="s">
        <v>32</v>
      </c>
      <c r="J7391" s="2" t="s">
        <v>5689</v>
      </c>
      <c r="K7391" s="2" t="s">
        <v>495</v>
      </c>
      <c r="L7391" s="13" t="s">
        <v>496</v>
      </c>
      <c r="M7391" s="2" t="s">
        <v>26</v>
      </c>
      <c r="N7391" s="29"/>
      <c r="O7391" s="29"/>
      <c r="P7391" s="5" t="str">
        <f>IFERROR(__xludf.DUMMYFUNCTION("TEXTJOIN("" | "",TRUE,IF(OR(D7391="""",E7391="""",I7391="""",J7391="""",H7391=""""),""ফাঁকা ঘর"",""""),IF(AND(C7391&lt;&gt;"""",D7391&lt;&gt;"""",C7391=D7391),""gloss=figurative"",""""),IF(LEN(D7391)&lt;15,""figurative ছোট"",""""),IF(AND(I7391=""Positive"",REGEXMATCH(H7"&amp;"391,""মূর্খ|ভণ্ড|প্রতার|অলস|লোভ|স্বার্থ|অক্ষম|অযোগ্য|বোকা|কৃপণ|হিংস"")),""valence-target অমিল"",""""),IF(COUNTIF($B:$B,B7391)&gt;1,""ডুপ্লিকেট"",""""))"),"")</f>
        <v/>
      </c>
      <c r="Q7391" s="5" t="str">
        <f t="shared" si="1"/>
        <v>২ পরে</v>
      </c>
    </row>
    <row r="7392">
      <c r="A7392" s="4">
        <v>5631.0</v>
      </c>
      <c r="B7392" s="2" t="s">
        <v>29907</v>
      </c>
      <c r="C7392" s="2" t="s">
        <v>29908</v>
      </c>
      <c r="D7392" s="2" t="s">
        <v>29909</v>
      </c>
      <c r="E7392" s="2" t="s">
        <v>29910</v>
      </c>
      <c r="F7392" s="2" t="b">
        <v>1</v>
      </c>
      <c r="G7392" s="2" t="b">
        <v>0</v>
      </c>
      <c r="H7392" s="2" t="s">
        <v>37</v>
      </c>
      <c r="I7392" s="2" t="s">
        <v>22</v>
      </c>
      <c r="J7392" s="2" t="s">
        <v>1656</v>
      </c>
      <c r="K7392" s="2" t="s">
        <v>495</v>
      </c>
      <c r="L7392" s="13" t="s">
        <v>496</v>
      </c>
      <c r="M7392" s="2" t="s">
        <v>26</v>
      </c>
      <c r="N7392" s="29"/>
      <c r="O7392" s="29"/>
      <c r="P7392" s="5" t="str">
        <f>IFERROR(__xludf.DUMMYFUNCTION("TEXTJOIN("" | "",TRUE,IF(OR(D7392="""",E7392="""",I7392="""",J7392="""",H7392=""""),""ফাঁকা ঘর"",""""),IF(AND(C7392&lt;&gt;"""",D7392&lt;&gt;"""",C7392=D7392),""gloss=figurative"",""""),IF(LEN(D7392)&lt;15,""figurative ছোট"",""""),IF(AND(I7392=""Positive"",REGEXMATCH(H7"&amp;"392,""মূর্খ|ভণ্ড|প্রতার|অলস|লোভ|স্বার্থ|অক্ষম|অযোগ্য|বোকা|কৃপণ|হিংস"")),""valence-target অমিল"",""""),IF(COUNTIF($B:$B,B7392)&gt;1,""ডুপ্লিকেট"",""""))"),"")</f>
        <v/>
      </c>
      <c r="Q7392" s="5" t="str">
        <f t="shared" si="1"/>
        <v>২ পরে</v>
      </c>
    </row>
    <row r="7393">
      <c r="A7393" s="4">
        <v>5632.0</v>
      </c>
      <c r="B7393" s="2" t="s">
        <v>29911</v>
      </c>
      <c r="C7393" s="2" t="s">
        <v>29912</v>
      </c>
      <c r="D7393" s="2" t="s">
        <v>29913</v>
      </c>
      <c r="E7393" s="2" t="s">
        <v>29914</v>
      </c>
      <c r="F7393" s="2" t="b">
        <v>1</v>
      </c>
      <c r="G7393" s="2" t="b">
        <v>0</v>
      </c>
      <c r="H7393" s="2" t="s">
        <v>37</v>
      </c>
      <c r="I7393" s="2" t="s">
        <v>22</v>
      </c>
      <c r="J7393" s="2" t="s">
        <v>1656</v>
      </c>
      <c r="K7393" s="2" t="s">
        <v>495</v>
      </c>
      <c r="L7393" s="13" t="s">
        <v>496</v>
      </c>
      <c r="M7393" s="2" t="s">
        <v>26</v>
      </c>
      <c r="N7393" s="29"/>
      <c r="O7393" s="29"/>
      <c r="P7393" s="5" t="str">
        <f>IFERROR(__xludf.DUMMYFUNCTION("TEXTJOIN("" | "",TRUE,IF(OR(D7393="""",E7393="""",I7393="""",J7393="""",H7393=""""),""ফাঁকা ঘর"",""""),IF(AND(C7393&lt;&gt;"""",D7393&lt;&gt;"""",C7393=D7393),""gloss=figurative"",""""),IF(LEN(D7393)&lt;15,""figurative ছোট"",""""),IF(AND(I7393=""Positive"",REGEXMATCH(H7"&amp;"393,""মূর্খ|ভণ্ড|প্রতার|অলস|লোভ|স্বার্থ|অক্ষম|অযোগ্য|বোকা|কৃপণ|হিংস"")),""valence-target অমিল"",""""),IF(COUNTIF($B:$B,B7393)&gt;1,""ডুপ্লিকেট"",""""))"),"")</f>
        <v/>
      </c>
      <c r="Q7393" s="5" t="str">
        <f t="shared" si="1"/>
        <v>২ পরে</v>
      </c>
    </row>
    <row r="7394">
      <c r="A7394" s="4">
        <v>5633.0</v>
      </c>
      <c r="B7394" s="2" t="s">
        <v>29915</v>
      </c>
      <c r="C7394" s="2" t="s">
        <v>29269</v>
      </c>
      <c r="D7394" s="2" t="s">
        <v>29270</v>
      </c>
      <c r="E7394" s="2" t="s">
        <v>29916</v>
      </c>
      <c r="F7394" s="2" t="b">
        <v>1</v>
      </c>
      <c r="G7394" s="2" t="b">
        <v>0</v>
      </c>
      <c r="H7394" s="2" t="s">
        <v>37</v>
      </c>
      <c r="I7394" s="2" t="s">
        <v>22</v>
      </c>
      <c r="J7394" s="2" t="s">
        <v>2255</v>
      </c>
      <c r="K7394" s="2" t="s">
        <v>495</v>
      </c>
      <c r="L7394" s="13" t="s">
        <v>496</v>
      </c>
      <c r="M7394" s="2" t="s">
        <v>26</v>
      </c>
      <c r="N7394" s="29"/>
      <c r="O7394" s="29"/>
      <c r="P7394" s="5" t="str">
        <f>IFERROR(__xludf.DUMMYFUNCTION("TEXTJOIN("" | "",TRUE,IF(OR(D7394="""",E7394="""",I7394="""",J7394="""",H7394=""""),""ফাঁকা ঘর"",""""),IF(AND(C7394&lt;&gt;"""",D7394&lt;&gt;"""",C7394=D7394),""gloss=figurative"",""""),IF(LEN(D7394)&lt;15,""figurative ছোট"",""""),IF(AND(I7394=""Positive"",REGEXMATCH(H7"&amp;"394,""মূর্খ|ভণ্ড|প্রতার|অলস|লোভ|স্বার্থ|অক্ষম|অযোগ্য|বোকা|কৃপণ|হিংস"")),""valence-target অমিল"",""""),IF(COUNTIF($B:$B,B7394)&gt;1,""ডুপ্লিকেট"",""""))"),"")</f>
        <v/>
      </c>
      <c r="Q7394" s="5" t="str">
        <f t="shared" si="1"/>
        <v>২ পরে</v>
      </c>
    </row>
    <row r="7395">
      <c r="A7395" s="4">
        <v>5634.0</v>
      </c>
      <c r="B7395" s="2" t="s">
        <v>29917</v>
      </c>
      <c r="C7395" s="2" t="s">
        <v>29918</v>
      </c>
      <c r="D7395" s="2" t="s">
        <v>29274</v>
      </c>
      <c r="E7395" s="2" t="s">
        <v>29919</v>
      </c>
      <c r="F7395" s="2" t="b">
        <v>1</v>
      </c>
      <c r="G7395" s="2" t="b">
        <v>0</v>
      </c>
      <c r="H7395" s="2" t="s">
        <v>37</v>
      </c>
      <c r="I7395" s="2" t="s">
        <v>22</v>
      </c>
      <c r="J7395" s="2" t="s">
        <v>2255</v>
      </c>
      <c r="K7395" s="2" t="s">
        <v>495</v>
      </c>
      <c r="L7395" s="13" t="s">
        <v>496</v>
      </c>
      <c r="M7395" s="2" t="s">
        <v>26</v>
      </c>
      <c r="N7395" s="29"/>
      <c r="O7395" s="29"/>
      <c r="P7395" s="5" t="str">
        <f>IFERROR(__xludf.DUMMYFUNCTION("TEXTJOIN("" | "",TRUE,IF(OR(D7395="""",E7395="""",I7395="""",J7395="""",H7395=""""),""ফাঁকা ঘর"",""""),IF(AND(C7395&lt;&gt;"""",D7395&lt;&gt;"""",C7395=D7395),""gloss=figurative"",""""),IF(LEN(D7395)&lt;15,""figurative ছোট"",""""),IF(AND(I7395=""Positive"",REGEXMATCH(H7"&amp;"395,""মূর্খ|ভণ্ড|প্রতার|অলস|লোভ|স্বার্থ|অক্ষম|অযোগ্য|বোকা|কৃপণ|হিংস"")),""valence-target অমিল"",""""),IF(COUNTIF($B:$B,B7395)&gt;1,""ডুপ্লিকেট"",""""))"),"")</f>
        <v/>
      </c>
      <c r="Q7395" s="5" t="str">
        <f t="shared" si="1"/>
        <v>২ পরে</v>
      </c>
    </row>
    <row r="7396">
      <c r="A7396" s="4">
        <v>5635.0</v>
      </c>
      <c r="B7396" s="2" t="s">
        <v>29920</v>
      </c>
      <c r="C7396" s="2" t="s">
        <v>29920</v>
      </c>
      <c r="D7396" s="2" t="s">
        <v>29921</v>
      </c>
      <c r="E7396" s="2" t="s">
        <v>29922</v>
      </c>
      <c r="F7396" s="2" t="b">
        <v>1</v>
      </c>
      <c r="G7396" s="2" t="b">
        <v>0</v>
      </c>
      <c r="H7396" s="2" t="s">
        <v>37</v>
      </c>
      <c r="I7396" s="2" t="s">
        <v>49</v>
      </c>
      <c r="J7396" s="2" t="s">
        <v>1239</v>
      </c>
      <c r="K7396" s="2" t="s">
        <v>495</v>
      </c>
      <c r="L7396" s="13" t="s">
        <v>496</v>
      </c>
      <c r="M7396" s="2" t="s">
        <v>26</v>
      </c>
      <c r="N7396" s="29"/>
      <c r="O7396" s="29"/>
      <c r="P7396" s="5" t="str">
        <f>IFERROR(__xludf.DUMMYFUNCTION("TEXTJOIN("" | "",TRUE,IF(OR(D7396="""",E7396="""",I7396="""",J7396="""",H7396=""""),""ফাঁকা ঘর"",""""),IF(AND(C7396&lt;&gt;"""",D7396&lt;&gt;"""",C7396=D7396),""gloss=figurative"",""""),IF(LEN(D7396)&lt;15,""figurative ছোট"",""""),IF(AND(I7396=""Positive"",REGEXMATCH(H7"&amp;"396,""মূর্খ|ভণ্ড|প্রতার|অলস|লোভ|স্বার্থ|অক্ষম|অযোগ্য|বোকা|কৃপণ|হিংস"")),""valence-target অমিল"",""""),IF(COUNTIF($B:$B,B7396)&gt;1,""ডুপ্লিকেট"",""""))"),"")</f>
        <v/>
      </c>
      <c r="Q7396" s="5" t="str">
        <f t="shared" si="1"/>
        <v>২ পরে</v>
      </c>
    </row>
    <row r="7397">
      <c r="A7397" s="4">
        <v>5637.0</v>
      </c>
      <c r="B7397" s="2" t="s">
        <v>29923</v>
      </c>
      <c r="C7397" s="2" t="s">
        <v>29924</v>
      </c>
      <c r="D7397" s="2" t="s">
        <v>29925</v>
      </c>
      <c r="E7397" s="2" t="s">
        <v>29926</v>
      </c>
      <c r="F7397" s="2" t="b">
        <v>1</v>
      </c>
      <c r="G7397" s="2" t="b">
        <v>0</v>
      </c>
      <c r="H7397" s="2" t="s">
        <v>2229</v>
      </c>
      <c r="I7397" s="2" t="s">
        <v>32</v>
      </c>
      <c r="J7397" s="2" t="s">
        <v>1518</v>
      </c>
      <c r="K7397" s="2" t="s">
        <v>495</v>
      </c>
      <c r="L7397" s="13" t="s">
        <v>496</v>
      </c>
      <c r="M7397" s="2" t="s">
        <v>26</v>
      </c>
      <c r="N7397" s="29"/>
      <c r="O7397" s="29"/>
      <c r="P7397" s="5" t="str">
        <f>IFERROR(__xludf.DUMMYFUNCTION("TEXTJOIN("" | "",TRUE,IF(OR(D7397="""",E7397="""",I7397="""",J7397="""",H7397=""""),""ফাঁকা ঘর"",""""),IF(AND(C7397&lt;&gt;"""",D7397&lt;&gt;"""",C7397=D7397),""gloss=figurative"",""""),IF(LEN(D7397)&lt;15,""figurative ছোট"",""""),IF(AND(I7397=""Positive"",REGEXMATCH(H7"&amp;"397,""মূর্খ|ভণ্ড|প্রতার|অলস|লোভ|স্বার্থ|অক্ষম|অযোগ্য|বোকা|কৃপণ|হিংস"")),""valence-target অমিল"",""""),IF(COUNTIF($B:$B,B7397)&gt;1,""ডুপ্লিকেট"",""""))"),"")</f>
        <v/>
      </c>
      <c r="Q7397" s="5" t="str">
        <f t="shared" si="1"/>
        <v>২ পরে</v>
      </c>
    </row>
    <row r="7398">
      <c r="A7398" s="4">
        <v>5639.0</v>
      </c>
      <c r="B7398" s="2" t="s">
        <v>29927</v>
      </c>
      <c r="C7398" s="2" t="s">
        <v>29927</v>
      </c>
      <c r="D7398" s="2" t="s">
        <v>29928</v>
      </c>
      <c r="E7398" s="2" t="s">
        <v>29929</v>
      </c>
      <c r="F7398" s="2" t="b">
        <v>1</v>
      </c>
      <c r="G7398" s="2" t="b">
        <v>0</v>
      </c>
      <c r="H7398" s="2" t="s">
        <v>29930</v>
      </c>
      <c r="I7398" s="2" t="s">
        <v>22</v>
      </c>
      <c r="J7398" s="2" t="s">
        <v>669</v>
      </c>
      <c r="K7398" s="2" t="s">
        <v>495</v>
      </c>
      <c r="L7398" s="13" t="s">
        <v>496</v>
      </c>
      <c r="M7398" s="2" t="s">
        <v>26</v>
      </c>
      <c r="N7398" s="29"/>
      <c r="O7398" s="29"/>
      <c r="P7398" s="5" t="str">
        <f>IFERROR(__xludf.DUMMYFUNCTION("TEXTJOIN("" | "",TRUE,IF(OR(D7398="""",E7398="""",I7398="""",J7398="""",H7398=""""),""ফাঁকা ঘর"",""""),IF(AND(C7398&lt;&gt;"""",D7398&lt;&gt;"""",C7398=D7398),""gloss=figurative"",""""),IF(LEN(D7398)&lt;15,""figurative ছোট"",""""),IF(AND(I7398=""Positive"",REGEXMATCH(H7"&amp;"398,""মূর্খ|ভণ্ড|প্রতার|অলস|লোভ|স্বার্থ|অক্ষম|অযোগ্য|বোকা|কৃপণ|হিংস"")),""valence-target অমিল"",""""),IF(COUNTIF($B:$B,B7398)&gt;1,""ডুপ্লিকেট"",""""))"),"")</f>
        <v/>
      </c>
      <c r="Q7398" s="5" t="str">
        <f t="shared" si="1"/>
        <v>২ পরে</v>
      </c>
    </row>
    <row r="7399">
      <c r="A7399" s="4">
        <v>5640.0</v>
      </c>
      <c r="B7399" s="2" t="s">
        <v>29931</v>
      </c>
      <c r="C7399" s="2" t="s">
        <v>29932</v>
      </c>
      <c r="D7399" s="2" t="s">
        <v>28203</v>
      </c>
      <c r="E7399" s="2" t="s">
        <v>29933</v>
      </c>
      <c r="F7399" s="2" t="b">
        <v>1</v>
      </c>
      <c r="G7399" s="2" t="b">
        <v>0</v>
      </c>
      <c r="H7399" s="2" t="s">
        <v>1484</v>
      </c>
      <c r="I7399" s="2" t="s">
        <v>22</v>
      </c>
      <c r="J7399" s="2" t="s">
        <v>1397</v>
      </c>
      <c r="K7399" s="2" t="s">
        <v>495</v>
      </c>
      <c r="L7399" s="13" t="s">
        <v>496</v>
      </c>
      <c r="M7399" s="2" t="s">
        <v>26</v>
      </c>
      <c r="N7399" s="29"/>
      <c r="O7399" s="29"/>
      <c r="P7399" s="5" t="str">
        <f>IFERROR(__xludf.DUMMYFUNCTION("TEXTJOIN("" | "",TRUE,IF(OR(D7399="""",E7399="""",I7399="""",J7399="""",H7399=""""),""ফাঁকা ঘর"",""""),IF(AND(C7399&lt;&gt;"""",D7399&lt;&gt;"""",C7399=D7399),""gloss=figurative"",""""),IF(LEN(D7399)&lt;15,""figurative ছোট"",""""),IF(AND(I7399=""Positive"",REGEXMATCH(H7"&amp;"399,""মূর্খ|ভণ্ড|প্রতার|অলস|লোভ|স্বার্থ|অক্ষম|অযোগ্য|বোকা|কৃপণ|হিংস"")),""valence-target অমিল"",""""),IF(COUNTIF($B:$B,B7399)&gt;1,""ডুপ্লিকেট"",""""))"),"")</f>
        <v/>
      </c>
      <c r="Q7399" s="5" t="str">
        <f t="shared" si="1"/>
        <v>২ পরে</v>
      </c>
    </row>
    <row r="7400">
      <c r="A7400" s="4">
        <v>5642.0</v>
      </c>
      <c r="B7400" s="2" t="s">
        <v>29934</v>
      </c>
      <c r="C7400" s="2" t="s">
        <v>29935</v>
      </c>
      <c r="D7400" s="2" t="s">
        <v>29936</v>
      </c>
      <c r="E7400" s="2" t="s">
        <v>29937</v>
      </c>
      <c r="F7400" s="2" t="b">
        <v>1</v>
      </c>
      <c r="G7400" s="2" t="b">
        <v>0</v>
      </c>
      <c r="H7400" s="2" t="s">
        <v>37</v>
      </c>
      <c r="I7400" s="2" t="s">
        <v>22</v>
      </c>
      <c r="J7400" s="2" t="s">
        <v>1074</v>
      </c>
      <c r="K7400" s="2" t="s">
        <v>495</v>
      </c>
      <c r="L7400" s="13" t="s">
        <v>496</v>
      </c>
      <c r="M7400" s="2" t="s">
        <v>26</v>
      </c>
      <c r="N7400" s="29"/>
      <c r="O7400" s="29"/>
      <c r="P7400" s="5" t="str">
        <f>IFERROR(__xludf.DUMMYFUNCTION("TEXTJOIN("" | "",TRUE,IF(OR(D7400="""",E7400="""",I7400="""",J7400="""",H7400=""""),""ফাঁকা ঘর"",""""),IF(AND(C7400&lt;&gt;"""",D7400&lt;&gt;"""",C7400=D7400),""gloss=figurative"",""""),IF(LEN(D7400)&lt;15,""figurative ছোট"",""""),IF(AND(I7400=""Positive"",REGEXMATCH(H7"&amp;"400,""মূর্খ|ভণ্ড|প্রতার|অলস|লোভ|স্বার্থ|অক্ষম|অযোগ্য|বোকা|কৃপণ|হিংস"")),""valence-target অমিল"",""""),IF(COUNTIF($B:$B,B7400)&gt;1,""ডুপ্লিকেট"",""""))"),"")</f>
        <v/>
      </c>
      <c r="Q7400" s="5" t="str">
        <f t="shared" si="1"/>
        <v>২ পরে</v>
      </c>
    </row>
    <row r="7401">
      <c r="A7401" s="4">
        <v>5643.0</v>
      </c>
      <c r="B7401" s="2" t="s">
        <v>29938</v>
      </c>
      <c r="C7401" s="2" t="s">
        <v>29938</v>
      </c>
      <c r="D7401" s="2" t="s">
        <v>29939</v>
      </c>
      <c r="E7401" s="2" t="s">
        <v>29940</v>
      </c>
      <c r="F7401" s="2" t="b">
        <v>1</v>
      </c>
      <c r="G7401" s="2" t="b">
        <v>0</v>
      </c>
      <c r="H7401" s="2" t="s">
        <v>1484</v>
      </c>
      <c r="I7401" s="2" t="s">
        <v>22</v>
      </c>
      <c r="J7401" s="2" t="s">
        <v>1397</v>
      </c>
      <c r="K7401" s="2" t="s">
        <v>495</v>
      </c>
      <c r="L7401" s="13" t="s">
        <v>496</v>
      </c>
      <c r="M7401" s="2" t="s">
        <v>26</v>
      </c>
      <c r="N7401" s="29"/>
      <c r="O7401" s="29"/>
      <c r="P7401" s="5" t="str">
        <f>IFERROR(__xludf.DUMMYFUNCTION("TEXTJOIN("" | "",TRUE,IF(OR(D7401="""",E7401="""",I7401="""",J7401="""",H7401=""""),""ফাঁকা ঘর"",""""),IF(AND(C7401&lt;&gt;"""",D7401&lt;&gt;"""",C7401=D7401),""gloss=figurative"",""""),IF(LEN(D7401)&lt;15,""figurative ছোট"",""""),IF(AND(I7401=""Positive"",REGEXMATCH(H7"&amp;"401,""মূর্খ|ভণ্ড|প্রতার|অলস|লোভ|স্বার্থ|অক্ষম|অযোগ্য|বোকা|কৃপণ|হিংস"")),""valence-target অমিল"",""""),IF(COUNTIF($B:$B,B7401)&gt;1,""ডুপ্লিকেট"",""""))"),"")</f>
        <v/>
      </c>
      <c r="Q7401" s="5" t="str">
        <f t="shared" si="1"/>
        <v>২ পরে</v>
      </c>
    </row>
    <row r="7402">
      <c r="A7402" s="4">
        <v>5645.0</v>
      </c>
      <c r="B7402" s="2" t="s">
        <v>29941</v>
      </c>
      <c r="C7402" s="2" t="s">
        <v>29942</v>
      </c>
      <c r="D7402" s="2" t="s">
        <v>29943</v>
      </c>
      <c r="E7402" s="2" t="s">
        <v>29944</v>
      </c>
      <c r="F7402" s="2" t="b">
        <v>1</v>
      </c>
      <c r="G7402" s="2" t="b">
        <v>0</v>
      </c>
      <c r="H7402" s="2" t="s">
        <v>37</v>
      </c>
      <c r="I7402" s="2" t="s">
        <v>49</v>
      </c>
      <c r="J7402" s="2" t="s">
        <v>1784</v>
      </c>
      <c r="K7402" s="2" t="s">
        <v>495</v>
      </c>
      <c r="L7402" s="13" t="s">
        <v>496</v>
      </c>
      <c r="M7402" s="2" t="s">
        <v>26</v>
      </c>
      <c r="N7402" s="29"/>
      <c r="O7402" s="29"/>
      <c r="P7402" s="5" t="str">
        <f>IFERROR(__xludf.DUMMYFUNCTION("TEXTJOIN("" | "",TRUE,IF(OR(D7402="""",E7402="""",I7402="""",J7402="""",H7402=""""),""ফাঁকা ঘর"",""""),IF(AND(C7402&lt;&gt;"""",D7402&lt;&gt;"""",C7402=D7402),""gloss=figurative"",""""),IF(LEN(D7402)&lt;15,""figurative ছোট"",""""),IF(AND(I7402=""Positive"",REGEXMATCH(H7"&amp;"402,""মূর্খ|ভণ্ড|প্রতার|অলস|লোভ|স্বার্থ|অক্ষম|অযোগ্য|বোকা|কৃপণ|হিংস"")),""valence-target অমিল"",""""),IF(COUNTIF($B:$B,B7402)&gt;1,""ডুপ্লিকেট"",""""))"),"")</f>
        <v/>
      </c>
      <c r="Q7402" s="5" t="str">
        <f t="shared" si="1"/>
        <v>২ পরে</v>
      </c>
    </row>
    <row r="7403">
      <c r="A7403" s="4">
        <v>5647.0</v>
      </c>
      <c r="B7403" s="2" t="s">
        <v>29945</v>
      </c>
      <c r="C7403" s="2" t="s">
        <v>29946</v>
      </c>
      <c r="D7403" s="2" t="s">
        <v>29947</v>
      </c>
      <c r="E7403" s="2" t="s">
        <v>29948</v>
      </c>
      <c r="F7403" s="2" t="b">
        <v>1</v>
      </c>
      <c r="G7403" s="2" t="b">
        <v>1</v>
      </c>
      <c r="H7403" s="2" t="s">
        <v>2372</v>
      </c>
      <c r="I7403" s="2" t="s">
        <v>22</v>
      </c>
      <c r="J7403" s="2" t="s">
        <v>3327</v>
      </c>
      <c r="K7403" s="2" t="s">
        <v>495</v>
      </c>
      <c r="L7403" s="13" t="s">
        <v>496</v>
      </c>
      <c r="M7403" s="2" t="s">
        <v>26</v>
      </c>
      <c r="N7403" s="29"/>
      <c r="O7403" s="29"/>
      <c r="P7403" s="5" t="str">
        <f>IFERROR(__xludf.DUMMYFUNCTION("TEXTJOIN("" | "",TRUE,IF(OR(D7403="""",E7403="""",I7403="""",J7403="""",H7403=""""),""ফাঁকা ঘর"",""""),IF(AND(C7403&lt;&gt;"""",D7403&lt;&gt;"""",C7403=D7403),""gloss=figurative"",""""),IF(LEN(D7403)&lt;15,""figurative ছোট"",""""),IF(AND(I7403=""Positive"",REGEXMATCH(H7"&amp;"403,""মূর্খ|ভণ্ড|প্রতার|অলস|লোভ|স্বার্থ|অক্ষম|অযোগ্য|বোকা|কৃপণ|হিংস"")),""valence-target অমিল"",""""),IF(COUNTIF($B:$B,B7403)&gt;1,""ডুপ্লিকেট"",""""))"),"")</f>
        <v/>
      </c>
      <c r="Q7403" s="5" t="str">
        <f t="shared" si="1"/>
        <v>২ পরে</v>
      </c>
    </row>
    <row r="7404">
      <c r="A7404" s="4">
        <v>5648.0</v>
      </c>
      <c r="B7404" s="2" t="s">
        <v>29949</v>
      </c>
      <c r="C7404" s="2" t="s">
        <v>29950</v>
      </c>
      <c r="D7404" s="2" t="s">
        <v>29951</v>
      </c>
      <c r="E7404" s="2" t="s">
        <v>29952</v>
      </c>
      <c r="F7404" s="2" t="b">
        <v>1</v>
      </c>
      <c r="G7404" s="2" t="b">
        <v>1</v>
      </c>
      <c r="H7404" s="2" t="s">
        <v>25011</v>
      </c>
      <c r="I7404" s="2" t="s">
        <v>49</v>
      </c>
      <c r="J7404" s="2" t="s">
        <v>1310</v>
      </c>
      <c r="K7404" s="2" t="s">
        <v>495</v>
      </c>
      <c r="L7404" s="13" t="s">
        <v>496</v>
      </c>
      <c r="M7404" s="2" t="s">
        <v>26</v>
      </c>
      <c r="N7404" s="29"/>
      <c r="O7404" s="29"/>
      <c r="P7404" s="5" t="str">
        <f>IFERROR(__xludf.DUMMYFUNCTION("TEXTJOIN("" | "",TRUE,IF(OR(D7404="""",E7404="""",I7404="""",J7404="""",H7404=""""),""ফাঁকা ঘর"",""""),IF(AND(C7404&lt;&gt;"""",D7404&lt;&gt;"""",C7404=D7404),""gloss=figurative"",""""),IF(LEN(D7404)&lt;15,""figurative ছোট"",""""),IF(AND(I7404=""Positive"",REGEXMATCH(H7"&amp;"404,""মূর্খ|ভণ্ড|প্রতার|অলস|লোভ|স্বার্থ|অক্ষম|অযোগ্য|বোকা|কৃপণ|হিংস"")),""valence-target অমিল"",""""),IF(COUNTIF($B:$B,B7404)&gt;1,""ডুপ্লিকেট"",""""))"),"")</f>
        <v/>
      </c>
      <c r="Q7404" s="5" t="str">
        <f t="shared" si="1"/>
        <v>২ পরে</v>
      </c>
    </row>
    <row r="7405">
      <c r="A7405" s="4">
        <v>5649.0</v>
      </c>
      <c r="B7405" s="2" t="s">
        <v>29953</v>
      </c>
      <c r="C7405" s="2" t="s">
        <v>29954</v>
      </c>
      <c r="D7405" s="2" t="s">
        <v>29955</v>
      </c>
      <c r="E7405" s="2" t="s">
        <v>29956</v>
      </c>
      <c r="F7405" s="2" t="b">
        <v>1</v>
      </c>
      <c r="G7405" s="2" t="b">
        <v>1</v>
      </c>
      <c r="H7405" s="2" t="s">
        <v>2372</v>
      </c>
      <c r="I7405" s="2" t="s">
        <v>49</v>
      </c>
      <c r="J7405" s="2" t="s">
        <v>3501</v>
      </c>
      <c r="K7405" s="2" t="s">
        <v>495</v>
      </c>
      <c r="L7405" s="13" t="s">
        <v>496</v>
      </c>
      <c r="M7405" s="2" t="s">
        <v>26</v>
      </c>
      <c r="N7405" s="29"/>
      <c r="O7405" s="29"/>
      <c r="P7405" s="5" t="str">
        <f>IFERROR(__xludf.DUMMYFUNCTION("TEXTJOIN("" | "",TRUE,IF(OR(D7405="""",E7405="""",I7405="""",J7405="""",H7405=""""),""ফাঁকা ঘর"",""""),IF(AND(C7405&lt;&gt;"""",D7405&lt;&gt;"""",C7405=D7405),""gloss=figurative"",""""),IF(LEN(D7405)&lt;15,""figurative ছোট"",""""),IF(AND(I7405=""Positive"",REGEXMATCH(H7"&amp;"405,""মূর্খ|ভণ্ড|প্রতার|অলস|লোভ|স্বার্থ|অক্ষম|অযোগ্য|বোকা|কৃপণ|হিংস"")),""valence-target অমিল"",""""),IF(COUNTIF($B:$B,B7405)&gt;1,""ডুপ্লিকেট"",""""))"),"")</f>
        <v/>
      </c>
      <c r="Q7405" s="5" t="str">
        <f t="shared" si="1"/>
        <v>২ পরে</v>
      </c>
    </row>
    <row r="7406">
      <c r="A7406" s="4">
        <v>5650.0</v>
      </c>
      <c r="B7406" s="2" t="s">
        <v>29957</v>
      </c>
      <c r="C7406" s="2" t="s">
        <v>29958</v>
      </c>
      <c r="D7406" s="2" t="s">
        <v>29959</v>
      </c>
      <c r="E7406" s="2" t="s">
        <v>29960</v>
      </c>
      <c r="F7406" s="2" t="b">
        <v>1</v>
      </c>
      <c r="G7406" s="2" t="b">
        <v>1</v>
      </c>
      <c r="H7406" s="2" t="s">
        <v>10589</v>
      </c>
      <c r="I7406" s="2" t="s">
        <v>22</v>
      </c>
      <c r="J7406" s="2" t="s">
        <v>3966</v>
      </c>
      <c r="K7406" s="2" t="s">
        <v>495</v>
      </c>
      <c r="L7406" s="13" t="s">
        <v>496</v>
      </c>
      <c r="M7406" s="2" t="s">
        <v>26</v>
      </c>
      <c r="N7406" s="29"/>
      <c r="O7406" s="29"/>
      <c r="P7406" s="5" t="str">
        <f>IFERROR(__xludf.DUMMYFUNCTION("TEXTJOIN("" | "",TRUE,IF(OR(D7406="""",E7406="""",I7406="""",J7406="""",H7406=""""),""ফাঁকা ঘর"",""""),IF(AND(C7406&lt;&gt;"""",D7406&lt;&gt;"""",C7406=D7406),""gloss=figurative"",""""),IF(LEN(D7406)&lt;15,""figurative ছোট"",""""),IF(AND(I7406=""Positive"",REGEXMATCH(H7"&amp;"406,""মূর্খ|ভণ্ড|প্রতার|অলস|লোভ|স্বার্থ|অক্ষম|অযোগ্য|বোকা|কৃপণ|হিংস"")),""valence-target অমিল"",""""),IF(COUNTIF($B:$B,B7406)&gt;1,""ডুপ্লিকেট"",""""))"),"")</f>
        <v/>
      </c>
      <c r="Q7406" s="5" t="str">
        <f t="shared" si="1"/>
        <v>২ পরে</v>
      </c>
    </row>
    <row r="7407">
      <c r="A7407" s="4">
        <v>5652.0</v>
      </c>
      <c r="B7407" s="2" t="s">
        <v>29961</v>
      </c>
      <c r="C7407" s="2" t="s">
        <v>29962</v>
      </c>
      <c r="D7407" s="2" t="s">
        <v>29963</v>
      </c>
      <c r="E7407" s="2" t="s">
        <v>29964</v>
      </c>
      <c r="F7407" s="2" t="b">
        <v>1</v>
      </c>
      <c r="G7407" s="2" t="b">
        <v>1</v>
      </c>
      <c r="H7407" s="2" t="s">
        <v>1106</v>
      </c>
      <c r="I7407" s="2" t="s">
        <v>22</v>
      </c>
      <c r="J7407" s="2" t="s">
        <v>3327</v>
      </c>
      <c r="K7407" s="2" t="s">
        <v>495</v>
      </c>
      <c r="L7407" s="13" t="s">
        <v>496</v>
      </c>
      <c r="M7407" s="2" t="s">
        <v>26</v>
      </c>
      <c r="N7407" s="29"/>
      <c r="O7407" s="29"/>
      <c r="P7407" s="5" t="str">
        <f>IFERROR(__xludf.DUMMYFUNCTION("TEXTJOIN("" | "",TRUE,IF(OR(D7407="""",E7407="""",I7407="""",J7407="""",H7407=""""),""ফাঁকা ঘর"",""""),IF(AND(C7407&lt;&gt;"""",D7407&lt;&gt;"""",C7407=D7407),""gloss=figurative"",""""),IF(LEN(D7407)&lt;15,""figurative ছোট"",""""),IF(AND(I7407=""Positive"",REGEXMATCH(H7"&amp;"407,""মূর্খ|ভণ্ড|প্রতার|অলস|লোভ|স্বার্থ|অক্ষম|অযোগ্য|বোকা|কৃপণ|হিংস"")),""valence-target অমিল"",""""),IF(COUNTIF($B:$B,B7407)&gt;1,""ডুপ্লিকেট"",""""))"),"")</f>
        <v/>
      </c>
      <c r="Q7407" s="5" t="str">
        <f t="shared" si="1"/>
        <v>২ পরে</v>
      </c>
    </row>
    <row r="7408">
      <c r="A7408" s="4">
        <v>5654.0</v>
      </c>
      <c r="B7408" s="2" t="s">
        <v>29965</v>
      </c>
      <c r="C7408" s="2" t="s">
        <v>29966</v>
      </c>
      <c r="D7408" s="2" t="s">
        <v>29967</v>
      </c>
      <c r="E7408" s="2" t="s">
        <v>29968</v>
      </c>
      <c r="F7408" s="2" t="b">
        <v>1</v>
      </c>
      <c r="G7408" s="2" t="b">
        <v>0</v>
      </c>
      <c r="H7408" s="2" t="s">
        <v>37</v>
      </c>
      <c r="I7408" s="2" t="s">
        <v>49</v>
      </c>
      <c r="J7408" s="2" t="s">
        <v>1553</v>
      </c>
      <c r="K7408" s="2" t="s">
        <v>495</v>
      </c>
      <c r="L7408" s="13" t="s">
        <v>496</v>
      </c>
      <c r="M7408" s="2" t="s">
        <v>26</v>
      </c>
      <c r="N7408" s="29"/>
      <c r="O7408" s="29"/>
      <c r="P7408" s="5" t="str">
        <f>IFERROR(__xludf.DUMMYFUNCTION("TEXTJOIN("" | "",TRUE,IF(OR(D7408="""",E7408="""",I7408="""",J7408="""",H7408=""""),""ফাঁকা ঘর"",""""),IF(AND(C7408&lt;&gt;"""",D7408&lt;&gt;"""",C7408=D7408),""gloss=figurative"",""""),IF(LEN(D7408)&lt;15,""figurative ছোট"",""""),IF(AND(I7408=""Positive"",REGEXMATCH(H7"&amp;"408,""মূর্খ|ভণ্ড|প্রতার|অলস|লোভ|স্বার্থ|অক্ষম|অযোগ্য|বোকা|কৃপণ|হিংস"")),""valence-target অমিল"",""""),IF(COUNTIF($B:$B,B7408)&gt;1,""ডুপ্লিকেট"",""""))"),"")</f>
        <v/>
      </c>
      <c r="Q7408" s="5" t="str">
        <f t="shared" si="1"/>
        <v>২ পরে</v>
      </c>
    </row>
    <row r="7409">
      <c r="A7409" s="4">
        <v>5655.0</v>
      </c>
      <c r="B7409" s="2" t="s">
        <v>29969</v>
      </c>
      <c r="C7409" s="2" t="s">
        <v>29970</v>
      </c>
      <c r="D7409" s="2" t="s">
        <v>29971</v>
      </c>
      <c r="E7409" s="2" t="s">
        <v>29972</v>
      </c>
      <c r="F7409" s="2" t="b">
        <v>1</v>
      </c>
      <c r="G7409" s="2" t="b">
        <v>1</v>
      </c>
      <c r="H7409" s="2" t="s">
        <v>2372</v>
      </c>
      <c r="I7409" s="2" t="s">
        <v>32</v>
      </c>
      <c r="J7409" s="2" t="s">
        <v>15368</v>
      </c>
      <c r="K7409" s="2" t="s">
        <v>495</v>
      </c>
      <c r="L7409" s="13" t="s">
        <v>496</v>
      </c>
      <c r="M7409" s="2" t="s">
        <v>26</v>
      </c>
      <c r="N7409" s="29"/>
      <c r="O7409" s="29"/>
      <c r="P7409" s="5" t="str">
        <f>IFERROR(__xludf.DUMMYFUNCTION("TEXTJOIN("" | "",TRUE,IF(OR(D7409="""",E7409="""",I7409="""",J7409="""",H7409=""""),""ফাঁকা ঘর"",""""),IF(AND(C7409&lt;&gt;"""",D7409&lt;&gt;"""",C7409=D7409),""gloss=figurative"",""""),IF(LEN(D7409)&lt;15,""figurative ছোট"",""""),IF(AND(I7409=""Positive"",REGEXMATCH(H7"&amp;"409,""মূর্খ|ভণ্ড|প্রতার|অলস|লোভ|স্বার্থ|অক্ষম|অযোগ্য|বোকা|কৃপণ|হিংস"")),""valence-target অমিল"",""""),IF(COUNTIF($B:$B,B7409)&gt;1,""ডুপ্লিকেট"",""""))"),"")</f>
        <v/>
      </c>
      <c r="Q7409" s="5" t="str">
        <f t="shared" si="1"/>
        <v>২ পরে</v>
      </c>
    </row>
    <row r="7410">
      <c r="A7410" s="4">
        <v>5659.0</v>
      </c>
      <c r="B7410" s="2" t="s">
        <v>29973</v>
      </c>
      <c r="C7410" s="2" t="s">
        <v>29974</v>
      </c>
      <c r="D7410" s="2" t="s">
        <v>29975</v>
      </c>
      <c r="E7410" s="2" t="s">
        <v>29976</v>
      </c>
      <c r="F7410" s="2" t="b">
        <v>1</v>
      </c>
      <c r="G7410" s="2" t="b">
        <v>0</v>
      </c>
      <c r="H7410" s="2" t="s">
        <v>37</v>
      </c>
      <c r="I7410" s="2" t="s">
        <v>22</v>
      </c>
      <c r="J7410" s="2" t="s">
        <v>2147</v>
      </c>
      <c r="K7410" s="2" t="s">
        <v>495</v>
      </c>
      <c r="L7410" s="13" t="s">
        <v>496</v>
      </c>
      <c r="M7410" s="2" t="s">
        <v>26</v>
      </c>
      <c r="N7410" s="29"/>
      <c r="O7410" s="29"/>
      <c r="P7410" s="5" t="str">
        <f>IFERROR(__xludf.DUMMYFUNCTION("TEXTJOIN("" | "",TRUE,IF(OR(D7410="""",E7410="""",I7410="""",J7410="""",H7410=""""),""ফাঁকা ঘর"",""""),IF(AND(C7410&lt;&gt;"""",D7410&lt;&gt;"""",C7410=D7410),""gloss=figurative"",""""),IF(LEN(D7410)&lt;15,""figurative ছোট"",""""),IF(AND(I7410=""Positive"",REGEXMATCH(H7"&amp;"410,""মূর্খ|ভণ্ড|প্রতার|অলস|লোভ|স্বার্থ|অক্ষম|অযোগ্য|বোকা|কৃপণ|হিংস"")),""valence-target অমিল"",""""),IF(COUNTIF($B:$B,B7410)&gt;1,""ডুপ্লিকেট"",""""))"),"")</f>
        <v/>
      </c>
      <c r="Q7410" s="5" t="str">
        <f t="shared" si="1"/>
        <v>২ পরে</v>
      </c>
    </row>
    <row r="7411">
      <c r="A7411" s="4">
        <v>5661.0</v>
      </c>
      <c r="B7411" s="2" t="s">
        <v>29977</v>
      </c>
      <c r="C7411" s="2" t="s">
        <v>29978</v>
      </c>
      <c r="D7411" s="2" t="s">
        <v>29979</v>
      </c>
      <c r="E7411" s="2" t="s">
        <v>29980</v>
      </c>
      <c r="F7411" s="2" t="b">
        <v>1</v>
      </c>
      <c r="G7411" s="2" t="b">
        <v>1</v>
      </c>
      <c r="H7411" s="2" t="s">
        <v>1106</v>
      </c>
      <c r="I7411" s="2" t="s">
        <v>49</v>
      </c>
      <c r="J7411" s="2" t="s">
        <v>3327</v>
      </c>
      <c r="K7411" s="2" t="s">
        <v>495</v>
      </c>
      <c r="L7411" s="13" t="s">
        <v>496</v>
      </c>
      <c r="M7411" s="2" t="s">
        <v>26</v>
      </c>
      <c r="N7411" s="29"/>
      <c r="O7411" s="29"/>
      <c r="P7411" s="5" t="str">
        <f>IFERROR(__xludf.DUMMYFUNCTION("TEXTJOIN("" | "",TRUE,IF(OR(D7411="""",E7411="""",I7411="""",J7411="""",H7411=""""),""ফাঁকা ঘর"",""""),IF(AND(C7411&lt;&gt;"""",D7411&lt;&gt;"""",C7411=D7411),""gloss=figurative"",""""),IF(LEN(D7411)&lt;15,""figurative ছোট"",""""),IF(AND(I7411=""Positive"",REGEXMATCH(H7"&amp;"411,""মূর্খ|ভণ্ড|প্রতার|অলস|লোভ|স্বার্থ|অক্ষম|অযোগ্য|বোকা|কৃপণ|হিংস"")),""valence-target অমিল"",""""),IF(COUNTIF($B:$B,B7411)&gt;1,""ডুপ্লিকেট"",""""))"),"")</f>
        <v/>
      </c>
      <c r="Q7411" s="5" t="str">
        <f t="shared" si="1"/>
        <v>২ পরে</v>
      </c>
    </row>
    <row r="7412">
      <c r="A7412" s="4">
        <v>5670.0</v>
      </c>
      <c r="B7412" s="2" t="s">
        <v>29981</v>
      </c>
      <c r="C7412" s="2" t="s">
        <v>29982</v>
      </c>
      <c r="D7412" s="2" t="s">
        <v>29983</v>
      </c>
      <c r="E7412" s="2" t="s">
        <v>29984</v>
      </c>
      <c r="F7412" s="2" t="b">
        <v>1</v>
      </c>
      <c r="G7412" s="2" t="b">
        <v>0</v>
      </c>
      <c r="H7412" s="2" t="s">
        <v>37</v>
      </c>
      <c r="I7412" s="2" t="s">
        <v>32</v>
      </c>
      <c r="J7412" s="2" t="s">
        <v>4711</v>
      </c>
      <c r="K7412" s="2" t="s">
        <v>495</v>
      </c>
      <c r="L7412" s="13" t="s">
        <v>496</v>
      </c>
      <c r="M7412" s="2" t="s">
        <v>26</v>
      </c>
      <c r="N7412" s="29"/>
      <c r="O7412" s="29"/>
      <c r="P7412" s="5" t="str">
        <f>IFERROR(__xludf.DUMMYFUNCTION("TEXTJOIN("" | "",TRUE,IF(OR(D7412="""",E7412="""",I7412="""",J7412="""",H7412=""""),""ফাঁকা ঘর"",""""),IF(AND(C7412&lt;&gt;"""",D7412&lt;&gt;"""",C7412=D7412),""gloss=figurative"",""""),IF(LEN(D7412)&lt;15,""figurative ছোট"",""""),IF(AND(I7412=""Positive"",REGEXMATCH(H7"&amp;"412,""মূর্খ|ভণ্ড|প্রতার|অলস|লোভ|স্বার্থ|অক্ষম|অযোগ্য|বোকা|কৃপণ|হিংস"")),""valence-target অমিল"",""""),IF(COUNTIF($B:$B,B7412)&gt;1,""ডুপ্লিকেট"",""""))"),"")</f>
        <v/>
      </c>
      <c r="Q7412" s="5" t="str">
        <f t="shared" si="1"/>
        <v>২ পরে</v>
      </c>
    </row>
    <row r="7413">
      <c r="A7413" s="4">
        <v>5671.0</v>
      </c>
      <c r="B7413" s="2" t="s">
        <v>29985</v>
      </c>
      <c r="C7413" s="2" t="s">
        <v>29986</v>
      </c>
      <c r="D7413" s="2" t="s">
        <v>29987</v>
      </c>
      <c r="E7413" s="2" t="s">
        <v>29988</v>
      </c>
      <c r="F7413" s="2" t="b">
        <v>1</v>
      </c>
      <c r="G7413" s="2" t="b">
        <v>0</v>
      </c>
      <c r="H7413" s="2" t="s">
        <v>37</v>
      </c>
      <c r="I7413" s="2" t="s">
        <v>22</v>
      </c>
      <c r="J7413" s="2" t="s">
        <v>1438</v>
      </c>
      <c r="K7413" s="2" t="s">
        <v>495</v>
      </c>
      <c r="L7413" s="13" t="s">
        <v>496</v>
      </c>
      <c r="M7413" s="2" t="s">
        <v>26</v>
      </c>
      <c r="N7413" s="29"/>
      <c r="O7413" s="29"/>
      <c r="P7413" s="5" t="str">
        <f>IFERROR(__xludf.DUMMYFUNCTION("TEXTJOIN("" | "",TRUE,IF(OR(D7413="""",E7413="""",I7413="""",J7413="""",H7413=""""),""ফাঁকা ঘর"",""""),IF(AND(C7413&lt;&gt;"""",D7413&lt;&gt;"""",C7413=D7413),""gloss=figurative"",""""),IF(LEN(D7413)&lt;15,""figurative ছোট"",""""),IF(AND(I7413=""Positive"",REGEXMATCH(H7"&amp;"413,""মূর্খ|ভণ্ড|প্রতার|অলস|লোভ|স্বার্থ|অক্ষম|অযোগ্য|বোকা|কৃপণ|হিংস"")),""valence-target অমিল"",""""),IF(COUNTIF($B:$B,B7413)&gt;1,""ডুপ্লিকেট"",""""))"),"")</f>
        <v/>
      </c>
      <c r="Q7413" s="5" t="str">
        <f t="shared" si="1"/>
        <v>২ পরে</v>
      </c>
    </row>
    <row r="7414">
      <c r="A7414" s="4">
        <v>5672.0</v>
      </c>
      <c r="B7414" s="2" t="s">
        <v>29989</v>
      </c>
      <c r="C7414" s="2" t="s">
        <v>29990</v>
      </c>
      <c r="D7414" s="2" t="s">
        <v>29991</v>
      </c>
      <c r="E7414" s="2" t="s">
        <v>29992</v>
      </c>
      <c r="F7414" s="2" t="b">
        <v>1</v>
      </c>
      <c r="G7414" s="2" t="b">
        <v>0</v>
      </c>
      <c r="H7414" s="2" t="s">
        <v>2229</v>
      </c>
      <c r="I7414" s="2" t="s">
        <v>32</v>
      </c>
      <c r="J7414" s="2" t="s">
        <v>4708</v>
      </c>
      <c r="K7414" s="2" t="s">
        <v>495</v>
      </c>
      <c r="L7414" s="13" t="s">
        <v>496</v>
      </c>
      <c r="M7414" s="2" t="s">
        <v>26</v>
      </c>
      <c r="N7414" s="29"/>
      <c r="O7414" s="29"/>
      <c r="P7414" s="5" t="str">
        <f>IFERROR(__xludf.DUMMYFUNCTION("TEXTJOIN("" | "",TRUE,IF(OR(D7414="""",E7414="""",I7414="""",J7414="""",H7414=""""),""ফাঁকা ঘর"",""""),IF(AND(C7414&lt;&gt;"""",D7414&lt;&gt;"""",C7414=D7414),""gloss=figurative"",""""),IF(LEN(D7414)&lt;15,""figurative ছোট"",""""),IF(AND(I7414=""Positive"",REGEXMATCH(H7"&amp;"414,""মূর্খ|ভণ্ড|প্রতার|অলস|লোভ|স্বার্থ|অক্ষম|অযোগ্য|বোকা|কৃপণ|হিংস"")),""valence-target অমিল"",""""),IF(COUNTIF($B:$B,B7414)&gt;1,""ডুপ্লিকেট"",""""))"),"")</f>
        <v/>
      </c>
      <c r="Q7414" s="5" t="str">
        <f t="shared" si="1"/>
        <v>২ পরে</v>
      </c>
    </row>
    <row r="7415">
      <c r="A7415" s="4">
        <v>5674.0</v>
      </c>
      <c r="B7415" s="2" t="s">
        <v>29993</v>
      </c>
      <c r="C7415" s="2" t="s">
        <v>29994</v>
      </c>
      <c r="D7415" s="2" t="s">
        <v>29995</v>
      </c>
      <c r="E7415" s="2" t="s">
        <v>29996</v>
      </c>
      <c r="F7415" s="2" t="b">
        <v>1</v>
      </c>
      <c r="G7415" s="2" t="b">
        <v>0</v>
      </c>
      <c r="H7415" s="2" t="s">
        <v>37</v>
      </c>
      <c r="I7415" s="2" t="s">
        <v>49</v>
      </c>
      <c r="J7415" s="2" t="s">
        <v>913</v>
      </c>
      <c r="K7415" s="2" t="s">
        <v>495</v>
      </c>
      <c r="L7415" s="13" t="s">
        <v>496</v>
      </c>
      <c r="M7415" s="2" t="s">
        <v>26</v>
      </c>
      <c r="N7415" s="29"/>
      <c r="O7415" s="29"/>
      <c r="P7415" s="5" t="str">
        <f>IFERROR(__xludf.DUMMYFUNCTION("TEXTJOIN("" | "",TRUE,IF(OR(D7415="""",E7415="""",I7415="""",J7415="""",H7415=""""),""ফাঁকা ঘর"",""""),IF(AND(C7415&lt;&gt;"""",D7415&lt;&gt;"""",C7415=D7415),""gloss=figurative"",""""),IF(LEN(D7415)&lt;15,""figurative ছোট"",""""),IF(AND(I7415=""Positive"",REGEXMATCH(H7"&amp;"415,""মূর্খ|ভণ্ড|প্রতার|অলস|লোভ|স্বার্থ|অক্ষম|অযোগ্য|বোকা|কৃপণ|হিংস"")),""valence-target অমিল"",""""),IF(COUNTIF($B:$B,B7415)&gt;1,""ডুপ্লিকেট"",""""))"),"")</f>
        <v/>
      </c>
      <c r="Q7415" s="5" t="str">
        <f t="shared" si="1"/>
        <v>২ পরে</v>
      </c>
    </row>
    <row r="7416">
      <c r="A7416" s="4">
        <v>5678.0</v>
      </c>
      <c r="B7416" s="2" t="s">
        <v>29997</v>
      </c>
      <c r="C7416" s="2" t="s">
        <v>29998</v>
      </c>
      <c r="D7416" s="2" t="s">
        <v>29999</v>
      </c>
      <c r="E7416" s="2" t="s">
        <v>30000</v>
      </c>
      <c r="F7416" s="2" t="b">
        <v>1</v>
      </c>
      <c r="G7416" s="2" t="b">
        <v>1</v>
      </c>
      <c r="H7416" s="2" t="s">
        <v>1106</v>
      </c>
      <c r="I7416" s="2" t="s">
        <v>22</v>
      </c>
      <c r="J7416" s="2" t="s">
        <v>1315</v>
      </c>
      <c r="K7416" s="2" t="s">
        <v>495</v>
      </c>
      <c r="L7416" s="13" t="s">
        <v>496</v>
      </c>
      <c r="M7416" s="2" t="s">
        <v>26</v>
      </c>
      <c r="N7416" s="29"/>
      <c r="O7416" s="29"/>
      <c r="P7416" s="5" t="str">
        <f>IFERROR(__xludf.DUMMYFUNCTION("TEXTJOIN("" | "",TRUE,IF(OR(D7416="""",E7416="""",I7416="""",J7416="""",H7416=""""),""ফাঁকা ঘর"",""""),IF(AND(C7416&lt;&gt;"""",D7416&lt;&gt;"""",C7416=D7416),""gloss=figurative"",""""),IF(LEN(D7416)&lt;15,""figurative ছোট"",""""),IF(AND(I7416=""Positive"",REGEXMATCH(H7"&amp;"416,""মূর্খ|ভণ্ড|প্রতার|অলস|লোভ|স্বার্থ|অক্ষম|অযোগ্য|বোকা|কৃপণ|হিংস"")),""valence-target অমিল"",""""),IF(COUNTIF($B:$B,B7416)&gt;1,""ডুপ্লিকেট"",""""))"),"")</f>
        <v/>
      </c>
      <c r="Q7416" s="5" t="str">
        <f t="shared" si="1"/>
        <v>২ পরে</v>
      </c>
    </row>
    <row r="7417">
      <c r="A7417" s="4">
        <v>5681.0</v>
      </c>
      <c r="B7417" s="2" t="s">
        <v>30001</v>
      </c>
      <c r="C7417" s="2" t="s">
        <v>30002</v>
      </c>
      <c r="D7417" s="2" t="s">
        <v>21410</v>
      </c>
      <c r="E7417" s="2" t="s">
        <v>30003</v>
      </c>
      <c r="F7417" s="2" t="b">
        <v>1</v>
      </c>
      <c r="G7417" s="2" t="b">
        <v>0</v>
      </c>
      <c r="H7417" s="2" t="s">
        <v>37</v>
      </c>
      <c r="I7417" s="2" t="s">
        <v>22</v>
      </c>
      <c r="J7417" s="2" t="s">
        <v>669</v>
      </c>
      <c r="K7417" s="2" t="s">
        <v>495</v>
      </c>
      <c r="L7417" s="13" t="s">
        <v>496</v>
      </c>
      <c r="M7417" s="2" t="s">
        <v>26</v>
      </c>
      <c r="N7417" s="29"/>
      <c r="O7417" s="29"/>
      <c r="P7417" s="5" t="str">
        <f>IFERROR(__xludf.DUMMYFUNCTION("TEXTJOIN("" | "",TRUE,IF(OR(D7417="""",E7417="""",I7417="""",J7417="""",H7417=""""),""ফাঁকা ঘর"",""""),IF(AND(C7417&lt;&gt;"""",D7417&lt;&gt;"""",C7417=D7417),""gloss=figurative"",""""),IF(LEN(D7417)&lt;15,""figurative ছোট"",""""),IF(AND(I7417=""Positive"",REGEXMATCH(H7"&amp;"417,""মূর্খ|ভণ্ড|প্রতার|অলস|লোভ|স্বার্থ|অক্ষম|অযোগ্য|বোকা|কৃপণ|হিংস"")),""valence-target অমিল"",""""),IF(COUNTIF($B:$B,B7417)&gt;1,""ডুপ্লিকেট"",""""))"),"")</f>
        <v/>
      </c>
      <c r="Q7417" s="5" t="str">
        <f t="shared" si="1"/>
        <v>২ পরে</v>
      </c>
    </row>
    <row r="7418">
      <c r="A7418" s="4">
        <v>5684.0</v>
      </c>
      <c r="B7418" s="2" t="s">
        <v>30004</v>
      </c>
      <c r="C7418" s="2" t="s">
        <v>30005</v>
      </c>
      <c r="D7418" s="2" t="s">
        <v>30006</v>
      </c>
      <c r="E7418" s="2" t="s">
        <v>30007</v>
      </c>
      <c r="F7418" s="2" t="b">
        <v>1</v>
      </c>
      <c r="G7418" s="2" t="b">
        <v>0</v>
      </c>
      <c r="H7418" s="2" t="s">
        <v>37</v>
      </c>
      <c r="I7418" s="2" t="s">
        <v>49</v>
      </c>
      <c r="J7418" s="2" t="s">
        <v>913</v>
      </c>
      <c r="K7418" s="2" t="s">
        <v>495</v>
      </c>
      <c r="L7418" s="13" t="s">
        <v>496</v>
      </c>
      <c r="M7418" s="2" t="s">
        <v>26</v>
      </c>
      <c r="N7418" s="29"/>
      <c r="O7418" s="29"/>
      <c r="P7418" s="5" t="str">
        <f>IFERROR(__xludf.DUMMYFUNCTION("TEXTJOIN("" | "",TRUE,IF(OR(D7418="""",E7418="""",I7418="""",J7418="""",H7418=""""),""ফাঁকা ঘর"",""""),IF(AND(C7418&lt;&gt;"""",D7418&lt;&gt;"""",C7418=D7418),""gloss=figurative"",""""),IF(LEN(D7418)&lt;15,""figurative ছোট"",""""),IF(AND(I7418=""Positive"",REGEXMATCH(H7"&amp;"418,""মূর্খ|ভণ্ড|প্রতার|অলস|লোভ|স্বার্থ|অক্ষম|অযোগ্য|বোকা|কৃপণ|হিংস"")),""valence-target অমিল"",""""),IF(COUNTIF($B:$B,B7418)&gt;1,""ডুপ্লিকেট"",""""))"),"")</f>
        <v/>
      </c>
      <c r="Q7418" s="5" t="str">
        <f t="shared" si="1"/>
        <v>২ পরে</v>
      </c>
    </row>
    <row r="7419">
      <c r="A7419" s="4">
        <v>5690.0</v>
      </c>
      <c r="B7419" s="2" t="s">
        <v>30008</v>
      </c>
      <c r="C7419" s="2" t="s">
        <v>30009</v>
      </c>
      <c r="D7419" s="2" t="s">
        <v>30010</v>
      </c>
      <c r="E7419" s="2" t="s">
        <v>30011</v>
      </c>
      <c r="F7419" s="2" t="b">
        <v>1</v>
      </c>
      <c r="G7419" s="2" t="b">
        <v>0</v>
      </c>
      <c r="H7419" s="2" t="s">
        <v>2482</v>
      </c>
      <c r="I7419" s="2" t="s">
        <v>32</v>
      </c>
      <c r="J7419" s="2" t="s">
        <v>947</v>
      </c>
      <c r="K7419" s="2" t="s">
        <v>495</v>
      </c>
      <c r="L7419" s="13" t="s">
        <v>496</v>
      </c>
      <c r="M7419" s="2" t="s">
        <v>26</v>
      </c>
      <c r="N7419" s="29"/>
      <c r="O7419" s="29"/>
      <c r="P7419" s="5" t="str">
        <f>IFERROR(__xludf.DUMMYFUNCTION("TEXTJOIN("" | "",TRUE,IF(OR(D7419="""",E7419="""",I7419="""",J7419="""",H7419=""""),""ফাঁকা ঘর"",""""),IF(AND(C7419&lt;&gt;"""",D7419&lt;&gt;"""",C7419=D7419),""gloss=figurative"",""""),IF(LEN(D7419)&lt;15,""figurative ছোট"",""""),IF(AND(I7419=""Positive"",REGEXMATCH(H7"&amp;"419,""মূর্খ|ভণ্ড|প্রতার|অলস|লোভ|স্বার্থ|অক্ষম|অযোগ্য|বোকা|কৃপণ|হিংস"")),""valence-target অমিল"",""""),IF(COUNTIF($B:$B,B7419)&gt;1,""ডুপ্লিকেট"",""""))"),"")</f>
        <v/>
      </c>
      <c r="Q7419" s="5" t="str">
        <f t="shared" si="1"/>
        <v>২ পরে</v>
      </c>
    </row>
    <row r="7420">
      <c r="A7420" s="4">
        <v>5691.0</v>
      </c>
      <c r="B7420" s="2" t="s">
        <v>30012</v>
      </c>
      <c r="C7420" s="2" t="s">
        <v>30013</v>
      </c>
      <c r="D7420" s="2" t="s">
        <v>30014</v>
      </c>
      <c r="E7420" s="2" t="s">
        <v>30015</v>
      </c>
      <c r="F7420" s="2" t="b">
        <v>1</v>
      </c>
      <c r="G7420" s="2" t="b">
        <v>0</v>
      </c>
      <c r="H7420" s="2" t="s">
        <v>2482</v>
      </c>
      <c r="I7420" s="2" t="s">
        <v>32</v>
      </c>
      <c r="J7420" s="2" t="s">
        <v>947</v>
      </c>
      <c r="K7420" s="2" t="s">
        <v>495</v>
      </c>
      <c r="L7420" s="13" t="s">
        <v>496</v>
      </c>
      <c r="M7420" s="2" t="s">
        <v>26</v>
      </c>
      <c r="N7420" s="29"/>
      <c r="O7420" s="29"/>
      <c r="P7420" s="5" t="str">
        <f>IFERROR(__xludf.DUMMYFUNCTION("TEXTJOIN("" | "",TRUE,IF(OR(D7420="""",E7420="""",I7420="""",J7420="""",H7420=""""),""ফাঁকা ঘর"",""""),IF(AND(C7420&lt;&gt;"""",D7420&lt;&gt;"""",C7420=D7420),""gloss=figurative"",""""),IF(LEN(D7420)&lt;15,""figurative ছোট"",""""),IF(AND(I7420=""Positive"",REGEXMATCH(H7"&amp;"420,""মূর্খ|ভণ্ড|প্রতার|অলস|লোভ|স্বার্থ|অক্ষম|অযোগ্য|বোকা|কৃপণ|হিংস"")),""valence-target অমিল"",""""),IF(COUNTIF($B:$B,B7420)&gt;1,""ডুপ্লিকেট"",""""))"),"")</f>
        <v/>
      </c>
      <c r="Q7420" s="5" t="str">
        <f t="shared" si="1"/>
        <v>২ পরে</v>
      </c>
    </row>
    <row r="7421">
      <c r="A7421" s="4">
        <v>5693.0</v>
      </c>
      <c r="B7421" s="2" t="s">
        <v>30016</v>
      </c>
      <c r="C7421" s="2" t="s">
        <v>30017</v>
      </c>
      <c r="D7421" s="2" t="s">
        <v>25276</v>
      </c>
      <c r="E7421" s="2" t="s">
        <v>30018</v>
      </c>
      <c r="F7421" s="2" t="b">
        <v>1</v>
      </c>
      <c r="G7421" s="2" t="b">
        <v>0</v>
      </c>
      <c r="H7421" s="2" t="s">
        <v>37</v>
      </c>
      <c r="I7421" s="2" t="s">
        <v>22</v>
      </c>
      <c r="J7421" s="2" t="s">
        <v>1074</v>
      </c>
      <c r="K7421" s="2" t="s">
        <v>495</v>
      </c>
      <c r="L7421" s="13" t="s">
        <v>496</v>
      </c>
      <c r="M7421" s="2" t="s">
        <v>26</v>
      </c>
      <c r="N7421" s="29"/>
      <c r="O7421" s="29"/>
      <c r="P7421" s="5" t="str">
        <f>IFERROR(__xludf.DUMMYFUNCTION("TEXTJOIN("" | "",TRUE,IF(OR(D7421="""",E7421="""",I7421="""",J7421="""",H7421=""""),""ফাঁকা ঘর"",""""),IF(AND(C7421&lt;&gt;"""",D7421&lt;&gt;"""",C7421=D7421),""gloss=figurative"",""""),IF(LEN(D7421)&lt;15,""figurative ছোট"",""""),IF(AND(I7421=""Positive"",REGEXMATCH(H7"&amp;"421,""মূর্খ|ভণ্ড|প্রতার|অলস|লোভ|স্বার্থ|অক্ষম|অযোগ্য|বোকা|কৃপণ|হিংস"")),""valence-target অমিল"",""""),IF(COUNTIF($B:$B,B7421)&gt;1,""ডুপ্লিকেট"",""""))"),"")</f>
        <v/>
      </c>
      <c r="Q7421" s="5" t="str">
        <f t="shared" si="1"/>
        <v>২ পরে</v>
      </c>
    </row>
    <row r="7422">
      <c r="A7422" s="4">
        <v>5694.0</v>
      </c>
      <c r="B7422" s="2" t="s">
        <v>30019</v>
      </c>
      <c r="C7422" s="2" t="s">
        <v>30020</v>
      </c>
      <c r="D7422" s="2" t="s">
        <v>30021</v>
      </c>
      <c r="E7422" s="2" t="s">
        <v>30022</v>
      </c>
      <c r="F7422" s="2" t="b">
        <v>1</v>
      </c>
      <c r="G7422" s="2" t="b">
        <v>0</v>
      </c>
      <c r="H7422" s="2" t="s">
        <v>37</v>
      </c>
      <c r="I7422" s="2" t="s">
        <v>49</v>
      </c>
      <c r="J7422" s="2" t="s">
        <v>1254</v>
      </c>
      <c r="K7422" s="2" t="s">
        <v>495</v>
      </c>
      <c r="L7422" s="13" t="s">
        <v>496</v>
      </c>
      <c r="M7422" s="2" t="s">
        <v>26</v>
      </c>
      <c r="N7422" s="29"/>
      <c r="O7422" s="29"/>
      <c r="P7422" s="5" t="str">
        <f>IFERROR(__xludf.DUMMYFUNCTION("TEXTJOIN("" | "",TRUE,IF(OR(D7422="""",E7422="""",I7422="""",J7422="""",H7422=""""),""ফাঁকা ঘর"",""""),IF(AND(C7422&lt;&gt;"""",D7422&lt;&gt;"""",C7422=D7422),""gloss=figurative"",""""),IF(LEN(D7422)&lt;15,""figurative ছোট"",""""),IF(AND(I7422=""Positive"",REGEXMATCH(H7"&amp;"422,""মূর্খ|ভণ্ড|প্রতার|অলস|লোভ|স্বার্থ|অক্ষম|অযোগ্য|বোকা|কৃপণ|হিংস"")),""valence-target অমিল"",""""),IF(COUNTIF($B:$B,B7422)&gt;1,""ডুপ্লিকেট"",""""))"),"")</f>
        <v/>
      </c>
      <c r="Q7422" s="5" t="str">
        <f t="shared" si="1"/>
        <v>২ পরে</v>
      </c>
    </row>
    <row r="7423">
      <c r="A7423" s="4">
        <v>5695.0</v>
      </c>
      <c r="B7423" s="2" t="s">
        <v>30023</v>
      </c>
      <c r="C7423" s="2" t="s">
        <v>30024</v>
      </c>
      <c r="D7423" s="2" t="s">
        <v>30025</v>
      </c>
      <c r="E7423" s="2" t="s">
        <v>30026</v>
      </c>
      <c r="F7423" s="2" t="b">
        <v>1</v>
      </c>
      <c r="G7423" s="2" t="b">
        <v>0</v>
      </c>
      <c r="H7423" s="2" t="s">
        <v>37</v>
      </c>
      <c r="I7423" s="2" t="s">
        <v>32</v>
      </c>
      <c r="J7423" s="2" t="s">
        <v>723</v>
      </c>
      <c r="K7423" s="2" t="s">
        <v>495</v>
      </c>
      <c r="L7423" s="13" t="s">
        <v>496</v>
      </c>
      <c r="M7423" s="2" t="s">
        <v>26</v>
      </c>
      <c r="N7423" s="29"/>
      <c r="O7423" s="29"/>
      <c r="P7423" s="5" t="str">
        <f>IFERROR(__xludf.DUMMYFUNCTION("TEXTJOIN("" | "",TRUE,IF(OR(D7423="""",E7423="""",I7423="""",J7423="""",H7423=""""),""ফাঁকা ঘর"",""""),IF(AND(C7423&lt;&gt;"""",D7423&lt;&gt;"""",C7423=D7423),""gloss=figurative"",""""),IF(LEN(D7423)&lt;15,""figurative ছোট"",""""),IF(AND(I7423=""Positive"",REGEXMATCH(H7"&amp;"423,""মূর্খ|ভণ্ড|প্রতার|অলস|লোভ|স্বার্থ|অক্ষম|অযোগ্য|বোকা|কৃপণ|হিংস"")),""valence-target অমিল"",""""),IF(COUNTIF($B:$B,B7423)&gt;1,""ডুপ্লিকেট"",""""))"),"")</f>
        <v/>
      </c>
      <c r="Q7423" s="5" t="str">
        <f t="shared" si="1"/>
        <v>২ পরে</v>
      </c>
    </row>
    <row r="7424">
      <c r="A7424" s="4">
        <v>5697.0</v>
      </c>
      <c r="B7424" s="2" t="s">
        <v>30027</v>
      </c>
      <c r="C7424" s="2" t="s">
        <v>30028</v>
      </c>
      <c r="D7424" s="2" t="s">
        <v>30029</v>
      </c>
      <c r="E7424" s="2" t="s">
        <v>30030</v>
      </c>
      <c r="F7424" s="2" t="b">
        <v>1</v>
      </c>
      <c r="G7424" s="2" t="b">
        <v>0</v>
      </c>
      <c r="H7424" s="2" t="s">
        <v>37</v>
      </c>
      <c r="I7424" s="2" t="s">
        <v>32</v>
      </c>
      <c r="J7424" s="2" t="s">
        <v>1244</v>
      </c>
      <c r="K7424" s="2" t="s">
        <v>495</v>
      </c>
      <c r="L7424" s="13" t="s">
        <v>496</v>
      </c>
      <c r="M7424" s="2" t="s">
        <v>26</v>
      </c>
      <c r="N7424" s="29"/>
      <c r="O7424" s="29"/>
      <c r="P7424" s="5" t="str">
        <f>IFERROR(__xludf.DUMMYFUNCTION("TEXTJOIN("" | "",TRUE,IF(OR(D7424="""",E7424="""",I7424="""",J7424="""",H7424=""""),""ফাঁকা ঘর"",""""),IF(AND(C7424&lt;&gt;"""",D7424&lt;&gt;"""",C7424=D7424),""gloss=figurative"",""""),IF(LEN(D7424)&lt;15,""figurative ছোট"",""""),IF(AND(I7424=""Positive"",REGEXMATCH(H7"&amp;"424,""মূর্খ|ভণ্ড|প্রতার|অলস|লোভ|স্বার্থ|অক্ষম|অযোগ্য|বোকা|কৃপণ|হিংস"")),""valence-target অমিল"",""""),IF(COUNTIF($B:$B,B7424)&gt;1,""ডুপ্লিকেট"",""""))"),"")</f>
        <v/>
      </c>
      <c r="Q7424" s="5" t="str">
        <f t="shared" si="1"/>
        <v>২ পরে</v>
      </c>
    </row>
    <row r="7425">
      <c r="A7425" s="4">
        <v>5698.0</v>
      </c>
      <c r="B7425" s="2" t="s">
        <v>30031</v>
      </c>
      <c r="C7425" s="2" t="s">
        <v>30032</v>
      </c>
      <c r="D7425" s="2" t="s">
        <v>30033</v>
      </c>
      <c r="E7425" s="2" t="s">
        <v>30034</v>
      </c>
      <c r="F7425" s="2" t="b">
        <v>1</v>
      </c>
      <c r="G7425" s="2" t="b">
        <v>0</v>
      </c>
      <c r="H7425" s="2" t="s">
        <v>37</v>
      </c>
      <c r="I7425" s="2" t="s">
        <v>22</v>
      </c>
      <c r="J7425" s="2" t="s">
        <v>601</v>
      </c>
      <c r="K7425" s="2" t="s">
        <v>495</v>
      </c>
      <c r="L7425" s="13" t="s">
        <v>496</v>
      </c>
      <c r="M7425" s="2" t="s">
        <v>26</v>
      </c>
      <c r="N7425" s="29"/>
      <c r="O7425" s="29"/>
      <c r="P7425" s="5" t="str">
        <f>IFERROR(__xludf.DUMMYFUNCTION("TEXTJOIN("" | "",TRUE,IF(OR(D7425="""",E7425="""",I7425="""",J7425="""",H7425=""""),""ফাঁকা ঘর"",""""),IF(AND(C7425&lt;&gt;"""",D7425&lt;&gt;"""",C7425=D7425),""gloss=figurative"",""""),IF(LEN(D7425)&lt;15,""figurative ছোট"",""""),IF(AND(I7425=""Positive"",REGEXMATCH(H7"&amp;"425,""মূর্খ|ভণ্ড|প্রতার|অলস|লোভ|স্বার্থ|অক্ষম|অযোগ্য|বোকা|কৃপণ|হিংস"")),""valence-target অমিল"",""""),IF(COUNTIF($B:$B,B7425)&gt;1,""ডুপ্লিকেট"",""""))"),"")</f>
        <v/>
      </c>
      <c r="Q7425" s="5" t="str">
        <f t="shared" si="1"/>
        <v>২ পরে</v>
      </c>
    </row>
    <row r="7426">
      <c r="A7426" s="4">
        <v>5699.0</v>
      </c>
      <c r="B7426" s="2" t="s">
        <v>30035</v>
      </c>
      <c r="C7426" s="2" t="s">
        <v>30035</v>
      </c>
      <c r="D7426" s="2" t="s">
        <v>30036</v>
      </c>
      <c r="E7426" s="2" t="s">
        <v>30037</v>
      </c>
      <c r="F7426" s="2" t="b">
        <v>1</v>
      </c>
      <c r="G7426" s="2" t="b">
        <v>0</v>
      </c>
      <c r="H7426" s="2" t="s">
        <v>37</v>
      </c>
      <c r="I7426" s="2" t="s">
        <v>22</v>
      </c>
      <c r="J7426" s="2" t="s">
        <v>2386</v>
      </c>
      <c r="K7426" s="2" t="s">
        <v>495</v>
      </c>
      <c r="L7426" s="13" t="s">
        <v>496</v>
      </c>
      <c r="M7426" s="2" t="s">
        <v>26</v>
      </c>
      <c r="N7426" s="29"/>
      <c r="O7426" s="29"/>
      <c r="P7426" s="5" t="str">
        <f>IFERROR(__xludf.DUMMYFUNCTION("TEXTJOIN("" | "",TRUE,IF(OR(D7426="""",E7426="""",I7426="""",J7426="""",H7426=""""),""ফাঁকা ঘর"",""""),IF(AND(C7426&lt;&gt;"""",D7426&lt;&gt;"""",C7426=D7426),""gloss=figurative"",""""),IF(LEN(D7426)&lt;15,""figurative ছোট"",""""),IF(AND(I7426=""Positive"",REGEXMATCH(H7"&amp;"426,""মূর্খ|ভণ্ড|প্রতার|অলস|লোভ|স্বার্থ|অক্ষম|অযোগ্য|বোকা|কৃপণ|হিংস"")),""valence-target অমিল"",""""),IF(COUNTIF($B:$B,B7426)&gt;1,""ডুপ্লিকেট"",""""))"),"")</f>
        <v/>
      </c>
      <c r="Q7426" s="5" t="str">
        <f t="shared" si="1"/>
        <v>২ পরে</v>
      </c>
    </row>
    <row r="7427">
      <c r="A7427" s="4">
        <v>5700.0</v>
      </c>
      <c r="B7427" s="2" t="s">
        <v>30038</v>
      </c>
      <c r="C7427" s="2" t="s">
        <v>30039</v>
      </c>
      <c r="D7427" s="2" t="s">
        <v>30040</v>
      </c>
      <c r="E7427" s="2" t="s">
        <v>29797</v>
      </c>
      <c r="F7427" s="2" t="b">
        <v>1</v>
      </c>
      <c r="G7427" s="2" t="b">
        <v>0</v>
      </c>
      <c r="H7427" s="2" t="s">
        <v>37</v>
      </c>
      <c r="I7427" s="2" t="s">
        <v>22</v>
      </c>
      <c r="J7427" s="2" t="s">
        <v>2857</v>
      </c>
      <c r="K7427" s="2" t="s">
        <v>495</v>
      </c>
      <c r="L7427" s="13" t="s">
        <v>496</v>
      </c>
      <c r="M7427" s="2" t="s">
        <v>26</v>
      </c>
      <c r="N7427" s="29"/>
      <c r="O7427" s="29"/>
      <c r="P7427" s="5" t="str">
        <f>IFERROR(__xludf.DUMMYFUNCTION("TEXTJOIN("" | "",TRUE,IF(OR(D7427="""",E7427="""",I7427="""",J7427="""",H7427=""""),""ফাঁকা ঘর"",""""),IF(AND(C7427&lt;&gt;"""",D7427&lt;&gt;"""",C7427=D7427),""gloss=figurative"",""""),IF(LEN(D7427)&lt;15,""figurative ছোট"",""""),IF(AND(I7427=""Positive"",REGEXMATCH(H7"&amp;"427,""মূর্খ|ভণ্ড|প্রতার|অলস|লোভ|স্বার্থ|অক্ষম|অযোগ্য|বোকা|কৃপণ|হিংস"")),""valence-target অমিল"",""""),IF(COUNTIF($B:$B,B7427)&gt;1,""ডুপ্লিকেট"",""""))"),"")</f>
        <v/>
      </c>
      <c r="Q7427" s="5" t="str">
        <f t="shared" si="1"/>
        <v>২ পরে</v>
      </c>
    </row>
    <row r="7428">
      <c r="A7428" s="4">
        <v>5702.0</v>
      </c>
      <c r="B7428" s="2" t="s">
        <v>30041</v>
      </c>
      <c r="C7428" s="2" t="s">
        <v>30042</v>
      </c>
      <c r="D7428" s="2" t="s">
        <v>29800</v>
      </c>
      <c r="E7428" s="2" t="s">
        <v>30043</v>
      </c>
      <c r="F7428" s="2" t="b">
        <v>1</v>
      </c>
      <c r="G7428" s="2" t="b">
        <v>1</v>
      </c>
      <c r="H7428" s="2" t="s">
        <v>5054</v>
      </c>
      <c r="I7428" s="2" t="s">
        <v>22</v>
      </c>
      <c r="J7428" s="2" t="s">
        <v>640</v>
      </c>
      <c r="K7428" s="2" t="s">
        <v>495</v>
      </c>
      <c r="L7428" s="13" t="s">
        <v>496</v>
      </c>
      <c r="M7428" s="2" t="s">
        <v>26</v>
      </c>
      <c r="N7428" s="29"/>
      <c r="O7428" s="29"/>
      <c r="P7428" s="5" t="str">
        <f>IFERROR(__xludf.DUMMYFUNCTION("TEXTJOIN("" | "",TRUE,IF(OR(D7428="""",E7428="""",I7428="""",J7428="""",H7428=""""),""ফাঁকা ঘর"",""""),IF(AND(C7428&lt;&gt;"""",D7428&lt;&gt;"""",C7428=D7428),""gloss=figurative"",""""),IF(LEN(D7428)&lt;15,""figurative ছোট"",""""),IF(AND(I7428=""Positive"",REGEXMATCH(H7"&amp;"428,""মূর্খ|ভণ্ড|প্রতার|অলস|লোভ|স্বার্থ|অক্ষম|অযোগ্য|বোকা|কৃপণ|হিংস"")),""valence-target অমিল"",""""),IF(COUNTIF($B:$B,B7428)&gt;1,""ডুপ্লিকেট"",""""))"),"")</f>
        <v/>
      </c>
      <c r="Q7428" s="5" t="str">
        <f t="shared" si="1"/>
        <v>২ পরে</v>
      </c>
    </row>
    <row r="7429">
      <c r="A7429" s="4">
        <v>5703.0</v>
      </c>
      <c r="B7429" s="2" t="s">
        <v>30044</v>
      </c>
      <c r="C7429" s="2" t="s">
        <v>30044</v>
      </c>
      <c r="D7429" s="2" t="s">
        <v>30045</v>
      </c>
      <c r="E7429" s="2" t="s">
        <v>30046</v>
      </c>
      <c r="F7429" s="2" t="b">
        <v>1</v>
      </c>
      <c r="G7429" s="2" t="b">
        <v>0</v>
      </c>
      <c r="H7429" s="2" t="s">
        <v>37</v>
      </c>
      <c r="I7429" s="2" t="s">
        <v>32</v>
      </c>
      <c r="J7429" s="2" t="s">
        <v>1008</v>
      </c>
      <c r="K7429" s="2" t="s">
        <v>495</v>
      </c>
      <c r="L7429" s="13" t="s">
        <v>496</v>
      </c>
      <c r="M7429" s="2" t="s">
        <v>26</v>
      </c>
      <c r="N7429" s="29"/>
      <c r="O7429" s="29"/>
      <c r="P7429" s="5" t="str">
        <f>IFERROR(__xludf.DUMMYFUNCTION("TEXTJOIN("" | "",TRUE,IF(OR(D7429="""",E7429="""",I7429="""",J7429="""",H7429=""""),""ফাঁকা ঘর"",""""),IF(AND(C7429&lt;&gt;"""",D7429&lt;&gt;"""",C7429=D7429),""gloss=figurative"",""""),IF(LEN(D7429)&lt;15,""figurative ছোট"",""""),IF(AND(I7429=""Positive"",REGEXMATCH(H7"&amp;"429,""মূর্খ|ভণ্ড|প্রতার|অলস|লোভ|স্বার্থ|অক্ষম|অযোগ্য|বোকা|কৃপণ|হিংস"")),""valence-target অমিল"",""""),IF(COUNTIF($B:$B,B7429)&gt;1,""ডুপ্লিকেট"",""""))"),"")</f>
        <v/>
      </c>
      <c r="Q7429" s="5" t="str">
        <f t="shared" si="1"/>
        <v>২ পরে</v>
      </c>
    </row>
    <row r="7430">
      <c r="A7430" s="4">
        <v>5704.0</v>
      </c>
      <c r="B7430" s="2" t="s">
        <v>30047</v>
      </c>
      <c r="C7430" s="2" t="s">
        <v>30047</v>
      </c>
      <c r="D7430" s="2" t="s">
        <v>30048</v>
      </c>
      <c r="E7430" s="2" t="s">
        <v>30049</v>
      </c>
      <c r="F7430" s="2" t="b">
        <v>1</v>
      </c>
      <c r="G7430" s="2" t="b">
        <v>0</v>
      </c>
      <c r="H7430" s="2" t="s">
        <v>37</v>
      </c>
      <c r="I7430" s="2" t="s">
        <v>22</v>
      </c>
      <c r="J7430" s="2" t="s">
        <v>4551</v>
      </c>
      <c r="K7430" s="2" t="s">
        <v>495</v>
      </c>
      <c r="L7430" s="13" t="s">
        <v>496</v>
      </c>
      <c r="M7430" s="2" t="s">
        <v>26</v>
      </c>
      <c r="N7430" s="29"/>
      <c r="O7430" s="29"/>
      <c r="P7430" s="5" t="str">
        <f>IFERROR(__xludf.DUMMYFUNCTION("TEXTJOIN("" | "",TRUE,IF(OR(D7430="""",E7430="""",I7430="""",J7430="""",H7430=""""),""ফাঁকা ঘর"",""""),IF(AND(C7430&lt;&gt;"""",D7430&lt;&gt;"""",C7430=D7430),""gloss=figurative"",""""),IF(LEN(D7430)&lt;15,""figurative ছোট"",""""),IF(AND(I7430=""Positive"",REGEXMATCH(H7"&amp;"430,""মূর্খ|ভণ্ড|প্রতার|অলস|লোভ|স্বার্থ|অক্ষম|অযোগ্য|বোকা|কৃপণ|হিংস"")),""valence-target অমিল"",""""),IF(COUNTIF($B:$B,B7430)&gt;1,""ডুপ্লিকেট"",""""))"),"")</f>
        <v/>
      </c>
      <c r="Q7430" s="5" t="str">
        <f t="shared" si="1"/>
        <v>২ পরে</v>
      </c>
    </row>
    <row r="7431">
      <c r="A7431" s="4">
        <v>5705.0</v>
      </c>
      <c r="B7431" s="2" t="s">
        <v>30050</v>
      </c>
      <c r="C7431" s="2" t="s">
        <v>30051</v>
      </c>
      <c r="D7431" s="2" t="s">
        <v>30052</v>
      </c>
      <c r="E7431" s="2" t="s">
        <v>30053</v>
      </c>
      <c r="F7431" s="2" t="b">
        <v>1</v>
      </c>
      <c r="G7431" s="2" t="b">
        <v>0</v>
      </c>
      <c r="H7431" s="2" t="s">
        <v>37</v>
      </c>
      <c r="I7431" s="2" t="s">
        <v>22</v>
      </c>
      <c r="J7431" s="2" t="s">
        <v>2343</v>
      </c>
      <c r="K7431" s="2" t="s">
        <v>495</v>
      </c>
      <c r="L7431" s="13" t="s">
        <v>496</v>
      </c>
      <c r="M7431" s="2" t="s">
        <v>26</v>
      </c>
      <c r="N7431" s="29"/>
      <c r="O7431" s="29"/>
      <c r="P7431" s="5" t="str">
        <f>IFERROR(__xludf.DUMMYFUNCTION("TEXTJOIN("" | "",TRUE,IF(OR(D7431="""",E7431="""",I7431="""",J7431="""",H7431=""""),""ফাঁকা ঘর"",""""),IF(AND(C7431&lt;&gt;"""",D7431&lt;&gt;"""",C7431=D7431),""gloss=figurative"",""""),IF(LEN(D7431)&lt;15,""figurative ছোট"",""""),IF(AND(I7431=""Positive"",REGEXMATCH(H7"&amp;"431,""মূর্খ|ভণ্ড|প্রতার|অলস|লোভ|স্বার্থ|অক্ষম|অযোগ্য|বোকা|কৃপণ|হিংস"")),""valence-target অমিল"",""""),IF(COUNTIF($B:$B,B7431)&gt;1,""ডুপ্লিকেট"",""""))"),"")</f>
        <v/>
      </c>
      <c r="Q7431" s="5" t="str">
        <f t="shared" si="1"/>
        <v>২ পরে</v>
      </c>
    </row>
    <row r="7432">
      <c r="A7432" s="4">
        <v>5707.0</v>
      </c>
      <c r="B7432" s="2" t="s">
        <v>30054</v>
      </c>
      <c r="C7432" s="2" t="s">
        <v>30055</v>
      </c>
      <c r="D7432" s="2" t="s">
        <v>30056</v>
      </c>
      <c r="E7432" s="2" t="s">
        <v>30057</v>
      </c>
      <c r="F7432" s="2" t="b">
        <v>1</v>
      </c>
      <c r="G7432" s="2" t="b">
        <v>0</v>
      </c>
      <c r="H7432" s="2" t="s">
        <v>37</v>
      </c>
      <c r="I7432" s="2" t="s">
        <v>22</v>
      </c>
      <c r="J7432" s="2" t="s">
        <v>820</v>
      </c>
      <c r="K7432" s="2" t="s">
        <v>495</v>
      </c>
      <c r="L7432" s="13" t="s">
        <v>496</v>
      </c>
      <c r="M7432" s="2" t="s">
        <v>26</v>
      </c>
      <c r="N7432" s="29"/>
      <c r="O7432" s="29"/>
      <c r="P7432" s="5" t="str">
        <f>IFERROR(__xludf.DUMMYFUNCTION("TEXTJOIN("" | "",TRUE,IF(OR(D7432="""",E7432="""",I7432="""",J7432="""",H7432=""""),""ফাঁকা ঘর"",""""),IF(AND(C7432&lt;&gt;"""",D7432&lt;&gt;"""",C7432=D7432),""gloss=figurative"",""""),IF(LEN(D7432)&lt;15,""figurative ছোট"",""""),IF(AND(I7432=""Positive"",REGEXMATCH(H7"&amp;"432,""মূর্খ|ভণ্ড|প্রতার|অলস|লোভ|স্বার্থ|অক্ষম|অযোগ্য|বোকা|কৃপণ|হিংস"")),""valence-target অমিল"",""""),IF(COUNTIF($B:$B,B7432)&gt;1,""ডুপ্লিকেট"",""""))"),"")</f>
        <v/>
      </c>
      <c r="Q7432" s="5" t="str">
        <f t="shared" si="1"/>
        <v>২ পরে</v>
      </c>
    </row>
    <row r="7433">
      <c r="A7433" s="4">
        <v>5708.0</v>
      </c>
      <c r="B7433" s="2" t="s">
        <v>30058</v>
      </c>
      <c r="C7433" s="2" t="s">
        <v>30059</v>
      </c>
      <c r="D7433" s="2" t="s">
        <v>30060</v>
      </c>
      <c r="E7433" s="2" t="s">
        <v>30061</v>
      </c>
      <c r="F7433" s="2" t="b">
        <v>1</v>
      </c>
      <c r="G7433" s="2" t="b">
        <v>0</v>
      </c>
      <c r="H7433" s="2" t="s">
        <v>37</v>
      </c>
      <c r="I7433" s="2" t="s">
        <v>22</v>
      </c>
      <c r="J7433" s="2" t="s">
        <v>4026</v>
      </c>
      <c r="K7433" s="2" t="s">
        <v>495</v>
      </c>
      <c r="L7433" s="13" t="s">
        <v>496</v>
      </c>
      <c r="M7433" s="2" t="s">
        <v>26</v>
      </c>
      <c r="N7433" s="29"/>
      <c r="O7433" s="29"/>
      <c r="P7433" s="5" t="str">
        <f>IFERROR(__xludf.DUMMYFUNCTION("TEXTJOIN("" | "",TRUE,IF(OR(D7433="""",E7433="""",I7433="""",J7433="""",H7433=""""),""ফাঁকা ঘর"",""""),IF(AND(C7433&lt;&gt;"""",D7433&lt;&gt;"""",C7433=D7433),""gloss=figurative"",""""),IF(LEN(D7433)&lt;15,""figurative ছোট"",""""),IF(AND(I7433=""Positive"",REGEXMATCH(H7"&amp;"433,""মূর্খ|ভণ্ড|প্রতার|অলস|লোভ|স্বার্থ|অক্ষম|অযোগ্য|বোকা|কৃপণ|হিংস"")),""valence-target অমিল"",""""),IF(COUNTIF($B:$B,B7433)&gt;1,""ডুপ্লিকেট"",""""))"),"")</f>
        <v/>
      </c>
      <c r="Q7433" s="5" t="str">
        <f t="shared" si="1"/>
        <v>২ পরে</v>
      </c>
    </row>
    <row r="7434">
      <c r="A7434" s="4">
        <v>5709.0</v>
      </c>
      <c r="B7434" s="2" t="s">
        <v>30062</v>
      </c>
      <c r="C7434" s="2" t="s">
        <v>30063</v>
      </c>
      <c r="D7434" s="2" t="s">
        <v>30064</v>
      </c>
      <c r="E7434" s="2" t="s">
        <v>5506</v>
      </c>
      <c r="F7434" s="2" t="b">
        <v>1</v>
      </c>
      <c r="G7434" s="2" t="b">
        <v>0</v>
      </c>
      <c r="H7434" s="2" t="s">
        <v>756</v>
      </c>
      <c r="I7434" s="2" t="s">
        <v>22</v>
      </c>
      <c r="J7434" s="2" t="s">
        <v>1630</v>
      </c>
      <c r="K7434" s="2" t="s">
        <v>495</v>
      </c>
      <c r="L7434" s="13" t="s">
        <v>496</v>
      </c>
      <c r="M7434" s="2" t="s">
        <v>26</v>
      </c>
      <c r="N7434" s="29"/>
      <c r="O7434" s="29"/>
      <c r="P7434" s="5" t="str">
        <f>IFERROR(__xludf.DUMMYFUNCTION("TEXTJOIN("" | "",TRUE,IF(OR(D7434="""",E7434="""",I7434="""",J7434="""",H7434=""""),""ফাঁকা ঘর"",""""),IF(AND(C7434&lt;&gt;"""",D7434&lt;&gt;"""",C7434=D7434),""gloss=figurative"",""""),IF(LEN(D7434)&lt;15,""figurative ছোট"",""""),IF(AND(I7434=""Positive"",REGEXMATCH(H7"&amp;"434,""মূর্খ|ভণ্ড|প্রতার|অলস|লোভ|স্বার্থ|অক্ষম|অযোগ্য|বোকা|কৃপণ|হিংস"")),""valence-target অমিল"",""""),IF(COUNTIF($B:$B,B7434)&gt;1,""ডুপ্লিকেট"",""""))"),"")</f>
        <v/>
      </c>
      <c r="Q7434" s="5" t="str">
        <f t="shared" si="1"/>
        <v>২ পরে</v>
      </c>
    </row>
    <row r="7435">
      <c r="A7435" s="4">
        <v>5710.0</v>
      </c>
      <c r="B7435" s="2" t="s">
        <v>30065</v>
      </c>
      <c r="C7435" s="2" t="s">
        <v>30066</v>
      </c>
      <c r="D7435" s="2" t="s">
        <v>30067</v>
      </c>
      <c r="E7435" s="2" t="s">
        <v>30068</v>
      </c>
      <c r="F7435" s="2" t="b">
        <v>1</v>
      </c>
      <c r="G7435" s="2" t="b">
        <v>0</v>
      </c>
      <c r="H7435" s="2" t="s">
        <v>37</v>
      </c>
      <c r="I7435" s="2" t="s">
        <v>49</v>
      </c>
      <c r="J7435" s="2" t="s">
        <v>6440</v>
      </c>
      <c r="K7435" s="2" t="s">
        <v>495</v>
      </c>
      <c r="L7435" s="13" t="s">
        <v>496</v>
      </c>
      <c r="M7435" s="2" t="s">
        <v>26</v>
      </c>
      <c r="N7435" s="29"/>
      <c r="O7435" s="29"/>
      <c r="P7435" s="5" t="str">
        <f>IFERROR(__xludf.DUMMYFUNCTION("TEXTJOIN("" | "",TRUE,IF(OR(D7435="""",E7435="""",I7435="""",J7435="""",H7435=""""),""ফাঁকা ঘর"",""""),IF(AND(C7435&lt;&gt;"""",D7435&lt;&gt;"""",C7435=D7435),""gloss=figurative"",""""),IF(LEN(D7435)&lt;15,""figurative ছোট"",""""),IF(AND(I7435=""Positive"",REGEXMATCH(H7"&amp;"435,""মূর্খ|ভণ্ড|প্রতার|অলস|লোভ|স্বার্থ|অক্ষম|অযোগ্য|বোকা|কৃপণ|হিংস"")),""valence-target অমিল"",""""),IF(COUNTIF($B:$B,B7435)&gt;1,""ডুপ্লিকেট"",""""))"),"")</f>
        <v/>
      </c>
      <c r="Q7435" s="5" t="str">
        <f t="shared" si="1"/>
        <v>২ পরে</v>
      </c>
    </row>
    <row r="7436">
      <c r="A7436" s="4">
        <v>5711.0</v>
      </c>
      <c r="B7436" s="2" t="s">
        <v>30069</v>
      </c>
      <c r="C7436" s="2" t="s">
        <v>30070</v>
      </c>
      <c r="D7436" s="2" t="s">
        <v>30071</v>
      </c>
      <c r="E7436" s="2" t="s">
        <v>30072</v>
      </c>
      <c r="F7436" s="2" t="b">
        <v>1</v>
      </c>
      <c r="G7436" s="2" t="b">
        <v>0</v>
      </c>
      <c r="H7436" s="2" t="s">
        <v>37</v>
      </c>
      <c r="I7436" s="2" t="s">
        <v>32</v>
      </c>
      <c r="J7436" s="2" t="s">
        <v>964</v>
      </c>
      <c r="K7436" s="2" t="s">
        <v>495</v>
      </c>
      <c r="L7436" s="13" t="s">
        <v>496</v>
      </c>
      <c r="M7436" s="2" t="s">
        <v>26</v>
      </c>
      <c r="N7436" s="29"/>
      <c r="O7436" s="29"/>
      <c r="P7436" s="5" t="str">
        <f>IFERROR(__xludf.DUMMYFUNCTION("TEXTJOIN("" | "",TRUE,IF(OR(D7436="""",E7436="""",I7436="""",J7436="""",H7436=""""),""ফাঁকা ঘর"",""""),IF(AND(C7436&lt;&gt;"""",D7436&lt;&gt;"""",C7436=D7436),""gloss=figurative"",""""),IF(LEN(D7436)&lt;15,""figurative ছোট"",""""),IF(AND(I7436=""Positive"",REGEXMATCH(H7"&amp;"436,""মূর্খ|ভণ্ড|প্রতার|অলস|লোভ|স্বার্থ|অক্ষম|অযোগ্য|বোকা|কৃপণ|হিংস"")),""valence-target অমিল"",""""),IF(COUNTIF($B:$B,B7436)&gt;1,""ডুপ্লিকেট"",""""))"),"")</f>
        <v/>
      </c>
      <c r="Q7436" s="5" t="str">
        <f t="shared" si="1"/>
        <v>২ পরে</v>
      </c>
    </row>
    <row r="7437">
      <c r="A7437" s="4">
        <v>5712.0</v>
      </c>
      <c r="B7437" s="2" t="s">
        <v>30073</v>
      </c>
      <c r="C7437" s="2" t="s">
        <v>30074</v>
      </c>
      <c r="D7437" s="2" t="s">
        <v>30075</v>
      </c>
      <c r="E7437" s="2" t="s">
        <v>30076</v>
      </c>
      <c r="F7437" s="2" t="b">
        <v>1</v>
      </c>
      <c r="G7437" s="2" t="b">
        <v>0</v>
      </c>
      <c r="H7437" s="2" t="s">
        <v>37</v>
      </c>
      <c r="I7437" s="2" t="s">
        <v>49</v>
      </c>
      <c r="J7437" s="2" t="s">
        <v>5453</v>
      </c>
      <c r="K7437" s="2" t="s">
        <v>495</v>
      </c>
      <c r="L7437" s="13" t="s">
        <v>496</v>
      </c>
      <c r="M7437" s="2" t="s">
        <v>26</v>
      </c>
      <c r="N7437" s="29"/>
      <c r="O7437" s="29"/>
      <c r="P7437" s="5" t="str">
        <f>IFERROR(__xludf.DUMMYFUNCTION("TEXTJOIN("" | "",TRUE,IF(OR(D7437="""",E7437="""",I7437="""",J7437="""",H7437=""""),""ফাঁকা ঘর"",""""),IF(AND(C7437&lt;&gt;"""",D7437&lt;&gt;"""",C7437=D7437),""gloss=figurative"",""""),IF(LEN(D7437)&lt;15,""figurative ছোট"",""""),IF(AND(I7437=""Positive"",REGEXMATCH(H7"&amp;"437,""মূর্খ|ভণ্ড|প্রতার|অলস|লোভ|স্বার্থ|অক্ষম|অযোগ্য|বোকা|কৃপণ|হিংস"")),""valence-target অমিল"",""""),IF(COUNTIF($B:$B,B7437)&gt;1,""ডুপ্লিকেট"",""""))"),"")</f>
        <v/>
      </c>
      <c r="Q7437" s="5" t="str">
        <f t="shared" si="1"/>
        <v>২ পরে</v>
      </c>
    </row>
    <row r="7438">
      <c r="A7438" s="4">
        <v>5716.0</v>
      </c>
      <c r="B7438" s="2" t="s">
        <v>30077</v>
      </c>
      <c r="C7438" s="2" t="s">
        <v>30078</v>
      </c>
      <c r="D7438" s="2" t="s">
        <v>30079</v>
      </c>
      <c r="E7438" s="2" t="s">
        <v>30080</v>
      </c>
      <c r="F7438" s="2" t="b">
        <v>1</v>
      </c>
      <c r="G7438" s="2" t="b">
        <v>0</v>
      </c>
      <c r="H7438" s="2" t="s">
        <v>37</v>
      </c>
      <c r="I7438" s="2" t="s">
        <v>32</v>
      </c>
      <c r="J7438" s="2" t="s">
        <v>4088</v>
      </c>
      <c r="K7438" s="2" t="s">
        <v>495</v>
      </c>
      <c r="L7438" s="13" t="s">
        <v>496</v>
      </c>
      <c r="M7438" s="2" t="s">
        <v>26</v>
      </c>
      <c r="N7438" s="29"/>
      <c r="O7438" s="29"/>
      <c r="P7438" s="5" t="str">
        <f>IFERROR(__xludf.DUMMYFUNCTION("TEXTJOIN("" | "",TRUE,IF(OR(D7438="""",E7438="""",I7438="""",J7438="""",H7438=""""),""ফাঁকা ঘর"",""""),IF(AND(C7438&lt;&gt;"""",D7438&lt;&gt;"""",C7438=D7438),""gloss=figurative"",""""),IF(LEN(D7438)&lt;15,""figurative ছোট"",""""),IF(AND(I7438=""Positive"",REGEXMATCH(H7"&amp;"438,""মূর্খ|ভণ্ড|প্রতার|অলস|লোভ|স্বার্থ|অক্ষম|অযোগ্য|বোকা|কৃপণ|হিংস"")),""valence-target অমিল"",""""),IF(COUNTIF($B:$B,B7438)&gt;1,""ডুপ্লিকেট"",""""))"),"")</f>
        <v/>
      </c>
      <c r="Q7438" s="5" t="str">
        <f t="shared" si="1"/>
        <v>২ পরে</v>
      </c>
    </row>
    <row r="7439">
      <c r="A7439" s="4">
        <v>5719.0</v>
      </c>
      <c r="B7439" s="2" t="s">
        <v>30081</v>
      </c>
      <c r="C7439" s="2" t="s">
        <v>30081</v>
      </c>
      <c r="D7439" s="2" t="s">
        <v>30082</v>
      </c>
      <c r="E7439" s="2" t="s">
        <v>30083</v>
      </c>
      <c r="F7439" s="2" t="b">
        <v>1</v>
      </c>
      <c r="G7439" s="2" t="b">
        <v>0</v>
      </c>
      <c r="H7439" s="2" t="s">
        <v>37</v>
      </c>
      <c r="I7439" s="2" t="s">
        <v>32</v>
      </c>
      <c r="J7439" s="2" t="s">
        <v>868</v>
      </c>
      <c r="K7439" s="2" t="s">
        <v>495</v>
      </c>
      <c r="L7439" s="13" t="s">
        <v>496</v>
      </c>
      <c r="M7439" s="2" t="s">
        <v>26</v>
      </c>
      <c r="N7439" s="29"/>
      <c r="O7439" s="29"/>
      <c r="P7439" s="5" t="str">
        <f>IFERROR(__xludf.DUMMYFUNCTION("TEXTJOIN("" | "",TRUE,IF(OR(D7439="""",E7439="""",I7439="""",J7439="""",H7439=""""),""ফাঁকা ঘর"",""""),IF(AND(C7439&lt;&gt;"""",D7439&lt;&gt;"""",C7439=D7439),""gloss=figurative"",""""),IF(LEN(D7439)&lt;15,""figurative ছোট"",""""),IF(AND(I7439=""Positive"",REGEXMATCH(H7"&amp;"439,""মূর্খ|ভণ্ড|প্রতার|অলস|লোভ|স্বার্থ|অক্ষম|অযোগ্য|বোকা|কৃপণ|হিংস"")),""valence-target অমিল"",""""),IF(COUNTIF($B:$B,B7439)&gt;1,""ডুপ্লিকেট"",""""))"),"")</f>
        <v/>
      </c>
      <c r="Q7439" s="5" t="str">
        <f t="shared" si="1"/>
        <v>২ পরে</v>
      </c>
    </row>
    <row r="7440">
      <c r="A7440" s="4">
        <v>5720.0</v>
      </c>
      <c r="B7440" s="2" t="s">
        <v>30084</v>
      </c>
      <c r="C7440" s="2" t="s">
        <v>30085</v>
      </c>
      <c r="D7440" s="2" t="s">
        <v>30086</v>
      </c>
      <c r="E7440" s="2" t="s">
        <v>30087</v>
      </c>
      <c r="F7440" s="2" t="b">
        <v>1</v>
      </c>
      <c r="G7440" s="2" t="b">
        <v>0</v>
      </c>
      <c r="H7440" s="2" t="s">
        <v>37</v>
      </c>
      <c r="I7440" s="2" t="s">
        <v>49</v>
      </c>
      <c r="J7440" s="2" t="s">
        <v>565</v>
      </c>
      <c r="K7440" s="2" t="s">
        <v>495</v>
      </c>
      <c r="L7440" s="13" t="s">
        <v>496</v>
      </c>
      <c r="M7440" s="2" t="s">
        <v>26</v>
      </c>
      <c r="N7440" s="29"/>
      <c r="O7440" s="29"/>
      <c r="P7440" s="5" t="str">
        <f>IFERROR(__xludf.DUMMYFUNCTION("TEXTJOIN("" | "",TRUE,IF(OR(D7440="""",E7440="""",I7440="""",J7440="""",H7440=""""),""ফাঁকা ঘর"",""""),IF(AND(C7440&lt;&gt;"""",D7440&lt;&gt;"""",C7440=D7440),""gloss=figurative"",""""),IF(LEN(D7440)&lt;15,""figurative ছোট"",""""),IF(AND(I7440=""Positive"",REGEXMATCH(H7"&amp;"440,""মূর্খ|ভণ্ড|প্রতার|অলস|লোভ|স্বার্থ|অক্ষম|অযোগ্য|বোকা|কৃপণ|হিংস"")),""valence-target অমিল"",""""),IF(COUNTIF($B:$B,B7440)&gt;1,""ডুপ্লিকেট"",""""))"),"")</f>
        <v/>
      </c>
      <c r="Q7440" s="5" t="str">
        <f t="shared" si="1"/>
        <v>২ পরে</v>
      </c>
    </row>
    <row r="7441">
      <c r="A7441" s="4">
        <v>5724.0</v>
      </c>
      <c r="B7441" s="2" t="s">
        <v>30088</v>
      </c>
      <c r="C7441" s="2" t="s">
        <v>30089</v>
      </c>
      <c r="D7441" s="2" t="s">
        <v>30090</v>
      </c>
      <c r="E7441" s="2" t="s">
        <v>30091</v>
      </c>
      <c r="F7441" s="2" t="b">
        <v>1</v>
      </c>
      <c r="G7441" s="2" t="b">
        <v>0</v>
      </c>
      <c r="H7441" s="2" t="s">
        <v>37</v>
      </c>
      <c r="I7441" s="2" t="s">
        <v>22</v>
      </c>
      <c r="J7441" s="2" t="s">
        <v>842</v>
      </c>
      <c r="K7441" s="2" t="s">
        <v>495</v>
      </c>
      <c r="L7441" s="13" t="s">
        <v>496</v>
      </c>
      <c r="M7441" s="2" t="s">
        <v>26</v>
      </c>
      <c r="N7441" s="29"/>
      <c r="O7441" s="29"/>
      <c r="P7441" s="5" t="str">
        <f>IFERROR(__xludf.DUMMYFUNCTION("TEXTJOIN("" | "",TRUE,IF(OR(D7441="""",E7441="""",I7441="""",J7441="""",H7441=""""),""ফাঁকা ঘর"",""""),IF(AND(C7441&lt;&gt;"""",D7441&lt;&gt;"""",C7441=D7441),""gloss=figurative"",""""),IF(LEN(D7441)&lt;15,""figurative ছোট"",""""),IF(AND(I7441=""Positive"",REGEXMATCH(H7"&amp;"441,""মূর্খ|ভণ্ড|প্রতার|অলস|লোভ|স্বার্থ|অক্ষম|অযোগ্য|বোকা|কৃপণ|হিংস"")),""valence-target অমিল"",""""),IF(COUNTIF($B:$B,B7441)&gt;1,""ডুপ্লিকেট"",""""))"),"")</f>
        <v/>
      </c>
      <c r="Q7441" s="5" t="str">
        <f t="shared" si="1"/>
        <v>২ পরে</v>
      </c>
    </row>
    <row r="7442">
      <c r="A7442" s="4">
        <v>5725.0</v>
      </c>
      <c r="B7442" s="2" t="s">
        <v>30092</v>
      </c>
      <c r="C7442" s="2" t="s">
        <v>30093</v>
      </c>
      <c r="D7442" s="2" t="s">
        <v>30094</v>
      </c>
      <c r="E7442" s="2" t="s">
        <v>30095</v>
      </c>
      <c r="F7442" s="2" t="b">
        <v>1</v>
      </c>
      <c r="G7442" s="2" t="b">
        <v>0</v>
      </c>
      <c r="H7442" s="2" t="s">
        <v>37</v>
      </c>
      <c r="I7442" s="2" t="s">
        <v>22</v>
      </c>
      <c r="J7442" s="2" t="s">
        <v>739</v>
      </c>
      <c r="K7442" s="2" t="s">
        <v>495</v>
      </c>
      <c r="L7442" s="13" t="s">
        <v>496</v>
      </c>
      <c r="M7442" s="2" t="s">
        <v>26</v>
      </c>
      <c r="N7442" s="29"/>
      <c r="O7442" s="29"/>
      <c r="P7442" s="5" t="str">
        <f>IFERROR(__xludf.DUMMYFUNCTION("TEXTJOIN("" | "",TRUE,IF(OR(D7442="""",E7442="""",I7442="""",J7442="""",H7442=""""),""ফাঁকা ঘর"",""""),IF(AND(C7442&lt;&gt;"""",D7442&lt;&gt;"""",C7442=D7442),""gloss=figurative"",""""),IF(LEN(D7442)&lt;15,""figurative ছোট"",""""),IF(AND(I7442=""Positive"",REGEXMATCH(H7"&amp;"442,""মূর্খ|ভণ্ড|প্রতার|অলস|লোভ|স্বার্থ|অক্ষম|অযোগ্য|বোকা|কৃপণ|হিংস"")),""valence-target অমিল"",""""),IF(COUNTIF($B:$B,B7442)&gt;1,""ডুপ্লিকেট"",""""))"),"")</f>
        <v/>
      </c>
      <c r="Q7442" s="5" t="str">
        <f t="shared" si="1"/>
        <v>২ পরে</v>
      </c>
    </row>
    <row r="7443">
      <c r="A7443" s="4">
        <v>5727.0</v>
      </c>
      <c r="B7443" s="2" t="s">
        <v>30096</v>
      </c>
      <c r="C7443" s="2" t="s">
        <v>30097</v>
      </c>
      <c r="D7443" s="2" t="s">
        <v>30098</v>
      </c>
      <c r="E7443" s="2" t="s">
        <v>30099</v>
      </c>
      <c r="F7443" s="2" t="b">
        <v>1</v>
      </c>
      <c r="G7443" s="2" t="b">
        <v>0</v>
      </c>
      <c r="H7443" s="2" t="s">
        <v>37</v>
      </c>
      <c r="I7443" s="2" t="s">
        <v>49</v>
      </c>
      <c r="J7443" s="2" t="s">
        <v>2040</v>
      </c>
      <c r="K7443" s="2" t="s">
        <v>495</v>
      </c>
      <c r="L7443" s="13" t="s">
        <v>496</v>
      </c>
      <c r="M7443" s="2" t="s">
        <v>26</v>
      </c>
      <c r="N7443" s="29"/>
      <c r="O7443" s="29"/>
      <c r="P7443" s="5" t="str">
        <f>IFERROR(__xludf.DUMMYFUNCTION("TEXTJOIN("" | "",TRUE,IF(OR(D7443="""",E7443="""",I7443="""",J7443="""",H7443=""""),""ফাঁকা ঘর"",""""),IF(AND(C7443&lt;&gt;"""",D7443&lt;&gt;"""",C7443=D7443),""gloss=figurative"",""""),IF(LEN(D7443)&lt;15,""figurative ছোট"",""""),IF(AND(I7443=""Positive"",REGEXMATCH(H7"&amp;"443,""মূর্খ|ভণ্ড|প্রতার|অলস|লোভ|স্বার্থ|অক্ষম|অযোগ্য|বোকা|কৃপণ|হিংস"")),""valence-target অমিল"",""""),IF(COUNTIF($B:$B,B7443)&gt;1,""ডুপ্লিকেট"",""""))"),"")</f>
        <v/>
      </c>
      <c r="Q7443" s="5" t="str">
        <f t="shared" si="1"/>
        <v>২ পরে</v>
      </c>
    </row>
    <row r="7444">
      <c r="A7444" s="4">
        <v>5728.0</v>
      </c>
      <c r="B7444" s="2" t="s">
        <v>30100</v>
      </c>
      <c r="C7444" s="2" t="s">
        <v>30101</v>
      </c>
      <c r="D7444" s="2" t="s">
        <v>30102</v>
      </c>
      <c r="E7444" s="2" t="s">
        <v>30103</v>
      </c>
      <c r="F7444" s="2" t="b">
        <v>1</v>
      </c>
      <c r="G7444" s="2" t="b">
        <v>0</v>
      </c>
      <c r="H7444" s="2" t="s">
        <v>37</v>
      </c>
      <c r="I7444" s="2" t="s">
        <v>49</v>
      </c>
      <c r="J7444" s="2" t="s">
        <v>300</v>
      </c>
      <c r="K7444" s="2" t="s">
        <v>495</v>
      </c>
      <c r="L7444" s="13" t="s">
        <v>496</v>
      </c>
      <c r="M7444" s="2" t="s">
        <v>26</v>
      </c>
      <c r="N7444" s="29"/>
      <c r="O7444" s="29"/>
      <c r="P7444" s="5" t="str">
        <f>IFERROR(__xludf.DUMMYFUNCTION("TEXTJOIN("" | "",TRUE,IF(OR(D7444="""",E7444="""",I7444="""",J7444="""",H7444=""""),""ফাঁকা ঘর"",""""),IF(AND(C7444&lt;&gt;"""",D7444&lt;&gt;"""",C7444=D7444),""gloss=figurative"",""""),IF(LEN(D7444)&lt;15,""figurative ছোট"",""""),IF(AND(I7444=""Positive"",REGEXMATCH(H7"&amp;"444,""মূর্খ|ভণ্ড|প্রতার|অলস|লোভ|স্বার্থ|অক্ষম|অযোগ্য|বোকা|কৃপণ|হিংস"")),""valence-target অমিল"",""""),IF(COUNTIF($B:$B,B7444)&gt;1,""ডুপ্লিকেট"",""""))"),"")</f>
        <v/>
      </c>
      <c r="Q7444" s="5" t="str">
        <f t="shared" si="1"/>
        <v>২ পরে</v>
      </c>
    </row>
    <row r="7445">
      <c r="A7445" s="4">
        <v>5729.0</v>
      </c>
      <c r="B7445" s="2" t="s">
        <v>30104</v>
      </c>
      <c r="C7445" s="2" t="s">
        <v>30105</v>
      </c>
      <c r="D7445" s="2" t="s">
        <v>30106</v>
      </c>
      <c r="E7445" s="2" t="s">
        <v>30107</v>
      </c>
      <c r="F7445" s="2" t="b">
        <v>1</v>
      </c>
      <c r="G7445" s="2" t="b">
        <v>0</v>
      </c>
      <c r="H7445" s="2" t="s">
        <v>37</v>
      </c>
      <c r="I7445" s="2" t="s">
        <v>49</v>
      </c>
      <c r="J7445" s="2" t="s">
        <v>300</v>
      </c>
      <c r="K7445" s="2" t="s">
        <v>495</v>
      </c>
      <c r="L7445" s="13" t="s">
        <v>496</v>
      </c>
      <c r="M7445" s="2" t="s">
        <v>26</v>
      </c>
      <c r="N7445" s="29"/>
      <c r="O7445" s="29"/>
      <c r="P7445" s="5" t="str">
        <f>IFERROR(__xludf.DUMMYFUNCTION("TEXTJOIN("" | "",TRUE,IF(OR(D7445="""",E7445="""",I7445="""",J7445="""",H7445=""""),""ফাঁকা ঘর"",""""),IF(AND(C7445&lt;&gt;"""",D7445&lt;&gt;"""",C7445=D7445),""gloss=figurative"",""""),IF(LEN(D7445)&lt;15,""figurative ছোট"",""""),IF(AND(I7445=""Positive"",REGEXMATCH(H7"&amp;"445,""মূর্খ|ভণ্ড|প্রতার|অলস|লোভ|স্বার্থ|অক্ষম|অযোগ্য|বোকা|কৃপণ|হিংস"")),""valence-target অমিল"",""""),IF(COUNTIF($B:$B,B7445)&gt;1,""ডুপ্লিকেট"",""""))"),"")</f>
        <v/>
      </c>
      <c r="Q7445" s="5" t="str">
        <f t="shared" si="1"/>
        <v>২ পরে</v>
      </c>
    </row>
    <row r="7446">
      <c r="A7446" s="4">
        <v>5730.0</v>
      </c>
      <c r="B7446" s="2" t="s">
        <v>30108</v>
      </c>
      <c r="C7446" s="2" t="s">
        <v>30109</v>
      </c>
      <c r="D7446" s="2" t="s">
        <v>30110</v>
      </c>
      <c r="E7446" s="2" t="s">
        <v>30111</v>
      </c>
      <c r="F7446" s="2" t="b">
        <v>1</v>
      </c>
      <c r="G7446" s="2" t="b">
        <v>0</v>
      </c>
      <c r="H7446" s="2" t="s">
        <v>37</v>
      </c>
      <c r="I7446" s="2" t="s">
        <v>32</v>
      </c>
      <c r="J7446" s="2" t="s">
        <v>1775</v>
      </c>
      <c r="K7446" s="2" t="s">
        <v>495</v>
      </c>
      <c r="L7446" s="13" t="s">
        <v>496</v>
      </c>
      <c r="M7446" s="2" t="s">
        <v>26</v>
      </c>
      <c r="N7446" s="29"/>
      <c r="O7446" s="29"/>
      <c r="P7446" s="5" t="str">
        <f>IFERROR(__xludf.DUMMYFUNCTION("TEXTJOIN("" | "",TRUE,IF(OR(D7446="""",E7446="""",I7446="""",J7446="""",H7446=""""),""ফাঁকা ঘর"",""""),IF(AND(C7446&lt;&gt;"""",D7446&lt;&gt;"""",C7446=D7446),""gloss=figurative"",""""),IF(LEN(D7446)&lt;15,""figurative ছোট"",""""),IF(AND(I7446=""Positive"",REGEXMATCH(H7"&amp;"446,""মূর্খ|ভণ্ড|প্রতার|অলস|লোভ|স্বার্থ|অক্ষম|অযোগ্য|বোকা|কৃপণ|হিংস"")),""valence-target অমিল"",""""),IF(COUNTIF($B:$B,B7446)&gt;1,""ডুপ্লিকেট"",""""))"),"")</f>
        <v/>
      </c>
      <c r="Q7446" s="5" t="str">
        <f t="shared" si="1"/>
        <v>২ পরে</v>
      </c>
    </row>
    <row r="7447">
      <c r="A7447" s="4">
        <v>5731.0</v>
      </c>
      <c r="B7447" s="2" t="s">
        <v>30112</v>
      </c>
      <c r="C7447" s="2" t="s">
        <v>30113</v>
      </c>
      <c r="D7447" s="2" t="s">
        <v>30114</v>
      </c>
      <c r="E7447" s="2" t="s">
        <v>30115</v>
      </c>
      <c r="F7447" s="2" t="b">
        <v>1</v>
      </c>
      <c r="G7447" s="2" t="b">
        <v>0</v>
      </c>
      <c r="H7447" s="2" t="s">
        <v>37</v>
      </c>
      <c r="I7447" s="2" t="s">
        <v>49</v>
      </c>
      <c r="J7447" s="2" t="s">
        <v>1621</v>
      </c>
      <c r="K7447" s="2" t="s">
        <v>495</v>
      </c>
      <c r="L7447" s="13" t="s">
        <v>496</v>
      </c>
      <c r="M7447" s="2" t="s">
        <v>26</v>
      </c>
      <c r="N7447" s="29"/>
      <c r="O7447" s="29"/>
      <c r="P7447" s="5" t="str">
        <f>IFERROR(__xludf.DUMMYFUNCTION("TEXTJOIN("" | "",TRUE,IF(OR(D7447="""",E7447="""",I7447="""",J7447="""",H7447=""""),""ফাঁকা ঘর"",""""),IF(AND(C7447&lt;&gt;"""",D7447&lt;&gt;"""",C7447=D7447),""gloss=figurative"",""""),IF(LEN(D7447)&lt;15,""figurative ছোট"",""""),IF(AND(I7447=""Positive"",REGEXMATCH(H7"&amp;"447,""মূর্খ|ভণ্ড|প্রতার|অলস|লোভ|স্বার্থ|অক্ষম|অযোগ্য|বোকা|কৃপণ|হিংস"")),""valence-target অমিল"",""""),IF(COUNTIF($B:$B,B7447)&gt;1,""ডুপ্লিকেট"",""""))"),"")</f>
        <v/>
      </c>
      <c r="Q7447" s="5" t="str">
        <f t="shared" si="1"/>
        <v>২ পরে</v>
      </c>
    </row>
    <row r="7448">
      <c r="A7448" s="4">
        <v>5732.0</v>
      </c>
      <c r="B7448" s="2" t="s">
        <v>30116</v>
      </c>
      <c r="C7448" s="2" t="s">
        <v>30117</v>
      </c>
      <c r="D7448" s="2" t="s">
        <v>30118</v>
      </c>
      <c r="E7448" s="2" t="s">
        <v>30119</v>
      </c>
      <c r="F7448" s="2" t="b">
        <v>1</v>
      </c>
      <c r="G7448" s="2" t="b">
        <v>0</v>
      </c>
      <c r="H7448" s="2" t="s">
        <v>37</v>
      </c>
      <c r="I7448" s="2" t="s">
        <v>49</v>
      </c>
      <c r="J7448" s="2" t="s">
        <v>300</v>
      </c>
      <c r="K7448" s="2" t="s">
        <v>495</v>
      </c>
      <c r="L7448" s="13" t="s">
        <v>496</v>
      </c>
      <c r="M7448" s="2" t="s">
        <v>26</v>
      </c>
      <c r="N7448" s="29"/>
      <c r="O7448" s="29"/>
      <c r="P7448" s="5" t="str">
        <f>IFERROR(__xludf.DUMMYFUNCTION("TEXTJOIN("" | "",TRUE,IF(OR(D7448="""",E7448="""",I7448="""",J7448="""",H7448=""""),""ফাঁকা ঘর"",""""),IF(AND(C7448&lt;&gt;"""",D7448&lt;&gt;"""",C7448=D7448),""gloss=figurative"",""""),IF(LEN(D7448)&lt;15,""figurative ছোট"",""""),IF(AND(I7448=""Positive"",REGEXMATCH(H7"&amp;"448,""মূর্খ|ভণ্ড|প্রতার|অলস|লোভ|স্বার্থ|অক্ষম|অযোগ্য|বোকা|কৃপণ|হিংস"")),""valence-target অমিল"",""""),IF(COUNTIF($B:$B,B7448)&gt;1,""ডুপ্লিকেট"",""""))"),"")</f>
        <v/>
      </c>
      <c r="Q7448" s="5" t="str">
        <f t="shared" si="1"/>
        <v>২ পরে</v>
      </c>
    </row>
    <row r="7449">
      <c r="A7449" s="4">
        <v>5736.0</v>
      </c>
      <c r="B7449" s="2" t="s">
        <v>30120</v>
      </c>
      <c r="C7449" s="2" t="s">
        <v>30121</v>
      </c>
      <c r="D7449" s="2" t="s">
        <v>30122</v>
      </c>
      <c r="E7449" s="2" t="s">
        <v>30123</v>
      </c>
      <c r="F7449" s="2" t="b">
        <v>1</v>
      </c>
      <c r="G7449" s="2" t="b">
        <v>0</v>
      </c>
      <c r="H7449" s="2" t="s">
        <v>37</v>
      </c>
      <c r="I7449" s="2" t="s">
        <v>49</v>
      </c>
      <c r="J7449" s="2" t="s">
        <v>762</v>
      </c>
      <c r="K7449" s="2" t="s">
        <v>495</v>
      </c>
      <c r="L7449" s="13" t="s">
        <v>496</v>
      </c>
      <c r="M7449" s="2" t="s">
        <v>26</v>
      </c>
      <c r="N7449" s="29"/>
      <c r="O7449" s="29"/>
      <c r="P7449" s="5" t="str">
        <f>IFERROR(__xludf.DUMMYFUNCTION("TEXTJOIN("" | "",TRUE,IF(OR(D7449="""",E7449="""",I7449="""",J7449="""",H7449=""""),""ফাঁকা ঘর"",""""),IF(AND(C7449&lt;&gt;"""",D7449&lt;&gt;"""",C7449=D7449),""gloss=figurative"",""""),IF(LEN(D7449)&lt;15,""figurative ছোট"",""""),IF(AND(I7449=""Positive"",REGEXMATCH(H7"&amp;"449,""মূর্খ|ভণ্ড|প্রতার|অলস|লোভ|স্বার্থ|অক্ষম|অযোগ্য|বোকা|কৃপণ|হিংস"")),""valence-target অমিল"",""""),IF(COUNTIF($B:$B,B7449)&gt;1,""ডুপ্লিকেট"",""""))"),"")</f>
        <v/>
      </c>
      <c r="Q7449" s="5" t="str">
        <f t="shared" si="1"/>
        <v>২ পরে</v>
      </c>
    </row>
    <row r="7450">
      <c r="A7450" s="4">
        <v>5737.0</v>
      </c>
      <c r="B7450" s="2" t="s">
        <v>30124</v>
      </c>
      <c r="C7450" s="2" t="s">
        <v>30125</v>
      </c>
      <c r="D7450" s="2" t="s">
        <v>30126</v>
      </c>
      <c r="E7450" s="2" t="s">
        <v>30127</v>
      </c>
      <c r="F7450" s="2" t="b">
        <v>1</v>
      </c>
      <c r="G7450" s="2" t="b">
        <v>1</v>
      </c>
      <c r="H7450" s="2" t="s">
        <v>1211</v>
      </c>
      <c r="I7450" s="2" t="s">
        <v>49</v>
      </c>
      <c r="J7450" s="2" t="s">
        <v>2040</v>
      </c>
      <c r="K7450" s="2" t="s">
        <v>495</v>
      </c>
      <c r="L7450" s="13" t="s">
        <v>496</v>
      </c>
      <c r="M7450" s="2" t="s">
        <v>26</v>
      </c>
      <c r="N7450" s="29"/>
      <c r="O7450" s="29"/>
      <c r="P7450" s="5" t="str">
        <f>IFERROR(__xludf.DUMMYFUNCTION("TEXTJOIN("" | "",TRUE,IF(OR(D7450="""",E7450="""",I7450="""",J7450="""",H7450=""""),""ফাঁকা ঘর"",""""),IF(AND(C7450&lt;&gt;"""",D7450&lt;&gt;"""",C7450=D7450),""gloss=figurative"",""""),IF(LEN(D7450)&lt;15,""figurative ছোট"",""""),IF(AND(I7450=""Positive"",REGEXMATCH(H7"&amp;"450,""মূর্খ|ভণ্ড|প্রতার|অলস|লোভ|স্বার্থ|অক্ষম|অযোগ্য|বোকা|কৃপণ|হিংস"")),""valence-target অমিল"",""""),IF(COUNTIF($B:$B,B7450)&gt;1,""ডুপ্লিকেট"",""""))"),"")</f>
        <v/>
      </c>
      <c r="Q7450" s="5" t="str">
        <f t="shared" si="1"/>
        <v>২ পরে</v>
      </c>
    </row>
    <row r="7451">
      <c r="A7451" s="4">
        <v>5738.0</v>
      </c>
      <c r="B7451" s="2" t="s">
        <v>30128</v>
      </c>
      <c r="C7451" s="2" t="s">
        <v>30129</v>
      </c>
      <c r="D7451" s="2" t="s">
        <v>30130</v>
      </c>
      <c r="E7451" s="2" t="s">
        <v>30131</v>
      </c>
      <c r="F7451" s="2" t="b">
        <v>1</v>
      </c>
      <c r="G7451" s="2" t="b">
        <v>0</v>
      </c>
      <c r="H7451" s="2" t="s">
        <v>37</v>
      </c>
      <c r="I7451" s="2" t="s">
        <v>49</v>
      </c>
      <c r="J7451" s="2" t="s">
        <v>300</v>
      </c>
      <c r="K7451" s="2" t="s">
        <v>495</v>
      </c>
      <c r="L7451" s="13" t="s">
        <v>496</v>
      </c>
      <c r="M7451" s="2" t="s">
        <v>26</v>
      </c>
      <c r="N7451" s="29"/>
      <c r="O7451" s="29"/>
      <c r="P7451" s="5" t="str">
        <f>IFERROR(__xludf.DUMMYFUNCTION("TEXTJOIN("" | "",TRUE,IF(OR(D7451="""",E7451="""",I7451="""",J7451="""",H7451=""""),""ফাঁকা ঘর"",""""),IF(AND(C7451&lt;&gt;"""",D7451&lt;&gt;"""",C7451=D7451),""gloss=figurative"",""""),IF(LEN(D7451)&lt;15,""figurative ছোট"",""""),IF(AND(I7451=""Positive"",REGEXMATCH(H7"&amp;"451,""মূর্খ|ভণ্ড|প্রতার|অলস|লোভ|স্বার্থ|অক্ষম|অযোগ্য|বোকা|কৃপণ|হিংস"")),""valence-target অমিল"",""""),IF(COUNTIF($B:$B,B7451)&gt;1,""ডুপ্লিকেট"",""""))"),"")</f>
        <v/>
      </c>
      <c r="Q7451" s="5" t="str">
        <f t="shared" si="1"/>
        <v>২ পরে</v>
      </c>
    </row>
    <row r="7452">
      <c r="A7452" s="4">
        <v>5739.0</v>
      </c>
      <c r="B7452" s="2" t="s">
        <v>30132</v>
      </c>
      <c r="C7452" s="2" t="s">
        <v>13489</v>
      </c>
      <c r="D7452" s="2" t="s">
        <v>30133</v>
      </c>
      <c r="E7452" s="2" t="s">
        <v>30134</v>
      </c>
      <c r="F7452" s="2" t="b">
        <v>1</v>
      </c>
      <c r="G7452" s="2" t="b">
        <v>0</v>
      </c>
      <c r="H7452" s="2" t="s">
        <v>37</v>
      </c>
      <c r="I7452" s="2" t="s">
        <v>49</v>
      </c>
      <c r="J7452" s="2" t="s">
        <v>300</v>
      </c>
      <c r="K7452" s="2" t="s">
        <v>495</v>
      </c>
      <c r="L7452" s="13" t="s">
        <v>496</v>
      </c>
      <c r="M7452" s="2" t="s">
        <v>26</v>
      </c>
      <c r="N7452" s="29"/>
      <c r="O7452" s="29"/>
      <c r="P7452" s="5" t="str">
        <f>IFERROR(__xludf.DUMMYFUNCTION("TEXTJOIN("" | "",TRUE,IF(OR(D7452="""",E7452="""",I7452="""",J7452="""",H7452=""""),""ফাঁকা ঘর"",""""),IF(AND(C7452&lt;&gt;"""",D7452&lt;&gt;"""",C7452=D7452),""gloss=figurative"",""""),IF(LEN(D7452)&lt;15,""figurative ছোট"",""""),IF(AND(I7452=""Positive"",REGEXMATCH(H7"&amp;"452,""মূর্খ|ভণ্ড|প্রতার|অলস|লোভ|স্বার্থ|অক্ষম|অযোগ্য|বোকা|কৃপণ|হিংস"")),""valence-target অমিল"",""""),IF(COUNTIF($B:$B,B7452)&gt;1,""ডুপ্লিকেট"",""""))"),"")</f>
        <v/>
      </c>
      <c r="Q7452" s="5" t="str">
        <f t="shared" si="1"/>
        <v>২ পরে</v>
      </c>
    </row>
    <row r="7453">
      <c r="A7453" s="4">
        <v>5740.0</v>
      </c>
      <c r="B7453" s="2" t="s">
        <v>30135</v>
      </c>
      <c r="C7453" s="2" t="s">
        <v>30136</v>
      </c>
      <c r="D7453" s="2" t="s">
        <v>30137</v>
      </c>
      <c r="E7453" s="2" t="s">
        <v>30138</v>
      </c>
      <c r="F7453" s="2" t="b">
        <v>1</v>
      </c>
      <c r="G7453" s="2" t="b">
        <v>0</v>
      </c>
      <c r="H7453" s="2" t="s">
        <v>37</v>
      </c>
      <c r="I7453" s="2" t="s">
        <v>32</v>
      </c>
      <c r="J7453" s="2" t="s">
        <v>300</v>
      </c>
      <c r="K7453" s="2" t="s">
        <v>495</v>
      </c>
      <c r="L7453" s="13" t="s">
        <v>496</v>
      </c>
      <c r="M7453" s="2" t="s">
        <v>26</v>
      </c>
      <c r="N7453" s="29"/>
      <c r="O7453" s="29"/>
      <c r="P7453" s="5" t="str">
        <f>IFERROR(__xludf.DUMMYFUNCTION("TEXTJOIN("" | "",TRUE,IF(OR(D7453="""",E7453="""",I7453="""",J7453="""",H7453=""""),""ফাঁকা ঘর"",""""),IF(AND(C7453&lt;&gt;"""",D7453&lt;&gt;"""",C7453=D7453),""gloss=figurative"",""""),IF(LEN(D7453)&lt;15,""figurative ছোট"",""""),IF(AND(I7453=""Positive"",REGEXMATCH(H7"&amp;"453,""মূর্খ|ভণ্ড|প্রতার|অলস|লোভ|স্বার্থ|অক্ষম|অযোগ্য|বোকা|কৃপণ|হিংস"")),""valence-target অমিল"",""""),IF(COUNTIF($B:$B,B7453)&gt;1,""ডুপ্লিকেট"",""""))"),"")</f>
        <v/>
      </c>
      <c r="Q7453" s="5" t="str">
        <f t="shared" si="1"/>
        <v>২ পরে</v>
      </c>
    </row>
    <row r="7454">
      <c r="A7454" s="4">
        <v>5742.0</v>
      </c>
      <c r="B7454" s="2" t="s">
        <v>30139</v>
      </c>
      <c r="C7454" s="2" t="s">
        <v>30140</v>
      </c>
      <c r="D7454" s="2" t="s">
        <v>30141</v>
      </c>
      <c r="E7454" s="2" t="s">
        <v>30142</v>
      </c>
      <c r="F7454" s="2" t="b">
        <v>1</v>
      </c>
      <c r="G7454" s="2" t="b">
        <v>0</v>
      </c>
      <c r="H7454" s="2" t="s">
        <v>37</v>
      </c>
      <c r="I7454" s="2" t="s">
        <v>22</v>
      </c>
      <c r="J7454" s="2" t="s">
        <v>300</v>
      </c>
      <c r="K7454" s="2" t="s">
        <v>495</v>
      </c>
      <c r="L7454" s="13" t="s">
        <v>496</v>
      </c>
      <c r="M7454" s="2" t="s">
        <v>26</v>
      </c>
      <c r="N7454" s="29"/>
      <c r="O7454" s="29"/>
      <c r="P7454" s="5" t="str">
        <f>IFERROR(__xludf.DUMMYFUNCTION("TEXTJOIN("" | "",TRUE,IF(OR(D7454="""",E7454="""",I7454="""",J7454="""",H7454=""""),""ফাঁকা ঘর"",""""),IF(AND(C7454&lt;&gt;"""",D7454&lt;&gt;"""",C7454=D7454),""gloss=figurative"",""""),IF(LEN(D7454)&lt;15,""figurative ছোট"",""""),IF(AND(I7454=""Positive"",REGEXMATCH(H7"&amp;"454,""মূর্খ|ভণ্ড|প্রতার|অলস|লোভ|স্বার্থ|অক্ষম|অযোগ্য|বোকা|কৃপণ|হিংস"")),""valence-target অমিল"",""""),IF(COUNTIF($B:$B,B7454)&gt;1,""ডুপ্লিকেট"",""""))"),"")</f>
        <v/>
      </c>
      <c r="Q7454" s="5" t="str">
        <f t="shared" si="1"/>
        <v>২ পরে</v>
      </c>
    </row>
    <row r="7455">
      <c r="A7455" s="4">
        <v>5743.0</v>
      </c>
      <c r="B7455" s="2" t="s">
        <v>30143</v>
      </c>
      <c r="C7455" s="2" t="s">
        <v>30144</v>
      </c>
      <c r="D7455" s="2" t="s">
        <v>30145</v>
      </c>
      <c r="E7455" s="2" t="s">
        <v>30146</v>
      </c>
      <c r="F7455" s="2" t="b">
        <v>1</v>
      </c>
      <c r="G7455" s="2" t="b">
        <v>0</v>
      </c>
      <c r="H7455" s="2" t="s">
        <v>37</v>
      </c>
      <c r="I7455" s="2" t="s">
        <v>22</v>
      </c>
      <c r="J7455" s="2" t="s">
        <v>300</v>
      </c>
      <c r="K7455" s="2" t="s">
        <v>495</v>
      </c>
      <c r="L7455" s="13" t="s">
        <v>496</v>
      </c>
      <c r="M7455" s="2" t="s">
        <v>26</v>
      </c>
      <c r="N7455" s="29"/>
      <c r="O7455" s="29"/>
      <c r="P7455" s="5" t="str">
        <f>IFERROR(__xludf.DUMMYFUNCTION("TEXTJOIN("" | "",TRUE,IF(OR(D7455="""",E7455="""",I7455="""",J7455="""",H7455=""""),""ফাঁকা ঘর"",""""),IF(AND(C7455&lt;&gt;"""",D7455&lt;&gt;"""",C7455=D7455),""gloss=figurative"",""""),IF(LEN(D7455)&lt;15,""figurative ছোট"",""""),IF(AND(I7455=""Positive"",REGEXMATCH(H7"&amp;"455,""মূর্খ|ভণ্ড|প্রতার|অলস|লোভ|স্বার্থ|অক্ষম|অযোগ্য|বোকা|কৃপণ|হিংস"")),""valence-target অমিল"",""""),IF(COUNTIF($B:$B,B7455)&gt;1,""ডুপ্লিকেট"",""""))"),"")</f>
        <v/>
      </c>
      <c r="Q7455" s="5" t="str">
        <f t="shared" si="1"/>
        <v>২ পরে</v>
      </c>
    </row>
    <row r="7456">
      <c r="A7456" s="4">
        <v>5744.0</v>
      </c>
      <c r="B7456" s="2" t="s">
        <v>30147</v>
      </c>
      <c r="C7456" s="2" t="s">
        <v>30148</v>
      </c>
      <c r="D7456" s="2" t="s">
        <v>30149</v>
      </c>
      <c r="E7456" s="2" t="s">
        <v>30150</v>
      </c>
      <c r="F7456" s="2" t="b">
        <v>1</v>
      </c>
      <c r="G7456" s="2" t="b">
        <v>0</v>
      </c>
      <c r="H7456" s="2" t="s">
        <v>37</v>
      </c>
      <c r="I7456" s="2" t="s">
        <v>49</v>
      </c>
      <c r="J7456" s="2" t="s">
        <v>300</v>
      </c>
      <c r="K7456" s="2" t="s">
        <v>495</v>
      </c>
      <c r="L7456" s="13" t="s">
        <v>496</v>
      </c>
      <c r="M7456" s="2" t="s">
        <v>26</v>
      </c>
      <c r="N7456" s="29"/>
      <c r="O7456" s="29"/>
      <c r="P7456" s="5" t="str">
        <f>IFERROR(__xludf.DUMMYFUNCTION("TEXTJOIN("" | "",TRUE,IF(OR(D7456="""",E7456="""",I7456="""",J7456="""",H7456=""""),""ফাঁকা ঘর"",""""),IF(AND(C7456&lt;&gt;"""",D7456&lt;&gt;"""",C7456=D7456),""gloss=figurative"",""""),IF(LEN(D7456)&lt;15,""figurative ছোট"",""""),IF(AND(I7456=""Positive"",REGEXMATCH(H7"&amp;"456,""মূর্খ|ভণ্ড|প্রতার|অলস|লোভ|স্বার্থ|অক্ষম|অযোগ্য|বোকা|কৃপণ|হিংস"")),""valence-target অমিল"",""""),IF(COUNTIF($B:$B,B7456)&gt;1,""ডুপ্লিকেট"",""""))"),"")</f>
        <v/>
      </c>
      <c r="Q7456" s="5" t="str">
        <f t="shared" si="1"/>
        <v>২ পরে</v>
      </c>
    </row>
    <row r="7457">
      <c r="A7457" s="4">
        <v>5745.0</v>
      </c>
      <c r="B7457" s="2" t="s">
        <v>30151</v>
      </c>
      <c r="C7457" s="2" t="s">
        <v>30152</v>
      </c>
      <c r="D7457" s="2" t="s">
        <v>30153</v>
      </c>
      <c r="E7457" s="2" t="s">
        <v>30154</v>
      </c>
      <c r="F7457" s="2" t="b">
        <v>1</v>
      </c>
      <c r="G7457" s="2" t="b">
        <v>0</v>
      </c>
      <c r="H7457" s="2" t="s">
        <v>37</v>
      </c>
      <c r="I7457" s="2" t="s">
        <v>49</v>
      </c>
      <c r="J7457" s="2" t="s">
        <v>300</v>
      </c>
      <c r="K7457" s="2" t="s">
        <v>495</v>
      </c>
      <c r="L7457" s="13" t="s">
        <v>496</v>
      </c>
      <c r="M7457" s="2" t="s">
        <v>26</v>
      </c>
      <c r="N7457" s="29"/>
      <c r="O7457" s="29"/>
      <c r="P7457" s="5" t="str">
        <f>IFERROR(__xludf.DUMMYFUNCTION("TEXTJOIN("" | "",TRUE,IF(OR(D7457="""",E7457="""",I7457="""",J7457="""",H7457=""""),""ফাঁকা ঘর"",""""),IF(AND(C7457&lt;&gt;"""",D7457&lt;&gt;"""",C7457=D7457),""gloss=figurative"",""""),IF(LEN(D7457)&lt;15,""figurative ছোট"",""""),IF(AND(I7457=""Positive"",REGEXMATCH(H7"&amp;"457,""মূর্খ|ভণ্ড|প্রতার|অলস|লোভ|স্বার্থ|অক্ষম|অযোগ্য|বোকা|কৃপণ|হিংস"")),""valence-target অমিল"",""""),IF(COUNTIF($B:$B,B7457)&gt;1,""ডুপ্লিকেট"",""""))"),"")</f>
        <v/>
      </c>
      <c r="Q7457" s="5" t="str">
        <f t="shared" si="1"/>
        <v>২ পরে</v>
      </c>
    </row>
    <row r="7458">
      <c r="A7458" s="4">
        <v>5747.0</v>
      </c>
      <c r="B7458" s="2" t="s">
        <v>30155</v>
      </c>
      <c r="C7458" s="2" t="s">
        <v>30155</v>
      </c>
      <c r="D7458" s="2" t="s">
        <v>30156</v>
      </c>
      <c r="E7458" s="2" t="s">
        <v>30157</v>
      </c>
      <c r="F7458" s="2" t="b">
        <v>1</v>
      </c>
      <c r="G7458" s="2" t="b">
        <v>1</v>
      </c>
      <c r="H7458" s="2" t="s">
        <v>1106</v>
      </c>
      <c r="I7458" s="2" t="s">
        <v>22</v>
      </c>
      <c r="J7458" s="2" t="s">
        <v>1315</v>
      </c>
      <c r="K7458" s="2" t="s">
        <v>495</v>
      </c>
      <c r="L7458" s="13" t="s">
        <v>496</v>
      </c>
      <c r="M7458" s="2" t="s">
        <v>26</v>
      </c>
      <c r="N7458" s="29"/>
      <c r="O7458" s="29"/>
      <c r="P7458" s="5" t="str">
        <f>IFERROR(__xludf.DUMMYFUNCTION("TEXTJOIN("" | "",TRUE,IF(OR(D7458="""",E7458="""",I7458="""",J7458="""",H7458=""""),""ফাঁকা ঘর"",""""),IF(AND(C7458&lt;&gt;"""",D7458&lt;&gt;"""",C7458=D7458),""gloss=figurative"",""""),IF(LEN(D7458)&lt;15,""figurative ছোট"",""""),IF(AND(I7458=""Positive"",REGEXMATCH(H7"&amp;"458,""মূর্খ|ভণ্ড|প্রতার|অলস|লোভ|স্বার্থ|অক্ষম|অযোগ্য|বোকা|কৃপণ|হিংস"")),""valence-target অমিল"",""""),IF(COUNTIF($B:$B,B7458)&gt;1,""ডুপ্লিকেট"",""""))"),"")</f>
        <v/>
      </c>
      <c r="Q7458" s="5" t="str">
        <f t="shared" si="1"/>
        <v>২ পরে</v>
      </c>
    </row>
    <row r="7459">
      <c r="A7459" s="4">
        <v>5750.0</v>
      </c>
      <c r="B7459" s="2" t="s">
        <v>30158</v>
      </c>
      <c r="C7459" s="2" t="s">
        <v>30159</v>
      </c>
      <c r="D7459" s="2" t="s">
        <v>30160</v>
      </c>
      <c r="E7459" s="2" t="s">
        <v>30161</v>
      </c>
      <c r="F7459" s="2" t="b">
        <v>1</v>
      </c>
      <c r="G7459" s="2" t="b">
        <v>0</v>
      </c>
      <c r="H7459" s="2" t="s">
        <v>37</v>
      </c>
      <c r="I7459" s="2" t="s">
        <v>32</v>
      </c>
      <c r="J7459" s="2" t="s">
        <v>1510</v>
      </c>
      <c r="K7459" s="2" t="s">
        <v>495</v>
      </c>
      <c r="L7459" s="13" t="s">
        <v>496</v>
      </c>
      <c r="M7459" s="2" t="s">
        <v>26</v>
      </c>
      <c r="N7459" s="29"/>
      <c r="O7459" s="29"/>
      <c r="P7459" s="5" t="str">
        <f>IFERROR(__xludf.DUMMYFUNCTION("TEXTJOIN("" | "",TRUE,IF(OR(D7459="""",E7459="""",I7459="""",J7459="""",H7459=""""),""ফাঁকা ঘর"",""""),IF(AND(C7459&lt;&gt;"""",D7459&lt;&gt;"""",C7459=D7459),""gloss=figurative"",""""),IF(LEN(D7459)&lt;15,""figurative ছোট"",""""),IF(AND(I7459=""Positive"",REGEXMATCH(H7"&amp;"459,""মূর্খ|ভণ্ড|প্রতার|অলস|লোভ|স্বার্থ|অক্ষম|অযোগ্য|বোকা|কৃপণ|হিংস"")),""valence-target অমিল"",""""),IF(COUNTIF($B:$B,B7459)&gt;1,""ডুপ্লিকেট"",""""))"),"")</f>
        <v/>
      </c>
      <c r="Q7459" s="5" t="str">
        <f t="shared" si="1"/>
        <v>২ পরে</v>
      </c>
    </row>
    <row r="7460">
      <c r="A7460" s="4">
        <v>5751.0</v>
      </c>
      <c r="B7460" s="2" t="s">
        <v>30162</v>
      </c>
      <c r="C7460" s="2" t="s">
        <v>30163</v>
      </c>
      <c r="D7460" s="2" t="s">
        <v>30164</v>
      </c>
      <c r="E7460" s="2" t="s">
        <v>30165</v>
      </c>
      <c r="F7460" s="2" t="b">
        <v>1</v>
      </c>
      <c r="G7460" s="2" t="b">
        <v>0</v>
      </c>
      <c r="H7460" s="2" t="s">
        <v>37</v>
      </c>
      <c r="I7460" s="2" t="s">
        <v>32</v>
      </c>
      <c r="J7460" s="2" t="s">
        <v>739</v>
      </c>
      <c r="K7460" s="2" t="s">
        <v>495</v>
      </c>
      <c r="L7460" s="13" t="s">
        <v>496</v>
      </c>
      <c r="M7460" s="2" t="s">
        <v>26</v>
      </c>
      <c r="N7460" s="29"/>
      <c r="O7460" s="29"/>
      <c r="P7460" s="5" t="str">
        <f>IFERROR(__xludf.DUMMYFUNCTION("TEXTJOIN("" | "",TRUE,IF(OR(D7460="""",E7460="""",I7460="""",J7460="""",H7460=""""),""ফাঁকা ঘর"",""""),IF(AND(C7460&lt;&gt;"""",D7460&lt;&gt;"""",C7460=D7460),""gloss=figurative"",""""),IF(LEN(D7460)&lt;15,""figurative ছোট"",""""),IF(AND(I7460=""Positive"",REGEXMATCH(H7"&amp;"460,""মূর্খ|ভণ্ড|প্রতার|অলস|লোভ|স্বার্থ|অক্ষম|অযোগ্য|বোকা|কৃপণ|হিংস"")),""valence-target অমিল"",""""),IF(COUNTIF($B:$B,B7460)&gt;1,""ডুপ্লিকেট"",""""))"),"")</f>
        <v/>
      </c>
      <c r="Q7460" s="5" t="str">
        <f t="shared" si="1"/>
        <v>২ পরে</v>
      </c>
    </row>
    <row r="7461">
      <c r="A7461" s="4">
        <v>5752.0</v>
      </c>
      <c r="B7461" s="2" t="s">
        <v>30166</v>
      </c>
      <c r="C7461" s="2" t="s">
        <v>30167</v>
      </c>
      <c r="D7461" s="2" t="s">
        <v>30168</v>
      </c>
      <c r="E7461" s="2" t="s">
        <v>30169</v>
      </c>
      <c r="F7461" s="2" t="b">
        <v>1</v>
      </c>
      <c r="G7461" s="2" t="b">
        <v>0</v>
      </c>
      <c r="H7461" s="2" t="s">
        <v>37</v>
      </c>
      <c r="I7461" s="2" t="s">
        <v>49</v>
      </c>
      <c r="J7461" s="2" t="s">
        <v>739</v>
      </c>
      <c r="K7461" s="2" t="s">
        <v>495</v>
      </c>
      <c r="L7461" s="13" t="s">
        <v>496</v>
      </c>
      <c r="M7461" s="2" t="s">
        <v>26</v>
      </c>
      <c r="N7461" s="29"/>
      <c r="O7461" s="29"/>
      <c r="P7461" s="5" t="str">
        <f>IFERROR(__xludf.DUMMYFUNCTION("TEXTJOIN("" | "",TRUE,IF(OR(D7461="""",E7461="""",I7461="""",J7461="""",H7461=""""),""ফাঁকা ঘর"",""""),IF(AND(C7461&lt;&gt;"""",D7461&lt;&gt;"""",C7461=D7461),""gloss=figurative"",""""),IF(LEN(D7461)&lt;15,""figurative ছোট"",""""),IF(AND(I7461=""Positive"",REGEXMATCH(H7"&amp;"461,""মূর্খ|ভণ্ড|প্রতার|অলস|লোভ|স্বার্থ|অক্ষম|অযোগ্য|বোকা|কৃপণ|হিংস"")),""valence-target অমিল"",""""),IF(COUNTIF($B:$B,B7461)&gt;1,""ডুপ্লিকেট"",""""))"),"")</f>
        <v/>
      </c>
      <c r="Q7461" s="5" t="str">
        <f t="shared" si="1"/>
        <v>২ পরে</v>
      </c>
    </row>
    <row r="7462">
      <c r="A7462" s="4">
        <v>5753.0</v>
      </c>
      <c r="B7462" s="2" t="s">
        <v>30170</v>
      </c>
      <c r="C7462" s="2" t="s">
        <v>30171</v>
      </c>
      <c r="D7462" s="2" t="s">
        <v>30172</v>
      </c>
      <c r="E7462" s="2" t="s">
        <v>30173</v>
      </c>
      <c r="F7462" s="2" t="b">
        <v>1</v>
      </c>
      <c r="G7462" s="2" t="b">
        <v>0</v>
      </c>
      <c r="H7462" s="2" t="s">
        <v>37</v>
      </c>
      <c r="I7462" s="2" t="s">
        <v>22</v>
      </c>
      <c r="J7462" s="2" t="s">
        <v>739</v>
      </c>
      <c r="K7462" s="2" t="s">
        <v>495</v>
      </c>
      <c r="L7462" s="13" t="s">
        <v>496</v>
      </c>
      <c r="M7462" s="2" t="s">
        <v>26</v>
      </c>
      <c r="N7462" s="29"/>
      <c r="O7462" s="29"/>
      <c r="P7462" s="5" t="str">
        <f>IFERROR(__xludf.DUMMYFUNCTION("TEXTJOIN("" | "",TRUE,IF(OR(D7462="""",E7462="""",I7462="""",J7462="""",H7462=""""),""ফাঁকা ঘর"",""""),IF(AND(C7462&lt;&gt;"""",D7462&lt;&gt;"""",C7462=D7462),""gloss=figurative"",""""),IF(LEN(D7462)&lt;15,""figurative ছোট"",""""),IF(AND(I7462=""Positive"",REGEXMATCH(H7"&amp;"462,""মূর্খ|ভণ্ড|প্রতার|অলস|লোভ|স্বার্থ|অক্ষম|অযোগ্য|বোকা|কৃপণ|হিংস"")),""valence-target অমিল"",""""),IF(COUNTIF($B:$B,B7462)&gt;1,""ডুপ্লিকেট"",""""))"),"")</f>
        <v/>
      </c>
      <c r="Q7462" s="5" t="str">
        <f t="shared" si="1"/>
        <v>২ পরে</v>
      </c>
    </row>
    <row r="7463">
      <c r="A7463" s="4">
        <v>5754.0</v>
      </c>
      <c r="B7463" s="2" t="s">
        <v>30174</v>
      </c>
      <c r="C7463" s="2" t="s">
        <v>30175</v>
      </c>
      <c r="D7463" s="2" t="s">
        <v>30176</v>
      </c>
      <c r="E7463" s="2" t="s">
        <v>30177</v>
      </c>
      <c r="F7463" s="2" t="b">
        <v>1</v>
      </c>
      <c r="G7463" s="2" t="b">
        <v>0</v>
      </c>
      <c r="H7463" s="2" t="s">
        <v>37</v>
      </c>
      <c r="I7463" s="2" t="s">
        <v>32</v>
      </c>
      <c r="J7463" s="2" t="s">
        <v>739</v>
      </c>
      <c r="K7463" s="2" t="s">
        <v>495</v>
      </c>
      <c r="L7463" s="13" t="s">
        <v>496</v>
      </c>
      <c r="M7463" s="2" t="s">
        <v>26</v>
      </c>
      <c r="N7463" s="29"/>
      <c r="O7463" s="29"/>
      <c r="P7463" s="5" t="str">
        <f>IFERROR(__xludf.DUMMYFUNCTION("TEXTJOIN("" | "",TRUE,IF(OR(D7463="""",E7463="""",I7463="""",J7463="""",H7463=""""),""ফাঁকা ঘর"",""""),IF(AND(C7463&lt;&gt;"""",D7463&lt;&gt;"""",C7463=D7463),""gloss=figurative"",""""),IF(LEN(D7463)&lt;15,""figurative ছোট"",""""),IF(AND(I7463=""Positive"",REGEXMATCH(H7"&amp;"463,""মূর্খ|ভণ্ড|প্রতার|অলস|লোভ|স্বার্থ|অক্ষম|অযোগ্য|বোকা|কৃপণ|হিংস"")),""valence-target অমিল"",""""),IF(COUNTIF($B:$B,B7463)&gt;1,""ডুপ্লিকেট"",""""))"),"")</f>
        <v/>
      </c>
      <c r="Q7463" s="5" t="str">
        <f t="shared" si="1"/>
        <v>২ পরে</v>
      </c>
    </row>
    <row r="7464">
      <c r="A7464" s="4">
        <v>5755.0</v>
      </c>
      <c r="B7464" s="2" t="s">
        <v>30178</v>
      </c>
      <c r="C7464" s="2" t="s">
        <v>30178</v>
      </c>
      <c r="D7464" s="2" t="s">
        <v>30179</v>
      </c>
      <c r="E7464" s="2" t="s">
        <v>30180</v>
      </c>
      <c r="F7464" s="2" t="b">
        <v>1</v>
      </c>
      <c r="G7464" s="2" t="b">
        <v>0</v>
      </c>
      <c r="H7464" s="2" t="s">
        <v>37</v>
      </c>
      <c r="I7464" s="2" t="s">
        <v>22</v>
      </c>
      <c r="J7464" s="2" t="s">
        <v>739</v>
      </c>
      <c r="K7464" s="2" t="s">
        <v>495</v>
      </c>
      <c r="L7464" s="13" t="s">
        <v>496</v>
      </c>
      <c r="M7464" s="2" t="s">
        <v>26</v>
      </c>
      <c r="N7464" s="29"/>
      <c r="O7464" s="29"/>
      <c r="P7464" s="5" t="str">
        <f>IFERROR(__xludf.DUMMYFUNCTION("TEXTJOIN("" | "",TRUE,IF(OR(D7464="""",E7464="""",I7464="""",J7464="""",H7464=""""),""ফাঁকা ঘর"",""""),IF(AND(C7464&lt;&gt;"""",D7464&lt;&gt;"""",C7464=D7464),""gloss=figurative"",""""),IF(LEN(D7464)&lt;15,""figurative ছোট"",""""),IF(AND(I7464=""Positive"",REGEXMATCH(H7"&amp;"464,""মূর্খ|ভণ্ড|প্রতার|অলস|লোভ|স্বার্থ|অক্ষম|অযোগ্য|বোকা|কৃপণ|হিংস"")),""valence-target অমিল"",""""),IF(COUNTIF($B:$B,B7464)&gt;1,""ডুপ্লিকেট"",""""))"),"")</f>
        <v/>
      </c>
      <c r="Q7464" s="5" t="str">
        <f t="shared" si="1"/>
        <v>২ পরে</v>
      </c>
    </row>
    <row r="7465">
      <c r="A7465" s="4">
        <v>5757.0</v>
      </c>
      <c r="B7465" s="2" t="s">
        <v>30181</v>
      </c>
      <c r="C7465" s="2" t="s">
        <v>30182</v>
      </c>
      <c r="D7465" s="2" t="s">
        <v>30183</v>
      </c>
      <c r="E7465" s="2" t="s">
        <v>30184</v>
      </c>
      <c r="F7465" s="2" t="b">
        <v>1</v>
      </c>
      <c r="G7465" s="2" t="b">
        <v>0</v>
      </c>
      <c r="H7465" s="2" t="s">
        <v>37</v>
      </c>
      <c r="I7465" s="2" t="s">
        <v>49</v>
      </c>
      <c r="J7465" s="2" t="s">
        <v>2882</v>
      </c>
      <c r="K7465" s="2" t="s">
        <v>495</v>
      </c>
      <c r="L7465" s="13" t="s">
        <v>496</v>
      </c>
      <c r="M7465" s="2" t="s">
        <v>26</v>
      </c>
      <c r="N7465" s="29"/>
      <c r="O7465" s="29"/>
      <c r="P7465" s="5" t="str">
        <f>IFERROR(__xludf.DUMMYFUNCTION("TEXTJOIN("" | "",TRUE,IF(OR(D7465="""",E7465="""",I7465="""",J7465="""",H7465=""""),""ফাঁকা ঘর"",""""),IF(AND(C7465&lt;&gt;"""",D7465&lt;&gt;"""",C7465=D7465),""gloss=figurative"",""""),IF(LEN(D7465)&lt;15,""figurative ছোট"",""""),IF(AND(I7465=""Positive"",REGEXMATCH(H7"&amp;"465,""মূর্খ|ভণ্ড|প্রতার|অলস|লোভ|স্বার্থ|অক্ষম|অযোগ্য|বোকা|কৃপণ|হিংস"")),""valence-target অমিল"",""""),IF(COUNTIF($B:$B,B7465)&gt;1,""ডুপ্লিকেট"",""""))"),"")</f>
        <v/>
      </c>
      <c r="Q7465" s="5" t="str">
        <f t="shared" si="1"/>
        <v>২ পরে</v>
      </c>
    </row>
    <row r="7466">
      <c r="A7466" s="4">
        <v>5758.0</v>
      </c>
      <c r="B7466" s="2" t="s">
        <v>30185</v>
      </c>
      <c r="C7466" s="2" t="s">
        <v>30186</v>
      </c>
      <c r="D7466" s="2" t="s">
        <v>30187</v>
      </c>
      <c r="E7466" s="2" t="s">
        <v>30188</v>
      </c>
      <c r="F7466" s="2" t="b">
        <v>1</v>
      </c>
      <c r="G7466" s="2" t="b">
        <v>0</v>
      </c>
      <c r="H7466" s="2" t="s">
        <v>37</v>
      </c>
      <c r="I7466" s="2" t="s">
        <v>32</v>
      </c>
      <c r="J7466" s="2" t="s">
        <v>1239</v>
      </c>
      <c r="K7466" s="2" t="s">
        <v>495</v>
      </c>
      <c r="L7466" s="13" t="s">
        <v>496</v>
      </c>
      <c r="M7466" s="2" t="s">
        <v>26</v>
      </c>
      <c r="N7466" s="29"/>
      <c r="O7466" s="29"/>
      <c r="P7466" s="5" t="str">
        <f>IFERROR(__xludf.DUMMYFUNCTION("TEXTJOIN("" | "",TRUE,IF(OR(D7466="""",E7466="""",I7466="""",J7466="""",H7466=""""),""ফাঁকা ঘর"",""""),IF(AND(C7466&lt;&gt;"""",D7466&lt;&gt;"""",C7466=D7466),""gloss=figurative"",""""),IF(LEN(D7466)&lt;15,""figurative ছোট"",""""),IF(AND(I7466=""Positive"",REGEXMATCH(H7"&amp;"466,""মূর্খ|ভণ্ড|প্রতার|অলস|লোভ|স্বার্থ|অক্ষম|অযোগ্য|বোকা|কৃপণ|হিংস"")),""valence-target অমিল"",""""),IF(COUNTIF($B:$B,B7466)&gt;1,""ডুপ্লিকেট"",""""))"),"")</f>
        <v/>
      </c>
      <c r="Q7466" s="5" t="str">
        <f t="shared" si="1"/>
        <v>২ পরে</v>
      </c>
    </row>
    <row r="7467">
      <c r="A7467" s="4">
        <v>5759.0</v>
      </c>
      <c r="B7467" s="2" t="s">
        <v>30189</v>
      </c>
      <c r="C7467" s="2" t="s">
        <v>30190</v>
      </c>
      <c r="D7467" s="2" t="s">
        <v>30191</v>
      </c>
      <c r="E7467" s="2" t="s">
        <v>30192</v>
      </c>
      <c r="F7467" s="2" t="b">
        <v>1</v>
      </c>
      <c r="G7467" s="2" t="b">
        <v>0</v>
      </c>
      <c r="H7467" s="2" t="s">
        <v>37</v>
      </c>
      <c r="I7467" s="2" t="s">
        <v>22</v>
      </c>
      <c r="J7467" s="2" t="s">
        <v>590</v>
      </c>
      <c r="K7467" s="2" t="s">
        <v>495</v>
      </c>
      <c r="L7467" s="13" t="s">
        <v>496</v>
      </c>
      <c r="M7467" s="2" t="s">
        <v>26</v>
      </c>
      <c r="N7467" s="29"/>
      <c r="O7467" s="29"/>
      <c r="P7467" s="5" t="str">
        <f>IFERROR(__xludf.DUMMYFUNCTION("TEXTJOIN("" | "",TRUE,IF(OR(D7467="""",E7467="""",I7467="""",J7467="""",H7467=""""),""ফাঁকা ঘর"",""""),IF(AND(C7467&lt;&gt;"""",D7467&lt;&gt;"""",C7467=D7467),""gloss=figurative"",""""),IF(LEN(D7467)&lt;15,""figurative ছোট"",""""),IF(AND(I7467=""Positive"",REGEXMATCH(H7"&amp;"467,""মূর্খ|ভণ্ড|প্রতার|অলস|লোভ|স্বার্থ|অক্ষম|অযোগ্য|বোকা|কৃপণ|হিংস"")),""valence-target অমিল"",""""),IF(COUNTIF($B:$B,B7467)&gt;1,""ডুপ্লিকেট"",""""))"),"")</f>
        <v/>
      </c>
      <c r="Q7467" s="5" t="str">
        <f t="shared" si="1"/>
        <v>২ পরে</v>
      </c>
    </row>
    <row r="7468">
      <c r="A7468" s="4">
        <v>5761.0</v>
      </c>
      <c r="B7468" s="2" t="s">
        <v>30193</v>
      </c>
      <c r="C7468" s="2" t="s">
        <v>30194</v>
      </c>
      <c r="D7468" s="2" t="s">
        <v>30195</v>
      </c>
      <c r="E7468" s="2" t="s">
        <v>30196</v>
      </c>
      <c r="F7468" s="2" t="b">
        <v>1</v>
      </c>
      <c r="G7468" s="2" t="b">
        <v>0</v>
      </c>
      <c r="H7468" s="2" t="s">
        <v>37</v>
      </c>
      <c r="I7468" s="2" t="s">
        <v>32</v>
      </c>
      <c r="J7468" s="2" t="s">
        <v>4804</v>
      </c>
      <c r="K7468" s="2" t="s">
        <v>495</v>
      </c>
      <c r="L7468" s="13" t="s">
        <v>496</v>
      </c>
      <c r="M7468" s="2" t="s">
        <v>26</v>
      </c>
      <c r="N7468" s="29"/>
      <c r="O7468" s="29"/>
      <c r="P7468" s="5" t="str">
        <f>IFERROR(__xludf.DUMMYFUNCTION("TEXTJOIN("" | "",TRUE,IF(OR(D7468="""",E7468="""",I7468="""",J7468="""",H7468=""""),""ফাঁকা ঘর"",""""),IF(AND(C7468&lt;&gt;"""",D7468&lt;&gt;"""",C7468=D7468),""gloss=figurative"",""""),IF(LEN(D7468)&lt;15,""figurative ছোট"",""""),IF(AND(I7468=""Positive"",REGEXMATCH(H7"&amp;"468,""মূর্খ|ভণ্ড|প্রতার|অলস|লোভ|স্বার্থ|অক্ষম|অযোগ্য|বোকা|কৃপণ|হিংস"")),""valence-target অমিল"",""""),IF(COUNTIF($B:$B,B7468)&gt;1,""ডুপ্লিকেট"",""""))"),"")</f>
        <v/>
      </c>
      <c r="Q7468" s="5" t="str">
        <f t="shared" si="1"/>
        <v>২ পরে</v>
      </c>
    </row>
    <row r="7469">
      <c r="A7469" s="4">
        <v>5762.0</v>
      </c>
      <c r="B7469" s="2" t="s">
        <v>30197</v>
      </c>
      <c r="C7469" s="2" t="s">
        <v>8729</v>
      </c>
      <c r="D7469" s="2" t="s">
        <v>30198</v>
      </c>
      <c r="E7469" s="2" t="s">
        <v>30199</v>
      </c>
      <c r="F7469" s="2" t="b">
        <v>1</v>
      </c>
      <c r="G7469" s="2" t="b">
        <v>0</v>
      </c>
      <c r="H7469" s="2" t="s">
        <v>37</v>
      </c>
      <c r="I7469" s="2" t="s">
        <v>22</v>
      </c>
      <c r="J7469" s="2" t="s">
        <v>842</v>
      </c>
      <c r="K7469" s="2" t="s">
        <v>495</v>
      </c>
      <c r="L7469" s="13" t="s">
        <v>496</v>
      </c>
      <c r="M7469" s="2" t="s">
        <v>26</v>
      </c>
      <c r="N7469" s="29"/>
      <c r="O7469" s="29"/>
      <c r="P7469" s="5" t="str">
        <f>IFERROR(__xludf.DUMMYFUNCTION("TEXTJOIN("" | "",TRUE,IF(OR(D7469="""",E7469="""",I7469="""",J7469="""",H7469=""""),""ফাঁকা ঘর"",""""),IF(AND(C7469&lt;&gt;"""",D7469&lt;&gt;"""",C7469=D7469),""gloss=figurative"",""""),IF(LEN(D7469)&lt;15,""figurative ছোট"",""""),IF(AND(I7469=""Positive"",REGEXMATCH(H7"&amp;"469,""মূর্খ|ভণ্ড|প্রতার|অলস|লোভ|স্বার্থ|অক্ষম|অযোগ্য|বোকা|কৃপণ|হিংস"")),""valence-target অমিল"",""""),IF(COUNTIF($B:$B,B7469)&gt;1,""ডুপ্লিকেট"",""""))"),"")</f>
        <v/>
      </c>
      <c r="Q7469" s="5" t="str">
        <f t="shared" si="1"/>
        <v>২ পরে</v>
      </c>
    </row>
    <row r="7470">
      <c r="A7470" s="4">
        <v>5764.0</v>
      </c>
      <c r="B7470" s="2" t="s">
        <v>30200</v>
      </c>
      <c r="C7470" s="2" t="s">
        <v>30201</v>
      </c>
      <c r="D7470" s="2" t="s">
        <v>30202</v>
      </c>
      <c r="E7470" s="2" t="s">
        <v>30203</v>
      </c>
      <c r="F7470" s="2" t="b">
        <v>1</v>
      </c>
      <c r="G7470" s="2" t="b">
        <v>0</v>
      </c>
      <c r="H7470" s="2" t="s">
        <v>37</v>
      </c>
      <c r="I7470" s="2" t="s">
        <v>49</v>
      </c>
      <c r="J7470" s="2" t="s">
        <v>1033</v>
      </c>
      <c r="K7470" s="2" t="s">
        <v>495</v>
      </c>
      <c r="L7470" s="13" t="s">
        <v>496</v>
      </c>
      <c r="M7470" s="2" t="s">
        <v>26</v>
      </c>
      <c r="N7470" s="29"/>
      <c r="O7470" s="29"/>
      <c r="P7470" s="5" t="str">
        <f>IFERROR(__xludf.DUMMYFUNCTION("TEXTJOIN("" | "",TRUE,IF(OR(D7470="""",E7470="""",I7470="""",J7470="""",H7470=""""),""ফাঁকা ঘর"",""""),IF(AND(C7470&lt;&gt;"""",D7470&lt;&gt;"""",C7470=D7470),""gloss=figurative"",""""),IF(LEN(D7470)&lt;15,""figurative ছোট"",""""),IF(AND(I7470=""Positive"",REGEXMATCH(H7"&amp;"470,""মূর্খ|ভণ্ড|প্রতার|অলস|লোভ|স্বার্থ|অক্ষম|অযোগ্য|বোকা|কৃপণ|হিংস"")),""valence-target অমিল"",""""),IF(COUNTIF($B:$B,B7470)&gt;1,""ডুপ্লিকেট"",""""))"),"")</f>
        <v/>
      </c>
      <c r="Q7470" s="5" t="str">
        <f t="shared" si="1"/>
        <v>২ পরে</v>
      </c>
    </row>
    <row r="7471">
      <c r="A7471" s="4">
        <v>5766.0</v>
      </c>
      <c r="B7471" s="2" t="s">
        <v>30204</v>
      </c>
      <c r="C7471" s="2" t="s">
        <v>30205</v>
      </c>
      <c r="D7471" s="2" t="s">
        <v>30206</v>
      </c>
      <c r="E7471" s="2" t="s">
        <v>30207</v>
      </c>
      <c r="F7471" s="2" t="b">
        <v>1</v>
      </c>
      <c r="G7471" s="2" t="b">
        <v>0</v>
      </c>
      <c r="H7471" s="2" t="s">
        <v>37</v>
      </c>
      <c r="I7471" s="2" t="s">
        <v>22</v>
      </c>
      <c r="J7471" s="2" t="s">
        <v>2732</v>
      </c>
      <c r="K7471" s="2" t="s">
        <v>495</v>
      </c>
      <c r="L7471" s="13" t="s">
        <v>496</v>
      </c>
      <c r="M7471" s="2" t="s">
        <v>26</v>
      </c>
      <c r="N7471" s="29"/>
      <c r="O7471" s="29"/>
      <c r="P7471" s="5" t="str">
        <f>IFERROR(__xludf.DUMMYFUNCTION("TEXTJOIN("" | "",TRUE,IF(OR(D7471="""",E7471="""",I7471="""",J7471="""",H7471=""""),""ফাঁকা ঘর"",""""),IF(AND(C7471&lt;&gt;"""",D7471&lt;&gt;"""",C7471=D7471),""gloss=figurative"",""""),IF(LEN(D7471)&lt;15,""figurative ছোট"",""""),IF(AND(I7471=""Positive"",REGEXMATCH(H7"&amp;"471,""মূর্খ|ভণ্ড|প্রতার|অলস|লোভ|স্বার্থ|অক্ষম|অযোগ্য|বোকা|কৃপণ|হিংস"")),""valence-target অমিল"",""""),IF(COUNTIF($B:$B,B7471)&gt;1,""ডুপ্লিকেট"",""""))"),"")</f>
        <v/>
      </c>
      <c r="Q7471" s="5" t="str">
        <f t="shared" si="1"/>
        <v>২ পরে</v>
      </c>
    </row>
    <row r="7472">
      <c r="A7472" s="4">
        <v>5767.0</v>
      </c>
      <c r="B7472" s="2" t="s">
        <v>30208</v>
      </c>
      <c r="C7472" s="2" t="s">
        <v>30209</v>
      </c>
      <c r="D7472" s="2" t="s">
        <v>30210</v>
      </c>
      <c r="E7472" s="2" t="s">
        <v>30211</v>
      </c>
      <c r="F7472" s="2" t="b">
        <v>1</v>
      </c>
      <c r="G7472" s="2" t="b">
        <v>0</v>
      </c>
      <c r="H7472" s="2" t="s">
        <v>37</v>
      </c>
      <c r="I7472" s="2" t="s">
        <v>22</v>
      </c>
      <c r="J7472" s="2" t="s">
        <v>2732</v>
      </c>
      <c r="K7472" s="2" t="s">
        <v>495</v>
      </c>
      <c r="L7472" s="13" t="s">
        <v>496</v>
      </c>
      <c r="M7472" s="2" t="s">
        <v>26</v>
      </c>
      <c r="N7472" s="29"/>
      <c r="O7472" s="29"/>
      <c r="P7472" s="5" t="str">
        <f>IFERROR(__xludf.DUMMYFUNCTION("TEXTJOIN("" | "",TRUE,IF(OR(D7472="""",E7472="""",I7472="""",J7472="""",H7472=""""),""ফাঁকা ঘর"",""""),IF(AND(C7472&lt;&gt;"""",D7472&lt;&gt;"""",C7472=D7472),""gloss=figurative"",""""),IF(LEN(D7472)&lt;15,""figurative ছোট"",""""),IF(AND(I7472=""Positive"",REGEXMATCH(H7"&amp;"472,""মূর্খ|ভণ্ড|প্রতার|অলস|লোভ|স্বার্থ|অক্ষম|অযোগ্য|বোকা|কৃপণ|হিংস"")),""valence-target অমিল"",""""),IF(COUNTIF($B:$B,B7472)&gt;1,""ডুপ্লিকেট"",""""))"),"")</f>
        <v/>
      </c>
      <c r="Q7472" s="5" t="str">
        <f t="shared" si="1"/>
        <v>২ পরে</v>
      </c>
    </row>
    <row r="7473">
      <c r="A7473" s="4">
        <v>5768.0</v>
      </c>
      <c r="B7473" s="2" t="s">
        <v>30212</v>
      </c>
      <c r="C7473" s="2" t="s">
        <v>30212</v>
      </c>
      <c r="D7473" s="2" t="s">
        <v>30213</v>
      </c>
      <c r="E7473" s="2" t="s">
        <v>30214</v>
      </c>
      <c r="F7473" s="2" t="b">
        <v>1</v>
      </c>
      <c r="G7473" s="2" t="b">
        <v>0</v>
      </c>
      <c r="H7473" s="2" t="s">
        <v>37</v>
      </c>
      <c r="I7473" s="2" t="s">
        <v>32</v>
      </c>
      <c r="J7473" s="2" t="s">
        <v>1060</v>
      </c>
      <c r="K7473" s="2" t="s">
        <v>495</v>
      </c>
      <c r="L7473" s="13" t="s">
        <v>496</v>
      </c>
      <c r="M7473" s="2" t="s">
        <v>26</v>
      </c>
      <c r="N7473" s="29"/>
      <c r="O7473" s="29"/>
      <c r="P7473" s="5" t="str">
        <f>IFERROR(__xludf.DUMMYFUNCTION("TEXTJOIN("" | "",TRUE,IF(OR(D7473="""",E7473="""",I7473="""",J7473="""",H7473=""""),""ফাঁকা ঘর"",""""),IF(AND(C7473&lt;&gt;"""",D7473&lt;&gt;"""",C7473=D7473),""gloss=figurative"",""""),IF(LEN(D7473)&lt;15,""figurative ছোট"",""""),IF(AND(I7473=""Positive"",REGEXMATCH(H7"&amp;"473,""মূর্খ|ভণ্ড|প্রতার|অলস|লোভ|স্বার্থ|অক্ষম|অযোগ্য|বোকা|কৃপণ|হিংস"")),""valence-target অমিল"",""""),IF(COUNTIF($B:$B,B7473)&gt;1,""ডুপ্লিকেট"",""""))"),"")</f>
        <v/>
      </c>
      <c r="Q7473" s="5" t="str">
        <f t="shared" si="1"/>
        <v>২ পরে</v>
      </c>
    </row>
    <row r="7474">
      <c r="A7474" s="4">
        <v>5769.0</v>
      </c>
      <c r="B7474" s="2" t="s">
        <v>30215</v>
      </c>
      <c r="C7474" s="2" t="s">
        <v>30216</v>
      </c>
      <c r="D7474" s="2" t="s">
        <v>30217</v>
      </c>
      <c r="E7474" s="2" t="s">
        <v>30218</v>
      </c>
      <c r="F7474" s="2" t="b">
        <v>1</v>
      </c>
      <c r="G7474" s="2" t="b">
        <v>1</v>
      </c>
      <c r="H7474" s="2" t="s">
        <v>1106</v>
      </c>
      <c r="I7474" s="2" t="s">
        <v>32</v>
      </c>
      <c r="J7474" s="2" t="s">
        <v>2122</v>
      </c>
      <c r="K7474" s="2" t="s">
        <v>495</v>
      </c>
      <c r="L7474" s="13" t="s">
        <v>496</v>
      </c>
      <c r="M7474" s="2" t="s">
        <v>26</v>
      </c>
      <c r="N7474" s="29"/>
      <c r="O7474" s="29"/>
      <c r="P7474" s="5" t="str">
        <f>IFERROR(__xludf.DUMMYFUNCTION("TEXTJOIN("" | "",TRUE,IF(OR(D7474="""",E7474="""",I7474="""",J7474="""",H7474=""""),""ফাঁকা ঘর"",""""),IF(AND(C7474&lt;&gt;"""",D7474&lt;&gt;"""",C7474=D7474),""gloss=figurative"",""""),IF(LEN(D7474)&lt;15,""figurative ছোট"",""""),IF(AND(I7474=""Positive"",REGEXMATCH(H7"&amp;"474,""মূর্খ|ভণ্ড|প্রতার|অলস|লোভ|স্বার্থ|অক্ষম|অযোগ্য|বোকা|কৃপণ|হিংস"")),""valence-target অমিল"",""""),IF(COUNTIF($B:$B,B7474)&gt;1,""ডুপ্লিকেট"",""""))"),"")</f>
        <v/>
      </c>
      <c r="Q7474" s="5" t="str">
        <f t="shared" si="1"/>
        <v>২ পরে</v>
      </c>
    </row>
    <row r="7475">
      <c r="A7475" s="4">
        <v>5770.0</v>
      </c>
      <c r="B7475" s="2" t="s">
        <v>30219</v>
      </c>
      <c r="C7475" s="2" t="s">
        <v>30220</v>
      </c>
      <c r="D7475" s="2" t="s">
        <v>30221</v>
      </c>
      <c r="E7475" s="2" t="s">
        <v>30222</v>
      </c>
      <c r="F7475" s="2" t="b">
        <v>1</v>
      </c>
      <c r="G7475" s="2" t="b">
        <v>0</v>
      </c>
      <c r="H7475" s="2" t="s">
        <v>37</v>
      </c>
      <c r="I7475" s="2" t="s">
        <v>49</v>
      </c>
      <c r="J7475" s="2" t="s">
        <v>565</v>
      </c>
      <c r="K7475" s="2" t="s">
        <v>495</v>
      </c>
      <c r="L7475" s="13" t="s">
        <v>496</v>
      </c>
      <c r="M7475" s="2" t="s">
        <v>26</v>
      </c>
      <c r="N7475" s="29"/>
      <c r="O7475" s="29"/>
      <c r="P7475" s="5" t="str">
        <f>IFERROR(__xludf.DUMMYFUNCTION("TEXTJOIN("" | "",TRUE,IF(OR(D7475="""",E7475="""",I7475="""",J7475="""",H7475=""""),""ফাঁকা ঘর"",""""),IF(AND(C7475&lt;&gt;"""",D7475&lt;&gt;"""",C7475=D7475),""gloss=figurative"",""""),IF(LEN(D7475)&lt;15,""figurative ছোট"",""""),IF(AND(I7475=""Positive"",REGEXMATCH(H7"&amp;"475,""মূর্খ|ভণ্ড|প্রতার|অলস|লোভ|স্বার্থ|অক্ষম|অযোগ্য|বোকা|কৃপণ|হিংস"")),""valence-target অমিল"",""""),IF(COUNTIF($B:$B,B7475)&gt;1,""ডুপ্লিকেট"",""""))"),"")</f>
        <v/>
      </c>
      <c r="Q7475" s="5" t="str">
        <f t="shared" si="1"/>
        <v>২ পরে</v>
      </c>
    </row>
    <row r="7476">
      <c r="A7476" s="4">
        <v>5771.0</v>
      </c>
      <c r="B7476" s="2" t="s">
        <v>30223</v>
      </c>
      <c r="C7476" s="2" t="s">
        <v>30224</v>
      </c>
      <c r="D7476" s="2" t="s">
        <v>30225</v>
      </c>
      <c r="E7476" s="2" t="s">
        <v>30226</v>
      </c>
      <c r="F7476" s="2" t="b">
        <v>1</v>
      </c>
      <c r="G7476" s="2" t="b">
        <v>0</v>
      </c>
      <c r="H7476" s="2" t="s">
        <v>37</v>
      </c>
      <c r="I7476" s="2" t="s">
        <v>49</v>
      </c>
      <c r="J7476" s="2" t="s">
        <v>510</v>
      </c>
      <c r="K7476" s="2" t="s">
        <v>495</v>
      </c>
      <c r="L7476" s="13" t="s">
        <v>496</v>
      </c>
      <c r="M7476" s="2" t="s">
        <v>26</v>
      </c>
      <c r="N7476" s="29"/>
      <c r="O7476" s="29"/>
      <c r="P7476" s="5" t="str">
        <f>IFERROR(__xludf.DUMMYFUNCTION("TEXTJOIN("" | "",TRUE,IF(OR(D7476="""",E7476="""",I7476="""",J7476="""",H7476=""""),""ফাঁকা ঘর"",""""),IF(AND(C7476&lt;&gt;"""",D7476&lt;&gt;"""",C7476=D7476),""gloss=figurative"",""""),IF(LEN(D7476)&lt;15,""figurative ছোট"",""""),IF(AND(I7476=""Positive"",REGEXMATCH(H7"&amp;"476,""মূর্খ|ভণ্ড|প্রতার|অলস|লোভ|স্বার্থ|অক্ষম|অযোগ্য|বোকা|কৃপণ|হিংস"")),""valence-target অমিল"",""""),IF(COUNTIF($B:$B,B7476)&gt;1,""ডুপ্লিকেট"",""""))"),"")</f>
        <v/>
      </c>
      <c r="Q7476" s="5" t="str">
        <f t="shared" si="1"/>
        <v>২ পরে</v>
      </c>
    </row>
    <row r="7477">
      <c r="A7477" s="4">
        <v>5772.0</v>
      </c>
      <c r="B7477" s="2" t="s">
        <v>30227</v>
      </c>
      <c r="C7477" s="2" t="s">
        <v>30228</v>
      </c>
      <c r="D7477" s="2" t="s">
        <v>30229</v>
      </c>
      <c r="E7477" s="2" t="s">
        <v>30230</v>
      </c>
      <c r="F7477" s="2" t="b">
        <v>1</v>
      </c>
      <c r="G7477" s="2" t="b">
        <v>0</v>
      </c>
      <c r="H7477" s="2" t="s">
        <v>37</v>
      </c>
      <c r="I7477" s="2" t="s">
        <v>49</v>
      </c>
      <c r="J7477" s="2" t="s">
        <v>538</v>
      </c>
      <c r="K7477" s="2" t="s">
        <v>495</v>
      </c>
      <c r="L7477" s="13" t="s">
        <v>496</v>
      </c>
      <c r="M7477" s="2" t="s">
        <v>26</v>
      </c>
      <c r="N7477" s="29"/>
      <c r="O7477" s="29"/>
      <c r="P7477" s="5" t="str">
        <f>IFERROR(__xludf.DUMMYFUNCTION("TEXTJOIN("" | "",TRUE,IF(OR(D7477="""",E7477="""",I7477="""",J7477="""",H7477=""""),""ফাঁকা ঘর"",""""),IF(AND(C7477&lt;&gt;"""",D7477&lt;&gt;"""",C7477=D7477),""gloss=figurative"",""""),IF(LEN(D7477)&lt;15,""figurative ছোট"",""""),IF(AND(I7477=""Positive"",REGEXMATCH(H7"&amp;"477,""মূর্খ|ভণ্ড|প্রতার|অলস|লোভ|স্বার্থ|অক্ষম|অযোগ্য|বোকা|কৃপণ|হিংস"")),""valence-target অমিল"",""""),IF(COUNTIF($B:$B,B7477)&gt;1,""ডুপ্লিকেট"",""""))"),"")</f>
        <v/>
      </c>
      <c r="Q7477" s="5" t="str">
        <f t="shared" si="1"/>
        <v>২ পরে</v>
      </c>
    </row>
    <row r="7478">
      <c r="A7478" s="4">
        <v>5773.0</v>
      </c>
      <c r="B7478" s="2" t="s">
        <v>30231</v>
      </c>
      <c r="C7478" s="2" t="s">
        <v>30232</v>
      </c>
      <c r="D7478" s="2" t="s">
        <v>30233</v>
      </c>
      <c r="E7478" s="2" t="s">
        <v>30234</v>
      </c>
      <c r="F7478" s="2" t="b">
        <v>1</v>
      </c>
      <c r="G7478" s="2" t="b">
        <v>0</v>
      </c>
      <c r="H7478" s="2" t="s">
        <v>37</v>
      </c>
      <c r="I7478" s="2" t="s">
        <v>49</v>
      </c>
      <c r="J7478" s="2" t="s">
        <v>4670</v>
      </c>
      <c r="K7478" s="2" t="s">
        <v>495</v>
      </c>
      <c r="L7478" s="13" t="s">
        <v>496</v>
      </c>
      <c r="M7478" s="2" t="s">
        <v>26</v>
      </c>
      <c r="N7478" s="29"/>
      <c r="O7478" s="29"/>
      <c r="P7478" s="5" t="str">
        <f>IFERROR(__xludf.DUMMYFUNCTION("TEXTJOIN("" | "",TRUE,IF(OR(D7478="""",E7478="""",I7478="""",J7478="""",H7478=""""),""ফাঁকা ঘর"",""""),IF(AND(C7478&lt;&gt;"""",D7478&lt;&gt;"""",C7478=D7478),""gloss=figurative"",""""),IF(LEN(D7478)&lt;15,""figurative ছোট"",""""),IF(AND(I7478=""Positive"",REGEXMATCH(H7"&amp;"478,""মূর্খ|ভণ্ড|প্রতার|অলস|লোভ|স্বার্থ|অক্ষম|অযোগ্য|বোকা|কৃপণ|হিংস"")),""valence-target অমিল"",""""),IF(COUNTIF($B:$B,B7478)&gt;1,""ডুপ্লিকেট"",""""))"),"")</f>
        <v/>
      </c>
      <c r="Q7478" s="5" t="str">
        <f t="shared" si="1"/>
        <v>২ পরে</v>
      </c>
    </row>
    <row r="7479">
      <c r="A7479" s="4">
        <v>5776.0</v>
      </c>
      <c r="B7479" s="2" t="s">
        <v>9445</v>
      </c>
      <c r="C7479" s="2" t="s">
        <v>9445</v>
      </c>
      <c r="D7479" s="2" t="s">
        <v>30235</v>
      </c>
      <c r="E7479" s="2" t="s">
        <v>30236</v>
      </c>
      <c r="F7479" s="2" t="b">
        <v>1</v>
      </c>
      <c r="G7479" s="2" t="b">
        <v>0</v>
      </c>
      <c r="H7479" s="2" t="s">
        <v>37</v>
      </c>
      <c r="I7479" s="2" t="s">
        <v>22</v>
      </c>
      <c r="J7479" s="2" t="s">
        <v>842</v>
      </c>
      <c r="K7479" s="2" t="s">
        <v>495</v>
      </c>
      <c r="L7479" s="13" t="s">
        <v>496</v>
      </c>
      <c r="M7479" s="2" t="s">
        <v>26</v>
      </c>
      <c r="N7479" s="29"/>
      <c r="O7479" s="29"/>
      <c r="P7479" s="5" t="str">
        <f>IFERROR(__xludf.DUMMYFUNCTION("TEXTJOIN("" | "",TRUE,IF(OR(D7479="""",E7479="""",I7479="""",J7479="""",H7479=""""),""ফাঁকা ঘর"",""""),IF(AND(C7479&lt;&gt;"""",D7479&lt;&gt;"""",C7479=D7479),""gloss=figurative"",""""),IF(LEN(D7479)&lt;15,""figurative ছোট"",""""),IF(AND(I7479=""Positive"",REGEXMATCH(H7"&amp;"479,""মূর্খ|ভণ্ড|প্রতার|অলস|লোভ|স্বার্থ|অক্ষম|অযোগ্য|বোকা|কৃপণ|হিংস"")),""valence-target অমিল"",""""),IF(COUNTIF($B:$B,B7479)&gt;1,""ডুপ্লিকেট"",""""))"),"")</f>
        <v/>
      </c>
      <c r="Q7479" s="5" t="str">
        <f t="shared" si="1"/>
        <v>২ পরে</v>
      </c>
    </row>
    <row r="7480">
      <c r="A7480" s="4">
        <v>5777.0</v>
      </c>
      <c r="B7480" s="2" t="s">
        <v>30237</v>
      </c>
      <c r="C7480" s="2" t="s">
        <v>30238</v>
      </c>
      <c r="D7480" s="2" t="s">
        <v>30239</v>
      </c>
      <c r="E7480" s="2" t="s">
        <v>30240</v>
      </c>
      <c r="F7480" s="2" t="b">
        <v>1</v>
      </c>
      <c r="G7480" s="2" t="b">
        <v>0</v>
      </c>
      <c r="H7480" s="2" t="s">
        <v>37</v>
      </c>
      <c r="I7480" s="2" t="s">
        <v>49</v>
      </c>
      <c r="J7480" s="2" t="s">
        <v>2833</v>
      </c>
      <c r="K7480" s="2" t="s">
        <v>495</v>
      </c>
      <c r="L7480" s="13" t="s">
        <v>496</v>
      </c>
      <c r="M7480" s="2" t="s">
        <v>26</v>
      </c>
      <c r="N7480" s="29"/>
      <c r="O7480" s="29"/>
      <c r="P7480" s="5" t="str">
        <f>IFERROR(__xludf.DUMMYFUNCTION("TEXTJOIN("" | "",TRUE,IF(OR(D7480="""",E7480="""",I7480="""",J7480="""",H7480=""""),""ফাঁকা ঘর"",""""),IF(AND(C7480&lt;&gt;"""",D7480&lt;&gt;"""",C7480=D7480),""gloss=figurative"",""""),IF(LEN(D7480)&lt;15,""figurative ছোট"",""""),IF(AND(I7480=""Positive"",REGEXMATCH(H7"&amp;"480,""মূর্খ|ভণ্ড|প্রতার|অলস|লোভ|স্বার্থ|অক্ষম|অযোগ্য|বোকা|কৃপণ|হিংস"")),""valence-target অমিল"",""""),IF(COUNTIF($B:$B,B7480)&gt;1,""ডুপ্লিকেট"",""""))"),"")</f>
        <v/>
      </c>
      <c r="Q7480" s="5" t="str">
        <f t="shared" si="1"/>
        <v>২ পরে</v>
      </c>
    </row>
    <row r="7481">
      <c r="A7481" s="4">
        <v>5778.0</v>
      </c>
      <c r="B7481" s="2" t="s">
        <v>30241</v>
      </c>
      <c r="C7481" s="2" t="s">
        <v>30242</v>
      </c>
      <c r="D7481" s="2" t="s">
        <v>30243</v>
      </c>
      <c r="E7481" s="2" t="s">
        <v>30244</v>
      </c>
      <c r="F7481" s="2" t="b">
        <v>1</v>
      </c>
      <c r="G7481" s="2" t="b">
        <v>0</v>
      </c>
      <c r="H7481" s="2" t="s">
        <v>37</v>
      </c>
      <c r="I7481" s="2" t="s">
        <v>22</v>
      </c>
      <c r="J7481" s="2" t="s">
        <v>842</v>
      </c>
      <c r="K7481" s="2" t="s">
        <v>495</v>
      </c>
      <c r="L7481" s="13" t="s">
        <v>496</v>
      </c>
      <c r="M7481" s="2" t="s">
        <v>26</v>
      </c>
      <c r="N7481" s="29"/>
      <c r="O7481" s="29"/>
      <c r="P7481" s="5" t="str">
        <f>IFERROR(__xludf.DUMMYFUNCTION("TEXTJOIN("" | "",TRUE,IF(OR(D7481="""",E7481="""",I7481="""",J7481="""",H7481=""""),""ফাঁকা ঘর"",""""),IF(AND(C7481&lt;&gt;"""",D7481&lt;&gt;"""",C7481=D7481),""gloss=figurative"",""""),IF(LEN(D7481)&lt;15,""figurative ছোট"",""""),IF(AND(I7481=""Positive"",REGEXMATCH(H7"&amp;"481,""মূর্খ|ভণ্ড|প্রতার|অলস|লোভ|স্বার্থ|অক্ষম|অযোগ্য|বোকা|কৃপণ|হিংস"")),""valence-target অমিল"",""""),IF(COUNTIF($B:$B,B7481)&gt;1,""ডুপ্লিকেট"",""""))"),"")</f>
        <v/>
      </c>
      <c r="Q7481" s="5" t="str">
        <f t="shared" si="1"/>
        <v>২ পরে</v>
      </c>
    </row>
    <row r="7482">
      <c r="A7482" s="4">
        <v>5779.0</v>
      </c>
      <c r="B7482" s="2" t="s">
        <v>30245</v>
      </c>
      <c r="C7482" s="2" t="s">
        <v>30246</v>
      </c>
      <c r="D7482" s="2" t="s">
        <v>30247</v>
      </c>
      <c r="E7482" s="2" t="s">
        <v>30248</v>
      </c>
      <c r="F7482" s="2" t="b">
        <v>1</v>
      </c>
      <c r="G7482" s="2" t="b">
        <v>0</v>
      </c>
      <c r="H7482" s="2" t="s">
        <v>37</v>
      </c>
      <c r="I7482" s="2" t="s">
        <v>49</v>
      </c>
      <c r="J7482" s="2" t="s">
        <v>2040</v>
      </c>
      <c r="K7482" s="2" t="s">
        <v>495</v>
      </c>
      <c r="L7482" s="13" t="s">
        <v>496</v>
      </c>
      <c r="M7482" s="2" t="s">
        <v>26</v>
      </c>
      <c r="N7482" s="29"/>
      <c r="O7482" s="29"/>
      <c r="P7482" s="5" t="str">
        <f>IFERROR(__xludf.DUMMYFUNCTION("TEXTJOIN("" | "",TRUE,IF(OR(D7482="""",E7482="""",I7482="""",J7482="""",H7482=""""),""ফাঁকা ঘর"",""""),IF(AND(C7482&lt;&gt;"""",D7482&lt;&gt;"""",C7482=D7482),""gloss=figurative"",""""),IF(LEN(D7482)&lt;15,""figurative ছোট"",""""),IF(AND(I7482=""Positive"",REGEXMATCH(H7"&amp;"482,""মূর্খ|ভণ্ড|প্রতার|অলস|লোভ|স্বার্থ|অক্ষম|অযোগ্য|বোকা|কৃপণ|হিংস"")),""valence-target অমিল"",""""),IF(COUNTIF($B:$B,B7482)&gt;1,""ডুপ্লিকেট"",""""))"),"")</f>
        <v/>
      </c>
      <c r="Q7482" s="5" t="str">
        <f t="shared" si="1"/>
        <v>২ পরে</v>
      </c>
    </row>
    <row r="7483">
      <c r="A7483" s="4">
        <v>5780.0</v>
      </c>
      <c r="B7483" s="2" t="s">
        <v>30249</v>
      </c>
      <c r="C7483" s="2" t="s">
        <v>30250</v>
      </c>
      <c r="D7483" s="2" t="s">
        <v>30210</v>
      </c>
      <c r="E7483" s="2" t="s">
        <v>30251</v>
      </c>
      <c r="F7483" s="2" t="b">
        <v>1</v>
      </c>
      <c r="G7483" s="2" t="b">
        <v>0</v>
      </c>
      <c r="H7483" s="2" t="s">
        <v>37</v>
      </c>
      <c r="I7483" s="2" t="s">
        <v>22</v>
      </c>
      <c r="J7483" s="2" t="s">
        <v>842</v>
      </c>
      <c r="K7483" s="2" t="s">
        <v>495</v>
      </c>
      <c r="L7483" s="13" t="s">
        <v>496</v>
      </c>
      <c r="M7483" s="2" t="s">
        <v>26</v>
      </c>
      <c r="N7483" s="29"/>
      <c r="O7483" s="29"/>
      <c r="P7483" s="5" t="str">
        <f>IFERROR(__xludf.DUMMYFUNCTION("TEXTJOIN("" | "",TRUE,IF(OR(D7483="""",E7483="""",I7483="""",J7483="""",H7483=""""),""ফাঁকা ঘর"",""""),IF(AND(C7483&lt;&gt;"""",D7483&lt;&gt;"""",C7483=D7483),""gloss=figurative"",""""),IF(LEN(D7483)&lt;15,""figurative ছোট"",""""),IF(AND(I7483=""Positive"",REGEXMATCH(H7"&amp;"483,""মূর্খ|ভণ্ড|প্রতার|অলস|লোভ|স্বার্থ|অক্ষম|অযোগ্য|বোকা|কৃপণ|হিংস"")),""valence-target অমিল"",""""),IF(COUNTIF($B:$B,B7483)&gt;1,""ডুপ্লিকেট"",""""))"),"")</f>
        <v/>
      </c>
      <c r="Q7483" s="5" t="str">
        <f t="shared" si="1"/>
        <v>২ পরে</v>
      </c>
    </row>
    <row r="7484">
      <c r="A7484" s="4">
        <v>5781.0</v>
      </c>
      <c r="B7484" s="2" t="s">
        <v>30252</v>
      </c>
      <c r="C7484" s="2" t="s">
        <v>30253</v>
      </c>
      <c r="D7484" s="2" t="s">
        <v>29427</v>
      </c>
      <c r="E7484" s="2" t="s">
        <v>30254</v>
      </c>
      <c r="F7484" s="2" t="b">
        <v>1</v>
      </c>
      <c r="G7484" s="2" t="b">
        <v>0</v>
      </c>
      <c r="H7484" s="2" t="s">
        <v>37</v>
      </c>
      <c r="I7484" s="2" t="s">
        <v>32</v>
      </c>
      <c r="J7484" s="2" t="s">
        <v>1060</v>
      </c>
      <c r="K7484" s="2" t="s">
        <v>495</v>
      </c>
      <c r="L7484" s="13" t="s">
        <v>496</v>
      </c>
      <c r="M7484" s="2" t="s">
        <v>26</v>
      </c>
      <c r="N7484" s="29"/>
      <c r="O7484" s="29"/>
      <c r="P7484" s="5" t="str">
        <f>IFERROR(__xludf.DUMMYFUNCTION("TEXTJOIN("" | "",TRUE,IF(OR(D7484="""",E7484="""",I7484="""",J7484="""",H7484=""""),""ফাঁকা ঘর"",""""),IF(AND(C7484&lt;&gt;"""",D7484&lt;&gt;"""",C7484=D7484),""gloss=figurative"",""""),IF(LEN(D7484)&lt;15,""figurative ছোট"",""""),IF(AND(I7484=""Positive"",REGEXMATCH(H7"&amp;"484,""মূর্খ|ভণ্ড|প্রতার|অলস|লোভ|স্বার্থ|অক্ষম|অযোগ্য|বোকা|কৃপণ|হিংস"")),""valence-target অমিল"",""""),IF(COUNTIF($B:$B,B7484)&gt;1,""ডুপ্লিকেট"",""""))"),"")</f>
        <v/>
      </c>
      <c r="Q7484" s="5" t="str">
        <f t="shared" si="1"/>
        <v>২ পরে</v>
      </c>
    </row>
    <row r="7485">
      <c r="A7485" s="4">
        <v>5784.0</v>
      </c>
      <c r="B7485" s="2" t="s">
        <v>30255</v>
      </c>
      <c r="C7485" s="2" t="s">
        <v>30256</v>
      </c>
      <c r="D7485" s="2" t="s">
        <v>30257</v>
      </c>
      <c r="E7485" s="2" t="s">
        <v>30258</v>
      </c>
      <c r="F7485" s="2" t="b">
        <v>1</v>
      </c>
      <c r="G7485" s="2" t="b">
        <v>0</v>
      </c>
      <c r="H7485" s="2" t="s">
        <v>756</v>
      </c>
      <c r="I7485" s="2" t="s">
        <v>22</v>
      </c>
      <c r="J7485" s="2" t="s">
        <v>1630</v>
      </c>
      <c r="K7485" s="2" t="s">
        <v>495</v>
      </c>
      <c r="L7485" s="13" t="s">
        <v>496</v>
      </c>
      <c r="M7485" s="2" t="s">
        <v>26</v>
      </c>
      <c r="N7485" s="29"/>
      <c r="O7485" s="29"/>
      <c r="P7485" s="5" t="str">
        <f>IFERROR(__xludf.DUMMYFUNCTION("TEXTJOIN("" | "",TRUE,IF(OR(D7485="""",E7485="""",I7485="""",J7485="""",H7485=""""),""ফাঁকা ঘর"",""""),IF(AND(C7485&lt;&gt;"""",D7485&lt;&gt;"""",C7485=D7485),""gloss=figurative"",""""),IF(LEN(D7485)&lt;15,""figurative ছোট"",""""),IF(AND(I7485=""Positive"",REGEXMATCH(H7"&amp;"485,""মূর্খ|ভণ্ড|প্রতার|অলস|লোভ|স্বার্থ|অক্ষম|অযোগ্য|বোকা|কৃপণ|হিংস"")),""valence-target অমিল"",""""),IF(COUNTIF($B:$B,B7485)&gt;1,""ডুপ্লিকেট"",""""))"),"")</f>
        <v/>
      </c>
      <c r="Q7485" s="5" t="str">
        <f t="shared" si="1"/>
        <v>২ পরে</v>
      </c>
    </row>
    <row r="7486">
      <c r="A7486" s="4">
        <v>5786.0</v>
      </c>
      <c r="B7486" s="2" t="s">
        <v>30259</v>
      </c>
      <c r="C7486" s="2" t="s">
        <v>30260</v>
      </c>
      <c r="D7486" s="2" t="s">
        <v>30261</v>
      </c>
      <c r="E7486" s="2" t="s">
        <v>30262</v>
      </c>
      <c r="F7486" s="2" t="b">
        <v>1</v>
      </c>
      <c r="G7486" s="2" t="b">
        <v>0</v>
      </c>
      <c r="H7486" s="2" t="s">
        <v>37</v>
      </c>
      <c r="I7486" s="2" t="s">
        <v>32</v>
      </c>
      <c r="J7486" s="2" t="s">
        <v>1060</v>
      </c>
      <c r="K7486" s="2" t="s">
        <v>495</v>
      </c>
      <c r="L7486" s="13" t="s">
        <v>496</v>
      </c>
      <c r="M7486" s="2" t="s">
        <v>26</v>
      </c>
      <c r="N7486" s="29"/>
      <c r="O7486" s="29"/>
      <c r="P7486" s="5" t="str">
        <f>IFERROR(__xludf.DUMMYFUNCTION("TEXTJOIN("" | "",TRUE,IF(OR(D7486="""",E7486="""",I7486="""",J7486="""",H7486=""""),""ফাঁকা ঘর"",""""),IF(AND(C7486&lt;&gt;"""",D7486&lt;&gt;"""",C7486=D7486),""gloss=figurative"",""""),IF(LEN(D7486)&lt;15,""figurative ছোট"",""""),IF(AND(I7486=""Positive"",REGEXMATCH(H7"&amp;"486,""মূর্খ|ভণ্ড|প্রতার|অলস|লোভ|স্বার্থ|অক্ষম|অযোগ্য|বোকা|কৃপণ|হিংস"")),""valence-target অমিল"",""""),IF(COUNTIF($B:$B,B7486)&gt;1,""ডুপ্লিকেট"",""""))"),"")</f>
        <v/>
      </c>
      <c r="Q7486" s="5" t="str">
        <f t="shared" si="1"/>
        <v>২ পরে</v>
      </c>
    </row>
    <row r="7487">
      <c r="A7487" s="4">
        <v>5788.0</v>
      </c>
      <c r="B7487" s="2" t="s">
        <v>30263</v>
      </c>
      <c r="C7487" s="2" t="s">
        <v>30263</v>
      </c>
      <c r="D7487" s="2" t="s">
        <v>30264</v>
      </c>
      <c r="E7487" s="2" t="s">
        <v>30265</v>
      </c>
      <c r="F7487" s="2" t="b">
        <v>1</v>
      </c>
      <c r="G7487" s="2" t="b">
        <v>0</v>
      </c>
      <c r="H7487" s="2" t="s">
        <v>37</v>
      </c>
      <c r="I7487" s="2" t="s">
        <v>49</v>
      </c>
      <c r="J7487" s="2" t="s">
        <v>2040</v>
      </c>
      <c r="K7487" s="2" t="s">
        <v>495</v>
      </c>
      <c r="L7487" s="13" t="s">
        <v>496</v>
      </c>
      <c r="M7487" s="2" t="s">
        <v>26</v>
      </c>
      <c r="N7487" s="29"/>
      <c r="O7487" s="29"/>
      <c r="P7487" s="5" t="str">
        <f>IFERROR(__xludf.DUMMYFUNCTION("TEXTJOIN("" | "",TRUE,IF(OR(D7487="""",E7487="""",I7487="""",J7487="""",H7487=""""),""ফাঁকা ঘর"",""""),IF(AND(C7487&lt;&gt;"""",D7487&lt;&gt;"""",C7487=D7487),""gloss=figurative"",""""),IF(LEN(D7487)&lt;15,""figurative ছোট"",""""),IF(AND(I7487=""Positive"",REGEXMATCH(H7"&amp;"487,""মূর্খ|ভণ্ড|প্রতার|অলস|লোভ|স্বার্থ|অক্ষম|অযোগ্য|বোকা|কৃপণ|হিংস"")),""valence-target অমিল"",""""),IF(COUNTIF($B:$B,B7487)&gt;1,""ডুপ্লিকেট"",""""))"),"")</f>
        <v/>
      </c>
      <c r="Q7487" s="5" t="str">
        <f t="shared" si="1"/>
        <v>২ পরে</v>
      </c>
    </row>
    <row r="7488">
      <c r="A7488" s="4">
        <v>5790.0</v>
      </c>
      <c r="B7488" s="2" t="s">
        <v>30266</v>
      </c>
      <c r="C7488" s="2" t="s">
        <v>30267</v>
      </c>
      <c r="D7488" s="2" t="s">
        <v>30268</v>
      </c>
      <c r="E7488" s="2" t="s">
        <v>30269</v>
      </c>
      <c r="F7488" s="2" t="b">
        <v>1</v>
      </c>
      <c r="G7488" s="2" t="b">
        <v>0</v>
      </c>
      <c r="H7488" s="2" t="s">
        <v>37</v>
      </c>
      <c r="I7488" s="2" t="s">
        <v>49</v>
      </c>
      <c r="J7488" s="2" t="s">
        <v>208</v>
      </c>
      <c r="K7488" s="2" t="s">
        <v>495</v>
      </c>
      <c r="L7488" s="13" t="s">
        <v>496</v>
      </c>
      <c r="M7488" s="2" t="s">
        <v>26</v>
      </c>
      <c r="N7488" s="29"/>
      <c r="O7488" s="29"/>
      <c r="P7488" s="5" t="str">
        <f>IFERROR(__xludf.DUMMYFUNCTION("TEXTJOIN("" | "",TRUE,IF(OR(D7488="""",E7488="""",I7488="""",J7488="""",H7488=""""),""ফাঁকা ঘর"",""""),IF(AND(C7488&lt;&gt;"""",D7488&lt;&gt;"""",C7488=D7488),""gloss=figurative"",""""),IF(LEN(D7488)&lt;15,""figurative ছোট"",""""),IF(AND(I7488=""Positive"",REGEXMATCH(H7"&amp;"488,""মূর্খ|ভণ্ড|প্রতার|অলস|লোভ|স্বার্থ|অক্ষম|অযোগ্য|বোকা|কৃপণ|হিংস"")),""valence-target অমিল"",""""),IF(COUNTIF($B:$B,B7488)&gt;1,""ডুপ্লিকেট"",""""))"),"")</f>
        <v/>
      </c>
      <c r="Q7488" s="5" t="str">
        <f t="shared" si="1"/>
        <v>২ পরে</v>
      </c>
    </row>
    <row r="7489">
      <c r="A7489" s="4">
        <v>5791.0</v>
      </c>
      <c r="B7489" s="2" t="s">
        <v>30270</v>
      </c>
      <c r="C7489" s="2" t="s">
        <v>30271</v>
      </c>
      <c r="D7489" s="2" t="s">
        <v>30272</v>
      </c>
      <c r="E7489" s="2" t="s">
        <v>30273</v>
      </c>
      <c r="F7489" s="2" t="b">
        <v>1</v>
      </c>
      <c r="G7489" s="2" t="b">
        <v>0</v>
      </c>
      <c r="H7489" s="2" t="s">
        <v>37</v>
      </c>
      <c r="I7489" s="2" t="s">
        <v>32</v>
      </c>
      <c r="J7489" s="2" t="s">
        <v>3506</v>
      </c>
      <c r="K7489" s="2" t="s">
        <v>495</v>
      </c>
      <c r="L7489" s="13" t="s">
        <v>496</v>
      </c>
      <c r="M7489" s="2" t="s">
        <v>26</v>
      </c>
      <c r="N7489" s="29"/>
      <c r="O7489" s="29"/>
      <c r="P7489" s="5" t="str">
        <f>IFERROR(__xludf.DUMMYFUNCTION("TEXTJOIN("" | "",TRUE,IF(OR(D7489="""",E7489="""",I7489="""",J7489="""",H7489=""""),""ফাঁকা ঘর"",""""),IF(AND(C7489&lt;&gt;"""",D7489&lt;&gt;"""",C7489=D7489),""gloss=figurative"",""""),IF(LEN(D7489)&lt;15,""figurative ছোট"",""""),IF(AND(I7489=""Positive"",REGEXMATCH(H7"&amp;"489,""মূর্খ|ভণ্ড|প্রতার|অলস|লোভ|স্বার্থ|অক্ষম|অযোগ্য|বোকা|কৃপণ|হিংস"")),""valence-target অমিল"",""""),IF(COUNTIF($B:$B,B7489)&gt;1,""ডুপ্লিকেট"",""""))"),"")</f>
        <v/>
      </c>
      <c r="Q7489" s="5" t="str">
        <f t="shared" si="1"/>
        <v>২ পরে</v>
      </c>
    </row>
    <row r="7490">
      <c r="A7490" s="4">
        <v>5792.0</v>
      </c>
      <c r="B7490" s="2" t="s">
        <v>30274</v>
      </c>
      <c r="C7490" s="2" t="s">
        <v>30275</v>
      </c>
      <c r="D7490" s="2" t="s">
        <v>30276</v>
      </c>
      <c r="E7490" s="2" t="s">
        <v>30277</v>
      </c>
      <c r="F7490" s="2" t="b">
        <v>1</v>
      </c>
      <c r="G7490" s="2" t="b">
        <v>0</v>
      </c>
      <c r="H7490" s="2" t="s">
        <v>37</v>
      </c>
      <c r="I7490" s="2" t="s">
        <v>32</v>
      </c>
      <c r="J7490" s="2" t="s">
        <v>3506</v>
      </c>
      <c r="K7490" s="2" t="s">
        <v>495</v>
      </c>
      <c r="L7490" s="13" t="s">
        <v>496</v>
      </c>
      <c r="M7490" s="2" t="s">
        <v>26</v>
      </c>
      <c r="N7490" s="29"/>
      <c r="O7490" s="29"/>
      <c r="P7490" s="5" t="str">
        <f>IFERROR(__xludf.DUMMYFUNCTION("TEXTJOIN("" | "",TRUE,IF(OR(D7490="""",E7490="""",I7490="""",J7490="""",H7490=""""),""ফাঁকা ঘর"",""""),IF(AND(C7490&lt;&gt;"""",D7490&lt;&gt;"""",C7490=D7490),""gloss=figurative"",""""),IF(LEN(D7490)&lt;15,""figurative ছোট"",""""),IF(AND(I7490=""Positive"",REGEXMATCH(H7"&amp;"490,""মূর্খ|ভণ্ড|প্রতার|অলস|লোভ|স্বার্থ|অক্ষম|অযোগ্য|বোকা|কৃপণ|হিংস"")),""valence-target অমিল"",""""),IF(COUNTIF($B:$B,B7490)&gt;1,""ডুপ্লিকেট"",""""))"),"")</f>
        <v/>
      </c>
      <c r="Q7490" s="5" t="str">
        <f t="shared" si="1"/>
        <v>২ পরে</v>
      </c>
    </row>
    <row r="7491">
      <c r="A7491" s="4">
        <v>5793.0</v>
      </c>
      <c r="B7491" s="2" t="s">
        <v>30278</v>
      </c>
      <c r="C7491" s="2" t="s">
        <v>30279</v>
      </c>
      <c r="D7491" s="2" t="s">
        <v>30280</v>
      </c>
      <c r="E7491" s="2" t="s">
        <v>30281</v>
      </c>
      <c r="F7491" s="2" t="b">
        <v>1</v>
      </c>
      <c r="G7491" s="2" t="b">
        <v>1</v>
      </c>
      <c r="H7491" s="2" t="s">
        <v>2292</v>
      </c>
      <c r="I7491" s="2" t="s">
        <v>32</v>
      </c>
      <c r="J7491" s="2" t="s">
        <v>1925</v>
      </c>
      <c r="K7491" s="2" t="s">
        <v>495</v>
      </c>
      <c r="L7491" s="13" t="s">
        <v>496</v>
      </c>
      <c r="M7491" s="2" t="s">
        <v>26</v>
      </c>
      <c r="N7491" s="29"/>
      <c r="O7491" s="29"/>
      <c r="P7491" s="5" t="str">
        <f>IFERROR(__xludf.DUMMYFUNCTION("TEXTJOIN("" | "",TRUE,IF(OR(D7491="""",E7491="""",I7491="""",J7491="""",H7491=""""),""ফাঁকা ঘর"",""""),IF(AND(C7491&lt;&gt;"""",D7491&lt;&gt;"""",C7491=D7491),""gloss=figurative"",""""),IF(LEN(D7491)&lt;15,""figurative ছোট"",""""),IF(AND(I7491=""Positive"",REGEXMATCH(H7"&amp;"491,""মূর্খ|ভণ্ড|প্রতার|অলস|লোভ|স্বার্থ|অক্ষম|অযোগ্য|বোকা|কৃপণ|হিংস"")),""valence-target অমিল"",""""),IF(COUNTIF($B:$B,B7491)&gt;1,""ডুপ্লিকেট"",""""))"),"")</f>
        <v/>
      </c>
      <c r="Q7491" s="5" t="str">
        <f t="shared" si="1"/>
        <v>২ পরে</v>
      </c>
    </row>
    <row r="7492">
      <c r="A7492" s="4">
        <v>5795.0</v>
      </c>
      <c r="B7492" s="2" t="s">
        <v>30282</v>
      </c>
      <c r="C7492" s="2" t="s">
        <v>30283</v>
      </c>
      <c r="D7492" s="2" t="s">
        <v>30284</v>
      </c>
      <c r="E7492" s="2" t="s">
        <v>30285</v>
      </c>
      <c r="F7492" s="2" t="b">
        <v>1</v>
      </c>
      <c r="G7492" s="2" t="b">
        <v>1</v>
      </c>
      <c r="H7492" s="2" t="s">
        <v>1106</v>
      </c>
      <c r="I7492" s="2" t="s">
        <v>22</v>
      </c>
      <c r="J7492" s="2" t="s">
        <v>26004</v>
      </c>
      <c r="K7492" s="2" t="s">
        <v>495</v>
      </c>
      <c r="L7492" s="13" t="s">
        <v>496</v>
      </c>
      <c r="M7492" s="2" t="s">
        <v>26</v>
      </c>
      <c r="N7492" s="29"/>
      <c r="O7492" s="29"/>
      <c r="P7492" s="5" t="str">
        <f>IFERROR(__xludf.DUMMYFUNCTION("TEXTJOIN("" | "",TRUE,IF(OR(D7492="""",E7492="""",I7492="""",J7492="""",H7492=""""),""ফাঁকা ঘর"",""""),IF(AND(C7492&lt;&gt;"""",D7492&lt;&gt;"""",C7492=D7492),""gloss=figurative"",""""),IF(LEN(D7492)&lt;15,""figurative ছোট"",""""),IF(AND(I7492=""Positive"",REGEXMATCH(H7"&amp;"492,""মূর্খ|ভণ্ড|প্রতার|অলস|লোভ|স্বার্থ|অক্ষম|অযোগ্য|বোকা|কৃপণ|হিংস"")),""valence-target অমিল"",""""),IF(COUNTIF($B:$B,B7492)&gt;1,""ডুপ্লিকেট"",""""))"),"")</f>
        <v/>
      </c>
      <c r="Q7492" s="5" t="str">
        <f t="shared" si="1"/>
        <v>২ পরে</v>
      </c>
    </row>
    <row r="7493">
      <c r="A7493" s="4">
        <v>5797.0</v>
      </c>
      <c r="B7493" s="2" t="s">
        <v>30286</v>
      </c>
      <c r="C7493" s="2" t="s">
        <v>30287</v>
      </c>
      <c r="D7493" s="2" t="s">
        <v>30288</v>
      </c>
      <c r="E7493" s="2" t="s">
        <v>30289</v>
      </c>
      <c r="F7493" s="2" t="b">
        <v>1</v>
      </c>
      <c r="G7493" s="2" t="b">
        <v>1</v>
      </c>
      <c r="H7493" s="2" t="s">
        <v>1106</v>
      </c>
      <c r="I7493" s="2" t="s">
        <v>49</v>
      </c>
      <c r="J7493" s="2" t="s">
        <v>1925</v>
      </c>
      <c r="K7493" s="2" t="s">
        <v>495</v>
      </c>
      <c r="L7493" s="13" t="s">
        <v>496</v>
      </c>
      <c r="M7493" s="2" t="s">
        <v>26</v>
      </c>
      <c r="N7493" s="29"/>
      <c r="O7493" s="29"/>
      <c r="P7493" s="5" t="str">
        <f>IFERROR(__xludf.DUMMYFUNCTION("TEXTJOIN("" | "",TRUE,IF(OR(D7493="""",E7493="""",I7493="""",J7493="""",H7493=""""),""ফাঁকা ঘর"",""""),IF(AND(C7493&lt;&gt;"""",D7493&lt;&gt;"""",C7493=D7493),""gloss=figurative"",""""),IF(LEN(D7493)&lt;15,""figurative ছোট"",""""),IF(AND(I7493=""Positive"",REGEXMATCH(H7"&amp;"493,""মূর্খ|ভণ্ড|প্রতার|অলস|লোভ|স্বার্থ|অক্ষম|অযোগ্য|বোকা|কৃপণ|হিংস"")),""valence-target অমিল"",""""),IF(COUNTIF($B:$B,B7493)&gt;1,""ডুপ্লিকেট"",""""))"),"")</f>
        <v/>
      </c>
      <c r="Q7493" s="5" t="str">
        <f t="shared" si="1"/>
        <v>২ পরে</v>
      </c>
    </row>
    <row r="7494">
      <c r="A7494" s="4">
        <v>5799.0</v>
      </c>
      <c r="B7494" s="2" t="s">
        <v>30290</v>
      </c>
      <c r="C7494" s="2" t="s">
        <v>30291</v>
      </c>
      <c r="D7494" s="2" t="s">
        <v>30292</v>
      </c>
      <c r="E7494" s="2" t="s">
        <v>30293</v>
      </c>
      <c r="F7494" s="2" t="b">
        <v>1</v>
      </c>
      <c r="G7494" s="2" t="b">
        <v>0</v>
      </c>
      <c r="H7494" s="2" t="s">
        <v>37</v>
      </c>
      <c r="I7494" s="2" t="s">
        <v>22</v>
      </c>
      <c r="J7494" s="2" t="s">
        <v>1569</v>
      </c>
      <c r="K7494" s="2" t="s">
        <v>495</v>
      </c>
      <c r="L7494" s="13" t="s">
        <v>496</v>
      </c>
      <c r="M7494" s="2" t="s">
        <v>26</v>
      </c>
      <c r="N7494" s="29"/>
      <c r="O7494" s="29"/>
      <c r="P7494" s="5" t="str">
        <f>IFERROR(__xludf.DUMMYFUNCTION("TEXTJOIN("" | "",TRUE,IF(OR(D7494="""",E7494="""",I7494="""",J7494="""",H7494=""""),""ফাঁকা ঘর"",""""),IF(AND(C7494&lt;&gt;"""",D7494&lt;&gt;"""",C7494=D7494),""gloss=figurative"",""""),IF(LEN(D7494)&lt;15,""figurative ছোট"",""""),IF(AND(I7494=""Positive"",REGEXMATCH(H7"&amp;"494,""মূর্খ|ভণ্ড|প্রতার|অলস|লোভ|স্বার্থ|অক্ষম|অযোগ্য|বোকা|কৃপণ|হিংস"")),""valence-target অমিল"",""""),IF(COUNTIF($B:$B,B7494)&gt;1,""ডুপ্লিকেট"",""""))"),"")</f>
        <v/>
      </c>
      <c r="Q7494" s="5" t="str">
        <f t="shared" si="1"/>
        <v>২ পরে</v>
      </c>
    </row>
    <row r="7495">
      <c r="A7495" s="4">
        <v>5801.0</v>
      </c>
      <c r="B7495" s="2" t="s">
        <v>30294</v>
      </c>
      <c r="C7495" s="2" t="s">
        <v>30294</v>
      </c>
      <c r="D7495" s="2" t="s">
        <v>30295</v>
      </c>
      <c r="E7495" s="2" t="s">
        <v>30296</v>
      </c>
      <c r="F7495" s="2" t="b">
        <v>1</v>
      </c>
      <c r="G7495" s="2" t="b">
        <v>1</v>
      </c>
      <c r="H7495" s="2" t="s">
        <v>2292</v>
      </c>
      <c r="I7495" s="2" t="s">
        <v>22</v>
      </c>
      <c r="J7495" s="2" t="s">
        <v>1925</v>
      </c>
      <c r="K7495" s="2" t="s">
        <v>495</v>
      </c>
      <c r="L7495" s="13" t="s">
        <v>496</v>
      </c>
      <c r="M7495" s="2" t="s">
        <v>26</v>
      </c>
      <c r="N7495" s="29"/>
      <c r="O7495" s="29"/>
      <c r="P7495" s="5" t="str">
        <f>IFERROR(__xludf.DUMMYFUNCTION("TEXTJOIN("" | "",TRUE,IF(OR(D7495="""",E7495="""",I7495="""",J7495="""",H7495=""""),""ফাঁকা ঘর"",""""),IF(AND(C7495&lt;&gt;"""",D7495&lt;&gt;"""",C7495=D7495),""gloss=figurative"",""""),IF(LEN(D7495)&lt;15,""figurative ছোট"",""""),IF(AND(I7495=""Positive"",REGEXMATCH(H7"&amp;"495,""মূর্খ|ভণ্ড|প্রতার|অলস|লোভ|স্বার্থ|অক্ষম|অযোগ্য|বোকা|কৃপণ|হিংস"")),""valence-target অমিল"",""""),IF(COUNTIF($B:$B,B7495)&gt;1,""ডুপ্লিকেট"",""""))"),"")</f>
        <v/>
      </c>
      <c r="Q7495" s="5" t="str">
        <f t="shared" si="1"/>
        <v>২ পরে</v>
      </c>
    </row>
    <row r="7496">
      <c r="A7496" s="4">
        <v>5803.0</v>
      </c>
      <c r="B7496" s="2" t="s">
        <v>30297</v>
      </c>
      <c r="C7496" s="2" t="s">
        <v>30298</v>
      </c>
      <c r="D7496" s="2" t="s">
        <v>30299</v>
      </c>
      <c r="E7496" s="2" t="s">
        <v>30300</v>
      </c>
      <c r="F7496" s="2" t="b">
        <v>1</v>
      </c>
      <c r="G7496" s="2" t="b">
        <v>0</v>
      </c>
      <c r="H7496" s="2" t="s">
        <v>37</v>
      </c>
      <c r="I7496" s="2" t="s">
        <v>22</v>
      </c>
      <c r="J7496" s="2" t="s">
        <v>176</v>
      </c>
      <c r="K7496" s="2" t="s">
        <v>495</v>
      </c>
      <c r="L7496" s="13" t="s">
        <v>496</v>
      </c>
      <c r="M7496" s="2" t="s">
        <v>26</v>
      </c>
      <c r="N7496" s="29"/>
      <c r="O7496" s="29"/>
      <c r="P7496" s="5" t="str">
        <f>IFERROR(__xludf.DUMMYFUNCTION("TEXTJOIN("" | "",TRUE,IF(OR(D7496="""",E7496="""",I7496="""",J7496="""",H7496=""""),""ফাঁকা ঘর"",""""),IF(AND(C7496&lt;&gt;"""",D7496&lt;&gt;"""",C7496=D7496),""gloss=figurative"",""""),IF(LEN(D7496)&lt;15,""figurative ছোট"",""""),IF(AND(I7496=""Positive"",REGEXMATCH(H7"&amp;"496,""মূর্খ|ভণ্ড|প্রতার|অলস|লোভ|স্বার্থ|অক্ষম|অযোগ্য|বোকা|কৃপণ|হিংস"")),""valence-target অমিল"",""""),IF(COUNTIF($B:$B,B7496)&gt;1,""ডুপ্লিকেট"",""""))"),"")</f>
        <v/>
      </c>
      <c r="Q7496" s="5" t="str">
        <f t="shared" si="1"/>
        <v>২ পরে</v>
      </c>
    </row>
    <row r="7497">
      <c r="A7497" s="4">
        <v>5804.0</v>
      </c>
      <c r="B7497" s="2" t="s">
        <v>30301</v>
      </c>
      <c r="C7497" s="2" t="s">
        <v>30302</v>
      </c>
      <c r="D7497" s="2" t="s">
        <v>30303</v>
      </c>
      <c r="E7497" s="2" t="s">
        <v>30304</v>
      </c>
      <c r="F7497" s="2" t="b">
        <v>1</v>
      </c>
      <c r="G7497" s="2" t="b">
        <v>0</v>
      </c>
      <c r="H7497" s="2" t="s">
        <v>37</v>
      </c>
      <c r="I7497" s="2" t="s">
        <v>49</v>
      </c>
      <c r="J7497" s="2" t="s">
        <v>8699</v>
      </c>
      <c r="K7497" s="2" t="s">
        <v>495</v>
      </c>
      <c r="L7497" s="13" t="s">
        <v>496</v>
      </c>
      <c r="M7497" s="2" t="s">
        <v>26</v>
      </c>
      <c r="N7497" s="29"/>
      <c r="O7497" s="29"/>
      <c r="P7497" s="5" t="str">
        <f>IFERROR(__xludf.DUMMYFUNCTION("TEXTJOIN("" | "",TRUE,IF(OR(D7497="""",E7497="""",I7497="""",J7497="""",H7497=""""),""ফাঁকা ঘর"",""""),IF(AND(C7497&lt;&gt;"""",D7497&lt;&gt;"""",C7497=D7497),""gloss=figurative"",""""),IF(LEN(D7497)&lt;15,""figurative ছোট"",""""),IF(AND(I7497=""Positive"",REGEXMATCH(H7"&amp;"497,""মূর্খ|ভণ্ড|প্রতার|অলস|লোভ|স্বার্থ|অক্ষম|অযোগ্য|বোকা|কৃপণ|হিংস"")),""valence-target অমিল"",""""),IF(COUNTIF($B:$B,B7497)&gt;1,""ডুপ্লিকেট"",""""))"),"")</f>
        <v/>
      </c>
      <c r="Q7497" s="5" t="str">
        <f t="shared" si="1"/>
        <v>২ পরে</v>
      </c>
    </row>
    <row r="7498">
      <c r="A7498" s="4">
        <v>5805.0</v>
      </c>
      <c r="B7498" s="2" t="s">
        <v>30305</v>
      </c>
      <c r="C7498" s="2" t="s">
        <v>30306</v>
      </c>
      <c r="D7498" s="2" t="s">
        <v>30307</v>
      </c>
      <c r="E7498" s="2" t="s">
        <v>30308</v>
      </c>
      <c r="F7498" s="2" t="b">
        <v>1</v>
      </c>
      <c r="G7498" s="2" t="b">
        <v>0</v>
      </c>
      <c r="H7498" s="2" t="s">
        <v>37</v>
      </c>
      <c r="I7498" s="2" t="s">
        <v>22</v>
      </c>
      <c r="J7498" s="2" t="s">
        <v>1438</v>
      </c>
      <c r="K7498" s="2" t="s">
        <v>495</v>
      </c>
      <c r="L7498" s="13" t="s">
        <v>496</v>
      </c>
      <c r="M7498" s="2" t="s">
        <v>26</v>
      </c>
      <c r="N7498" s="29"/>
      <c r="O7498" s="29"/>
      <c r="P7498" s="5" t="str">
        <f>IFERROR(__xludf.DUMMYFUNCTION("TEXTJOIN("" | "",TRUE,IF(OR(D7498="""",E7498="""",I7498="""",J7498="""",H7498=""""),""ফাঁকা ঘর"",""""),IF(AND(C7498&lt;&gt;"""",D7498&lt;&gt;"""",C7498=D7498),""gloss=figurative"",""""),IF(LEN(D7498)&lt;15,""figurative ছোট"",""""),IF(AND(I7498=""Positive"",REGEXMATCH(H7"&amp;"498,""মূর্খ|ভণ্ড|প্রতার|অলস|লোভ|স্বার্থ|অক্ষম|অযোগ্য|বোকা|কৃপণ|হিংস"")),""valence-target অমিল"",""""),IF(COUNTIF($B:$B,B7498)&gt;1,""ডুপ্লিকেট"",""""))"),"")</f>
        <v/>
      </c>
      <c r="Q7498" s="5" t="str">
        <f t="shared" si="1"/>
        <v>২ পরে</v>
      </c>
    </row>
    <row r="7499">
      <c r="A7499" s="4">
        <v>5808.0</v>
      </c>
      <c r="B7499" s="2" t="s">
        <v>30309</v>
      </c>
      <c r="C7499" s="2" t="s">
        <v>30310</v>
      </c>
      <c r="D7499" s="2" t="s">
        <v>30311</v>
      </c>
      <c r="E7499" s="2" t="s">
        <v>30312</v>
      </c>
      <c r="F7499" s="2" t="b">
        <v>1</v>
      </c>
      <c r="G7499" s="2" t="b">
        <v>0</v>
      </c>
      <c r="H7499" s="2" t="s">
        <v>37</v>
      </c>
      <c r="I7499" s="2" t="s">
        <v>49</v>
      </c>
      <c r="J7499" s="2" t="s">
        <v>762</v>
      </c>
      <c r="K7499" s="2" t="s">
        <v>495</v>
      </c>
      <c r="L7499" s="13" t="s">
        <v>496</v>
      </c>
      <c r="M7499" s="2" t="s">
        <v>26</v>
      </c>
      <c r="N7499" s="29"/>
      <c r="O7499" s="29"/>
      <c r="P7499" s="5" t="str">
        <f>IFERROR(__xludf.DUMMYFUNCTION("TEXTJOIN("" | "",TRUE,IF(OR(D7499="""",E7499="""",I7499="""",J7499="""",H7499=""""),""ফাঁকা ঘর"",""""),IF(AND(C7499&lt;&gt;"""",D7499&lt;&gt;"""",C7499=D7499),""gloss=figurative"",""""),IF(LEN(D7499)&lt;15,""figurative ছোট"",""""),IF(AND(I7499=""Positive"",REGEXMATCH(H7"&amp;"499,""মূর্খ|ভণ্ড|প্রতার|অলস|লোভ|স্বার্থ|অক্ষম|অযোগ্য|বোকা|কৃপণ|হিংস"")),""valence-target অমিল"",""""),IF(COUNTIF($B:$B,B7499)&gt;1,""ডুপ্লিকেট"",""""))"),"")</f>
        <v/>
      </c>
      <c r="Q7499" s="5" t="str">
        <f t="shared" si="1"/>
        <v>২ পরে</v>
      </c>
    </row>
    <row r="7500">
      <c r="A7500" s="4">
        <v>5809.0</v>
      </c>
      <c r="B7500" s="2" t="s">
        <v>30313</v>
      </c>
      <c r="C7500" s="2" t="s">
        <v>30314</v>
      </c>
      <c r="D7500" s="2" t="s">
        <v>30315</v>
      </c>
      <c r="E7500" s="2" t="s">
        <v>30316</v>
      </c>
      <c r="F7500" s="2" t="b">
        <v>1</v>
      </c>
      <c r="G7500" s="2" t="b">
        <v>0</v>
      </c>
      <c r="H7500" s="2" t="s">
        <v>37</v>
      </c>
      <c r="I7500" s="2" t="s">
        <v>49</v>
      </c>
      <c r="J7500" s="2" t="s">
        <v>5524</v>
      </c>
      <c r="K7500" s="2" t="s">
        <v>495</v>
      </c>
      <c r="L7500" s="13" t="s">
        <v>496</v>
      </c>
      <c r="M7500" s="2" t="s">
        <v>26</v>
      </c>
      <c r="N7500" s="29"/>
      <c r="O7500" s="29"/>
      <c r="P7500" s="5" t="str">
        <f>IFERROR(__xludf.DUMMYFUNCTION("TEXTJOIN("" | "",TRUE,IF(OR(D7500="""",E7500="""",I7500="""",J7500="""",H7500=""""),""ফাঁকা ঘর"",""""),IF(AND(C7500&lt;&gt;"""",D7500&lt;&gt;"""",C7500=D7500),""gloss=figurative"",""""),IF(LEN(D7500)&lt;15,""figurative ছোট"",""""),IF(AND(I7500=""Positive"",REGEXMATCH(H7"&amp;"500,""মূর্খ|ভণ্ড|প্রতার|অলস|লোভ|স্বার্থ|অক্ষম|অযোগ্য|বোকা|কৃপণ|হিংস"")),""valence-target অমিল"",""""),IF(COUNTIF($B:$B,B7500)&gt;1,""ডুপ্লিকেট"",""""))"),"")</f>
        <v/>
      </c>
      <c r="Q7500" s="5" t="str">
        <f t="shared" si="1"/>
        <v>২ পরে</v>
      </c>
    </row>
    <row r="7501">
      <c r="A7501" s="4">
        <v>5810.0</v>
      </c>
      <c r="B7501" s="2" t="s">
        <v>30317</v>
      </c>
      <c r="C7501" s="2" t="s">
        <v>30317</v>
      </c>
      <c r="D7501" s="2" t="s">
        <v>30318</v>
      </c>
      <c r="E7501" s="2" t="s">
        <v>30319</v>
      </c>
      <c r="F7501" s="2" t="b">
        <v>1</v>
      </c>
      <c r="G7501" s="2" t="b">
        <v>0</v>
      </c>
      <c r="H7501" s="2" t="s">
        <v>37</v>
      </c>
      <c r="I7501" s="2" t="s">
        <v>49</v>
      </c>
      <c r="J7501" s="2" t="s">
        <v>5524</v>
      </c>
      <c r="K7501" s="2" t="s">
        <v>495</v>
      </c>
      <c r="L7501" s="13" t="s">
        <v>496</v>
      </c>
      <c r="M7501" s="2" t="s">
        <v>26</v>
      </c>
      <c r="N7501" s="29"/>
      <c r="O7501" s="29"/>
      <c r="P7501" s="5" t="str">
        <f>IFERROR(__xludf.DUMMYFUNCTION("TEXTJOIN("" | "",TRUE,IF(OR(D7501="""",E7501="""",I7501="""",J7501="""",H7501=""""),""ফাঁকা ঘর"",""""),IF(AND(C7501&lt;&gt;"""",D7501&lt;&gt;"""",C7501=D7501),""gloss=figurative"",""""),IF(LEN(D7501)&lt;15,""figurative ছোট"",""""),IF(AND(I7501=""Positive"",REGEXMATCH(H7"&amp;"501,""মূর্খ|ভণ্ড|প্রতার|অলস|লোভ|স্বার্থ|অক্ষম|অযোগ্য|বোকা|কৃপণ|হিংস"")),""valence-target অমিল"",""""),IF(COUNTIF($B:$B,B7501)&gt;1,""ডুপ্লিকেট"",""""))"),"")</f>
        <v/>
      </c>
      <c r="Q7501" s="5" t="str">
        <f t="shared" si="1"/>
        <v>২ পরে</v>
      </c>
    </row>
    <row r="7502">
      <c r="A7502" s="4">
        <v>5811.0</v>
      </c>
      <c r="B7502" s="2" t="s">
        <v>30320</v>
      </c>
      <c r="C7502" s="2" t="s">
        <v>30321</v>
      </c>
      <c r="D7502" s="2" t="s">
        <v>30322</v>
      </c>
      <c r="E7502" s="2" t="s">
        <v>30323</v>
      </c>
      <c r="F7502" s="2" t="b">
        <v>1</v>
      </c>
      <c r="G7502" s="2" t="b">
        <v>0</v>
      </c>
      <c r="H7502" s="2" t="s">
        <v>37</v>
      </c>
      <c r="I7502" s="2" t="s">
        <v>49</v>
      </c>
      <c r="J7502" s="2" t="s">
        <v>5524</v>
      </c>
      <c r="K7502" s="2" t="s">
        <v>495</v>
      </c>
      <c r="L7502" s="13" t="s">
        <v>496</v>
      </c>
      <c r="M7502" s="2" t="s">
        <v>26</v>
      </c>
      <c r="N7502" s="29"/>
      <c r="O7502" s="29"/>
      <c r="P7502" s="5" t="str">
        <f>IFERROR(__xludf.DUMMYFUNCTION("TEXTJOIN("" | "",TRUE,IF(OR(D7502="""",E7502="""",I7502="""",J7502="""",H7502=""""),""ফাঁকা ঘর"",""""),IF(AND(C7502&lt;&gt;"""",D7502&lt;&gt;"""",C7502=D7502),""gloss=figurative"",""""),IF(LEN(D7502)&lt;15,""figurative ছোট"",""""),IF(AND(I7502=""Positive"",REGEXMATCH(H7"&amp;"502,""মূর্খ|ভণ্ড|প্রতার|অলস|লোভ|স্বার্থ|অক্ষম|অযোগ্য|বোকা|কৃপণ|হিংস"")),""valence-target অমিল"",""""),IF(COUNTIF($B:$B,B7502)&gt;1,""ডুপ্লিকেট"",""""))"),"")</f>
        <v/>
      </c>
      <c r="Q7502" s="5" t="str">
        <f t="shared" si="1"/>
        <v>২ পরে</v>
      </c>
    </row>
    <row r="7503">
      <c r="A7503" s="4">
        <v>5812.0</v>
      </c>
      <c r="B7503" s="2" t="s">
        <v>30324</v>
      </c>
      <c r="C7503" s="2" t="s">
        <v>30325</v>
      </c>
      <c r="D7503" s="2" t="s">
        <v>30326</v>
      </c>
      <c r="E7503" s="2" t="s">
        <v>30327</v>
      </c>
      <c r="F7503" s="2" t="b">
        <v>1</v>
      </c>
      <c r="G7503" s="2" t="b">
        <v>0</v>
      </c>
      <c r="H7503" s="2" t="s">
        <v>37</v>
      </c>
      <c r="I7503" s="2" t="s">
        <v>22</v>
      </c>
      <c r="J7503" s="2" t="s">
        <v>2602</v>
      </c>
      <c r="K7503" s="2" t="s">
        <v>495</v>
      </c>
      <c r="L7503" s="13" t="s">
        <v>496</v>
      </c>
      <c r="M7503" s="2" t="s">
        <v>26</v>
      </c>
      <c r="N7503" s="29"/>
      <c r="O7503" s="29"/>
      <c r="P7503" s="5" t="str">
        <f>IFERROR(__xludf.DUMMYFUNCTION("TEXTJOIN("" | "",TRUE,IF(OR(D7503="""",E7503="""",I7503="""",J7503="""",H7503=""""),""ফাঁকা ঘর"",""""),IF(AND(C7503&lt;&gt;"""",D7503&lt;&gt;"""",C7503=D7503),""gloss=figurative"",""""),IF(LEN(D7503)&lt;15,""figurative ছোট"",""""),IF(AND(I7503=""Positive"",REGEXMATCH(H7"&amp;"503,""মূর্খ|ভণ্ড|প্রতার|অলস|লোভ|স্বার্থ|অক্ষম|অযোগ্য|বোকা|কৃপণ|হিংস"")),""valence-target অমিল"",""""),IF(COUNTIF($B:$B,B7503)&gt;1,""ডুপ্লিকেট"",""""))"),"")</f>
        <v/>
      </c>
      <c r="Q7503" s="5" t="str">
        <f t="shared" si="1"/>
        <v>২ পরে</v>
      </c>
    </row>
    <row r="7504">
      <c r="A7504" s="4">
        <v>5814.0</v>
      </c>
      <c r="B7504" s="2" t="s">
        <v>30328</v>
      </c>
      <c r="C7504" s="2" t="s">
        <v>30328</v>
      </c>
      <c r="D7504" s="2" t="s">
        <v>30329</v>
      </c>
      <c r="E7504" s="2" t="s">
        <v>30330</v>
      </c>
      <c r="F7504" s="2" t="b">
        <v>1</v>
      </c>
      <c r="G7504" s="2" t="b">
        <v>0</v>
      </c>
      <c r="H7504" s="2" t="s">
        <v>37</v>
      </c>
      <c r="I7504" s="2" t="s">
        <v>49</v>
      </c>
      <c r="J7504" s="2" t="s">
        <v>2629</v>
      </c>
      <c r="K7504" s="2" t="s">
        <v>495</v>
      </c>
      <c r="L7504" s="13" t="s">
        <v>496</v>
      </c>
      <c r="M7504" s="2" t="s">
        <v>26</v>
      </c>
      <c r="N7504" s="29"/>
      <c r="O7504" s="29"/>
      <c r="P7504" s="5" t="str">
        <f>IFERROR(__xludf.DUMMYFUNCTION("TEXTJOIN("" | "",TRUE,IF(OR(D7504="""",E7504="""",I7504="""",J7504="""",H7504=""""),""ফাঁকা ঘর"",""""),IF(AND(C7504&lt;&gt;"""",D7504&lt;&gt;"""",C7504=D7504),""gloss=figurative"",""""),IF(LEN(D7504)&lt;15,""figurative ছোট"",""""),IF(AND(I7504=""Positive"",REGEXMATCH(H7"&amp;"504,""মূর্খ|ভণ্ড|প্রতার|অলস|লোভ|স্বার্থ|অক্ষম|অযোগ্য|বোকা|কৃপণ|হিংস"")),""valence-target অমিল"",""""),IF(COUNTIF($B:$B,B7504)&gt;1,""ডুপ্লিকেট"",""""))"),"")</f>
        <v/>
      </c>
      <c r="Q7504" s="5" t="str">
        <f t="shared" si="1"/>
        <v>২ পরে</v>
      </c>
    </row>
    <row r="7505">
      <c r="A7505" s="4">
        <v>5815.0</v>
      </c>
      <c r="B7505" s="2" t="s">
        <v>30331</v>
      </c>
      <c r="C7505" s="2" t="s">
        <v>30331</v>
      </c>
      <c r="D7505" s="2" t="s">
        <v>30332</v>
      </c>
      <c r="E7505" s="2" t="s">
        <v>30333</v>
      </c>
      <c r="F7505" s="2" t="b">
        <v>1</v>
      </c>
      <c r="G7505" s="2" t="b">
        <v>0</v>
      </c>
      <c r="H7505" s="2" t="s">
        <v>37</v>
      </c>
      <c r="I7505" s="2" t="s">
        <v>32</v>
      </c>
      <c r="J7505" s="2" t="s">
        <v>17749</v>
      </c>
      <c r="K7505" s="2" t="s">
        <v>495</v>
      </c>
      <c r="L7505" s="13" t="s">
        <v>496</v>
      </c>
      <c r="M7505" s="2" t="s">
        <v>26</v>
      </c>
      <c r="N7505" s="29"/>
      <c r="O7505" s="29"/>
      <c r="P7505" s="5" t="str">
        <f>IFERROR(__xludf.DUMMYFUNCTION("TEXTJOIN("" | "",TRUE,IF(OR(D7505="""",E7505="""",I7505="""",J7505="""",H7505=""""),""ফাঁকা ঘর"",""""),IF(AND(C7505&lt;&gt;"""",D7505&lt;&gt;"""",C7505=D7505),""gloss=figurative"",""""),IF(LEN(D7505)&lt;15,""figurative ছোট"",""""),IF(AND(I7505=""Positive"",REGEXMATCH(H7"&amp;"505,""মূর্খ|ভণ্ড|প্রতার|অলস|লোভ|স্বার্থ|অক্ষম|অযোগ্য|বোকা|কৃপণ|হিংস"")),""valence-target অমিল"",""""),IF(COUNTIF($B:$B,B7505)&gt;1,""ডুপ্লিকেট"",""""))"),"")</f>
        <v/>
      </c>
      <c r="Q7505" s="5" t="str">
        <f t="shared" si="1"/>
        <v>২ পরে</v>
      </c>
    </row>
    <row r="7506">
      <c r="A7506" s="4">
        <v>5816.0</v>
      </c>
      <c r="B7506" s="2" t="s">
        <v>30334</v>
      </c>
      <c r="C7506" s="2" t="s">
        <v>30335</v>
      </c>
      <c r="D7506" s="2" t="s">
        <v>30336</v>
      </c>
      <c r="E7506" s="2" t="s">
        <v>30337</v>
      </c>
      <c r="F7506" s="2" t="b">
        <v>1</v>
      </c>
      <c r="G7506" s="2" t="b">
        <v>0</v>
      </c>
      <c r="H7506" s="2" t="s">
        <v>37</v>
      </c>
      <c r="I7506" s="2" t="s">
        <v>32</v>
      </c>
      <c r="J7506" s="2" t="s">
        <v>891</v>
      </c>
      <c r="K7506" s="2" t="s">
        <v>495</v>
      </c>
      <c r="L7506" s="13" t="s">
        <v>496</v>
      </c>
      <c r="M7506" s="2" t="s">
        <v>26</v>
      </c>
      <c r="N7506" s="29"/>
      <c r="O7506" s="29"/>
      <c r="P7506" s="5" t="str">
        <f>IFERROR(__xludf.DUMMYFUNCTION("TEXTJOIN("" | "",TRUE,IF(OR(D7506="""",E7506="""",I7506="""",J7506="""",H7506=""""),""ফাঁকা ঘর"",""""),IF(AND(C7506&lt;&gt;"""",D7506&lt;&gt;"""",C7506=D7506),""gloss=figurative"",""""),IF(LEN(D7506)&lt;15,""figurative ছোট"",""""),IF(AND(I7506=""Positive"",REGEXMATCH(H7"&amp;"506,""মূর্খ|ভণ্ড|প্রতার|অলস|লোভ|স্বার্থ|অক্ষম|অযোগ্য|বোকা|কৃপণ|হিংস"")),""valence-target অমিল"",""""),IF(COUNTIF($B:$B,B7506)&gt;1,""ডুপ্লিকেট"",""""))"),"")</f>
        <v/>
      </c>
      <c r="Q7506" s="5" t="str">
        <f t="shared" si="1"/>
        <v>২ পরে</v>
      </c>
    </row>
    <row r="7507">
      <c r="A7507" s="4">
        <v>5819.0</v>
      </c>
      <c r="B7507" s="2" t="s">
        <v>30338</v>
      </c>
      <c r="C7507" s="2" t="s">
        <v>30339</v>
      </c>
      <c r="D7507" s="2" t="s">
        <v>30340</v>
      </c>
      <c r="E7507" s="2" t="s">
        <v>30341</v>
      </c>
      <c r="F7507" s="2" t="b">
        <v>1</v>
      </c>
      <c r="G7507" s="2" t="b">
        <v>0</v>
      </c>
      <c r="H7507" s="2" t="s">
        <v>2243</v>
      </c>
      <c r="I7507" s="2" t="s">
        <v>22</v>
      </c>
      <c r="J7507" s="2" t="s">
        <v>820</v>
      </c>
      <c r="K7507" s="2" t="s">
        <v>495</v>
      </c>
      <c r="L7507" s="13" t="s">
        <v>496</v>
      </c>
      <c r="M7507" s="2" t="s">
        <v>26</v>
      </c>
      <c r="N7507" s="29"/>
      <c r="O7507" s="29"/>
      <c r="P7507" s="5" t="str">
        <f>IFERROR(__xludf.DUMMYFUNCTION("TEXTJOIN("" | "",TRUE,IF(OR(D7507="""",E7507="""",I7507="""",J7507="""",H7507=""""),""ফাঁকা ঘর"",""""),IF(AND(C7507&lt;&gt;"""",D7507&lt;&gt;"""",C7507=D7507),""gloss=figurative"",""""),IF(LEN(D7507)&lt;15,""figurative ছোট"",""""),IF(AND(I7507=""Positive"",REGEXMATCH(H7"&amp;"507,""মূর্খ|ভণ্ড|প্রতার|অলস|লোভ|স্বার্থ|অক্ষম|অযোগ্য|বোকা|কৃপণ|হিংস"")),""valence-target অমিল"",""""),IF(COUNTIF($B:$B,B7507)&gt;1,""ডুপ্লিকেট"",""""))"),"")</f>
        <v/>
      </c>
      <c r="Q7507" s="5" t="str">
        <f t="shared" si="1"/>
        <v>২ পরে</v>
      </c>
    </row>
    <row r="7508">
      <c r="A7508" s="4">
        <v>5824.0</v>
      </c>
      <c r="B7508" s="2" t="s">
        <v>30342</v>
      </c>
      <c r="C7508" s="2" t="s">
        <v>30343</v>
      </c>
      <c r="D7508" s="2" t="s">
        <v>30344</v>
      </c>
      <c r="E7508" s="2" t="s">
        <v>30345</v>
      </c>
      <c r="F7508" s="2" t="b">
        <v>1</v>
      </c>
      <c r="G7508" s="2" t="b">
        <v>0</v>
      </c>
      <c r="H7508" s="2" t="s">
        <v>37</v>
      </c>
      <c r="I7508" s="2" t="s">
        <v>22</v>
      </c>
      <c r="J7508" s="2" t="s">
        <v>1944</v>
      </c>
      <c r="K7508" s="2" t="s">
        <v>495</v>
      </c>
      <c r="L7508" s="13" t="s">
        <v>496</v>
      </c>
      <c r="M7508" s="2" t="s">
        <v>26</v>
      </c>
      <c r="N7508" s="29"/>
      <c r="O7508" s="29"/>
      <c r="P7508" s="5" t="str">
        <f>IFERROR(__xludf.DUMMYFUNCTION("TEXTJOIN("" | "",TRUE,IF(OR(D7508="""",E7508="""",I7508="""",J7508="""",H7508=""""),""ফাঁকা ঘর"",""""),IF(AND(C7508&lt;&gt;"""",D7508&lt;&gt;"""",C7508=D7508),""gloss=figurative"",""""),IF(LEN(D7508)&lt;15,""figurative ছোট"",""""),IF(AND(I7508=""Positive"",REGEXMATCH(H7"&amp;"508,""মূর্খ|ভণ্ড|প্রতার|অলস|লোভ|স্বার্থ|অক্ষম|অযোগ্য|বোকা|কৃপণ|হিংস"")),""valence-target অমিল"",""""),IF(COUNTIF($B:$B,B7508)&gt;1,""ডুপ্লিকেট"",""""))"),"")</f>
        <v/>
      </c>
      <c r="Q7508" s="5" t="str">
        <f t="shared" si="1"/>
        <v>২ পরে</v>
      </c>
    </row>
    <row r="7509">
      <c r="A7509" s="4">
        <v>5825.0</v>
      </c>
      <c r="B7509" s="2" t="s">
        <v>30346</v>
      </c>
      <c r="C7509" s="2" t="s">
        <v>30346</v>
      </c>
      <c r="D7509" s="2" t="s">
        <v>30347</v>
      </c>
      <c r="E7509" s="2" t="s">
        <v>30348</v>
      </c>
      <c r="F7509" s="2" t="b">
        <v>1</v>
      </c>
      <c r="G7509" s="2" t="b">
        <v>0</v>
      </c>
      <c r="H7509" s="2" t="s">
        <v>37</v>
      </c>
      <c r="I7509" s="2" t="s">
        <v>49</v>
      </c>
      <c r="J7509" s="2" t="s">
        <v>2732</v>
      </c>
      <c r="K7509" s="2" t="s">
        <v>495</v>
      </c>
      <c r="L7509" s="13" t="s">
        <v>496</v>
      </c>
      <c r="M7509" s="2" t="s">
        <v>26</v>
      </c>
      <c r="N7509" s="29"/>
      <c r="O7509" s="29"/>
      <c r="P7509" s="5" t="str">
        <f>IFERROR(__xludf.DUMMYFUNCTION("TEXTJOIN("" | "",TRUE,IF(OR(D7509="""",E7509="""",I7509="""",J7509="""",H7509=""""),""ফাঁকা ঘর"",""""),IF(AND(C7509&lt;&gt;"""",D7509&lt;&gt;"""",C7509=D7509),""gloss=figurative"",""""),IF(LEN(D7509)&lt;15,""figurative ছোট"",""""),IF(AND(I7509=""Positive"",REGEXMATCH(H7"&amp;"509,""মূর্খ|ভণ্ড|প্রতার|অলস|লোভ|স্বার্থ|অক্ষম|অযোগ্য|বোকা|কৃপণ|হিংস"")),""valence-target অমিল"",""""),IF(COUNTIF($B:$B,B7509)&gt;1,""ডুপ্লিকেট"",""""))"),"")</f>
        <v/>
      </c>
      <c r="Q7509" s="5" t="str">
        <f t="shared" si="1"/>
        <v>২ পরে</v>
      </c>
    </row>
    <row r="7510">
      <c r="A7510" s="4">
        <v>5826.0</v>
      </c>
      <c r="B7510" s="2" t="s">
        <v>30349</v>
      </c>
      <c r="C7510" s="2" t="s">
        <v>30350</v>
      </c>
      <c r="D7510" s="2" t="s">
        <v>6573</v>
      </c>
      <c r="E7510" s="2" t="s">
        <v>30351</v>
      </c>
      <c r="F7510" s="2" t="b">
        <v>1</v>
      </c>
      <c r="G7510" s="2" t="b">
        <v>0</v>
      </c>
      <c r="H7510" s="2" t="s">
        <v>37</v>
      </c>
      <c r="I7510" s="2" t="s">
        <v>32</v>
      </c>
      <c r="J7510" s="2" t="s">
        <v>25390</v>
      </c>
      <c r="K7510" s="2" t="s">
        <v>495</v>
      </c>
      <c r="L7510" s="13" t="s">
        <v>496</v>
      </c>
      <c r="M7510" s="2" t="s">
        <v>26</v>
      </c>
      <c r="N7510" s="29"/>
      <c r="O7510" s="29"/>
      <c r="P7510" s="5" t="str">
        <f>IFERROR(__xludf.DUMMYFUNCTION("TEXTJOIN("" | "",TRUE,IF(OR(D7510="""",E7510="""",I7510="""",J7510="""",H7510=""""),""ফাঁকা ঘর"",""""),IF(AND(C7510&lt;&gt;"""",D7510&lt;&gt;"""",C7510=D7510),""gloss=figurative"",""""),IF(LEN(D7510)&lt;15,""figurative ছোট"",""""),IF(AND(I7510=""Positive"",REGEXMATCH(H7"&amp;"510,""মূর্খ|ভণ্ড|প্রতার|অলস|লোভ|স্বার্থ|অক্ষম|অযোগ্য|বোকা|কৃপণ|হিংস"")),""valence-target অমিল"",""""),IF(COUNTIF($B:$B,B7510)&gt;1,""ডুপ্লিকেট"",""""))"),"")</f>
        <v/>
      </c>
      <c r="Q7510" s="5" t="str">
        <f t="shared" si="1"/>
        <v>২ পরে</v>
      </c>
    </row>
    <row r="7511">
      <c r="A7511" s="4">
        <v>5828.0</v>
      </c>
      <c r="B7511" s="2" t="s">
        <v>30352</v>
      </c>
      <c r="C7511" s="2" t="s">
        <v>30353</v>
      </c>
      <c r="D7511" s="2" t="s">
        <v>30354</v>
      </c>
      <c r="E7511" s="2" t="s">
        <v>30355</v>
      </c>
      <c r="F7511" s="2" t="b">
        <v>1</v>
      </c>
      <c r="G7511" s="2" t="b">
        <v>0</v>
      </c>
      <c r="H7511" s="2" t="s">
        <v>37</v>
      </c>
      <c r="I7511" s="2" t="s">
        <v>32</v>
      </c>
      <c r="J7511" s="2" t="s">
        <v>2803</v>
      </c>
      <c r="K7511" s="2" t="s">
        <v>495</v>
      </c>
      <c r="L7511" s="13" t="s">
        <v>496</v>
      </c>
      <c r="M7511" s="2" t="s">
        <v>26</v>
      </c>
      <c r="N7511" s="29"/>
      <c r="O7511" s="29"/>
      <c r="P7511" s="5" t="str">
        <f>IFERROR(__xludf.DUMMYFUNCTION("TEXTJOIN("" | "",TRUE,IF(OR(D7511="""",E7511="""",I7511="""",J7511="""",H7511=""""),""ফাঁকা ঘর"",""""),IF(AND(C7511&lt;&gt;"""",D7511&lt;&gt;"""",C7511=D7511),""gloss=figurative"",""""),IF(LEN(D7511)&lt;15,""figurative ছোট"",""""),IF(AND(I7511=""Positive"",REGEXMATCH(H7"&amp;"511,""মূর্খ|ভণ্ড|প্রতার|অলস|লোভ|স্বার্থ|অক্ষম|অযোগ্য|বোকা|কৃপণ|হিংস"")),""valence-target অমিল"",""""),IF(COUNTIF($B:$B,B7511)&gt;1,""ডুপ্লিকেট"",""""))"),"")</f>
        <v/>
      </c>
      <c r="Q7511" s="5" t="str">
        <f t="shared" si="1"/>
        <v>২ পরে</v>
      </c>
    </row>
    <row r="7512">
      <c r="A7512" s="4">
        <v>5830.0</v>
      </c>
      <c r="B7512" s="2" t="s">
        <v>30356</v>
      </c>
      <c r="C7512" s="2" t="s">
        <v>30356</v>
      </c>
      <c r="D7512" s="2" t="s">
        <v>30357</v>
      </c>
      <c r="E7512" s="2" t="s">
        <v>30358</v>
      </c>
      <c r="F7512" s="2" t="b">
        <v>1</v>
      </c>
      <c r="G7512" s="2" t="b">
        <v>0</v>
      </c>
      <c r="H7512" s="2" t="s">
        <v>37</v>
      </c>
      <c r="I7512" s="2" t="s">
        <v>32</v>
      </c>
      <c r="J7512" s="2" t="s">
        <v>25390</v>
      </c>
      <c r="K7512" s="2" t="s">
        <v>495</v>
      </c>
      <c r="L7512" s="13" t="s">
        <v>496</v>
      </c>
      <c r="M7512" s="2" t="s">
        <v>26</v>
      </c>
      <c r="N7512" s="29"/>
      <c r="O7512" s="29"/>
      <c r="P7512" s="5" t="str">
        <f>IFERROR(__xludf.DUMMYFUNCTION("TEXTJOIN("" | "",TRUE,IF(OR(D7512="""",E7512="""",I7512="""",J7512="""",H7512=""""),""ফাঁকা ঘর"",""""),IF(AND(C7512&lt;&gt;"""",D7512&lt;&gt;"""",C7512=D7512),""gloss=figurative"",""""),IF(LEN(D7512)&lt;15,""figurative ছোট"",""""),IF(AND(I7512=""Positive"",REGEXMATCH(H7"&amp;"512,""মূর্খ|ভণ্ড|প্রতার|অলস|লোভ|স্বার্থ|অক্ষম|অযোগ্য|বোকা|কৃপণ|হিংস"")),""valence-target অমিল"",""""),IF(COUNTIF($B:$B,B7512)&gt;1,""ডুপ্লিকেট"",""""))"),"")</f>
        <v/>
      </c>
      <c r="Q7512" s="5" t="str">
        <f t="shared" si="1"/>
        <v>২ পরে</v>
      </c>
    </row>
    <row r="7513">
      <c r="A7513" s="4">
        <v>5831.0</v>
      </c>
      <c r="B7513" s="2" t="s">
        <v>30359</v>
      </c>
      <c r="C7513" s="2" t="s">
        <v>30360</v>
      </c>
      <c r="D7513" s="2" t="s">
        <v>30361</v>
      </c>
      <c r="E7513" s="2" t="s">
        <v>30362</v>
      </c>
      <c r="F7513" s="2" t="b">
        <v>1</v>
      </c>
      <c r="G7513" s="2" t="b">
        <v>0</v>
      </c>
      <c r="H7513" s="2" t="s">
        <v>37</v>
      </c>
      <c r="I7513" s="2" t="s">
        <v>22</v>
      </c>
      <c r="J7513" s="2" t="s">
        <v>1603</v>
      </c>
      <c r="K7513" s="2" t="s">
        <v>495</v>
      </c>
      <c r="L7513" s="13" t="s">
        <v>496</v>
      </c>
      <c r="M7513" s="2" t="s">
        <v>26</v>
      </c>
      <c r="N7513" s="29"/>
      <c r="O7513" s="29"/>
      <c r="P7513" s="5" t="str">
        <f>IFERROR(__xludf.DUMMYFUNCTION("TEXTJOIN("" | "",TRUE,IF(OR(D7513="""",E7513="""",I7513="""",J7513="""",H7513=""""),""ফাঁকা ঘর"",""""),IF(AND(C7513&lt;&gt;"""",D7513&lt;&gt;"""",C7513=D7513),""gloss=figurative"",""""),IF(LEN(D7513)&lt;15,""figurative ছোট"",""""),IF(AND(I7513=""Positive"",REGEXMATCH(H7"&amp;"513,""মূর্খ|ভণ্ড|প্রতার|অলস|লোভ|স্বার্থ|অক্ষম|অযোগ্য|বোকা|কৃপণ|হিংস"")),""valence-target অমিল"",""""),IF(COUNTIF($B:$B,B7513)&gt;1,""ডুপ্লিকেট"",""""))"),"")</f>
        <v/>
      </c>
      <c r="Q7513" s="5" t="str">
        <f t="shared" si="1"/>
        <v>২ পরে</v>
      </c>
    </row>
    <row r="7514">
      <c r="A7514" s="4">
        <v>5835.0</v>
      </c>
      <c r="B7514" s="2" t="s">
        <v>30363</v>
      </c>
      <c r="C7514" s="2" t="s">
        <v>30364</v>
      </c>
      <c r="D7514" s="2" t="s">
        <v>30365</v>
      </c>
      <c r="E7514" s="2" t="s">
        <v>30366</v>
      </c>
      <c r="F7514" s="2" t="b">
        <v>1</v>
      </c>
      <c r="G7514" s="2" t="b">
        <v>0</v>
      </c>
      <c r="H7514" s="2" t="s">
        <v>37</v>
      </c>
      <c r="I7514" s="2" t="s">
        <v>49</v>
      </c>
      <c r="J7514" s="2" t="s">
        <v>1259</v>
      </c>
      <c r="K7514" s="2" t="s">
        <v>495</v>
      </c>
      <c r="L7514" s="13" t="s">
        <v>496</v>
      </c>
      <c r="M7514" s="2" t="s">
        <v>26</v>
      </c>
      <c r="N7514" s="29"/>
      <c r="O7514" s="29"/>
      <c r="P7514" s="5" t="str">
        <f>IFERROR(__xludf.DUMMYFUNCTION("TEXTJOIN("" | "",TRUE,IF(OR(D7514="""",E7514="""",I7514="""",J7514="""",H7514=""""),""ফাঁকা ঘর"",""""),IF(AND(C7514&lt;&gt;"""",D7514&lt;&gt;"""",C7514=D7514),""gloss=figurative"",""""),IF(LEN(D7514)&lt;15,""figurative ছোট"",""""),IF(AND(I7514=""Positive"",REGEXMATCH(H7"&amp;"514,""মূর্খ|ভণ্ড|প্রতার|অলস|লোভ|স্বার্থ|অক্ষম|অযোগ্য|বোকা|কৃপণ|হিংস"")),""valence-target অমিল"",""""),IF(COUNTIF($B:$B,B7514)&gt;1,""ডুপ্লিকেট"",""""))"),"")</f>
        <v/>
      </c>
      <c r="Q7514" s="5" t="str">
        <f t="shared" si="1"/>
        <v>২ পরে</v>
      </c>
    </row>
    <row r="7515">
      <c r="A7515" s="4">
        <v>5836.0</v>
      </c>
      <c r="B7515" s="2" t="s">
        <v>30367</v>
      </c>
      <c r="C7515" s="2" t="s">
        <v>30368</v>
      </c>
      <c r="D7515" s="2" t="s">
        <v>30369</v>
      </c>
      <c r="E7515" s="2" t="s">
        <v>30370</v>
      </c>
      <c r="F7515" s="2" t="b">
        <v>1</v>
      </c>
      <c r="G7515" s="2" t="b">
        <v>0</v>
      </c>
      <c r="H7515" s="2" t="s">
        <v>37</v>
      </c>
      <c r="I7515" s="2" t="s">
        <v>22</v>
      </c>
      <c r="J7515" s="2" t="s">
        <v>1038</v>
      </c>
      <c r="K7515" s="2" t="s">
        <v>495</v>
      </c>
      <c r="L7515" s="13" t="s">
        <v>496</v>
      </c>
      <c r="M7515" s="2" t="s">
        <v>26</v>
      </c>
      <c r="N7515" s="29"/>
      <c r="O7515" s="29"/>
      <c r="P7515" s="5" t="str">
        <f>IFERROR(__xludf.DUMMYFUNCTION("TEXTJOIN("" | "",TRUE,IF(OR(D7515="""",E7515="""",I7515="""",J7515="""",H7515=""""),""ফাঁকা ঘর"",""""),IF(AND(C7515&lt;&gt;"""",D7515&lt;&gt;"""",C7515=D7515),""gloss=figurative"",""""),IF(LEN(D7515)&lt;15,""figurative ছোট"",""""),IF(AND(I7515=""Positive"",REGEXMATCH(H7"&amp;"515,""মূর্খ|ভণ্ড|প্রতার|অলস|লোভ|স্বার্থ|অক্ষম|অযোগ্য|বোকা|কৃপণ|হিংস"")),""valence-target অমিল"",""""),IF(COUNTIF($B:$B,B7515)&gt;1,""ডুপ্লিকেট"",""""))"),"")</f>
        <v/>
      </c>
      <c r="Q7515" s="5" t="str">
        <f t="shared" si="1"/>
        <v>২ পরে</v>
      </c>
    </row>
    <row r="7516">
      <c r="A7516" s="4">
        <v>5843.0</v>
      </c>
      <c r="B7516" s="2" t="s">
        <v>30371</v>
      </c>
      <c r="C7516" s="2" t="s">
        <v>30372</v>
      </c>
      <c r="D7516" s="2" t="s">
        <v>30373</v>
      </c>
      <c r="E7516" s="2" t="s">
        <v>30374</v>
      </c>
      <c r="F7516" s="2" t="b">
        <v>1</v>
      </c>
      <c r="G7516" s="2" t="b">
        <v>1</v>
      </c>
      <c r="H7516" s="2" t="s">
        <v>1106</v>
      </c>
      <c r="I7516" s="2" t="s">
        <v>22</v>
      </c>
      <c r="J7516" s="2" t="s">
        <v>990</v>
      </c>
      <c r="K7516" s="2" t="s">
        <v>495</v>
      </c>
      <c r="L7516" s="13" t="s">
        <v>496</v>
      </c>
      <c r="M7516" s="2" t="s">
        <v>26</v>
      </c>
      <c r="N7516" s="29"/>
      <c r="O7516" s="29"/>
      <c r="P7516" s="5" t="str">
        <f>IFERROR(__xludf.DUMMYFUNCTION("TEXTJOIN("" | "",TRUE,IF(OR(D7516="""",E7516="""",I7516="""",J7516="""",H7516=""""),""ফাঁকা ঘর"",""""),IF(AND(C7516&lt;&gt;"""",D7516&lt;&gt;"""",C7516=D7516),""gloss=figurative"",""""),IF(LEN(D7516)&lt;15,""figurative ছোট"",""""),IF(AND(I7516=""Positive"",REGEXMATCH(H7"&amp;"516,""মূর্খ|ভণ্ড|প্রতার|অলস|লোভ|স্বার্থ|অক্ষম|অযোগ্য|বোকা|কৃপণ|হিংস"")),""valence-target অমিল"",""""),IF(COUNTIF($B:$B,B7516)&gt;1,""ডুপ্লিকেট"",""""))"),"")</f>
        <v/>
      </c>
      <c r="Q7516" s="5" t="str">
        <f t="shared" si="1"/>
        <v>২ পরে</v>
      </c>
    </row>
    <row r="7517">
      <c r="A7517" s="4">
        <v>5844.0</v>
      </c>
      <c r="B7517" s="2" t="s">
        <v>30375</v>
      </c>
      <c r="C7517" s="2" t="s">
        <v>30376</v>
      </c>
      <c r="D7517" s="2" t="s">
        <v>30377</v>
      </c>
      <c r="E7517" s="2" t="s">
        <v>30378</v>
      </c>
      <c r="F7517" s="2" t="b">
        <v>1</v>
      </c>
      <c r="G7517" s="2" t="b">
        <v>0</v>
      </c>
      <c r="H7517" s="2" t="s">
        <v>37</v>
      </c>
      <c r="I7517" s="2" t="s">
        <v>22</v>
      </c>
      <c r="J7517" s="2" t="s">
        <v>2433</v>
      </c>
      <c r="K7517" s="2" t="s">
        <v>495</v>
      </c>
      <c r="L7517" s="13" t="s">
        <v>496</v>
      </c>
      <c r="M7517" s="2" t="s">
        <v>26</v>
      </c>
      <c r="N7517" s="29"/>
      <c r="O7517" s="29"/>
      <c r="P7517" s="5" t="str">
        <f>IFERROR(__xludf.DUMMYFUNCTION("TEXTJOIN("" | "",TRUE,IF(OR(D7517="""",E7517="""",I7517="""",J7517="""",H7517=""""),""ফাঁকা ঘর"",""""),IF(AND(C7517&lt;&gt;"""",D7517&lt;&gt;"""",C7517=D7517),""gloss=figurative"",""""),IF(LEN(D7517)&lt;15,""figurative ছোট"",""""),IF(AND(I7517=""Positive"",REGEXMATCH(H7"&amp;"517,""মূর্খ|ভণ্ড|প্রতার|অলস|লোভ|স্বার্থ|অক্ষম|অযোগ্য|বোকা|কৃপণ|হিংস"")),""valence-target অমিল"",""""),IF(COUNTIF($B:$B,B7517)&gt;1,""ডুপ্লিকেট"",""""))"),"")</f>
        <v/>
      </c>
      <c r="Q7517" s="5" t="str">
        <f t="shared" si="1"/>
        <v>২ পরে</v>
      </c>
    </row>
    <row r="7518">
      <c r="A7518" s="4">
        <v>5845.0</v>
      </c>
      <c r="B7518" s="2" t="s">
        <v>30379</v>
      </c>
      <c r="C7518" s="2" t="s">
        <v>30379</v>
      </c>
      <c r="D7518" s="2" t="s">
        <v>30380</v>
      </c>
      <c r="E7518" s="2" t="s">
        <v>30381</v>
      </c>
      <c r="F7518" s="2" t="b">
        <v>1</v>
      </c>
      <c r="G7518" s="2" t="b">
        <v>1</v>
      </c>
      <c r="H7518" s="2" t="s">
        <v>1982</v>
      </c>
      <c r="I7518" s="2" t="s">
        <v>22</v>
      </c>
      <c r="J7518" s="2" t="s">
        <v>2386</v>
      </c>
      <c r="K7518" s="2" t="s">
        <v>495</v>
      </c>
      <c r="L7518" s="13" t="s">
        <v>496</v>
      </c>
      <c r="M7518" s="2" t="s">
        <v>26</v>
      </c>
      <c r="N7518" s="29"/>
      <c r="O7518" s="29"/>
      <c r="P7518" s="5" t="str">
        <f>IFERROR(__xludf.DUMMYFUNCTION("TEXTJOIN("" | "",TRUE,IF(OR(D7518="""",E7518="""",I7518="""",J7518="""",H7518=""""),""ফাঁকা ঘর"",""""),IF(AND(C7518&lt;&gt;"""",D7518&lt;&gt;"""",C7518=D7518),""gloss=figurative"",""""),IF(LEN(D7518)&lt;15,""figurative ছোট"",""""),IF(AND(I7518=""Positive"",REGEXMATCH(H7"&amp;"518,""মূর্খ|ভণ্ড|প্রতার|অলস|লোভ|স্বার্থ|অক্ষম|অযোগ্য|বোকা|কৃপণ|হিংস"")),""valence-target অমিল"",""""),IF(COUNTIF($B:$B,B7518)&gt;1,""ডুপ্লিকেট"",""""))"),"")</f>
        <v/>
      </c>
      <c r="Q7518" s="5" t="str">
        <f t="shared" si="1"/>
        <v>২ পরে</v>
      </c>
    </row>
    <row r="7519">
      <c r="A7519" s="4">
        <v>5848.0</v>
      </c>
      <c r="B7519" s="2" t="s">
        <v>30382</v>
      </c>
      <c r="C7519" s="2" t="s">
        <v>30382</v>
      </c>
      <c r="D7519" s="2" t="s">
        <v>30383</v>
      </c>
      <c r="E7519" s="2" t="s">
        <v>30384</v>
      </c>
      <c r="F7519" s="2" t="b">
        <v>1</v>
      </c>
      <c r="G7519" s="2" t="b">
        <v>0</v>
      </c>
      <c r="H7519" s="2" t="s">
        <v>2709</v>
      </c>
      <c r="I7519" s="2" t="s">
        <v>22</v>
      </c>
      <c r="J7519" s="2" t="s">
        <v>2386</v>
      </c>
      <c r="K7519" s="2" t="s">
        <v>495</v>
      </c>
      <c r="L7519" s="13" t="s">
        <v>496</v>
      </c>
      <c r="M7519" s="2" t="s">
        <v>26</v>
      </c>
      <c r="N7519" s="29"/>
      <c r="O7519" s="29"/>
      <c r="P7519" s="5" t="str">
        <f>IFERROR(__xludf.DUMMYFUNCTION("TEXTJOIN("" | "",TRUE,IF(OR(D7519="""",E7519="""",I7519="""",J7519="""",H7519=""""),""ফাঁকা ঘর"",""""),IF(AND(C7519&lt;&gt;"""",D7519&lt;&gt;"""",C7519=D7519),""gloss=figurative"",""""),IF(LEN(D7519)&lt;15,""figurative ছোট"",""""),IF(AND(I7519=""Positive"",REGEXMATCH(H7"&amp;"519,""মূর্খ|ভণ্ড|প্রতার|অলস|লোভ|স্বার্থ|অক্ষম|অযোগ্য|বোকা|কৃপণ|হিংস"")),""valence-target অমিল"",""""),IF(COUNTIF($B:$B,B7519)&gt;1,""ডুপ্লিকেট"",""""))"),"")</f>
        <v/>
      </c>
      <c r="Q7519" s="5" t="str">
        <f t="shared" si="1"/>
        <v>২ পরে</v>
      </c>
    </row>
    <row r="7520">
      <c r="A7520" s="4">
        <v>5850.0</v>
      </c>
      <c r="B7520" s="2" t="s">
        <v>30385</v>
      </c>
      <c r="C7520" s="2" t="s">
        <v>30386</v>
      </c>
      <c r="D7520" s="2" t="s">
        <v>30387</v>
      </c>
      <c r="E7520" s="2" t="s">
        <v>30388</v>
      </c>
      <c r="F7520" s="2" t="b">
        <v>1</v>
      </c>
      <c r="G7520" s="2" t="b">
        <v>0</v>
      </c>
      <c r="H7520" s="2" t="s">
        <v>37</v>
      </c>
      <c r="I7520" s="2" t="s">
        <v>22</v>
      </c>
      <c r="J7520" s="2" t="s">
        <v>1684</v>
      </c>
      <c r="K7520" s="2" t="s">
        <v>495</v>
      </c>
      <c r="L7520" s="13" t="s">
        <v>496</v>
      </c>
      <c r="M7520" s="2" t="s">
        <v>26</v>
      </c>
      <c r="N7520" s="29"/>
      <c r="O7520" s="29"/>
      <c r="P7520" s="5" t="str">
        <f>IFERROR(__xludf.DUMMYFUNCTION("TEXTJOIN("" | "",TRUE,IF(OR(D7520="""",E7520="""",I7520="""",J7520="""",H7520=""""),""ফাঁকা ঘর"",""""),IF(AND(C7520&lt;&gt;"""",D7520&lt;&gt;"""",C7520=D7520),""gloss=figurative"",""""),IF(LEN(D7520)&lt;15,""figurative ছোট"",""""),IF(AND(I7520=""Positive"",REGEXMATCH(H7"&amp;"520,""মূর্খ|ভণ্ড|প্রতার|অলস|লোভ|স্বার্থ|অক্ষম|অযোগ্য|বোকা|কৃপণ|হিংস"")),""valence-target অমিল"",""""),IF(COUNTIF($B:$B,B7520)&gt;1,""ডুপ্লিকেট"",""""))"),"")</f>
        <v/>
      </c>
      <c r="Q7520" s="5" t="str">
        <f t="shared" si="1"/>
        <v>২ পরে</v>
      </c>
    </row>
    <row r="7521">
      <c r="A7521" s="4">
        <v>5851.0</v>
      </c>
      <c r="B7521" s="2" t="s">
        <v>30389</v>
      </c>
      <c r="C7521" s="2" t="s">
        <v>30390</v>
      </c>
      <c r="D7521" s="2" t="s">
        <v>30391</v>
      </c>
      <c r="E7521" s="2" t="s">
        <v>30392</v>
      </c>
      <c r="F7521" s="2" t="b">
        <v>1</v>
      </c>
      <c r="G7521" s="2" t="b">
        <v>0</v>
      </c>
      <c r="H7521" s="2" t="s">
        <v>37</v>
      </c>
      <c r="I7521" s="2" t="s">
        <v>22</v>
      </c>
      <c r="J7521" s="2" t="s">
        <v>4374</v>
      </c>
      <c r="K7521" s="2" t="s">
        <v>495</v>
      </c>
      <c r="L7521" s="13" t="s">
        <v>496</v>
      </c>
      <c r="M7521" s="2" t="s">
        <v>26</v>
      </c>
      <c r="N7521" s="29"/>
      <c r="O7521" s="29"/>
      <c r="P7521" s="5" t="str">
        <f>IFERROR(__xludf.DUMMYFUNCTION("TEXTJOIN("" | "",TRUE,IF(OR(D7521="""",E7521="""",I7521="""",J7521="""",H7521=""""),""ফাঁকা ঘর"",""""),IF(AND(C7521&lt;&gt;"""",D7521&lt;&gt;"""",C7521=D7521),""gloss=figurative"",""""),IF(LEN(D7521)&lt;15,""figurative ছোট"",""""),IF(AND(I7521=""Positive"",REGEXMATCH(H7"&amp;"521,""মূর্খ|ভণ্ড|প্রতার|অলস|লোভ|স্বার্থ|অক্ষম|অযোগ্য|বোকা|কৃপণ|হিংস"")),""valence-target অমিল"",""""),IF(COUNTIF($B:$B,B7521)&gt;1,""ডুপ্লিকেট"",""""))"),"")</f>
        <v/>
      </c>
      <c r="Q7521" s="5" t="str">
        <f t="shared" si="1"/>
        <v>২ পরে</v>
      </c>
    </row>
    <row r="7522">
      <c r="A7522" s="4">
        <v>5852.0</v>
      </c>
      <c r="B7522" s="2" t="s">
        <v>30393</v>
      </c>
      <c r="C7522" s="2" t="s">
        <v>30394</v>
      </c>
      <c r="D7522" s="2" t="s">
        <v>30395</v>
      </c>
      <c r="E7522" s="2" t="s">
        <v>30396</v>
      </c>
      <c r="F7522" s="2" t="b">
        <v>1</v>
      </c>
      <c r="G7522" s="2" t="b">
        <v>0</v>
      </c>
      <c r="H7522" s="2" t="s">
        <v>37</v>
      </c>
      <c r="I7522" s="2" t="s">
        <v>32</v>
      </c>
      <c r="J7522" s="2" t="s">
        <v>2386</v>
      </c>
      <c r="K7522" s="2" t="s">
        <v>495</v>
      </c>
      <c r="L7522" s="13" t="s">
        <v>496</v>
      </c>
      <c r="M7522" s="2" t="s">
        <v>26</v>
      </c>
      <c r="N7522" s="29"/>
      <c r="O7522" s="29"/>
      <c r="P7522" s="5" t="str">
        <f>IFERROR(__xludf.DUMMYFUNCTION("TEXTJOIN("" | "",TRUE,IF(OR(D7522="""",E7522="""",I7522="""",J7522="""",H7522=""""),""ফাঁকা ঘর"",""""),IF(AND(C7522&lt;&gt;"""",D7522&lt;&gt;"""",C7522=D7522),""gloss=figurative"",""""),IF(LEN(D7522)&lt;15,""figurative ছোট"",""""),IF(AND(I7522=""Positive"",REGEXMATCH(H7"&amp;"522,""মূর্খ|ভণ্ড|প্রতার|অলস|লোভ|স্বার্থ|অক্ষম|অযোগ্য|বোকা|কৃপণ|হিংস"")),""valence-target অমিল"",""""),IF(COUNTIF($B:$B,B7522)&gt;1,""ডুপ্লিকেট"",""""))"),"")</f>
        <v/>
      </c>
      <c r="Q7522" s="5" t="str">
        <f t="shared" si="1"/>
        <v>২ পরে</v>
      </c>
    </row>
    <row r="7523">
      <c r="A7523" s="4">
        <v>5853.0</v>
      </c>
      <c r="B7523" s="2" t="s">
        <v>30397</v>
      </c>
      <c r="C7523" s="2" t="s">
        <v>30398</v>
      </c>
      <c r="D7523" s="2" t="s">
        <v>30399</v>
      </c>
      <c r="E7523" s="2" t="s">
        <v>30400</v>
      </c>
      <c r="F7523" s="2" t="b">
        <v>1</v>
      </c>
      <c r="G7523" s="2" t="b">
        <v>1</v>
      </c>
      <c r="H7523" s="2" t="s">
        <v>15160</v>
      </c>
      <c r="I7523" s="2" t="s">
        <v>22</v>
      </c>
      <c r="J7523" s="2" t="s">
        <v>601</v>
      </c>
      <c r="K7523" s="2" t="s">
        <v>495</v>
      </c>
      <c r="L7523" s="13" t="s">
        <v>496</v>
      </c>
      <c r="M7523" s="2" t="s">
        <v>26</v>
      </c>
      <c r="N7523" s="29"/>
      <c r="O7523" s="29"/>
      <c r="P7523" s="5" t="str">
        <f>IFERROR(__xludf.DUMMYFUNCTION("TEXTJOIN("" | "",TRUE,IF(OR(D7523="""",E7523="""",I7523="""",J7523="""",H7523=""""),""ফাঁকা ঘর"",""""),IF(AND(C7523&lt;&gt;"""",D7523&lt;&gt;"""",C7523=D7523),""gloss=figurative"",""""),IF(LEN(D7523)&lt;15,""figurative ছোট"",""""),IF(AND(I7523=""Positive"",REGEXMATCH(H7"&amp;"523,""মূর্খ|ভণ্ড|প্রতার|অলস|লোভ|স্বার্থ|অক্ষম|অযোগ্য|বোকা|কৃপণ|হিংস"")),""valence-target অমিল"",""""),IF(COUNTIF($B:$B,B7523)&gt;1,""ডুপ্লিকেট"",""""))"),"")</f>
        <v/>
      </c>
      <c r="Q7523" s="5" t="str">
        <f t="shared" si="1"/>
        <v>২ পরে</v>
      </c>
    </row>
    <row r="7524">
      <c r="A7524" s="4">
        <v>5854.0</v>
      </c>
      <c r="B7524" s="2" t="s">
        <v>30401</v>
      </c>
      <c r="C7524" s="2" t="s">
        <v>30402</v>
      </c>
      <c r="D7524" s="2" t="s">
        <v>30403</v>
      </c>
      <c r="E7524" s="2" t="s">
        <v>30404</v>
      </c>
      <c r="F7524" s="2" t="b">
        <v>1</v>
      </c>
      <c r="G7524" s="2" t="b">
        <v>0</v>
      </c>
      <c r="H7524" s="2" t="s">
        <v>2709</v>
      </c>
      <c r="I7524" s="2" t="s">
        <v>22</v>
      </c>
      <c r="J7524" s="2" t="s">
        <v>669</v>
      </c>
      <c r="K7524" s="2" t="s">
        <v>495</v>
      </c>
      <c r="L7524" s="13" t="s">
        <v>496</v>
      </c>
      <c r="M7524" s="2" t="s">
        <v>26</v>
      </c>
      <c r="N7524" s="29"/>
      <c r="O7524" s="29"/>
      <c r="P7524" s="5" t="str">
        <f>IFERROR(__xludf.DUMMYFUNCTION("TEXTJOIN("" | "",TRUE,IF(OR(D7524="""",E7524="""",I7524="""",J7524="""",H7524=""""),""ফাঁকা ঘর"",""""),IF(AND(C7524&lt;&gt;"""",D7524&lt;&gt;"""",C7524=D7524),""gloss=figurative"",""""),IF(LEN(D7524)&lt;15,""figurative ছোট"",""""),IF(AND(I7524=""Positive"",REGEXMATCH(H7"&amp;"524,""মূর্খ|ভণ্ড|প্রতার|অলস|লোভ|স্বার্থ|অক্ষম|অযোগ্য|বোকা|কৃপণ|হিংস"")),""valence-target অমিল"",""""),IF(COUNTIF($B:$B,B7524)&gt;1,""ডুপ্লিকেট"",""""))"),"")</f>
        <v/>
      </c>
      <c r="Q7524" s="5" t="str">
        <f t="shared" si="1"/>
        <v>২ পরে</v>
      </c>
    </row>
    <row r="7525">
      <c r="A7525" s="4">
        <v>5858.0</v>
      </c>
      <c r="B7525" s="2" t="s">
        <v>30405</v>
      </c>
      <c r="C7525" s="2" t="s">
        <v>30406</v>
      </c>
      <c r="D7525" s="2" t="s">
        <v>30407</v>
      </c>
      <c r="E7525" s="2" t="s">
        <v>30408</v>
      </c>
      <c r="F7525" s="2" t="b">
        <v>1</v>
      </c>
      <c r="G7525" s="2" t="b">
        <v>0</v>
      </c>
      <c r="H7525" s="2" t="s">
        <v>37</v>
      </c>
      <c r="I7525" s="2" t="s">
        <v>49</v>
      </c>
      <c r="J7525" s="2" t="s">
        <v>2732</v>
      </c>
      <c r="K7525" s="2" t="s">
        <v>495</v>
      </c>
      <c r="L7525" s="13" t="s">
        <v>496</v>
      </c>
      <c r="M7525" s="2" t="s">
        <v>26</v>
      </c>
      <c r="N7525" s="29"/>
      <c r="O7525" s="29"/>
      <c r="P7525" s="5" t="str">
        <f>IFERROR(__xludf.DUMMYFUNCTION("TEXTJOIN("" | "",TRUE,IF(OR(D7525="""",E7525="""",I7525="""",J7525="""",H7525=""""),""ফাঁকা ঘর"",""""),IF(AND(C7525&lt;&gt;"""",D7525&lt;&gt;"""",C7525=D7525),""gloss=figurative"",""""),IF(LEN(D7525)&lt;15,""figurative ছোট"",""""),IF(AND(I7525=""Positive"",REGEXMATCH(H7"&amp;"525,""মূর্খ|ভণ্ড|প্রতার|অলস|লোভ|স্বার্থ|অক্ষম|অযোগ্য|বোকা|কৃপণ|হিংস"")),""valence-target অমিল"",""""),IF(COUNTIF($B:$B,B7525)&gt;1,""ডুপ্লিকেট"",""""))"),"")</f>
        <v/>
      </c>
      <c r="Q7525" s="5" t="str">
        <f t="shared" si="1"/>
        <v>২ পরে</v>
      </c>
    </row>
    <row r="7526">
      <c r="A7526" s="4">
        <v>5861.0</v>
      </c>
      <c r="B7526" s="2" t="s">
        <v>30409</v>
      </c>
      <c r="C7526" s="2" t="s">
        <v>30410</v>
      </c>
      <c r="D7526" s="2" t="s">
        <v>30411</v>
      </c>
      <c r="E7526" s="2" t="s">
        <v>30412</v>
      </c>
      <c r="F7526" s="2" t="b">
        <v>1</v>
      </c>
      <c r="G7526" s="2" t="b">
        <v>0</v>
      </c>
      <c r="H7526" s="2" t="s">
        <v>756</v>
      </c>
      <c r="I7526" s="2" t="s">
        <v>22</v>
      </c>
      <c r="J7526" s="2" t="s">
        <v>1630</v>
      </c>
      <c r="K7526" s="2" t="s">
        <v>495</v>
      </c>
      <c r="L7526" s="13" t="s">
        <v>496</v>
      </c>
      <c r="M7526" s="2" t="s">
        <v>26</v>
      </c>
      <c r="N7526" s="29"/>
      <c r="O7526" s="29"/>
      <c r="P7526" s="5" t="str">
        <f>IFERROR(__xludf.DUMMYFUNCTION("TEXTJOIN("" | "",TRUE,IF(OR(D7526="""",E7526="""",I7526="""",J7526="""",H7526=""""),""ফাঁকা ঘর"",""""),IF(AND(C7526&lt;&gt;"""",D7526&lt;&gt;"""",C7526=D7526),""gloss=figurative"",""""),IF(LEN(D7526)&lt;15,""figurative ছোট"",""""),IF(AND(I7526=""Positive"",REGEXMATCH(H7"&amp;"526,""মূর্খ|ভণ্ড|প্রতার|অলস|লোভ|স্বার্থ|অক্ষম|অযোগ্য|বোকা|কৃপণ|হিংস"")),""valence-target অমিল"",""""),IF(COUNTIF($B:$B,B7526)&gt;1,""ডুপ্লিকেট"",""""))"),"")</f>
        <v/>
      </c>
      <c r="Q7526" s="5" t="str">
        <f t="shared" si="1"/>
        <v>২ পরে</v>
      </c>
    </row>
    <row r="7527">
      <c r="A7527" s="4">
        <v>5864.0</v>
      </c>
      <c r="B7527" s="2" t="s">
        <v>30413</v>
      </c>
      <c r="C7527" s="2" t="s">
        <v>30414</v>
      </c>
      <c r="D7527" s="2" t="s">
        <v>30415</v>
      </c>
      <c r="E7527" s="2" t="s">
        <v>30416</v>
      </c>
      <c r="F7527" s="2" t="b">
        <v>1</v>
      </c>
      <c r="G7527" s="2" t="b">
        <v>0</v>
      </c>
      <c r="H7527" s="2" t="s">
        <v>37</v>
      </c>
      <c r="I7527" s="2" t="s">
        <v>22</v>
      </c>
      <c r="J7527" s="2" t="s">
        <v>300</v>
      </c>
      <c r="K7527" s="2" t="s">
        <v>495</v>
      </c>
      <c r="L7527" s="13" t="s">
        <v>496</v>
      </c>
      <c r="M7527" s="2" t="s">
        <v>26</v>
      </c>
      <c r="N7527" s="29"/>
      <c r="O7527" s="29"/>
      <c r="P7527" s="5" t="str">
        <f>IFERROR(__xludf.DUMMYFUNCTION("TEXTJOIN("" | "",TRUE,IF(OR(D7527="""",E7527="""",I7527="""",J7527="""",H7527=""""),""ফাঁকা ঘর"",""""),IF(AND(C7527&lt;&gt;"""",D7527&lt;&gt;"""",C7527=D7527),""gloss=figurative"",""""),IF(LEN(D7527)&lt;15,""figurative ছোট"",""""),IF(AND(I7527=""Positive"",REGEXMATCH(H7"&amp;"527,""মূর্খ|ভণ্ড|প্রতার|অলস|লোভ|স্বার্থ|অক্ষম|অযোগ্য|বোকা|কৃপণ|হিংস"")),""valence-target অমিল"",""""),IF(COUNTIF($B:$B,B7527)&gt;1,""ডুপ্লিকেট"",""""))"),"")</f>
        <v/>
      </c>
      <c r="Q7527" s="5" t="str">
        <f t="shared" si="1"/>
        <v>২ পরে</v>
      </c>
    </row>
    <row r="7528">
      <c r="A7528" s="4">
        <v>5866.0</v>
      </c>
      <c r="B7528" s="2" t="s">
        <v>30417</v>
      </c>
      <c r="C7528" s="2" t="s">
        <v>30418</v>
      </c>
      <c r="D7528" s="2" t="s">
        <v>30419</v>
      </c>
      <c r="E7528" s="2" t="s">
        <v>30420</v>
      </c>
      <c r="F7528" s="2" t="b">
        <v>1</v>
      </c>
      <c r="G7528" s="2" t="b">
        <v>0</v>
      </c>
      <c r="H7528" s="2" t="s">
        <v>37</v>
      </c>
      <c r="I7528" s="2" t="s">
        <v>49</v>
      </c>
      <c r="J7528" s="2" t="s">
        <v>300</v>
      </c>
      <c r="K7528" s="2" t="s">
        <v>495</v>
      </c>
      <c r="L7528" s="13" t="s">
        <v>496</v>
      </c>
      <c r="M7528" s="2" t="s">
        <v>26</v>
      </c>
      <c r="N7528" s="29"/>
      <c r="O7528" s="29"/>
      <c r="P7528" s="5" t="str">
        <f>IFERROR(__xludf.DUMMYFUNCTION("TEXTJOIN("" | "",TRUE,IF(OR(D7528="""",E7528="""",I7528="""",J7528="""",H7528=""""),""ফাঁকা ঘর"",""""),IF(AND(C7528&lt;&gt;"""",D7528&lt;&gt;"""",C7528=D7528),""gloss=figurative"",""""),IF(LEN(D7528)&lt;15,""figurative ছোট"",""""),IF(AND(I7528=""Positive"",REGEXMATCH(H7"&amp;"528,""মূর্খ|ভণ্ড|প্রতার|অলস|লোভ|স্বার্থ|অক্ষম|অযোগ্য|বোকা|কৃপণ|হিংস"")),""valence-target অমিল"",""""),IF(COUNTIF($B:$B,B7528)&gt;1,""ডুপ্লিকেট"",""""))"),"")</f>
        <v/>
      </c>
      <c r="Q7528" s="5" t="str">
        <f t="shared" si="1"/>
        <v>২ পরে</v>
      </c>
    </row>
    <row r="7529">
      <c r="A7529" s="4">
        <v>5868.0</v>
      </c>
      <c r="B7529" s="2" t="s">
        <v>30421</v>
      </c>
      <c r="C7529" s="2" t="s">
        <v>30422</v>
      </c>
      <c r="D7529" s="2" t="s">
        <v>30423</v>
      </c>
      <c r="E7529" s="2" t="s">
        <v>30424</v>
      </c>
      <c r="F7529" s="2" t="b">
        <v>1</v>
      </c>
      <c r="G7529" s="2" t="b">
        <v>0</v>
      </c>
      <c r="H7529" s="2" t="s">
        <v>37</v>
      </c>
      <c r="I7529" s="2" t="s">
        <v>49</v>
      </c>
      <c r="J7529" s="2" t="s">
        <v>300</v>
      </c>
      <c r="K7529" s="2" t="s">
        <v>495</v>
      </c>
      <c r="L7529" s="13" t="s">
        <v>496</v>
      </c>
      <c r="M7529" s="2" t="s">
        <v>26</v>
      </c>
      <c r="N7529" s="29"/>
      <c r="O7529" s="29"/>
      <c r="P7529" s="5" t="str">
        <f>IFERROR(__xludf.DUMMYFUNCTION("TEXTJOIN("" | "",TRUE,IF(OR(D7529="""",E7529="""",I7529="""",J7529="""",H7529=""""),""ফাঁকা ঘর"",""""),IF(AND(C7529&lt;&gt;"""",D7529&lt;&gt;"""",C7529=D7529),""gloss=figurative"",""""),IF(LEN(D7529)&lt;15,""figurative ছোট"",""""),IF(AND(I7529=""Positive"",REGEXMATCH(H7"&amp;"529,""মূর্খ|ভণ্ড|প্রতার|অলস|লোভ|স্বার্থ|অক্ষম|অযোগ্য|বোকা|কৃপণ|হিংস"")),""valence-target অমিল"",""""),IF(COUNTIF($B:$B,B7529)&gt;1,""ডুপ্লিকেট"",""""))"),"")</f>
        <v/>
      </c>
      <c r="Q7529" s="5" t="str">
        <f t="shared" si="1"/>
        <v>২ পরে</v>
      </c>
    </row>
    <row r="7530">
      <c r="A7530" s="4">
        <v>5872.0</v>
      </c>
      <c r="B7530" s="2" t="s">
        <v>30425</v>
      </c>
      <c r="C7530" s="2" t="s">
        <v>30426</v>
      </c>
      <c r="D7530" s="2" t="s">
        <v>30427</v>
      </c>
      <c r="E7530" s="2" t="s">
        <v>30428</v>
      </c>
      <c r="F7530" s="2" t="b">
        <v>1</v>
      </c>
      <c r="G7530" s="2" t="b">
        <v>0</v>
      </c>
      <c r="H7530" s="2" t="s">
        <v>37</v>
      </c>
      <c r="I7530" s="2" t="s">
        <v>22</v>
      </c>
      <c r="J7530" s="2" t="s">
        <v>300</v>
      </c>
      <c r="K7530" s="2" t="s">
        <v>495</v>
      </c>
      <c r="L7530" s="13" t="s">
        <v>496</v>
      </c>
      <c r="M7530" s="2" t="s">
        <v>26</v>
      </c>
      <c r="N7530" s="29"/>
      <c r="O7530" s="29"/>
      <c r="P7530" s="5" t="str">
        <f>IFERROR(__xludf.DUMMYFUNCTION("TEXTJOIN("" | "",TRUE,IF(OR(D7530="""",E7530="""",I7530="""",J7530="""",H7530=""""),""ফাঁকা ঘর"",""""),IF(AND(C7530&lt;&gt;"""",D7530&lt;&gt;"""",C7530=D7530),""gloss=figurative"",""""),IF(LEN(D7530)&lt;15,""figurative ছোট"",""""),IF(AND(I7530=""Positive"",REGEXMATCH(H7"&amp;"530,""মূর্খ|ভণ্ড|প্রতার|অলস|লোভ|স্বার্থ|অক্ষম|অযোগ্য|বোকা|কৃপণ|হিংস"")),""valence-target অমিল"",""""),IF(COUNTIF($B:$B,B7530)&gt;1,""ডুপ্লিকেট"",""""))"),"")</f>
        <v/>
      </c>
      <c r="Q7530" s="5" t="str">
        <f t="shared" si="1"/>
        <v>২ পরে</v>
      </c>
    </row>
    <row r="7531">
      <c r="A7531" s="4">
        <v>5873.0</v>
      </c>
      <c r="B7531" s="2" t="s">
        <v>30429</v>
      </c>
      <c r="C7531" s="2" t="s">
        <v>30430</v>
      </c>
      <c r="D7531" s="2" t="s">
        <v>30431</v>
      </c>
      <c r="E7531" s="2" t="s">
        <v>30432</v>
      </c>
      <c r="F7531" s="2" t="b">
        <v>1</v>
      </c>
      <c r="G7531" s="2" t="b">
        <v>0</v>
      </c>
      <c r="H7531" s="2" t="s">
        <v>37</v>
      </c>
      <c r="I7531" s="2" t="s">
        <v>22</v>
      </c>
      <c r="J7531" s="2" t="s">
        <v>2937</v>
      </c>
      <c r="K7531" s="2" t="s">
        <v>495</v>
      </c>
      <c r="L7531" s="13" t="s">
        <v>496</v>
      </c>
      <c r="M7531" s="2" t="s">
        <v>26</v>
      </c>
      <c r="N7531" s="29"/>
      <c r="O7531" s="29"/>
      <c r="P7531" s="5" t="str">
        <f>IFERROR(__xludf.DUMMYFUNCTION("TEXTJOIN("" | "",TRUE,IF(OR(D7531="""",E7531="""",I7531="""",J7531="""",H7531=""""),""ফাঁকা ঘর"",""""),IF(AND(C7531&lt;&gt;"""",D7531&lt;&gt;"""",C7531=D7531),""gloss=figurative"",""""),IF(LEN(D7531)&lt;15,""figurative ছোট"",""""),IF(AND(I7531=""Positive"",REGEXMATCH(H7"&amp;"531,""মূর্খ|ভণ্ড|প্রতার|অলস|লোভ|স্বার্থ|অক্ষম|অযোগ্য|বোকা|কৃপণ|হিংস"")),""valence-target অমিল"",""""),IF(COUNTIF($B:$B,B7531)&gt;1,""ডুপ্লিকেট"",""""))"),"")</f>
        <v/>
      </c>
      <c r="Q7531" s="5" t="str">
        <f t="shared" si="1"/>
        <v>২ পরে</v>
      </c>
    </row>
    <row r="7532">
      <c r="A7532" s="4">
        <v>5876.0</v>
      </c>
      <c r="B7532" s="2" t="s">
        <v>30433</v>
      </c>
      <c r="C7532" s="2" t="s">
        <v>30434</v>
      </c>
      <c r="D7532" s="2" t="s">
        <v>30435</v>
      </c>
      <c r="E7532" s="2" t="s">
        <v>30436</v>
      </c>
      <c r="F7532" s="2" t="b">
        <v>1</v>
      </c>
      <c r="G7532" s="2" t="b">
        <v>0</v>
      </c>
      <c r="H7532" s="2" t="s">
        <v>37</v>
      </c>
      <c r="I7532" s="2" t="s">
        <v>32</v>
      </c>
      <c r="J7532" s="2" t="s">
        <v>808</v>
      </c>
      <c r="K7532" s="2" t="s">
        <v>495</v>
      </c>
      <c r="L7532" s="13" t="s">
        <v>496</v>
      </c>
      <c r="M7532" s="2" t="s">
        <v>26</v>
      </c>
      <c r="N7532" s="29"/>
      <c r="O7532" s="29"/>
      <c r="P7532" s="5" t="str">
        <f>IFERROR(__xludf.DUMMYFUNCTION("TEXTJOIN("" | "",TRUE,IF(OR(D7532="""",E7532="""",I7532="""",J7532="""",H7532=""""),""ফাঁকা ঘর"",""""),IF(AND(C7532&lt;&gt;"""",D7532&lt;&gt;"""",C7532=D7532),""gloss=figurative"",""""),IF(LEN(D7532)&lt;15,""figurative ছোট"",""""),IF(AND(I7532=""Positive"",REGEXMATCH(H7"&amp;"532,""মূর্খ|ভণ্ড|প্রতার|অলস|লোভ|স্বার্থ|অক্ষম|অযোগ্য|বোকা|কৃপণ|হিংস"")),""valence-target অমিল"",""""),IF(COUNTIF($B:$B,B7532)&gt;1,""ডুপ্লিকেট"",""""))"),"")</f>
        <v/>
      </c>
      <c r="Q7532" s="5" t="str">
        <f t="shared" si="1"/>
        <v>২ পরে</v>
      </c>
    </row>
    <row r="7533">
      <c r="A7533" s="4">
        <v>5879.0</v>
      </c>
      <c r="B7533" s="2" t="s">
        <v>30437</v>
      </c>
      <c r="C7533" s="2" t="s">
        <v>30438</v>
      </c>
      <c r="D7533" s="2" t="s">
        <v>30439</v>
      </c>
      <c r="E7533" s="2" t="s">
        <v>5624</v>
      </c>
      <c r="F7533" s="2" t="b">
        <v>1</v>
      </c>
      <c r="G7533" s="2" t="b">
        <v>0</v>
      </c>
      <c r="H7533" s="2" t="s">
        <v>37</v>
      </c>
      <c r="I7533" s="2" t="s">
        <v>22</v>
      </c>
      <c r="J7533" s="2" t="s">
        <v>3506</v>
      </c>
      <c r="K7533" s="2" t="s">
        <v>495</v>
      </c>
      <c r="L7533" s="13" t="s">
        <v>496</v>
      </c>
      <c r="M7533" s="2" t="s">
        <v>26</v>
      </c>
      <c r="N7533" s="29"/>
      <c r="O7533" s="29"/>
      <c r="P7533" s="5" t="str">
        <f>IFERROR(__xludf.DUMMYFUNCTION("TEXTJOIN("" | "",TRUE,IF(OR(D7533="""",E7533="""",I7533="""",J7533="""",H7533=""""),""ফাঁকা ঘর"",""""),IF(AND(C7533&lt;&gt;"""",D7533&lt;&gt;"""",C7533=D7533),""gloss=figurative"",""""),IF(LEN(D7533)&lt;15,""figurative ছোট"",""""),IF(AND(I7533=""Positive"",REGEXMATCH(H7"&amp;"533,""মূর্খ|ভণ্ড|প্রতার|অলস|লোভ|স্বার্থ|অক্ষম|অযোগ্য|বোকা|কৃপণ|হিংস"")),""valence-target অমিল"",""""),IF(COUNTIF($B:$B,B7533)&gt;1,""ডুপ্লিকেট"",""""))"),"")</f>
        <v/>
      </c>
      <c r="Q7533" s="5" t="str">
        <f t="shared" si="1"/>
        <v>২ পরে</v>
      </c>
    </row>
    <row r="7534">
      <c r="A7534" s="4">
        <v>5880.0</v>
      </c>
      <c r="B7534" s="2" t="s">
        <v>30440</v>
      </c>
      <c r="C7534" s="2" t="s">
        <v>30441</v>
      </c>
      <c r="D7534" s="2" t="s">
        <v>30442</v>
      </c>
      <c r="E7534" s="2" t="s">
        <v>30443</v>
      </c>
      <c r="F7534" s="2" t="b">
        <v>1</v>
      </c>
      <c r="G7534" s="2" t="b">
        <v>0</v>
      </c>
      <c r="H7534" s="2" t="s">
        <v>37</v>
      </c>
      <c r="I7534" s="2" t="s">
        <v>22</v>
      </c>
      <c r="J7534" s="2" t="s">
        <v>4688</v>
      </c>
      <c r="K7534" s="2" t="s">
        <v>495</v>
      </c>
      <c r="L7534" s="13" t="s">
        <v>496</v>
      </c>
      <c r="M7534" s="2" t="s">
        <v>26</v>
      </c>
      <c r="N7534" s="29"/>
      <c r="O7534" s="29"/>
      <c r="P7534" s="5" t="str">
        <f>IFERROR(__xludf.DUMMYFUNCTION("TEXTJOIN("" | "",TRUE,IF(OR(D7534="""",E7534="""",I7534="""",J7534="""",H7534=""""),""ফাঁকা ঘর"",""""),IF(AND(C7534&lt;&gt;"""",D7534&lt;&gt;"""",C7534=D7534),""gloss=figurative"",""""),IF(LEN(D7534)&lt;15,""figurative ছোট"",""""),IF(AND(I7534=""Positive"",REGEXMATCH(H7"&amp;"534,""মূর্খ|ভণ্ড|প্রতার|অলস|লোভ|স্বার্থ|অক্ষম|অযোগ্য|বোকা|কৃপণ|হিংস"")),""valence-target অমিল"",""""),IF(COUNTIF($B:$B,B7534)&gt;1,""ডুপ্লিকেট"",""""))"),"")</f>
        <v/>
      </c>
      <c r="Q7534" s="5" t="str">
        <f t="shared" si="1"/>
        <v>২ পরে</v>
      </c>
    </row>
    <row r="7535">
      <c r="A7535" s="4">
        <v>5881.0</v>
      </c>
      <c r="B7535" s="2" t="s">
        <v>30444</v>
      </c>
      <c r="C7535" s="2" t="s">
        <v>30445</v>
      </c>
      <c r="D7535" s="2" t="s">
        <v>30446</v>
      </c>
      <c r="E7535" s="2" t="s">
        <v>30447</v>
      </c>
      <c r="F7535" s="2" t="b">
        <v>1</v>
      </c>
      <c r="G7535" s="2" t="b">
        <v>1</v>
      </c>
      <c r="H7535" s="2" t="s">
        <v>1106</v>
      </c>
      <c r="I7535" s="2" t="s">
        <v>22</v>
      </c>
      <c r="J7535" s="2" t="s">
        <v>1315</v>
      </c>
      <c r="K7535" s="2" t="s">
        <v>495</v>
      </c>
      <c r="L7535" s="13" t="s">
        <v>496</v>
      </c>
      <c r="M7535" s="2" t="s">
        <v>26</v>
      </c>
      <c r="N7535" s="29"/>
      <c r="O7535" s="29"/>
      <c r="P7535" s="5" t="str">
        <f>IFERROR(__xludf.DUMMYFUNCTION("TEXTJOIN("" | "",TRUE,IF(OR(D7535="""",E7535="""",I7535="""",J7535="""",H7535=""""),""ফাঁকা ঘর"",""""),IF(AND(C7535&lt;&gt;"""",D7535&lt;&gt;"""",C7535=D7535),""gloss=figurative"",""""),IF(LEN(D7535)&lt;15,""figurative ছোট"",""""),IF(AND(I7535=""Positive"",REGEXMATCH(H7"&amp;"535,""মূর্খ|ভণ্ড|প্রতার|অলস|লোভ|স্বার্থ|অক্ষম|অযোগ্য|বোকা|কৃপণ|হিংস"")),""valence-target অমিল"",""""),IF(COUNTIF($B:$B,B7535)&gt;1,""ডুপ্লিকেট"",""""))"),"")</f>
        <v/>
      </c>
      <c r="Q7535" s="5" t="str">
        <f t="shared" si="1"/>
        <v>২ পরে</v>
      </c>
    </row>
    <row r="7536">
      <c r="A7536" s="4">
        <v>5884.0</v>
      </c>
      <c r="B7536" s="2" t="s">
        <v>30448</v>
      </c>
      <c r="C7536" s="2" t="s">
        <v>30449</v>
      </c>
      <c r="D7536" s="2" t="s">
        <v>30450</v>
      </c>
      <c r="E7536" s="2" t="s">
        <v>30451</v>
      </c>
      <c r="F7536" s="2" t="b">
        <v>1</v>
      </c>
      <c r="G7536" s="2" t="b">
        <v>0</v>
      </c>
      <c r="H7536" s="2" t="s">
        <v>2709</v>
      </c>
      <c r="I7536" s="2" t="s">
        <v>49</v>
      </c>
      <c r="J7536" s="2" t="s">
        <v>300</v>
      </c>
      <c r="K7536" s="2" t="s">
        <v>495</v>
      </c>
      <c r="L7536" s="13" t="s">
        <v>496</v>
      </c>
      <c r="M7536" s="2" t="s">
        <v>26</v>
      </c>
      <c r="N7536" s="29"/>
      <c r="O7536" s="29"/>
      <c r="P7536" s="5" t="str">
        <f>IFERROR(__xludf.DUMMYFUNCTION("TEXTJOIN("" | "",TRUE,IF(OR(D7536="""",E7536="""",I7536="""",J7536="""",H7536=""""),""ফাঁকা ঘর"",""""),IF(AND(C7536&lt;&gt;"""",D7536&lt;&gt;"""",C7536=D7536),""gloss=figurative"",""""),IF(LEN(D7536)&lt;15,""figurative ছোট"",""""),IF(AND(I7536=""Positive"",REGEXMATCH(H7"&amp;"536,""মূর্খ|ভণ্ড|প্রতার|অলস|লোভ|স্বার্থ|অক্ষম|অযোগ্য|বোকা|কৃপণ|হিংস"")),""valence-target অমিল"",""""),IF(COUNTIF($B:$B,B7536)&gt;1,""ডুপ্লিকেট"",""""))"),"")</f>
        <v/>
      </c>
      <c r="Q7536" s="5" t="str">
        <f t="shared" si="1"/>
        <v>২ পরে</v>
      </c>
    </row>
    <row r="7537">
      <c r="A7537" s="4">
        <v>5886.0</v>
      </c>
      <c r="B7537" s="2" t="s">
        <v>30452</v>
      </c>
      <c r="C7537" s="2" t="s">
        <v>30059</v>
      </c>
      <c r="D7537" s="2" t="s">
        <v>30453</v>
      </c>
      <c r="E7537" s="2" t="s">
        <v>30454</v>
      </c>
      <c r="F7537" s="2" t="b">
        <v>1</v>
      </c>
      <c r="G7537" s="2" t="b">
        <v>0</v>
      </c>
      <c r="H7537" s="2" t="s">
        <v>37</v>
      </c>
      <c r="I7537" s="2" t="s">
        <v>22</v>
      </c>
      <c r="J7537" s="2" t="s">
        <v>4026</v>
      </c>
      <c r="K7537" s="2" t="s">
        <v>495</v>
      </c>
      <c r="L7537" s="13" t="s">
        <v>496</v>
      </c>
      <c r="M7537" s="2" t="s">
        <v>26</v>
      </c>
      <c r="N7537" s="29"/>
      <c r="O7537" s="29"/>
      <c r="P7537" s="5" t="str">
        <f>IFERROR(__xludf.DUMMYFUNCTION("TEXTJOIN("" | "",TRUE,IF(OR(D7537="""",E7537="""",I7537="""",J7537="""",H7537=""""),""ফাঁকা ঘর"",""""),IF(AND(C7537&lt;&gt;"""",D7537&lt;&gt;"""",C7537=D7537),""gloss=figurative"",""""),IF(LEN(D7537)&lt;15,""figurative ছোট"",""""),IF(AND(I7537=""Positive"",REGEXMATCH(H7"&amp;"537,""মূর্খ|ভণ্ড|প্রতার|অলস|লোভ|স্বার্থ|অক্ষম|অযোগ্য|বোকা|কৃপণ|হিংস"")),""valence-target অমিল"",""""),IF(COUNTIF($B:$B,B7537)&gt;1,""ডুপ্লিকেট"",""""))"),"")</f>
        <v/>
      </c>
      <c r="Q7537" s="5" t="str">
        <f t="shared" si="1"/>
        <v>২ পরে</v>
      </c>
    </row>
    <row r="7538">
      <c r="A7538" s="4">
        <v>5889.0</v>
      </c>
      <c r="B7538" s="2" t="s">
        <v>30455</v>
      </c>
      <c r="C7538" s="2" t="s">
        <v>30456</v>
      </c>
      <c r="D7538" s="2" t="s">
        <v>30457</v>
      </c>
      <c r="E7538" s="2" t="s">
        <v>30458</v>
      </c>
      <c r="F7538" s="2" t="b">
        <v>1</v>
      </c>
      <c r="G7538" s="2" t="b">
        <v>0</v>
      </c>
      <c r="H7538" s="2" t="s">
        <v>37</v>
      </c>
      <c r="I7538" s="2" t="s">
        <v>49</v>
      </c>
      <c r="J7538" s="2" t="s">
        <v>3701</v>
      </c>
      <c r="K7538" s="2" t="s">
        <v>495</v>
      </c>
      <c r="L7538" s="13" t="s">
        <v>496</v>
      </c>
      <c r="M7538" s="2" t="s">
        <v>26</v>
      </c>
      <c r="N7538" s="29"/>
      <c r="O7538" s="29"/>
      <c r="P7538" s="5" t="str">
        <f>IFERROR(__xludf.DUMMYFUNCTION("TEXTJOIN("" | "",TRUE,IF(OR(D7538="""",E7538="""",I7538="""",J7538="""",H7538=""""),""ফাঁকা ঘর"",""""),IF(AND(C7538&lt;&gt;"""",D7538&lt;&gt;"""",C7538=D7538),""gloss=figurative"",""""),IF(LEN(D7538)&lt;15,""figurative ছোট"",""""),IF(AND(I7538=""Positive"",REGEXMATCH(H7"&amp;"538,""মূর্খ|ভণ্ড|প্রতার|অলস|লোভ|স্বার্থ|অক্ষম|অযোগ্য|বোকা|কৃপণ|হিংস"")),""valence-target অমিল"",""""),IF(COUNTIF($B:$B,B7538)&gt;1,""ডুপ্লিকেট"",""""))"),"")</f>
        <v/>
      </c>
      <c r="Q7538" s="5" t="str">
        <f t="shared" si="1"/>
        <v>২ পরে</v>
      </c>
    </row>
    <row r="7539">
      <c r="A7539" s="4">
        <v>5891.0</v>
      </c>
      <c r="B7539" s="2" t="s">
        <v>30459</v>
      </c>
      <c r="C7539" s="2" t="s">
        <v>30459</v>
      </c>
      <c r="D7539" s="2" t="s">
        <v>30460</v>
      </c>
      <c r="E7539" s="2" t="s">
        <v>30461</v>
      </c>
      <c r="F7539" s="2" t="b">
        <v>1</v>
      </c>
      <c r="G7539" s="2" t="b">
        <v>0</v>
      </c>
      <c r="H7539" s="2" t="s">
        <v>37</v>
      </c>
      <c r="I7539" s="2" t="s">
        <v>32</v>
      </c>
      <c r="J7539" s="2" t="s">
        <v>3475</v>
      </c>
      <c r="K7539" s="2" t="s">
        <v>495</v>
      </c>
      <c r="L7539" s="13" t="s">
        <v>496</v>
      </c>
      <c r="M7539" s="2" t="s">
        <v>26</v>
      </c>
      <c r="N7539" s="29"/>
      <c r="O7539" s="29"/>
      <c r="P7539" s="5" t="str">
        <f>IFERROR(__xludf.DUMMYFUNCTION("TEXTJOIN("" | "",TRUE,IF(OR(D7539="""",E7539="""",I7539="""",J7539="""",H7539=""""),""ফাঁকা ঘর"",""""),IF(AND(C7539&lt;&gt;"""",D7539&lt;&gt;"""",C7539=D7539),""gloss=figurative"",""""),IF(LEN(D7539)&lt;15,""figurative ছোট"",""""),IF(AND(I7539=""Positive"",REGEXMATCH(H7"&amp;"539,""মূর্খ|ভণ্ড|প্রতার|অলস|লোভ|স্বার্থ|অক্ষম|অযোগ্য|বোকা|কৃপণ|হিংস"")),""valence-target অমিল"",""""),IF(COUNTIF($B:$B,B7539)&gt;1,""ডুপ্লিকেট"",""""))"),"")</f>
        <v/>
      </c>
      <c r="Q7539" s="5" t="str">
        <f t="shared" si="1"/>
        <v>২ পরে</v>
      </c>
    </row>
    <row r="7540">
      <c r="A7540" s="4">
        <v>5894.0</v>
      </c>
      <c r="B7540" s="2" t="s">
        <v>30462</v>
      </c>
      <c r="C7540" s="2" t="s">
        <v>30463</v>
      </c>
      <c r="D7540" s="2" t="s">
        <v>28253</v>
      </c>
      <c r="E7540" s="2" t="s">
        <v>30464</v>
      </c>
      <c r="F7540" s="2" t="b">
        <v>1</v>
      </c>
      <c r="G7540" s="2" t="b">
        <v>0</v>
      </c>
      <c r="H7540" s="2" t="s">
        <v>37</v>
      </c>
      <c r="I7540" s="2" t="s">
        <v>49</v>
      </c>
      <c r="J7540" s="2" t="s">
        <v>3783</v>
      </c>
      <c r="K7540" s="2" t="s">
        <v>495</v>
      </c>
      <c r="L7540" s="13" t="s">
        <v>496</v>
      </c>
      <c r="M7540" s="2" t="s">
        <v>26</v>
      </c>
      <c r="N7540" s="29"/>
      <c r="O7540" s="29"/>
      <c r="P7540" s="5" t="str">
        <f>IFERROR(__xludf.DUMMYFUNCTION("TEXTJOIN("" | "",TRUE,IF(OR(D7540="""",E7540="""",I7540="""",J7540="""",H7540=""""),""ফাঁকা ঘর"",""""),IF(AND(C7540&lt;&gt;"""",D7540&lt;&gt;"""",C7540=D7540),""gloss=figurative"",""""),IF(LEN(D7540)&lt;15,""figurative ছোট"",""""),IF(AND(I7540=""Positive"",REGEXMATCH(H7"&amp;"540,""মূর্খ|ভণ্ড|প্রতার|অলস|লোভ|স্বার্থ|অক্ষম|অযোগ্য|বোকা|কৃপণ|হিংস"")),""valence-target অমিল"",""""),IF(COUNTIF($B:$B,B7540)&gt;1,""ডুপ্লিকেট"",""""))"),"")</f>
        <v/>
      </c>
      <c r="Q7540" s="5" t="str">
        <f t="shared" si="1"/>
        <v>২ পরে</v>
      </c>
    </row>
    <row r="7541">
      <c r="A7541" s="4">
        <v>5895.0</v>
      </c>
      <c r="B7541" s="2" t="s">
        <v>30465</v>
      </c>
      <c r="C7541" s="2" t="s">
        <v>30466</v>
      </c>
      <c r="D7541" s="2" t="s">
        <v>28257</v>
      </c>
      <c r="E7541" s="2" t="s">
        <v>30467</v>
      </c>
      <c r="F7541" s="2" t="b">
        <v>1</v>
      </c>
      <c r="G7541" s="2" t="b">
        <v>0</v>
      </c>
      <c r="H7541" s="2" t="s">
        <v>37</v>
      </c>
      <c r="I7541" s="2" t="s">
        <v>49</v>
      </c>
      <c r="J7541" s="2" t="s">
        <v>3783</v>
      </c>
      <c r="K7541" s="2" t="s">
        <v>495</v>
      </c>
      <c r="L7541" s="13" t="s">
        <v>496</v>
      </c>
      <c r="M7541" s="2" t="s">
        <v>26</v>
      </c>
      <c r="N7541" s="29"/>
      <c r="O7541" s="29"/>
      <c r="P7541" s="5" t="str">
        <f>IFERROR(__xludf.DUMMYFUNCTION("TEXTJOIN("" | "",TRUE,IF(OR(D7541="""",E7541="""",I7541="""",J7541="""",H7541=""""),""ফাঁকা ঘর"",""""),IF(AND(C7541&lt;&gt;"""",D7541&lt;&gt;"""",C7541=D7541),""gloss=figurative"",""""),IF(LEN(D7541)&lt;15,""figurative ছোট"",""""),IF(AND(I7541=""Positive"",REGEXMATCH(H7"&amp;"541,""মূর্খ|ভণ্ড|প্রতার|অলস|লোভ|স্বার্থ|অক্ষম|অযোগ্য|বোকা|কৃপণ|হিংস"")),""valence-target অমিল"",""""),IF(COUNTIF($B:$B,B7541)&gt;1,""ডুপ্লিকেট"",""""))"),"")</f>
        <v/>
      </c>
      <c r="Q7541" s="5" t="str">
        <f t="shared" si="1"/>
        <v>২ পরে</v>
      </c>
    </row>
    <row r="7542">
      <c r="A7542" s="4">
        <v>5897.0</v>
      </c>
      <c r="B7542" s="2" t="s">
        <v>30468</v>
      </c>
      <c r="C7542" s="2" t="s">
        <v>30469</v>
      </c>
      <c r="D7542" s="2" t="s">
        <v>30470</v>
      </c>
      <c r="E7542" s="2" t="s">
        <v>30471</v>
      </c>
      <c r="F7542" s="2" t="b">
        <v>1</v>
      </c>
      <c r="G7542" s="2" t="b">
        <v>0</v>
      </c>
      <c r="H7542" s="2" t="s">
        <v>37</v>
      </c>
      <c r="I7542" s="2" t="s">
        <v>32</v>
      </c>
      <c r="J7542" s="2" t="s">
        <v>3156</v>
      </c>
      <c r="K7542" s="2" t="s">
        <v>495</v>
      </c>
      <c r="L7542" s="13" t="s">
        <v>496</v>
      </c>
      <c r="M7542" s="2" t="s">
        <v>26</v>
      </c>
      <c r="N7542" s="29"/>
      <c r="O7542" s="29"/>
      <c r="P7542" s="5" t="str">
        <f>IFERROR(__xludf.DUMMYFUNCTION("TEXTJOIN("" | "",TRUE,IF(OR(D7542="""",E7542="""",I7542="""",J7542="""",H7542=""""),""ফাঁকা ঘর"",""""),IF(AND(C7542&lt;&gt;"""",D7542&lt;&gt;"""",C7542=D7542),""gloss=figurative"",""""),IF(LEN(D7542)&lt;15,""figurative ছোট"",""""),IF(AND(I7542=""Positive"",REGEXMATCH(H7"&amp;"542,""মূর্খ|ভণ্ড|প্রতার|অলস|লোভ|স্বার্থ|অক্ষম|অযোগ্য|বোকা|কৃপণ|হিংস"")),""valence-target অমিল"",""""),IF(COUNTIF($B:$B,B7542)&gt;1,""ডুপ্লিকেট"",""""))"),"")</f>
        <v/>
      </c>
      <c r="Q7542" s="5" t="str">
        <f t="shared" si="1"/>
        <v>২ পরে</v>
      </c>
    </row>
    <row r="7543">
      <c r="A7543" s="4">
        <v>5898.0</v>
      </c>
      <c r="B7543" s="2" t="s">
        <v>30472</v>
      </c>
      <c r="C7543" s="2" t="s">
        <v>30473</v>
      </c>
      <c r="D7543" s="2" t="s">
        <v>30474</v>
      </c>
      <c r="E7543" s="2" t="s">
        <v>30475</v>
      </c>
      <c r="F7543" s="2" t="b">
        <v>1</v>
      </c>
      <c r="G7543" s="2" t="b">
        <v>0</v>
      </c>
      <c r="H7543" s="2" t="s">
        <v>37</v>
      </c>
      <c r="I7543" s="2" t="s">
        <v>32</v>
      </c>
      <c r="J7543" s="2" t="s">
        <v>3156</v>
      </c>
      <c r="K7543" s="2" t="s">
        <v>495</v>
      </c>
      <c r="L7543" s="13" t="s">
        <v>496</v>
      </c>
      <c r="M7543" s="2" t="s">
        <v>26</v>
      </c>
      <c r="N7543" s="29"/>
      <c r="O7543" s="29"/>
      <c r="P7543" s="5" t="str">
        <f>IFERROR(__xludf.DUMMYFUNCTION("TEXTJOIN("" | "",TRUE,IF(OR(D7543="""",E7543="""",I7543="""",J7543="""",H7543=""""),""ফাঁকা ঘর"",""""),IF(AND(C7543&lt;&gt;"""",D7543&lt;&gt;"""",C7543=D7543),""gloss=figurative"",""""),IF(LEN(D7543)&lt;15,""figurative ছোট"",""""),IF(AND(I7543=""Positive"",REGEXMATCH(H7"&amp;"543,""মূর্খ|ভণ্ড|প্রতার|অলস|লোভ|স্বার্থ|অক্ষম|অযোগ্য|বোকা|কৃপণ|হিংস"")),""valence-target অমিল"",""""),IF(COUNTIF($B:$B,B7543)&gt;1,""ডুপ্লিকেট"",""""))"),"")</f>
        <v/>
      </c>
      <c r="Q7543" s="5" t="str">
        <f t="shared" si="1"/>
        <v>২ পরে</v>
      </c>
    </row>
    <row r="7544">
      <c r="A7544" s="4">
        <v>5899.0</v>
      </c>
      <c r="B7544" s="2" t="s">
        <v>30476</v>
      </c>
      <c r="C7544" s="2" t="s">
        <v>30477</v>
      </c>
      <c r="D7544" s="2" t="s">
        <v>30478</v>
      </c>
      <c r="E7544" s="2" t="s">
        <v>30479</v>
      </c>
      <c r="F7544" s="2" t="b">
        <v>1</v>
      </c>
      <c r="G7544" s="2" t="b">
        <v>0</v>
      </c>
      <c r="H7544" s="2" t="s">
        <v>756</v>
      </c>
      <c r="I7544" s="2" t="s">
        <v>22</v>
      </c>
      <c r="J7544" s="2" t="s">
        <v>2732</v>
      </c>
      <c r="K7544" s="2" t="s">
        <v>495</v>
      </c>
      <c r="L7544" s="13" t="s">
        <v>496</v>
      </c>
      <c r="M7544" s="2" t="s">
        <v>26</v>
      </c>
      <c r="N7544" s="29"/>
      <c r="O7544" s="29"/>
      <c r="P7544" s="5" t="str">
        <f>IFERROR(__xludf.DUMMYFUNCTION("TEXTJOIN("" | "",TRUE,IF(OR(D7544="""",E7544="""",I7544="""",J7544="""",H7544=""""),""ফাঁকা ঘর"",""""),IF(AND(C7544&lt;&gt;"""",D7544&lt;&gt;"""",C7544=D7544),""gloss=figurative"",""""),IF(LEN(D7544)&lt;15,""figurative ছোট"",""""),IF(AND(I7544=""Positive"",REGEXMATCH(H7"&amp;"544,""মূর্খ|ভণ্ড|প্রতার|অলস|লোভ|স্বার্থ|অক্ষম|অযোগ্য|বোকা|কৃপণ|হিংস"")),""valence-target অমিল"",""""),IF(COUNTIF($B:$B,B7544)&gt;1,""ডুপ্লিকেট"",""""))"),"")</f>
        <v/>
      </c>
      <c r="Q7544" s="5" t="str">
        <f t="shared" si="1"/>
        <v>২ পরে</v>
      </c>
    </row>
    <row r="7545">
      <c r="A7545" s="4">
        <v>5900.0</v>
      </c>
      <c r="B7545" s="2" t="s">
        <v>30480</v>
      </c>
      <c r="C7545" s="2" t="s">
        <v>30481</v>
      </c>
      <c r="D7545" s="2" t="s">
        <v>30482</v>
      </c>
      <c r="E7545" s="2" t="s">
        <v>30483</v>
      </c>
      <c r="F7545" s="2" t="b">
        <v>1</v>
      </c>
      <c r="G7545" s="2" t="b">
        <v>0</v>
      </c>
      <c r="H7545" s="2" t="s">
        <v>37</v>
      </c>
      <c r="I7545" s="2" t="s">
        <v>49</v>
      </c>
      <c r="J7545" s="2" t="s">
        <v>708</v>
      </c>
      <c r="K7545" s="2" t="s">
        <v>495</v>
      </c>
      <c r="L7545" s="13" t="s">
        <v>496</v>
      </c>
      <c r="M7545" s="2" t="s">
        <v>26</v>
      </c>
      <c r="N7545" s="29"/>
      <c r="O7545" s="29"/>
      <c r="P7545" s="5" t="str">
        <f>IFERROR(__xludf.DUMMYFUNCTION("TEXTJOIN("" | "",TRUE,IF(OR(D7545="""",E7545="""",I7545="""",J7545="""",H7545=""""),""ফাঁকা ঘর"",""""),IF(AND(C7545&lt;&gt;"""",D7545&lt;&gt;"""",C7545=D7545),""gloss=figurative"",""""),IF(LEN(D7545)&lt;15,""figurative ছোট"",""""),IF(AND(I7545=""Positive"",REGEXMATCH(H7"&amp;"545,""মূর্খ|ভণ্ড|প্রতার|অলস|লোভ|স্বার্থ|অক্ষম|অযোগ্য|বোকা|কৃপণ|হিংস"")),""valence-target অমিল"",""""),IF(COUNTIF($B:$B,B7545)&gt;1,""ডুপ্লিকেট"",""""))"),"")</f>
        <v/>
      </c>
      <c r="Q7545" s="5" t="str">
        <f t="shared" si="1"/>
        <v>২ পরে</v>
      </c>
    </row>
    <row r="7546">
      <c r="A7546" s="4">
        <v>5902.0</v>
      </c>
      <c r="B7546" s="2" t="s">
        <v>30484</v>
      </c>
      <c r="C7546" s="2" t="s">
        <v>30485</v>
      </c>
      <c r="D7546" s="2" t="s">
        <v>30486</v>
      </c>
      <c r="E7546" s="2" t="s">
        <v>30487</v>
      </c>
      <c r="F7546" s="2" t="b">
        <v>1</v>
      </c>
      <c r="G7546" s="2" t="b">
        <v>0</v>
      </c>
      <c r="H7546" s="2" t="s">
        <v>37</v>
      </c>
      <c r="I7546" s="2" t="s">
        <v>49</v>
      </c>
      <c r="J7546" s="2" t="s">
        <v>708</v>
      </c>
      <c r="K7546" s="2" t="s">
        <v>495</v>
      </c>
      <c r="L7546" s="13" t="s">
        <v>496</v>
      </c>
      <c r="M7546" s="2" t="s">
        <v>26</v>
      </c>
      <c r="N7546" s="29"/>
      <c r="O7546" s="29"/>
      <c r="P7546" s="5" t="str">
        <f>IFERROR(__xludf.DUMMYFUNCTION("TEXTJOIN("" | "",TRUE,IF(OR(D7546="""",E7546="""",I7546="""",J7546="""",H7546=""""),""ফাঁকা ঘর"",""""),IF(AND(C7546&lt;&gt;"""",D7546&lt;&gt;"""",C7546=D7546),""gloss=figurative"",""""),IF(LEN(D7546)&lt;15,""figurative ছোট"",""""),IF(AND(I7546=""Positive"",REGEXMATCH(H7"&amp;"546,""মূর্খ|ভণ্ড|প্রতার|অলস|লোভ|স্বার্থ|অক্ষম|অযোগ্য|বোকা|কৃপণ|হিংস"")),""valence-target অমিল"",""""),IF(COUNTIF($B:$B,B7546)&gt;1,""ডুপ্লিকেট"",""""))"),"")</f>
        <v/>
      </c>
      <c r="Q7546" s="5" t="str">
        <f t="shared" si="1"/>
        <v>২ পরে</v>
      </c>
    </row>
    <row r="7547">
      <c r="A7547" s="4">
        <v>5903.0</v>
      </c>
      <c r="B7547" s="2" t="s">
        <v>30488</v>
      </c>
      <c r="C7547" s="2" t="s">
        <v>30489</v>
      </c>
      <c r="D7547" s="2" t="s">
        <v>30490</v>
      </c>
      <c r="E7547" s="2" t="s">
        <v>30491</v>
      </c>
      <c r="F7547" s="2" t="b">
        <v>1</v>
      </c>
      <c r="G7547" s="2" t="b">
        <v>0</v>
      </c>
      <c r="H7547" s="2" t="s">
        <v>37</v>
      </c>
      <c r="I7547" s="2" t="s">
        <v>49</v>
      </c>
      <c r="J7547" s="2" t="s">
        <v>924</v>
      </c>
      <c r="K7547" s="2" t="s">
        <v>495</v>
      </c>
      <c r="L7547" s="13" t="s">
        <v>496</v>
      </c>
      <c r="M7547" s="2" t="s">
        <v>26</v>
      </c>
      <c r="N7547" s="29"/>
      <c r="O7547" s="29"/>
      <c r="P7547" s="5" t="str">
        <f>IFERROR(__xludf.DUMMYFUNCTION("TEXTJOIN("" | "",TRUE,IF(OR(D7547="""",E7547="""",I7547="""",J7547="""",H7547=""""),""ফাঁকা ঘর"",""""),IF(AND(C7547&lt;&gt;"""",D7547&lt;&gt;"""",C7547=D7547),""gloss=figurative"",""""),IF(LEN(D7547)&lt;15,""figurative ছোট"",""""),IF(AND(I7547=""Positive"",REGEXMATCH(H7"&amp;"547,""মূর্খ|ভণ্ড|প্রতার|অলস|লোভ|স্বার্থ|অক্ষম|অযোগ্য|বোকা|কৃপণ|হিংস"")),""valence-target অমিল"",""""),IF(COUNTIF($B:$B,B7547)&gt;1,""ডুপ্লিকেট"",""""))"),"")</f>
        <v/>
      </c>
      <c r="Q7547" s="5" t="str">
        <f t="shared" si="1"/>
        <v>২ পরে</v>
      </c>
    </row>
    <row r="7548">
      <c r="A7548" s="4">
        <v>5906.0</v>
      </c>
      <c r="B7548" s="2" t="s">
        <v>30492</v>
      </c>
      <c r="C7548" s="2" t="s">
        <v>30493</v>
      </c>
      <c r="D7548" s="2" t="s">
        <v>30494</v>
      </c>
      <c r="E7548" s="2" t="s">
        <v>30495</v>
      </c>
      <c r="F7548" s="2" t="b">
        <v>1</v>
      </c>
      <c r="G7548" s="2" t="b">
        <v>0</v>
      </c>
      <c r="H7548" s="2" t="s">
        <v>37</v>
      </c>
      <c r="I7548" s="2" t="s">
        <v>32</v>
      </c>
      <c r="J7548" s="2" t="s">
        <v>2122</v>
      </c>
      <c r="K7548" s="2" t="s">
        <v>495</v>
      </c>
      <c r="L7548" s="13" t="s">
        <v>496</v>
      </c>
      <c r="M7548" s="2" t="s">
        <v>26</v>
      </c>
      <c r="N7548" s="29"/>
      <c r="O7548" s="29"/>
      <c r="P7548" s="5" t="str">
        <f>IFERROR(__xludf.DUMMYFUNCTION("TEXTJOIN("" | "",TRUE,IF(OR(D7548="""",E7548="""",I7548="""",J7548="""",H7548=""""),""ফাঁকা ঘর"",""""),IF(AND(C7548&lt;&gt;"""",D7548&lt;&gt;"""",C7548=D7548),""gloss=figurative"",""""),IF(LEN(D7548)&lt;15,""figurative ছোট"",""""),IF(AND(I7548=""Positive"",REGEXMATCH(H7"&amp;"548,""মূর্খ|ভণ্ড|প্রতার|অলস|লোভ|স্বার্থ|অক্ষম|অযোগ্য|বোকা|কৃপণ|হিংস"")),""valence-target অমিল"",""""),IF(COUNTIF($B:$B,B7548)&gt;1,""ডুপ্লিকেট"",""""))"),"")</f>
        <v/>
      </c>
      <c r="Q7548" s="5" t="str">
        <f t="shared" si="1"/>
        <v>২ পরে</v>
      </c>
    </row>
    <row r="7549">
      <c r="A7549" s="4">
        <v>5908.0</v>
      </c>
      <c r="B7549" s="2" t="s">
        <v>30496</v>
      </c>
      <c r="C7549" s="2" t="s">
        <v>30497</v>
      </c>
      <c r="D7549" s="2" t="s">
        <v>30498</v>
      </c>
      <c r="E7549" s="2" t="s">
        <v>30499</v>
      </c>
      <c r="F7549" s="2" t="b">
        <v>1</v>
      </c>
      <c r="G7549" s="2" t="b">
        <v>0</v>
      </c>
      <c r="H7549" s="2" t="s">
        <v>37</v>
      </c>
      <c r="I7549" s="2" t="s">
        <v>32</v>
      </c>
      <c r="J7549" s="2" t="s">
        <v>2835</v>
      </c>
      <c r="K7549" s="2" t="s">
        <v>495</v>
      </c>
      <c r="L7549" s="13" t="s">
        <v>496</v>
      </c>
      <c r="M7549" s="2" t="s">
        <v>26</v>
      </c>
      <c r="N7549" s="29"/>
      <c r="O7549" s="29"/>
      <c r="P7549" s="5" t="str">
        <f>IFERROR(__xludf.DUMMYFUNCTION("TEXTJOIN("" | "",TRUE,IF(OR(D7549="""",E7549="""",I7549="""",J7549="""",H7549=""""),""ফাঁকা ঘর"",""""),IF(AND(C7549&lt;&gt;"""",D7549&lt;&gt;"""",C7549=D7549),""gloss=figurative"",""""),IF(LEN(D7549)&lt;15,""figurative ছোট"",""""),IF(AND(I7549=""Positive"",REGEXMATCH(H7"&amp;"549,""মূর্খ|ভণ্ড|প্রতার|অলস|লোভ|স্বার্থ|অক্ষম|অযোগ্য|বোকা|কৃপণ|হিংস"")),""valence-target অমিল"",""""),IF(COUNTIF($B:$B,B7549)&gt;1,""ডুপ্লিকেট"",""""))"),"")</f>
        <v/>
      </c>
      <c r="Q7549" s="5" t="str">
        <f t="shared" si="1"/>
        <v>২ পরে</v>
      </c>
    </row>
    <row r="7550">
      <c r="A7550" s="4">
        <v>5912.0</v>
      </c>
      <c r="B7550" s="2" t="s">
        <v>30500</v>
      </c>
      <c r="C7550" s="2" t="s">
        <v>30501</v>
      </c>
      <c r="D7550" s="2" t="s">
        <v>30502</v>
      </c>
      <c r="E7550" s="2" t="s">
        <v>30503</v>
      </c>
      <c r="F7550" s="2" t="b">
        <v>1</v>
      </c>
      <c r="G7550" s="2" t="b">
        <v>0</v>
      </c>
      <c r="H7550" s="2" t="s">
        <v>37</v>
      </c>
      <c r="I7550" s="2" t="s">
        <v>49</v>
      </c>
      <c r="J7550" s="2" t="s">
        <v>1454</v>
      </c>
      <c r="K7550" s="2" t="s">
        <v>495</v>
      </c>
      <c r="L7550" s="13" t="s">
        <v>496</v>
      </c>
      <c r="M7550" s="2" t="s">
        <v>26</v>
      </c>
      <c r="N7550" s="29"/>
      <c r="O7550" s="29"/>
      <c r="P7550" s="5" t="str">
        <f>IFERROR(__xludf.DUMMYFUNCTION("TEXTJOIN("" | "",TRUE,IF(OR(D7550="""",E7550="""",I7550="""",J7550="""",H7550=""""),""ফাঁকা ঘর"",""""),IF(AND(C7550&lt;&gt;"""",D7550&lt;&gt;"""",C7550=D7550),""gloss=figurative"",""""),IF(LEN(D7550)&lt;15,""figurative ছোট"",""""),IF(AND(I7550=""Positive"",REGEXMATCH(H7"&amp;"550,""মূর্খ|ভণ্ড|প্রতার|অলস|লোভ|স্বার্থ|অক্ষম|অযোগ্য|বোকা|কৃপণ|হিংস"")),""valence-target অমিল"",""""),IF(COUNTIF($B:$B,B7550)&gt;1,""ডুপ্লিকেট"",""""))"),"")</f>
        <v/>
      </c>
      <c r="Q7550" s="5" t="str">
        <f t="shared" si="1"/>
        <v>২ পরে</v>
      </c>
    </row>
    <row r="7551">
      <c r="A7551" s="4">
        <v>5914.0</v>
      </c>
      <c r="B7551" s="2" t="s">
        <v>30504</v>
      </c>
      <c r="C7551" s="2" t="s">
        <v>30505</v>
      </c>
      <c r="D7551" s="2" t="s">
        <v>30506</v>
      </c>
      <c r="E7551" s="2" t="s">
        <v>7736</v>
      </c>
      <c r="F7551" s="2" t="b">
        <v>1</v>
      </c>
      <c r="G7551" s="2" t="b">
        <v>0</v>
      </c>
      <c r="H7551" s="2" t="s">
        <v>37</v>
      </c>
      <c r="I7551" s="2" t="s">
        <v>49</v>
      </c>
      <c r="J7551" s="2" t="s">
        <v>5524</v>
      </c>
      <c r="K7551" s="2" t="s">
        <v>495</v>
      </c>
      <c r="L7551" s="13" t="s">
        <v>496</v>
      </c>
      <c r="M7551" s="2" t="s">
        <v>26</v>
      </c>
      <c r="N7551" s="29"/>
      <c r="O7551" s="29"/>
      <c r="P7551" s="5" t="str">
        <f>IFERROR(__xludf.DUMMYFUNCTION("TEXTJOIN("" | "",TRUE,IF(OR(D7551="""",E7551="""",I7551="""",J7551="""",H7551=""""),""ফাঁকা ঘর"",""""),IF(AND(C7551&lt;&gt;"""",D7551&lt;&gt;"""",C7551=D7551),""gloss=figurative"",""""),IF(LEN(D7551)&lt;15,""figurative ছোট"",""""),IF(AND(I7551=""Positive"",REGEXMATCH(H7"&amp;"551,""মূর্খ|ভণ্ড|প্রতার|অলস|লোভ|স্বার্থ|অক্ষম|অযোগ্য|বোকা|কৃপণ|হিংস"")),""valence-target অমিল"",""""),IF(COUNTIF($B:$B,B7551)&gt;1,""ডুপ্লিকেট"",""""))"),"")</f>
        <v/>
      </c>
      <c r="Q7551" s="5" t="str">
        <f t="shared" si="1"/>
        <v>২ পরে</v>
      </c>
    </row>
    <row r="7552">
      <c r="A7552" s="4">
        <v>5915.0</v>
      </c>
      <c r="B7552" s="2" t="s">
        <v>30507</v>
      </c>
      <c r="C7552" s="2" t="s">
        <v>30507</v>
      </c>
      <c r="D7552" s="2" t="s">
        <v>30508</v>
      </c>
      <c r="E7552" s="2" t="s">
        <v>30509</v>
      </c>
      <c r="F7552" s="2" t="b">
        <v>1</v>
      </c>
      <c r="G7552" s="2" t="b">
        <v>0</v>
      </c>
      <c r="H7552" s="2" t="s">
        <v>37</v>
      </c>
      <c r="I7552" s="2" t="s">
        <v>22</v>
      </c>
      <c r="J7552" s="2" t="s">
        <v>1944</v>
      </c>
      <c r="K7552" s="2" t="s">
        <v>495</v>
      </c>
      <c r="L7552" s="13" t="s">
        <v>496</v>
      </c>
      <c r="M7552" s="2" t="s">
        <v>26</v>
      </c>
      <c r="N7552" s="29"/>
      <c r="O7552" s="29"/>
      <c r="P7552" s="5" t="str">
        <f>IFERROR(__xludf.DUMMYFUNCTION("TEXTJOIN("" | "",TRUE,IF(OR(D7552="""",E7552="""",I7552="""",J7552="""",H7552=""""),""ফাঁকা ঘর"",""""),IF(AND(C7552&lt;&gt;"""",D7552&lt;&gt;"""",C7552=D7552),""gloss=figurative"",""""),IF(LEN(D7552)&lt;15,""figurative ছোট"",""""),IF(AND(I7552=""Positive"",REGEXMATCH(H7"&amp;"552,""মূর্খ|ভণ্ড|প্রতার|অলস|লোভ|স্বার্থ|অক্ষম|অযোগ্য|বোকা|কৃপণ|হিংস"")),""valence-target অমিল"",""""),IF(COUNTIF($B:$B,B7552)&gt;1,""ডুপ্লিকেট"",""""))"),"")</f>
        <v/>
      </c>
      <c r="Q7552" s="5" t="str">
        <f t="shared" si="1"/>
        <v>২ পরে</v>
      </c>
    </row>
    <row r="7553">
      <c r="A7553" s="4">
        <v>5917.0</v>
      </c>
      <c r="B7553" s="2" t="s">
        <v>30510</v>
      </c>
      <c r="C7553" s="2" t="s">
        <v>30511</v>
      </c>
      <c r="D7553" s="2" t="s">
        <v>30512</v>
      </c>
      <c r="E7553" s="2" t="s">
        <v>30513</v>
      </c>
      <c r="F7553" s="2" t="b">
        <v>1</v>
      </c>
      <c r="G7553" s="2" t="b">
        <v>0</v>
      </c>
      <c r="H7553" s="2" t="s">
        <v>37</v>
      </c>
      <c r="I7553" s="2" t="s">
        <v>22</v>
      </c>
      <c r="J7553" s="2" t="s">
        <v>1013</v>
      </c>
      <c r="K7553" s="2" t="s">
        <v>495</v>
      </c>
      <c r="L7553" s="13" t="s">
        <v>496</v>
      </c>
      <c r="M7553" s="2" t="s">
        <v>26</v>
      </c>
      <c r="N7553" s="29"/>
      <c r="O7553" s="29"/>
      <c r="P7553" s="5" t="str">
        <f>IFERROR(__xludf.DUMMYFUNCTION("TEXTJOIN("" | "",TRUE,IF(OR(D7553="""",E7553="""",I7553="""",J7553="""",H7553=""""),""ফাঁকা ঘর"",""""),IF(AND(C7553&lt;&gt;"""",D7553&lt;&gt;"""",C7553=D7553),""gloss=figurative"",""""),IF(LEN(D7553)&lt;15,""figurative ছোট"",""""),IF(AND(I7553=""Positive"",REGEXMATCH(H7"&amp;"553,""মূর্খ|ভণ্ড|প্রতার|অলস|লোভ|স্বার্থ|অক্ষম|অযোগ্য|বোকা|কৃপণ|হিংস"")),""valence-target অমিল"",""""),IF(COUNTIF($B:$B,B7553)&gt;1,""ডুপ্লিকেট"",""""))"),"")</f>
        <v/>
      </c>
      <c r="Q7553" s="5" t="str">
        <f t="shared" si="1"/>
        <v>২ পরে</v>
      </c>
    </row>
    <row r="7554">
      <c r="A7554" s="4">
        <v>5919.0</v>
      </c>
      <c r="B7554" s="2" t="s">
        <v>30514</v>
      </c>
      <c r="C7554" s="2" t="s">
        <v>30515</v>
      </c>
      <c r="D7554" s="2" t="s">
        <v>30516</v>
      </c>
      <c r="E7554" s="2" t="s">
        <v>30517</v>
      </c>
      <c r="F7554" s="2" t="b">
        <v>1</v>
      </c>
      <c r="G7554" s="2" t="b">
        <v>0</v>
      </c>
      <c r="H7554" s="2" t="s">
        <v>37</v>
      </c>
      <c r="I7554" s="2" t="s">
        <v>22</v>
      </c>
      <c r="J7554" s="2" t="s">
        <v>848</v>
      </c>
      <c r="K7554" s="2" t="s">
        <v>495</v>
      </c>
      <c r="L7554" s="13" t="s">
        <v>496</v>
      </c>
      <c r="M7554" s="2" t="s">
        <v>26</v>
      </c>
      <c r="N7554" s="29"/>
      <c r="O7554" s="29"/>
      <c r="P7554" s="5" t="str">
        <f>IFERROR(__xludf.DUMMYFUNCTION("TEXTJOIN("" | "",TRUE,IF(OR(D7554="""",E7554="""",I7554="""",J7554="""",H7554=""""),""ফাঁকা ঘর"",""""),IF(AND(C7554&lt;&gt;"""",D7554&lt;&gt;"""",C7554=D7554),""gloss=figurative"",""""),IF(LEN(D7554)&lt;15,""figurative ছোট"",""""),IF(AND(I7554=""Positive"",REGEXMATCH(H7"&amp;"554,""মূর্খ|ভণ্ড|প্রতার|অলস|লোভ|স্বার্থ|অক্ষম|অযোগ্য|বোকা|কৃপণ|হিংস"")),""valence-target অমিল"",""""),IF(COUNTIF($B:$B,B7554)&gt;1,""ডুপ্লিকেট"",""""))"),"")</f>
        <v/>
      </c>
      <c r="Q7554" s="5" t="str">
        <f t="shared" si="1"/>
        <v>২ পরে</v>
      </c>
    </row>
    <row r="7555">
      <c r="A7555" s="4">
        <v>5920.0</v>
      </c>
      <c r="B7555" s="2" t="s">
        <v>30518</v>
      </c>
      <c r="C7555" s="2" t="s">
        <v>30519</v>
      </c>
      <c r="D7555" s="2" t="s">
        <v>30520</v>
      </c>
      <c r="E7555" s="2" t="s">
        <v>30521</v>
      </c>
      <c r="F7555" s="2" t="b">
        <v>1</v>
      </c>
      <c r="G7555" s="2" t="b">
        <v>0</v>
      </c>
      <c r="H7555" s="2" t="s">
        <v>37</v>
      </c>
      <c r="I7555" s="2" t="s">
        <v>22</v>
      </c>
      <c r="J7555" s="2" t="s">
        <v>20727</v>
      </c>
      <c r="K7555" s="2" t="s">
        <v>495</v>
      </c>
      <c r="L7555" s="13" t="s">
        <v>496</v>
      </c>
      <c r="M7555" s="2" t="s">
        <v>26</v>
      </c>
      <c r="N7555" s="29"/>
      <c r="O7555" s="29"/>
      <c r="P7555" s="5" t="str">
        <f>IFERROR(__xludf.DUMMYFUNCTION("TEXTJOIN("" | "",TRUE,IF(OR(D7555="""",E7555="""",I7555="""",J7555="""",H7555=""""),""ফাঁকা ঘর"",""""),IF(AND(C7555&lt;&gt;"""",D7555&lt;&gt;"""",C7555=D7555),""gloss=figurative"",""""),IF(LEN(D7555)&lt;15,""figurative ছোট"",""""),IF(AND(I7555=""Positive"",REGEXMATCH(H7"&amp;"555,""মূর্খ|ভণ্ড|প্রতার|অলস|লোভ|স্বার্থ|অক্ষম|অযোগ্য|বোকা|কৃপণ|হিংস"")),""valence-target অমিল"",""""),IF(COUNTIF($B:$B,B7555)&gt;1,""ডুপ্লিকেট"",""""))"),"")</f>
        <v/>
      </c>
      <c r="Q7555" s="5" t="str">
        <f t="shared" si="1"/>
        <v>২ পরে</v>
      </c>
    </row>
    <row r="7556">
      <c r="A7556" s="4">
        <v>5922.0</v>
      </c>
      <c r="B7556" s="2" t="s">
        <v>13556</v>
      </c>
      <c r="C7556" s="2" t="s">
        <v>30522</v>
      </c>
      <c r="D7556" s="2" t="s">
        <v>30523</v>
      </c>
      <c r="E7556" s="2" t="s">
        <v>30524</v>
      </c>
      <c r="F7556" s="2" t="b">
        <v>1</v>
      </c>
      <c r="G7556" s="2" t="b">
        <v>0</v>
      </c>
      <c r="H7556" s="2" t="s">
        <v>37</v>
      </c>
      <c r="I7556" s="2" t="s">
        <v>22</v>
      </c>
      <c r="J7556" s="2" t="s">
        <v>1438</v>
      </c>
      <c r="K7556" s="2" t="s">
        <v>495</v>
      </c>
      <c r="L7556" s="13" t="s">
        <v>496</v>
      </c>
      <c r="M7556" s="2" t="s">
        <v>26</v>
      </c>
      <c r="N7556" s="29"/>
      <c r="O7556" s="29"/>
      <c r="P7556" s="5" t="str">
        <f>IFERROR(__xludf.DUMMYFUNCTION("TEXTJOIN("" | "",TRUE,IF(OR(D7556="""",E7556="""",I7556="""",J7556="""",H7556=""""),""ফাঁকা ঘর"",""""),IF(AND(C7556&lt;&gt;"""",D7556&lt;&gt;"""",C7556=D7556),""gloss=figurative"",""""),IF(LEN(D7556)&lt;15,""figurative ছোট"",""""),IF(AND(I7556=""Positive"",REGEXMATCH(H7"&amp;"556,""মূর্খ|ভণ্ড|প্রতার|অলস|লোভ|স্বার্থ|অক্ষম|অযোগ্য|বোকা|কৃপণ|হিংস"")),""valence-target অমিল"",""""),IF(COUNTIF($B:$B,B7556)&gt;1,""ডুপ্লিকেট"",""""))"),"")</f>
        <v/>
      </c>
      <c r="Q7556" s="5" t="str">
        <f t="shared" si="1"/>
        <v>২ পরে</v>
      </c>
    </row>
    <row r="7557">
      <c r="A7557" s="4">
        <v>5924.0</v>
      </c>
      <c r="B7557" s="2" t="s">
        <v>30525</v>
      </c>
      <c r="C7557" s="2" t="s">
        <v>30526</v>
      </c>
      <c r="D7557" s="2" t="s">
        <v>30527</v>
      </c>
      <c r="E7557" s="2" t="s">
        <v>30528</v>
      </c>
      <c r="F7557" s="2" t="b">
        <v>1</v>
      </c>
      <c r="G7557" s="2" t="b">
        <v>0</v>
      </c>
      <c r="H7557" s="2" t="s">
        <v>37</v>
      </c>
      <c r="I7557" s="2" t="s">
        <v>22</v>
      </c>
      <c r="J7557" s="2" t="s">
        <v>2869</v>
      </c>
      <c r="K7557" s="2" t="s">
        <v>495</v>
      </c>
      <c r="L7557" s="13" t="s">
        <v>496</v>
      </c>
      <c r="M7557" s="2" t="s">
        <v>26</v>
      </c>
      <c r="N7557" s="29"/>
      <c r="O7557" s="29"/>
      <c r="P7557" s="5" t="str">
        <f>IFERROR(__xludf.DUMMYFUNCTION("TEXTJOIN("" | "",TRUE,IF(OR(D7557="""",E7557="""",I7557="""",J7557="""",H7557=""""),""ফাঁকা ঘর"",""""),IF(AND(C7557&lt;&gt;"""",D7557&lt;&gt;"""",C7557=D7557),""gloss=figurative"",""""),IF(LEN(D7557)&lt;15,""figurative ছোট"",""""),IF(AND(I7557=""Positive"",REGEXMATCH(H7"&amp;"557,""মূর্খ|ভণ্ড|প্রতার|অলস|লোভ|স্বার্থ|অক্ষম|অযোগ্য|বোকা|কৃপণ|হিংস"")),""valence-target অমিল"",""""),IF(COUNTIF($B:$B,B7557)&gt;1,""ডুপ্লিকেট"",""""))"),"")</f>
        <v/>
      </c>
      <c r="Q7557" s="5" t="str">
        <f t="shared" si="1"/>
        <v>২ পরে</v>
      </c>
    </row>
    <row r="7558">
      <c r="A7558" s="4">
        <v>5925.0</v>
      </c>
      <c r="B7558" s="2" t="s">
        <v>30529</v>
      </c>
      <c r="C7558" s="2" t="s">
        <v>30530</v>
      </c>
      <c r="D7558" s="2" t="s">
        <v>30531</v>
      </c>
      <c r="E7558" s="2" t="s">
        <v>30532</v>
      </c>
      <c r="F7558" s="2" t="b">
        <v>1</v>
      </c>
      <c r="G7558" s="2" t="b">
        <v>0</v>
      </c>
      <c r="H7558" s="2" t="s">
        <v>37</v>
      </c>
      <c r="I7558" s="2" t="s">
        <v>22</v>
      </c>
      <c r="J7558" s="2" t="s">
        <v>565</v>
      </c>
      <c r="K7558" s="2" t="s">
        <v>495</v>
      </c>
      <c r="L7558" s="13" t="s">
        <v>496</v>
      </c>
      <c r="M7558" s="2" t="s">
        <v>26</v>
      </c>
      <c r="N7558" s="29"/>
      <c r="O7558" s="29"/>
      <c r="P7558" s="5" t="str">
        <f>IFERROR(__xludf.DUMMYFUNCTION("TEXTJOIN("" | "",TRUE,IF(OR(D7558="""",E7558="""",I7558="""",J7558="""",H7558=""""),""ফাঁকা ঘর"",""""),IF(AND(C7558&lt;&gt;"""",D7558&lt;&gt;"""",C7558=D7558),""gloss=figurative"",""""),IF(LEN(D7558)&lt;15,""figurative ছোট"",""""),IF(AND(I7558=""Positive"",REGEXMATCH(H7"&amp;"558,""মূর্খ|ভণ্ড|প্রতার|অলস|লোভ|স্বার্থ|অক্ষম|অযোগ্য|বোকা|কৃপণ|হিংস"")),""valence-target অমিল"",""""),IF(COUNTIF($B:$B,B7558)&gt;1,""ডুপ্লিকেট"",""""))"),"")</f>
        <v/>
      </c>
      <c r="Q7558" s="5" t="str">
        <f t="shared" si="1"/>
        <v>২ পরে</v>
      </c>
    </row>
    <row r="7559">
      <c r="A7559" s="4">
        <v>5927.0</v>
      </c>
      <c r="B7559" s="2" t="s">
        <v>30533</v>
      </c>
      <c r="C7559" s="2" t="s">
        <v>30534</v>
      </c>
      <c r="D7559" s="2" t="s">
        <v>30535</v>
      </c>
      <c r="E7559" s="2" t="s">
        <v>30536</v>
      </c>
      <c r="F7559" s="2" t="b">
        <v>1</v>
      </c>
      <c r="G7559" s="2" t="b">
        <v>0</v>
      </c>
      <c r="H7559" s="2" t="s">
        <v>37</v>
      </c>
      <c r="I7559" s="2" t="s">
        <v>49</v>
      </c>
      <c r="J7559" s="2" t="s">
        <v>2869</v>
      </c>
      <c r="K7559" s="2" t="s">
        <v>495</v>
      </c>
      <c r="L7559" s="13" t="s">
        <v>496</v>
      </c>
      <c r="M7559" s="2" t="s">
        <v>26</v>
      </c>
      <c r="N7559" s="29"/>
      <c r="O7559" s="29"/>
      <c r="P7559" s="5" t="str">
        <f>IFERROR(__xludf.DUMMYFUNCTION("TEXTJOIN("" | "",TRUE,IF(OR(D7559="""",E7559="""",I7559="""",J7559="""",H7559=""""),""ফাঁকা ঘর"",""""),IF(AND(C7559&lt;&gt;"""",D7559&lt;&gt;"""",C7559=D7559),""gloss=figurative"",""""),IF(LEN(D7559)&lt;15,""figurative ছোট"",""""),IF(AND(I7559=""Positive"",REGEXMATCH(H7"&amp;"559,""মূর্খ|ভণ্ড|প্রতার|অলস|লোভ|স্বার্থ|অক্ষম|অযোগ্য|বোকা|কৃপণ|হিংস"")),""valence-target অমিল"",""""),IF(COUNTIF($B:$B,B7559)&gt;1,""ডুপ্লিকেট"",""""))"),"")</f>
        <v/>
      </c>
      <c r="Q7559" s="5" t="str">
        <f t="shared" si="1"/>
        <v>২ পরে</v>
      </c>
    </row>
    <row r="7560">
      <c r="A7560" s="4">
        <v>5928.0</v>
      </c>
      <c r="B7560" s="2" t="s">
        <v>30537</v>
      </c>
      <c r="C7560" s="2" t="s">
        <v>30538</v>
      </c>
      <c r="D7560" s="2" t="s">
        <v>30539</v>
      </c>
      <c r="E7560" s="2" t="s">
        <v>30540</v>
      </c>
      <c r="F7560" s="2" t="b">
        <v>1</v>
      </c>
      <c r="G7560" s="2" t="b">
        <v>0</v>
      </c>
      <c r="H7560" s="2" t="s">
        <v>37</v>
      </c>
      <c r="I7560" s="2" t="s">
        <v>22</v>
      </c>
      <c r="J7560" s="2" t="s">
        <v>565</v>
      </c>
      <c r="K7560" s="2" t="s">
        <v>495</v>
      </c>
      <c r="L7560" s="13" t="s">
        <v>496</v>
      </c>
      <c r="M7560" s="2" t="s">
        <v>26</v>
      </c>
      <c r="N7560" s="29"/>
      <c r="O7560" s="29"/>
      <c r="P7560" s="5" t="str">
        <f>IFERROR(__xludf.DUMMYFUNCTION("TEXTJOIN("" | "",TRUE,IF(OR(D7560="""",E7560="""",I7560="""",J7560="""",H7560=""""),""ফাঁকা ঘর"",""""),IF(AND(C7560&lt;&gt;"""",D7560&lt;&gt;"""",C7560=D7560),""gloss=figurative"",""""),IF(LEN(D7560)&lt;15,""figurative ছোট"",""""),IF(AND(I7560=""Positive"",REGEXMATCH(H7"&amp;"560,""মূর্খ|ভণ্ড|প্রতার|অলস|লোভ|স্বার্থ|অক্ষম|অযোগ্য|বোকা|কৃপণ|হিংস"")),""valence-target অমিল"",""""),IF(COUNTIF($B:$B,B7560)&gt;1,""ডুপ্লিকেট"",""""))"),"")</f>
        <v/>
      </c>
      <c r="Q7560" s="5" t="str">
        <f t="shared" si="1"/>
        <v>২ পরে</v>
      </c>
    </row>
    <row r="7561">
      <c r="A7561" s="4">
        <v>5929.0</v>
      </c>
      <c r="B7561" s="2" t="s">
        <v>30541</v>
      </c>
      <c r="C7561" s="2" t="s">
        <v>30542</v>
      </c>
      <c r="D7561" s="2" t="s">
        <v>30543</v>
      </c>
      <c r="E7561" s="2" t="s">
        <v>30544</v>
      </c>
      <c r="F7561" s="2" t="b">
        <v>1</v>
      </c>
      <c r="G7561" s="2" t="b">
        <v>0</v>
      </c>
      <c r="H7561" s="2" t="s">
        <v>37</v>
      </c>
      <c r="I7561" s="2" t="s">
        <v>22</v>
      </c>
      <c r="J7561" s="2" t="s">
        <v>565</v>
      </c>
      <c r="K7561" s="2" t="s">
        <v>495</v>
      </c>
      <c r="L7561" s="13" t="s">
        <v>496</v>
      </c>
      <c r="M7561" s="2" t="s">
        <v>26</v>
      </c>
      <c r="N7561" s="29"/>
      <c r="O7561" s="29"/>
      <c r="P7561" s="5" t="str">
        <f>IFERROR(__xludf.DUMMYFUNCTION("TEXTJOIN("" | "",TRUE,IF(OR(D7561="""",E7561="""",I7561="""",J7561="""",H7561=""""),""ফাঁকা ঘর"",""""),IF(AND(C7561&lt;&gt;"""",D7561&lt;&gt;"""",C7561=D7561),""gloss=figurative"",""""),IF(LEN(D7561)&lt;15,""figurative ছোট"",""""),IF(AND(I7561=""Positive"",REGEXMATCH(H7"&amp;"561,""মূর্খ|ভণ্ড|প্রতার|অলস|লোভ|স্বার্থ|অক্ষম|অযোগ্য|বোকা|কৃপণ|হিংস"")),""valence-target অমিল"",""""),IF(COUNTIF($B:$B,B7561)&gt;1,""ডুপ্লিকেট"",""""))"),"")</f>
        <v/>
      </c>
      <c r="Q7561" s="5" t="str">
        <f t="shared" si="1"/>
        <v>২ পরে</v>
      </c>
    </row>
    <row r="7562">
      <c r="A7562" s="4">
        <v>5930.0</v>
      </c>
      <c r="B7562" s="2" t="s">
        <v>30545</v>
      </c>
      <c r="C7562" s="2" t="s">
        <v>30546</v>
      </c>
      <c r="D7562" s="2" t="s">
        <v>30547</v>
      </c>
      <c r="E7562" s="2" t="s">
        <v>30548</v>
      </c>
      <c r="F7562" s="2" t="b">
        <v>1</v>
      </c>
      <c r="G7562" s="2" t="b">
        <v>0</v>
      </c>
      <c r="H7562" s="2" t="s">
        <v>37</v>
      </c>
      <c r="I7562" s="2" t="s">
        <v>22</v>
      </c>
      <c r="J7562" s="2" t="s">
        <v>646</v>
      </c>
      <c r="K7562" s="2" t="s">
        <v>495</v>
      </c>
      <c r="L7562" s="13" t="s">
        <v>496</v>
      </c>
      <c r="M7562" s="2" t="s">
        <v>26</v>
      </c>
      <c r="N7562" s="29"/>
      <c r="O7562" s="29"/>
      <c r="P7562" s="5" t="str">
        <f>IFERROR(__xludf.DUMMYFUNCTION("TEXTJOIN("" | "",TRUE,IF(OR(D7562="""",E7562="""",I7562="""",J7562="""",H7562=""""),""ফাঁকা ঘর"",""""),IF(AND(C7562&lt;&gt;"""",D7562&lt;&gt;"""",C7562=D7562),""gloss=figurative"",""""),IF(LEN(D7562)&lt;15,""figurative ছোট"",""""),IF(AND(I7562=""Positive"",REGEXMATCH(H7"&amp;"562,""মূর্খ|ভণ্ড|প্রতার|অলস|লোভ|স্বার্থ|অক্ষম|অযোগ্য|বোকা|কৃপণ|হিংস"")),""valence-target অমিল"",""""),IF(COUNTIF($B:$B,B7562)&gt;1,""ডুপ্লিকেট"",""""))"),"")</f>
        <v/>
      </c>
      <c r="Q7562" s="5" t="str">
        <f t="shared" si="1"/>
        <v>২ পরে</v>
      </c>
    </row>
    <row r="7563">
      <c r="A7563" s="4">
        <v>5932.0</v>
      </c>
      <c r="B7563" s="2" t="s">
        <v>30549</v>
      </c>
      <c r="C7563" s="2" t="s">
        <v>30550</v>
      </c>
      <c r="D7563" s="2" t="s">
        <v>30551</v>
      </c>
      <c r="E7563" s="2" t="s">
        <v>30552</v>
      </c>
      <c r="F7563" s="2" t="b">
        <v>1</v>
      </c>
      <c r="G7563" s="2" t="b">
        <v>0</v>
      </c>
      <c r="H7563" s="2" t="s">
        <v>21013</v>
      </c>
      <c r="I7563" s="2" t="s">
        <v>22</v>
      </c>
      <c r="J7563" s="2" t="s">
        <v>447</v>
      </c>
      <c r="K7563" s="2" t="s">
        <v>495</v>
      </c>
      <c r="L7563" s="13" t="s">
        <v>496</v>
      </c>
      <c r="M7563" s="2" t="s">
        <v>26</v>
      </c>
      <c r="N7563" s="29"/>
      <c r="O7563" s="29"/>
      <c r="P7563" s="5" t="str">
        <f>IFERROR(__xludf.DUMMYFUNCTION("TEXTJOIN("" | "",TRUE,IF(OR(D7563="""",E7563="""",I7563="""",J7563="""",H7563=""""),""ফাঁকা ঘর"",""""),IF(AND(C7563&lt;&gt;"""",D7563&lt;&gt;"""",C7563=D7563),""gloss=figurative"",""""),IF(LEN(D7563)&lt;15,""figurative ছোট"",""""),IF(AND(I7563=""Positive"",REGEXMATCH(H7"&amp;"563,""মূর্খ|ভণ্ড|প্রতার|অলস|লোভ|স্বার্থ|অক্ষম|অযোগ্য|বোকা|কৃপণ|হিংস"")),""valence-target অমিল"",""""),IF(COUNTIF($B:$B,B7563)&gt;1,""ডুপ্লিকেট"",""""))"),"")</f>
        <v/>
      </c>
      <c r="Q7563" s="5" t="str">
        <f t="shared" si="1"/>
        <v>২ পরে</v>
      </c>
    </row>
    <row r="7564">
      <c r="A7564" s="4">
        <v>5933.0</v>
      </c>
      <c r="B7564" s="2" t="s">
        <v>30553</v>
      </c>
      <c r="C7564" s="2" t="s">
        <v>30554</v>
      </c>
      <c r="D7564" s="2" t="s">
        <v>30555</v>
      </c>
      <c r="E7564" s="2" t="s">
        <v>30556</v>
      </c>
      <c r="F7564" s="2" t="b">
        <v>1</v>
      </c>
      <c r="G7564" s="2" t="b">
        <v>0</v>
      </c>
      <c r="H7564" s="2" t="s">
        <v>21013</v>
      </c>
      <c r="I7564" s="2" t="s">
        <v>22</v>
      </c>
      <c r="J7564" s="2" t="s">
        <v>447</v>
      </c>
      <c r="K7564" s="2" t="s">
        <v>495</v>
      </c>
      <c r="L7564" s="13" t="s">
        <v>496</v>
      </c>
      <c r="M7564" s="2" t="s">
        <v>26</v>
      </c>
      <c r="N7564" s="29"/>
      <c r="O7564" s="29"/>
      <c r="P7564" s="5" t="str">
        <f>IFERROR(__xludf.DUMMYFUNCTION("TEXTJOIN("" | "",TRUE,IF(OR(D7564="""",E7564="""",I7564="""",J7564="""",H7564=""""),""ফাঁকা ঘর"",""""),IF(AND(C7564&lt;&gt;"""",D7564&lt;&gt;"""",C7564=D7564),""gloss=figurative"",""""),IF(LEN(D7564)&lt;15,""figurative ছোট"",""""),IF(AND(I7564=""Positive"",REGEXMATCH(H7"&amp;"564,""মূর্খ|ভণ্ড|প্রতার|অলস|লোভ|স্বার্থ|অক্ষম|অযোগ্য|বোকা|কৃপণ|হিংস"")),""valence-target অমিল"",""""),IF(COUNTIF($B:$B,B7564)&gt;1,""ডুপ্লিকেট"",""""))"),"")</f>
        <v/>
      </c>
      <c r="Q7564" s="5" t="str">
        <f t="shared" si="1"/>
        <v>২ পরে</v>
      </c>
    </row>
    <row r="7565">
      <c r="A7565" s="4">
        <v>5935.0</v>
      </c>
      <c r="B7565" s="2" t="s">
        <v>30557</v>
      </c>
      <c r="C7565" s="2" t="s">
        <v>30558</v>
      </c>
      <c r="D7565" s="2" t="s">
        <v>30559</v>
      </c>
      <c r="E7565" s="2" t="s">
        <v>30560</v>
      </c>
      <c r="F7565" s="2" t="b">
        <v>1</v>
      </c>
      <c r="G7565" s="2" t="b">
        <v>0</v>
      </c>
      <c r="H7565" s="2" t="s">
        <v>37</v>
      </c>
      <c r="I7565" s="2" t="s">
        <v>22</v>
      </c>
      <c r="J7565" s="2" t="s">
        <v>30561</v>
      </c>
      <c r="K7565" s="2" t="s">
        <v>495</v>
      </c>
      <c r="L7565" s="13" t="s">
        <v>496</v>
      </c>
      <c r="M7565" s="2" t="s">
        <v>26</v>
      </c>
      <c r="N7565" s="29"/>
      <c r="O7565" s="29"/>
      <c r="P7565" s="5" t="str">
        <f>IFERROR(__xludf.DUMMYFUNCTION("TEXTJOIN("" | "",TRUE,IF(OR(D7565="""",E7565="""",I7565="""",J7565="""",H7565=""""),""ফাঁকা ঘর"",""""),IF(AND(C7565&lt;&gt;"""",D7565&lt;&gt;"""",C7565=D7565),""gloss=figurative"",""""),IF(LEN(D7565)&lt;15,""figurative ছোট"",""""),IF(AND(I7565=""Positive"",REGEXMATCH(H7"&amp;"565,""মূর্খ|ভণ্ড|প্রতার|অলস|লোভ|স্বার্থ|অক্ষম|অযোগ্য|বোকা|কৃপণ|হিংস"")),""valence-target অমিল"",""""),IF(COUNTIF($B:$B,B7565)&gt;1,""ডুপ্লিকেট"",""""))"),"")</f>
        <v/>
      </c>
      <c r="Q7565" s="5" t="str">
        <f t="shared" si="1"/>
        <v>২ পরে</v>
      </c>
    </row>
    <row r="7566">
      <c r="A7566" s="4">
        <v>5938.0</v>
      </c>
      <c r="B7566" s="2" t="s">
        <v>30562</v>
      </c>
      <c r="C7566" s="2" t="s">
        <v>30563</v>
      </c>
      <c r="D7566" s="2" t="s">
        <v>29623</v>
      </c>
      <c r="E7566" s="2" t="s">
        <v>30564</v>
      </c>
      <c r="F7566" s="2" t="b">
        <v>1</v>
      </c>
      <c r="G7566" s="2" t="b">
        <v>0</v>
      </c>
      <c r="H7566" s="2" t="s">
        <v>756</v>
      </c>
      <c r="I7566" s="2" t="s">
        <v>22</v>
      </c>
      <c r="J7566" s="2" t="s">
        <v>300</v>
      </c>
      <c r="K7566" s="2" t="s">
        <v>495</v>
      </c>
      <c r="L7566" s="13" t="s">
        <v>496</v>
      </c>
      <c r="M7566" s="2" t="s">
        <v>26</v>
      </c>
      <c r="N7566" s="29"/>
      <c r="O7566" s="29"/>
      <c r="P7566" s="5" t="str">
        <f>IFERROR(__xludf.DUMMYFUNCTION("TEXTJOIN("" | "",TRUE,IF(OR(D7566="""",E7566="""",I7566="""",J7566="""",H7566=""""),""ফাঁকা ঘর"",""""),IF(AND(C7566&lt;&gt;"""",D7566&lt;&gt;"""",C7566=D7566),""gloss=figurative"",""""),IF(LEN(D7566)&lt;15,""figurative ছোট"",""""),IF(AND(I7566=""Positive"",REGEXMATCH(H7"&amp;"566,""মূর্খ|ভণ্ড|প্রতার|অলস|লোভ|স্বার্থ|অক্ষম|অযোগ্য|বোকা|কৃপণ|হিংস"")),""valence-target অমিল"",""""),IF(COUNTIF($B:$B,B7566)&gt;1,""ডুপ্লিকেট"",""""))"),"")</f>
        <v/>
      </c>
      <c r="Q7566" s="5" t="str">
        <f t="shared" si="1"/>
        <v>২ পরে</v>
      </c>
    </row>
    <row r="7567">
      <c r="A7567" s="4">
        <v>5945.0</v>
      </c>
      <c r="B7567" s="2" t="s">
        <v>30565</v>
      </c>
      <c r="C7567" s="2" t="s">
        <v>30566</v>
      </c>
      <c r="D7567" s="2" t="s">
        <v>30567</v>
      </c>
      <c r="E7567" s="2" t="s">
        <v>30568</v>
      </c>
      <c r="F7567" s="2" t="b">
        <v>1</v>
      </c>
      <c r="G7567" s="2" t="b">
        <v>0</v>
      </c>
      <c r="H7567" s="2" t="s">
        <v>756</v>
      </c>
      <c r="I7567" s="2" t="s">
        <v>22</v>
      </c>
      <c r="J7567" s="2" t="s">
        <v>2732</v>
      </c>
      <c r="K7567" s="2" t="s">
        <v>495</v>
      </c>
      <c r="L7567" s="13" t="s">
        <v>496</v>
      </c>
      <c r="M7567" s="2" t="s">
        <v>26</v>
      </c>
      <c r="N7567" s="29"/>
      <c r="O7567" s="29"/>
      <c r="P7567" s="5" t="str">
        <f>IFERROR(__xludf.DUMMYFUNCTION("TEXTJOIN("" | "",TRUE,IF(OR(D7567="""",E7567="""",I7567="""",J7567="""",H7567=""""),""ফাঁকা ঘর"",""""),IF(AND(C7567&lt;&gt;"""",D7567&lt;&gt;"""",C7567=D7567),""gloss=figurative"",""""),IF(LEN(D7567)&lt;15,""figurative ছোট"",""""),IF(AND(I7567=""Positive"",REGEXMATCH(H7"&amp;"567,""মূর্খ|ভণ্ড|প্রতার|অলস|লোভ|স্বার্থ|অক্ষম|অযোগ্য|বোকা|কৃপণ|হিংস"")),""valence-target অমিল"",""""),IF(COUNTIF($B:$B,B7567)&gt;1,""ডুপ্লিকেট"",""""))"),"")</f>
        <v/>
      </c>
      <c r="Q7567" s="5" t="str">
        <f t="shared" si="1"/>
        <v>২ পরে</v>
      </c>
    </row>
    <row r="7568">
      <c r="A7568" s="4">
        <v>5947.0</v>
      </c>
      <c r="B7568" s="2" t="s">
        <v>30569</v>
      </c>
      <c r="C7568" s="2" t="s">
        <v>30570</v>
      </c>
      <c r="D7568" s="2" t="s">
        <v>30571</v>
      </c>
      <c r="E7568" s="2" t="s">
        <v>30572</v>
      </c>
      <c r="F7568" s="2" t="b">
        <v>1</v>
      </c>
      <c r="G7568" s="2" t="b">
        <v>0</v>
      </c>
      <c r="H7568" s="2" t="s">
        <v>37</v>
      </c>
      <c r="I7568" s="2" t="s">
        <v>22</v>
      </c>
      <c r="J7568" s="2" t="s">
        <v>2869</v>
      </c>
      <c r="K7568" s="2" t="s">
        <v>495</v>
      </c>
      <c r="L7568" s="13" t="s">
        <v>496</v>
      </c>
      <c r="M7568" s="2" t="s">
        <v>26</v>
      </c>
      <c r="N7568" s="29"/>
      <c r="O7568" s="29"/>
      <c r="P7568" s="5" t="str">
        <f>IFERROR(__xludf.DUMMYFUNCTION("TEXTJOIN("" | "",TRUE,IF(OR(D7568="""",E7568="""",I7568="""",J7568="""",H7568=""""),""ফাঁকা ঘর"",""""),IF(AND(C7568&lt;&gt;"""",D7568&lt;&gt;"""",C7568=D7568),""gloss=figurative"",""""),IF(LEN(D7568)&lt;15,""figurative ছোট"",""""),IF(AND(I7568=""Positive"",REGEXMATCH(H7"&amp;"568,""মূর্খ|ভণ্ড|প্রতার|অলস|লোভ|স্বার্থ|অক্ষম|অযোগ্য|বোকা|কৃপণ|হিংস"")),""valence-target অমিল"",""""),IF(COUNTIF($B:$B,B7568)&gt;1,""ডুপ্লিকেট"",""""))"),"")</f>
        <v/>
      </c>
      <c r="Q7568" s="5" t="str">
        <f t="shared" si="1"/>
        <v>২ পরে</v>
      </c>
    </row>
    <row r="7569">
      <c r="A7569" s="4">
        <v>5949.0</v>
      </c>
      <c r="B7569" s="2" t="s">
        <v>30573</v>
      </c>
      <c r="C7569" s="2" t="s">
        <v>30574</v>
      </c>
      <c r="D7569" s="2" t="s">
        <v>30064</v>
      </c>
      <c r="E7569" s="2" t="s">
        <v>30575</v>
      </c>
      <c r="F7569" s="2" t="b">
        <v>1</v>
      </c>
      <c r="G7569" s="2" t="b">
        <v>0</v>
      </c>
      <c r="H7569" s="2" t="s">
        <v>756</v>
      </c>
      <c r="I7569" s="2" t="s">
        <v>22</v>
      </c>
      <c r="J7569" s="2" t="s">
        <v>1630</v>
      </c>
      <c r="K7569" s="2" t="s">
        <v>495</v>
      </c>
      <c r="L7569" s="13" t="s">
        <v>496</v>
      </c>
      <c r="M7569" s="2" t="s">
        <v>26</v>
      </c>
      <c r="N7569" s="29"/>
      <c r="O7569" s="29"/>
      <c r="P7569" s="5" t="str">
        <f>IFERROR(__xludf.DUMMYFUNCTION("TEXTJOIN("" | "",TRUE,IF(OR(D7569="""",E7569="""",I7569="""",J7569="""",H7569=""""),""ফাঁকা ঘর"",""""),IF(AND(C7569&lt;&gt;"""",D7569&lt;&gt;"""",C7569=D7569),""gloss=figurative"",""""),IF(LEN(D7569)&lt;15,""figurative ছোট"",""""),IF(AND(I7569=""Positive"",REGEXMATCH(H7"&amp;"569,""মূর্খ|ভণ্ড|প্রতার|অলস|লোভ|স্বার্থ|অক্ষম|অযোগ্য|বোকা|কৃপণ|হিংস"")),""valence-target অমিল"",""""),IF(COUNTIF($B:$B,B7569)&gt;1,""ডুপ্লিকেট"",""""))"),"")</f>
        <v/>
      </c>
      <c r="Q7569" s="5" t="str">
        <f t="shared" si="1"/>
        <v>২ পরে</v>
      </c>
    </row>
    <row r="7570">
      <c r="A7570" s="4">
        <v>5951.0</v>
      </c>
      <c r="B7570" s="2" t="s">
        <v>30576</v>
      </c>
      <c r="C7570" s="2" t="s">
        <v>30577</v>
      </c>
      <c r="D7570" s="2" t="s">
        <v>30578</v>
      </c>
      <c r="E7570" s="2" t="s">
        <v>30579</v>
      </c>
      <c r="F7570" s="2" t="b">
        <v>1</v>
      </c>
      <c r="G7570" s="2" t="b">
        <v>0</v>
      </c>
      <c r="H7570" s="2" t="s">
        <v>21104</v>
      </c>
      <c r="I7570" s="2" t="s">
        <v>32</v>
      </c>
      <c r="J7570" s="2" t="s">
        <v>21104</v>
      </c>
      <c r="K7570" s="2" t="s">
        <v>495</v>
      </c>
      <c r="L7570" s="13" t="s">
        <v>496</v>
      </c>
      <c r="M7570" s="2" t="s">
        <v>26</v>
      </c>
      <c r="N7570" s="29"/>
      <c r="O7570" s="29"/>
      <c r="P7570" s="5" t="str">
        <f>IFERROR(__xludf.DUMMYFUNCTION("TEXTJOIN("" | "",TRUE,IF(OR(D7570="""",E7570="""",I7570="""",J7570="""",H7570=""""),""ফাঁকা ঘর"",""""),IF(AND(C7570&lt;&gt;"""",D7570&lt;&gt;"""",C7570=D7570),""gloss=figurative"",""""),IF(LEN(D7570)&lt;15,""figurative ছোট"",""""),IF(AND(I7570=""Positive"",REGEXMATCH(H7"&amp;"570,""মূর্খ|ভণ্ড|প্রতার|অলস|লোভ|স্বার্থ|অক্ষম|অযোগ্য|বোকা|কৃপণ|হিংস"")),""valence-target অমিল"",""""),IF(COUNTIF($B:$B,B7570)&gt;1,""ডুপ্লিকেট"",""""))"),"")</f>
        <v/>
      </c>
      <c r="Q7570" s="5" t="str">
        <f t="shared" si="1"/>
        <v>২ পরে</v>
      </c>
    </row>
    <row r="7571">
      <c r="A7571" s="4">
        <v>5952.0</v>
      </c>
      <c r="B7571" s="2" t="s">
        <v>30580</v>
      </c>
      <c r="C7571" s="2" t="s">
        <v>30581</v>
      </c>
      <c r="D7571" s="2" t="s">
        <v>30582</v>
      </c>
      <c r="E7571" s="2" t="s">
        <v>30583</v>
      </c>
      <c r="F7571" s="2" t="b">
        <v>1</v>
      </c>
      <c r="G7571" s="2" t="b">
        <v>0</v>
      </c>
      <c r="H7571" s="2" t="s">
        <v>37</v>
      </c>
      <c r="I7571" s="2" t="s">
        <v>32</v>
      </c>
      <c r="J7571" s="2" t="s">
        <v>1679</v>
      </c>
      <c r="K7571" s="2" t="s">
        <v>495</v>
      </c>
      <c r="L7571" s="13" t="s">
        <v>496</v>
      </c>
      <c r="M7571" s="2" t="s">
        <v>26</v>
      </c>
      <c r="N7571" s="29"/>
      <c r="O7571" s="29"/>
      <c r="P7571" s="5" t="str">
        <f>IFERROR(__xludf.DUMMYFUNCTION("TEXTJOIN("" | "",TRUE,IF(OR(D7571="""",E7571="""",I7571="""",J7571="""",H7571=""""),""ফাঁকা ঘর"",""""),IF(AND(C7571&lt;&gt;"""",D7571&lt;&gt;"""",C7571=D7571),""gloss=figurative"",""""),IF(LEN(D7571)&lt;15,""figurative ছোট"",""""),IF(AND(I7571=""Positive"",REGEXMATCH(H7"&amp;"571,""মূর্খ|ভণ্ড|প্রতার|অলস|লোভ|স্বার্থ|অক্ষম|অযোগ্য|বোকা|কৃপণ|হিংস"")),""valence-target অমিল"",""""),IF(COUNTIF($B:$B,B7571)&gt;1,""ডুপ্লিকেট"",""""))"),"")</f>
        <v/>
      </c>
      <c r="Q7571" s="5" t="str">
        <f t="shared" si="1"/>
        <v>২ পরে</v>
      </c>
    </row>
    <row r="7572">
      <c r="A7572" s="4">
        <v>5953.0</v>
      </c>
      <c r="B7572" s="2" t="s">
        <v>30584</v>
      </c>
      <c r="C7572" s="2" t="s">
        <v>30585</v>
      </c>
      <c r="D7572" s="2" t="s">
        <v>30586</v>
      </c>
      <c r="E7572" s="2" t="s">
        <v>30587</v>
      </c>
      <c r="F7572" s="2" t="b">
        <v>1</v>
      </c>
      <c r="G7572" s="2" t="b">
        <v>0</v>
      </c>
      <c r="H7572" s="2" t="s">
        <v>37</v>
      </c>
      <c r="I7572" s="2" t="s">
        <v>49</v>
      </c>
      <c r="J7572" s="2" t="s">
        <v>1476</v>
      </c>
      <c r="K7572" s="2" t="s">
        <v>495</v>
      </c>
      <c r="L7572" s="13" t="s">
        <v>496</v>
      </c>
      <c r="M7572" s="2" t="s">
        <v>26</v>
      </c>
      <c r="N7572" s="29"/>
      <c r="O7572" s="29"/>
      <c r="P7572" s="5" t="str">
        <f>IFERROR(__xludf.DUMMYFUNCTION("TEXTJOIN("" | "",TRUE,IF(OR(D7572="""",E7572="""",I7572="""",J7572="""",H7572=""""),""ফাঁকা ঘর"",""""),IF(AND(C7572&lt;&gt;"""",D7572&lt;&gt;"""",C7572=D7572),""gloss=figurative"",""""),IF(LEN(D7572)&lt;15,""figurative ছোট"",""""),IF(AND(I7572=""Positive"",REGEXMATCH(H7"&amp;"572,""মূর্খ|ভণ্ড|প্রতার|অলস|লোভ|স্বার্থ|অক্ষম|অযোগ্য|বোকা|কৃপণ|হিংস"")),""valence-target অমিল"",""""),IF(COUNTIF($B:$B,B7572)&gt;1,""ডুপ্লিকেট"",""""))"),"")</f>
        <v/>
      </c>
      <c r="Q7572" s="5" t="str">
        <f t="shared" si="1"/>
        <v>২ পরে</v>
      </c>
    </row>
    <row r="7573">
      <c r="A7573" s="4">
        <v>5957.0</v>
      </c>
      <c r="B7573" s="2" t="s">
        <v>30588</v>
      </c>
      <c r="C7573" s="2" t="s">
        <v>30588</v>
      </c>
      <c r="D7573" s="2" t="s">
        <v>30589</v>
      </c>
      <c r="E7573" s="2" t="s">
        <v>30590</v>
      </c>
      <c r="F7573" s="2" t="b">
        <v>1</v>
      </c>
      <c r="G7573" s="2" t="b">
        <v>0</v>
      </c>
      <c r="H7573" s="2" t="s">
        <v>37</v>
      </c>
      <c r="I7573" s="2" t="s">
        <v>49</v>
      </c>
      <c r="J7573" s="2" t="s">
        <v>5350</v>
      </c>
      <c r="K7573" s="2" t="s">
        <v>495</v>
      </c>
      <c r="L7573" s="13" t="s">
        <v>496</v>
      </c>
      <c r="M7573" s="2" t="s">
        <v>26</v>
      </c>
      <c r="N7573" s="29"/>
      <c r="O7573" s="29"/>
      <c r="P7573" s="5" t="str">
        <f>IFERROR(__xludf.DUMMYFUNCTION("TEXTJOIN("" | "",TRUE,IF(OR(D7573="""",E7573="""",I7573="""",J7573="""",H7573=""""),""ফাঁকা ঘর"",""""),IF(AND(C7573&lt;&gt;"""",D7573&lt;&gt;"""",C7573=D7573),""gloss=figurative"",""""),IF(LEN(D7573)&lt;15,""figurative ছোট"",""""),IF(AND(I7573=""Positive"",REGEXMATCH(H7"&amp;"573,""মূর্খ|ভণ্ড|প্রতার|অলস|লোভ|স্বার্থ|অক্ষম|অযোগ্য|বোকা|কৃপণ|হিংস"")),""valence-target অমিল"",""""),IF(COUNTIF($B:$B,B7573)&gt;1,""ডুপ্লিকেট"",""""))"),"")</f>
        <v/>
      </c>
      <c r="Q7573" s="5" t="str">
        <f t="shared" si="1"/>
        <v>২ পরে</v>
      </c>
    </row>
    <row r="7574">
      <c r="A7574" s="4">
        <v>5959.0</v>
      </c>
      <c r="B7574" s="2" t="s">
        <v>30591</v>
      </c>
      <c r="C7574" s="2" t="s">
        <v>30592</v>
      </c>
      <c r="D7574" s="2" t="s">
        <v>30593</v>
      </c>
      <c r="E7574" s="2" t="s">
        <v>30594</v>
      </c>
      <c r="F7574" s="2" t="b">
        <v>1</v>
      </c>
      <c r="G7574" s="2" t="b">
        <v>0</v>
      </c>
      <c r="H7574" s="2" t="s">
        <v>37</v>
      </c>
      <c r="I7574" s="2" t="s">
        <v>49</v>
      </c>
      <c r="J7574" s="2" t="s">
        <v>4670</v>
      </c>
      <c r="K7574" s="2" t="s">
        <v>495</v>
      </c>
      <c r="L7574" s="13" t="s">
        <v>496</v>
      </c>
      <c r="M7574" s="2" t="s">
        <v>26</v>
      </c>
      <c r="N7574" s="29"/>
      <c r="O7574" s="29"/>
      <c r="P7574" s="5" t="str">
        <f>IFERROR(__xludf.DUMMYFUNCTION("TEXTJOIN("" | "",TRUE,IF(OR(D7574="""",E7574="""",I7574="""",J7574="""",H7574=""""),""ফাঁকা ঘর"",""""),IF(AND(C7574&lt;&gt;"""",D7574&lt;&gt;"""",C7574=D7574),""gloss=figurative"",""""),IF(LEN(D7574)&lt;15,""figurative ছোট"",""""),IF(AND(I7574=""Positive"",REGEXMATCH(H7"&amp;"574,""মূর্খ|ভণ্ড|প্রতার|অলস|লোভ|স্বার্থ|অক্ষম|অযোগ্য|বোকা|কৃপণ|হিংস"")),""valence-target অমিল"",""""),IF(COUNTIF($B:$B,B7574)&gt;1,""ডুপ্লিকেট"",""""))"),"")</f>
        <v/>
      </c>
      <c r="Q7574" s="5" t="str">
        <f t="shared" si="1"/>
        <v>২ পরে</v>
      </c>
    </row>
    <row r="7575">
      <c r="A7575" s="4">
        <v>5960.0</v>
      </c>
      <c r="B7575" s="2" t="s">
        <v>30595</v>
      </c>
      <c r="C7575" s="2" t="s">
        <v>30596</v>
      </c>
      <c r="D7575" s="2" t="s">
        <v>30597</v>
      </c>
      <c r="E7575" s="2" t="s">
        <v>30598</v>
      </c>
      <c r="F7575" s="2" t="b">
        <v>1</v>
      </c>
      <c r="G7575" s="2" t="b">
        <v>0</v>
      </c>
      <c r="H7575" s="2" t="s">
        <v>37</v>
      </c>
      <c r="I7575" s="2" t="s">
        <v>49</v>
      </c>
      <c r="J7575" s="2" t="s">
        <v>447</v>
      </c>
      <c r="K7575" s="2" t="s">
        <v>495</v>
      </c>
      <c r="L7575" s="13" t="s">
        <v>496</v>
      </c>
      <c r="M7575" s="2" t="s">
        <v>26</v>
      </c>
      <c r="N7575" s="29"/>
      <c r="O7575" s="29"/>
      <c r="P7575" s="5" t="str">
        <f>IFERROR(__xludf.DUMMYFUNCTION("TEXTJOIN("" | "",TRUE,IF(OR(D7575="""",E7575="""",I7575="""",J7575="""",H7575=""""),""ফাঁকা ঘর"",""""),IF(AND(C7575&lt;&gt;"""",D7575&lt;&gt;"""",C7575=D7575),""gloss=figurative"",""""),IF(LEN(D7575)&lt;15,""figurative ছোট"",""""),IF(AND(I7575=""Positive"",REGEXMATCH(H7"&amp;"575,""মূর্খ|ভণ্ড|প্রতার|অলস|লোভ|স্বার্থ|অক্ষম|অযোগ্য|বোকা|কৃপণ|হিংস"")),""valence-target অমিল"",""""),IF(COUNTIF($B:$B,B7575)&gt;1,""ডুপ্লিকেট"",""""))"),"")</f>
        <v/>
      </c>
      <c r="Q7575" s="5" t="str">
        <f t="shared" si="1"/>
        <v>২ পরে</v>
      </c>
    </row>
    <row r="7576">
      <c r="A7576" s="4">
        <v>5961.0</v>
      </c>
      <c r="B7576" s="2" t="s">
        <v>30599</v>
      </c>
      <c r="C7576" s="2" t="s">
        <v>30600</v>
      </c>
      <c r="D7576" s="2" t="s">
        <v>30601</v>
      </c>
      <c r="E7576" s="2" t="s">
        <v>30602</v>
      </c>
      <c r="F7576" s="2" t="b">
        <v>1</v>
      </c>
      <c r="G7576" s="2" t="b">
        <v>0</v>
      </c>
      <c r="H7576" s="2" t="s">
        <v>37</v>
      </c>
      <c r="I7576" s="2" t="s">
        <v>32</v>
      </c>
      <c r="J7576" s="2" t="s">
        <v>1518</v>
      </c>
      <c r="K7576" s="2" t="s">
        <v>495</v>
      </c>
      <c r="L7576" s="13" t="s">
        <v>496</v>
      </c>
      <c r="M7576" s="2" t="s">
        <v>26</v>
      </c>
      <c r="N7576" s="29"/>
      <c r="O7576" s="29"/>
      <c r="P7576" s="5" t="str">
        <f>IFERROR(__xludf.DUMMYFUNCTION("TEXTJOIN("" | "",TRUE,IF(OR(D7576="""",E7576="""",I7576="""",J7576="""",H7576=""""),""ফাঁকা ঘর"",""""),IF(AND(C7576&lt;&gt;"""",D7576&lt;&gt;"""",C7576=D7576),""gloss=figurative"",""""),IF(LEN(D7576)&lt;15,""figurative ছোট"",""""),IF(AND(I7576=""Positive"",REGEXMATCH(H7"&amp;"576,""মূর্খ|ভণ্ড|প্রতার|অলস|লোভ|স্বার্থ|অক্ষম|অযোগ্য|বোকা|কৃপণ|হিংস"")),""valence-target অমিল"",""""),IF(COUNTIF($B:$B,B7576)&gt;1,""ডুপ্লিকেট"",""""))"),"")</f>
        <v/>
      </c>
      <c r="Q7576" s="5" t="str">
        <f t="shared" si="1"/>
        <v>২ পরে</v>
      </c>
    </row>
    <row r="7577">
      <c r="A7577" s="4">
        <v>5962.0</v>
      </c>
      <c r="B7577" s="2" t="s">
        <v>30603</v>
      </c>
      <c r="C7577" s="2" t="s">
        <v>30604</v>
      </c>
      <c r="D7577" s="2" t="s">
        <v>30605</v>
      </c>
      <c r="E7577" s="2" t="s">
        <v>30606</v>
      </c>
      <c r="F7577" s="2" t="b">
        <v>1</v>
      </c>
      <c r="G7577" s="2" t="b">
        <v>0</v>
      </c>
      <c r="H7577" s="2" t="s">
        <v>37</v>
      </c>
      <c r="I7577" s="2" t="s">
        <v>22</v>
      </c>
      <c r="J7577" s="2" t="s">
        <v>836</v>
      </c>
      <c r="K7577" s="2" t="s">
        <v>495</v>
      </c>
      <c r="L7577" s="13" t="s">
        <v>496</v>
      </c>
      <c r="M7577" s="2" t="s">
        <v>26</v>
      </c>
      <c r="N7577" s="29"/>
      <c r="O7577" s="29"/>
      <c r="P7577" s="5" t="str">
        <f>IFERROR(__xludf.DUMMYFUNCTION("TEXTJOIN("" | "",TRUE,IF(OR(D7577="""",E7577="""",I7577="""",J7577="""",H7577=""""),""ফাঁকা ঘর"",""""),IF(AND(C7577&lt;&gt;"""",D7577&lt;&gt;"""",C7577=D7577),""gloss=figurative"",""""),IF(LEN(D7577)&lt;15,""figurative ছোট"",""""),IF(AND(I7577=""Positive"",REGEXMATCH(H7"&amp;"577,""মূর্খ|ভণ্ড|প্রতার|অলস|লোভ|স্বার্থ|অক্ষম|অযোগ্য|বোকা|কৃপণ|হিংস"")),""valence-target অমিল"",""""),IF(COUNTIF($B:$B,B7577)&gt;1,""ডুপ্লিকেট"",""""))"),"")</f>
        <v/>
      </c>
      <c r="Q7577" s="5" t="str">
        <f t="shared" si="1"/>
        <v>২ পরে</v>
      </c>
    </row>
    <row r="7578">
      <c r="A7578" s="4">
        <v>5963.0</v>
      </c>
      <c r="B7578" s="2" t="s">
        <v>30607</v>
      </c>
      <c r="C7578" s="2" t="s">
        <v>30608</v>
      </c>
      <c r="D7578" s="2" t="s">
        <v>30609</v>
      </c>
      <c r="E7578" s="2" t="s">
        <v>30610</v>
      </c>
      <c r="F7578" s="2" t="b">
        <v>1</v>
      </c>
      <c r="G7578" s="2" t="b">
        <v>0</v>
      </c>
      <c r="H7578" s="2" t="s">
        <v>37</v>
      </c>
      <c r="I7578" s="2" t="s">
        <v>22</v>
      </c>
      <c r="J7578" s="2" t="s">
        <v>2869</v>
      </c>
      <c r="K7578" s="2" t="s">
        <v>495</v>
      </c>
      <c r="L7578" s="13" t="s">
        <v>496</v>
      </c>
      <c r="M7578" s="2" t="s">
        <v>26</v>
      </c>
      <c r="N7578" s="29"/>
      <c r="O7578" s="29"/>
      <c r="P7578" s="5" t="str">
        <f>IFERROR(__xludf.DUMMYFUNCTION("TEXTJOIN("" | "",TRUE,IF(OR(D7578="""",E7578="""",I7578="""",J7578="""",H7578=""""),""ফাঁকা ঘর"",""""),IF(AND(C7578&lt;&gt;"""",D7578&lt;&gt;"""",C7578=D7578),""gloss=figurative"",""""),IF(LEN(D7578)&lt;15,""figurative ছোট"",""""),IF(AND(I7578=""Positive"",REGEXMATCH(H7"&amp;"578,""মূর্খ|ভণ্ড|প্রতার|অলস|লোভ|স্বার্থ|অক্ষম|অযোগ্য|বোকা|কৃপণ|হিংস"")),""valence-target অমিল"",""""),IF(COUNTIF($B:$B,B7578)&gt;1,""ডুপ্লিকেট"",""""))"),"")</f>
        <v/>
      </c>
      <c r="Q7578" s="5" t="str">
        <f t="shared" si="1"/>
        <v>২ পরে</v>
      </c>
    </row>
    <row r="7579">
      <c r="A7579" s="4">
        <v>5966.0</v>
      </c>
      <c r="B7579" s="2" t="s">
        <v>30611</v>
      </c>
      <c r="C7579" s="2" t="s">
        <v>30611</v>
      </c>
      <c r="D7579" s="2" t="s">
        <v>30612</v>
      </c>
      <c r="E7579" s="2" t="s">
        <v>30613</v>
      </c>
      <c r="F7579" s="2" t="b">
        <v>1</v>
      </c>
      <c r="G7579" s="2" t="b">
        <v>0</v>
      </c>
      <c r="H7579" s="2" t="s">
        <v>37</v>
      </c>
      <c r="I7579" s="2" t="s">
        <v>22</v>
      </c>
      <c r="J7579" s="2" t="s">
        <v>2869</v>
      </c>
      <c r="K7579" s="2" t="s">
        <v>495</v>
      </c>
      <c r="L7579" s="13" t="s">
        <v>496</v>
      </c>
      <c r="M7579" s="2" t="s">
        <v>26</v>
      </c>
      <c r="N7579" s="29"/>
      <c r="O7579" s="29"/>
      <c r="P7579" s="5" t="str">
        <f>IFERROR(__xludf.DUMMYFUNCTION("TEXTJOIN("" | "",TRUE,IF(OR(D7579="""",E7579="""",I7579="""",J7579="""",H7579=""""),""ফাঁকা ঘর"",""""),IF(AND(C7579&lt;&gt;"""",D7579&lt;&gt;"""",C7579=D7579),""gloss=figurative"",""""),IF(LEN(D7579)&lt;15,""figurative ছোট"",""""),IF(AND(I7579=""Positive"",REGEXMATCH(H7"&amp;"579,""মূর্খ|ভণ্ড|প্রতার|অলস|লোভ|স্বার্থ|অক্ষম|অযোগ্য|বোকা|কৃপণ|হিংস"")),""valence-target অমিল"",""""),IF(COUNTIF($B:$B,B7579)&gt;1,""ডুপ্লিকেট"",""""))"),"")</f>
        <v/>
      </c>
      <c r="Q7579" s="5" t="str">
        <f t="shared" si="1"/>
        <v>২ পরে</v>
      </c>
    </row>
    <row r="7580">
      <c r="A7580" s="4">
        <v>5967.0</v>
      </c>
      <c r="B7580" s="2" t="s">
        <v>30614</v>
      </c>
      <c r="C7580" s="2" t="s">
        <v>30614</v>
      </c>
      <c r="D7580" s="2" t="s">
        <v>30615</v>
      </c>
      <c r="E7580" s="2" t="s">
        <v>30616</v>
      </c>
      <c r="F7580" s="2" t="b">
        <v>1</v>
      </c>
      <c r="G7580" s="2" t="b">
        <v>0</v>
      </c>
      <c r="H7580" s="2" t="s">
        <v>2243</v>
      </c>
      <c r="I7580" s="2" t="s">
        <v>22</v>
      </c>
      <c r="J7580" s="2" t="s">
        <v>820</v>
      </c>
      <c r="K7580" s="2" t="s">
        <v>495</v>
      </c>
      <c r="L7580" s="13" t="s">
        <v>496</v>
      </c>
      <c r="M7580" s="2" t="s">
        <v>26</v>
      </c>
      <c r="N7580" s="29"/>
      <c r="O7580" s="29"/>
      <c r="P7580" s="5" t="str">
        <f>IFERROR(__xludf.DUMMYFUNCTION("TEXTJOIN("" | "",TRUE,IF(OR(D7580="""",E7580="""",I7580="""",J7580="""",H7580=""""),""ফাঁকা ঘর"",""""),IF(AND(C7580&lt;&gt;"""",D7580&lt;&gt;"""",C7580=D7580),""gloss=figurative"",""""),IF(LEN(D7580)&lt;15,""figurative ছোট"",""""),IF(AND(I7580=""Positive"",REGEXMATCH(H7"&amp;"580,""মূর্খ|ভণ্ড|প্রতার|অলস|লোভ|স্বার্থ|অক্ষম|অযোগ্য|বোকা|কৃপণ|হিংস"")),""valence-target অমিল"",""""),IF(COUNTIF($B:$B,B7580)&gt;1,""ডুপ্লিকেট"",""""))"),"")</f>
        <v/>
      </c>
      <c r="Q7580" s="5" t="str">
        <f t="shared" si="1"/>
        <v>২ পরে</v>
      </c>
    </row>
    <row r="7581">
      <c r="A7581" s="4">
        <v>5968.0</v>
      </c>
      <c r="B7581" s="2" t="s">
        <v>30617</v>
      </c>
      <c r="C7581" s="2" t="s">
        <v>30618</v>
      </c>
      <c r="D7581" s="2" t="s">
        <v>30619</v>
      </c>
      <c r="E7581" s="2" t="s">
        <v>30620</v>
      </c>
      <c r="F7581" s="2" t="b">
        <v>1</v>
      </c>
      <c r="G7581" s="2" t="b">
        <v>0</v>
      </c>
      <c r="H7581" s="2" t="s">
        <v>37</v>
      </c>
      <c r="I7581" s="2" t="s">
        <v>49</v>
      </c>
      <c r="J7581" s="2" t="s">
        <v>1476</v>
      </c>
      <c r="K7581" s="2" t="s">
        <v>495</v>
      </c>
      <c r="L7581" s="13" t="s">
        <v>496</v>
      </c>
      <c r="M7581" s="2" t="s">
        <v>26</v>
      </c>
      <c r="N7581" s="29"/>
      <c r="O7581" s="29"/>
      <c r="P7581" s="5" t="str">
        <f>IFERROR(__xludf.DUMMYFUNCTION("TEXTJOIN("" | "",TRUE,IF(OR(D7581="""",E7581="""",I7581="""",J7581="""",H7581=""""),""ফাঁকা ঘর"",""""),IF(AND(C7581&lt;&gt;"""",D7581&lt;&gt;"""",C7581=D7581),""gloss=figurative"",""""),IF(LEN(D7581)&lt;15,""figurative ছোট"",""""),IF(AND(I7581=""Positive"",REGEXMATCH(H7"&amp;"581,""মূর্খ|ভণ্ড|প্রতার|অলস|লোভ|স্বার্থ|অক্ষম|অযোগ্য|বোকা|কৃপণ|হিংস"")),""valence-target অমিল"",""""),IF(COUNTIF($B:$B,B7581)&gt;1,""ডুপ্লিকেট"",""""))"),"")</f>
        <v/>
      </c>
      <c r="Q7581" s="5" t="str">
        <f t="shared" si="1"/>
        <v>২ পরে</v>
      </c>
    </row>
    <row r="7582">
      <c r="A7582" s="4">
        <v>5970.0</v>
      </c>
      <c r="B7582" s="2" t="s">
        <v>30621</v>
      </c>
      <c r="C7582" s="2" t="s">
        <v>30622</v>
      </c>
      <c r="D7582" s="2" t="s">
        <v>30623</v>
      </c>
      <c r="E7582" s="2" t="s">
        <v>30624</v>
      </c>
      <c r="F7582" s="2" t="b">
        <v>1</v>
      </c>
      <c r="G7582" s="2" t="b">
        <v>0</v>
      </c>
      <c r="H7582" s="2" t="s">
        <v>37</v>
      </c>
      <c r="I7582" s="2" t="s">
        <v>32</v>
      </c>
      <c r="J7582" s="2" t="s">
        <v>1008</v>
      </c>
      <c r="K7582" s="2" t="s">
        <v>495</v>
      </c>
      <c r="L7582" s="13" t="s">
        <v>496</v>
      </c>
      <c r="M7582" s="2" t="s">
        <v>26</v>
      </c>
      <c r="N7582" s="29"/>
      <c r="O7582" s="29"/>
      <c r="P7582" s="5" t="str">
        <f>IFERROR(__xludf.DUMMYFUNCTION("TEXTJOIN("" | "",TRUE,IF(OR(D7582="""",E7582="""",I7582="""",J7582="""",H7582=""""),""ফাঁকা ঘর"",""""),IF(AND(C7582&lt;&gt;"""",D7582&lt;&gt;"""",C7582=D7582),""gloss=figurative"",""""),IF(LEN(D7582)&lt;15,""figurative ছোট"",""""),IF(AND(I7582=""Positive"",REGEXMATCH(H7"&amp;"582,""মূর্খ|ভণ্ড|প্রতার|অলস|লোভ|স্বার্থ|অক্ষম|অযোগ্য|বোকা|কৃপণ|হিংস"")),""valence-target অমিল"",""""),IF(COUNTIF($B:$B,B7582)&gt;1,""ডুপ্লিকেট"",""""))"),"")</f>
        <v/>
      </c>
      <c r="Q7582" s="5" t="str">
        <f t="shared" si="1"/>
        <v>২ পরে</v>
      </c>
    </row>
    <row r="7583">
      <c r="A7583" s="4">
        <v>5971.0</v>
      </c>
      <c r="B7583" s="2" t="s">
        <v>30625</v>
      </c>
      <c r="C7583" s="2" t="s">
        <v>30626</v>
      </c>
      <c r="D7583" s="2" t="s">
        <v>30627</v>
      </c>
      <c r="E7583" s="2" t="s">
        <v>30628</v>
      </c>
      <c r="F7583" s="2" t="b">
        <v>1</v>
      </c>
      <c r="G7583" s="2" t="b">
        <v>0</v>
      </c>
      <c r="H7583" s="2" t="s">
        <v>37</v>
      </c>
      <c r="I7583" s="2" t="s">
        <v>22</v>
      </c>
      <c r="J7583" s="2" t="s">
        <v>357</v>
      </c>
      <c r="K7583" s="2" t="s">
        <v>495</v>
      </c>
      <c r="L7583" s="13" t="s">
        <v>496</v>
      </c>
      <c r="M7583" s="2" t="s">
        <v>26</v>
      </c>
      <c r="N7583" s="29"/>
      <c r="O7583" s="29"/>
      <c r="P7583" s="5" t="str">
        <f>IFERROR(__xludf.DUMMYFUNCTION("TEXTJOIN("" | "",TRUE,IF(OR(D7583="""",E7583="""",I7583="""",J7583="""",H7583=""""),""ফাঁকা ঘর"",""""),IF(AND(C7583&lt;&gt;"""",D7583&lt;&gt;"""",C7583=D7583),""gloss=figurative"",""""),IF(LEN(D7583)&lt;15,""figurative ছোট"",""""),IF(AND(I7583=""Positive"",REGEXMATCH(H7"&amp;"583,""মূর্খ|ভণ্ড|প্রতার|অলস|লোভ|স্বার্থ|অক্ষম|অযোগ্য|বোকা|কৃপণ|হিংস"")),""valence-target অমিল"",""""),IF(COUNTIF($B:$B,B7583)&gt;1,""ডুপ্লিকেট"",""""))"),"")</f>
        <v/>
      </c>
      <c r="Q7583" s="5" t="str">
        <f t="shared" si="1"/>
        <v>২ পরে</v>
      </c>
    </row>
    <row r="7584">
      <c r="A7584" s="4">
        <v>5972.0</v>
      </c>
      <c r="B7584" s="2" t="s">
        <v>30629</v>
      </c>
      <c r="C7584" s="2" t="s">
        <v>30629</v>
      </c>
      <c r="D7584" s="2" t="s">
        <v>30630</v>
      </c>
      <c r="E7584" s="2" t="s">
        <v>30631</v>
      </c>
      <c r="F7584" s="2" t="b">
        <v>1</v>
      </c>
      <c r="G7584" s="2" t="b">
        <v>0</v>
      </c>
      <c r="H7584" s="2" t="s">
        <v>37</v>
      </c>
      <c r="I7584" s="2" t="s">
        <v>22</v>
      </c>
      <c r="J7584" s="2" t="s">
        <v>2869</v>
      </c>
      <c r="K7584" s="2" t="s">
        <v>495</v>
      </c>
      <c r="L7584" s="13" t="s">
        <v>496</v>
      </c>
      <c r="M7584" s="2" t="s">
        <v>26</v>
      </c>
      <c r="N7584" s="29"/>
      <c r="O7584" s="29"/>
      <c r="P7584" s="5" t="str">
        <f>IFERROR(__xludf.DUMMYFUNCTION("TEXTJOIN("" | "",TRUE,IF(OR(D7584="""",E7584="""",I7584="""",J7584="""",H7584=""""),""ফাঁকা ঘর"",""""),IF(AND(C7584&lt;&gt;"""",D7584&lt;&gt;"""",C7584=D7584),""gloss=figurative"",""""),IF(LEN(D7584)&lt;15,""figurative ছোট"",""""),IF(AND(I7584=""Positive"",REGEXMATCH(H7"&amp;"584,""মূর্খ|ভণ্ড|প্রতার|অলস|লোভ|স্বার্থ|অক্ষম|অযোগ্য|বোকা|কৃপণ|হিংস"")),""valence-target অমিল"",""""),IF(COUNTIF($B:$B,B7584)&gt;1,""ডুপ্লিকেট"",""""))"),"")</f>
        <v/>
      </c>
      <c r="Q7584" s="5" t="str">
        <f t="shared" si="1"/>
        <v>২ পরে</v>
      </c>
    </row>
    <row r="7585">
      <c r="A7585" s="4">
        <v>5974.0</v>
      </c>
      <c r="B7585" s="2" t="s">
        <v>30632</v>
      </c>
      <c r="C7585" s="2" t="s">
        <v>30632</v>
      </c>
      <c r="D7585" s="2" t="s">
        <v>30633</v>
      </c>
      <c r="E7585" s="2" t="s">
        <v>30634</v>
      </c>
      <c r="F7585" s="2" t="b">
        <v>1</v>
      </c>
      <c r="G7585" s="2" t="b">
        <v>0</v>
      </c>
      <c r="H7585" s="2" t="s">
        <v>37</v>
      </c>
      <c r="I7585" s="2" t="s">
        <v>32</v>
      </c>
      <c r="J7585" s="2" t="s">
        <v>1686</v>
      </c>
      <c r="K7585" s="2" t="s">
        <v>495</v>
      </c>
      <c r="L7585" s="13" t="s">
        <v>496</v>
      </c>
      <c r="M7585" s="2" t="s">
        <v>26</v>
      </c>
      <c r="N7585" s="29"/>
      <c r="O7585" s="29"/>
      <c r="P7585" s="5" t="str">
        <f>IFERROR(__xludf.DUMMYFUNCTION("TEXTJOIN("" | "",TRUE,IF(OR(D7585="""",E7585="""",I7585="""",J7585="""",H7585=""""),""ফাঁকা ঘর"",""""),IF(AND(C7585&lt;&gt;"""",D7585&lt;&gt;"""",C7585=D7585),""gloss=figurative"",""""),IF(LEN(D7585)&lt;15,""figurative ছোট"",""""),IF(AND(I7585=""Positive"",REGEXMATCH(H7"&amp;"585,""মূর্খ|ভণ্ড|প্রতার|অলস|লোভ|স্বার্থ|অক্ষম|অযোগ্য|বোকা|কৃপণ|হিংস"")),""valence-target অমিল"",""""),IF(COUNTIF($B:$B,B7585)&gt;1,""ডুপ্লিকেট"",""""))"),"")</f>
        <v/>
      </c>
      <c r="Q7585" s="5" t="str">
        <f t="shared" si="1"/>
        <v>২ পরে</v>
      </c>
    </row>
    <row r="7586">
      <c r="A7586" s="4">
        <v>5975.0</v>
      </c>
      <c r="B7586" s="2" t="s">
        <v>30635</v>
      </c>
      <c r="C7586" s="2" t="s">
        <v>30636</v>
      </c>
      <c r="D7586" s="2" t="s">
        <v>30637</v>
      </c>
      <c r="E7586" s="2" t="s">
        <v>30638</v>
      </c>
      <c r="F7586" s="2" t="b">
        <v>1</v>
      </c>
      <c r="G7586" s="2" t="b">
        <v>0</v>
      </c>
      <c r="H7586" s="2" t="s">
        <v>2229</v>
      </c>
      <c r="I7586" s="2" t="s">
        <v>32</v>
      </c>
      <c r="J7586" s="2" t="s">
        <v>1239</v>
      </c>
      <c r="K7586" s="2" t="s">
        <v>495</v>
      </c>
      <c r="L7586" s="13" t="s">
        <v>496</v>
      </c>
      <c r="M7586" s="2" t="s">
        <v>26</v>
      </c>
      <c r="N7586" s="29"/>
      <c r="O7586" s="29"/>
      <c r="P7586" s="5" t="str">
        <f>IFERROR(__xludf.DUMMYFUNCTION("TEXTJOIN("" | "",TRUE,IF(OR(D7586="""",E7586="""",I7586="""",J7586="""",H7586=""""),""ফাঁকা ঘর"",""""),IF(AND(C7586&lt;&gt;"""",D7586&lt;&gt;"""",C7586=D7586),""gloss=figurative"",""""),IF(LEN(D7586)&lt;15,""figurative ছোট"",""""),IF(AND(I7586=""Positive"",REGEXMATCH(H7"&amp;"586,""মূর্খ|ভণ্ড|প্রতার|অলস|লোভ|স্বার্থ|অক্ষম|অযোগ্য|বোকা|কৃপণ|হিংস"")),""valence-target অমিল"",""""),IF(COUNTIF($B:$B,B7586)&gt;1,""ডুপ্লিকেট"",""""))"),"")</f>
        <v/>
      </c>
      <c r="Q7586" s="5" t="str">
        <f t="shared" si="1"/>
        <v>২ পরে</v>
      </c>
    </row>
    <row r="7587">
      <c r="A7587" s="4">
        <v>5977.0</v>
      </c>
      <c r="B7587" s="2" t="s">
        <v>30639</v>
      </c>
      <c r="C7587" s="2" t="s">
        <v>30639</v>
      </c>
      <c r="D7587" s="2" t="s">
        <v>30640</v>
      </c>
      <c r="E7587" s="2" t="s">
        <v>30641</v>
      </c>
      <c r="F7587" s="2" t="b">
        <v>1</v>
      </c>
      <c r="G7587" s="2" t="b">
        <v>0</v>
      </c>
      <c r="H7587" s="2" t="s">
        <v>37</v>
      </c>
      <c r="I7587" s="2" t="s">
        <v>49</v>
      </c>
      <c r="J7587" s="2" t="s">
        <v>1060</v>
      </c>
      <c r="K7587" s="2" t="s">
        <v>495</v>
      </c>
      <c r="L7587" s="13" t="s">
        <v>496</v>
      </c>
      <c r="M7587" s="2" t="s">
        <v>26</v>
      </c>
      <c r="N7587" s="29"/>
      <c r="O7587" s="29"/>
      <c r="P7587" s="5" t="str">
        <f>IFERROR(__xludf.DUMMYFUNCTION("TEXTJOIN("" | "",TRUE,IF(OR(D7587="""",E7587="""",I7587="""",J7587="""",H7587=""""),""ফাঁকা ঘর"",""""),IF(AND(C7587&lt;&gt;"""",D7587&lt;&gt;"""",C7587=D7587),""gloss=figurative"",""""),IF(LEN(D7587)&lt;15,""figurative ছোট"",""""),IF(AND(I7587=""Positive"",REGEXMATCH(H7"&amp;"587,""মূর্খ|ভণ্ড|প্রতার|অলস|লোভ|স্বার্থ|অক্ষম|অযোগ্য|বোকা|কৃপণ|হিংস"")),""valence-target অমিল"",""""),IF(COUNTIF($B:$B,B7587)&gt;1,""ডুপ্লিকেট"",""""))"),"")</f>
        <v/>
      </c>
      <c r="Q7587" s="5" t="str">
        <f t="shared" si="1"/>
        <v>২ পরে</v>
      </c>
    </row>
    <row r="7588">
      <c r="A7588" s="4">
        <v>5978.0</v>
      </c>
      <c r="B7588" s="2" t="s">
        <v>30642</v>
      </c>
      <c r="C7588" s="2" t="s">
        <v>30643</v>
      </c>
      <c r="D7588" s="2" t="s">
        <v>30644</v>
      </c>
      <c r="E7588" s="2" t="s">
        <v>30645</v>
      </c>
      <c r="F7588" s="2" t="b">
        <v>1</v>
      </c>
      <c r="G7588" s="2" t="b">
        <v>0</v>
      </c>
      <c r="H7588" s="2" t="s">
        <v>37</v>
      </c>
      <c r="I7588" s="2" t="s">
        <v>22</v>
      </c>
      <c r="J7588" s="2" t="s">
        <v>616</v>
      </c>
      <c r="K7588" s="2" t="s">
        <v>495</v>
      </c>
      <c r="L7588" s="13" t="s">
        <v>496</v>
      </c>
      <c r="M7588" s="2" t="s">
        <v>26</v>
      </c>
      <c r="N7588" s="29"/>
      <c r="O7588" s="29"/>
      <c r="P7588" s="5" t="str">
        <f>IFERROR(__xludf.DUMMYFUNCTION("TEXTJOIN("" | "",TRUE,IF(OR(D7588="""",E7588="""",I7588="""",J7588="""",H7588=""""),""ফাঁকা ঘর"",""""),IF(AND(C7588&lt;&gt;"""",D7588&lt;&gt;"""",C7588=D7588),""gloss=figurative"",""""),IF(LEN(D7588)&lt;15,""figurative ছোট"",""""),IF(AND(I7588=""Positive"",REGEXMATCH(H7"&amp;"588,""মূর্খ|ভণ্ড|প্রতার|অলস|লোভ|স্বার্থ|অক্ষম|অযোগ্য|বোকা|কৃপণ|হিংস"")),""valence-target অমিল"",""""),IF(COUNTIF($B:$B,B7588)&gt;1,""ডুপ্লিকেট"",""""))"),"")</f>
        <v/>
      </c>
      <c r="Q7588" s="5" t="str">
        <f t="shared" si="1"/>
        <v>২ পরে</v>
      </c>
    </row>
    <row r="7589">
      <c r="A7589" s="4">
        <v>5981.0</v>
      </c>
      <c r="B7589" s="2" t="s">
        <v>30646</v>
      </c>
      <c r="C7589" s="2" t="s">
        <v>30647</v>
      </c>
      <c r="D7589" s="2" t="s">
        <v>30648</v>
      </c>
      <c r="E7589" s="2" t="s">
        <v>30649</v>
      </c>
      <c r="F7589" s="2" t="b">
        <v>1</v>
      </c>
      <c r="G7589" s="2" t="b">
        <v>0</v>
      </c>
      <c r="H7589" s="2" t="s">
        <v>37</v>
      </c>
      <c r="I7589" s="2" t="s">
        <v>32</v>
      </c>
      <c r="J7589" s="2" t="s">
        <v>1060</v>
      </c>
      <c r="K7589" s="2" t="s">
        <v>495</v>
      </c>
      <c r="L7589" s="13" t="s">
        <v>496</v>
      </c>
      <c r="M7589" s="2" t="s">
        <v>26</v>
      </c>
      <c r="N7589" s="29"/>
      <c r="O7589" s="29"/>
      <c r="P7589" s="5" t="str">
        <f>IFERROR(__xludf.DUMMYFUNCTION("TEXTJOIN("" | "",TRUE,IF(OR(D7589="""",E7589="""",I7589="""",J7589="""",H7589=""""),""ফাঁকা ঘর"",""""),IF(AND(C7589&lt;&gt;"""",D7589&lt;&gt;"""",C7589=D7589),""gloss=figurative"",""""),IF(LEN(D7589)&lt;15,""figurative ছোট"",""""),IF(AND(I7589=""Positive"",REGEXMATCH(H7"&amp;"589,""মূর্খ|ভণ্ড|প্রতার|অলস|লোভ|স্বার্থ|অক্ষম|অযোগ্য|বোকা|কৃপণ|হিংস"")),""valence-target অমিল"",""""),IF(COUNTIF($B:$B,B7589)&gt;1,""ডুপ্লিকেট"",""""))"),"")</f>
        <v/>
      </c>
      <c r="Q7589" s="5" t="str">
        <f t="shared" si="1"/>
        <v>২ পরে</v>
      </c>
    </row>
    <row r="7590">
      <c r="A7590" s="4">
        <v>5982.0</v>
      </c>
      <c r="B7590" s="2" t="s">
        <v>30650</v>
      </c>
      <c r="C7590" s="2" t="s">
        <v>30651</v>
      </c>
      <c r="D7590" s="2" t="s">
        <v>30652</v>
      </c>
      <c r="E7590" s="2" t="s">
        <v>30653</v>
      </c>
      <c r="F7590" s="2" t="b">
        <v>1</v>
      </c>
      <c r="G7590" s="2" t="b">
        <v>0</v>
      </c>
      <c r="H7590" s="2" t="s">
        <v>37</v>
      </c>
      <c r="I7590" s="2" t="s">
        <v>22</v>
      </c>
      <c r="J7590" s="2" t="s">
        <v>30654</v>
      </c>
      <c r="K7590" s="2" t="s">
        <v>495</v>
      </c>
      <c r="L7590" s="13" t="s">
        <v>496</v>
      </c>
      <c r="M7590" s="2" t="s">
        <v>26</v>
      </c>
      <c r="N7590" s="29"/>
      <c r="O7590" s="29"/>
      <c r="P7590" s="5" t="str">
        <f>IFERROR(__xludf.DUMMYFUNCTION("TEXTJOIN("" | "",TRUE,IF(OR(D7590="""",E7590="""",I7590="""",J7590="""",H7590=""""),""ফাঁকা ঘর"",""""),IF(AND(C7590&lt;&gt;"""",D7590&lt;&gt;"""",C7590=D7590),""gloss=figurative"",""""),IF(LEN(D7590)&lt;15,""figurative ছোট"",""""),IF(AND(I7590=""Positive"",REGEXMATCH(H7"&amp;"590,""মূর্খ|ভণ্ড|প্রতার|অলস|লোভ|স্বার্থ|অক্ষম|অযোগ্য|বোকা|কৃপণ|হিংস"")),""valence-target অমিল"",""""),IF(COUNTIF($B:$B,B7590)&gt;1,""ডুপ্লিকেট"",""""))"),"")</f>
        <v/>
      </c>
      <c r="Q7590" s="5" t="str">
        <f t="shared" si="1"/>
        <v>২ পরে</v>
      </c>
    </row>
    <row r="7591">
      <c r="A7591" s="4">
        <v>5983.0</v>
      </c>
      <c r="B7591" s="2" t="s">
        <v>30655</v>
      </c>
      <c r="C7591" s="2" t="s">
        <v>30656</v>
      </c>
      <c r="D7591" s="2" t="s">
        <v>30657</v>
      </c>
      <c r="E7591" s="2" t="s">
        <v>30658</v>
      </c>
      <c r="F7591" s="2" t="b">
        <v>1</v>
      </c>
      <c r="G7591" s="2" t="b">
        <v>0</v>
      </c>
      <c r="H7591" s="2" t="s">
        <v>1284</v>
      </c>
      <c r="I7591" s="2" t="s">
        <v>32</v>
      </c>
      <c r="J7591" s="2" t="s">
        <v>1471</v>
      </c>
      <c r="K7591" s="2" t="s">
        <v>495</v>
      </c>
      <c r="L7591" s="13" t="s">
        <v>496</v>
      </c>
      <c r="M7591" s="2" t="s">
        <v>26</v>
      </c>
      <c r="N7591" s="29"/>
      <c r="O7591" s="29"/>
      <c r="P7591" s="5" t="str">
        <f>IFERROR(__xludf.DUMMYFUNCTION("TEXTJOIN("" | "",TRUE,IF(OR(D7591="""",E7591="""",I7591="""",J7591="""",H7591=""""),""ফাঁকা ঘর"",""""),IF(AND(C7591&lt;&gt;"""",D7591&lt;&gt;"""",C7591=D7591),""gloss=figurative"",""""),IF(LEN(D7591)&lt;15,""figurative ছোট"",""""),IF(AND(I7591=""Positive"",REGEXMATCH(H7"&amp;"591,""মূর্খ|ভণ্ড|প্রতার|অলস|লোভ|স্বার্থ|অক্ষম|অযোগ্য|বোকা|কৃপণ|হিংস"")),""valence-target অমিল"",""""),IF(COUNTIF($B:$B,B7591)&gt;1,""ডুপ্লিকেট"",""""))"),"")</f>
        <v/>
      </c>
      <c r="Q7591" s="5" t="str">
        <f t="shared" si="1"/>
        <v>২ পরে</v>
      </c>
    </row>
    <row r="7592">
      <c r="A7592" s="4">
        <v>5984.0</v>
      </c>
      <c r="B7592" s="2" t="s">
        <v>30659</v>
      </c>
      <c r="C7592" s="2" t="s">
        <v>30660</v>
      </c>
      <c r="D7592" s="2" t="s">
        <v>30661</v>
      </c>
      <c r="E7592" s="2" t="s">
        <v>30662</v>
      </c>
      <c r="F7592" s="2" t="b">
        <v>1</v>
      </c>
      <c r="G7592" s="2" t="b">
        <v>1</v>
      </c>
      <c r="H7592" s="2" t="s">
        <v>1211</v>
      </c>
      <c r="I7592" s="2" t="s">
        <v>49</v>
      </c>
      <c r="J7592" s="2" t="s">
        <v>1798</v>
      </c>
      <c r="K7592" s="2" t="s">
        <v>495</v>
      </c>
      <c r="L7592" s="13" t="s">
        <v>496</v>
      </c>
      <c r="M7592" s="2" t="s">
        <v>26</v>
      </c>
      <c r="N7592" s="29"/>
      <c r="O7592" s="29"/>
      <c r="P7592" s="5" t="str">
        <f>IFERROR(__xludf.DUMMYFUNCTION("TEXTJOIN("" | "",TRUE,IF(OR(D7592="""",E7592="""",I7592="""",J7592="""",H7592=""""),""ফাঁকা ঘর"",""""),IF(AND(C7592&lt;&gt;"""",D7592&lt;&gt;"""",C7592=D7592),""gloss=figurative"",""""),IF(LEN(D7592)&lt;15,""figurative ছোট"",""""),IF(AND(I7592=""Positive"",REGEXMATCH(H7"&amp;"592,""মূর্খ|ভণ্ড|প্রতার|অলস|লোভ|স্বার্থ|অক্ষম|অযোগ্য|বোকা|কৃপণ|হিংস"")),""valence-target অমিল"",""""),IF(COUNTIF($B:$B,B7592)&gt;1,""ডুপ্লিকেট"",""""))"),"")</f>
        <v/>
      </c>
      <c r="Q7592" s="5" t="str">
        <f t="shared" si="1"/>
        <v>২ পরে</v>
      </c>
    </row>
    <row r="7593">
      <c r="A7593" s="4">
        <v>5987.0</v>
      </c>
      <c r="B7593" s="2" t="s">
        <v>30663</v>
      </c>
      <c r="C7593" s="2" t="s">
        <v>30664</v>
      </c>
      <c r="D7593" s="2" t="s">
        <v>30665</v>
      </c>
      <c r="E7593" s="2" t="s">
        <v>30666</v>
      </c>
      <c r="F7593" s="2" t="b">
        <v>1</v>
      </c>
      <c r="G7593" s="2" t="b">
        <v>0</v>
      </c>
      <c r="H7593" s="2" t="s">
        <v>37</v>
      </c>
      <c r="I7593" s="2" t="s">
        <v>49</v>
      </c>
      <c r="J7593" s="2" t="s">
        <v>1060</v>
      </c>
      <c r="K7593" s="2" t="s">
        <v>495</v>
      </c>
      <c r="L7593" s="13" t="s">
        <v>496</v>
      </c>
      <c r="M7593" s="2" t="s">
        <v>26</v>
      </c>
      <c r="N7593" s="29"/>
      <c r="O7593" s="29"/>
      <c r="P7593" s="5" t="str">
        <f>IFERROR(__xludf.DUMMYFUNCTION("TEXTJOIN("" | "",TRUE,IF(OR(D7593="""",E7593="""",I7593="""",J7593="""",H7593=""""),""ফাঁকা ঘর"",""""),IF(AND(C7593&lt;&gt;"""",D7593&lt;&gt;"""",C7593=D7593),""gloss=figurative"",""""),IF(LEN(D7593)&lt;15,""figurative ছোট"",""""),IF(AND(I7593=""Positive"",REGEXMATCH(H7"&amp;"593,""মূর্খ|ভণ্ড|প্রতার|অলস|লোভ|স্বার্থ|অক্ষম|অযোগ্য|বোকা|কৃপণ|হিংস"")),""valence-target অমিল"",""""),IF(COUNTIF($B:$B,B7593)&gt;1,""ডুপ্লিকেট"",""""))"),"")</f>
        <v/>
      </c>
      <c r="Q7593" s="5" t="str">
        <f t="shared" si="1"/>
        <v>২ পরে</v>
      </c>
    </row>
    <row r="7594">
      <c r="A7594" s="4">
        <v>5990.0</v>
      </c>
      <c r="B7594" s="2" t="s">
        <v>30667</v>
      </c>
      <c r="C7594" s="2" t="s">
        <v>30668</v>
      </c>
      <c r="D7594" s="2" t="s">
        <v>30669</v>
      </c>
      <c r="E7594" s="2" t="s">
        <v>30670</v>
      </c>
      <c r="F7594" s="2" t="b">
        <v>1</v>
      </c>
      <c r="G7594" s="2" t="b">
        <v>0</v>
      </c>
      <c r="H7594" s="2" t="s">
        <v>37</v>
      </c>
      <c r="I7594" s="2" t="s">
        <v>49</v>
      </c>
      <c r="J7594" s="2" t="s">
        <v>2629</v>
      </c>
      <c r="K7594" s="2" t="s">
        <v>495</v>
      </c>
      <c r="L7594" s="13" t="s">
        <v>496</v>
      </c>
      <c r="M7594" s="2" t="s">
        <v>26</v>
      </c>
      <c r="N7594" s="29"/>
      <c r="O7594" s="29"/>
      <c r="P7594" s="5" t="str">
        <f>IFERROR(__xludf.DUMMYFUNCTION("TEXTJOIN("" | "",TRUE,IF(OR(D7594="""",E7594="""",I7594="""",J7594="""",H7594=""""),""ফাঁকা ঘর"",""""),IF(AND(C7594&lt;&gt;"""",D7594&lt;&gt;"""",C7594=D7594),""gloss=figurative"",""""),IF(LEN(D7594)&lt;15,""figurative ছোট"",""""),IF(AND(I7594=""Positive"",REGEXMATCH(H7"&amp;"594,""মূর্খ|ভণ্ড|প্রতার|অলস|লোভ|স্বার্থ|অক্ষম|অযোগ্য|বোকা|কৃপণ|হিংস"")),""valence-target অমিল"",""""),IF(COUNTIF($B:$B,B7594)&gt;1,""ডুপ্লিকেট"",""""))"),"")</f>
        <v/>
      </c>
      <c r="Q7594" s="5" t="str">
        <f t="shared" si="1"/>
        <v>২ পরে</v>
      </c>
    </row>
    <row r="7595">
      <c r="A7595" s="4">
        <v>5993.0</v>
      </c>
      <c r="B7595" s="2" t="s">
        <v>30671</v>
      </c>
      <c r="C7595" s="2" t="s">
        <v>30672</v>
      </c>
      <c r="D7595" s="2" t="s">
        <v>30673</v>
      </c>
      <c r="E7595" s="2" t="s">
        <v>30674</v>
      </c>
      <c r="F7595" s="2" t="b">
        <v>1</v>
      </c>
      <c r="G7595" s="2" t="b">
        <v>0</v>
      </c>
      <c r="H7595" s="2" t="s">
        <v>1334</v>
      </c>
      <c r="I7595" s="2" t="s">
        <v>22</v>
      </c>
      <c r="J7595" s="2" t="s">
        <v>820</v>
      </c>
      <c r="K7595" s="2" t="s">
        <v>495</v>
      </c>
      <c r="L7595" s="13" t="s">
        <v>496</v>
      </c>
      <c r="M7595" s="2" t="s">
        <v>26</v>
      </c>
      <c r="N7595" s="29"/>
      <c r="O7595" s="29"/>
      <c r="P7595" s="5" t="str">
        <f>IFERROR(__xludf.DUMMYFUNCTION("TEXTJOIN("" | "",TRUE,IF(OR(D7595="""",E7595="""",I7595="""",J7595="""",H7595=""""),""ফাঁকা ঘর"",""""),IF(AND(C7595&lt;&gt;"""",D7595&lt;&gt;"""",C7595=D7595),""gloss=figurative"",""""),IF(LEN(D7595)&lt;15,""figurative ছোট"",""""),IF(AND(I7595=""Positive"",REGEXMATCH(H7"&amp;"595,""মূর্খ|ভণ্ড|প্রতার|অলস|লোভ|স্বার্থ|অক্ষম|অযোগ্য|বোকা|কৃপণ|হিংস"")),""valence-target অমিল"",""""),IF(COUNTIF($B:$B,B7595)&gt;1,""ডুপ্লিকেট"",""""))"),"")</f>
        <v/>
      </c>
      <c r="Q7595" s="5" t="str">
        <f t="shared" si="1"/>
        <v>২ পরে</v>
      </c>
    </row>
    <row r="7596">
      <c r="A7596" s="4">
        <v>5997.0</v>
      </c>
      <c r="B7596" s="2" t="s">
        <v>30675</v>
      </c>
      <c r="C7596" s="2" t="s">
        <v>30676</v>
      </c>
      <c r="D7596" s="2" t="s">
        <v>30677</v>
      </c>
      <c r="E7596" s="2" t="s">
        <v>30678</v>
      </c>
      <c r="F7596" s="2" t="b">
        <v>1</v>
      </c>
      <c r="G7596" s="2" t="b">
        <v>0</v>
      </c>
      <c r="H7596" s="2" t="s">
        <v>37</v>
      </c>
      <c r="I7596" s="2" t="s">
        <v>32</v>
      </c>
      <c r="J7596" s="2" t="s">
        <v>447</v>
      </c>
      <c r="K7596" s="2" t="s">
        <v>495</v>
      </c>
      <c r="L7596" s="13" t="s">
        <v>496</v>
      </c>
      <c r="M7596" s="2" t="s">
        <v>26</v>
      </c>
      <c r="N7596" s="29"/>
      <c r="O7596" s="29"/>
      <c r="P7596" s="5" t="str">
        <f>IFERROR(__xludf.DUMMYFUNCTION("TEXTJOIN("" | "",TRUE,IF(OR(D7596="""",E7596="""",I7596="""",J7596="""",H7596=""""),""ফাঁকা ঘর"",""""),IF(AND(C7596&lt;&gt;"""",D7596&lt;&gt;"""",C7596=D7596),""gloss=figurative"",""""),IF(LEN(D7596)&lt;15,""figurative ছোট"",""""),IF(AND(I7596=""Positive"",REGEXMATCH(H7"&amp;"596,""মূর্খ|ভণ্ড|প্রতার|অলস|লোভ|স্বার্থ|অক্ষম|অযোগ্য|বোকা|কৃপণ|হিংস"")),""valence-target অমিল"",""""),IF(COUNTIF($B:$B,B7596)&gt;1,""ডুপ্লিকেট"",""""))"),"")</f>
        <v/>
      </c>
      <c r="Q7596" s="5" t="str">
        <f t="shared" si="1"/>
        <v>২ পরে</v>
      </c>
    </row>
    <row r="7597">
      <c r="A7597" s="4">
        <v>5998.0</v>
      </c>
      <c r="B7597" s="2" t="s">
        <v>30679</v>
      </c>
      <c r="C7597" s="2" t="s">
        <v>30680</v>
      </c>
      <c r="D7597" s="2" t="s">
        <v>30681</v>
      </c>
      <c r="E7597" s="2" t="s">
        <v>30682</v>
      </c>
      <c r="F7597" s="2" t="b">
        <v>1</v>
      </c>
      <c r="G7597" s="2" t="b">
        <v>0</v>
      </c>
      <c r="H7597" s="2" t="s">
        <v>37</v>
      </c>
      <c r="I7597" s="2" t="s">
        <v>32</v>
      </c>
      <c r="J7597" s="2" t="s">
        <v>447</v>
      </c>
      <c r="K7597" s="2" t="s">
        <v>495</v>
      </c>
      <c r="L7597" s="13" t="s">
        <v>496</v>
      </c>
      <c r="M7597" s="2" t="s">
        <v>26</v>
      </c>
      <c r="N7597" s="29"/>
      <c r="O7597" s="29"/>
      <c r="P7597" s="5" t="str">
        <f>IFERROR(__xludf.DUMMYFUNCTION("TEXTJOIN("" | "",TRUE,IF(OR(D7597="""",E7597="""",I7597="""",J7597="""",H7597=""""),""ফাঁকা ঘর"",""""),IF(AND(C7597&lt;&gt;"""",D7597&lt;&gt;"""",C7597=D7597),""gloss=figurative"",""""),IF(LEN(D7597)&lt;15,""figurative ছোট"",""""),IF(AND(I7597=""Positive"",REGEXMATCH(H7"&amp;"597,""মূর্খ|ভণ্ড|প্রতার|অলস|লোভ|স্বার্থ|অক্ষম|অযোগ্য|বোকা|কৃপণ|হিংস"")),""valence-target অমিল"",""""),IF(COUNTIF($B:$B,B7597)&gt;1,""ডুপ্লিকেট"",""""))"),"")</f>
        <v/>
      </c>
      <c r="Q7597" s="5" t="str">
        <f t="shared" si="1"/>
        <v>২ পরে</v>
      </c>
    </row>
    <row r="7598">
      <c r="A7598" s="4">
        <v>5999.0</v>
      </c>
      <c r="B7598" s="2" t="s">
        <v>30683</v>
      </c>
      <c r="C7598" s="2" t="s">
        <v>30683</v>
      </c>
      <c r="D7598" s="2" t="s">
        <v>30684</v>
      </c>
      <c r="E7598" s="2" t="s">
        <v>30685</v>
      </c>
      <c r="F7598" s="2" t="b">
        <v>1</v>
      </c>
      <c r="G7598" s="2" t="b">
        <v>0</v>
      </c>
      <c r="H7598" s="2" t="s">
        <v>37</v>
      </c>
      <c r="I7598" s="2" t="s">
        <v>49</v>
      </c>
      <c r="J7598" s="2" t="s">
        <v>447</v>
      </c>
      <c r="K7598" s="2" t="s">
        <v>495</v>
      </c>
      <c r="L7598" s="13" t="s">
        <v>496</v>
      </c>
      <c r="M7598" s="2" t="s">
        <v>26</v>
      </c>
      <c r="N7598" s="29"/>
      <c r="O7598" s="29"/>
      <c r="P7598" s="5" t="str">
        <f>IFERROR(__xludf.DUMMYFUNCTION("TEXTJOIN("" | "",TRUE,IF(OR(D7598="""",E7598="""",I7598="""",J7598="""",H7598=""""),""ফাঁকা ঘর"",""""),IF(AND(C7598&lt;&gt;"""",D7598&lt;&gt;"""",C7598=D7598),""gloss=figurative"",""""),IF(LEN(D7598)&lt;15,""figurative ছোট"",""""),IF(AND(I7598=""Positive"",REGEXMATCH(H7"&amp;"598,""মূর্খ|ভণ্ড|প্রতার|অলস|লোভ|স্বার্থ|অক্ষম|অযোগ্য|বোকা|কৃপণ|হিংস"")),""valence-target অমিল"",""""),IF(COUNTIF($B:$B,B7598)&gt;1,""ডুপ্লিকেট"",""""))"),"")</f>
        <v/>
      </c>
      <c r="Q7598" s="5" t="str">
        <f t="shared" si="1"/>
        <v>২ পরে</v>
      </c>
    </row>
    <row r="7599">
      <c r="A7599" s="4">
        <v>6000.0</v>
      </c>
      <c r="B7599" s="2" t="s">
        <v>30686</v>
      </c>
      <c r="C7599" s="2" t="s">
        <v>30687</v>
      </c>
      <c r="D7599" s="2" t="s">
        <v>30688</v>
      </c>
      <c r="E7599" s="2" t="s">
        <v>30689</v>
      </c>
      <c r="F7599" s="2" t="b">
        <v>1</v>
      </c>
      <c r="G7599" s="2" t="b">
        <v>0</v>
      </c>
      <c r="H7599" s="2" t="s">
        <v>37</v>
      </c>
      <c r="I7599" s="2" t="s">
        <v>22</v>
      </c>
      <c r="J7599" s="2" t="s">
        <v>1239</v>
      </c>
      <c r="K7599" s="2" t="s">
        <v>495</v>
      </c>
      <c r="L7599" s="13" t="s">
        <v>496</v>
      </c>
      <c r="M7599" s="2" t="s">
        <v>26</v>
      </c>
      <c r="N7599" s="29"/>
      <c r="O7599" s="29"/>
      <c r="P7599" s="5" t="str">
        <f>IFERROR(__xludf.DUMMYFUNCTION("TEXTJOIN("" | "",TRUE,IF(OR(D7599="""",E7599="""",I7599="""",J7599="""",H7599=""""),""ফাঁকা ঘর"",""""),IF(AND(C7599&lt;&gt;"""",D7599&lt;&gt;"""",C7599=D7599),""gloss=figurative"",""""),IF(LEN(D7599)&lt;15,""figurative ছোট"",""""),IF(AND(I7599=""Positive"",REGEXMATCH(H7"&amp;"599,""মূর্খ|ভণ্ড|প্রতার|অলস|লোভ|স্বার্থ|অক্ষম|অযোগ্য|বোকা|কৃপণ|হিংস"")),""valence-target অমিল"",""""),IF(COUNTIF($B:$B,B7599)&gt;1,""ডুপ্লিকেট"",""""))"),"")</f>
        <v/>
      </c>
      <c r="Q7599" s="5" t="str">
        <f t="shared" si="1"/>
        <v>২ পরে</v>
      </c>
    </row>
    <row r="7600">
      <c r="A7600" s="4">
        <v>6001.0</v>
      </c>
      <c r="B7600" s="2" t="s">
        <v>30690</v>
      </c>
      <c r="C7600" s="2" t="s">
        <v>30690</v>
      </c>
      <c r="D7600" s="2" t="s">
        <v>30691</v>
      </c>
      <c r="E7600" s="2" t="s">
        <v>30692</v>
      </c>
      <c r="F7600" s="2" t="b">
        <v>1</v>
      </c>
      <c r="G7600" s="2" t="b">
        <v>0</v>
      </c>
      <c r="H7600" s="2" t="s">
        <v>37</v>
      </c>
      <c r="I7600" s="2" t="s">
        <v>22</v>
      </c>
      <c r="J7600" s="2" t="s">
        <v>2316</v>
      </c>
      <c r="K7600" s="2" t="s">
        <v>495</v>
      </c>
      <c r="L7600" s="13" t="s">
        <v>496</v>
      </c>
      <c r="M7600" s="2" t="s">
        <v>26</v>
      </c>
      <c r="N7600" s="29"/>
      <c r="O7600" s="29"/>
      <c r="P7600" s="5" t="str">
        <f>IFERROR(__xludf.DUMMYFUNCTION("TEXTJOIN("" | "",TRUE,IF(OR(D7600="""",E7600="""",I7600="""",J7600="""",H7600=""""),""ফাঁকা ঘর"",""""),IF(AND(C7600&lt;&gt;"""",D7600&lt;&gt;"""",C7600=D7600),""gloss=figurative"",""""),IF(LEN(D7600)&lt;15,""figurative ছোট"",""""),IF(AND(I7600=""Positive"",REGEXMATCH(H7"&amp;"600,""মূর্খ|ভণ্ড|প্রতার|অলস|লোভ|স্বার্থ|অক্ষম|অযোগ্য|বোকা|কৃপণ|হিংস"")),""valence-target অমিল"",""""),IF(COUNTIF($B:$B,B7600)&gt;1,""ডুপ্লিকেট"",""""))"),"")</f>
        <v/>
      </c>
      <c r="Q7600" s="5" t="str">
        <f t="shared" si="1"/>
        <v>২ পরে</v>
      </c>
    </row>
    <row r="7601">
      <c r="A7601" s="4">
        <v>6002.0</v>
      </c>
      <c r="B7601" s="2" t="s">
        <v>30693</v>
      </c>
      <c r="C7601" s="2" t="s">
        <v>30694</v>
      </c>
      <c r="D7601" s="2" t="s">
        <v>30695</v>
      </c>
      <c r="E7601" s="2" t="s">
        <v>30696</v>
      </c>
      <c r="F7601" s="2" t="b">
        <v>1</v>
      </c>
      <c r="G7601" s="2" t="b">
        <v>0</v>
      </c>
      <c r="H7601" s="2" t="s">
        <v>37</v>
      </c>
      <c r="I7601" s="2" t="s">
        <v>49</v>
      </c>
      <c r="J7601" s="2" t="s">
        <v>300</v>
      </c>
      <c r="K7601" s="2" t="s">
        <v>495</v>
      </c>
      <c r="L7601" s="13" t="s">
        <v>496</v>
      </c>
      <c r="M7601" s="2" t="s">
        <v>26</v>
      </c>
      <c r="N7601" s="29"/>
      <c r="O7601" s="29"/>
      <c r="P7601" s="5" t="str">
        <f>IFERROR(__xludf.DUMMYFUNCTION("TEXTJOIN("" | "",TRUE,IF(OR(D7601="""",E7601="""",I7601="""",J7601="""",H7601=""""),""ফাঁকা ঘর"",""""),IF(AND(C7601&lt;&gt;"""",D7601&lt;&gt;"""",C7601=D7601),""gloss=figurative"",""""),IF(LEN(D7601)&lt;15,""figurative ছোট"",""""),IF(AND(I7601=""Positive"",REGEXMATCH(H7"&amp;"601,""মূর্খ|ভণ্ড|প্রতার|অলস|লোভ|স্বার্থ|অক্ষম|অযোগ্য|বোকা|কৃপণ|হিংস"")),""valence-target অমিল"",""""),IF(COUNTIF($B:$B,B7601)&gt;1,""ডুপ্লিকেট"",""""))"),"")</f>
        <v/>
      </c>
      <c r="Q7601" s="5" t="str">
        <f t="shared" si="1"/>
        <v>২ পরে</v>
      </c>
    </row>
    <row r="7602">
      <c r="A7602" s="4">
        <v>6003.0</v>
      </c>
      <c r="B7602" s="2" t="s">
        <v>30697</v>
      </c>
      <c r="C7602" s="2" t="s">
        <v>30698</v>
      </c>
      <c r="D7602" s="2" t="s">
        <v>30699</v>
      </c>
      <c r="E7602" s="2" t="s">
        <v>30700</v>
      </c>
      <c r="F7602" s="2" t="b">
        <v>1</v>
      </c>
      <c r="G7602" s="2" t="b">
        <v>0</v>
      </c>
      <c r="H7602" s="2" t="s">
        <v>37</v>
      </c>
      <c r="I7602" s="2" t="s">
        <v>49</v>
      </c>
      <c r="J7602" s="2" t="s">
        <v>739</v>
      </c>
      <c r="K7602" s="2" t="s">
        <v>495</v>
      </c>
      <c r="L7602" s="13" t="s">
        <v>496</v>
      </c>
      <c r="M7602" s="2" t="s">
        <v>26</v>
      </c>
      <c r="N7602" s="29"/>
      <c r="O7602" s="29"/>
      <c r="P7602" s="5" t="str">
        <f>IFERROR(__xludf.DUMMYFUNCTION("TEXTJOIN("" | "",TRUE,IF(OR(D7602="""",E7602="""",I7602="""",J7602="""",H7602=""""),""ফাঁকা ঘর"",""""),IF(AND(C7602&lt;&gt;"""",D7602&lt;&gt;"""",C7602=D7602),""gloss=figurative"",""""),IF(LEN(D7602)&lt;15,""figurative ছোট"",""""),IF(AND(I7602=""Positive"",REGEXMATCH(H7"&amp;"602,""মূর্খ|ভণ্ড|প্রতার|অলস|লোভ|স্বার্থ|অক্ষম|অযোগ্য|বোকা|কৃপণ|হিংস"")),""valence-target অমিল"",""""),IF(COUNTIF($B:$B,B7602)&gt;1,""ডুপ্লিকেট"",""""))"),"")</f>
        <v/>
      </c>
      <c r="Q7602" s="5" t="str">
        <f t="shared" si="1"/>
        <v>২ পরে</v>
      </c>
    </row>
    <row r="7603">
      <c r="A7603" s="4">
        <v>6005.0</v>
      </c>
      <c r="B7603" s="2" t="s">
        <v>30701</v>
      </c>
      <c r="C7603" s="2" t="s">
        <v>30702</v>
      </c>
      <c r="D7603" s="2" t="s">
        <v>30703</v>
      </c>
      <c r="E7603" s="2" t="s">
        <v>30704</v>
      </c>
      <c r="F7603" s="2" t="b">
        <v>1</v>
      </c>
      <c r="G7603" s="2" t="b">
        <v>0</v>
      </c>
      <c r="H7603" s="2" t="s">
        <v>37</v>
      </c>
      <c r="I7603" s="2" t="s">
        <v>49</v>
      </c>
      <c r="J7603" s="2" t="s">
        <v>3004</v>
      </c>
      <c r="K7603" s="2" t="s">
        <v>495</v>
      </c>
      <c r="L7603" s="13" t="s">
        <v>496</v>
      </c>
      <c r="M7603" s="2" t="s">
        <v>26</v>
      </c>
      <c r="N7603" s="29"/>
      <c r="O7603" s="29"/>
      <c r="P7603" s="5" t="str">
        <f>IFERROR(__xludf.DUMMYFUNCTION("TEXTJOIN("" | "",TRUE,IF(OR(D7603="""",E7603="""",I7603="""",J7603="""",H7603=""""),""ফাঁকা ঘর"",""""),IF(AND(C7603&lt;&gt;"""",D7603&lt;&gt;"""",C7603=D7603),""gloss=figurative"",""""),IF(LEN(D7603)&lt;15,""figurative ছোট"",""""),IF(AND(I7603=""Positive"",REGEXMATCH(H7"&amp;"603,""মূর্খ|ভণ্ড|প্রতার|অলস|লোভ|স্বার্থ|অক্ষম|অযোগ্য|বোকা|কৃপণ|হিংস"")),""valence-target অমিল"",""""),IF(COUNTIF($B:$B,B7603)&gt;1,""ডুপ্লিকেট"",""""))"),"")</f>
        <v/>
      </c>
      <c r="Q7603" s="5" t="str">
        <f t="shared" si="1"/>
        <v>২ পরে</v>
      </c>
    </row>
    <row r="7604">
      <c r="A7604" s="4">
        <v>6006.0</v>
      </c>
      <c r="B7604" s="2" t="s">
        <v>30705</v>
      </c>
      <c r="C7604" s="2" t="s">
        <v>30706</v>
      </c>
      <c r="D7604" s="2" t="s">
        <v>30707</v>
      </c>
      <c r="E7604" s="2" t="s">
        <v>30708</v>
      </c>
      <c r="F7604" s="2" t="b">
        <v>1</v>
      </c>
      <c r="G7604" s="2" t="b">
        <v>0</v>
      </c>
      <c r="H7604" s="2" t="s">
        <v>37</v>
      </c>
      <c r="I7604" s="2" t="s">
        <v>49</v>
      </c>
      <c r="J7604" s="2" t="s">
        <v>8124</v>
      </c>
      <c r="K7604" s="2" t="s">
        <v>495</v>
      </c>
      <c r="L7604" s="13" t="s">
        <v>496</v>
      </c>
      <c r="M7604" s="2" t="s">
        <v>26</v>
      </c>
      <c r="N7604" s="29"/>
      <c r="O7604" s="29"/>
      <c r="P7604" s="5" t="str">
        <f>IFERROR(__xludf.DUMMYFUNCTION("TEXTJOIN("" | "",TRUE,IF(OR(D7604="""",E7604="""",I7604="""",J7604="""",H7604=""""),""ফাঁকা ঘর"",""""),IF(AND(C7604&lt;&gt;"""",D7604&lt;&gt;"""",C7604=D7604),""gloss=figurative"",""""),IF(LEN(D7604)&lt;15,""figurative ছোট"",""""),IF(AND(I7604=""Positive"",REGEXMATCH(H7"&amp;"604,""মূর্খ|ভণ্ড|প্রতার|অলস|লোভ|স্বার্থ|অক্ষম|অযোগ্য|বোকা|কৃপণ|হিংস"")),""valence-target অমিল"",""""),IF(COUNTIF($B:$B,B7604)&gt;1,""ডুপ্লিকেট"",""""))"),"")</f>
        <v/>
      </c>
      <c r="Q7604" s="5" t="str">
        <f t="shared" si="1"/>
        <v>২ পরে</v>
      </c>
    </row>
    <row r="7605">
      <c r="A7605" s="4">
        <v>6008.0</v>
      </c>
      <c r="B7605" s="2" t="s">
        <v>30709</v>
      </c>
      <c r="C7605" s="2" t="s">
        <v>30710</v>
      </c>
      <c r="D7605" s="2" t="s">
        <v>30711</v>
      </c>
      <c r="E7605" s="2" t="s">
        <v>30712</v>
      </c>
      <c r="F7605" s="2" t="b">
        <v>1</v>
      </c>
      <c r="G7605" s="2" t="b">
        <v>0</v>
      </c>
      <c r="H7605" s="2" t="s">
        <v>37</v>
      </c>
      <c r="I7605" s="2" t="s">
        <v>32</v>
      </c>
      <c r="J7605" s="2" t="s">
        <v>739</v>
      </c>
      <c r="K7605" s="2" t="s">
        <v>495</v>
      </c>
      <c r="L7605" s="13" t="s">
        <v>496</v>
      </c>
      <c r="M7605" s="2" t="s">
        <v>26</v>
      </c>
      <c r="N7605" s="29"/>
      <c r="O7605" s="29"/>
      <c r="P7605" s="5" t="str">
        <f>IFERROR(__xludf.DUMMYFUNCTION("TEXTJOIN("" | "",TRUE,IF(OR(D7605="""",E7605="""",I7605="""",J7605="""",H7605=""""),""ফাঁকা ঘর"",""""),IF(AND(C7605&lt;&gt;"""",D7605&lt;&gt;"""",C7605=D7605),""gloss=figurative"",""""),IF(LEN(D7605)&lt;15,""figurative ছোট"",""""),IF(AND(I7605=""Positive"",REGEXMATCH(H7"&amp;"605,""মূর্খ|ভণ্ড|প্রতার|অলস|লোভ|স্বার্থ|অক্ষম|অযোগ্য|বোকা|কৃপণ|হিংস"")),""valence-target অমিল"",""""),IF(COUNTIF($B:$B,B7605)&gt;1,""ডুপ্লিকেট"",""""))"),"")</f>
        <v/>
      </c>
      <c r="Q7605" s="5" t="str">
        <f t="shared" si="1"/>
        <v>২ পরে</v>
      </c>
    </row>
    <row r="7606">
      <c r="A7606" s="4">
        <v>6009.0</v>
      </c>
      <c r="B7606" s="2" t="s">
        <v>30713</v>
      </c>
      <c r="C7606" s="2" t="s">
        <v>30714</v>
      </c>
      <c r="D7606" s="2" t="s">
        <v>30715</v>
      </c>
      <c r="E7606" s="2" t="s">
        <v>30716</v>
      </c>
      <c r="F7606" s="2" t="b">
        <v>1</v>
      </c>
      <c r="G7606" s="2" t="b">
        <v>0</v>
      </c>
      <c r="H7606" s="2" t="s">
        <v>37</v>
      </c>
      <c r="I7606" s="2" t="s">
        <v>49</v>
      </c>
      <c r="J7606" s="2" t="s">
        <v>300</v>
      </c>
      <c r="K7606" s="2" t="s">
        <v>495</v>
      </c>
      <c r="L7606" s="13" t="s">
        <v>496</v>
      </c>
      <c r="M7606" s="2" t="s">
        <v>26</v>
      </c>
      <c r="N7606" s="29"/>
      <c r="O7606" s="29"/>
      <c r="P7606" s="5" t="str">
        <f>IFERROR(__xludf.DUMMYFUNCTION("TEXTJOIN("" | "",TRUE,IF(OR(D7606="""",E7606="""",I7606="""",J7606="""",H7606=""""),""ফাঁকা ঘর"",""""),IF(AND(C7606&lt;&gt;"""",D7606&lt;&gt;"""",C7606=D7606),""gloss=figurative"",""""),IF(LEN(D7606)&lt;15,""figurative ছোট"",""""),IF(AND(I7606=""Positive"",REGEXMATCH(H7"&amp;"606,""মূর্খ|ভণ্ড|প্রতার|অলস|লোভ|স্বার্থ|অক্ষম|অযোগ্য|বোকা|কৃপণ|হিংস"")),""valence-target অমিল"",""""),IF(COUNTIF($B:$B,B7606)&gt;1,""ডুপ্লিকেট"",""""))"),"")</f>
        <v/>
      </c>
      <c r="Q7606" s="5" t="str">
        <f t="shared" si="1"/>
        <v>২ পরে</v>
      </c>
    </row>
    <row r="7607">
      <c r="A7607" s="4">
        <v>6016.0</v>
      </c>
      <c r="B7607" s="2" t="s">
        <v>30717</v>
      </c>
      <c r="C7607" s="2" t="s">
        <v>30717</v>
      </c>
      <c r="D7607" s="2" t="s">
        <v>30718</v>
      </c>
      <c r="E7607" s="2" t="s">
        <v>30719</v>
      </c>
      <c r="F7607" s="2" t="b">
        <v>1</v>
      </c>
      <c r="G7607" s="2" t="b">
        <v>0</v>
      </c>
      <c r="H7607" s="2" t="s">
        <v>37</v>
      </c>
      <c r="I7607" s="2" t="s">
        <v>22</v>
      </c>
      <c r="J7607" s="2" t="s">
        <v>1117</v>
      </c>
      <c r="K7607" s="2" t="s">
        <v>495</v>
      </c>
      <c r="L7607" s="13" t="s">
        <v>496</v>
      </c>
      <c r="M7607" s="2" t="s">
        <v>26</v>
      </c>
      <c r="N7607" s="29"/>
      <c r="O7607" s="29"/>
      <c r="P7607" s="5" t="str">
        <f>IFERROR(__xludf.DUMMYFUNCTION("TEXTJOIN("" | "",TRUE,IF(OR(D7607="""",E7607="""",I7607="""",J7607="""",H7607=""""),""ফাঁকা ঘর"",""""),IF(AND(C7607&lt;&gt;"""",D7607&lt;&gt;"""",C7607=D7607),""gloss=figurative"",""""),IF(LEN(D7607)&lt;15,""figurative ছোট"",""""),IF(AND(I7607=""Positive"",REGEXMATCH(H7"&amp;"607,""মূর্খ|ভণ্ড|প্রতার|অলস|লোভ|স্বার্থ|অক্ষম|অযোগ্য|বোকা|কৃপণ|হিংস"")),""valence-target অমিল"",""""),IF(COUNTIF($B:$B,B7607)&gt;1,""ডুপ্লিকেট"",""""))"),"")</f>
        <v/>
      </c>
      <c r="Q7607" s="5" t="str">
        <f t="shared" si="1"/>
        <v>২ পরে</v>
      </c>
    </row>
    <row r="7608">
      <c r="A7608" s="4">
        <v>6017.0</v>
      </c>
      <c r="B7608" s="2" t="s">
        <v>30720</v>
      </c>
      <c r="C7608" s="2" t="s">
        <v>30721</v>
      </c>
      <c r="D7608" s="2" t="s">
        <v>30722</v>
      </c>
      <c r="E7608" s="2" t="s">
        <v>30723</v>
      </c>
      <c r="F7608" s="2" t="b">
        <v>1</v>
      </c>
      <c r="G7608" s="2" t="b">
        <v>0</v>
      </c>
      <c r="H7608" s="2" t="s">
        <v>37</v>
      </c>
      <c r="I7608" s="2" t="s">
        <v>49</v>
      </c>
      <c r="J7608" s="2" t="s">
        <v>729</v>
      </c>
      <c r="K7608" s="2" t="s">
        <v>495</v>
      </c>
      <c r="L7608" s="13" t="s">
        <v>496</v>
      </c>
      <c r="M7608" s="2" t="s">
        <v>26</v>
      </c>
      <c r="N7608" s="29"/>
      <c r="O7608" s="29"/>
      <c r="P7608" s="5" t="str">
        <f>IFERROR(__xludf.DUMMYFUNCTION("TEXTJOIN("" | "",TRUE,IF(OR(D7608="""",E7608="""",I7608="""",J7608="""",H7608=""""),""ফাঁকা ঘর"",""""),IF(AND(C7608&lt;&gt;"""",D7608&lt;&gt;"""",C7608=D7608),""gloss=figurative"",""""),IF(LEN(D7608)&lt;15,""figurative ছোট"",""""),IF(AND(I7608=""Positive"",REGEXMATCH(H7"&amp;"608,""মূর্খ|ভণ্ড|প্রতার|অলস|লোভ|স্বার্থ|অক্ষম|অযোগ্য|বোকা|কৃপণ|হিংস"")),""valence-target অমিল"",""""),IF(COUNTIF($B:$B,B7608)&gt;1,""ডুপ্লিকেট"",""""))"),"")</f>
        <v/>
      </c>
      <c r="Q7608" s="5" t="str">
        <f t="shared" si="1"/>
        <v>২ পরে</v>
      </c>
    </row>
    <row r="7609">
      <c r="A7609" s="4">
        <v>6018.0</v>
      </c>
      <c r="B7609" s="2" t="s">
        <v>30724</v>
      </c>
      <c r="C7609" s="2" t="s">
        <v>30724</v>
      </c>
      <c r="D7609" s="2" t="s">
        <v>30725</v>
      </c>
      <c r="E7609" s="2" t="s">
        <v>30726</v>
      </c>
      <c r="F7609" s="2" t="b">
        <v>1</v>
      </c>
      <c r="G7609" s="2" t="b">
        <v>0</v>
      </c>
      <c r="H7609" s="2" t="s">
        <v>37</v>
      </c>
      <c r="I7609" s="2" t="s">
        <v>49</v>
      </c>
      <c r="J7609" s="2" t="s">
        <v>300</v>
      </c>
      <c r="K7609" s="2" t="s">
        <v>495</v>
      </c>
      <c r="L7609" s="13" t="s">
        <v>496</v>
      </c>
      <c r="M7609" s="2" t="s">
        <v>26</v>
      </c>
      <c r="N7609" s="29"/>
      <c r="O7609" s="29"/>
      <c r="P7609" s="5" t="str">
        <f>IFERROR(__xludf.DUMMYFUNCTION("TEXTJOIN("" | "",TRUE,IF(OR(D7609="""",E7609="""",I7609="""",J7609="""",H7609=""""),""ফাঁকা ঘর"",""""),IF(AND(C7609&lt;&gt;"""",D7609&lt;&gt;"""",C7609=D7609),""gloss=figurative"",""""),IF(LEN(D7609)&lt;15,""figurative ছোট"",""""),IF(AND(I7609=""Positive"",REGEXMATCH(H7"&amp;"609,""মূর্খ|ভণ্ড|প্রতার|অলস|লোভ|স্বার্থ|অক্ষম|অযোগ্য|বোকা|কৃপণ|হিংস"")),""valence-target অমিল"",""""),IF(COUNTIF($B:$B,B7609)&gt;1,""ডুপ্লিকেট"",""""))"),"")</f>
        <v/>
      </c>
      <c r="Q7609" s="5" t="str">
        <f t="shared" si="1"/>
        <v>২ পরে</v>
      </c>
    </row>
    <row r="7610">
      <c r="A7610" s="4">
        <v>6019.0</v>
      </c>
      <c r="B7610" s="2" t="s">
        <v>30727</v>
      </c>
      <c r="C7610" s="2" t="s">
        <v>30727</v>
      </c>
      <c r="D7610" s="2" t="s">
        <v>30728</v>
      </c>
      <c r="E7610" s="2" t="s">
        <v>30729</v>
      </c>
      <c r="F7610" s="2" t="b">
        <v>1</v>
      </c>
      <c r="G7610" s="2" t="b">
        <v>0</v>
      </c>
      <c r="H7610" s="2" t="s">
        <v>37</v>
      </c>
      <c r="I7610" s="2" t="s">
        <v>22</v>
      </c>
      <c r="J7610" s="2" t="s">
        <v>2869</v>
      </c>
      <c r="K7610" s="2" t="s">
        <v>495</v>
      </c>
      <c r="L7610" s="13" t="s">
        <v>496</v>
      </c>
      <c r="M7610" s="2" t="s">
        <v>26</v>
      </c>
      <c r="N7610" s="29"/>
      <c r="O7610" s="29"/>
      <c r="P7610" s="5" t="str">
        <f>IFERROR(__xludf.DUMMYFUNCTION("TEXTJOIN("" | "",TRUE,IF(OR(D7610="""",E7610="""",I7610="""",J7610="""",H7610=""""),""ফাঁকা ঘর"",""""),IF(AND(C7610&lt;&gt;"""",D7610&lt;&gt;"""",C7610=D7610),""gloss=figurative"",""""),IF(LEN(D7610)&lt;15,""figurative ছোট"",""""),IF(AND(I7610=""Positive"",REGEXMATCH(H7"&amp;"610,""মূর্খ|ভণ্ড|প্রতার|অলস|লোভ|স্বার্থ|অক্ষম|অযোগ্য|বোকা|কৃপণ|হিংস"")),""valence-target অমিল"",""""),IF(COUNTIF($B:$B,B7610)&gt;1,""ডুপ্লিকেট"",""""))"),"")</f>
        <v/>
      </c>
      <c r="Q7610" s="5" t="str">
        <f t="shared" si="1"/>
        <v>২ পরে</v>
      </c>
    </row>
    <row r="7611">
      <c r="A7611" s="4">
        <v>6020.0</v>
      </c>
      <c r="B7611" s="2" t="s">
        <v>30730</v>
      </c>
      <c r="C7611" s="2" t="s">
        <v>30730</v>
      </c>
      <c r="D7611" s="2" t="s">
        <v>30731</v>
      </c>
      <c r="E7611" s="2" t="s">
        <v>30732</v>
      </c>
      <c r="F7611" s="2" t="b">
        <v>1</v>
      </c>
      <c r="G7611" s="2" t="b">
        <v>0</v>
      </c>
      <c r="H7611" s="2" t="s">
        <v>37</v>
      </c>
      <c r="I7611" s="2" t="s">
        <v>49</v>
      </c>
      <c r="J7611" s="2" t="s">
        <v>17515</v>
      </c>
      <c r="K7611" s="2" t="s">
        <v>495</v>
      </c>
      <c r="L7611" s="13" t="s">
        <v>496</v>
      </c>
      <c r="M7611" s="2" t="s">
        <v>26</v>
      </c>
      <c r="N7611" s="29"/>
      <c r="O7611" s="29"/>
      <c r="P7611" s="5" t="str">
        <f>IFERROR(__xludf.DUMMYFUNCTION("TEXTJOIN("" | "",TRUE,IF(OR(D7611="""",E7611="""",I7611="""",J7611="""",H7611=""""),""ফাঁকা ঘর"",""""),IF(AND(C7611&lt;&gt;"""",D7611&lt;&gt;"""",C7611=D7611),""gloss=figurative"",""""),IF(LEN(D7611)&lt;15,""figurative ছোট"",""""),IF(AND(I7611=""Positive"",REGEXMATCH(H7"&amp;"611,""মূর্খ|ভণ্ড|প্রতার|অলস|লোভ|স্বার্থ|অক্ষম|অযোগ্য|বোকা|কৃপণ|হিংস"")),""valence-target অমিল"",""""),IF(COUNTIF($B:$B,B7611)&gt;1,""ডুপ্লিকেট"",""""))"),"")</f>
        <v/>
      </c>
      <c r="Q7611" s="5" t="str">
        <f t="shared" si="1"/>
        <v>২ পরে</v>
      </c>
    </row>
    <row r="7612">
      <c r="A7612" s="4">
        <v>6027.0</v>
      </c>
      <c r="B7612" s="2" t="s">
        <v>30733</v>
      </c>
      <c r="C7612" s="2" t="s">
        <v>30734</v>
      </c>
      <c r="D7612" s="2" t="s">
        <v>30735</v>
      </c>
      <c r="E7612" s="2" t="s">
        <v>30736</v>
      </c>
      <c r="F7612" s="2" t="b">
        <v>1</v>
      </c>
      <c r="G7612" s="2" t="b">
        <v>0</v>
      </c>
      <c r="H7612" s="2" t="s">
        <v>37</v>
      </c>
      <c r="I7612" s="2" t="s">
        <v>22</v>
      </c>
      <c r="J7612" s="2" t="s">
        <v>1656</v>
      </c>
      <c r="K7612" s="2" t="s">
        <v>495</v>
      </c>
      <c r="L7612" s="13" t="s">
        <v>496</v>
      </c>
      <c r="M7612" s="2" t="s">
        <v>26</v>
      </c>
      <c r="N7612" s="29"/>
      <c r="O7612" s="29"/>
      <c r="P7612" s="5" t="str">
        <f>IFERROR(__xludf.DUMMYFUNCTION("TEXTJOIN("" | "",TRUE,IF(OR(D7612="""",E7612="""",I7612="""",J7612="""",H7612=""""),""ফাঁকা ঘর"",""""),IF(AND(C7612&lt;&gt;"""",D7612&lt;&gt;"""",C7612=D7612),""gloss=figurative"",""""),IF(LEN(D7612)&lt;15,""figurative ছোট"",""""),IF(AND(I7612=""Positive"",REGEXMATCH(H7"&amp;"612,""মূর্খ|ভণ্ড|প্রতার|অলস|লোভ|স্বার্থ|অক্ষম|অযোগ্য|বোকা|কৃপণ|হিংস"")),""valence-target অমিল"",""""),IF(COUNTIF($B:$B,B7612)&gt;1,""ডুপ্লিকেট"",""""))"),"")</f>
        <v/>
      </c>
      <c r="Q7612" s="5" t="str">
        <f t="shared" si="1"/>
        <v>২ পরে</v>
      </c>
    </row>
    <row r="7613">
      <c r="A7613" s="4">
        <v>6028.0</v>
      </c>
      <c r="B7613" s="2" t="s">
        <v>30737</v>
      </c>
      <c r="C7613" s="2" t="s">
        <v>30738</v>
      </c>
      <c r="D7613" s="2" t="s">
        <v>30739</v>
      </c>
      <c r="E7613" s="2" t="s">
        <v>30740</v>
      </c>
      <c r="F7613" s="2" t="b">
        <v>1</v>
      </c>
      <c r="G7613" s="2" t="b">
        <v>0</v>
      </c>
      <c r="H7613" s="2" t="s">
        <v>37</v>
      </c>
      <c r="I7613" s="2" t="s">
        <v>22</v>
      </c>
      <c r="J7613" s="2" t="s">
        <v>1656</v>
      </c>
      <c r="K7613" s="2" t="s">
        <v>495</v>
      </c>
      <c r="L7613" s="13" t="s">
        <v>496</v>
      </c>
      <c r="M7613" s="2" t="s">
        <v>26</v>
      </c>
      <c r="N7613" s="29"/>
      <c r="O7613" s="29"/>
      <c r="P7613" s="5" t="str">
        <f>IFERROR(__xludf.DUMMYFUNCTION("TEXTJOIN("" | "",TRUE,IF(OR(D7613="""",E7613="""",I7613="""",J7613="""",H7613=""""),""ফাঁকা ঘর"",""""),IF(AND(C7613&lt;&gt;"""",D7613&lt;&gt;"""",C7613=D7613),""gloss=figurative"",""""),IF(LEN(D7613)&lt;15,""figurative ছোট"",""""),IF(AND(I7613=""Positive"",REGEXMATCH(H7"&amp;"613,""মূর্খ|ভণ্ড|প্রতার|অলস|লোভ|স্বার্থ|অক্ষম|অযোগ্য|বোকা|কৃপণ|হিংস"")),""valence-target অমিল"",""""),IF(COUNTIF($B:$B,B7613)&gt;1,""ডুপ্লিকেট"",""""))"),"")</f>
        <v/>
      </c>
      <c r="Q7613" s="5" t="str">
        <f t="shared" si="1"/>
        <v>২ পরে</v>
      </c>
    </row>
    <row r="7614">
      <c r="A7614" s="4">
        <v>6029.0</v>
      </c>
      <c r="B7614" s="2" t="s">
        <v>30741</v>
      </c>
      <c r="C7614" s="2" t="s">
        <v>30741</v>
      </c>
      <c r="D7614" s="2" t="s">
        <v>30742</v>
      </c>
      <c r="E7614" s="2" t="s">
        <v>30743</v>
      </c>
      <c r="F7614" s="2" t="b">
        <v>1</v>
      </c>
      <c r="G7614" s="2" t="b">
        <v>1</v>
      </c>
      <c r="H7614" s="2" t="s">
        <v>3882</v>
      </c>
      <c r="I7614" s="2" t="s">
        <v>49</v>
      </c>
      <c r="J7614" s="2" t="s">
        <v>1060</v>
      </c>
      <c r="K7614" s="2" t="s">
        <v>495</v>
      </c>
      <c r="L7614" s="13" t="s">
        <v>496</v>
      </c>
      <c r="M7614" s="2" t="s">
        <v>26</v>
      </c>
      <c r="N7614" s="29"/>
      <c r="O7614" s="29"/>
      <c r="P7614" s="5" t="str">
        <f>IFERROR(__xludf.DUMMYFUNCTION("TEXTJOIN("" | "",TRUE,IF(OR(D7614="""",E7614="""",I7614="""",J7614="""",H7614=""""),""ফাঁকা ঘর"",""""),IF(AND(C7614&lt;&gt;"""",D7614&lt;&gt;"""",C7614=D7614),""gloss=figurative"",""""),IF(LEN(D7614)&lt;15,""figurative ছোট"",""""),IF(AND(I7614=""Positive"",REGEXMATCH(H7"&amp;"614,""মূর্খ|ভণ্ড|প্রতার|অলস|লোভ|স্বার্থ|অক্ষম|অযোগ্য|বোকা|কৃপণ|হিংস"")),""valence-target অমিল"",""""),IF(COUNTIF($B:$B,B7614)&gt;1,""ডুপ্লিকেট"",""""))"),"")</f>
        <v/>
      </c>
      <c r="Q7614" s="5" t="str">
        <f t="shared" si="1"/>
        <v>২ পরে</v>
      </c>
    </row>
    <row r="7615">
      <c r="A7615" s="4">
        <v>6030.0</v>
      </c>
      <c r="B7615" s="2" t="s">
        <v>30744</v>
      </c>
      <c r="C7615" s="2" t="s">
        <v>30745</v>
      </c>
      <c r="D7615" s="2" t="s">
        <v>30746</v>
      </c>
      <c r="E7615" s="2" t="s">
        <v>30747</v>
      </c>
      <c r="F7615" s="2" t="b">
        <v>1</v>
      </c>
      <c r="G7615" s="2" t="b">
        <v>1</v>
      </c>
      <c r="H7615" s="2" t="s">
        <v>1106</v>
      </c>
      <c r="I7615" s="2" t="s">
        <v>22</v>
      </c>
      <c r="J7615" s="2" t="s">
        <v>1315</v>
      </c>
      <c r="K7615" s="2" t="s">
        <v>495</v>
      </c>
      <c r="L7615" s="13" t="s">
        <v>496</v>
      </c>
      <c r="M7615" s="2" t="s">
        <v>26</v>
      </c>
      <c r="N7615" s="29"/>
      <c r="O7615" s="29"/>
      <c r="P7615" s="5" t="str">
        <f>IFERROR(__xludf.DUMMYFUNCTION("TEXTJOIN("" | "",TRUE,IF(OR(D7615="""",E7615="""",I7615="""",J7615="""",H7615=""""),""ফাঁকা ঘর"",""""),IF(AND(C7615&lt;&gt;"""",D7615&lt;&gt;"""",C7615=D7615),""gloss=figurative"",""""),IF(LEN(D7615)&lt;15,""figurative ছোট"",""""),IF(AND(I7615=""Positive"",REGEXMATCH(H7"&amp;"615,""মূর্খ|ভণ্ড|প্রতার|অলস|লোভ|স্বার্থ|অক্ষম|অযোগ্য|বোকা|কৃপণ|হিংস"")),""valence-target অমিল"",""""),IF(COUNTIF($B:$B,B7615)&gt;1,""ডুপ্লিকেট"",""""))"),"")</f>
        <v/>
      </c>
      <c r="Q7615" s="5" t="str">
        <f t="shared" si="1"/>
        <v>২ পরে</v>
      </c>
    </row>
    <row r="7616">
      <c r="A7616" s="4">
        <v>6031.0</v>
      </c>
      <c r="B7616" s="2" t="s">
        <v>30748</v>
      </c>
      <c r="C7616" s="2" t="s">
        <v>30748</v>
      </c>
      <c r="D7616" s="2" t="s">
        <v>30749</v>
      </c>
      <c r="E7616" s="2" t="s">
        <v>30750</v>
      </c>
      <c r="F7616" s="2" t="b">
        <v>1</v>
      </c>
      <c r="G7616" s="2" t="b">
        <v>1</v>
      </c>
      <c r="H7616" s="2" t="s">
        <v>4226</v>
      </c>
      <c r="I7616" s="2" t="s">
        <v>32</v>
      </c>
      <c r="J7616" s="2" t="s">
        <v>3327</v>
      </c>
      <c r="K7616" s="2" t="s">
        <v>495</v>
      </c>
      <c r="L7616" s="13" t="s">
        <v>496</v>
      </c>
      <c r="M7616" s="2" t="s">
        <v>26</v>
      </c>
      <c r="N7616" s="29"/>
      <c r="O7616" s="29"/>
      <c r="P7616" s="5" t="str">
        <f>IFERROR(__xludf.DUMMYFUNCTION("TEXTJOIN("" | "",TRUE,IF(OR(D7616="""",E7616="""",I7616="""",J7616="""",H7616=""""),""ফাঁকা ঘর"",""""),IF(AND(C7616&lt;&gt;"""",D7616&lt;&gt;"""",C7616=D7616),""gloss=figurative"",""""),IF(LEN(D7616)&lt;15,""figurative ছোট"",""""),IF(AND(I7616=""Positive"",REGEXMATCH(H7"&amp;"616,""মূর্খ|ভণ্ড|প্রতার|অলস|লোভ|স্বার্থ|অক্ষম|অযোগ্য|বোকা|কৃপণ|হিংস"")),""valence-target অমিল"",""""),IF(COUNTIF($B:$B,B7616)&gt;1,""ডুপ্লিকেট"",""""))"),"")</f>
        <v/>
      </c>
      <c r="Q7616" s="5" t="str">
        <f t="shared" si="1"/>
        <v>২ পরে</v>
      </c>
    </row>
    <row r="7617">
      <c r="A7617" s="4">
        <v>6032.0</v>
      </c>
      <c r="B7617" s="2" t="s">
        <v>30751</v>
      </c>
      <c r="C7617" s="2" t="s">
        <v>30752</v>
      </c>
      <c r="D7617" s="2" t="s">
        <v>30753</v>
      </c>
      <c r="E7617" s="2" t="s">
        <v>30754</v>
      </c>
      <c r="F7617" s="2" t="b">
        <v>1</v>
      </c>
      <c r="G7617" s="2" t="b">
        <v>1</v>
      </c>
      <c r="H7617" s="2" t="s">
        <v>4226</v>
      </c>
      <c r="I7617" s="2" t="s">
        <v>49</v>
      </c>
      <c r="J7617" s="2" t="s">
        <v>3327</v>
      </c>
      <c r="K7617" s="2" t="s">
        <v>495</v>
      </c>
      <c r="L7617" s="13" t="s">
        <v>496</v>
      </c>
      <c r="M7617" s="2" t="s">
        <v>26</v>
      </c>
      <c r="N7617" s="29"/>
      <c r="O7617" s="29"/>
      <c r="P7617" s="5" t="str">
        <f>IFERROR(__xludf.DUMMYFUNCTION("TEXTJOIN("" | "",TRUE,IF(OR(D7617="""",E7617="""",I7617="""",J7617="""",H7617=""""),""ফাঁকা ঘর"",""""),IF(AND(C7617&lt;&gt;"""",D7617&lt;&gt;"""",C7617=D7617),""gloss=figurative"",""""),IF(LEN(D7617)&lt;15,""figurative ছোট"",""""),IF(AND(I7617=""Positive"",REGEXMATCH(H7"&amp;"617,""মূর্খ|ভণ্ড|প্রতার|অলস|লোভ|স্বার্থ|অক্ষম|অযোগ্য|বোকা|কৃপণ|হিংস"")),""valence-target অমিল"",""""),IF(COUNTIF($B:$B,B7617)&gt;1,""ডুপ্লিকেট"",""""))"),"")</f>
        <v/>
      </c>
      <c r="Q7617" s="5" t="str">
        <f t="shared" si="1"/>
        <v>২ পরে</v>
      </c>
    </row>
    <row r="7618">
      <c r="A7618" s="4">
        <v>6033.0</v>
      </c>
      <c r="B7618" s="2" t="s">
        <v>30755</v>
      </c>
      <c r="C7618" s="2" t="s">
        <v>30756</v>
      </c>
      <c r="D7618" s="2" t="s">
        <v>30757</v>
      </c>
      <c r="E7618" s="2" t="s">
        <v>30758</v>
      </c>
      <c r="F7618" s="2" t="b">
        <v>1</v>
      </c>
      <c r="G7618" s="2" t="b">
        <v>1</v>
      </c>
      <c r="H7618" s="2" t="s">
        <v>4226</v>
      </c>
      <c r="I7618" s="2" t="s">
        <v>49</v>
      </c>
      <c r="J7618" s="2" t="s">
        <v>1239</v>
      </c>
      <c r="K7618" s="2" t="s">
        <v>495</v>
      </c>
      <c r="L7618" s="13" t="s">
        <v>496</v>
      </c>
      <c r="M7618" s="2" t="s">
        <v>26</v>
      </c>
      <c r="N7618" s="29"/>
      <c r="O7618" s="29"/>
      <c r="P7618" s="5" t="str">
        <f>IFERROR(__xludf.DUMMYFUNCTION("TEXTJOIN("" | "",TRUE,IF(OR(D7618="""",E7618="""",I7618="""",J7618="""",H7618=""""),""ফাঁকা ঘর"",""""),IF(AND(C7618&lt;&gt;"""",D7618&lt;&gt;"""",C7618=D7618),""gloss=figurative"",""""),IF(LEN(D7618)&lt;15,""figurative ছোট"",""""),IF(AND(I7618=""Positive"",REGEXMATCH(H7"&amp;"618,""মূর্খ|ভণ্ড|প্রতার|অলস|লোভ|স্বার্থ|অক্ষম|অযোগ্য|বোকা|কৃপণ|হিংস"")),""valence-target অমিল"",""""),IF(COUNTIF($B:$B,B7618)&gt;1,""ডুপ্লিকেট"",""""))"),"")</f>
        <v/>
      </c>
      <c r="Q7618" s="5" t="str">
        <f t="shared" si="1"/>
        <v>২ পরে</v>
      </c>
    </row>
    <row r="7619">
      <c r="A7619" s="4">
        <v>6034.0</v>
      </c>
      <c r="B7619" s="2" t="s">
        <v>30759</v>
      </c>
      <c r="C7619" s="2" t="s">
        <v>30759</v>
      </c>
      <c r="D7619" s="2" t="s">
        <v>30760</v>
      </c>
      <c r="E7619" s="2" t="s">
        <v>30761</v>
      </c>
      <c r="F7619" s="2" t="b">
        <v>1</v>
      </c>
      <c r="G7619" s="2" t="b">
        <v>1</v>
      </c>
      <c r="H7619" s="2" t="s">
        <v>4226</v>
      </c>
      <c r="I7619" s="2" t="s">
        <v>32</v>
      </c>
      <c r="J7619" s="2" t="s">
        <v>1239</v>
      </c>
      <c r="K7619" s="2" t="s">
        <v>495</v>
      </c>
      <c r="L7619" s="13" t="s">
        <v>496</v>
      </c>
      <c r="M7619" s="2" t="s">
        <v>26</v>
      </c>
      <c r="N7619" s="29"/>
      <c r="O7619" s="29"/>
      <c r="P7619" s="5" t="str">
        <f>IFERROR(__xludf.DUMMYFUNCTION("TEXTJOIN("" | "",TRUE,IF(OR(D7619="""",E7619="""",I7619="""",J7619="""",H7619=""""),""ফাঁকা ঘর"",""""),IF(AND(C7619&lt;&gt;"""",D7619&lt;&gt;"""",C7619=D7619),""gloss=figurative"",""""),IF(LEN(D7619)&lt;15,""figurative ছোট"",""""),IF(AND(I7619=""Positive"",REGEXMATCH(H7"&amp;"619,""মূর্খ|ভণ্ড|প্রতার|অলস|লোভ|স্বার্থ|অক্ষম|অযোগ্য|বোকা|কৃপণ|হিংস"")),""valence-target অমিল"",""""),IF(COUNTIF($B:$B,B7619)&gt;1,""ডুপ্লিকেট"",""""))"),"")</f>
        <v/>
      </c>
      <c r="Q7619" s="5" t="str">
        <f t="shared" si="1"/>
        <v>২ পরে</v>
      </c>
    </row>
    <row r="7620">
      <c r="A7620" s="4">
        <v>6035.0</v>
      </c>
      <c r="B7620" s="2" t="s">
        <v>30762</v>
      </c>
      <c r="C7620" s="2" t="s">
        <v>30763</v>
      </c>
      <c r="D7620" s="2" t="s">
        <v>30764</v>
      </c>
      <c r="E7620" s="2" t="s">
        <v>30765</v>
      </c>
      <c r="F7620" s="2" t="b">
        <v>1</v>
      </c>
      <c r="G7620" s="2" t="b">
        <v>1</v>
      </c>
      <c r="H7620" s="2" t="s">
        <v>4226</v>
      </c>
      <c r="I7620" s="2" t="s">
        <v>22</v>
      </c>
      <c r="J7620" s="2" t="s">
        <v>1239</v>
      </c>
      <c r="K7620" s="2" t="s">
        <v>495</v>
      </c>
      <c r="L7620" s="13" t="s">
        <v>496</v>
      </c>
      <c r="M7620" s="2" t="s">
        <v>26</v>
      </c>
      <c r="N7620" s="29"/>
      <c r="O7620" s="29"/>
      <c r="P7620" s="5" t="str">
        <f>IFERROR(__xludf.DUMMYFUNCTION("TEXTJOIN("" | "",TRUE,IF(OR(D7620="""",E7620="""",I7620="""",J7620="""",H7620=""""),""ফাঁকা ঘর"",""""),IF(AND(C7620&lt;&gt;"""",D7620&lt;&gt;"""",C7620=D7620),""gloss=figurative"",""""),IF(LEN(D7620)&lt;15,""figurative ছোট"",""""),IF(AND(I7620=""Positive"",REGEXMATCH(H7"&amp;"620,""মূর্খ|ভণ্ড|প্রতার|অলস|লোভ|স্বার্থ|অক্ষম|অযোগ্য|বোকা|কৃপণ|হিংস"")),""valence-target অমিল"",""""),IF(COUNTIF($B:$B,B7620)&gt;1,""ডুপ্লিকেট"",""""))"),"")</f>
        <v/>
      </c>
      <c r="Q7620" s="5" t="str">
        <f t="shared" si="1"/>
        <v>২ পরে</v>
      </c>
    </row>
    <row r="7621">
      <c r="A7621" s="4">
        <v>6036.0</v>
      </c>
      <c r="B7621" s="2" t="s">
        <v>30766</v>
      </c>
      <c r="C7621" s="2" t="s">
        <v>30766</v>
      </c>
      <c r="D7621" s="2" t="s">
        <v>30156</v>
      </c>
      <c r="E7621" s="2" t="s">
        <v>30767</v>
      </c>
      <c r="F7621" s="2" t="b">
        <v>1</v>
      </c>
      <c r="G7621" s="2" t="b">
        <v>0</v>
      </c>
      <c r="H7621" s="2" t="s">
        <v>37</v>
      </c>
      <c r="I7621" s="2" t="s">
        <v>22</v>
      </c>
      <c r="J7621" s="2" t="s">
        <v>1510</v>
      </c>
      <c r="K7621" s="2" t="s">
        <v>495</v>
      </c>
      <c r="L7621" s="13" t="s">
        <v>496</v>
      </c>
      <c r="M7621" s="2" t="s">
        <v>26</v>
      </c>
      <c r="N7621" s="29"/>
      <c r="O7621" s="29"/>
      <c r="P7621" s="5" t="str">
        <f>IFERROR(__xludf.DUMMYFUNCTION("TEXTJOIN("" | "",TRUE,IF(OR(D7621="""",E7621="""",I7621="""",J7621="""",H7621=""""),""ফাঁকা ঘর"",""""),IF(AND(C7621&lt;&gt;"""",D7621&lt;&gt;"""",C7621=D7621),""gloss=figurative"",""""),IF(LEN(D7621)&lt;15,""figurative ছোট"",""""),IF(AND(I7621=""Positive"",REGEXMATCH(H7"&amp;"621,""মূর্খ|ভণ্ড|প্রতার|অলস|লোভ|স্বার্থ|অক্ষম|অযোগ্য|বোকা|কৃপণ|হিংস"")),""valence-target অমিল"",""""),IF(COUNTIF($B:$B,B7621)&gt;1,""ডুপ্লিকেট"",""""))"),"")</f>
        <v/>
      </c>
      <c r="Q7621" s="5" t="str">
        <f t="shared" si="1"/>
        <v>২ পরে</v>
      </c>
    </row>
    <row r="7622">
      <c r="A7622" s="4">
        <v>6037.0</v>
      </c>
      <c r="B7622" s="2" t="s">
        <v>30768</v>
      </c>
      <c r="C7622" s="2" t="s">
        <v>30769</v>
      </c>
      <c r="D7622" s="2" t="s">
        <v>30307</v>
      </c>
      <c r="E7622" s="2" t="s">
        <v>30770</v>
      </c>
      <c r="F7622" s="2" t="b">
        <v>1</v>
      </c>
      <c r="G7622" s="2" t="b">
        <v>0</v>
      </c>
      <c r="H7622" s="2" t="s">
        <v>37</v>
      </c>
      <c r="I7622" s="2" t="s">
        <v>22</v>
      </c>
      <c r="J7622" s="2" t="s">
        <v>1027</v>
      </c>
      <c r="K7622" s="2" t="s">
        <v>495</v>
      </c>
      <c r="L7622" s="13" t="s">
        <v>496</v>
      </c>
      <c r="M7622" s="2" t="s">
        <v>26</v>
      </c>
      <c r="N7622" s="29"/>
      <c r="O7622" s="29"/>
      <c r="P7622" s="5" t="str">
        <f>IFERROR(__xludf.DUMMYFUNCTION("TEXTJOIN("" | "",TRUE,IF(OR(D7622="""",E7622="""",I7622="""",J7622="""",H7622=""""),""ফাঁকা ঘর"",""""),IF(AND(C7622&lt;&gt;"""",D7622&lt;&gt;"""",C7622=D7622),""gloss=figurative"",""""),IF(LEN(D7622)&lt;15,""figurative ছোট"",""""),IF(AND(I7622=""Positive"",REGEXMATCH(H7"&amp;"622,""মূর্খ|ভণ্ড|প্রতার|অলস|লোভ|স্বার্থ|অক্ষম|অযোগ্য|বোকা|কৃপণ|হিংস"")),""valence-target অমিল"",""""),IF(COUNTIF($B:$B,B7622)&gt;1,""ডুপ্লিকেট"",""""))"),"")</f>
        <v/>
      </c>
      <c r="Q7622" s="5" t="str">
        <f t="shared" si="1"/>
        <v>২ পরে</v>
      </c>
    </row>
    <row r="7623">
      <c r="A7623" s="4">
        <v>6039.0</v>
      </c>
      <c r="B7623" s="2" t="s">
        <v>30771</v>
      </c>
      <c r="C7623" s="2" t="s">
        <v>30772</v>
      </c>
      <c r="D7623" s="2" t="s">
        <v>30773</v>
      </c>
      <c r="E7623" s="2" t="s">
        <v>30774</v>
      </c>
      <c r="F7623" s="2" t="b">
        <v>1</v>
      </c>
      <c r="G7623" s="2" t="b">
        <v>0</v>
      </c>
      <c r="H7623" s="2" t="s">
        <v>37</v>
      </c>
      <c r="I7623" s="2" t="s">
        <v>32</v>
      </c>
      <c r="J7623" s="2" t="s">
        <v>729</v>
      </c>
      <c r="K7623" s="2" t="s">
        <v>495</v>
      </c>
      <c r="L7623" s="13" t="s">
        <v>496</v>
      </c>
      <c r="M7623" s="2" t="s">
        <v>26</v>
      </c>
      <c r="N7623" s="29"/>
      <c r="O7623" s="29"/>
      <c r="P7623" s="5" t="str">
        <f>IFERROR(__xludf.DUMMYFUNCTION("TEXTJOIN("" | "",TRUE,IF(OR(D7623="""",E7623="""",I7623="""",J7623="""",H7623=""""),""ফাঁকা ঘর"",""""),IF(AND(C7623&lt;&gt;"""",D7623&lt;&gt;"""",C7623=D7623),""gloss=figurative"",""""),IF(LEN(D7623)&lt;15,""figurative ছোট"",""""),IF(AND(I7623=""Positive"",REGEXMATCH(H7"&amp;"623,""মূর্খ|ভণ্ড|প্রতার|অলস|লোভ|স্বার্থ|অক্ষম|অযোগ্য|বোকা|কৃপণ|হিংস"")),""valence-target অমিল"",""""),IF(COUNTIF($B:$B,B7623)&gt;1,""ডুপ্লিকেট"",""""))"),"")</f>
        <v/>
      </c>
      <c r="Q7623" s="5" t="str">
        <f t="shared" si="1"/>
        <v>২ পরে</v>
      </c>
    </row>
    <row r="7624">
      <c r="A7624" s="4">
        <v>6042.0</v>
      </c>
      <c r="B7624" s="2" t="s">
        <v>30775</v>
      </c>
      <c r="C7624" s="2" t="s">
        <v>454</v>
      </c>
      <c r="D7624" s="2" t="s">
        <v>30776</v>
      </c>
      <c r="E7624" s="2" t="s">
        <v>30777</v>
      </c>
      <c r="F7624" s="2" t="b">
        <v>1</v>
      </c>
      <c r="G7624" s="2" t="b">
        <v>1</v>
      </c>
      <c r="H7624" s="2" t="s">
        <v>1211</v>
      </c>
      <c r="I7624" s="2" t="s">
        <v>22</v>
      </c>
      <c r="J7624" s="2" t="s">
        <v>1471</v>
      </c>
      <c r="K7624" s="2" t="s">
        <v>495</v>
      </c>
      <c r="L7624" s="13" t="s">
        <v>496</v>
      </c>
      <c r="M7624" s="2" t="s">
        <v>26</v>
      </c>
      <c r="N7624" s="29"/>
      <c r="O7624" s="29"/>
      <c r="P7624" s="5" t="str">
        <f>IFERROR(__xludf.DUMMYFUNCTION("TEXTJOIN("" | "",TRUE,IF(OR(D7624="""",E7624="""",I7624="""",J7624="""",H7624=""""),""ফাঁকা ঘর"",""""),IF(AND(C7624&lt;&gt;"""",D7624&lt;&gt;"""",C7624=D7624),""gloss=figurative"",""""),IF(LEN(D7624)&lt;15,""figurative ছোট"",""""),IF(AND(I7624=""Positive"",REGEXMATCH(H7"&amp;"624,""মূর্খ|ভণ্ড|প্রতার|অলস|লোভ|স্বার্থ|অক্ষম|অযোগ্য|বোকা|কৃপণ|হিংস"")),""valence-target অমিল"",""""),IF(COUNTIF($B:$B,B7624)&gt;1,""ডুপ্লিকেট"",""""))"),"")</f>
        <v/>
      </c>
      <c r="Q7624" s="5" t="str">
        <f t="shared" si="1"/>
        <v>২ পরে</v>
      </c>
    </row>
    <row r="7625">
      <c r="A7625" s="4">
        <v>6046.0</v>
      </c>
      <c r="B7625" s="2" t="s">
        <v>30778</v>
      </c>
      <c r="C7625" s="2" t="s">
        <v>9673</v>
      </c>
      <c r="D7625" s="2" t="s">
        <v>30779</v>
      </c>
      <c r="E7625" s="2" t="s">
        <v>30780</v>
      </c>
      <c r="F7625" s="2" t="b">
        <v>1</v>
      </c>
      <c r="G7625" s="2" t="b">
        <v>0</v>
      </c>
      <c r="H7625" s="2" t="s">
        <v>37</v>
      </c>
      <c r="I7625" s="2" t="s">
        <v>49</v>
      </c>
      <c r="J7625" s="2" t="s">
        <v>739</v>
      </c>
      <c r="K7625" s="2" t="s">
        <v>495</v>
      </c>
      <c r="L7625" s="13" t="s">
        <v>496</v>
      </c>
      <c r="M7625" s="2" t="s">
        <v>26</v>
      </c>
      <c r="N7625" s="29"/>
      <c r="O7625" s="29"/>
      <c r="P7625" s="5" t="str">
        <f>IFERROR(__xludf.DUMMYFUNCTION("TEXTJOIN("" | "",TRUE,IF(OR(D7625="""",E7625="""",I7625="""",J7625="""",H7625=""""),""ফাঁকা ঘর"",""""),IF(AND(C7625&lt;&gt;"""",D7625&lt;&gt;"""",C7625=D7625),""gloss=figurative"",""""),IF(LEN(D7625)&lt;15,""figurative ছোট"",""""),IF(AND(I7625=""Positive"",REGEXMATCH(H7"&amp;"625,""মূর্খ|ভণ্ড|প্রতার|অলস|লোভ|স্বার্থ|অক্ষম|অযোগ্য|বোকা|কৃপণ|হিংস"")),""valence-target অমিল"",""""),IF(COUNTIF($B:$B,B7625)&gt;1,""ডুপ্লিকেট"",""""))"),"")</f>
        <v/>
      </c>
      <c r="Q7625" s="5" t="str">
        <f t="shared" si="1"/>
        <v>২ পরে</v>
      </c>
    </row>
    <row r="7626">
      <c r="A7626" s="4">
        <v>6049.0</v>
      </c>
      <c r="B7626" s="2" t="s">
        <v>30781</v>
      </c>
      <c r="C7626" s="2" t="s">
        <v>30782</v>
      </c>
      <c r="D7626" s="2" t="s">
        <v>30783</v>
      </c>
      <c r="E7626" s="2" t="s">
        <v>30784</v>
      </c>
      <c r="F7626" s="2" t="b">
        <v>1</v>
      </c>
      <c r="G7626" s="2" t="b">
        <v>0</v>
      </c>
      <c r="H7626" s="2" t="s">
        <v>37</v>
      </c>
      <c r="I7626" s="2" t="s">
        <v>49</v>
      </c>
      <c r="J7626" s="2" t="s">
        <v>3364</v>
      </c>
      <c r="K7626" s="2" t="s">
        <v>495</v>
      </c>
      <c r="L7626" s="13" t="s">
        <v>496</v>
      </c>
      <c r="M7626" s="2" t="s">
        <v>26</v>
      </c>
      <c r="N7626" s="29"/>
      <c r="O7626" s="29"/>
      <c r="P7626" s="5" t="str">
        <f>IFERROR(__xludf.DUMMYFUNCTION("TEXTJOIN("" | "",TRUE,IF(OR(D7626="""",E7626="""",I7626="""",J7626="""",H7626=""""),""ফাঁকা ঘর"",""""),IF(AND(C7626&lt;&gt;"""",D7626&lt;&gt;"""",C7626=D7626),""gloss=figurative"",""""),IF(LEN(D7626)&lt;15,""figurative ছোট"",""""),IF(AND(I7626=""Positive"",REGEXMATCH(H7"&amp;"626,""মূর্খ|ভণ্ড|প্রতার|অলস|লোভ|স্বার্থ|অক্ষম|অযোগ্য|বোকা|কৃপণ|হিংস"")),""valence-target অমিল"",""""),IF(COUNTIF($B:$B,B7626)&gt;1,""ডুপ্লিকেট"",""""))"),"")</f>
        <v/>
      </c>
      <c r="Q7626" s="5" t="str">
        <f t="shared" si="1"/>
        <v>২ পরে</v>
      </c>
    </row>
    <row r="7627">
      <c r="A7627" s="4">
        <v>6051.0</v>
      </c>
      <c r="B7627" s="2" t="s">
        <v>30785</v>
      </c>
      <c r="C7627" s="2" t="s">
        <v>30786</v>
      </c>
      <c r="D7627" s="2" t="s">
        <v>30176</v>
      </c>
      <c r="E7627" s="2" t="s">
        <v>30787</v>
      </c>
      <c r="F7627" s="2" t="b">
        <v>1</v>
      </c>
      <c r="G7627" s="2" t="b">
        <v>0</v>
      </c>
      <c r="H7627" s="2" t="s">
        <v>37</v>
      </c>
      <c r="I7627" s="2" t="s">
        <v>32</v>
      </c>
      <c r="J7627" s="2" t="s">
        <v>739</v>
      </c>
      <c r="K7627" s="2" t="s">
        <v>495</v>
      </c>
      <c r="L7627" s="13" t="s">
        <v>496</v>
      </c>
      <c r="M7627" s="2" t="s">
        <v>26</v>
      </c>
      <c r="N7627" s="29"/>
      <c r="O7627" s="29"/>
      <c r="P7627" s="5" t="str">
        <f>IFERROR(__xludf.DUMMYFUNCTION("TEXTJOIN("" | "",TRUE,IF(OR(D7627="""",E7627="""",I7627="""",J7627="""",H7627=""""),""ফাঁকা ঘর"",""""),IF(AND(C7627&lt;&gt;"""",D7627&lt;&gt;"""",C7627=D7627),""gloss=figurative"",""""),IF(LEN(D7627)&lt;15,""figurative ছোট"",""""),IF(AND(I7627=""Positive"",REGEXMATCH(H7"&amp;"627,""মূর্খ|ভণ্ড|প্রতার|অলস|লোভ|স্বার্থ|অক্ষম|অযোগ্য|বোকা|কৃপণ|হিংস"")),""valence-target অমিল"",""""),IF(COUNTIF($B:$B,B7627)&gt;1,""ডুপ্লিকেট"",""""))"),"")</f>
        <v/>
      </c>
      <c r="Q7627" s="5" t="str">
        <f t="shared" si="1"/>
        <v>২ পরে</v>
      </c>
    </row>
    <row r="7628">
      <c r="A7628" s="4">
        <v>6052.0</v>
      </c>
      <c r="B7628" s="2" t="s">
        <v>30788</v>
      </c>
      <c r="C7628" s="2" t="s">
        <v>30789</v>
      </c>
      <c r="D7628" s="2" t="s">
        <v>30790</v>
      </c>
      <c r="E7628" s="2" t="s">
        <v>30791</v>
      </c>
      <c r="F7628" s="2" t="b">
        <v>1</v>
      </c>
      <c r="G7628" s="2" t="b">
        <v>0</v>
      </c>
      <c r="H7628" s="2" t="s">
        <v>3807</v>
      </c>
      <c r="I7628" s="2" t="s">
        <v>22</v>
      </c>
      <c r="J7628" s="2" t="s">
        <v>27171</v>
      </c>
      <c r="K7628" s="2" t="s">
        <v>495</v>
      </c>
      <c r="L7628" s="13" t="s">
        <v>496</v>
      </c>
      <c r="M7628" s="2" t="s">
        <v>26</v>
      </c>
      <c r="N7628" s="29"/>
      <c r="O7628" s="29"/>
      <c r="P7628" s="5" t="str">
        <f>IFERROR(__xludf.DUMMYFUNCTION("TEXTJOIN("" | "",TRUE,IF(OR(D7628="""",E7628="""",I7628="""",J7628="""",H7628=""""),""ফাঁকা ঘর"",""""),IF(AND(C7628&lt;&gt;"""",D7628&lt;&gt;"""",C7628=D7628),""gloss=figurative"",""""),IF(LEN(D7628)&lt;15,""figurative ছোট"",""""),IF(AND(I7628=""Positive"",REGEXMATCH(H7"&amp;"628,""মূর্খ|ভণ্ড|প্রতার|অলস|লোভ|স্বার্থ|অক্ষম|অযোগ্য|বোকা|কৃপণ|হিংস"")),""valence-target অমিল"",""""),IF(COUNTIF($B:$B,B7628)&gt;1,""ডুপ্লিকেট"",""""))"),"")</f>
        <v/>
      </c>
      <c r="Q7628" s="5" t="str">
        <f t="shared" si="1"/>
        <v>২ পরে</v>
      </c>
    </row>
    <row r="7629">
      <c r="A7629" s="4">
        <v>6053.0</v>
      </c>
      <c r="B7629" s="2" t="s">
        <v>30792</v>
      </c>
      <c r="C7629" s="2" t="s">
        <v>30793</v>
      </c>
      <c r="D7629" s="2" t="s">
        <v>30794</v>
      </c>
      <c r="E7629" s="2" t="s">
        <v>30795</v>
      </c>
      <c r="F7629" s="2" t="b">
        <v>1</v>
      </c>
      <c r="G7629" s="2" t="b">
        <v>0</v>
      </c>
      <c r="H7629" s="2" t="s">
        <v>37</v>
      </c>
      <c r="I7629" s="2" t="s">
        <v>49</v>
      </c>
      <c r="J7629" s="2" t="s">
        <v>2742</v>
      </c>
      <c r="K7629" s="2" t="s">
        <v>495</v>
      </c>
      <c r="L7629" s="13" t="s">
        <v>496</v>
      </c>
      <c r="M7629" s="2" t="s">
        <v>26</v>
      </c>
      <c r="N7629" s="29"/>
      <c r="O7629" s="29"/>
      <c r="P7629" s="5" t="str">
        <f>IFERROR(__xludf.DUMMYFUNCTION("TEXTJOIN("" | "",TRUE,IF(OR(D7629="""",E7629="""",I7629="""",J7629="""",H7629=""""),""ফাঁকা ঘর"",""""),IF(AND(C7629&lt;&gt;"""",D7629&lt;&gt;"""",C7629=D7629),""gloss=figurative"",""""),IF(LEN(D7629)&lt;15,""figurative ছোট"",""""),IF(AND(I7629=""Positive"",REGEXMATCH(H7"&amp;"629,""মূর্খ|ভণ্ড|প্রতার|অলস|লোভ|স্বার্থ|অক্ষম|অযোগ্য|বোকা|কৃপণ|হিংস"")),""valence-target অমিল"",""""),IF(COUNTIF($B:$B,B7629)&gt;1,""ডুপ্লিকেট"",""""))"),"")</f>
        <v/>
      </c>
      <c r="Q7629" s="5" t="str">
        <f t="shared" si="1"/>
        <v>২ পরে</v>
      </c>
    </row>
    <row r="7630">
      <c r="A7630" s="4">
        <v>6057.0</v>
      </c>
      <c r="B7630" s="2" t="s">
        <v>30796</v>
      </c>
      <c r="C7630" s="2" t="s">
        <v>30797</v>
      </c>
      <c r="D7630" s="2" t="s">
        <v>30798</v>
      </c>
      <c r="E7630" s="2" t="s">
        <v>30799</v>
      </c>
      <c r="F7630" s="2" t="b">
        <v>1</v>
      </c>
      <c r="G7630" s="2" t="b">
        <v>0</v>
      </c>
      <c r="H7630" s="2" t="s">
        <v>37</v>
      </c>
      <c r="I7630" s="2" t="s">
        <v>49</v>
      </c>
      <c r="J7630" s="2" t="s">
        <v>1293</v>
      </c>
      <c r="K7630" s="2" t="s">
        <v>495</v>
      </c>
      <c r="L7630" s="13" t="s">
        <v>496</v>
      </c>
      <c r="M7630" s="2" t="s">
        <v>26</v>
      </c>
      <c r="N7630" s="29"/>
      <c r="O7630" s="29"/>
      <c r="P7630" s="5" t="str">
        <f>IFERROR(__xludf.DUMMYFUNCTION("TEXTJOIN("" | "",TRUE,IF(OR(D7630="""",E7630="""",I7630="""",J7630="""",H7630=""""),""ফাঁকা ঘর"",""""),IF(AND(C7630&lt;&gt;"""",D7630&lt;&gt;"""",C7630=D7630),""gloss=figurative"",""""),IF(LEN(D7630)&lt;15,""figurative ছোট"",""""),IF(AND(I7630=""Positive"",REGEXMATCH(H7"&amp;"630,""মূর্খ|ভণ্ড|প্রতার|অলস|লোভ|স্বার্থ|অক্ষম|অযোগ্য|বোকা|কৃপণ|হিংস"")),""valence-target অমিল"",""""),IF(COUNTIF($B:$B,B7630)&gt;1,""ডুপ্লিকেট"",""""))"),"")</f>
        <v/>
      </c>
      <c r="Q7630" s="5" t="str">
        <f t="shared" si="1"/>
        <v>২ পরে</v>
      </c>
    </row>
    <row r="7631">
      <c r="A7631" s="4">
        <v>6060.0</v>
      </c>
      <c r="B7631" s="2" t="s">
        <v>30800</v>
      </c>
      <c r="C7631" s="2" t="s">
        <v>30801</v>
      </c>
      <c r="D7631" s="2" t="s">
        <v>30802</v>
      </c>
      <c r="E7631" s="2" t="s">
        <v>30803</v>
      </c>
      <c r="F7631" s="2" t="b">
        <v>1</v>
      </c>
      <c r="G7631" s="2" t="b">
        <v>0</v>
      </c>
      <c r="H7631" s="2" t="s">
        <v>37</v>
      </c>
      <c r="I7631" s="2" t="s">
        <v>22</v>
      </c>
      <c r="J7631" s="2" t="s">
        <v>2490</v>
      </c>
      <c r="K7631" s="2" t="s">
        <v>495</v>
      </c>
      <c r="L7631" s="13" t="s">
        <v>496</v>
      </c>
      <c r="M7631" s="2" t="s">
        <v>26</v>
      </c>
      <c r="N7631" s="29"/>
      <c r="O7631" s="29"/>
      <c r="P7631" s="5" t="str">
        <f>IFERROR(__xludf.DUMMYFUNCTION("TEXTJOIN("" | "",TRUE,IF(OR(D7631="""",E7631="""",I7631="""",J7631="""",H7631=""""),""ফাঁকা ঘর"",""""),IF(AND(C7631&lt;&gt;"""",D7631&lt;&gt;"""",C7631=D7631),""gloss=figurative"",""""),IF(LEN(D7631)&lt;15,""figurative ছোট"",""""),IF(AND(I7631=""Positive"",REGEXMATCH(H7"&amp;"631,""মূর্খ|ভণ্ড|প্রতার|অলস|লোভ|স্বার্থ|অক্ষম|অযোগ্য|বোকা|কৃপণ|হিংস"")),""valence-target অমিল"",""""),IF(COUNTIF($B:$B,B7631)&gt;1,""ডুপ্লিকেট"",""""))"),"")</f>
        <v/>
      </c>
      <c r="Q7631" s="5" t="str">
        <f t="shared" si="1"/>
        <v>২ পরে</v>
      </c>
    </row>
    <row r="7632">
      <c r="A7632" s="4">
        <v>6061.0</v>
      </c>
      <c r="B7632" s="2" t="s">
        <v>30804</v>
      </c>
      <c r="C7632" s="2" t="s">
        <v>30805</v>
      </c>
      <c r="D7632" s="2" t="s">
        <v>30806</v>
      </c>
      <c r="E7632" s="2" t="s">
        <v>30807</v>
      </c>
      <c r="F7632" s="2" t="b">
        <v>1</v>
      </c>
      <c r="G7632" s="2" t="b">
        <v>0</v>
      </c>
      <c r="H7632" s="2" t="s">
        <v>37</v>
      </c>
      <c r="I7632" s="2" t="s">
        <v>22</v>
      </c>
      <c r="J7632" s="2" t="s">
        <v>947</v>
      </c>
      <c r="K7632" s="2" t="s">
        <v>495</v>
      </c>
      <c r="L7632" s="13" t="s">
        <v>496</v>
      </c>
      <c r="M7632" s="2" t="s">
        <v>26</v>
      </c>
      <c r="N7632" s="29"/>
      <c r="O7632" s="29"/>
      <c r="P7632" s="5" t="str">
        <f>IFERROR(__xludf.DUMMYFUNCTION("TEXTJOIN("" | "",TRUE,IF(OR(D7632="""",E7632="""",I7632="""",J7632="""",H7632=""""),""ফাঁকা ঘর"",""""),IF(AND(C7632&lt;&gt;"""",D7632&lt;&gt;"""",C7632=D7632),""gloss=figurative"",""""),IF(LEN(D7632)&lt;15,""figurative ছোট"",""""),IF(AND(I7632=""Positive"",REGEXMATCH(H7"&amp;"632,""মূর্খ|ভণ্ড|প্রতার|অলস|লোভ|স্বার্থ|অক্ষম|অযোগ্য|বোকা|কৃপণ|হিংস"")),""valence-target অমিল"",""""),IF(COUNTIF($B:$B,B7632)&gt;1,""ডুপ্লিকেট"",""""))"),"")</f>
        <v/>
      </c>
      <c r="Q7632" s="5" t="str">
        <f t="shared" si="1"/>
        <v>২ পরে</v>
      </c>
    </row>
    <row r="7633">
      <c r="A7633" s="4">
        <v>6062.0</v>
      </c>
      <c r="B7633" s="2" t="s">
        <v>30808</v>
      </c>
      <c r="C7633" s="2" t="s">
        <v>30809</v>
      </c>
      <c r="D7633" s="2" t="s">
        <v>30810</v>
      </c>
      <c r="E7633" s="2" t="s">
        <v>30811</v>
      </c>
      <c r="F7633" s="2" t="b">
        <v>1</v>
      </c>
      <c r="G7633" s="2" t="b">
        <v>0</v>
      </c>
      <c r="H7633" s="2" t="s">
        <v>37</v>
      </c>
      <c r="I7633" s="2" t="s">
        <v>22</v>
      </c>
      <c r="J7633" s="2" t="s">
        <v>2040</v>
      </c>
      <c r="K7633" s="2" t="s">
        <v>495</v>
      </c>
      <c r="L7633" s="13" t="s">
        <v>496</v>
      </c>
      <c r="M7633" s="2" t="s">
        <v>26</v>
      </c>
      <c r="N7633" s="29"/>
      <c r="O7633" s="29"/>
      <c r="P7633" s="5" t="str">
        <f>IFERROR(__xludf.DUMMYFUNCTION("TEXTJOIN("" | "",TRUE,IF(OR(D7633="""",E7633="""",I7633="""",J7633="""",H7633=""""),""ফাঁকা ঘর"",""""),IF(AND(C7633&lt;&gt;"""",D7633&lt;&gt;"""",C7633=D7633),""gloss=figurative"",""""),IF(LEN(D7633)&lt;15,""figurative ছোট"",""""),IF(AND(I7633=""Positive"",REGEXMATCH(H7"&amp;"633,""মূর্খ|ভণ্ড|প্রতার|অলস|লোভ|স্বার্থ|অক্ষম|অযোগ্য|বোকা|কৃপণ|হিংস"")),""valence-target অমিল"",""""),IF(COUNTIF($B:$B,B7633)&gt;1,""ডুপ্লিকেট"",""""))"),"")</f>
        <v/>
      </c>
      <c r="Q7633" s="5" t="str">
        <f t="shared" si="1"/>
        <v>২ পরে</v>
      </c>
    </row>
    <row r="7634">
      <c r="A7634" s="4">
        <v>6065.0</v>
      </c>
      <c r="B7634" s="2" t="s">
        <v>30812</v>
      </c>
      <c r="C7634" s="2" t="s">
        <v>30813</v>
      </c>
      <c r="D7634" s="2" t="s">
        <v>30814</v>
      </c>
      <c r="E7634" s="2" t="s">
        <v>30815</v>
      </c>
      <c r="F7634" s="2" t="b">
        <v>1</v>
      </c>
      <c r="G7634" s="2" t="b">
        <v>0</v>
      </c>
      <c r="H7634" s="2" t="s">
        <v>37</v>
      </c>
      <c r="I7634" s="2" t="s">
        <v>22</v>
      </c>
      <c r="J7634" s="2" t="s">
        <v>3127</v>
      </c>
      <c r="K7634" s="2" t="s">
        <v>495</v>
      </c>
      <c r="L7634" s="13" t="s">
        <v>496</v>
      </c>
      <c r="M7634" s="2" t="s">
        <v>26</v>
      </c>
      <c r="N7634" s="29"/>
      <c r="O7634" s="29"/>
      <c r="P7634" s="5" t="str">
        <f>IFERROR(__xludf.DUMMYFUNCTION("TEXTJOIN("" | "",TRUE,IF(OR(D7634="""",E7634="""",I7634="""",J7634="""",H7634=""""),""ফাঁকা ঘর"",""""),IF(AND(C7634&lt;&gt;"""",D7634&lt;&gt;"""",C7634=D7634),""gloss=figurative"",""""),IF(LEN(D7634)&lt;15,""figurative ছোট"",""""),IF(AND(I7634=""Positive"",REGEXMATCH(H7"&amp;"634,""মূর্খ|ভণ্ড|প্রতার|অলস|লোভ|স্বার্থ|অক্ষম|অযোগ্য|বোকা|কৃপণ|হিংস"")),""valence-target অমিল"",""""),IF(COUNTIF($B:$B,B7634)&gt;1,""ডুপ্লিকেট"",""""))"),"")</f>
        <v/>
      </c>
      <c r="Q7634" s="5" t="str">
        <f t="shared" si="1"/>
        <v>২ পরে</v>
      </c>
    </row>
    <row r="7635">
      <c r="A7635" s="4">
        <v>6068.0</v>
      </c>
      <c r="B7635" s="2" t="s">
        <v>30816</v>
      </c>
      <c r="C7635" s="2" t="s">
        <v>30817</v>
      </c>
      <c r="D7635" s="2" t="s">
        <v>30818</v>
      </c>
      <c r="E7635" s="2" t="s">
        <v>30819</v>
      </c>
      <c r="F7635" s="2" t="b">
        <v>1</v>
      </c>
      <c r="G7635" s="2" t="b">
        <v>0</v>
      </c>
      <c r="H7635" s="2" t="s">
        <v>37</v>
      </c>
      <c r="I7635" s="2" t="s">
        <v>22</v>
      </c>
      <c r="J7635" s="2" t="s">
        <v>1656</v>
      </c>
      <c r="K7635" s="2" t="s">
        <v>495</v>
      </c>
      <c r="L7635" s="13" t="s">
        <v>496</v>
      </c>
      <c r="M7635" s="2" t="s">
        <v>26</v>
      </c>
      <c r="N7635" s="29"/>
      <c r="O7635" s="29"/>
      <c r="P7635" s="5" t="str">
        <f>IFERROR(__xludf.DUMMYFUNCTION("TEXTJOIN("" | "",TRUE,IF(OR(D7635="""",E7635="""",I7635="""",J7635="""",H7635=""""),""ফাঁকা ঘর"",""""),IF(AND(C7635&lt;&gt;"""",D7635&lt;&gt;"""",C7635=D7635),""gloss=figurative"",""""),IF(LEN(D7635)&lt;15,""figurative ছোট"",""""),IF(AND(I7635=""Positive"",REGEXMATCH(H7"&amp;"635,""মূর্খ|ভণ্ড|প্রতার|অলস|লোভ|স্বার্থ|অক্ষম|অযোগ্য|বোকা|কৃপণ|হিংস"")),""valence-target অমিল"",""""),IF(COUNTIF($B:$B,B7635)&gt;1,""ডুপ্লিকেট"",""""))"),"")</f>
        <v/>
      </c>
      <c r="Q7635" s="5" t="str">
        <f t="shared" si="1"/>
        <v>২ পরে</v>
      </c>
    </row>
    <row r="7636">
      <c r="A7636" s="4">
        <v>6074.0</v>
      </c>
      <c r="B7636" s="2" t="s">
        <v>30820</v>
      </c>
      <c r="C7636" s="2" t="s">
        <v>30821</v>
      </c>
      <c r="D7636" s="2" t="s">
        <v>30822</v>
      </c>
      <c r="E7636" s="2" t="s">
        <v>30823</v>
      </c>
      <c r="F7636" s="2" t="b">
        <v>1</v>
      </c>
      <c r="G7636" s="2" t="b">
        <v>0</v>
      </c>
      <c r="H7636" s="2" t="s">
        <v>1284</v>
      </c>
      <c r="I7636" s="2" t="s">
        <v>22</v>
      </c>
      <c r="J7636" s="2" t="s">
        <v>723</v>
      </c>
      <c r="K7636" s="2" t="s">
        <v>495</v>
      </c>
      <c r="L7636" s="13" t="s">
        <v>496</v>
      </c>
      <c r="M7636" s="2" t="s">
        <v>26</v>
      </c>
      <c r="N7636" s="29"/>
      <c r="O7636" s="29"/>
      <c r="P7636" s="5" t="str">
        <f>IFERROR(__xludf.DUMMYFUNCTION("TEXTJOIN("" | "",TRUE,IF(OR(D7636="""",E7636="""",I7636="""",J7636="""",H7636=""""),""ফাঁকা ঘর"",""""),IF(AND(C7636&lt;&gt;"""",D7636&lt;&gt;"""",C7636=D7636),""gloss=figurative"",""""),IF(LEN(D7636)&lt;15,""figurative ছোট"",""""),IF(AND(I7636=""Positive"",REGEXMATCH(H7"&amp;"636,""মূর্খ|ভণ্ড|প্রতার|অলস|লোভ|স্বার্থ|অক্ষম|অযোগ্য|বোকা|কৃপণ|হিংস"")),""valence-target অমিল"",""""),IF(COUNTIF($B:$B,B7636)&gt;1,""ডুপ্লিকেট"",""""))"),"")</f>
        <v/>
      </c>
      <c r="Q7636" s="5" t="str">
        <f t="shared" si="1"/>
        <v>২ পরে</v>
      </c>
    </row>
    <row r="7637">
      <c r="A7637" s="4">
        <v>6075.0</v>
      </c>
      <c r="B7637" s="2" t="s">
        <v>30824</v>
      </c>
      <c r="C7637" s="2" t="s">
        <v>30825</v>
      </c>
      <c r="D7637" s="2" t="s">
        <v>30826</v>
      </c>
      <c r="E7637" s="2" t="s">
        <v>30827</v>
      </c>
      <c r="F7637" s="2" t="b">
        <v>1</v>
      </c>
      <c r="G7637" s="2" t="b">
        <v>1</v>
      </c>
      <c r="H7637" s="2" t="s">
        <v>1211</v>
      </c>
      <c r="I7637" s="2" t="s">
        <v>49</v>
      </c>
      <c r="J7637" s="2" t="s">
        <v>1798</v>
      </c>
      <c r="K7637" s="2" t="s">
        <v>495</v>
      </c>
      <c r="L7637" s="13" t="s">
        <v>496</v>
      </c>
      <c r="M7637" s="2" t="s">
        <v>26</v>
      </c>
      <c r="N7637" s="29"/>
      <c r="O7637" s="29"/>
      <c r="P7637" s="5" t="str">
        <f>IFERROR(__xludf.DUMMYFUNCTION("TEXTJOIN("" | "",TRUE,IF(OR(D7637="""",E7637="""",I7637="""",J7637="""",H7637=""""),""ফাঁকা ঘর"",""""),IF(AND(C7637&lt;&gt;"""",D7637&lt;&gt;"""",C7637=D7637),""gloss=figurative"",""""),IF(LEN(D7637)&lt;15,""figurative ছোট"",""""),IF(AND(I7637=""Positive"",REGEXMATCH(H7"&amp;"637,""মূর্খ|ভণ্ড|প্রতার|অলস|লোভ|স্বার্থ|অক্ষম|অযোগ্য|বোকা|কৃপণ|হিংস"")),""valence-target অমিল"",""""),IF(COUNTIF($B:$B,B7637)&gt;1,""ডুপ্লিকেট"",""""))"),"")</f>
        <v/>
      </c>
      <c r="Q7637" s="5" t="str">
        <f t="shared" si="1"/>
        <v>২ পরে</v>
      </c>
    </row>
    <row r="7638">
      <c r="A7638" s="4">
        <v>6079.0</v>
      </c>
      <c r="B7638" s="2" t="s">
        <v>30828</v>
      </c>
      <c r="C7638" s="2" t="s">
        <v>30829</v>
      </c>
      <c r="D7638" s="2" t="s">
        <v>30830</v>
      </c>
      <c r="E7638" s="2" t="s">
        <v>30831</v>
      </c>
      <c r="F7638" s="2" t="b">
        <v>1</v>
      </c>
      <c r="G7638" s="2" t="b">
        <v>0</v>
      </c>
      <c r="H7638" s="2" t="s">
        <v>37</v>
      </c>
      <c r="I7638" s="2" t="s">
        <v>32</v>
      </c>
      <c r="J7638" s="2" t="s">
        <v>2300</v>
      </c>
      <c r="K7638" s="2" t="s">
        <v>495</v>
      </c>
      <c r="L7638" s="13" t="s">
        <v>496</v>
      </c>
      <c r="M7638" s="2" t="s">
        <v>26</v>
      </c>
      <c r="N7638" s="29"/>
      <c r="O7638" s="29"/>
      <c r="P7638" s="5" t="str">
        <f>IFERROR(__xludf.DUMMYFUNCTION("TEXTJOIN("" | "",TRUE,IF(OR(D7638="""",E7638="""",I7638="""",J7638="""",H7638=""""),""ফাঁকা ঘর"",""""),IF(AND(C7638&lt;&gt;"""",D7638&lt;&gt;"""",C7638=D7638),""gloss=figurative"",""""),IF(LEN(D7638)&lt;15,""figurative ছোট"",""""),IF(AND(I7638=""Positive"",REGEXMATCH(H7"&amp;"638,""মূর্খ|ভণ্ড|প্রতার|অলস|লোভ|স্বার্থ|অক্ষম|অযোগ্য|বোকা|কৃপণ|হিংস"")),""valence-target অমিল"",""""),IF(COUNTIF($B:$B,B7638)&gt;1,""ডুপ্লিকেট"",""""))"),"")</f>
        <v/>
      </c>
      <c r="Q7638" s="5" t="str">
        <f t="shared" si="1"/>
        <v>২ পরে</v>
      </c>
    </row>
    <row r="7639">
      <c r="A7639" s="4">
        <v>6082.0</v>
      </c>
      <c r="B7639" s="2" t="s">
        <v>30832</v>
      </c>
      <c r="C7639" s="2" t="s">
        <v>30833</v>
      </c>
      <c r="D7639" s="2" t="s">
        <v>30834</v>
      </c>
      <c r="E7639" s="2" t="s">
        <v>30835</v>
      </c>
      <c r="F7639" s="2" t="b">
        <v>1</v>
      </c>
      <c r="G7639" s="2" t="b">
        <v>0</v>
      </c>
      <c r="H7639" s="2" t="s">
        <v>37</v>
      </c>
      <c r="I7639" s="2" t="s">
        <v>49</v>
      </c>
      <c r="J7639" s="2" t="s">
        <v>528</v>
      </c>
      <c r="K7639" s="2" t="s">
        <v>495</v>
      </c>
      <c r="L7639" s="13" t="s">
        <v>496</v>
      </c>
      <c r="M7639" s="2" t="s">
        <v>26</v>
      </c>
      <c r="N7639" s="29"/>
      <c r="O7639" s="29"/>
      <c r="P7639" s="5" t="str">
        <f>IFERROR(__xludf.DUMMYFUNCTION("TEXTJOIN("" | "",TRUE,IF(OR(D7639="""",E7639="""",I7639="""",J7639="""",H7639=""""),""ফাঁকা ঘর"",""""),IF(AND(C7639&lt;&gt;"""",D7639&lt;&gt;"""",C7639=D7639),""gloss=figurative"",""""),IF(LEN(D7639)&lt;15,""figurative ছোট"",""""),IF(AND(I7639=""Positive"",REGEXMATCH(H7"&amp;"639,""মূর্খ|ভণ্ড|প্রতার|অলস|লোভ|স্বার্থ|অক্ষম|অযোগ্য|বোকা|কৃপণ|হিংস"")),""valence-target অমিল"",""""),IF(COUNTIF($B:$B,B7639)&gt;1,""ডুপ্লিকেট"",""""))"),"")</f>
        <v/>
      </c>
      <c r="Q7639" s="5" t="str">
        <f t="shared" si="1"/>
        <v>২ পরে</v>
      </c>
    </row>
    <row r="7640">
      <c r="A7640" s="4">
        <v>6083.0</v>
      </c>
      <c r="B7640" s="2" t="s">
        <v>30836</v>
      </c>
      <c r="C7640" s="2" t="s">
        <v>30837</v>
      </c>
      <c r="D7640" s="2" t="s">
        <v>30838</v>
      </c>
      <c r="E7640" s="2" t="s">
        <v>30839</v>
      </c>
      <c r="F7640" s="2" t="b">
        <v>1</v>
      </c>
      <c r="G7640" s="2" t="b">
        <v>0</v>
      </c>
      <c r="H7640" s="2" t="s">
        <v>37</v>
      </c>
      <c r="I7640" s="2" t="s">
        <v>32</v>
      </c>
      <c r="J7640" s="2" t="s">
        <v>964</v>
      </c>
      <c r="K7640" s="2" t="s">
        <v>495</v>
      </c>
      <c r="L7640" s="13" t="s">
        <v>496</v>
      </c>
      <c r="M7640" s="2" t="s">
        <v>26</v>
      </c>
      <c r="N7640" s="29"/>
      <c r="O7640" s="29"/>
      <c r="P7640" s="5" t="str">
        <f>IFERROR(__xludf.DUMMYFUNCTION("TEXTJOIN("" | "",TRUE,IF(OR(D7640="""",E7640="""",I7640="""",J7640="""",H7640=""""),""ফাঁকা ঘর"",""""),IF(AND(C7640&lt;&gt;"""",D7640&lt;&gt;"""",C7640=D7640),""gloss=figurative"",""""),IF(LEN(D7640)&lt;15,""figurative ছোট"",""""),IF(AND(I7640=""Positive"",REGEXMATCH(H7"&amp;"640,""মূর্খ|ভণ্ড|প্রতার|অলস|লোভ|স্বার্থ|অক্ষম|অযোগ্য|বোকা|কৃপণ|হিংস"")),""valence-target অমিল"",""""),IF(COUNTIF($B:$B,B7640)&gt;1,""ডুপ্লিকেট"",""""))"),"")</f>
        <v/>
      </c>
      <c r="Q7640" s="5" t="str">
        <f t="shared" si="1"/>
        <v>২ পরে</v>
      </c>
    </row>
    <row r="7641">
      <c r="A7641" s="4">
        <v>6086.0</v>
      </c>
      <c r="B7641" s="2" t="s">
        <v>30840</v>
      </c>
      <c r="C7641" s="2" t="s">
        <v>30841</v>
      </c>
      <c r="D7641" s="2" t="s">
        <v>30842</v>
      </c>
      <c r="E7641" s="2" t="s">
        <v>30843</v>
      </c>
      <c r="F7641" s="2" t="b">
        <v>1</v>
      </c>
      <c r="G7641" s="2" t="b">
        <v>0</v>
      </c>
      <c r="H7641" s="2" t="s">
        <v>1284</v>
      </c>
      <c r="I7641" s="2" t="s">
        <v>22</v>
      </c>
      <c r="J7641" s="2" t="s">
        <v>1471</v>
      </c>
      <c r="K7641" s="2" t="s">
        <v>495</v>
      </c>
      <c r="L7641" s="13" t="s">
        <v>496</v>
      </c>
      <c r="M7641" s="2" t="s">
        <v>26</v>
      </c>
      <c r="N7641" s="29"/>
      <c r="O7641" s="29"/>
      <c r="P7641" s="5" t="str">
        <f>IFERROR(__xludf.DUMMYFUNCTION("TEXTJOIN("" | "",TRUE,IF(OR(D7641="""",E7641="""",I7641="""",J7641="""",H7641=""""),""ফাঁকা ঘর"",""""),IF(AND(C7641&lt;&gt;"""",D7641&lt;&gt;"""",C7641=D7641),""gloss=figurative"",""""),IF(LEN(D7641)&lt;15,""figurative ছোট"",""""),IF(AND(I7641=""Positive"",REGEXMATCH(H7"&amp;"641,""মূর্খ|ভণ্ড|প্রতার|অলস|লোভ|স্বার্থ|অক্ষম|অযোগ্য|বোকা|কৃপণ|হিংস"")),""valence-target অমিল"",""""),IF(COUNTIF($B:$B,B7641)&gt;1,""ডুপ্লিকেট"",""""))"),"")</f>
        <v/>
      </c>
      <c r="Q7641" s="5" t="str">
        <f t="shared" si="1"/>
        <v>২ পরে</v>
      </c>
    </row>
    <row r="7642">
      <c r="A7642" s="4">
        <v>6089.0</v>
      </c>
      <c r="B7642" s="2" t="s">
        <v>30844</v>
      </c>
      <c r="C7642" s="2" t="s">
        <v>30845</v>
      </c>
      <c r="D7642" s="2" t="s">
        <v>30846</v>
      </c>
      <c r="E7642" s="2" t="s">
        <v>30847</v>
      </c>
      <c r="F7642" s="2" t="b">
        <v>1</v>
      </c>
      <c r="G7642" s="2" t="b">
        <v>0</v>
      </c>
      <c r="H7642" s="2" t="s">
        <v>37</v>
      </c>
      <c r="I7642" s="2" t="s">
        <v>22</v>
      </c>
      <c r="J7642" s="2" t="s">
        <v>723</v>
      </c>
      <c r="K7642" s="2" t="s">
        <v>495</v>
      </c>
      <c r="L7642" s="13" t="s">
        <v>496</v>
      </c>
      <c r="M7642" s="2" t="s">
        <v>26</v>
      </c>
      <c r="N7642" s="29"/>
      <c r="O7642" s="29"/>
      <c r="P7642" s="5" t="str">
        <f>IFERROR(__xludf.DUMMYFUNCTION("TEXTJOIN("" | "",TRUE,IF(OR(D7642="""",E7642="""",I7642="""",J7642="""",H7642=""""),""ফাঁকা ঘর"",""""),IF(AND(C7642&lt;&gt;"""",D7642&lt;&gt;"""",C7642=D7642),""gloss=figurative"",""""),IF(LEN(D7642)&lt;15,""figurative ছোট"",""""),IF(AND(I7642=""Positive"",REGEXMATCH(H7"&amp;"642,""মূর্খ|ভণ্ড|প্রতার|অলস|লোভ|স্বার্থ|অক্ষম|অযোগ্য|বোকা|কৃপণ|হিংস"")),""valence-target অমিল"",""""),IF(COUNTIF($B:$B,B7642)&gt;1,""ডুপ্লিকেট"",""""))"),"")</f>
        <v/>
      </c>
      <c r="Q7642" s="5" t="str">
        <f t="shared" si="1"/>
        <v>২ পরে</v>
      </c>
    </row>
    <row r="7643">
      <c r="A7643" s="4">
        <v>6093.0</v>
      </c>
      <c r="B7643" s="2" t="s">
        <v>30848</v>
      </c>
      <c r="C7643" s="2" t="s">
        <v>30848</v>
      </c>
      <c r="D7643" s="2" t="s">
        <v>30849</v>
      </c>
      <c r="E7643" s="2" t="s">
        <v>30850</v>
      </c>
      <c r="F7643" s="2" t="b">
        <v>1</v>
      </c>
      <c r="G7643" s="2" t="b">
        <v>0</v>
      </c>
      <c r="H7643" s="2" t="s">
        <v>37</v>
      </c>
      <c r="I7643" s="2" t="s">
        <v>22</v>
      </c>
      <c r="J7643" s="2" t="s">
        <v>27626</v>
      </c>
      <c r="K7643" s="2" t="s">
        <v>495</v>
      </c>
      <c r="L7643" s="13" t="s">
        <v>496</v>
      </c>
      <c r="M7643" s="2" t="s">
        <v>26</v>
      </c>
      <c r="N7643" s="29"/>
      <c r="O7643" s="29"/>
      <c r="P7643" s="5" t="str">
        <f>IFERROR(__xludf.DUMMYFUNCTION("TEXTJOIN("" | "",TRUE,IF(OR(D7643="""",E7643="""",I7643="""",J7643="""",H7643=""""),""ফাঁকা ঘর"",""""),IF(AND(C7643&lt;&gt;"""",D7643&lt;&gt;"""",C7643=D7643),""gloss=figurative"",""""),IF(LEN(D7643)&lt;15,""figurative ছোট"",""""),IF(AND(I7643=""Positive"",REGEXMATCH(H7"&amp;"643,""মূর্খ|ভণ্ড|প্রতার|অলস|লোভ|স্বার্থ|অক্ষম|অযোগ্য|বোকা|কৃপণ|হিংস"")),""valence-target অমিল"",""""),IF(COUNTIF($B:$B,B7643)&gt;1,""ডুপ্লিকেট"",""""))"),"")</f>
        <v/>
      </c>
      <c r="Q7643" s="5" t="str">
        <f t="shared" si="1"/>
        <v>২ পরে</v>
      </c>
    </row>
    <row r="7644">
      <c r="A7644" s="4">
        <v>6094.0</v>
      </c>
      <c r="B7644" s="2" t="s">
        <v>30851</v>
      </c>
      <c r="C7644" s="2" t="s">
        <v>30851</v>
      </c>
      <c r="D7644" s="2" t="s">
        <v>27025</v>
      </c>
      <c r="E7644" s="2" t="s">
        <v>30852</v>
      </c>
      <c r="F7644" s="2" t="b">
        <v>1</v>
      </c>
      <c r="G7644" s="2" t="b">
        <v>0</v>
      </c>
      <c r="H7644" s="2" t="s">
        <v>37</v>
      </c>
      <c r="I7644" s="2" t="s">
        <v>22</v>
      </c>
      <c r="J7644" s="2" t="s">
        <v>4039</v>
      </c>
      <c r="K7644" s="2" t="s">
        <v>495</v>
      </c>
      <c r="L7644" s="13" t="s">
        <v>496</v>
      </c>
      <c r="M7644" s="2" t="s">
        <v>26</v>
      </c>
      <c r="N7644" s="29"/>
      <c r="O7644" s="29"/>
      <c r="P7644" s="5" t="str">
        <f>IFERROR(__xludf.DUMMYFUNCTION("TEXTJOIN("" | "",TRUE,IF(OR(D7644="""",E7644="""",I7644="""",J7644="""",H7644=""""),""ফাঁকা ঘর"",""""),IF(AND(C7644&lt;&gt;"""",D7644&lt;&gt;"""",C7644=D7644),""gloss=figurative"",""""),IF(LEN(D7644)&lt;15,""figurative ছোট"",""""),IF(AND(I7644=""Positive"",REGEXMATCH(H7"&amp;"644,""মূর্খ|ভণ্ড|প্রতার|অলস|লোভ|স্বার্থ|অক্ষম|অযোগ্য|বোকা|কৃপণ|হিংস"")),""valence-target অমিল"",""""),IF(COUNTIF($B:$B,B7644)&gt;1,""ডুপ্লিকেট"",""""))"),"")</f>
        <v/>
      </c>
      <c r="Q7644" s="5" t="str">
        <f t="shared" si="1"/>
        <v>২ পরে</v>
      </c>
    </row>
    <row r="7645">
      <c r="A7645" s="4">
        <v>6098.0</v>
      </c>
      <c r="B7645" s="2" t="s">
        <v>30853</v>
      </c>
      <c r="C7645" s="2" t="s">
        <v>30854</v>
      </c>
      <c r="D7645" s="2" t="s">
        <v>29207</v>
      </c>
      <c r="E7645" s="2" t="s">
        <v>30855</v>
      </c>
      <c r="F7645" s="2" t="b">
        <v>1</v>
      </c>
      <c r="G7645" s="2" t="b">
        <v>0</v>
      </c>
      <c r="H7645" s="2" t="s">
        <v>37</v>
      </c>
      <c r="I7645" s="2" t="s">
        <v>32</v>
      </c>
      <c r="J7645" s="2" t="s">
        <v>1518</v>
      </c>
      <c r="K7645" s="2" t="s">
        <v>495</v>
      </c>
      <c r="L7645" s="13" t="s">
        <v>496</v>
      </c>
      <c r="M7645" s="2" t="s">
        <v>26</v>
      </c>
      <c r="N7645" s="29"/>
      <c r="O7645" s="29"/>
      <c r="P7645" s="5" t="str">
        <f>IFERROR(__xludf.DUMMYFUNCTION("TEXTJOIN("" | "",TRUE,IF(OR(D7645="""",E7645="""",I7645="""",J7645="""",H7645=""""),""ফাঁকা ঘর"",""""),IF(AND(C7645&lt;&gt;"""",D7645&lt;&gt;"""",C7645=D7645),""gloss=figurative"",""""),IF(LEN(D7645)&lt;15,""figurative ছোট"",""""),IF(AND(I7645=""Positive"",REGEXMATCH(H7"&amp;"645,""মূর্খ|ভণ্ড|প্রতার|অলস|লোভ|স্বার্থ|অক্ষম|অযোগ্য|বোকা|কৃপণ|হিংস"")),""valence-target অমিল"",""""),IF(COUNTIF($B:$B,B7645)&gt;1,""ডুপ্লিকেট"",""""))"),"")</f>
        <v/>
      </c>
      <c r="Q7645" s="5" t="str">
        <f t="shared" si="1"/>
        <v>২ পরে</v>
      </c>
    </row>
    <row r="7646">
      <c r="A7646" s="4">
        <v>6106.0</v>
      </c>
      <c r="B7646" s="2" t="s">
        <v>30856</v>
      </c>
      <c r="C7646" s="2" t="s">
        <v>30857</v>
      </c>
      <c r="D7646" s="2" t="s">
        <v>30858</v>
      </c>
      <c r="E7646" s="2" t="s">
        <v>30859</v>
      </c>
      <c r="F7646" s="2" t="b">
        <v>1</v>
      </c>
      <c r="G7646" s="2" t="b">
        <v>0</v>
      </c>
      <c r="H7646" s="2" t="s">
        <v>37</v>
      </c>
      <c r="I7646" s="2" t="s">
        <v>22</v>
      </c>
      <c r="J7646" s="2" t="s">
        <v>2857</v>
      </c>
      <c r="K7646" s="2" t="s">
        <v>495</v>
      </c>
      <c r="L7646" s="13" t="s">
        <v>496</v>
      </c>
      <c r="M7646" s="2" t="s">
        <v>26</v>
      </c>
      <c r="N7646" s="29"/>
      <c r="O7646" s="29"/>
      <c r="P7646" s="5" t="str">
        <f>IFERROR(__xludf.DUMMYFUNCTION("TEXTJOIN("" | "",TRUE,IF(OR(D7646="""",E7646="""",I7646="""",J7646="""",H7646=""""),""ফাঁকা ঘর"",""""),IF(AND(C7646&lt;&gt;"""",D7646&lt;&gt;"""",C7646=D7646),""gloss=figurative"",""""),IF(LEN(D7646)&lt;15,""figurative ছোট"",""""),IF(AND(I7646=""Positive"",REGEXMATCH(H7"&amp;"646,""মূর্খ|ভণ্ড|প্রতার|অলস|লোভ|স্বার্থ|অক্ষম|অযোগ্য|বোকা|কৃপণ|হিংস"")),""valence-target অমিল"",""""),IF(COUNTIF($B:$B,B7646)&gt;1,""ডুপ্লিকেট"",""""))"),"")</f>
        <v/>
      </c>
      <c r="Q7646" s="5" t="str">
        <f t="shared" si="1"/>
        <v>২ পরে</v>
      </c>
    </row>
    <row r="7647">
      <c r="A7647" s="4">
        <v>6108.0</v>
      </c>
      <c r="B7647" s="2" t="s">
        <v>30860</v>
      </c>
      <c r="C7647" s="2" t="s">
        <v>30861</v>
      </c>
      <c r="D7647" s="2" t="s">
        <v>30862</v>
      </c>
      <c r="E7647" s="2" t="s">
        <v>30863</v>
      </c>
      <c r="F7647" s="2" t="b">
        <v>1</v>
      </c>
      <c r="G7647" s="2" t="b">
        <v>0</v>
      </c>
      <c r="H7647" s="2" t="s">
        <v>37</v>
      </c>
      <c r="I7647" s="2" t="s">
        <v>22</v>
      </c>
      <c r="J7647" s="2" t="s">
        <v>1117</v>
      </c>
      <c r="K7647" s="2" t="s">
        <v>495</v>
      </c>
      <c r="L7647" s="13" t="s">
        <v>496</v>
      </c>
      <c r="M7647" s="2" t="s">
        <v>26</v>
      </c>
      <c r="N7647" s="29"/>
      <c r="O7647" s="29"/>
      <c r="P7647" s="5" t="str">
        <f>IFERROR(__xludf.DUMMYFUNCTION("TEXTJOIN("" | "",TRUE,IF(OR(D7647="""",E7647="""",I7647="""",J7647="""",H7647=""""),""ফাঁকা ঘর"",""""),IF(AND(C7647&lt;&gt;"""",D7647&lt;&gt;"""",C7647=D7647),""gloss=figurative"",""""),IF(LEN(D7647)&lt;15,""figurative ছোট"",""""),IF(AND(I7647=""Positive"",REGEXMATCH(H7"&amp;"647,""মূর্খ|ভণ্ড|প্রতার|অলস|লোভ|স্বার্থ|অক্ষম|অযোগ্য|বোকা|কৃপণ|হিংস"")),""valence-target অমিল"",""""),IF(COUNTIF($B:$B,B7647)&gt;1,""ডুপ্লিকেট"",""""))"),"")</f>
        <v/>
      </c>
      <c r="Q7647" s="5" t="str">
        <f t="shared" si="1"/>
        <v>২ পরে</v>
      </c>
    </row>
    <row r="7648">
      <c r="A7648" s="4">
        <v>6110.0</v>
      </c>
      <c r="B7648" s="2" t="s">
        <v>30864</v>
      </c>
      <c r="C7648" s="2" t="s">
        <v>30865</v>
      </c>
      <c r="D7648" s="2" t="s">
        <v>30866</v>
      </c>
      <c r="E7648" s="2" t="s">
        <v>30867</v>
      </c>
      <c r="F7648" s="2" t="b">
        <v>1</v>
      </c>
      <c r="G7648" s="2" t="b">
        <v>0</v>
      </c>
      <c r="H7648" s="2" t="s">
        <v>37</v>
      </c>
      <c r="I7648" s="2" t="s">
        <v>49</v>
      </c>
      <c r="J7648" s="2" t="s">
        <v>5524</v>
      </c>
      <c r="K7648" s="2" t="s">
        <v>495</v>
      </c>
      <c r="L7648" s="13" t="s">
        <v>496</v>
      </c>
      <c r="M7648" s="2" t="s">
        <v>26</v>
      </c>
      <c r="N7648" s="29"/>
      <c r="O7648" s="29"/>
      <c r="P7648" s="5" t="str">
        <f>IFERROR(__xludf.DUMMYFUNCTION("TEXTJOIN("" | "",TRUE,IF(OR(D7648="""",E7648="""",I7648="""",J7648="""",H7648=""""),""ফাঁকা ঘর"",""""),IF(AND(C7648&lt;&gt;"""",D7648&lt;&gt;"""",C7648=D7648),""gloss=figurative"",""""),IF(LEN(D7648)&lt;15,""figurative ছোট"",""""),IF(AND(I7648=""Positive"",REGEXMATCH(H7"&amp;"648,""মূর্খ|ভণ্ড|প্রতার|অলস|লোভ|স্বার্থ|অক্ষম|অযোগ্য|বোকা|কৃপণ|হিংস"")),""valence-target অমিল"",""""),IF(COUNTIF($B:$B,B7648)&gt;1,""ডুপ্লিকেট"",""""))"),"")</f>
        <v/>
      </c>
      <c r="Q7648" s="5" t="str">
        <f t="shared" si="1"/>
        <v>২ পরে</v>
      </c>
    </row>
    <row r="7649">
      <c r="A7649" s="4">
        <v>6112.0</v>
      </c>
      <c r="B7649" s="2" t="s">
        <v>30868</v>
      </c>
      <c r="C7649" s="2" t="s">
        <v>30869</v>
      </c>
      <c r="D7649" s="2" t="s">
        <v>30870</v>
      </c>
      <c r="E7649" s="2" t="s">
        <v>30871</v>
      </c>
      <c r="F7649" s="2" t="b">
        <v>1</v>
      </c>
      <c r="G7649" s="2" t="b">
        <v>0</v>
      </c>
      <c r="H7649" s="2" t="s">
        <v>37</v>
      </c>
      <c r="I7649" s="2" t="s">
        <v>49</v>
      </c>
      <c r="J7649" s="2" t="s">
        <v>1008</v>
      </c>
      <c r="K7649" s="2" t="s">
        <v>495</v>
      </c>
      <c r="L7649" s="13" t="s">
        <v>496</v>
      </c>
      <c r="M7649" s="2" t="s">
        <v>26</v>
      </c>
      <c r="N7649" s="29"/>
      <c r="O7649" s="29"/>
      <c r="P7649" s="5" t="str">
        <f>IFERROR(__xludf.DUMMYFUNCTION("TEXTJOIN("" | "",TRUE,IF(OR(D7649="""",E7649="""",I7649="""",J7649="""",H7649=""""),""ফাঁকা ঘর"",""""),IF(AND(C7649&lt;&gt;"""",D7649&lt;&gt;"""",C7649=D7649),""gloss=figurative"",""""),IF(LEN(D7649)&lt;15,""figurative ছোট"",""""),IF(AND(I7649=""Positive"",REGEXMATCH(H7"&amp;"649,""মূর্খ|ভণ্ড|প্রতার|অলস|লোভ|স্বার্থ|অক্ষম|অযোগ্য|বোকা|কৃপণ|হিংস"")),""valence-target অমিল"",""""),IF(COUNTIF($B:$B,B7649)&gt;1,""ডুপ্লিকেট"",""""))"),"")</f>
        <v/>
      </c>
      <c r="Q7649" s="5" t="str">
        <f t="shared" si="1"/>
        <v>২ পরে</v>
      </c>
    </row>
    <row r="7650">
      <c r="A7650" s="4">
        <v>6115.0</v>
      </c>
      <c r="B7650" s="2" t="s">
        <v>30872</v>
      </c>
      <c r="C7650" s="2" t="s">
        <v>30873</v>
      </c>
      <c r="D7650" s="2" t="s">
        <v>30874</v>
      </c>
      <c r="E7650" s="2" t="s">
        <v>22623</v>
      </c>
      <c r="F7650" s="2" t="b">
        <v>1</v>
      </c>
      <c r="G7650" s="2" t="b">
        <v>0</v>
      </c>
      <c r="H7650" s="2" t="s">
        <v>37</v>
      </c>
      <c r="I7650" s="2" t="s">
        <v>49</v>
      </c>
      <c r="J7650" s="2" t="s">
        <v>814</v>
      </c>
      <c r="K7650" s="2" t="s">
        <v>495</v>
      </c>
      <c r="L7650" s="13" t="s">
        <v>496</v>
      </c>
      <c r="M7650" s="2" t="s">
        <v>26</v>
      </c>
      <c r="N7650" s="29"/>
      <c r="O7650" s="29"/>
      <c r="P7650" s="5" t="str">
        <f>IFERROR(__xludf.DUMMYFUNCTION("TEXTJOIN("" | "",TRUE,IF(OR(D7650="""",E7650="""",I7650="""",J7650="""",H7650=""""),""ফাঁকা ঘর"",""""),IF(AND(C7650&lt;&gt;"""",D7650&lt;&gt;"""",C7650=D7650),""gloss=figurative"",""""),IF(LEN(D7650)&lt;15,""figurative ছোট"",""""),IF(AND(I7650=""Positive"",REGEXMATCH(H7"&amp;"650,""মূর্খ|ভণ্ড|প্রতার|অলস|লোভ|স্বার্থ|অক্ষম|অযোগ্য|বোকা|কৃপণ|হিংস"")),""valence-target অমিল"",""""),IF(COUNTIF($B:$B,B7650)&gt;1,""ডুপ্লিকেট"",""""))"),"")</f>
        <v/>
      </c>
      <c r="Q7650" s="5" t="str">
        <f t="shared" si="1"/>
        <v>২ পরে</v>
      </c>
    </row>
    <row r="7651">
      <c r="A7651" s="4">
        <v>6116.0</v>
      </c>
      <c r="B7651" s="2" t="s">
        <v>30875</v>
      </c>
      <c r="C7651" s="2" t="s">
        <v>30876</v>
      </c>
      <c r="D7651" s="2" t="s">
        <v>30877</v>
      </c>
      <c r="E7651" s="2" t="s">
        <v>30878</v>
      </c>
      <c r="F7651" s="2" t="b">
        <v>1</v>
      </c>
      <c r="G7651" s="2" t="b">
        <v>0</v>
      </c>
      <c r="H7651" s="2" t="s">
        <v>37</v>
      </c>
      <c r="I7651" s="2" t="s">
        <v>22</v>
      </c>
      <c r="J7651" s="2" t="s">
        <v>447</v>
      </c>
      <c r="K7651" s="2" t="s">
        <v>495</v>
      </c>
      <c r="L7651" s="13" t="s">
        <v>496</v>
      </c>
      <c r="M7651" s="2" t="s">
        <v>26</v>
      </c>
      <c r="N7651" s="29"/>
      <c r="O7651" s="29"/>
      <c r="P7651" s="5" t="str">
        <f>IFERROR(__xludf.DUMMYFUNCTION("TEXTJOIN("" | "",TRUE,IF(OR(D7651="""",E7651="""",I7651="""",J7651="""",H7651=""""),""ফাঁকা ঘর"",""""),IF(AND(C7651&lt;&gt;"""",D7651&lt;&gt;"""",C7651=D7651),""gloss=figurative"",""""),IF(LEN(D7651)&lt;15,""figurative ছোট"",""""),IF(AND(I7651=""Positive"",REGEXMATCH(H7"&amp;"651,""মূর্খ|ভণ্ড|প্রতার|অলস|লোভ|স্বার্থ|অক্ষম|অযোগ্য|বোকা|কৃপণ|হিংস"")),""valence-target অমিল"",""""),IF(COUNTIF($B:$B,B7651)&gt;1,""ডুপ্লিকেট"",""""))"),"")</f>
        <v/>
      </c>
      <c r="Q7651" s="5" t="str">
        <f t="shared" si="1"/>
        <v>২ পরে</v>
      </c>
    </row>
    <row r="7652">
      <c r="A7652" s="4">
        <v>6122.0</v>
      </c>
      <c r="B7652" s="2" t="s">
        <v>30879</v>
      </c>
      <c r="C7652" s="2" t="s">
        <v>30880</v>
      </c>
      <c r="D7652" s="2" t="s">
        <v>30881</v>
      </c>
      <c r="E7652" s="2" t="s">
        <v>30882</v>
      </c>
      <c r="F7652" s="2" t="b">
        <v>1</v>
      </c>
      <c r="G7652" s="2" t="b">
        <v>0</v>
      </c>
      <c r="H7652" s="2" t="s">
        <v>37</v>
      </c>
      <c r="I7652" s="2" t="s">
        <v>22</v>
      </c>
      <c r="J7652" s="2" t="s">
        <v>565</v>
      </c>
      <c r="K7652" s="2" t="s">
        <v>495</v>
      </c>
      <c r="L7652" s="13" t="s">
        <v>496</v>
      </c>
      <c r="M7652" s="2" t="s">
        <v>26</v>
      </c>
      <c r="N7652" s="29"/>
      <c r="O7652" s="29"/>
      <c r="P7652" s="5" t="str">
        <f>IFERROR(__xludf.DUMMYFUNCTION("TEXTJOIN("" | "",TRUE,IF(OR(D7652="""",E7652="""",I7652="""",J7652="""",H7652=""""),""ফাঁকা ঘর"",""""),IF(AND(C7652&lt;&gt;"""",D7652&lt;&gt;"""",C7652=D7652),""gloss=figurative"",""""),IF(LEN(D7652)&lt;15,""figurative ছোট"",""""),IF(AND(I7652=""Positive"",REGEXMATCH(H7"&amp;"652,""মূর্খ|ভণ্ড|প্রতার|অলস|লোভ|স্বার্থ|অক্ষম|অযোগ্য|বোকা|কৃপণ|হিংস"")),""valence-target অমিল"",""""),IF(COUNTIF($B:$B,B7652)&gt;1,""ডুপ্লিকেট"",""""))"),"")</f>
        <v/>
      </c>
      <c r="Q7652" s="5" t="str">
        <f t="shared" si="1"/>
        <v>২ পরে</v>
      </c>
    </row>
    <row r="7653">
      <c r="A7653" s="4">
        <v>6123.0</v>
      </c>
      <c r="B7653" s="2" t="s">
        <v>30883</v>
      </c>
      <c r="C7653" s="2" t="s">
        <v>30884</v>
      </c>
      <c r="D7653" s="2" t="s">
        <v>30885</v>
      </c>
      <c r="E7653" s="2" t="s">
        <v>30886</v>
      </c>
      <c r="F7653" s="2" t="b">
        <v>1</v>
      </c>
      <c r="G7653" s="2" t="b">
        <v>0</v>
      </c>
      <c r="H7653" s="2" t="s">
        <v>37</v>
      </c>
      <c r="I7653" s="2" t="s">
        <v>49</v>
      </c>
      <c r="J7653" s="2" t="s">
        <v>1803</v>
      </c>
      <c r="K7653" s="2" t="s">
        <v>495</v>
      </c>
      <c r="L7653" s="13" t="s">
        <v>496</v>
      </c>
      <c r="M7653" s="2" t="s">
        <v>26</v>
      </c>
      <c r="N7653" s="29"/>
      <c r="O7653" s="29"/>
      <c r="P7653" s="5" t="str">
        <f>IFERROR(__xludf.DUMMYFUNCTION("TEXTJOIN("" | "",TRUE,IF(OR(D7653="""",E7653="""",I7653="""",J7653="""",H7653=""""),""ফাঁকা ঘর"",""""),IF(AND(C7653&lt;&gt;"""",D7653&lt;&gt;"""",C7653=D7653),""gloss=figurative"",""""),IF(LEN(D7653)&lt;15,""figurative ছোট"",""""),IF(AND(I7653=""Positive"",REGEXMATCH(H7"&amp;"653,""মূর্খ|ভণ্ড|প্রতার|অলস|লোভ|স্বার্থ|অক্ষম|অযোগ্য|বোকা|কৃপণ|হিংস"")),""valence-target অমিল"",""""),IF(COUNTIF($B:$B,B7653)&gt;1,""ডুপ্লিকেট"",""""))"),"")</f>
        <v/>
      </c>
      <c r="Q7653" s="5" t="str">
        <f t="shared" si="1"/>
        <v>২ পরে</v>
      </c>
    </row>
    <row r="7654">
      <c r="A7654" s="4">
        <v>6124.0</v>
      </c>
      <c r="B7654" s="2" t="s">
        <v>30887</v>
      </c>
      <c r="C7654" s="2" t="s">
        <v>30888</v>
      </c>
      <c r="D7654" s="2" t="s">
        <v>30889</v>
      </c>
      <c r="E7654" s="2" t="s">
        <v>30890</v>
      </c>
      <c r="F7654" s="2" t="b">
        <v>1</v>
      </c>
      <c r="G7654" s="2" t="b">
        <v>0</v>
      </c>
      <c r="H7654" s="2" t="s">
        <v>37</v>
      </c>
      <c r="I7654" s="2" t="s">
        <v>49</v>
      </c>
      <c r="J7654" s="2" t="s">
        <v>1803</v>
      </c>
      <c r="K7654" s="2" t="s">
        <v>495</v>
      </c>
      <c r="L7654" s="13" t="s">
        <v>496</v>
      </c>
      <c r="M7654" s="2" t="s">
        <v>26</v>
      </c>
      <c r="N7654" s="29"/>
      <c r="O7654" s="29"/>
      <c r="P7654" s="5" t="str">
        <f>IFERROR(__xludf.DUMMYFUNCTION("TEXTJOIN("" | "",TRUE,IF(OR(D7654="""",E7654="""",I7654="""",J7654="""",H7654=""""),""ফাঁকা ঘর"",""""),IF(AND(C7654&lt;&gt;"""",D7654&lt;&gt;"""",C7654=D7654),""gloss=figurative"",""""),IF(LEN(D7654)&lt;15,""figurative ছোট"",""""),IF(AND(I7654=""Positive"",REGEXMATCH(H7"&amp;"654,""মূর্খ|ভণ্ড|প্রতার|অলস|লোভ|স্বার্থ|অক্ষম|অযোগ্য|বোকা|কৃপণ|হিংস"")),""valence-target অমিল"",""""),IF(COUNTIF($B:$B,B7654)&gt;1,""ডুপ্লিকেট"",""""))"),"")</f>
        <v/>
      </c>
      <c r="Q7654" s="5" t="str">
        <f t="shared" si="1"/>
        <v>২ পরে</v>
      </c>
    </row>
    <row r="7655">
      <c r="A7655" s="4">
        <v>6127.0</v>
      </c>
      <c r="B7655" s="2" t="s">
        <v>30891</v>
      </c>
      <c r="C7655" s="2" t="s">
        <v>30892</v>
      </c>
      <c r="D7655" s="2" t="s">
        <v>30893</v>
      </c>
      <c r="E7655" s="2" t="s">
        <v>30894</v>
      </c>
      <c r="F7655" s="2" t="b">
        <v>1</v>
      </c>
      <c r="G7655" s="2" t="b">
        <v>0</v>
      </c>
      <c r="H7655" s="2" t="s">
        <v>37</v>
      </c>
      <c r="I7655" s="2" t="s">
        <v>49</v>
      </c>
      <c r="J7655" s="2" t="s">
        <v>43</v>
      </c>
      <c r="K7655" s="2" t="s">
        <v>495</v>
      </c>
      <c r="L7655" s="13" t="s">
        <v>496</v>
      </c>
      <c r="M7655" s="2" t="s">
        <v>26</v>
      </c>
      <c r="N7655" s="29"/>
      <c r="O7655" s="29"/>
      <c r="P7655" s="5" t="str">
        <f>IFERROR(__xludf.DUMMYFUNCTION("TEXTJOIN("" | "",TRUE,IF(OR(D7655="""",E7655="""",I7655="""",J7655="""",H7655=""""),""ফাঁকা ঘর"",""""),IF(AND(C7655&lt;&gt;"""",D7655&lt;&gt;"""",C7655=D7655),""gloss=figurative"",""""),IF(LEN(D7655)&lt;15,""figurative ছোট"",""""),IF(AND(I7655=""Positive"",REGEXMATCH(H7"&amp;"655,""মূর্খ|ভণ্ড|প্রতার|অলস|লোভ|স্বার্থ|অক্ষম|অযোগ্য|বোকা|কৃপণ|হিংস"")),""valence-target অমিল"",""""),IF(COUNTIF($B:$B,B7655)&gt;1,""ডুপ্লিকেট"",""""))"),"")</f>
        <v/>
      </c>
      <c r="Q7655" s="5" t="str">
        <f t="shared" si="1"/>
        <v>২ পরে</v>
      </c>
    </row>
    <row r="7656">
      <c r="A7656" s="4">
        <v>6128.0</v>
      </c>
      <c r="B7656" s="2" t="s">
        <v>30895</v>
      </c>
      <c r="C7656" s="2" t="s">
        <v>30896</v>
      </c>
      <c r="D7656" s="2" t="s">
        <v>30897</v>
      </c>
      <c r="E7656" s="2" t="s">
        <v>30898</v>
      </c>
      <c r="F7656" s="2" t="b">
        <v>1</v>
      </c>
      <c r="G7656" s="2" t="b">
        <v>0</v>
      </c>
      <c r="H7656" s="2" t="s">
        <v>37</v>
      </c>
      <c r="I7656" s="2" t="s">
        <v>22</v>
      </c>
      <c r="J7656" s="2" t="s">
        <v>1194</v>
      </c>
      <c r="K7656" s="2" t="s">
        <v>495</v>
      </c>
      <c r="L7656" s="13" t="s">
        <v>496</v>
      </c>
      <c r="M7656" s="2" t="s">
        <v>26</v>
      </c>
      <c r="N7656" s="29"/>
      <c r="O7656" s="29"/>
      <c r="P7656" s="5" t="str">
        <f>IFERROR(__xludf.DUMMYFUNCTION("TEXTJOIN("" | "",TRUE,IF(OR(D7656="""",E7656="""",I7656="""",J7656="""",H7656=""""),""ফাঁকা ঘর"",""""),IF(AND(C7656&lt;&gt;"""",D7656&lt;&gt;"""",C7656=D7656),""gloss=figurative"",""""),IF(LEN(D7656)&lt;15,""figurative ছোট"",""""),IF(AND(I7656=""Positive"",REGEXMATCH(H7"&amp;"656,""মূর্খ|ভণ্ড|প্রতার|অলস|লোভ|স্বার্থ|অক্ষম|অযোগ্য|বোকা|কৃপণ|হিংস"")),""valence-target অমিল"",""""),IF(COUNTIF($B:$B,B7656)&gt;1,""ডুপ্লিকেট"",""""))"),"")</f>
        <v/>
      </c>
      <c r="Q7656" s="5" t="str">
        <f t="shared" si="1"/>
        <v>২ পরে</v>
      </c>
    </row>
    <row r="7657">
      <c r="A7657" s="4">
        <v>6132.0</v>
      </c>
      <c r="B7657" s="2" t="s">
        <v>30899</v>
      </c>
      <c r="C7657" s="2" t="s">
        <v>30900</v>
      </c>
      <c r="D7657" s="2" t="s">
        <v>30901</v>
      </c>
      <c r="E7657" s="2" t="s">
        <v>30902</v>
      </c>
      <c r="F7657" s="2" t="b">
        <v>1</v>
      </c>
      <c r="G7657" s="2" t="b">
        <v>0</v>
      </c>
      <c r="H7657" s="2" t="s">
        <v>37</v>
      </c>
      <c r="I7657" s="2" t="s">
        <v>49</v>
      </c>
      <c r="J7657" s="2" t="s">
        <v>6932</v>
      </c>
      <c r="K7657" s="2" t="s">
        <v>495</v>
      </c>
      <c r="L7657" s="13" t="s">
        <v>496</v>
      </c>
      <c r="M7657" s="2" t="s">
        <v>26</v>
      </c>
      <c r="N7657" s="29"/>
      <c r="O7657" s="29"/>
      <c r="P7657" s="5" t="str">
        <f>IFERROR(__xludf.DUMMYFUNCTION("TEXTJOIN("" | "",TRUE,IF(OR(D7657="""",E7657="""",I7657="""",J7657="""",H7657=""""),""ফাঁকা ঘর"",""""),IF(AND(C7657&lt;&gt;"""",D7657&lt;&gt;"""",C7657=D7657),""gloss=figurative"",""""),IF(LEN(D7657)&lt;15,""figurative ছোট"",""""),IF(AND(I7657=""Positive"",REGEXMATCH(H7"&amp;"657,""মূর্খ|ভণ্ড|প্রতার|অলস|লোভ|স্বার্থ|অক্ষম|অযোগ্য|বোকা|কৃপণ|হিংস"")),""valence-target অমিল"",""""),IF(COUNTIF($B:$B,B7657)&gt;1,""ডুপ্লিকেট"",""""))"),"")</f>
        <v/>
      </c>
      <c r="Q7657" s="5" t="str">
        <f t="shared" si="1"/>
        <v>২ পরে</v>
      </c>
    </row>
    <row r="7658">
      <c r="A7658" s="4">
        <v>6133.0</v>
      </c>
      <c r="B7658" s="2" t="s">
        <v>30903</v>
      </c>
      <c r="C7658" s="2" t="s">
        <v>30904</v>
      </c>
      <c r="D7658" s="2" t="s">
        <v>30905</v>
      </c>
      <c r="E7658" s="2" t="s">
        <v>30906</v>
      </c>
      <c r="F7658" s="2" t="b">
        <v>1</v>
      </c>
      <c r="G7658" s="2" t="b">
        <v>0</v>
      </c>
      <c r="H7658" s="2" t="s">
        <v>37</v>
      </c>
      <c r="I7658" s="2" t="s">
        <v>49</v>
      </c>
      <c r="J7658" s="2" t="s">
        <v>6932</v>
      </c>
      <c r="K7658" s="2" t="s">
        <v>495</v>
      </c>
      <c r="L7658" s="13" t="s">
        <v>496</v>
      </c>
      <c r="M7658" s="2" t="s">
        <v>26</v>
      </c>
      <c r="N7658" s="29"/>
      <c r="O7658" s="29"/>
      <c r="P7658" s="5" t="str">
        <f>IFERROR(__xludf.DUMMYFUNCTION("TEXTJOIN("" | "",TRUE,IF(OR(D7658="""",E7658="""",I7658="""",J7658="""",H7658=""""),""ফাঁকা ঘর"",""""),IF(AND(C7658&lt;&gt;"""",D7658&lt;&gt;"""",C7658=D7658),""gloss=figurative"",""""),IF(LEN(D7658)&lt;15,""figurative ছোট"",""""),IF(AND(I7658=""Positive"",REGEXMATCH(H7"&amp;"658,""মূর্খ|ভণ্ড|প্রতার|অলস|লোভ|স্বার্থ|অক্ষম|অযোগ্য|বোকা|কৃপণ|হিংস"")),""valence-target অমিল"",""""),IF(COUNTIF($B:$B,B7658)&gt;1,""ডুপ্লিকেট"",""""))"),"")</f>
        <v/>
      </c>
      <c r="Q7658" s="5" t="str">
        <f t="shared" si="1"/>
        <v>২ পরে</v>
      </c>
    </row>
    <row r="7659">
      <c r="A7659" s="4">
        <v>6134.0</v>
      </c>
      <c r="B7659" s="2" t="s">
        <v>30907</v>
      </c>
      <c r="C7659" s="2" t="s">
        <v>30908</v>
      </c>
      <c r="D7659" s="2" t="s">
        <v>30909</v>
      </c>
      <c r="E7659" s="2" t="s">
        <v>30910</v>
      </c>
      <c r="F7659" s="2" t="b">
        <v>1</v>
      </c>
      <c r="G7659" s="2" t="b">
        <v>0</v>
      </c>
      <c r="H7659" s="2" t="s">
        <v>37</v>
      </c>
      <c r="I7659" s="2" t="s">
        <v>49</v>
      </c>
      <c r="J7659" s="2" t="s">
        <v>3156</v>
      </c>
      <c r="K7659" s="2" t="s">
        <v>495</v>
      </c>
      <c r="L7659" s="13" t="s">
        <v>496</v>
      </c>
      <c r="M7659" s="2" t="s">
        <v>26</v>
      </c>
      <c r="N7659" s="29"/>
      <c r="O7659" s="29"/>
      <c r="P7659" s="5" t="str">
        <f>IFERROR(__xludf.DUMMYFUNCTION("TEXTJOIN("" | "",TRUE,IF(OR(D7659="""",E7659="""",I7659="""",J7659="""",H7659=""""),""ফাঁকা ঘর"",""""),IF(AND(C7659&lt;&gt;"""",D7659&lt;&gt;"""",C7659=D7659),""gloss=figurative"",""""),IF(LEN(D7659)&lt;15,""figurative ছোট"",""""),IF(AND(I7659=""Positive"",REGEXMATCH(H7"&amp;"659,""মূর্খ|ভণ্ড|প্রতার|অলস|লোভ|স্বার্থ|অক্ষম|অযোগ্য|বোকা|কৃপণ|হিংস"")),""valence-target অমিল"",""""),IF(COUNTIF($B:$B,B7659)&gt;1,""ডুপ্লিকেট"",""""))"),"")</f>
        <v/>
      </c>
      <c r="Q7659" s="5" t="str">
        <f t="shared" si="1"/>
        <v>২ পরে</v>
      </c>
    </row>
    <row r="7660">
      <c r="A7660" s="4">
        <v>6137.0</v>
      </c>
      <c r="B7660" s="2" t="s">
        <v>30911</v>
      </c>
      <c r="C7660" s="2" t="s">
        <v>30912</v>
      </c>
      <c r="D7660" s="2" t="s">
        <v>30913</v>
      </c>
      <c r="E7660" s="2" t="s">
        <v>30914</v>
      </c>
      <c r="F7660" s="2" t="b">
        <v>1</v>
      </c>
      <c r="G7660" s="2" t="b">
        <v>1</v>
      </c>
      <c r="H7660" s="2" t="s">
        <v>1106</v>
      </c>
      <c r="I7660" s="2" t="s">
        <v>32</v>
      </c>
      <c r="J7660" s="2" t="s">
        <v>3327</v>
      </c>
      <c r="K7660" s="2" t="s">
        <v>495</v>
      </c>
      <c r="L7660" s="13" t="s">
        <v>496</v>
      </c>
      <c r="M7660" s="2" t="s">
        <v>26</v>
      </c>
      <c r="N7660" s="29"/>
      <c r="O7660" s="29"/>
      <c r="P7660" s="5" t="str">
        <f>IFERROR(__xludf.DUMMYFUNCTION("TEXTJOIN("" | "",TRUE,IF(OR(D7660="""",E7660="""",I7660="""",J7660="""",H7660=""""),""ফাঁকা ঘর"",""""),IF(AND(C7660&lt;&gt;"""",D7660&lt;&gt;"""",C7660=D7660),""gloss=figurative"",""""),IF(LEN(D7660)&lt;15,""figurative ছোট"",""""),IF(AND(I7660=""Positive"",REGEXMATCH(H7"&amp;"660,""মূর্খ|ভণ্ড|প্রতার|অলস|লোভ|স্বার্থ|অক্ষম|অযোগ্য|বোকা|কৃপণ|হিংস"")),""valence-target অমিল"",""""),IF(COUNTIF($B:$B,B7660)&gt;1,""ডুপ্লিকেট"",""""))"),"")</f>
        <v/>
      </c>
      <c r="Q7660" s="5" t="str">
        <f t="shared" si="1"/>
        <v>২ পরে</v>
      </c>
    </row>
    <row r="7661">
      <c r="A7661" s="4">
        <v>6140.0</v>
      </c>
      <c r="B7661" s="2" t="s">
        <v>30915</v>
      </c>
      <c r="C7661" s="2" t="s">
        <v>30916</v>
      </c>
      <c r="D7661" s="2" t="s">
        <v>12610</v>
      </c>
      <c r="E7661" s="2" t="s">
        <v>30917</v>
      </c>
      <c r="F7661" s="2" t="b">
        <v>1</v>
      </c>
      <c r="G7661" s="2" t="b">
        <v>0</v>
      </c>
      <c r="H7661" s="2" t="s">
        <v>37</v>
      </c>
      <c r="I7661" s="2" t="s">
        <v>22</v>
      </c>
      <c r="J7661" s="2" t="s">
        <v>3869</v>
      </c>
      <c r="K7661" s="2" t="s">
        <v>495</v>
      </c>
      <c r="L7661" s="13" t="s">
        <v>496</v>
      </c>
      <c r="M7661" s="2" t="s">
        <v>26</v>
      </c>
      <c r="N7661" s="29"/>
      <c r="O7661" s="29"/>
      <c r="P7661" s="5" t="str">
        <f>IFERROR(__xludf.DUMMYFUNCTION("TEXTJOIN("" | "",TRUE,IF(OR(D7661="""",E7661="""",I7661="""",J7661="""",H7661=""""),""ফাঁকা ঘর"",""""),IF(AND(C7661&lt;&gt;"""",D7661&lt;&gt;"""",C7661=D7661),""gloss=figurative"",""""),IF(LEN(D7661)&lt;15,""figurative ছোট"",""""),IF(AND(I7661=""Positive"",REGEXMATCH(H7"&amp;"661,""মূর্খ|ভণ্ড|প্রতার|অলস|লোভ|স্বার্থ|অক্ষম|অযোগ্য|বোকা|কৃপণ|হিংস"")),""valence-target অমিল"",""""),IF(COUNTIF($B:$B,B7661)&gt;1,""ডুপ্লিকেট"",""""))"),"")</f>
        <v/>
      </c>
      <c r="Q7661" s="5" t="str">
        <f t="shared" si="1"/>
        <v>২ পরে</v>
      </c>
    </row>
    <row r="7662">
      <c r="A7662" s="4">
        <v>6141.0</v>
      </c>
      <c r="B7662" s="2" t="s">
        <v>30918</v>
      </c>
      <c r="C7662" s="2" t="s">
        <v>30919</v>
      </c>
      <c r="D7662" s="2" t="s">
        <v>30920</v>
      </c>
      <c r="E7662" s="2" t="s">
        <v>30921</v>
      </c>
      <c r="F7662" s="2" t="b">
        <v>1</v>
      </c>
      <c r="G7662" s="2" t="b">
        <v>0</v>
      </c>
      <c r="H7662" s="2" t="s">
        <v>37</v>
      </c>
      <c r="I7662" s="2" t="s">
        <v>22</v>
      </c>
      <c r="J7662" s="2" t="s">
        <v>8613</v>
      </c>
      <c r="K7662" s="2" t="s">
        <v>495</v>
      </c>
      <c r="L7662" s="13" t="s">
        <v>496</v>
      </c>
      <c r="M7662" s="2" t="s">
        <v>26</v>
      </c>
      <c r="N7662" s="29"/>
      <c r="O7662" s="29"/>
      <c r="P7662" s="5" t="str">
        <f>IFERROR(__xludf.DUMMYFUNCTION("TEXTJOIN("" | "",TRUE,IF(OR(D7662="""",E7662="""",I7662="""",J7662="""",H7662=""""),""ফাঁকা ঘর"",""""),IF(AND(C7662&lt;&gt;"""",D7662&lt;&gt;"""",C7662=D7662),""gloss=figurative"",""""),IF(LEN(D7662)&lt;15,""figurative ছোট"",""""),IF(AND(I7662=""Positive"",REGEXMATCH(H7"&amp;"662,""মূর্খ|ভণ্ড|প্রতার|অলস|লোভ|স্বার্থ|অক্ষম|অযোগ্য|বোকা|কৃপণ|হিংস"")),""valence-target অমিল"",""""),IF(COUNTIF($B:$B,B7662)&gt;1,""ডুপ্লিকেট"",""""))"),"")</f>
        <v/>
      </c>
      <c r="Q7662" s="5" t="str">
        <f t="shared" si="1"/>
        <v>২ পরে</v>
      </c>
    </row>
    <row r="7663">
      <c r="A7663" s="4">
        <v>6143.0</v>
      </c>
      <c r="B7663" s="2" t="s">
        <v>30922</v>
      </c>
      <c r="C7663" s="2" t="s">
        <v>30922</v>
      </c>
      <c r="D7663" s="2" t="s">
        <v>30923</v>
      </c>
      <c r="E7663" s="2" t="s">
        <v>30924</v>
      </c>
      <c r="F7663" s="2" t="b">
        <v>1</v>
      </c>
      <c r="G7663" s="2" t="b">
        <v>0</v>
      </c>
      <c r="H7663" s="2" t="s">
        <v>1284</v>
      </c>
      <c r="I7663" s="2" t="s">
        <v>32</v>
      </c>
      <c r="J7663" s="2" t="s">
        <v>729</v>
      </c>
      <c r="K7663" s="2" t="s">
        <v>495</v>
      </c>
      <c r="L7663" s="13" t="s">
        <v>496</v>
      </c>
      <c r="M7663" s="2" t="s">
        <v>26</v>
      </c>
      <c r="N7663" s="29"/>
      <c r="O7663" s="29"/>
      <c r="P7663" s="5" t="str">
        <f>IFERROR(__xludf.DUMMYFUNCTION("TEXTJOIN("" | "",TRUE,IF(OR(D7663="""",E7663="""",I7663="""",J7663="""",H7663=""""),""ফাঁকা ঘর"",""""),IF(AND(C7663&lt;&gt;"""",D7663&lt;&gt;"""",C7663=D7663),""gloss=figurative"",""""),IF(LEN(D7663)&lt;15,""figurative ছোট"",""""),IF(AND(I7663=""Positive"",REGEXMATCH(H7"&amp;"663,""মূর্খ|ভণ্ড|প্রতার|অলস|লোভ|স্বার্থ|অক্ষম|অযোগ্য|বোকা|কৃপণ|হিংস"")),""valence-target অমিল"",""""),IF(COUNTIF($B:$B,B7663)&gt;1,""ডুপ্লিকেট"",""""))"),"")</f>
        <v/>
      </c>
      <c r="Q7663" s="5" t="str">
        <f t="shared" si="1"/>
        <v>২ পরে</v>
      </c>
    </row>
    <row r="7664">
      <c r="A7664" s="4">
        <v>6144.0</v>
      </c>
      <c r="B7664" s="2" t="s">
        <v>30925</v>
      </c>
      <c r="C7664" s="2" t="s">
        <v>30926</v>
      </c>
      <c r="D7664" s="2" t="s">
        <v>30927</v>
      </c>
      <c r="E7664" s="2" t="s">
        <v>30928</v>
      </c>
      <c r="F7664" s="2" t="b">
        <v>1</v>
      </c>
      <c r="G7664" s="2" t="b">
        <v>0</v>
      </c>
      <c r="H7664" s="2" t="s">
        <v>1284</v>
      </c>
      <c r="I7664" s="2" t="s">
        <v>49</v>
      </c>
      <c r="J7664" s="2" t="s">
        <v>3701</v>
      </c>
      <c r="K7664" s="2" t="s">
        <v>495</v>
      </c>
      <c r="L7664" s="13" t="s">
        <v>496</v>
      </c>
      <c r="M7664" s="2" t="s">
        <v>26</v>
      </c>
      <c r="N7664" s="29"/>
      <c r="O7664" s="29"/>
      <c r="P7664" s="5" t="str">
        <f>IFERROR(__xludf.DUMMYFUNCTION("TEXTJOIN("" | "",TRUE,IF(OR(D7664="""",E7664="""",I7664="""",J7664="""",H7664=""""),""ফাঁকা ঘর"",""""),IF(AND(C7664&lt;&gt;"""",D7664&lt;&gt;"""",C7664=D7664),""gloss=figurative"",""""),IF(LEN(D7664)&lt;15,""figurative ছোট"",""""),IF(AND(I7664=""Positive"",REGEXMATCH(H7"&amp;"664,""মূর্খ|ভণ্ড|প্রতার|অলস|লোভ|স্বার্থ|অক্ষম|অযোগ্য|বোকা|কৃপণ|হিংস"")),""valence-target অমিল"",""""),IF(COUNTIF($B:$B,B7664)&gt;1,""ডুপ্লিকেট"",""""))"),"")</f>
        <v/>
      </c>
      <c r="Q7664" s="5" t="str">
        <f t="shared" si="1"/>
        <v>২ পরে</v>
      </c>
    </row>
    <row r="7665">
      <c r="A7665" s="4">
        <v>6148.0</v>
      </c>
      <c r="B7665" s="2" t="s">
        <v>30929</v>
      </c>
      <c r="C7665" s="2" t="s">
        <v>30930</v>
      </c>
      <c r="D7665" s="2" t="s">
        <v>30931</v>
      </c>
      <c r="E7665" s="2" t="s">
        <v>30932</v>
      </c>
      <c r="F7665" s="2" t="b">
        <v>1</v>
      </c>
      <c r="G7665" s="2" t="b">
        <v>0</v>
      </c>
      <c r="H7665" s="2" t="s">
        <v>37</v>
      </c>
      <c r="I7665" s="2" t="s">
        <v>22</v>
      </c>
      <c r="J7665" s="2" t="s">
        <v>1027</v>
      </c>
      <c r="K7665" s="2" t="s">
        <v>495</v>
      </c>
      <c r="L7665" s="13" t="s">
        <v>496</v>
      </c>
      <c r="M7665" s="2" t="s">
        <v>26</v>
      </c>
      <c r="N7665" s="29"/>
      <c r="O7665" s="29"/>
      <c r="P7665" s="5" t="str">
        <f>IFERROR(__xludf.DUMMYFUNCTION("TEXTJOIN("" | "",TRUE,IF(OR(D7665="""",E7665="""",I7665="""",J7665="""",H7665=""""),""ফাঁকা ঘর"",""""),IF(AND(C7665&lt;&gt;"""",D7665&lt;&gt;"""",C7665=D7665),""gloss=figurative"",""""),IF(LEN(D7665)&lt;15,""figurative ছোট"",""""),IF(AND(I7665=""Positive"",REGEXMATCH(H7"&amp;"665,""মূর্খ|ভণ্ড|প্রতার|অলস|লোভ|স্বার্থ|অক্ষম|অযোগ্য|বোকা|কৃপণ|হিংস"")),""valence-target অমিল"",""""),IF(COUNTIF($B:$B,B7665)&gt;1,""ডুপ্লিকেট"",""""))"),"")</f>
        <v/>
      </c>
      <c r="Q7665" s="5" t="str">
        <f t="shared" si="1"/>
        <v>২ পরে</v>
      </c>
    </row>
    <row r="7666">
      <c r="A7666" s="4">
        <v>6151.0</v>
      </c>
      <c r="B7666" s="2" t="s">
        <v>30933</v>
      </c>
      <c r="C7666" s="2" t="s">
        <v>30934</v>
      </c>
      <c r="D7666" s="2" t="s">
        <v>30935</v>
      </c>
      <c r="E7666" s="2" t="s">
        <v>30936</v>
      </c>
      <c r="F7666" s="2" t="b">
        <v>1</v>
      </c>
      <c r="G7666" s="2" t="b">
        <v>0</v>
      </c>
      <c r="H7666" s="2" t="s">
        <v>37</v>
      </c>
      <c r="I7666" s="2" t="s">
        <v>49</v>
      </c>
      <c r="J7666" s="2" t="s">
        <v>636</v>
      </c>
      <c r="K7666" s="2" t="s">
        <v>495</v>
      </c>
      <c r="L7666" s="13" t="s">
        <v>496</v>
      </c>
      <c r="M7666" s="2" t="s">
        <v>26</v>
      </c>
      <c r="N7666" s="29"/>
      <c r="O7666" s="29"/>
      <c r="P7666" s="5" t="str">
        <f>IFERROR(__xludf.DUMMYFUNCTION("TEXTJOIN("" | "",TRUE,IF(OR(D7666="""",E7666="""",I7666="""",J7666="""",H7666=""""),""ফাঁকা ঘর"",""""),IF(AND(C7666&lt;&gt;"""",D7666&lt;&gt;"""",C7666=D7666),""gloss=figurative"",""""),IF(LEN(D7666)&lt;15,""figurative ছোট"",""""),IF(AND(I7666=""Positive"",REGEXMATCH(H7"&amp;"666,""মূর্খ|ভণ্ড|প্রতার|অলস|লোভ|স্বার্থ|অক্ষম|অযোগ্য|বোকা|কৃপণ|হিংস"")),""valence-target অমিল"",""""),IF(COUNTIF($B:$B,B7666)&gt;1,""ডুপ্লিকেট"",""""))"),"")</f>
        <v/>
      </c>
      <c r="Q7666" s="5" t="str">
        <f t="shared" si="1"/>
        <v>২ পরে</v>
      </c>
    </row>
    <row r="7667">
      <c r="A7667" s="4">
        <v>6153.0</v>
      </c>
      <c r="B7667" s="2" t="s">
        <v>30937</v>
      </c>
      <c r="C7667" s="2" t="s">
        <v>30938</v>
      </c>
      <c r="D7667" s="2" t="s">
        <v>30939</v>
      </c>
      <c r="E7667" s="2" t="s">
        <v>30940</v>
      </c>
      <c r="F7667" s="2" t="b">
        <v>1</v>
      </c>
      <c r="G7667" s="2" t="b">
        <v>0</v>
      </c>
      <c r="H7667" s="2" t="s">
        <v>37</v>
      </c>
      <c r="I7667" s="2" t="s">
        <v>22</v>
      </c>
      <c r="J7667" s="2" t="s">
        <v>2277</v>
      </c>
      <c r="K7667" s="2" t="s">
        <v>495</v>
      </c>
      <c r="L7667" s="13" t="s">
        <v>496</v>
      </c>
      <c r="M7667" s="2" t="s">
        <v>26</v>
      </c>
      <c r="N7667" s="29"/>
      <c r="O7667" s="29"/>
      <c r="P7667" s="5" t="str">
        <f>IFERROR(__xludf.DUMMYFUNCTION("TEXTJOIN("" | "",TRUE,IF(OR(D7667="""",E7667="""",I7667="""",J7667="""",H7667=""""),""ফাঁকা ঘর"",""""),IF(AND(C7667&lt;&gt;"""",D7667&lt;&gt;"""",C7667=D7667),""gloss=figurative"",""""),IF(LEN(D7667)&lt;15,""figurative ছোট"",""""),IF(AND(I7667=""Positive"",REGEXMATCH(H7"&amp;"667,""মূর্খ|ভণ্ড|প্রতার|অলস|লোভ|স্বার্থ|অক্ষম|অযোগ্য|বোকা|কৃপণ|হিংস"")),""valence-target অমিল"",""""),IF(COUNTIF($B:$B,B7667)&gt;1,""ডুপ্লিকেট"",""""))"),"")</f>
        <v/>
      </c>
      <c r="Q7667" s="5" t="str">
        <f t="shared" si="1"/>
        <v>২ পরে</v>
      </c>
    </row>
    <row r="7668">
      <c r="A7668" s="4">
        <v>6167.0</v>
      </c>
      <c r="B7668" s="2" t="s">
        <v>30941</v>
      </c>
      <c r="C7668" s="2" t="s">
        <v>30942</v>
      </c>
      <c r="D7668" s="2" t="s">
        <v>30943</v>
      </c>
      <c r="E7668" s="2" t="s">
        <v>4128</v>
      </c>
      <c r="F7668" s="2" t="b">
        <v>1</v>
      </c>
      <c r="G7668" s="2" t="b">
        <v>0</v>
      </c>
      <c r="H7668" s="2" t="s">
        <v>37</v>
      </c>
      <c r="I7668" s="2" t="s">
        <v>32</v>
      </c>
      <c r="J7668" s="2" t="s">
        <v>1454</v>
      </c>
      <c r="K7668" s="2" t="s">
        <v>495</v>
      </c>
      <c r="L7668" s="13" t="s">
        <v>496</v>
      </c>
      <c r="M7668" s="2" t="s">
        <v>26</v>
      </c>
      <c r="N7668" s="29"/>
      <c r="O7668" s="29"/>
      <c r="P7668" s="5" t="str">
        <f>IFERROR(__xludf.DUMMYFUNCTION("TEXTJOIN("" | "",TRUE,IF(OR(D7668="""",E7668="""",I7668="""",J7668="""",H7668=""""),""ফাঁকা ঘর"",""""),IF(AND(C7668&lt;&gt;"""",D7668&lt;&gt;"""",C7668=D7668),""gloss=figurative"",""""),IF(LEN(D7668)&lt;15,""figurative ছোট"",""""),IF(AND(I7668=""Positive"",REGEXMATCH(H7"&amp;"668,""মূর্খ|ভণ্ড|প্রতার|অলস|লোভ|স্বার্থ|অক্ষম|অযোগ্য|বোকা|কৃপণ|হিংস"")),""valence-target অমিল"",""""),IF(COUNTIF($B:$B,B7668)&gt;1,""ডুপ্লিকেট"",""""))"),"")</f>
        <v/>
      </c>
      <c r="Q7668" s="5" t="str">
        <f t="shared" si="1"/>
        <v>২ পরে</v>
      </c>
    </row>
    <row r="7669">
      <c r="A7669" s="4">
        <v>6171.0</v>
      </c>
      <c r="B7669" s="2" t="s">
        <v>30944</v>
      </c>
      <c r="C7669" s="2" t="s">
        <v>30945</v>
      </c>
      <c r="D7669" s="2" t="s">
        <v>30946</v>
      </c>
      <c r="E7669" s="2" t="s">
        <v>30947</v>
      </c>
      <c r="F7669" s="2" t="b">
        <v>1</v>
      </c>
      <c r="G7669" s="2" t="b">
        <v>0</v>
      </c>
      <c r="H7669" s="2" t="s">
        <v>37</v>
      </c>
      <c r="I7669" s="2" t="s">
        <v>32</v>
      </c>
      <c r="J7669" s="2" t="s">
        <v>1111</v>
      </c>
      <c r="K7669" s="2" t="s">
        <v>495</v>
      </c>
      <c r="L7669" s="13" t="s">
        <v>496</v>
      </c>
      <c r="M7669" s="2" t="s">
        <v>26</v>
      </c>
      <c r="N7669" s="29"/>
      <c r="O7669" s="29"/>
      <c r="P7669" s="5" t="str">
        <f>IFERROR(__xludf.DUMMYFUNCTION("TEXTJOIN("" | "",TRUE,IF(OR(D7669="""",E7669="""",I7669="""",J7669="""",H7669=""""),""ফাঁকা ঘর"",""""),IF(AND(C7669&lt;&gt;"""",D7669&lt;&gt;"""",C7669=D7669),""gloss=figurative"",""""),IF(LEN(D7669)&lt;15,""figurative ছোট"",""""),IF(AND(I7669=""Positive"",REGEXMATCH(H7"&amp;"669,""মূর্খ|ভণ্ড|প্রতার|অলস|লোভ|স্বার্থ|অক্ষম|অযোগ্য|বোকা|কৃপণ|হিংস"")),""valence-target অমিল"",""""),IF(COUNTIF($B:$B,B7669)&gt;1,""ডুপ্লিকেট"",""""))"),"")</f>
        <v/>
      </c>
      <c r="Q7669" s="5" t="str">
        <f t="shared" si="1"/>
        <v>২ পরে</v>
      </c>
    </row>
    <row r="7670">
      <c r="A7670" s="4">
        <v>6180.0</v>
      </c>
      <c r="B7670" s="2" t="s">
        <v>30948</v>
      </c>
      <c r="C7670" s="2" t="s">
        <v>30949</v>
      </c>
      <c r="D7670" s="2" t="s">
        <v>30950</v>
      </c>
      <c r="E7670" s="2" t="s">
        <v>30951</v>
      </c>
      <c r="F7670" s="2" t="b">
        <v>1</v>
      </c>
      <c r="G7670" s="2" t="b">
        <v>1</v>
      </c>
      <c r="H7670" s="2" t="s">
        <v>30952</v>
      </c>
      <c r="I7670" s="2" t="s">
        <v>49</v>
      </c>
      <c r="J7670" s="2" t="s">
        <v>30953</v>
      </c>
      <c r="K7670" s="2" t="s">
        <v>495</v>
      </c>
      <c r="L7670" s="13" t="s">
        <v>496</v>
      </c>
      <c r="M7670" s="2" t="s">
        <v>26</v>
      </c>
      <c r="N7670" s="29"/>
      <c r="O7670" s="29"/>
      <c r="P7670" s="5" t="str">
        <f>IFERROR(__xludf.DUMMYFUNCTION("TEXTJOIN("" | "",TRUE,IF(OR(D7670="""",E7670="""",I7670="""",J7670="""",H7670=""""),""ফাঁকা ঘর"",""""),IF(AND(C7670&lt;&gt;"""",D7670&lt;&gt;"""",C7670=D7670),""gloss=figurative"",""""),IF(LEN(D7670)&lt;15,""figurative ছোট"",""""),IF(AND(I7670=""Positive"",REGEXMATCH(H7"&amp;"670,""মূর্খ|ভণ্ড|প্রতার|অলস|লোভ|স্বার্থ|অক্ষম|অযোগ্য|বোকা|কৃপণ|হিংস"")),""valence-target অমিল"",""""),IF(COUNTIF($B:$B,B7670)&gt;1,""ডুপ্লিকেট"",""""))"),"")</f>
        <v/>
      </c>
      <c r="Q7670" s="5" t="str">
        <f t="shared" si="1"/>
        <v>২ পরে</v>
      </c>
    </row>
    <row r="7671">
      <c r="A7671" s="4">
        <v>6187.0</v>
      </c>
      <c r="B7671" s="2" t="s">
        <v>30954</v>
      </c>
      <c r="C7671" s="2" t="s">
        <v>30955</v>
      </c>
      <c r="D7671" s="2" t="s">
        <v>30956</v>
      </c>
      <c r="E7671" s="2" t="s">
        <v>30957</v>
      </c>
      <c r="F7671" s="2" t="b">
        <v>1</v>
      </c>
      <c r="G7671" s="2" t="b">
        <v>0</v>
      </c>
      <c r="H7671" s="2" t="s">
        <v>37</v>
      </c>
      <c r="I7671" s="2" t="s">
        <v>22</v>
      </c>
      <c r="J7671" s="2" t="s">
        <v>990</v>
      </c>
      <c r="K7671" s="2" t="s">
        <v>495</v>
      </c>
      <c r="L7671" s="13" t="s">
        <v>496</v>
      </c>
      <c r="M7671" s="2" t="s">
        <v>26</v>
      </c>
      <c r="N7671" s="29"/>
      <c r="O7671" s="29"/>
      <c r="P7671" s="5" t="str">
        <f>IFERROR(__xludf.DUMMYFUNCTION("TEXTJOIN("" | "",TRUE,IF(OR(D7671="""",E7671="""",I7671="""",J7671="""",H7671=""""),""ফাঁকা ঘর"",""""),IF(AND(C7671&lt;&gt;"""",D7671&lt;&gt;"""",C7671=D7671),""gloss=figurative"",""""),IF(LEN(D7671)&lt;15,""figurative ছোট"",""""),IF(AND(I7671=""Positive"",REGEXMATCH(H7"&amp;"671,""মূর্খ|ভণ্ড|প্রতার|অলস|লোভ|স্বার্থ|অক্ষম|অযোগ্য|বোকা|কৃপণ|হিংস"")),""valence-target অমিল"",""""),IF(COUNTIF($B:$B,B7671)&gt;1,""ডুপ্লিকেট"",""""))"),"")</f>
        <v/>
      </c>
      <c r="Q7671" s="5" t="str">
        <f t="shared" si="1"/>
        <v>২ পরে</v>
      </c>
    </row>
    <row r="7672">
      <c r="A7672" s="4">
        <v>6192.0</v>
      </c>
      <c r="B7672" s="2" t="s">
        <v>30958</v>
      </c>
      <c r="C7672" s="2" t="s">
        <v>30959</v>
      </c>
      <c r="D7672" s="2" t="s">
        <v>30960</v>
      </c>
      <c r="E7672" s="2" t="s">
        <v>30961</v>
      </c>
      <c r="F7672" s="2" t="b">
        <v>1</v>
      </c>
      <c r="G7672" s="2" t="b">
        <v>0</v>
      </c>
      <c r="H7672" s="2" t="s">
        <v>37</v>
      </c>
      <c r="I7672" s="2" t="s">
        <v>49</v>
      </c>
      <c r="J7672" s="2" t="s">
        <v>690</v>
      </c>
      <c r="K7672" s="2" t="s">
        <v>495</v>
      </c>
      <c r="L7672" s="13" t="s">
        <v>496</v>
      </c>
      <c r="M7672" s="2" t="s">
        <v>26</v>
      </c>
      <c r="N7672" s="29"/>
      <c r="O7672" s="29"/>
      <c r="P7672" s="5" t="str">
        <f>IFERROR(__xludf.DUMMYFUNCTION("TEXTJOIN("" | "",TRUE,IF(OR(D7672="""",E7672="""",I7672="""",J7672="""",H7672=""""),""ফাঁকা ঘর"",""""),IF(AND(C7672&lt;&gt;"""",D7672&lt;&gt;"""",C7672=D7672),""gloss=figurative"",""""),IF(LEN(D7672)&lt;15,""figurative ছোট"",""""),IF(AND(I7672=""Positive"",REGEXMATCH(H7"&amp;"672,""মূর্খ|ভণ্ড|প্রতার|অলস|লোভ|স্বার্থ|অক্ষম|অযোগ্য|বোকা|কৃপণ|হিংস"")),""valence-target অমিল"",""""),IF(COUNTIF($B:$B,B7672)&gt;1,""ডুপ্লিকেট"",""""))"),"")</f>
        <v/>
      </c>
      <c r="Q7672" s="5" t="str">
        <f t="shared" si="1"/>
        <v>২ পরে</v>
      </c>
    </row>
    <row r="7673">
      <c r="A7673" s="4">
        <v>6195.0</v>
      </c>
      <c r="B7673" s="2" t="s">
        <v>30962</v>
      </c>
      <c r="C7673" s="2" t="s">
        <v>30963</v>
      </c>
      <c r="D7673" s="2" t="s">
        <v>30964</v>
      </c>
      <c r="E7673" s="2" t="s">
        <v>30965</v>
      </c>
      <c r="F7673" s="2" t="b">
        <v>1</v>
      </c>
      <c r="G7673" s="2" t="b">
        <v>0</v>
      </c>
      <c r="H7673" s="2" t="s">
        <v>37</v>
      </c>
      <c r="I7673" s="2" t="s">
        <v>22</v>
      </c>
      <c r="J7673" s="2" t="s">
        <v>996</v>
      </c>
      <c r="K7673" s="2" t="s">
        <v>495</v>
      </c>
      <c r="L7673" s="13" t="s">
        <v>496</v>
      </c>
      <c r="M7673" s="2" t="s">
        <v>26</v>
      </c>
      <c r="N7673" s="29"/>
      <c r="O7673" s="29"/>
      <c r="P7673" s="5" t="str">
        <f>IFERROR(__xludf.DUMMYFUNCTION("TEXTJOIN("" | "",TRUE,IF(OR(D7673="""",E7673="""",I7673="""",J7673="""",H7673=""""),""ফাঁকা ঘর"",""""),IF(AND(C7673&lt;&gt;"""",D7673&lt;&gt;"""",C7673=D7673),""gloss=figurative"",""""),IF(LEN(D7673)&lt;15,""figurative ছোট"",""""),IF(AND(I7673=""Positive"",REGEXMATCH(H7"&amp;"673,""মূর্খ|ভণ্ড|প্রতার|অলস|লোভ|স্বার্থ|অক্ষম|অযোগ্য|বোকা|কৃপণ|হিংস"")),""valence-target অমিল"",""""),IF(COUNTIF($B:$B,B7673)&gt;1,""ডুপ্লিকেট"",""""))"),"")</f>
        <v/>
      </c>
      <c r="Q7673" s="5" t="str">
        <f t="shared" si="1"/>
        <v>২ পরে</v>
      </c>
    </row>
    <row r="7674">
      <c r="A7674" s="4">
        <v>6196.0</v>
      </c>
      <c r="B7674" s="2" t="s">
        <v>30966</v>
      </c>
      <c r="C7674" s="2" t="s">
        <v>30967</v>
      </c>
      <c r="D7674" s="2" t="s">
        <v>30968</v>
      </c>
      <c r="E7674" s="2" t="s">
        <v>30969</v>
      </c>
      <c r="F7674" s="2" t="b">
        <v>1</v>
      </c>
      <c r="G7674" s="2" t="b">
        <v>0</v>
      </c>
      <c r="H7674" s="2" t="s">
        <v>37</v>
      </c>
      <c r="I7674" s="2" t="s">
        <v>22</v>
      </c>
      <c r="J7674" s="2" t="s">
        <v>665</v>
      </c>
      <c r="K7674" s="2" t="s">
        <v>495</v>
      </c>
      <c r="L7674" s="13" t="s">
        <v>496</v>
      </c>
      <c r="M7674" s="2" t="s">
        <v>26</v>
      </c>
      <c r="N7674" s="29"/>
      <c r="O7674" s="29"/>
      <c r="P7674" s="5" t="str">
        <f>IFERROR(__xludf.DUMMYFUNCTION("TEXTJOIN("" | "",TRUE,IF(OR(D7674="""",E7674="""",I7674="""",J7674="""",H7674=""""),""ফাঁকা ঘর"",""""),IF(AND(C7674&lt;&gt;"""",D7674&lt;&gt;"""",C7674=D7674),""gloss=figurative"",""""),IF(LEN(D7674)&lt;15,""figurative ছোট"",""""),IF(AND(I7674=""Positive"",REGEXMATCH(H7"&amp;"674,""মূর্খ|ভণ্ড|প্রতার|অলস|লোভ|স্বার্থ|অক্ষম|অযোগ্য|বোকা|কৃপণ|হিংস"")),""valence-target অমিল"",""""),IF(COUNTIF($B:$B,B7674)&gt;1,""ডুপ্লিকেট"",""""))"),"")</f>
        <v/>
      </c>
      <c r="Q7674" s="5" t="str">
        <f t="shared" si="1"/>
        <v>২ পরে</v>
      </c>
    </row>
    <row r="7675">
      <c r="A7675" s="4">
        <v>6198.0</v>
      </c>
      <c r="B7675" s="2" t="s">
        <v>30970</v>
      </c>
      <c r="C7675" s="2" t="s">
        <v>30971</v>
      </c>
      <c r="D7675" s="2" t="s">
        <v>30972</v>
      </c>
      <c r="E7675" s="2" t="s">
        <v>30973</v>
      </c>
      <c r="F7675" s="2" t="b">
        <v>1</v>
      </c>
      <c r="G7675" s="2" t="b">
        <v>0</v>
      </c>
      <c r="H7675" s="2" t="s">
        <v>37</v>
      </c>
      <c r="I7675" s="2" t="s">
        <v>22</v>
      </c>
      <c r="J7675" s="2" t="s">
        <v>590</v>
      </c>
      <c r="K7675" s="2" t="s">
        <v>495</v>
      </c>
      <c r="L7675" s="13" t="s">
        <v>496</v>
      </c>
      <c r="M7675" s="2" t="s">
        <v>26</v>
      </c>
      <c r="N7675" s="29"/>
      <c r="O7675" s="29"/>
      <c r="P7675" s="5" t="str">
        <f>IFERROR(__xludf.DUMMYFUNCTION("TEXTJOIN("" | "",TRUE,IF(OR(D7675="""",E7675="""",I7675="""",J7675="""",H7675=""""),""ফাঁকা ঘর"",""""),IF(AND(C7675&lt;&gt;"""",D7675&lt;&gt;"""",C7675=D7675),""gloss=figurative"",""""),IF(LEN(D7675)&lt;15,""figurative ছোট"",""""),IF(AND(I7675=""Positive"",REGEXMATCH(H7"&amp;"675,""মূর্খ|ভণ্ড|প্রতার|অলস|লোভ|স্বার্থ|অক্ষম|অযোগ্য|বোকা|কৃপণ|হিংস"")),""valence-target অমিল"",""""),IF(COUNTIF($B:$B,B7675)&gt;1,""ডুপ্লিকেট"",""""))"),"")</f>
        <v/>
      </c>
      <c r="Q7675" s="5" t="str">
        <f t="shared" si="1"/>
        <v>২ পরে</v>
      </c>
    </row>
    <row r="7676">
      <c r="A7676" s="4">
        <v>6199.0</v>
      </c>
      <c r="B7676" s="2" t="s">
        <v>30974</v>
      </c>
      <c r="C7676" s="2" t="s">
        <v>30975</v>
      </c>
      <c r="D7676" s="2" t="s">
        <v>30976</v>
      </c>
      <c r="E7676" s="2" t="s">
        <v>30977</v>
      </c>
      <c r="F7676" s="2" t="b">
        <v>1</v>
      </c>
      <c r="G7676" s="2" t="b">
        <v>0</v>
      </c>
      <c r="H7676" s="2" t="s">
        <v>756</v>
      </c>
      <c r="I7676" s="2" t="s">
        <v>22</v>
      </c>
      <c r="J7676" s="2" t="s">
        <v>855</v>
      </c>
      <c r="K7676" s="2" t="s">
        <v>495</v>
      </c>
      <c r="L7676" s="13" t="s">
        <v>496</v>
      </c>
      <c r="M7676" s="2" t="s">
        <v>26</v>
      </c>
      <c r="N7676" s="29"/>
      <c r="O7676" s="29"/>
      <c r="P7676" s="5" t="str">
        <f>IFERROR(__xludf.DUMMYFUNCTION("TEXTJOIN("" | "",TRUE,IF(OR(D7676="""",E7676="""",I7676="""",J7676="""",H7676=""""),""ফাঁকা ঘর"",""""),IF(AND(C7676&lt;&gt;"""",D7676&lt;&gt;"""",C7676=D7676),""gloss=figurative"",""""),IF(LEN(D7676)&lt;15,""figurative ছোট"",""""),IF(AND(I7676=""Positive"",REGEXMATCH(H7"&amp;"676,""মূর্খ|ভণ্ড|প্রতার|অলস|লোভ|স্বার্থ|অক্ষম|অযোগ্য|বোকা|কৃপণ|হিংস"")),""valence-target অমিল"",""""),IF(COUNTIF($B:$B,B7676)&gt;1,""ডুপ্লিকেট"",""""))"),"")</f>
        <v/>
      </c>
      <c r="Q7676" s="5" t="str">
        <f t="shared" si="1"/>
        <v>২ পরে</v>
      </c>
    </row>
    <row r="7677">
      <c r="A7677" s="4">
        <v>6200.0</v>
      </c>
      <c r="B7677" s="2" t="s">
        <v>30978</v>
      </c>
      <c r="C7677" s="2" t="s">
        <v>30979</v>
      </c>
      <c r="D7677" s="2" t="s">
        <v>30980</v>
      </c>
      <c r="E7677" s="2" t="s">
        <v>30981</v>
      </c>
      <c r="F7677" s="2" t="b">
        <v>1</v>
      </c>
      <c r="G7677" s="2" t="b">
        <v>0</v>
      </c>
      <c r="H7677" s="2" t="s">
        <v>37</v>
      </c>
      <c r="I7677" s="2" t="s">
        <v>22</v>
      </c>
      <c r="J7677" s="2" t="s">
        <v>723</v>
      </c>
      <c r="K7677" s="2" t="s">
        <v>495</v>
      </c>
      <c r="L7677" s="13" t="s">
        <v>496</v>
      </c>
      <c r="M7677" s="2" t="s">
        <v>26</v>
      </c>
      <c r="N7677" s="29"/>
      <c r="O7677" s="29"/>
      <c r="P7677" s="5" t="str">
        <f>IFERROR(__xludf.DUMMYFUNCTION("TEXTJOIN("" | "",TRUE,IF(OR(D7677="""",E7677="""",I7677="""",J7677="""",H7677=""""),""ফাঁকা ঘর"",""""),IF(AND(C7677&lt;&gt;"""",D7677&lt;&gt;"""",C7677=D7677),""gloss=figurative"",""""),IF(LEN(D7677)&lt;15,""figurative ছোট"",""""),IF(AND(I7677=""Positive"",REGEXMATCH(H7"&amp;"677,""মূর্খ|ভণ্ড|প্রতার|অলস|লোভ|স্বার্থ|অক্ষম|অযোগ্য|বোকা|কৃপণ|হিংস"")),""valence-target অমিল"",""""),IF(COUNTIF($B:$B,B7677)&gt;1,""ডুপ্লিকেট"",""""))"),"")</f>
        <v/>
      </c>
      <c r="Q7677" s="5" t="str">
        <f t="shared" si="1"/>
        <v>২ পরে</v>
      </c>
    </row>
    <row r="7678">
      <c r="A7678" s="4">
        <v>6202.0</v>
      </c>
      <c r="B7678" s="2" t="s">
        <v>30982</v>
      </c>
      <c r="C7678" s="2" t="s">
        <v>30983</v>
      </c>
      <c r="D7678" s="2" t="s">
        <v>30984</v>
      </c>
      <c r="E7678" s="2" t="s">
        <v>30985</v>
      </c>
      <c r="F7678" s="2" t="b">
        <v>1</v>
      </c>
      <c r="G7678" s="2" t="b">
        <v>0</v>
      </c>
      <c r="H7678" s="2" t="s">
        <v>37</v>
      </c>
      <c r="I7678" s="2" t="s">
        <v>49</v>
      </c>
      <c r="J7678" s="2" t="s">
        <v>1060</v>
      </c>
      <c r="K7678" s="2" t="s">
        <v>495</v>
      </c>
      <c r="L7678" s="13" t="s">
        <v>496</v>
      </c>
      <c r="M7678" s="2" t="s">
        <v>26</v>
      </c>
      <c r="N7678" s="29"/>
      <c r="O7678" s="29"/>
      <c r="P7678" s="5" t="str">
        <f>IFERROR(__xludf.DUMMYFUNCTION("TEXTJOIN("" | "",TRUE,IF(OR(D7678="""",E7678="""",I7678="""",J7678="""",H7678=""""),""ফাঁকা ঘর"",""""),IF(AND(C7678&lt;&gt;"""",D7678&lt;&gt;"""",C7678=D7678),""gloss=figurative"",""""),IF(LEN(D7678)&lt;15,""figurative ছোট"",""""),IF(AND(I7678=""Positive"",REGEXMATCH(H7"&amp;"678,""মূর্খ|ভণ্ড|প্রতার|অলস|লোভ|স্বার্থ|অক্ষম|অযোগ্য|বোকা|কৃপণ|হিংস"")),""valence-target অমিল"",""""),IF(COUNTIF($B:$B,B7678)&gt;1,""ডুপ্লিকেট"",""""))"),"")</f>
        <v/>
      </c>
      <c r="Q7678" s="5" t="str">
        <f t="shared" si="1"/>
        <v>২ পরে</v>
      </c>
    </row>
    <row r="7679">
      <c r="A7679" s="4">
        <v>6204.0</v>
      </c>
      <c r="B7679" s="2" t="s">
        <v>30986</v>
      </c>
      <c r="C7679" s="2" t="s">
        <v>30986</v>
      </c>
      <c r="D7679" s="2" t="s">
        <v>30987</v>
      </c>
      <c r="E7679" s="2" t="s">
        <v>30988</v>
      </c>
      <c r="F7679" s="2" t="b">
        <v>1</v>
      </c>
      <c r="G7679" s="2" t="b">
        <v>0</v>
      </c>
      <c r="H7679" s="2" t="s">
        <v>37</v>
      </c>
      <c r="I7679" s="2" t="s">
        <v>32</v>
      </c>
      <c r="J7679" s="2" t="s">
        <v>669</v>
      </c>
      <c r="K7679" s="2" t="s">
        <v>495</v>
      </c>
      <c r="L7679" s="13" t="s">
        <v>496</v>
      </c>
      <c r="M7679" s="2" t="s">
        <v>26</v>
      </c>
      <c r="N7679" s="29"/>
      <c r="O7679" s="29"/>
      <c r="P7679" s="5" t="str">
        <f>IFERROR(__xludf.DUMMYFUNCTION("TEXTJOIN("" | "",TRUE,IF(OR(D7679="""",E7679="""",I7679="""",J7679="""",H7679=""""),""ফাঁকা ঘর"",""""),IF(AND(C7679&lt;&gt;"""",D7679&lt;&gt;"""",C7679=D7679),""gloss=figurative"",""""),IF(LEN(D7679)&lt;15,""figurative ছোট"",""""),IF(AND(I7679=""Positive"",REGEXMATCH(H7"&amp;"679,""মূর্খ|ভণ্ড|প্রতার|অলস|লোভ|স্বার্থ|অক্ষম|অযোগ্য|বোকা|কৃপণ|হিংস"")),""valence-target অমিল"",""""),IF(COUNTIF($B:$B,B7679)&gt;1,""ডুপ্লিকেট"",""""))"),"")</f>
        <v/>
      </c>
      <c r="Q7679" s="5" t="str">
        <f t="shared" si="1"/>
        <v>২ পরে</v>
      </c>
    </row>
    <row r="7680">
      <c r="A7680" s="4">
        <v>6207.0</v>
      </c>
      <c r="B7680" s="2" t="s">
        <v>30989</v>
      </c>
      <c r="C7680" s="2" t="s">
        <v>30989</v>
      </c>
      <c r="D7680" s="2" t="s">
        <v>30990</v>
      </c>
      <c r="E7680" s="2" t="s">
        <v>30991</v>
      </c>
      <c r="F7680" s="2" t="b">
        <v>1</v>
      </c>
      <c r="G7680" s="2" t="b">
        <v>0</v>
      </c>
      <c r="H7680" s="2" t="s">
        <v>37</v>
      </c>
      <c r="I7680" s="2" t="s">
        <v>22</v>
      </c>
      <c r="J7680" s="2" t="s">
        <v>2255</v>
      </c>
      <c r="K7680" s="2" t="s">
        <v>495</v>
      </c>
      <c r="L7680" s="13" t="s">
        <v>496</v>
      </c>
      <c r="M7680" s="2" t="s">
        <v>26</v>
      </c>
      <c r="N7680" s="29"/>
      <c r="O7680" s="29"/>
      <c r="P7680" s="5" t="str">
        <f>IFERROR(__xludf.DUMMYFUNCTION("TEXTJOIN("" | "",TRUE,IF(OR(D7680="""",E7680="""",I7680="""",J7680="""",H7680=""""),""ফাঁকা ঘর"",""""),IF(AND(C7680&lt;&gt;"""",D7680&lt;&gt;"""",C7680=D7680),""gloss=figurative"",""""),IF(LEN(D7680)&lt;15,""figurative ছোট"",""""),IF(AND(I7680=""Positive"",REGEXMATCH(H7"&amp;"680,""মূর্খ|ভণ্ড|প্রতার|অলস|লোভ|স্বার্থ|অক্ষম|অযোগ্য|বোকা|কৃপণ|হিংস"")),""valence-target অমিল"",""""),IF(COUNTIF($B:$B,B7680)&gt;1,""ডুপ্লিকেট"",""""))"),"")</f>
        <v/>
      </c>
      <c r="Q7680" s="5" t="str">
        <f t="shared" si="1"/>
        <v>২ পরে</v>
      </c>
    </row>
    <row r="7681">
      <c r="A7681" s="4">
        <v>6214.0</v>
      </c>
      <c r="B7681" s="2" t="s">
        <v>30992</v>
      </c>
      <c r="C7681" s="2" t="s">
        <v>30992</v>
      </c>
      <c r="D7681" s="2" t="s">
        <v>30387</v>
      </c>
      <c r="E7681" s="2" t="s">
        <v>30993</v>
      </c>
      <c r="F7681" s="2" t="b">
        <v>1</v>
      </c>
      <c r="G7681" s="2" t="b">
        <v>0</v>
      </c>
      <c r="H7681" s="2" t="s">
        <v>37</v>
      </c>
      <c r="I7681" s="2" t="s">
        <v>22</v>
      </c>
      <c r="J7681" s="2" t="s">
        <v>1684</v>
      </c>
      <c r="K7681" s="2" t="s">
        <v>495</v>
      </c>
      <c r="L7681" s="13" t="s">
        <v>496</v>
      </c>
      <c r="M7681" s="2" t="s">
        <v>26</v>
      </c>
      <c r="N7681" s="29"/>
      <c r="O7681" s="29"/>
      <c r="P7681" s="5" t="str">
        <f>IFERROR(__xludf.DUMMYFUNCTION("TEXTJOIN("" | "",TRUE,IF(OR(D7681="""",E7681="""",I7681="""",J7681="""",H7681=""""),""ফাঁকা ঘর"",""""),IF(AND(C7681&lt;&gt;"""",D7681&lt;&gt;"""",C7681=D7681),""gloss=figurative"",""""),IF(LEN(D7681)&lt;15,""figurative ছোট"",""""),IF(AND(I7681=""Positive"",REGEXMATCH(H7"&amp;"681,""মূর্খ|ভণ্ড|প্রতার|অলস|লোভ|স্বার্থ|অক্ষম|অযোগ্য|বোকা|কৃপণ|হিংস"")),""valence-target অমিল"",""""),IF(COUNTIF($B:$B,B7681)&gt;1,""ডুপ্লিকেট"",""""))"),"")</f>
        <v/>
      </c>
      <c r="Q7681" s="5" t="str">
        <f t="shared" si="1"/>
        <v>২ পরে</v>
      </c>
    </row>
    <row r="7682">
      <c r="A7682" s="4">
        <v>6215.0</v>
      </c>
      <c r="B7682" s="2" t="s">
        <v>30994</v>
      </c>
      <c r="C7682" s="2" t="s">
        <v>30995</v>
      </c>
      <c r="D7682" s="2" t="s">
        <v>30996</v>
      </c>
      <c r="E7682" s="2" t="s">
        <v>30997</v>
      </c>
      <c r="F7682" s="2" t="b">
        <v>1</v>
      </c>
      <c r="G7682" s="2" t="b">
        <v>0</v>
      </c>
      <c r="H7682" s="2" t="s">
        <v>37</v>
      </c>
      <c r="I7682" s="2" t="s">
        <v>22</v>
      </c>
      <c r="J7682" s="2" t="s">
        <v>2064</v>
      </c>
      <c r="K7682" s="2" t="s">
        <v>495</v>
      </c>
      <c r="L7682" s="13" t="s">
        <v>496</v>
      </c>
      <c r="M7682" s="2" t="s">
        <v>26</v>
      </c>
      <c r="N7682" s="29"/>
      <c r="O7682" s="29"/>
      <c r="P7682" s="5" t="str">
        <f>IFERROR(__xludf.DUMMYFUNCTION("TEXTJOIN("" | "",TRUE,IF(OR(D7682="""",E7682="""",I7682="""",J7682="""",H7682=""""),""ফাঁকা ঘর"",""""),IF(AND(C7682&lt;&gt;"""",D7682&lt;&gt;"""",C7682=D7682),""gloss=figurative"",""""),IF(LEN(D7682)&lt;15,""figurative ছোট"",""""),IF(AND(I7682=""Positive"",REGEXMATCH(H7"&amp;"682,""মূর্খ|ভণ্ড|প্রতার|অলস|লোভ|স্বার্থ|অক্ষম|অযোগ্য|বোকা|কৃপণ|হিংস"")),""valence-target অমিল"",""""),IF(COUNTIF($B:$B,B7682)&gt;1,""ডুপ্লিকেট"",""""))"),"")</f>
        <v/>
      </c>
      <c r="Q7682" s="5" t="str">
        <f t="shared" si="1"/>
        <v>২ পরে</v>
      </c>
    </row>
    <row r="7683">
      <c r="A7683" s="4">
        <v>6222.0</v>
      </c>
      <c r="B7683" s="2" t="s">
        <v>30998</v>
      </c>
      <c r="C7683" s="2" t="s">
        <v>30999</v>
      </c>
      <c r="D7683" s="2" t="s">
        <v>31000</v>
      </c>
      <c r="E7683" s="2" t="s">
        <v>31001</v>
      </c>
      <c r="F7683" s="2" t="b">
        <v>1</v>
      </c>
      <c r="G7683" s="2" t="b">
        <v>0</v>
      </c>
      <c r="H7683" s="2" t="s">
        <v>37</v>
      </c>
      <c r="I7683" s="2" t="s">
        <v>49</v>
      </c>
      <c r="J7683" s="2" t="s">
        <v>2040</v>
      </c>
      <c r="K7683" s="2" t="s">
        <v>495</v>
      </c>
      <c r="L7683" s="13" t="s">
        <v>496</v>
      </c>
      <c r="M7683" s="2" t="s">
        <v>26</v>
      </c>
      <c r="N7683" s="29"/>
      <c r="O7683" s="29"/>
      <c r="P7683" s="5" t="str">
        <f>IFERROR(__xludf.DUMMYFUNCTION("TEXTJOIN("" | "",TRUE,IF(OR(D7683="""",E7683="""",I7683="""",J7683="""",H7683=""""),""ফাঁকা ঘর"",""""),IF(AND(C7683&lt;&gt;"""",D7683&lt;&gt;"""",C7683=D7683),""gloss=figurative"",""""),IF(LEN(D7683)&lt;15,""figurative ছোট"",""""),IF(AND(I7683=""Positive"",REGEXMATCH(H7"&amp;"683,""মূর্খ|ভণ্ড|প্রতার|অলস|লোভ|স্বার্থ|অক্ষম|অযোগ্য|বোকা|কৃপণ|হিংস"")),""valence-target অমিল"",""""),IF(COUNTIF($B:$B,B7683)&gt;1,""ডুপ্লিকেট"",""""))"),"")</f>
        <v/>
      </c>
      <c r="Q7683" s="5" t="str">
        <f t="shared" si="1"/>
        <v>২ পরে</v>
      </c>
    </row>
    <row r="7684">
      <c r="A7684" s="4">
        <v>6227.0</v>
      </c>
      <c r="B7684" s="2" t="s">
        <v>31002</v>
      </c>
      <c r="C7684" s="2" t="s">
        <v>31003</v>
      </c>
      <c r="D7684" s="2" t="s">
        <v>31004</v>
      </c>
      <c r="E7684" s="2" t="s">
        <v>31005</v>
      </c>
      <c r="F7684" s="2" t="b">
        <v>1</v>
      </c>
      <c r="G7684" s="2" t="b">
        <v>0</v>
      </c>
      <c r="H7684" s="2" t="s">
        <v>37</v>
      </c>
      <c r="I7684" s="2" t="s">
        <v>22</v>
      </c>
      <c r="J7684" s="2" t="s">
        <v>3156</v>
      </c>
      <c r="K7684" s="2" t="s">
        <v>495</v>
      </c>
      <c r="L7684" s="13" t="s">
        <v>496</v>
      </c>
      <c r="M7684" s="2" t="s">
        <v>26</v>
      </c>
      <c r="N7684" s="29"/>
      <c r="O7684" s="29"/>
      <c r="P7684" s="5" t="str">
        <f>IFERROR(__xludf.DUMMYFUNCTION("TEXTJOIN("" | "",TRUE,IF(OR(D7684="""",E7684="""",I7684="""",J7684="""",H7684=""""),""ফাঁকা ঘর"",""""),IF(AND(C7684&lt;&gt;"""",D7684&lt;&gt;"""",C7684=D7684),""gloss=figurative"",""""),IF(LEN(D7684)&lt;15,""figurative ছোট"",""""),IF(AND(I7684=""Positive"",REGEXMATCH(H7"&amp;"684,""মূর্খ|ভণ্ড|প্রতার|অলস|লোভ|স্বার্থ|অক্ষম|অযোগ্য|বোকা|কৃপণ|হিংস"")),""valence-target অমিল"",""""),IF(COUNTIF($B:$B,B7684)&gt;1,""ডুপ্লিকেট"",""""))"),"")</f>
        <v/>
      </c>
      <c r="Q7684" s="5" t="str">
        <f t="shared" si="1"/>
        <v>২ পরে</v>
      </c>
    </row>
    <row r="7685">
      <c r="A7685" s="4">
        <v>6228.0</v>
      </c>
      <c r="B7685" s="2" t="s">
        <v>31006</v>
      </c>
      <c r="C7685" s="2" t="s">
        <v>31007</v>
      </c>
      <c r="D7685" s="2" t="s">
        <v>31008</v>
      </c>
      <c r="E7685" s="2" t="s">
        <v>31009</v>
      </c>
      <c r="F7685" s="2" t="b">
        <v>1</v>
      </c>
      <c r="G7685" s="2" t="b">
        <v>0</v>
      </c>
      <c r="H7685" s="2" t="s">
        <v>37</v>
      </c>
      <c r="I7685" s="2" t="s">
        <v>49</v>
      </c>
      <c r="J7685" s="2" t="s">
        <v>6476</v>
      </c>
      <c r="K7685" s="2" t="s">
        <v>495</v>
      </c>
      <c r="L7685" s="13" t="s">
        <v>496</v>
      </c>
      <c r="M7685" s="2" t="s">
        <v>26</v>
      </c>
      <c r="N7685" s="29"/>
      <c r="O7685" s="29"/>
      <c r="P7685" s="5" t="str">
        <f>IFERROR(__xludf.DUMMYFUNCTION("TEXTJOIN("" | "",TRUE,IF(OR(D7685="""",E7685="""",I7685="""",J7685="""",H7685=""""),""ফাঁকা ঘর"",""""),IF(AND(C7685&lt;&gt;"""",D7685&lt;&gt;"""",C7685=D7685),""gloss=figurative"",""""),IF(LEN(D7685)&lt;15,""figurative ছোট"",""""),IF(AND(I7685=""Positive"",REGEXMATCH(H7"&amp;"685,""মূর্খ|ভণ্ড|প্রতার|অলস|লোভ|স্বার্থ|অক্ষম|অযোগ্য|বোকা|কৃপণ|হিংস"")),""valence-target অমিল"",""""),IF(COUNTIF($B:$B,B7685)&gt;1,""ডুপ্লিকেট"",""""))"),"")</f>
        <v/>
      </c>
      <c r="Q7685" s="5" t="str">
        <f t="shared" si="1"/>
        <v>২ পরে</v>
      </c>
    </row>
    <row r="7686">
      <c r="A7686" s="4">
        <v>6243.0</v>
      </c>
      <c r="B7686" s="2" t="s">
        <v>31010</v>
      </c>
      <c r="C7686" s="2" t="s">
        <v>31011</v>
      </c>
      <c r="D7686" s="2" t="s">
        <v>31012</v>
      </c>
      <c r="E7686" s="2" t="s">
        <v>31013</v>
      </c>
      <c r="F7686" s="2" t="b">
        <v>1</v>
      </c>
      <c r="G7686" s="2" t="b">
        <v>1</v>
      </c>
      <c r="H7686" s="2" t="s">
        <v>1211</v>
      </c>
      <c r="I7686" s="2" t="s">
        <v>32</v>
      </c>
      <c r="J7686" s="2" t="s">
        <v>3327</v>
      </c>
      <c r="K7686" s="2" t="s">
        <v>495</v>
      </c>
      <c r="L7686" s="13" t="s">
        <v>496</v>
      </c>
      <c r="M7686" s="2" t="s">
        <v>26</v>
      </c>
      <c r="N7686" s="29"/>
      <c r="O7686" s="29"/>
      <c r="P7686" s="5" t="str">
        <f>IFERROR(__xludf.DUMMYFUNCTION("TEXTJOIN("" | "",TRUE,IF(OR(D7686="""",E7686="""",I7686="""",J7686="""",H7686=""""),""ফাঁকা ঘর"",""""),IF(AND(C7686&lt;&gt;"""",D7686&lt;&gt;"""",C7686=D7686),""gloss=figurative"",""""),IF(LEN(D7686)&lt;15,""figurative ছোট"",""""),IF(AND(I7686=""Positive"",REGEXMATCH(H7"&amp;"686,""মূর্খ|ভণ্ড|প্রতার|অলস|লোভ|স্বার্থ|অক্ষম|অযোগ্য|বোকা|কৃপণ|হিংস"")),""valence-target অমিল"",""""),IF(COUNTIF($B:$B,B7686)&gt;1,""ডুপ্লিকেট"",""""))"),"")</f>
        <v/>
      </c>
      <c r="Q7686" s="5" t="str">
        <f t="shared" si="1"/>
        <v>২ পরে</v>
      </c>
    </row>
    <row r="7687">
      <c r="A7687" s="4">
        <v>6244.0</v>
      </c>
      <c r="B7687" s="2" t="s">
        <v>31014</v>
      </c>
      <c r="C7687" s="2" t="s">
        <v>31015</v>
      </c>
      <c r="D7687" s="2" t="s">
        <v>30822</v>
      </c>
      <c r="E7687" s="2" t="s">
        <v>31016</v>
      </c>
      <c r="F7687" s="2" t="b">
        <v>1</v>
      </c>
      <c r="G7687" s="2" t="b">
        <v>0</v>
      </c>
      <c r="H7687" s="2" t="s">
        <v>1284</v>
      </c>
      <c r="I7687" s="2" t="s">
        <v>22</v>
      </c>
      <c r="J7687" s="2" t="s">
        <v>723</v>
      </c>
      <c r="K7687" s="2" t="s">
        <v>495</v>
      </c>
      <c r="L7687" s="13" t="s">
        <v>496</v>
      </c>
      <c r="M7687" s="2" t="s">
        <v>26</v>
      </c>
      <c r="N7687" s="29"/>
      <c r="O7687" s="29"/>
      <c r="P7687" s="5" t="str">
        <f>IFERROR(__xludf.DUMMYFUNCTION("TEXTJOIN("" | "",TRUE,IF(OR(D7687="""",E7687="""",I7687="""",J7687="""",H7687=""""),""ফাঁকা ঘর"",""""),IF(AND(C7687&lt;&gt;"""",D7687&lt;&gt;"""",C7687=D7687),""gloss=figurative"",""""),IF(LEN(D7687)&lt;15,""figurative ছোট"",""""),IF(AND(I7687=""Positive"",REGEXMATCH(H7"&amp;"687,""মূর্খ|ভণ্ড|প্রতার|অলস|লোভ|স্বার্থ|অক্ষম|অযোগ্য|বোকা|কৃপণ|হিংস"")),""valence-target অমিল"",""""),IF(COUNTIF($B:$B,B7687)&gt;1,""ডুপ্লিকেট"",""""))"),"")</f>
        <v/>
      </c>
      <c r="Q7687" s="5" t="str">
        <f t="shared" si="1"/>
        <v>২ পরে</v>
      </c>
    </row>
    <row r="7688">
      <c r="A7688" s="4">
        <v>6251.0</v>
      </c>
      <c r="B7688" s="2" t="s">
        <v>31017</v>
      </c>
      <c r="C7688" s="2" t="s">
        <v>31018</v>
      </c>
      <c r="D7688" s="2" t="s">
        <v>31019</v>
      </c>
      <c r="E7688" s="2" t="s">
        <v>31020</v>
      </c>
      <c r="F7688" s="2" t="b">
        <v>1</v>
      </c>
      <c r="G7688" s="2" t="b">
        <v>0</v>
      </c>
      <c r="H7688" s="2" t="s">
        <v>989</v>
      </c>
      <c r="I7688" s="2" t="s">
        <v>22</v>
      </c>
      <c r="J7688" s="2" t="s">
        <v>990</v>
      </c>
      <c r="K7688" s="2" t="s">
        <v>495</v>
      </c>
      <c r="L7688" s="13" t="s">
        <v>496</v>
      </c>
      <c r="M7688" s="2" t="s">
        <v>26</v>
      </c>
      <c r="N7688" s="29"/>
      <c r="O7688" s="29"/>
      <c r="P7688" s="5" t="str">
        <f>IFERROR(__xludf.DUMMYFUNCTION("TEXTJOIN("" | "",TRUE,IF(OR(D7688="""",E7688="""",I7688="""",J7688="""",H7688=""""),""ফাঁকা ঘর"",""""),IF(AND(C7688&lt;&gt;"""",D7688&lt;&gt;"""",C7688=D7688),""gloss=figurative"",""""),IF(LEN(D7688)&lt;15,""figurative ছোট"",""""),IF(AND(I7688=""Positive"",REGEXMATCH(H7"&amp;"688,""মূর্খ|ভণ্ড|প্রতার|অলস|লোভ|স্বার্থ|অক্ষম|অযোগ্য|বোকা|কৃপণ|হিংস"")),""valence-target অমিল"",""""),IF(COUNTIF($B:$B,B7688)&gt;1,""ডুপ্লিকেট"",""""))"),"")</f>
        <v/>
      </c>
      <c r="Q7688" s="5" t="str">
        <f t="shared" si="1"/>
        <v>২ পরে</v>
      </c>
    </row>
    <row r="7689">
      <c r="A7689" s="4">
        <v>6252.0</v>
      </c>
      <c r="B7689" s="2" t="s">
        <v>31021</v>
      </c>
      <c r="C7689" s="2" t="s">
        <v>31021</v>
      </c>
      <c r="D7689" s="2" t="s">
        <v>31022</v>
      </c>
      <c r="E7689" s="2" t="s">
        <v>31023</v>
      </c>
      <c r="F7689" s="2" t="b">
        <v>1</v>
      </c>
      <c r="G7689" s="2" t="b">
        <v>0</v>
      </c>
      <c r="H7689" s="2" t="s">
        <v>37</v>
      </c>
      <c r="I7689" s="2" t="s">
        <v>22</v>
      </c>
      <c r="J7689" s="2" t="s">
        <v>5278</v>
      </c>
      <c r="K7689" s="2" t="s">
        <v>495</v>
      </c>
      <c r="L7689" s="13" t="s">
        <v>496</v>
      </c>
      <c r="M7689" s="2" t="s">
        <v>26</v>
      </c>
      <c r="N7689" s="29"/>
      <c r="O7689" s="29"/>
      <c r="P7689" s="5" t="str">
        <f>IFERROR(__xludf.DUMMYFUNCTION("TEXTJOIN("" | "",TRUE,IF(OR(D7689="""",E7689="""",I7689="""",J7689="""",H7689=""""),""ফাঁকা ঘর"",""""),IF(AND(C7689&lt;&gt;"""",D7689&lt;&gt;"""",C7689=D7689),""gloss=figurative"",""""),IF(LEN(D7689)&lt;15,""figurative ছোট"",""""),IF(AND(I7689=""Positive"",REGEXMATCH(H7"&amp;"689,""মূর্খ|ভণ্ড|প্রতার|অলস|লোভ|স্বার্থ|অক্ষম|অযোগ্য|বোকা|কৃপণ|হিংস"")),""valence-target অমিল"",""""),IF(COUNTIF($B:$B,B7689)&gt;1,""ডুপ্লিকেট"",""""))"),"")</f>
        <v/>
      </c>
      <c r="Q7689" s="5" t="str">
        <f t="shared" si="1"/>
        <v>২ পরে</v>
      </c>
    </row>
    <row r="7690">
      <c r="A7690" s="4">
        <v>6255.0</v>
      </c>
      <c r="B7690" s="2" t="s">
        <v>31024</v>
      </c>
      <c r="C7690" s="2" t="s">
        <v>31025</v>
      </c>
      <c r="D7690" s="2" t="s">
        <v>31026</v>
      </c>
      <c r="E7690" s="2" t="s">
        <v>31027</v>
      </c>
      <c r="F7690" s="2" t="b">
        <v>1</v>
      </c>
      <c r="G7690" s="2" t="b">
        <v>0</v>
      </c>
      <c r="H7690" s="2" t="s">
        <v>37</v>
      </c>
      <c r="I7690" s="2" t="s">
        <v>22</v>
      </c>
      <c r="J7690" s="2" t="s">
        <v>5278</v>
      </c>
      <c r="K7690" s="2" t="s">
        <v>495</v>
      </c>
      <c r="L7690" s="13" t="s">
        <v>496</v>
      </c>
      <c r="M7690" s="2" t="s">
        <v>26</v>
      </c>
      <c r="N7690" s="29"/>
      <c r="O7690" s="29"/>
      <c r="P7690" s="5" t="str">
        <f>IFERROR(__xludf.DUMMYFUNCTION("TEXTJOIN("" | "",TRUE,IF(OR(D7690="""",E7690="""",I7690="""",J7690="""",H7690=""""),""ফাঁকা ঘর"",""""),IF(AND(C7690&lt;&gt;"""",D7690&lt;&gt;"""",C7690=D7690),""gloss=figurative"",""""),IF(LEN(D7690)&lt;15,""figurative ছোট"",""""),IF(AND(I7690=""Positive"",REGEXMATCH(H7"&amp;"690,""মূর্খ|ভণ্ড|প্রতার|অলস|লোভ|স্বার্থ|অক্ষম|অযোগ্য|বোকা|কৃপণ|হিংস"")),""valence-target অমিল"",""""),IF(COUNTIF($B:$B,B7690)&gt;1,""ডুপ্লিকেট"",""""))"),"")</f>
        <v/>
      </c>
      <c r="Q7690" s="5" t="str">
        <f t="shared" si="1"/>
        <v>২ পরে</v>
      </c>
    </row>
    <row r="7691">
      <c r="A7691" s="4">
        <v>6256.0</v>
      </c>
      <c r="B7691" s="2" t="s">
        <v>31028</v>
      </c>
      <c r="C7691" s="2" t="s">
        <v>31028</v>
      </c>
      <c r="D7691" s="2" t="s">
        <v>31029</v>
      </c>
      <c r="E7691" s="2" t="s">
        <v>31030</v>
      </c>
      <c r="F7691" s="2" t="b">
        <v>1</v>
      </c>
      <c r="G7691" s="2" t="b">
        <v>1</v>
      </c>
      <c r="H7691" s="2" t="s">
        <v>1211</v>
      </c>
      <c r="I7691" s="2" t="s">
        <v>32</v>
      </c>
      <c r="J7691" s="2" t="s">
        <v>3327</v>
      </c>
      <c r="K7691" s="2" t="s">
        <v>495</v>
      </c>
      <c r="L7691" s="13" t="s">
        <v>496</v>
      </c>
      <c r="M7691" s="2" t="s">
        <v>26</v>
      </c>
      <c r="N7691" s="29"/>
      <c r="O7691" s="29"/>
      <c r="P7691" s="5" t="str">
        <f>IFERROR(__xludf.DUMMYFUNCTION("TEXTJOIN("" | "",TRUE,IF(OR(D7691="""",E7691="""",I7691="""",J7691="""",H7691=""""),""ফাঁকা ঘর"",""""),IF(AND(C7691&lt;&gt;"""",D7691&lt;&gt;"""",C7691=D7691),""gloss=figurative"",""""),IF(LEN(D7691)&lt;15,""figurative ছোট"",""""),IF(AND(I7691=""Positive"",REGEXMATCH(H7"&amp;"691,""মূর্খ|ভণ্ড|প্রতার|অলস|লোভ|স্বার্থ|অক্ষম|অযোগ্য|বোকা|কৃপণ|হিংস"")),""valence-target অমিল"",""""),IF(COUNTIF($B:$B,B7691)&gt;1,""ডুপ্লিকেট"",""""))"),"")</f>
        <v/>
      </c>
      <c r="Q7691" s="5" t="str">
        <f t="shared" si="1"/>
        <v>২ পরে</v>
      </c>
    </row>
    <row r="7692">
      <c r="A7692" s="4">
        <v>6257.0</v>
      </c>
      <c r="B7692" s="2" t="s">
        <v>31031</v>
      </c>
      <c r="C7692" s="2" t="s">
        <v>31032</v>
      </c>
      <c r="D7692" s="2" t="s">
        <v>31033</v>
      </c>
      <c r="E7692" s="2" t="s">
        <v>31034</v>
      </c>
      <c r="F7692" s="2" t="b">
        <v>1</v>
      </c>
      <c r="G7692" s="2" t="b">
        <v>0</v>
      </c>
      <c r="H7692" s="2" t="s">
        <v>37</v>
      </c>
      <c r="I7692" s="2" t="s">
        <v>22</v>
      </c>
      <c r="J7692" s="2" t="s">
        <v>31035</v>
      </c>
      <c r="K7692" s="2" t="s">
        <v>495</v>
      </c>
      <c r="L7692" s="13" t="s">
        <v>496</v>
      </c>
      <c r="M7692" s="2" t="s">
        <v>26</v>
      </c>
      <c r="N7692" s="29"/>
      <c r="O7692" s="29"/>
      <c r="P7692" s="5" t="str">
        <f>IFERROR(__xludf.DUMMYFUNCTION("TEXTJOIN("" | "",TRUE,IF(OR(D7692="""",E7692="""",I7692="""",J7692="""",H7692=""""),""ফাঁকা ঘর"",""""),IF(AND(C7692&lt;&gt;"""",D7692&lt;&gt;"""",C7692=D7692),""gloss=figurative"",""""),IF(LEN(D7692)&lt;15,""figurative ছোট"",""""),IF(AND(I7692=""Positive"",REGEXMATCH(H7"&amp;"692,""মূর্খ|ভণ্ড|প্রতার|অলস|লোভ|স্বার্থ|অক্ষম|অযোগ্য|বোকা|কৃপণ|হিংস"")),""valence-target অমিল"",""""),IF(COUNTIF($B:$B,B7692)&gt;1,""ডুপ্লিকেট"",""""))"),"")</f>
        <v/>
      </c>
      <c r="Q7692" s="5" t="str">
        <f t="shared" si="1"/>
        <v>২ পরে</v>
      </c>
    </row>
    <row r="7693">
      <c r="A7693" s="4">
        <v>6267.0</v>
      </c>
      <c r="B7693" s="2" t="s">
        <v>31036</v>
      </c>
      <c r="C7693" s="2" t="s">
        <v>31037</v>
      </c>
      <c r="D7693" s="2" t="s">
        <v>31038</v>
      </c>
      <c r="E7693" s="2" t="s">
        <v>31039</v>
      </c>
      <c r="F7693" s="2" t="b">
        <v>1</v>
      </c>
      <c r="G7693" s="2" t="b">
        <v>0</v>
      </c>
      <c r="H7693" s="2" t="s">
        <v>37</v>
      </c>
      <c r="I7693" s="2" t="s">
        <v>22</v>
      </c>
      <c r="J7693" s="2" t="s">
        <v>11869</v>
      </c>
      <c r="K7693" s="2" t="s">
        <v>495</v>
      </c>
      <c r="L7693" s="13" t="s">
        <v>496</v>
      </c>
      <c r="M7693" s="2" t="s">
        <v>26</v>
      </c>
      <c r="N7693" s="29"/>
      <c r="O7693" s="29"/>
      <c r="P7693" s="5" t="str">
        <f>IFERROR(__xludf.DUMMYFUNCTION("TEXTJOIN("" | "",TRUE,IF(OR(D7693="""",E7693="""",I7693="""",J7693="""",H7693=""""),""ফাঁকা ঘর"",""""),IF(AND(C7693&lt;&gt;"""",D7693&lt;&gt;"""",C7693=D7693),""gloss=figurative"",""""),IF(LEN(D7693)&lt;15,""figurative ছোট"",""""),IF(AND(I7693=""Positive"",REGEXMATCH(H7"&amp;"693,""মূর্খ|ভণ্ড|প্রতার|অলস|লোভ|স্বার্থ|অক্ষম|অযোগ্য|বোকা|কৃপণ|হিংস"")),""valence-target অমিল"",""""),IF(COUNTIF($B:$B,B7693)&gt;1,""ডুপ্লিকেট"",""""))"),"")</f>
        <v/>
      </c>
      <c r="Q7693" s="5" t="str">
        <f t="shared" si="1"/>
        <v>২ পরে</v>
      </c>
    </row>
    <row r="7694">
      <c r="A7694" s="4">
        <v>6271.0</v>
      </c>
      <c r="B7694" s="2" t="s">
        <v>31040</v>
      </c>
      <c r="C7694" s="2" t="s">
        <v>31040</v>
      </c>
      <c r="D7694" s="2" t="s">
        <v>31041</v>
      </c>
      <c r="E7694" s="2" t="s">
        <v>31042</v>
      </c>
      <c r="F7694" s="2" t="b">
        <v>1</v>
      </c>
      <c r="G7694" s="2" t="b">
        <v>0</v>
      </c>
      <c r="H7694" s="2" t="s">
        <v>37</v>
      </c>
      <c r="I7694" s="2" t="s">
        <v>49</v>
      </c>
      <c r="J7694" s="2" t="s">
        <v>3701</v>
      </c>
      <c r="K7694" s="2" t="s">
        <v>495</v>
      </c>
      <c r="L7694" s="13" t="s">
        <v>496</v>
      </c>
      <c r="M7694" s="2" t="s">
        <v>26</v>
      </c>
      <c r="N7694" s="29"/>
      <c r="O7694" s="29"/>
      <c r="P7694" s="5" t="str">
        <f>IFERROR(__xludf.DUMMYFUNCTION("TEXTJOIN("" | "",TRUE,IF(OR(D7694="""",E7694="""",I7694="""",J7694="""",H7694=""""),""ফাঁকা ঘর"",""""),IF(AND(C7694&lt;&gt;"""",D7694&lt;&gt;"""",C7694=D7694),""gloss=figurative"",""""),IF(LEN(D7694)&lt;15,""figurative ছোট"",""""),IF(AND(I7694=""Positive"",REGEXMATCH(H7"&amp;"694,""মূর্খ|ভণ্ড|প্রতার|অলস|লোভ|স্বার্থ|অক্ষম|অযোগ্য|বোকা|কৃপণ|হিংস"")),""valence-target অমিল"",""""),IF(COUNTIF($B:$B,B7694)&gt;1,""ডুপ্লিকেট"",""""))"),"")</f>
        <v/>
      </c>
      <c r="Q7694" s="5" t="str">
        <f t="shared" si="1"/>
        <v>২ পরে</v>
      </c>
    </row>
    <row r="7695">
      <c r="A7695" s="4">
        <v>6272.0</v>
      </c>
      <c r="B7695" s="2" t="s">
        <v>31043</v>
      </c>
      <c r="C7695" s="2" t="s">
        <v>31044</v>
      </c>
      <c r="D7695" s="2" t="s">
        <v>31045</v>
      </c>
      <c r="E7695" s="2" t="s">
        <v>31046</v>
      </c>
      <c r="F7695" s="2" t="b">
        <v>1</v>
      </c>
      <c r="G7695" s="2" t="b">
        <v>0</v>
      </c>
      <c r="H7695" s="2" t="s">
        <v>3407</v>
      </c>
      <c r="I7695" s="2" t="s">
        <v>22</v>
      </c>
      <c r="J7695" s="2" t="s">
        <v>447</v>
      </c>
      <c r="K7695" s="2" t="s">
        <v>495</v>
      </c>
      <c r="L7695" s="13" t="s">
        <v>496</v>
      </c>
      <c r="M7695" s="2" t="s">
        <v>26</v>
      </c>
      <c r="N7695" s="29"/>
      <c r="O7695" s="29"/>
      <c r="P7695" s="5" t="str">
        <f>IFERROR(__xludf.DUMMYFUNCTION("TEXTJOIN("" | "",TRUE,IF(OR(D7695="""",E7695="""",I7695="""",J7695="""",H7695=""""),""ফাঁকা ঘর"",""""),IF(AND(C7695&lt;&gt;"""",D7695&lt;&gt;"""",C7695=D7695),""gloss=figurative"",""""),IF(LEN(D7695)&lt;15,""figurative ছোট"",""""),IF(AND(I7695=""Positive"",REGEXMATCH(H7"&amp;"695,""মূর্খ|ভণ্ড|প্রতার|অলস|লোভ|স্বার্থ|অক্ষম|অযোগ্য|বোকা|কৃপণ|হিংস"")),""valence-target অমিল"",""""),IF(COUNTIF($B:$B,B7695)&gt;1,""ডুপ্লিকেট"",""""))"),"")</f>
        <v/>
      </c>
      <c r="Q7695" s="5" t="str">
        <f t="shared" si="1"/>
        <v>২ পরে</v>
      </c>
    </row>
    <row r="7696">
      <c r="A7696" s="4">
        <v>6273.0</v>
      </c>
      <c r="B7696" s="2" t="s">
        <v>31047</v>
      </c>
      <c r="C7696" s="2" t="s">
        <v>31048</v>
      </c>
      <c r="D7696" s="2" t="s">
        <v>31049</v>
      </c>
      <c r="E7696" s="2" t="s">
        <v>31050</v>
      </c>
      <c r="F7696" s="2" t="b">
        <v>1</v>
      </c>
      <c r="G7696" s="2" t="b">
        <v>0</v>
      </c>
      <c r="H7696" s="2" t="s">
        <v>37</v>
      </c>
      <c r="I7696" s="2" t="s">
        <v>22</v>
      </c>
      <c r="J7696" s="2" t="s">
        <v>1630</v>
      </c>
      <c r="K7696" s="2" t="s">
        <v>495</v>
      </c>
      <c r="L7696" s="13" t="s">
        <v>496</v>
      </c>
      <c r="M7696" s="2" t="s">
        <v>26</v>
      </c>
      <c r="N7696" s="29"/>
      <c r="O7696" s="29"/>
      <c r="P7696" s="5" t="str">
        <f>IFERROR(__xludf.DUMMYFUNCTION("TEXTJOIN("" | "",TRUE,IF(OR(D7696="""",E7696="""",I7696="""",J7696="""",H7696=""""),""ফাঁকা ঘর"",""""),IF(AND(C7696&lt;&gt;"""",D7696&lt;&gt;"""",C7696=D7696),""gloss=figurative"",""""),IF(LEN(D7696)&lt;15,""figurative ছোট"",""""),IF(AND(I7696=""Positive"",REGEXMATCH(H7"&amp;"696,""মূর্খ|ভণ্ড|প্রতার|অলস|লোভ|স্বার্থ|অক্ষম|অযোগ্য|বোকা|কৃপণ|হিংস"")),""valence-target অমিল"",""""),IF(COUNTIF($B:$B,B7696)&gt;1,""ডুপ্লিকেট"",""""))"),"")</f>
        <v/>
      </c>
      <c r="Q7696" s="5" t="str">
        <f t="shared" si="1"/>
        <v>২ পরে</v>
      </c>
    </row>
    <row r="7697">
      <c r="A7697" s="4">
        <v>6274.0</v>
      </c>
      <c r="B7697" s="2" t="s">
        <v>31051</v>
      </c>
      <c r="C7697" s="2" t="s">
        <v>31052</v>
      </c>
      <c r="D7697" s="2" t="s">
        <v>31053</v>
      </c>
      <c r="E7697" s="2" t="s">
        <v>31054</v>
      </c>
      <c r="F7697" s="2" t="b">
        <v>1</v>
      </c>
      <c r="G7697" s="2" t="b">
        <v>0</v>
      </c>
      <c r="H7697" s="2" t="s">
        <v>37</v>
      </c>
      <c r="I7697" s="2" t="s">
        <v>32</v>
      </c>
      <c r="J7697" s="2" t="s">
        <v>669</v>
      </c>
      <c r="K7697" s="2" t="s">
        <v>495</v>
      </c>
      <c r="L7697" s="13" t="s">
        <v>496</v>
      </c>
      <c r="M7697" s="2" t="s">
        <v>26</v>
      </c>
      <c r="N7697" s="29"/>
      <c r="O7697" s="29"/>
      <c r="P7697" s="5" t="str">
        <f>IFERROR(__xludf.DUMMYFUNCTION("TEXTJOIN("" | "",TRUE,IF(OR(D7697="""",E7697="""",I7697="""",J7697="""",H7697=""""),""ফাঁকা ঘর"",""""),IF(AND(C7697&lt;&gt;"""",D7697&lt;&gt;"""",C7697=D7697),""gloss=figurative"",""""),IF(LEN(D7697)&lt;15,""figurative ছোট"",""""),IF(AND(I7697=""Positive"",REGEXMATCH(H7"&amp;"697,""মূর্খ|ভণ্ড|প্রতার|অলস|লোভ|স্বার্থ|অক্ষম|অযোগ্য|বোকা|কৃপণ|হিংস"")),""valence-target অমিল"",""""),IF(COUNTIF($B:$B,B7697)&gt;1,""ডুপ্লিকেট"",""""))"),"")</f>
        <v/>
      </c>
      <c r="Q7697" s="5" t="str">
        <f t="shared" si="1"/>
        <v>২ পরে</v>
      </c>
    </row>
    <row r="7698">
      <c r="A7698" s="4">
        <v>6275.0</v>
      </c>
      <c r="B7698" s="2" t="s">
        <v>31055</v>
      </c>
      <c r="C7698" s="2" t="s">
        <v>31056</v>
      </c>
      <c r="D7698" s="2" t="s">
        <v>31057</v>
      </c>
      <c r="E7698" s="2" t="s">
        <v>31058</v>
      </c>
      <c r="F7698" s="2" t="b">
        <v>1</v>
      </c>
      <c r="G7698" s="2" t="b">
        <v>0</v>
      </c>
      <c r="H7698" s="2" t="s">
        <v>37</v>
      </c>
      <c r="I7698" s="2" t="s">
        <v>32</v>
      </c>
      <c r="J7698" s="2" t="s">
        <v>669</v>
      </c>
      <c r="K7698" s="2" t="s">
        <v>495</v>
      </c>
      <c r="L7698" s="13" t="s">
        <v>496</v>
      </c>
      <c r="M7698" s="2" t="s">
        <v>26</v>
      </c>
      <c r="N7698" s="29"/>
      <c r="O7698" s="29"/>
      <c r="P7698" s="5" t="str">
        <f>IFERROR(__xludf.DUMMYFUNCTION("TEXTJOIN("" | "",TRUE,IF(OR(D7698="""",E7698="""",I7698="""",J7698="""",H7698=""""),""ফাঁকা ঘর"",""""),IF(AND(C7698&lt;&gt;"""",D7698&lt;&gt;"""",C7698=D7698),""gloss=figurative"",""""),IF(LEN(D7698)&lt;15,""figurative ছোট"",""""),IF(AND(I7698=""Positive"",REGEXMATCH(H7"&amp;"698,""মূর্খ|ভণ্ড|প্রতার|অলস|লোভ|স্বার্থ|অক্ষম|অযোগ্য|বোকা|কৃপণ|হিংস"")),""valence-target অমিল"",""""),IF(COUNTIF($B:$B,B7698)&gt;1,""ডুপ্লিকেট"",""""))"),"")</f>
        <v/>
      </c>
      <c r="Q7698" s="5" t="str">
        <f t="shared" si="1"/>
        <v>২ পরে</v>
      </c>
    </row>
    <row r="7699">
      <c r="A7699" s="4">
        <v>6279.0</v>
      </c>
      <c r="B7699" s="2" t="s">
        <v>31059</v>
      </c>
      <c r="C7699" s="2" t="s">
        <v>9460</v>
      </c>
      <c r="D7699" s="2" t="s">
        <v>25111</v>
      </c>
      <c r="E7699" s="2" t="s">
        <v>31060</v>
      </c>
      <c r="F7699" s="2" t="b">
        <v>1</v>
      </c>
      <c r="G7699" s="2" t="b">
        <v>0</v>
      </c>
      <c r="H7699" s="2" t="s">
        <v>37</v>
      </c>
      <c r="I7699" s="2" t="s">
        <v>22</v>
      </c>
      <c r="J7699" s="2" t="s">
        <v>1510</v>
      </c>
      <c r="K7699" s="2" t="s">
        <v>495</v>
      </c>
      <c r="L7699" s="13" t="s">
        <v>496</v>
      </c>
      <c r="M7699" s="2" t="s">
        <v>26</v>
      </c>
      <c r="N7699" s="29"/>
      <c r="O7699" s="29"/>
      <c r="P7699" s="5" t="str">
        <f>IFERROR(__xludf.DUMMYFUNCTION("TEXTJOIN("" | "",TRUE,IF(OR(D7699="""",E7699="""",I7699="""",J7699="""",H7699=""""),""ফাঁকা ঘর"",""""),IF(AND(C7699&lt;&gt;"""",D7699&lt;&gt;"""",C7699=D7699),""gloss=figurative"",""""),IF(LEN(D7699)&lt;15,""figurative ছোট"",""""),IF(AND(I7699=""Positive"",REGEXMATCH(H7"&amp;"699,""মূর্খ|ভণ্ড|প্রতার|অলস|লোভ|স্বার্থ|অক্ষম|অযোগ্য|বোকা|কৃপণ|হিংস"")),""valence-target অমিল"",""""),IF(COUNTIF($B:$B,B7699)&gt;1,""ডুপ্লিকেট"",""""))"),"")</f>
        <v/>
      </c>
      <c r="Q7699" s="5" t="str">
        <f t="shared" si="1"/>
        <v>২ পরে</v>
      </c>
    </row>
    <row r="7700">
      <c r="A7700" s="4">
        <v>6280.0</v>
      </c>
      <c r="B7700" s="2" t="s">
        <v>31061</v>
      </c>
      <c r="C7700" s="2" t="s">
        <v>31062</v>
      </c>
      <c r="D7700" s="2" t="s">
        <v>31063</v>
      </c>
      <c r="E7700" s="2" t="s">
        <v>31064</v>
      </c>
      <c r="F7700" s="2" t="b">
        <v>1</v>
      </c>
      <c r="G7700" s="2" t="b">
        <v>0</v>
      </c>
      <c r="H7700" s="2" t="s">
        <v>37</v>
      </c>
      <c r="I7700" s="2" t="s">
        <v>32</v>
      </c>
      <c r="J7700" s="2" t="s">
        <v>1060</v>
      </c>
      <c r="K7700" s="2" t="s">
        <v>495</v>
      </c>
      <c r="L7700" s="13" t="s">
        <v>496</v>
      </c>
      <c r="M7700" s="2" t="s">
        <v>26</v>
      </c>
      <c r="N7700" s="29"/>
      <c r="O7700" s="29"/>
      <c r="P7700" s="5" t="str">
        <f>IFERROR(__xludf.DUMMYFUNCTION("TEXTJOIN("" | "",TRUE,IF(OR(D7700="""",E7700="""",I7700="""",J7700="""",H7700=""""),""ফাঁকা ঘর"",""""),IF(AND(C7700&lt;&gt;"""",D7700&lt;&gt;"""",C7700=D7700),""gloss=figurative"",""""),IF(LEN(D7700)&lt;15,""figurative ছোট"",""""),IF(AND(I7700=""Positive"",REGEXMATCH(H7"&amp;"700,""মূর্খ|ভণ্ড|প্রতার|অলস|লোভ|স্বার্থ|অক্ষম|অযোগ্য|বোকা|কৃপণ|হিংস"")),""valence-target অমিল"",""""),IF(COUNTIF($B:$B,B7700)&gt;1,""ডুপ্লিকেট"",""""))"),"")</f>
        <v/>
      </c>
      <c r="Q7700" s="5" t="str">
        <f t="shared" si="1"/>
        <v>২ পরে</v>
      </c>
    </row>
    <row r="7701">
      <c r="A7701" s="4">
        <v>6293.0</v>
      </c>
      <c r="B7701" s="2" t="s">
        <v>31065</v>
      </c>
      <c r="C7701" s="2" t="s">
        <v>31066</v>
      </c>
      <c r="D7701" s="2" t="s">
        <v>31067</v>
      </c>
      <c r="E7701" s="2" t="s">
        <v>31068</v>
      </c>
      <c r="F7701" s="2" t="b">
        <v>1</v>
      </c>
      <c r="G7701" s="2" t="b">
        <v>1</v>
      </c>
      <c r="H7701" s="2" t="s">
        <v>1106</v>
      </c>
      <c r="I7701" s="2" t="s">
        <v>22</v>
      </c>
      <c r="J7701" s="2" t="s">
        <v>1315</v>
      </c>
      <c r="K7701" s="2" t="s">
        <v>495</v>
      </c>
      <c r="L7701" s="13" t="s">
        <v>496</v>
      </c>
      <c r="M7701" s="2" t="s">
        <v>26</v>
      </c>
      <c r="N7701" s="29"/>
      <c r="O7701" s="29"/>
      <c r="P7701" s="5" t="str">
        <f>IFERROR(__xludf.DUMMYFUNCTION("TEXTJOIN("" | "",TRUE,IF(OR(D7701="""",E7701="""",I7701="""",J7701="""",H7701=""""),""ফাঁকা ঘর"",""""),IF(AND(C7701&lt;&gt;"""",D7701&lt;&gt;"""",C7701=D7701),""gloss=figurative"",""""),IF(LEN(D7701)&lt;15,""figurative ছোট"",""""),IF(AND(I7701=""Positive"",REGEXMATCH(H7"&amp;"701,""মূর্খ|ভণ্ড|প্রতার|অলস|লোভ|স্বার্থ|অক্ষম|অযোগ্য|বোকা|কৃপণ|হিংস"")),""valence-target অমিল"",""""),IF(COUNTIF($B:$B,B7701)&gt;1,""ডুপ্লিকেট"",""""))"),"")</f>
        <v/>
      </c>
      <c r="Q7701" s="5" t="str">
        <f t="shared" si="1"/>
        <v>২ পরে</v>
      </c>
    </row>
    <row r="7702">
      <c r="A7702" s="4">
        <v>6299.0</v>
      </c>
      <c r="B7702" s="2" t="s">
        <v>31069</v>
      </c>
      <c r="C7702" s="2" t="s">
        <v>31070</v>
      </c>
      <c r="D7702" s="2" t="s">
        <v>31071</v>
      </c>
      <c r="E7702" s="2" t="s">
        <v>31072</v>
      </c>
      <c r="F7702" s="2" t="b">
        <v>1</v>
      </c>
      <c r="G7702" s="2" t="b">
        <v>0</v>
      </c>
      <c r="H7702" s="2" t="s">
        <v>37</v>
      </c>
      <c r="I7702" s="2" t="s">
        <v>32</v>
      </c>
      <c r="J7702" s="2" t="s">
        <v>1644</v>
      </c>
      <c r="K7702" s="2" t="s">
        <v>495</v>
      </c>
      <c r="L7702" s="13" t="s">
        <v>496</v>
      </c>
      <c r="M7702" s="2" t="s">
        <v>26</v>
      </c>
      <c r="N7702" s="29"/>
      <c r="O7702" s="29"/>
      <c r="P7702" s="5" t="str">
        <f>IFERROR(__xludf.DUMMYFUNCTION("TEXTJOIN("" | "",TRUE,IF(OR(D7702="""",E7702="""",I7702="""",J7702="""",H7702=""""),""ফাঁকা ঘর"",""""),IF(AND(C7702&lt;&gt;"""",D7702&lt;&gt;"""",C7702=D7702),""gloss=figurative"",""""),IF(LEN(D7702)&lt;15,""figurative ছোট"",""""),IF(AND(I7702=""Positive"",REGEXMATCH(H7"&amp;"702,""মূর্খ|ভণ্ড|প্রতার|অলস|লোভ|স্বার্থ|অক্ষম|অযোগ্য|বোকা|কৃপণ|হিংস"")),""valence-target অমিল"",""""),IF(COUNTIF($B:$B,B7702)&gt;1,""ডুপ্লিকেট"",""""))"),"")</f>
        <v/>
      </c>
      <c r="Q7702" s="5" t="str">
        <f t="shared" si="1"/>
        <v>২ পরে</v>
      </c>
    </row>
    <row r="7703">
      <c r="A7703" s="4">
        <v>6302.0</v>
      </c>
      <c r="B7703" s="2" t="s">
        <v>31073</v>
      </c>
      <c r="C7703" s="2" t="s">
        <v>31074</v>
      </c>
      <c r="D7703" s="2" t="s">
        <v>31075</v>
      </c>
      <c r="E7703" s="2" t="s">
        <v>31076</v>
      </c>
      <c r="F7703" s="2" t="b">
        <v>1</v>
      </c>
      <c r="G7703" s="2" t="b">
        <v>0</v>
      </c>
      <c r="H7703" s="2" t="s">
        <v>37</v>
      </c>
      <c r="I7703" s="2" t="s">
        <v>22</v>
      </c>
      <c r="J7703" s="2" t="s">
        <v>820</v>
      </c>
      <c r="K7703" s="2" t="s">
        <v>495</v>
      </c>
      <c r="L7703" s="13" t="s">
        <v>496</v>
      </c>
      <c r="M7703" s="2" t="s">
        <v>26</v>
      </c>
      <c r="N7703" s="29"/>
      <c r="O7703" s="29"/>
      <c r="P7703" s="5" t="str">
        <f>IFERROR(__xludf.DUMMYFUNCTION("TEXTJOIN("" | "",TRUE,IF(OR(D7703="""",E7703="""",I7703="""",J7703="""",H7703=""""),""ফাঁকা ঘর"",""""),IF(AND(C7703&lt;&gt;"""",D7703&lt;&gt;"""",C7703=D7703),""gloss=figurative"",""""),IF(LEN(D7703)&lt;15,""figurative ছোট"",""""),IF(AND(I7703=""Positive"",REGEXMATCH(H7"&amp;"703,""মূর্খ|ভণ্ড|প্রতার|অলস|লোভ|স্বার্থ|অক্ষম|অযোগ্য|বোকা|কৃপণ|হিংস"")),""valence-target অমিল"",""""),IF(COUNTIF($B:$B,B7703)&gt;1,""ডুপ্লিকেট"",""""))"),"")</f>
        <v/>
      </c>
      <c r="Q7703" s="5" t="str">
        <f t="shared" si="1"/>
        <v>২ পরে</v>
      </c>
    </row>
    <row r="7704">
      <c r="A7704" s="4">
        <v>6306.0</v>
      </c>
      <c r="B7704" s="2" t="s">
        <v>310</v>
      </c>
      <c r="C7704" s="2" t="s">
        <v>310</v>
      </c>
      <c r="D7704" s="2" t="s">
        <v>30996</v>
      </c>
      <c r="E7704" s="2" t="s">
        <v>30997</v>
      </c>
      <c r="F7704" s="2" t="b">
        <v>1</v>
      </c>
      <c r="G7704" s="2" t="b">
        <v>0</v>
      </c>
      <c r="H7704" s="2" t="s">
        <v>37</v>
      </c>
      <c r="I7704" s="2" t="s">
        <v>22</v>
      </c>
      <c r="J7704" s="2" t="s">
        <v>2064</v>
      </c>
      <c r="K7704" s="2" t="s">
        <v>495</v>
      </c>
      <c r="L7704" s="13" t="s">
        <v>496</v>
      </c>
      <c r="M7704" s="2" t="s">
        <v>26</v>
      </c>
      <c r="N7704" s="29"/>
      <c r="O7704" s="29"/>
      <c r="P7704" s="5" t="str">
        <f>IFERROR(__xludf.DUMMYFUNCTION("TEXTJOIN("" | "",TRUE,IF(OR(D7704="""",E7704="""",I7704="""",J7704="""",H7704=""""),""ফাঁকা ঘর"",""""),IF(AND(C7704&lt;&gt;"""",D7704&lt;&gt;"""",C7704=D7704),""gloss=figurative"",""""),IF(LEN(D7704)&lt;15,""figurative ছোট"",""""),IF(AND(I7704=""Positive"",REGEXMATCH(H7"&amp;"704,""মূর্খ|ভণ্ড|প্রতার|অলস|লোভ|স্বার্থ|অক্ষম|অযোগ্য|বোকা|কৃপণ|হিংস"")),""valence-target অমিল"",""""),IF(COUNTIF($B:$B,B7704)&gt;1,""ডুপ্লিকেট"",""""))"),"")</f>
        <v/>
      </c>
      <c r="Q7704" s="5" t="str">
        <f t="shared" si="1"/>
        <v>২ পরে</v>
      </c>
    </row>
    <row r="7705">
      <c r="A7705" s="4">
        <v>6307.0</v>
      </c>
      <c r="B7705" s="2" t="s">
        <v>31077</v>
      </c>
      <c r="C7705" s="2" t="s">
        <v>31077</v>
      </c>
      <c r="D7705" s="2" t="s">
        <v>31078</v>
      </c>
      <c r="E7705" s="2" t="s">
        <v>31079</v>
      </c>
      <c r="F7705" s="2" t="b">
        <v>1</v>
      </c>
      <c r="G7705" s="2" t="b">
        <v>0</v>
      </c>
      <c r="H7705" s="2" t="s">
        <v>37</v>
      </c>
      <c r="I7705" s="2" t="s">
        <v>22</v>
      </c>
      <c r="J7705" s="2" t="s">
        <v>1510</v>
      </c>
      <c r="K7705" s="2" t="s">
        <v>495</v>
      </c>
      <c r="L7705" s="13" t="s">
        <v>496</v>
      </c>
      <c r="M7705" s="2" t="s">
        <v>26</v>
      </c>
      <c r="N7705" s="29"/>
      <c r="O7705" s="29"/>
      <c r="P7705" s="5" t="str">
        <f>IFERROR(__xludf.DUMMYFUNCTION("TEXTJOIN("" | "",TRUE,IF(OR(D7705="""",E7705="""",I7705="""",J7705="""",H7705=""""),""ফাঁকা ঘর"",""""),IF(AND(C7705&lt;&gt;"""",D7705&lt;&gt;"""",C7705=D7705),""gloss=figurative"",""""),IF(LEN(D7705)&lt;15,""figurative ছোট"",""""),IF(AND(I7705=""Positive"",REGEXMATCH(H7"&amp;"705,""মূর্খ|ভণ্ড|প্রতার|অলস|লোভ|স্বার্থ|অক্ষম|অযোগ্য|বোকা|কৃপণ|হিংস"")),""valence-target অমিল"",""""),IF(COUNTIF($B:$B,B7705)&gt;1,""ডুপ্লিকেট"",""""))"),"")</f>
        <v/>
      </c>
      <c r="Q7705" s="5" t="str">
        <f t="shared" si="1"/>
        <v>২ পরে</v>
      </c>
    </row>
    <row r="7706">
      <c r="A7706" s="4">
        <v>6310.0</v>
      </c>
      <c r="B7706" s="2" t="s">
        <v>31080</v>
      </c>
      <c r="C7706" s="2" t="s">
        <v>31080</v>
      </c>
      <c r="D7706" s="2" t="s">
        <v>31081</v>
      </c>
      <c r="E7706" s="2" t="s">
        <v>31082</v>
      </c>
      <c r="F7706" s="2" t="b">
        <v>1</v>
      </c>
      <c r="G7706" s="2" t="b">
        <v>0</v>
      </c>
      <c r="H7706" s="2" t="s">
        <v>37</v>
      </c>
      <c r="I7706" s="2" t="s">
        <v>32</v>
      </c>
      <c r="J7706" s="2" t="s">
        <v>660</v>
      </c>
      <c r="K7706" s="2" t="s">
        <v>495</v>
      </c>
      <c r="L7706" s="13" t="s">
        <v>496</v>
      </c>
      <c r="M7706" s="2" t="s">
        <v>26</v>
      </c>
      <c r="N7706" s="29"/>
      <c r="O7706" s="29"/>
      <c r="P7706" s="5" t="str">
        <f>IFERROR(__xludf.DUMMYFUNCTION("TEXTJOIN("" | "",TRUE,IF(OR(D7706="""",E7706="""",I7706="""",J7706="""",H7706=""""),""ফাঁকা ঘর"",""""),IF(AND(C7706&lt;&gt;"""",D7706&lt;&gt;"""",C7706=D7706),""gloss=figurative"",""""),IF(LEN(D7706)&lt;15,""figurative ছোট"",""""),IF(AND(I7706=""Positive"",REGEXMATCH(H7"&amp;"706,""মূর্খ|ভণ্ড|প্রতার|অলস|লোভ|স্বার্থ|অক্ষম|অযোগ্য|বোকা|কৃপণ|হিংস"")),""valence-target অমিল"",""""),IF(COUNTIF($B:$B,B7706)&gt;1,""ডুপ্লিকেট"",""""))"),"")</f>
        <v/>
      </c>
      <c r="Q7706" s="5" t="str">
        <f t="shared" si="1"/>
        <v>২ পরে</v>
      </c>
    </row>
    <row r="7707">
      <c r="A7707" s="4">
        <v>6316.0</v>
      </c>
      <c r="B7707" s="2" t="s">
        <v>31083</v>
      </c>
      <c r="C7707" s="2" t="s">
        <v>31084</v>
      </c>
      <c r="D7707" s="2" t="s">
        <v>31085</v>
      </c>
      <c r="E7707" s="2" t="s">
        <v>31086</v>
      </c>
      <c r="F7707" s="2" t="b">
        <v>1</v>
      </c>
      <c r="G7707" s="2" t="b">
        <v>0</v>
      </c>
      <c r="H7707" s="2" t="s">
        <v>37</v>
      </c>
      <c r="I7707" s="2" t="s">
        <v>22</v>
      </c>
      <c r="J7707" s="2" t="s">
        <v>20510</v>
      </c>
      <c r="K7707" s="2" t="s">
        <v>495</v>
      </c>
      <c r="L7707" s="13" t="s">
        <v>496</v>
      </c>
      <c r="M7707" s="2" t="s">
        <v>26</v>
      </c>
      <c r="N7707" s="29"/>
      <c r="O7707" s="29"/>
      <c r="P7707" s="5" t="str">
        <f>IFERROR(__xludf.DUMMYFUNCTION("TEXTJOIN("" | "",TRUE,IF(OR(D7707="""",E7707="""",I7707="""",J7707="""",H7707=""""),""ফাঁকা ঘর"",""""),IF(AND(C7707&lt;&gt;"""",D7707&lt;&gt;"""",C7707=D7707),""gloss=figurative"",""""),IF(LEN(D7707)&lt;15,""figurative ছোট"",""""),IF(AND(I7707=""Positive"",REGEXMATCH(H7"&amp;"707,""মূর্খ|ভণ্ড|প্রতার|অলস|লোভ|স্বার্থ|অক্ষম|অযোগ্য|বোকা|কৃপণ|হিংস"")),""valence-target অমিল"",""""),IF(COUNTIF($B:$B,B7707)&gt;1,""ডুপ্লিকেট"",""""))"),"")</f>
        <v/>
      </c>
      <c r="Q7707" s="5" t="str">
        <f t="shared" si="1"/>
        <v>২ পরে</v>
      </c>
    </row>
    <row r="7708">
      <c r="A7708" s="4">
        <v>6317.0</v>
      </c>
      <c r="B7708" s="2" t="s">
        <v>31087</v>
      </c>
      <c r="C7708" s="2" t="s">
        <v>31087</v>
      </c>
      <c r="D7708" s="2" t="s">
        <v>31088</v>
      </c>
      <c r="E7708" s="2" t="s">
        <v>31089</v>
      </c>
      <c r="F7708" s="2" t="b">
        <v>1</v>
      </c>
      <c r="G7708" s="2" t="b">
        <v>0</v>
      </c>
      <c r="H7708" s="2" t="s">
        <v>37</v>
      </c>
      <c r="I7708" s="2" t="s">
        <v>22</v>
      </c>
      <c r="J7708" s="2" t="s">
        <v>855</v>
      </c>
      <c r="K7708" s="2" t="s">
        <v>495</v>
      </c>
      <c r="L7708" s="13" t="s">
        <v>496</v>
      </c>
      <c r="M7708" s="2" t="s">
        <v>26</v>
      </c>
      <c r="N7708" s="29"/>
      <c r="O7708" s="29"/>
      <c r="P7708" s="5" t="str">
        <f>IFERROR(__xludf.DUMMYFUNCTION("TEXTJOIN("" | "",TRUE,IF(OR(D7708="""",E7708="""",I7708="""",J7708="""",H7708=""""),""ফাঁকা ঘর"",""""),IF(AND(C7708&lt;&gt;"""",D7708&lt;&gt;"""",C7708=D7708),""gloss=figurative"",""""),IF(LEN(D7708)&lt;15,""figurative ছোট"",""""),IF(AND(I7708=""Positive"",REGEXMATCH(H7"&amp;"708,""মূর্খ|ভণ্ড|প্রতার|অলস|লোভ|স্বার্থ|অক্ষম|অযোগ্য|বোকা|কৃপণ|হিংস"")),""valence-target অমিল"",""""),IF(COUNTIF($B:$B,B7708)&gt;1,""ডুপ্লিকেট"",""""))"),"")</f>
        <v/>
      </c>
      <c r="Q7708" s="5" t="str">
        <f t="shared" si="1"/>
        <v>২ পরে</v>
      </c>
    </row>
    <row r="7709">
      <c r="A7709" s="4">
        <v>6319.0</v>
      </c>
      <c r="B7709" s="2" t="s">
        <v>31090</v>
      </c>
      <c r="C7709" s="2" t="s">
        <v>31091</v>
      </c>
      <c r="D7709" s="2" t="s">
        <v>31092</v>
      </c>
      <c r="E7709" s="2" t="s">
        <v>31093</v>
      </c>
      <c r="F7709" s="2" t="b">
        <v>1</v>
      </c>
      <c r="G7709" s="2" t="b">
        <v>0</v>
      </c>
      <c r="H7709" s="2" t="s">
        <v>37</v>
      </c>
      <c r="I7709" s="2" t="s">
        <v>22</v>
      </c>
      <c r="J7709" s="2" t="s">
        <v>7931</v>
      </c>
      <c r="K7709" s="2" t="s">
        <v>495</v>
      </c>
      <c r="L7709" s="13" t="s">
        <v>496</v>
      </c>
      <c r="M7709" s="2" t="s">
        <v>26</v>
      </c>
      <c r="N7709" s="29"/>
      <c r="O7709" s="29"/>
      <c r="P7709" s="5" t="str">
        <f>IFERROR(__xludf.DUMMYFUNCTION("TEXTJOIN("" | "",TRUE,IF(OR(D7709="""",E7709="""",I7709="""",J7709="""",H7709=""""),""ফাঁকা ঘর"",""""),IF(AND(C7709&lt;&gt;"""",D7709&lt;&gt;"""",C7709=D7709),""gloss=figurative"",""""),IF(LEN(D7709)&lt;15,""figurative ছোট"",""""),IF(AND(I7709=""Positive"",REGEXMATCH(H7"&amp;"709,""মূর্খ|ভণ্ড|প্রতার|অলস|লোভ|স্বার্থ|অক্ষম|অযোগ্য|বোকা|কৃপণ|হিংস"")),""valence-target অমিল"",""""),IF(COUNTIF($B:$B,B7709)&gt;1,""ডুপ্লিকেট"",""""))"),"")</f>
        <v/>
      </c>
      <c r="Q7709" s="5" t="str">
        <f t="shared" si="1"/>
        <v>২ পরে</v>
      </c>
    </row>
    <row r="7710">
      <c r="A7710" s="4">
        <v>6323.0</v>
      </c>
      <c r="B7710" s="2" t="s">
        <v>31094</v>
      </c>
      <c r="C7710" s="2" t="s">
        <v>31095</v>
      </c>
      <c r="D7710" s="2" t="s">
        <v>31096</v>
      </c>
      <c r="E7710" s="2" t="s">
        <v>31097</v>
      </c>
      <c r="F7710" s="2" t="b">
        <v>1</v>
      </c>
      <c r="G7710" s="2" t="b">
        <v>0</v>
      </c>
      <c r="H7710" s="2" t="s">
        <v>37</v>
      </c>
      <c r="I7710" s="2" t="s">
        <v>22</v>
      </c>
      <c r="J7710" s="2" t="s">
        <v>2122</v>
      </c>
      <c r="K7710" s="2" t="s">
        <v>495</v>
      </c>
      <c r="L7710" s="13" t="s">
        <v>496</v>
      </c>
      <c r="M7710" s="2" t="s">
        <v>26</v>
      </c>
      <c r="N7710" s="29"/>
      <c r="O7710" s="29"/>
      <c r="P7710" s="5" t="str">
        <f>IFERROR(__xludf.DUMMYFUNCTION("TEXTJOIN("" | "",TRUE,IF(OR(D7710="""",E7710="""",I7710="""",J7710="""",H7710=""""),""ফাঁকা ঘর"",""""),IF(AND(C7710&lt;&gt;"""",D7710&lt;&gt;"""",C7710=D7710),""gloss=figurative"",""""),IF(LEN(D7710)&lt;15,""figurative ছোট"",""""),IF(AND(I7710=""Positive"",REGEXMATCH(H7"&amp;"710,""মূর্খ|ভণ্ড|প্রতার|অলস|লোভ|স্বার্থ|অক্ষম|অযোগ্য|বোকা|কৃপণ|হিংস"")),""valence-target অমিল"",""""),IF(COUNTIF($B:$B,B7710)&gt;1,""ডুপ্লিকেট"",""""))"),"")</f>
        <v/>
      </c>
      <c r="Q7710" s="5" t="str">
        <f t="shared" si="1"/>
        <v>২ পরে</v>
      </c>
    </row>
    <row r="7711">
      <c r="A7711" s="4">
        <v>6330.0</v>
      </c>
      <c r="B7711" s="2" t="s">
        <v>31098</v>
      </c>
      <c r="C7711" s="2" t="s">
        <v>31099</v>
      </c>
      <c r="D7711" s="2" t="s">
        <v>31100</v>
      </c>
      <c r="E7711" s="2" t="s">
        <v>31101</v>
      </c>
      <c r="F7711" s="2" t="b">
        <v>1</v>
      </c>
      <c r="G7711" s="2" t="b">
        <v>0</v>
      </c>
      <c r="H7711" s="2" t="s">
        <v>37</v>
      </c>
      <c r="I7711" s="2" t="s">
        <v>22</v>
      </c>
      <c r="J7711" s="2" t="s">
        <v>2869</v>
      </c>
      <c r="K7711" s="2" t="s">
        <v>495</v>
      </c>
      <c r="L7711" s="13" t="s">
        <v>496</v>
      </c>
      <c r="M7711" s="2" t="s">
        <v>26</v>
      </c>
      <c r="N7711" s="29"/>
      <c r="O7711" s="29"/>
      <c r="P7711" s="5" t="str">
        <f>IFERROR(__xludf.DUMMYFUNCTION("TEXTJOIN("" | "",TRUE,IF(OR(D7711="""",E7711="""",I7711="""",J7711="""",H7711=""""),""ফাঁকা ঘর"",""""),IF(AND(C7711&lt;&gt;"""",D7711&lt;&gt;"""",C7711=D7711),""gloss=figurative"",""""),IF(LEN(D7711)&lt;15,""figurative ছোট"",""""),IF(AND(I7711=""Positive"",REGEXMATCH(H7"&amp;"711,""মূর্খ|ভণ্ড|প্রতার|অলস|লোভ|স্বার্থ|অক্ষম|অযোগ্য|বোকা|কৃপণ|হিংস"")),""valence-target অমিল"",""""),IF(COUNTIF($B:$B,B7711)&gt;1,""ডুপ্লিকেট"",""""))"),"")</f>
        <v/>
      </c>
      <c r="Q7711" s="5" t="str">
        <f t="shared" si="1"/>
        <v>২ পরে</v>
      </c>
    </row>
    <row r="7712">
      <c r="A7712" s="4">
        <v>6333.0</v>
      </c>
      <c r="B7712" s="2" t="s">
        <v>31102</v>
      </c>
      <c r="C7712" s="2" t="s">
        <v>31103</v>
      </c>
      <c r="D7712" s="2" t="s">
        <v>31104</v>
      </c>
      <c r="E7712" s="2" t="s">
        <v>31105</v>
      </c>
      <c r="F7712" s="2" t="b">
        <v>1</v>
      </c>
      <c r="G7712" s="2" t="b">
        <v>1</v>
      </c>
      <c r="H7712" s="2" t="s">
        <v>3882</v>
      </c>
      <c r="I7712" s="2" t="s">
        <v>49</v>
      </c>
      <c r="J7712" s="2" t="s">
        <v>1443</v>
      </c>
      <c r="K7712" s="2" t="s">
        <v>495</v>
      </c>
      <c r="L7712" s="13" t="s">
        <v>496</v>
      </c>
      <c r="M7712" s="2" t="s">
        <v>26</v>
      </c>
      <c r="N7712" s="29"/>
      <c r="O7712" s="29"/>
      <c r="P7712" s="5" t="str">
        <f>IFERROR(__xludf.DUMMYFUNCTION("TEXTJOIN("" | "",TRUE,IF(OR(D7712="""",E7712="""",I7712="""",J7712="""",H7712=""""),""ফাঁকা ঘর"",""""),IF(AND(C7712&lt;&gt;"""",D7712&lt;&gt;"""",C7712=D7712),""gloss=figurative"",""""),IF(LEN(D7712)&lt;15,""figurative ছোট"",""""),IF(AND(I7712=""Positive"",REGEXMATCH(H7"&amp;"712,""মূর্খ|ভণ্ড|প্রতার|অলস|লোভ|স্বার্থ|অক্ষম|অযোগ্য|বোকা|কৃপণ|হিংস"")),""valence-target অমিল"",""""),IF(COUNTIF($B:$B,B7712)&gt;1,""ডুপ্লিকেট"",""""))"),"")</f>
        <v/>
      </c>
      <c r="Q7712" s="5" t="str">
        <f t="shared" si="1"/>
        <v>২ পরে</v>
      </c>
    </row>
    <row r="7713">
      <c r="A7713" s="4">
        <v>6336.0</v>
      </c>
      <c r="B7713" s="2" t="s">
        <v>31106</v>
      </c>
      <c r="C7713" s="2" t="s">
        <v>31107</v>
      </c>
      <c r="D7713" s="2" t="s">
        <v>31108</v>
      </c>
      <c r="E7713" s="2" t="s">
        <v>31109</v>
      </c>
      <c r="F7713" s="2" t="b">
        <v>1</v>
      </c>
      <c r="G7713" s="2" t="b">
        <v>0</v>
      </c>
      <c r="H7713" s="2" t="s">
        <v>37</v>
      </c>
      <c r="I7713" s="2" t="s">
        <v>22</v>
      </c>
      <c r="J7713" s="2" t="s">
        <v>1471</v>
      </c>
      <c r="K7713" s="2" t="s">
        <v>495</v>
      </c>
      <c r="L7713" s="13" t="s">
        <v>496</v>
      </c>
      <c r="M7713" s="2" t="s">
        <v>26</v>
      </c>
      <c r="N7713" s="29"/>
      <c r="O7713" s="29"/>
      <c r="P7713" s="5" t="str">
        <f>IFERROR(__xludf.DUMMYFUNCTION("TEXTJOIN("" | "",TRUE,IF(OR(D7713="""",E7713="""",I7713="""",J7713="""",H7713=""""),""ফাঁকা ঘর"",""""),IF(AND(C7713&lt;&gt;"""",D7713&lt;&gt;"""",C7713=D7713),""gloss=figurative"",""""),IF(LEN(D7713)&lt;15,""figurative ছোট"",""""),IF(AND(I7713=""Positive"",REGEXMATCH(H7"&amp;"713,""মূর্খ|ভণ্ড|প্রতার|অলস|লোভ|স্বার্থ|অক্ষম|অযোগ্য|বোকা|কৃপণ|হিংস"")),""valence-target অমিল"",""""),IF(COUNTIF($B:$B,B7713)&gt;1,""ডুপ্লিকেট"",""""))"),"")</f>
        <v/>
      </c>
      <c r="Q7713" s="5" t="str">
        <f t="shared" si="1"/>
        <v>২ পরে</v>
      </c>
    </row>
    <row r="7714">
      <c r="A7714" s="4">
        <v>6337.0</v>
      </c>
      <c r="B7714" s="2" t="s">
        <v>31110</v>
      </c>
      <c r="C7714" s="2" t="s">
        <v>31111</v>
      </c>
      <c r="D7714" s="2" t="s">
        <v>29388</v>
      </c>
      <c r="E7714" s="2" t="s">
        <v>31112</v>
      </c>
      <c r="F7714" s="2" t="b">
        <v>1</v>
      </c>
      <c r="G7714" s="2" t="b">
        <v>1</v>
      </c>
      <c r="H7714" s="2" t="s">
        <v>1982</v>
      </c>
      <c r="I7714" s="2" t="s">
        <v>22</v>
      </c>
      <c r="J7714" s="2" t="s">
        <v>836</v>
      </c>
      <c r="K7714" s="2" t="s">
        <v>495</v>
      </c>
      <c r="L7714" s="13" t="s">
        <v>496</v>
      </c>
      <c r="M7714" s="2" t="s">
        <v>26</v>
      </c>
      <c r="N7714" s="29"/>
      <c r="O7714" s="29"/>
      <c r="P7714" s="5" t="str">
        <f>IFERROR(__xludf.DUMMYFUNCTION("TEXTJOIN("" | "",TRUE,IF(OR(D7714="""",E7714="""",I7714="""",J7714="""",H7714=""""),""ফাঁকা ঘর"",""""),IF(AND(C7714&lt;&gt;"""",D7714&lt;&gt;"""",C7714=D7714),""gloss=figurative"",""""),IF(LEN(D7714)&lt;15,""figurative ছোট"",""""),IF(AND(I7714=""Positive"",REGEXMATCH(H7"&amp;"714,""মূর্খ|ভণ্ড|প্রতার|অলস|লোভ|স্বার্থ|অক্ষম|অযোগ্য|বোকা|কৃপণ|হিংস"")),""valence-target অমিল"",""""),IF(COUNTIF($B:$B,B7714)&gt;1,""ডুপ্লিকেট"",""""))"),"")</f>
        <v/>
      </c>
      <c r="Q7714" s="5" t="str">
        <f t="shared" si="1"/>
        <v>২ পরে</v>
      </c>
    </row>
    <row r="7715">
      <c r="A7715" s="4">
        <v>6339.0</v>
      </c>
      <c r="B7715" s="2" t="s">
        <v>31113</v>
      </c>
      <c r="C7715" s="2" t="s">
        <v>31113</v>
      </c>
      <c r="D7715" s="2" t="s">
        <v>31114</v>
      </c>
      <c r="E7715" s="2" t="s">
        <v>31115</v>
      </c>
      <c r="F7715" s="2" t="b">
        <v>1</v>
      </c>
      <c r="G7715" s="2" t="b">
        <v>0</v>
      </c>
      <c r="H7715" s="2" t="s">
        <v>37</v>
      </c>
      <c r="I7715" s="2" t="s">
        <v>49</v>
      </c>
      <c r="J7715" s="2" t="s">
        <v>913</v>
      </c>
      <c r="K7715" s="2" t="s">
        <v>495</v>
      </c>
      <c r="L7715" s="13" t="s">
        <v>496</v>
      </c>
      <c r="M7715" s="2" t="s">
        <v>26</v>
      </c>
      <c r="N7715" s="29"/>
      <c r="O7715" s="29"/>
      <c r="P7715" s="5" t="str">
        <f>IFERROR(__xludf.DUMMYFUNCTION("TEXTJOIN("" | "",TRUE,IF(OR(D7715="""",E7715="""",I7715="""",J7715="""",H7715=""""),""ফাঁকা ঘর"",""""),IF(AND(C7715&lt;&gt;"""",D7715&lt;&gt;"""",C7715=D7715),""gloss=figurative"",""""),IF(LEN(D7715)&lt;15,""figurative ছোট"",""""),IF(AND(I7715=""Positive"",REGEXMATCH(H7"&amp;"715,""মূর্খ|ভণ্ড|প্রতার|অলস|লোভ|স্বার্থ|অক্ষম|অযোগ্য|বোকা|কৃপণ|হিংস"")),""valence-target অমিল"",""""),IF(COUNTIF($B:$B,B7715)&gt;1,""ডুপ্লিকেট"",""""))"),"")</f>
        <v/>
      </c>
      <c r="Q7715" s="5" t="str">
        <f t="shared" si="1"/>
        <v>২ পরে</v>
      </c>
    </row>
    <row r="7716">
      <c r="A7716" s="4">
        <v>6346.0</v>
      </c>
      <c r="B7716" s="2" t="s">
        <v>31116</v>
      </c>
      <c r="C7716" s="2" t="s">
        <v>31117</v>
      </c>
      <c r="D7716" s="2" t="s">
        <v>31118</v>
      </c>
      <c r="E7716" s="2" t="s">
        <v>31119</v>
      </c>
      <c r="F7716" s="2" t="b">
        <v>1</v>
      </c>
      <c r="G7716" s="2" t="b">
        <v>0</v>
      </c>
      <c r="H7716" s="2" t="s">
        <v>37</v>
      </c>
      <c r="I7716" s="2" t="s">
        <v>32</v>
      </c>
      <c r="J7716" s="2" t="s">
        <v>6697</v>
      </c>
      <c r="K7716" s="2" t="s">
        <v>495</v>
      </c>
      <c r="L7716" s="13" t="s">
        <v>496</v>
      </c>
      <c r="M7716" s="2" t="s">
        <v>26</v>
      </c>
      <c r="N7716" s="29"/>
      <c r="O7716" s="29"/>
      <c r="P7716" s="5" t="str">
        <f>IFERROR(__xludf.DUMMYFUNCTION("TEXTJOIN("" | "",TRUE,IF(OR(D7716="""",E7716="""",I7716="""",J7716="""",H7716=""""),""ফাঁকা ঘর"",""""),IF(AND(C7716&lt;&gt;"""",D7716&lt;&gt;"""",C7716=D7716),""gloss=figurative"",""""),IF(LEN(D7716)&lt;15,""figurative ছোট"",""""),IF(AND(I7716=""Positive"",REGEXMATCH(H7"&amp;"716,""মূর্খ|ভণ্ড|প্রতার|অলস|লোভ|স্বার্থ|অক্ষম|অযোগ্য|বোকা|কৃপণ|হিংস"")),""valence-target অমিল"",""""),IF(COUNTIF($B:$B,B7716)&gt;1,""ডুপ্লিকেট"",""""))"),"")</f>
        <v/>
      </c>
      <c r="Q7716" s="5" t="str">
        <f t="shared" si="1"/>
        <v>২ পরে</v>
      </c>
    </row>
    <row r="7717">
      <c r="A7717" s="4">
        <v>6351.0</v>
      </c>
      <c r="B7717" s="2" t="s">
        <v>31120</v>
      </c>
      <c r="C7717" s="2" t="s">
        <v>31121</v>
      </c>
      <c r="D7717" s="2" t="s">
        <v>31122</v>
      </c>
      <c r="E7717" s="2" t="s">
        <v>31123</v>
      </c>
      <c r="F7717" s="2" t="b">
        <v>1</v>
      </c>
      <c r="G7717" s="2" t="b">
        <v>0</v>
      </c>
      <c r="H7717" s="2" t="s">
        <v>37</v>
      </c>
      <c r="I7717" s="2" t="s">
        <v>22</v>
      </c>
      <c r="J7717" s="2" t="s">
        <v>24039</v>
      </c>
      <c r="K7717" s="2" t="s">
        <v>495</v>
      </c>
      <c r="L7717" s="13" t="s">
        <v>496</v>
      </c>
      <c r="M7717" s="2" t="s">
        <v>26</v>
      </c>
      <c r="N7717" s="29"/>
      <c r="O7717" s="29"/>
      <c r="P7717" s="5" t="str">
        <f>IFERROR(__xludf.DUMMYFUNCTION("TEXTJOIN("" | "",TRUE,IF(OR(D7717="""",E7717="""",I7717="""",J7717="""",H7717=""""),""ফাঁকা ঘর"",""""),IF(AND(C7717&lt;&gt;"""",D7717&lt;&gt;"""",C7717=D7717),""gloss=figurative"",""""),IF(LEN(D7717)&lt;15,""figurative ছোট"",""""),IF(AND(I7717=""Positive"",REGEXMATCH(H7"&amp;"717,""মূর্খ|ভণ্ড|প্রতার|অলস|লোভ|স্বার্থ|অক্ষম|অযোগ্য|বোকা|কৃপণ|হিংস"")),""valence-target অমিল"",""""),IF(COUNTIF($B:$B,B7717)&gt;1,""ডুপ্লিকেট"",""""))"),"")</f>
        <v/>
      </c>
      <c r="Q7717" s="5" t="str">
        <f t="shared" si="1"/>
        <v>২ পরে</v>
      </c>
    </row>
    <row r="7718">
      <c r="A7718" s="4">
        <v>6355.0</v>
      </c>
      <c r="B7718" s="2" t="s">
        <v>31124</v>
      </c>
      <c r="C7718" s="2" t="s">
        <v>10823</v>
      </c>
      <c r="D7718" s="2" t="s">
        <v>31125</v>
      </c>
      <c r="E7718" s="2" t="s">
        <v>31126</v>
      </c>
      <c r="F7718" s="2" t="b">
        <v>1</v>
      </c>
      <c r="G7718" s="2" t="b">
        <v>0</v>
      </c>
      <c r="H7718" s="2" t="s">
        <v>37</v>
      </c>
      <c r="I7718" s="2" t="s">
        <v>49</v>
      </c>
      <c r="J7718" s="2" t="s">
        <v>636</v>
      </c>
      <c r="K7718" s="2" t="s">
        <v>495</v>
      </c>
      <c r="L7718" s="13" t="s">
        <v>496</v>
      </c>
      <c r="M7718" s="2" t="s">
        <v>26</v>
      </c>
      <c r="N7718" s="29"/>
      <c r="O7718" s="29"/>
      <c r="P7718" s="5" t="str">
        <f>IFERROR(__xludf.DUMMYFUNCTION("TEXTJOIN("" | "",TRUE,IF(OR(D7718="""",E7718="""",I7718="""",J7718="""",H7718=""""),""ফাঁকা ঘর"",""""),IF(AND(C7718&lt;&gt;"""",D7718&lt;&gt;"""",C7718=D7718),""gloss=figurative"",""""),IF(LEN(D7718)&lt;15,""figurative ছোট"",""""),IF(AND(I7718=""Positive"",REGEXMATCH(H7"&amp;"718,""মূর্খ|ভণ্ড|প্রতার|অলস|লোভ|স্বার্থ|অক্ষম|অযোগ্য|বোকা|কৃপণ|হিংস"")),""valence-target অমিল"",""""),IF(COUNTIF($B:$B,B7718)&gt;1,""ডুপ্লিকেট"",""""))"),"")</f>
        <v/>
      </c>
      <c r="Q7718" s="5" t="str">
        <f t="shared" si="1"/>
        <v>২ পরে</v>
      </c>
    </row>
    <row r="7719">
      <c r="A7719" s="4">
        <v>6360.0</v>
      </c>
      <c r="B7719" s="2" t="s">
        <v>31127</v>
      </c>
      <c r="C7719" s="2" t="s">
        <v>31128</v>
      </c>
      <c r="D7719" s="2" t="s">
        <v>31129</v>
      </c>
      <c r="E7719" s="2" t="s">
        <v>31130</v>
      </c>
      <c r="F7719" s="2" t="b">
        <v>1</v>
      </c>
      <c r="G7719" s="2" t="b">
        <v>1</v>
      </c>
      <c r="H7719" s="2" t="s">
        <v>1211</v>
      </c>
      <c r="I7719" s="2" t="s">
        <v>22</v>
      </c>
      <c r="J7719" s="2" t="s">
        <v>3966</v>
      </c>
      <c r="K7719" s="2" t="s">
        <v>495</v>
      </c>
      <c r="L7719" s="13" t="s">
        <v>496</v>
      </c>
      <c r="M7719" s="2" t="s">
        <v>26</v>
      </c>
      <c r="N7719" s="29"/>
      <c r="O7719" s="29"/>
      <c r="P7719" s="5" t="str">
        <f>IFERROR(__xludf.DUMMYFUNCTION("TEXTJOIN("" | "",TRUE,IF(OR(D7719="""",E7719="""",I7719="""",J7719="""",H7719=""""),""ফাঁকা ঘর"",""""),IF(AND(C7719&lt;&gt;"""",D7719&lt;&gt;"""",C7719=D7719),""gloss=figurative"",""""),IF(LEN(D7719)&lt;15,""figurative ছোট"",""""),IF(AND(I7719=""Positive"",REGEXMATCH(H7"&amp;"719,""মূর্খ|ভণ্ড|প্রতার|অলস|লোভ|স্বার্থ|অক্ষম|অযোগ্য|বোকা|কৃপণ|হিংস"")),""valence-target অমিল"",""""),IF(COUNTIF($B:$B,B7719)&gt;1,""ডুপ্লিকেট"",""""))"),"")</f>
        <v/>
      </c>
      <c r="Q7719" s="5" t="str">
        <f t="shared" si="1"/>
        <v>২ পরে</v>
      </c>
    </row>
    <row r="7720">
      <c r="A7720" s="4">
        <v>6363.0</v>
      </c>
      <c r="B7720" s="2" t="s">
        <v>31131</v>
      </c>
      <c r="C7720" s="2" t="s">
        <v>31132</v>
      </c>
      <c r="D7720" s="2" t="s">
        <v>21410</v>
      </c>
      <c r="E7720" s="2" t="s">
        <v>31133</v>
      </c>
      <c r="F7720" s="2" t="b">
        <v>1</v>
      </c>
      <c r="G7720" s="2" t="b">
        <v>0</v>
      </c>
      <c r="H7720" s="2" t="s">
        <v>37</v>
      </c>
      <c r="I7720" s="2" t="s">
        <v>22</v>
      </c>
      <c r="J7720" s="2" t="s">
        <v>669</v>
      </c>
      <c r="K7720" s="2" t="s">
        <v>495</v>
      </c>
      <c r="L7720" s="13" t="s">
        <v>496</v>
      </c>
      <c r="M7720" s="2" t="s">
        <v>26</v>
      </c>
      <c r="N7720" s="29"/>
      <c r="O7720" s="29"/>
      <c r="P7720" s="5" t="str">
        <f>IFERROR(__xludf.DUMMYFUNCTION("TEXTJOIN("" | "",TRUE,IF(OR(D7720="""",E7720="""",I7720="""",J7720="""",H7720=""""),""ফাঁকা ঘর"",""""),IF(AND(C7720&lt;&gt;"""",D7720&lt;&gt;"""",C7720=D7720),""gloss=figurative"",""""),IF(LEN(D7720)&lt;15,""figurative ছোট"",""""),IF(AND(I7720=""Positive"",REGEXMATCH(H7"&amp;"720,""মূর্খ|ভণ্ড|প্রতার|অলস|লোভ|স্বার্থ|অক্ষম|অযোগ্য|বোকা|কৃপণ|হিংস"")),""valence-target অমিল"",""""),IF(COUNTIF($B:$B,B7720)&gt;1,""ডুপ্লিকেট"",""""))"),"")</f>
        <v/>
      </c>
      <c r="Q7720" s="5" t="str">
        <f t="shared" si="1"/>
        <v>২ পরে</v>
      </c>
    </row>
    <row r="7721">
      <c r="A7721" s="4">
        <v>6365.0</v>
      </c>
      <c r="B7721" s="2" t="s">
        <v>31134</v>
      </c>
      <c r="C7721" s="2" t="s">
        <v>31135</v>
      </c>
      <c r="D7721" s="2" t="s">
        <v>31136</v>
      </c>
      <c r="E7721" s="2" t="s">
        <v>31137</v>
      </c>
      <c r="F7721" s="2" t="b">
        <v>1</v>
      </c>
      <c r="G7721" s="2" t="b">
        <v>0</v>
      </c>
      <c r="H7721" s="2" t="s">
        <v>37</v>
      </c>
      <c r="I7721" s="2" t="s">
        <v>32</v>
      </c>
      <c r="J7721" s="2" t="s">
        <v>31138</v>
      </c>
      <c r="K7721" s="2" t="s">
        <v>495</v>
      </c>
      <c r="L7721" s="13" t="s">
        <v>496</v>
      </c>
      <c r="M7721" s="2" t="s">
        <v>26</v>
      </c>
      <c r="N7721" s="29"/>
      <c r="O7721" s="29"/>
      <c r="P7721" s="5" t="str">
        <f>IFERROR(__xludf.DUMMYFUNCTION("TEXTJOIN("" | "",TRUE,IF(OR(D7721="""",E7721="""",I7721="""",J7721="""",H7721=""""),""ফাঁকা ঘর"",""""),IF(AND(C7721&lt;&gt;"""",D7721&lt;&gt;"""",C7721=D7721),""gloss=figurative"",""""),IF(LEN(D7721)&lt;15,""figurative ছোট"",""""),IF(AND(I7721=""Positive"",REGEXMATCH(H7"&amp;"721,""মূর্খ|ভণ্ড|প্রতার|অলস|লোভ|স্বার্থ|অক্ষম|অযোগ্য|বোকা|কৃপণ|হিংস"")),""valence-target অমিল"",""""),IF(COUNTIF($B:$B,B7721)&gt;1,""ডুপ্লিকেট"",""""))"),"")</f>
        <v/>
      </c>
      <c r="Q7721" s="5" t="str">
        <f t="shared" si="1"/>
        <v>২ পরে</v>
      </c>
    </row>
    <row r="7722">
      <c r="A7722" s="4">
        <v>6370.0</v>
      </c>
      <c r="B7722" s="2" t="s">
        <v>31139</v>
      </c>
      <c r="C7722" s="2" t="s">
        <v>31140</v>
      </c>
      <c r="D7722" s="2" t="s">
        <v>31141</v>
      </c>
      <c r="E7722" s="2" t="s">
        <v>31142</v>
      </c>
      <c r="F7722" s="2" t="b">
        <v>1</v>
      </c>
      <c r="G7722" s="2" t="b">
        <v>0</v>
      </c>
      <c r="H7722" s="2" t="s">
        <v>37</v>
      </c>
      <c r="I7722" s="2" t="s">
        <v>49</v>
      </c>
      <c r="J7722" s="2" t="s">
        <v>762</v>
      </c>
      <c r="K7722" s="2" t="s">
        <v>495</v>
      </c>
      <c r="L7722" s="13" t="s">
        <v>496</v>
      </c>
      <c r="M7722" s="2" t="s">
        <v>26</v>
      </c>
      <c r="N7722" s="29"/>
      <c r="O7722" s="29"/>
      <c r="P7722" s="5" t="str">
        <f>IFERROR(__xludf.DUMMYFUNCTION("TEXTJOIN("" | "",TRUE,IF(OR(D7722="""",E7722="""",I7722="""",J7722="""",H7722=""""),""ফাঁকা ঘর"",""""),IF(AND(C7722&lt;&gt;"""",D7722&lt;&gt;"""",C7722=D7722),""gloss=figurative"",""""),IF(LEN(D7722)&lt;15,""figurative ছোট"",""""),IF(AND(I7722=""Positive"",REGEXMATCH(H7"&amp;"722,""মূর্খ|ভণ্ড|প্রতার|অলস|লোভ|স্বার্থ|অক্ষম|অযোগ্য|বোকা|কৃপণ|হিংস"")),""valence-target অমিল"",""""),IF(COUNTIF($B:$B,B7722)&gt;1,""ডুপ্লিকেট"",""""))"),"")</f>
        <v/>
      </c>
      <c r="Q7722" s="5" t="str">
        <f t="shared" si="1"/>
        <v>২ পরে</v>
      </c>
    </row>
    <row r="7723">
      <c r="A7723" s="4">
        <v>6372.0</v>
      </c>
      <c r="B7723" s="2" t="s">
        <v>31143</v>
      </c>
      <c r="C7723" s="2" t="s">
        <v>31144</v>
      </c>
      <c r="D7723" s="2" t="s">
        <v>31145</v>
      </c>
      <c r="E7723" s="2" t="s">
        <v>31146</v>
      </c>
      <c r="F7723" s="2" t="b">
        <v>1</v>
      </c>
      <c r="G7723" s="2" t="b">
        <v>0</v>
      </c>
      <c r="H7723" s="2" t="s">
        <v>37</v>
      </c>
      <c r="I7723" s="2" t="s">
        <v>49</v>
      </c>
      <c r="J7723" s="2" t="s">
        <v>3506</v>
      </c>
      <c r="K7723" s="2" t="s">
        <v>495</v>
      </c>
      <c r="L7723" s="13" t="s">
        <v>496</v>
      </c>
      <c r="M7723" s="2" t="s">
        <v>26</v>
      </c>
      <c r="N7723" s="29"/>
      <c r="O7723" s="29"/>
      <c r="P7723" s="5" t="str">
        <f>IFERROR(__xludf.DUMMYFUNCTION("TEXTJOIN("" | "",TRUE,IF(OR(D7723="""",E7723="""",I7723="""",J7723="""",H7723=""""),""ফাঁকা ঘর"",""""),IF(AND(C7723&lt;&gt;"""",D7723&lt;&gt;"""",C7723=D7723),""gloss=figurative"",""""),IF(LEN(D7723)&lt;15,""figurative ছোট"",""""),IF(AND(I7723=""Positive"",REGEXMATCH(H7"&amp;"723,""মূর্খ|ভণ্ড|প্রতার|অলস|লোভ|স্বার্থ|অক্ষম|অযোগ্য|বোকা|কৃপণ|হিংস"")),""valence-target অমিল"",""""),IF(COUNTIF($B:$B,B7723)&gt;1,""ডুপ্লিকেট"",""""))"),"")</f>
        <v/>
      </c>
      <c r="Q7723" s="5" t="str">
        <f t="shared" si="1"/>
        <v>২ পরে</v>
      </c>
    </row>
    <row r="7724">
      <c r="A7724" s="4">
        <v>6373.0</v>
      </c>
      <c r="B7724" s="2" t="s">
        <v>31147</v>
      </c>
      <c r="C7724" s="2" t="s">
        <v>31148</v>
      </c>
      <c r="D7724" s="2" t="s">
        <v>31149</v>
      </c>
      <c r="E7724" s="2" t="s">
        <v>31150</v>
      </c>
      <c r="F7724" s="2" t="b">
        <v>1</v>
      </c>
      <c r="G7724" s="2" t="b">
        <v>0</v>
      </c>
      <c r="H7724" s="2" t="s">
        <v>37</v>
      </c>
      <c r="I7724" s="2" t="s">
        <v>22</v>
      </c>
      <c r="J7724" s="2" t="s">
        <v>842</v>
      </c>
      <c r="K7724" s="2" t="s">
        <v>495</v>
      </c>
      <c r="L7724" s="13" t="s">
        <v>496</v>
      </c>
      <c r="M7724" s="2" t="s">
        <v>26</v>
      </c>
      <c r="N7724" s="29"/>
      <c r="O7724" s="29"/>
      <c r="P7724" s="5" t="str">
        <f>IFERROR(__xludf.DUMMYFUNCTION("TEXTJOIN("" | "",TRUE,IF(OR(D7724="""",E7724="""",I7724="""",J7724="""",H7724=""""),""ফাঁকা ঘর"",""""),IF(AND(C7724&lt;&gt;"""",D7724&lt;&gt;"""",C7724=D7724),""gloss=figurative"",""""),IF(LEN(D7724)&lt;15,""figurative ছোট"",""""),IF(AND(I7724=""Positive"",REGEXMATCH(H7"&amp;"724,""মূর্খ|ভণ্ড|প্রতার|অলস|লোভ|স্বার্থ|অক্ষম|অযোগ্য|বোকা|কৃপণ|হিংস"")),""valence-target অমিল"",""""),IF(COUNTIF($B:$B,B7724)&gt;1,""ডুপ্লিকেট"",""""))"),"")</f>
        <v/>
      </c>
      <c r="Q7724" s="5" t="str">
        <f t="shared" si="1"/>
        <v>২ পরে</v>
      </c>
    </row>
    <row r="7725">
      <c r="A7725" s="4">
        <v>6375.0</v>
      </c>
      <c r="B7725" s="2" t="s">
        <v>31151</v>
      </c>
      <c r="C7725" s="2" t="s">
        <v>31151</v>
      </c>
      <c r="D7725" s="2" t="s">
        <v>31152</v>
      </c>
      <c r="E7725" s="2" t="s">
        <v>31153</v>
      </c>
      <c r="F7725" s="2" t="b">
        <v>1</v>
      </c>
      <c r="G7725" s="2" t="b">
        <v>0</v>
      </c>
      <c r="H7725" s="2" t="s">
        <v>37</v>
      </c>
      <c r="I7725" s="2" t="s">
        <v>22</v>
      </c>
      <c r="J7725" s="2" t="s">
        <v>565</v>
      </c>
      <c r="K7725" s="2" t="s">
        <v>495</v>
      </c>
      <c r="L7725" s="13" t="s">
        <v>496</v>
      </c>
      <c r="M7725" s="2" t="s">
        <v>26</v>
      </c>
      <c r="N7725" s="29"/>
      <c r="O7725" s="29"/>
      <c r="P7725" s="5" t="str">
        <f>IFERROR(__xludf.DUMMYFUNCTION("TEXTJOIN("" | "",TRUE,IF(OR(D7725="""",E7725="""",I7725="""",J7725="""",H7725=""""),""ফাঁকা ঘর"",""""),IF(AND(C7725&lt;&gt;"""",D7725&lt;&gt;"""",C7725=D7725),""gloss=figurative"",""""),IF(LEN(D7725)&lt;15,""figurative ছোট"",""""),IF(AND(I7725=""Positive"",REGEXMATCH(H7"&amp;"725,""মূর্খ|ভণ্ড|প্রতার|অলস|লোভ|স্বার্থ|অক্ষম|অযোগ্য|বোকা|কৃপণ|হিংস"")),""valence-target অমিল"",""""),IF(COUNTIF($B:$B,B7725)&gt;1,""ডুপ্লিকেট"",""""))"),"")</f>
        <v/>
      </c>
      <c r="Q7725" s="5" t="str">
        <f t="shared" si="1"/>
        <v>২ পরে</v>
      </c>
    </row>
    <row r="7726">
      <c r="A7726" s="4">
        <v>6377.0</v>
      </c>
      <c r="B7726" s="2" t="s">
        <v>31154</v>
      </c>
      <c r="C7726" s="2" t="s">
        <v>31155</v>
      </c>
      <c r="D7726" s="2" t="s">
        <v>31156</v>
      </c>
      <c r="E7726" s="2" t="s">
        <v>31157</v>
      </c>
      <c r="F7726" s="2" t="b">
        <v>1</v>
      </c>
      <c r="G7726" s="2" t="b">
        <v>1</v>
      </c>
      <c r="H7726" s="2" t="s">
        <v>1106</v>
      </c>
      <c r="I7726" s="2" t="s">
        <v>49</v>
      </c>
      <c r="J7726" s="2" t="s">
        <v>225</v>
      </c>
      <c r="K7726" s="2" t="s">
        <v>495</v>
      </c>
      <c r="L7726" s="13" t="s">
        <v>496</v>
      </c>
      <c r="M7726" s="2" t="s">
        <v>26</v>
      </c>
      <c r="N7726" s="29"/>
      <c r="O7726" s="29"/>
      <c r="P7726" s="5" t="str">
        <f>IFERROR(__xludf.DUMMYFUNCTION("TEXTJOIN("" | "",TRUE,IF(OR(D7726="""",E7726="""",I7726="""",J7726="""",H7726=""""),""ফাঁকা ঘর"",""""),IF(AND(C7726&lt;&gt;"""",D7726&lt;&gt;"""",C7726=D7726),""gloss=figurative"",""""),IF(LEN(D7726)&lt;15,""figurative ছোট"",""""),IF(AND(I7726=""Positive"",REGEXMATCH(H7"&amp;"726,""মূর্খ|ভণ্ড|প্রতার|অলস|লোভ|স্বার্থ|অক্ষম|অযোগ্য|বোকা|কৃপণ|হিংস"")),""valence-target অমিল"",""""),IF(COUNTIF($B:$B,B7726)&gt;1,""ডুপ্লিকেট"",""""))"),"")</f>
        <v/>
      </c>
      <c r="Q7726" s="5" t="str">
        <f t="shared" si="1"/>
        <v>২ পরে</v>
      </c>
    </row>
    <row r="7727">
      <c r="A7727" s="4">
        <v>6379.0</v>
      </c>
      <c r="B7727" s="2" t="s">
        <v>31158</v>
      </c>
      <c r="C7727" s="2" t="s">
        <v>31158</v>
      </c>
      <c r="D7727" s="2" t="s">
        <v>31159</v>
      </c>
      <c r="E7727" s="2" t="s">
        <v>31160</v>
      </c>
      <c r="F7727" s="2" t="b">
        <v>1</v>
      </c>
      <c r="G7727" s="2" t="b">
        <v>0</v>
      </c>
      <c r="H7727" s="2" t="s">
        <v>37</v>
      </c>
      <c r="I7727" s="2" t="s">
        <v>22</v>
      </c>
      <c r="J7727" s="2" t="s">
        <v>6010</v>
      </c>
      <c r="K7727" s="2" t="s">
        <v>495</v>
      </c>
      <c r="L7727" s="13" t="s">
        <v>496</v>
      </c>
      <c r="M7727" s="2" t="s">
        <v>26</v>
      </c>
      <c r="N7727" s="29"/>
      <c r="O7727" s="29"/>
      <c r="P7727" s="5" t="str">
        <f>IFERROR(__xludf.DUMMYFUNCTION("TEXTJOIN("" | "",TRUE,IF(OR(D7727="""",E7727="""",I7727="""",J7727="""",H7727=""""),""ফাঁকা ঘর"",""""),IF(AND(C7727&lt;&gt;"""",D7727&lt;&gt;"""",C7727=D7727),""gloss=figurative"",""""),IF(LEN(D7727)&lt;15,""figurative ছোট"",""""),IF(AND(I7727=""Positive"",REGEXMATCH(H7"&amp;"727,""মূর্খ|ভণ্ড|প্রতার|অলস|লোভ|স্বার্থ|অক্ষম|অযোগ্য|বোকা|কৃপণ|হিংস"")),""valence-target অমিল"",""""),IF(COUNTIF($B:$B,B7727)&gt;1,""ডুপ্লিকেট"",""""))"),"")</f>
        <v/>
      </c>
      <c r="Q7727" s="5" t="str">
        <f t="shared" si="1"/>
        <v>২ পরে</v>
      </c>
    </row>
    <row r="7728">
      <c r="A7728" s="4">
        <v>6385.0</v>
      </c>
      <c r="B7728" s="2" t="s">
        <v>31161</v>
      </c>
      <c r="C7728" s="2" t="s">
        <v>31162</v>
      </c>
      <c r="D7728" s="2" t="s">
        <v>31163</v>
      </c>
      <c r="E7728" s="2" t="s">
        <v>31164</v>
      </c>
      <c r="F7728" s="2" t="b">
        <v>1</v>
      </c>
      <c r="G7728" s="2" t="b">
        <v>0</v>
      </c>
      <c r="H7728" s="2" t="s">
        <v>37</v>
      </c>
      <c r="I7728" s="2" t="s">
        <v>22</v>
      </c>
      <c r="J7728" s="2" t="s">
        <v>1644</v>
      </c>
      <c r="K7728" s="2" t="s">
        <v>495</v>
      </c>
      <c r="L7728" s="13" t="s">
        <v>496</v>
      </c>
      <c r="M7728" s="2" t="s">
        <v>26</v>
      </c>
      <c r="N7728" s="29"/>
      <c r="O7728" s="29"/>
      <c r="P7728" s="5" t="str">
        <f>IFERROR(__xludf.DUMMYFUNCTION("TEXTJOIN("" | "",TRUE,IF(OR(D7728="""",E7728="""",I7728="""",J7728="""",H7728=""""),""ফাঁকা ঘর"",""""),IF(AND(C7728&lt;&gt;"""",D7728&lt;&gt;"""",C7728=D7728),""gloss=figurative"",""""),IF(LEN(D7728)&lt;15,""figurative ছোট"",""""),IF(AND(I7728=""Positive"",REGEXMATCH(H7"&amp;"728,""মূর্খ|ভণ্ড|প্রতার|অলস|লোভ|স্বার্থ|অক্ষম|অযোগ্য|বোকা|কৃপণ|হিংস"")),""valence-target অমিল"",""""),IF(COUNTIF($B:$B,B7728)&gt;1,""ডুপ্লিকেট"",""""))"),"")</f>
        <v/>
      </c>
      <c r="Q7728" s="5" t="str">
        <f t="shared" si="1"/>
        <v>২ পরে</v>
      </c>
    </row>
    <row r="7729">
      <c r="A7729" s="4">
        <v>6387.0</v>
      </c>
      <c r="B7729" s="2" t="s">
        <v>31165</v>
      </c>
      <c r="C7729" s="2" t="s">
        <v>10785</v>
      </c>
      <c r="D7729" s="2" t="s">
        <v>31166</v>
      </c>
      <c r="E7729" s="2" t="s">
        <v>31167</v>
      </c>
      <c r="F7729" s="2" t="b">
        <v>1</v>
      </c>
      <c r="G7729" s="2" t="b">
        <v>0</v>
      </c>
      <c r="H7729" s="2" t="s">
        <v>37</v>
      </c>
      <c r="I7729" s="2" t="s">
        <v>49</v>
      </c>
      <c r="J7729" s="2" t="s">
        <v>1553</v>
      </c>
      <c r="K7729" s="2" t="s">
        <v>495</v>
      </c>
      <c r="L7729" s="13" t="s">
        <v>496</v>
      </c>
      <c r="M7729" s="2" t="s">
        <v>26</v>
      </c>
      <c r="N7729" s="29"/>
      <c r="O7729" s="29"/>
      <c r="P7729" s="5" t="str">
        <f>IFERROR(__xludf.DUMMYFUNCTION("TEXTJOIN("" | "",TRUE,IF(OR(D7729="""",E7729="""",I7729="""",J7729="""",H7729=""""),""ফাঁকা ঘর"",""""),IF(AND(C7729&lt;&gt;"""",D7729&lt;&gt;"""",C7729=D7729),""gloss=figurative"",""""),IF(LEN(D7729)&lt;15,""figurative ছোট"",""""),IF(AND(I7729=""Positive"",REGEXMATCH(H7"&amp;"729,""মূর্খ|ভণ্ড|প্রতার|অলস|লোভ|স্বার্থ|অক্ষম|অযোগ্য|বোকা|কৃপণ|হিংস"")),""valence-target অমিল"",""""),IF(COUNTIF($B:$B,B7729)&gt;1,""ডুপ্লিকেট"",""""))"),"")</f>
        <v/>
      </c>
      <c r="Q7729" s="5" t="str">
        <f t="shared" si="1"/>
        <v>২ পরে</v>
      </c>
    </row>
    <row r="7730">
      <c r="A7730" s="4">
        <v>6390.0</v>
      </c>
      <c r="B7730" s="2" t="s">
        <v>31168</v>
      </c>
      <c r="C7730" s="2" t="s">
        <v>31169</v>
      </c>
      <c r="D7730" s="2" t="s">
        <v>31170</v>
      </c>
      <c r="E7730" s="2" t="s">
        <v>31171</v>
      </c>
      <c r="F7730" s="2" t="b">
        <v>1</v>
      </c>
      <c r="G7730" s="2" t="b">
        <v>1</v>
      </c>
      <c r="H7730" s="2" t="s">
        <v>1106</v>
      </c>
      <c r="I7730" s="2" t="s">
        <v>22</v>
      </c>
      <c r="J7730" s="2" t="s">
        <v>3017</v>
      </c>
      <c r="K7730" s="2" t="s">
        <v>495</v>
      </c>
      <c r="L7730" s="13" t="s">
        <v>496</v>
      </c>
      <c r="M7730" s="2" t="s">
        <v>26</v>
      </c>
      <c r="N7730" s="29"/>
      <c r="O7730" s="29"/>
      <c r="P7730" s="5" t="str">
        <f>IFERROR(__xludf.DUMMYFUNCTION("TEXTJOIN("" | "",TRUE,IF(OR(D7730="""",E7730="""",I7730="""",J7730="""",H7730=""""),""ফাঁকা ঘর"",""""),IF(AND(C7730&lt;&gt;"""",D7730&lt;&gt;"""",C7730=D7730),""gloss=figurative"",""""),IF(LEN(D7730)&lt;15,""figurative ছোট"",""""),IF(AND(I7730=""Positive"",REGEXMATCH(H7"&amp;"730,""মূর্খ|ভণ্ড|প্রতার|অলস|লোভ|স্বার্থ|অক্ষম|অযোগ্য|বোকা|কৃপণ|হিংস"")),""valence-target অমিল"",""""),IF(COUNTIF($B:$B,B7730)&gt;1,""ডুপ্লিকেট"",""""))"),"")</f>
        <v/>
      </c>
      <c r="Q7730" s="5" t="str">
        <f t="shared" si="1"/>
        <v>২ পরে</v>
      </c>
    </row>
    <row r="7731">
      <c r="A7731" s="4">
        <v>6410.0</v>
      </c>
      <c r="B7731" s="2" t="s">
        <v>31172</v>
      </c>
      <c r="C7731" s="2" t="s">
        <v>31173</v>
      </c>
      <c r="D7731" s="2" t="s">
        <v>31174</v>
      </c>
      <c r="E7731" s="2" t="s">
        <v>31175</v>
      </c>
      <c r="F7731" s="2" t="b">
        <v>1</v>
      </c>
      <c r="G7731" s="2" t="b">
        <v>0</v>
      </c>
      <c r="H7731" s="2" t="s">
        <v>37</v>
      </c>
      <c r="I7731" s="2" t="s">
        <v>32</v>
      </c>
      <c r="J7731" s="2" t="s">
        <v>1249</v>
      </c>
      <c r="K7731" s="2" t="s">
        <v>495</v>
      </c>
      <c r="L7731" s="13" t="s">
        <v>496</v>
      </c>
      <c r="M7731" s="2" t="s">
        <v>26</v>
      </c>
      <c r="N7731" s="29"/>
      <c r="O7731" s="29"/>
      <c r="P7731" s="5" t="str">
        <f>IFERROR(__xludf.DUMMYFUNCTION("TEXTJOIN("" | "",TRUE,IF(OR(D7731="""",E7731="""",I7731="""",J7731="""",H7731=""""),""ফাঁকা ঘর"",""""),IF(AND(C7731&lt;&gt;"""",D7731&lt;&gt;"""",C7731=D7731),""gloss=figurative"",""""),IF(LEN(D7731)&lt;15,""figurative ছোট"",""""),IF(AND(I7731=""Positive"",REGEXMATCH(H7"&amp;"731,""মূর্খ|ভণ্ড|প্রতার|অলস|লোভ|স্বার্থ|অক্ষম|অযোগ্য|বোকা|কৃপণ|হিংস"")),""valence-target অমিল"",""""),IF(COUNTIF($B:$B,B7731)&gt;1,""ডুপ্লিকেট"",""""))"),"")</f>
        <v/>
      </c>
      <c r="Q7731" s="5" t="str">
        <f t="shared" si="1"/>
        <v>২ পরে</v>
      </c>
    </row>
    <row r="7732">
      <c r="A7732" s="4">
        <v>6421.0</v>
      </c>
      <c r="B7732" s="2" t="s">
        <v>31176</v>
      </c>
      <c r="C7732" s="2" t="s">
        <v>31176</v>
      </c>
      <c r="D7732" s="2" t="s">
        <v>31177</v>
      </c>
      <c r="E7732" s="2" t="s">
        <v>31178</v>
      </c>
      <c r="F7732" s="2" t="b">
        <v>1</v>
      </c>
      <c r="G7732" s="2" t="b">
        <v>0</v>
      </c>
      <c r="H7732" s="2" t="s">
        <v>37</v>
      </c>
      <c r="I7732" s="2" t="s">
        <v>32</v>
      </c>
      <c r="J7732" s="2" t="s">
        <v>1239</v>
      </c>
      <c r="K7732" s="2" t="s">
        <v>495</v>
      </c>
      <c r="L7732" s="13" t="s">
        <v>496</v>
      </c>
      <c r="M7732" s="2" t="s">
        <v>26</v>
      </c>
      <c r="N7732" s="29"/>
      <c r="O7732" s="29"/>
      <c r="P7732" s="5" t="str">
        <f>IFERROR(__xludf.DUMMYFUNCTION("TEXTJOIN("" | "",TRUE,IF(OR(D7732="""",E7732="""",I7732="""",J7732="""",H7732=""""),""ফাঁকা ঘর"",""""),IF(AND(C7732&lt;&gt;"""",D7732&lt;&gt;"""",C7732=D7732),""gloss=figurative"",""""),IF(LEN(D7732)&lt;15,""figurative ছোট"",""""),IF(AND(I7732=""Positive"",REGEXMATCH(H7"&amp;"732,""মূর্খ|ভণ্ড|প্রতার|অলস|লোভ|স্বার্থ|অক্ষম|অযোগ্য|বোকা|কৃপণ|হিংস"")),""valence-target অমিল"",""""),IF(COUNTIF($B:$B,B7732)&gt;1,""ডুপ্লিকেট"",""""))"),"")</f>
        <v/>
      </c>
      <c r="Q7732" s="5" t="str">
        <f t="shared" si="1"/>
        <v>২ পরে</v>
      </c>
    </row>
    <row r="7733">
      <c r="A7733" s="4">
        <v>6426.0</v>
      </c>
      <c r="B7733" s="2" t="s">
        <v>31179</v>
      </c>
      <c r="C7733" s="2" t="s">
        <v>31180</v>
      </c>
      <c r="D7733" s="2" t="s">
        <v>31181</v>
      </c>
      <c r="E7733" s="2" t="s">
        <v>31182</v>
      </c>
      <c r="F7733" s="2" t="b">
        <v>1</v>
      </c>
      <c r="G7733" s="2" t="b">
        <v>0</v>
      </c>
      <c r="H7733" s="2" t="s">
        <v>37</v>
      </c>
      <c r="I7733" s="2" t="s">
        <v>22</v>
      </c>
      <c r="J7733" s="2" t="s">
        <v>2165</v>
      </c>
      <c r="K7733" s="2" t="s">
        <v>495</v>
      </c>
      <c r="L7733" s="13" t="s">
        <v>496</v>
      </c>
      <c r="M7733" s="2" t="s">
        <v>26</v>
      </c>
      <c r="N7733" s="29"/>
      <c r="O7733" s="29"/>
      <c r="P7733" s="5" t="str">
        <f>IFERROR(__xludf.DUMMYFUNCTION("TEXTJOIN("" | "",TRUE,IF(OR(D7733="""",E7733="""",I7733="""",J7733="""",H7733=""""),""ফাঁকা ঘর"",""""),IF(AND(C7733&lt;&gt;"""",D7733&lt;&gt;"""",C7733=D7733),""gloss=figurative"",""""),IF(LEN(D7733)&lt;15,""figurative ছোট"",""""),IF(AND(I7733=""Positive"",REGEXMATCH(H7"&amp;"733,""মূর্খ|ভণ্ড|প্রতার|অলস|লোভ|স্বার্থ|অক্ষম|অযোগ্য|বোকা|কৃপণ|হিংস"")),""valence-target অমিল"",""""),IF(COUNTIF($B:$B,B7733)&gt;1,""ডুপ্লিকেট"",""""))"),"")</f>
        <v/>
      </c>
      <c r="Q7733" s="5" t="str">
        <f t="shared" si="1"/>
        <v>২ পরে</v>
      </c>
    </row>
    <row r="7734">
      <c r="A7734" s="4">
        <v>6431.0</v>
      </c>
      <c r="B7734" s="2" t="s">
        <v>31183</v>
      </c>
      <c r="C7734" s="2" t="s">
        <v>31184</v>
      </c>
      <c r="D7734" s="2" t="s">
        <v>31185</v>
      </c>
      <c r="E7734" s="2" t="s">
        <v>31186</v>
      </c>
      <c r="F7734" s="2" t="b">
        <v>1</v>
      </c>
      <c r="G7734" s="2" t="b">
        <v>1</v>
      </c>
      <c r="H7734" s="2" t="s">
        <v>2372</v>
      </c>
      <c r="I7734" s="2" t="s">
        <v>22</v>
      </c>
      <c r="J7734" s="2" t="s">
        <v>1438</v>
      </c>
      <c r="K7734" s="2" t="s">
        <v>495</v>
      </c>
      <c r="L7734" s="13" t="s">
        <v>496</v>
      </c>
      <c r="M7734" s="2" t="s">
        <v>26</v>
      </c>
      <c r="N7734" s="29"/>
      <c r="O7734" s="29"/>
      <c r="P7734" s="5" t="str">
        <f>IFERROR(__xludf.DUMMYFUNCTION("TEXTJOIN("" | "",TRUE,IF(OR(D7734="""",E7734="""",I7734="""",J7734="""",H7734=""""),""ফাঁকা ঘর"",""""),IF(AND(C7734&lt;&gt;"""",D7734&lt;&gt;"""",C7734=D7734),""gloss=figurative"",""""),IF(LEN(D7734)&lt;15,""figurative ছোট"",""""),IF(AND(I7734=""Positive"",REGEXMATCH(H7"&amp;"734,""মূর্খ|ভণ্ড|প্রতার|অলস|লোভ|স্বার্থ|অক্ষম|অযোগ্য|বোকা|কৃপণ|হিংস"")),""valence-target অমিল"",""""),IF(COUNTIF($B:$B,B7734)&gt;1,""ডুপ্লিকেট"",""""))"),"")</f>
        <v/>
      </c>
      <c r="Q7734" s="5" t="str">
        <f t="shared" si="1"/>
        <v>২ পরে</v>
      </c>
    </row>
    <row r="7735">
      <c r="A7735" s="4">
        <v>6437.0</v>
      </c>
      <c r="B7735" s="2" t="s">
        <v>31187</v>
      </c>
      <c r="C7735" s="2" t="s">
        <v>31188</v>
      </c>
      <c r="D7735" s="2" t="s">
        <v>31189</v>
      </c>
      <c r="E7735" s="2" t="s">
        <v>31190</v>
      </c>
      <c r="F7735" s="2" t="b">
        <v>1</v>
      </c>
      <c r="G7735" s="2" t="b">
        <v>0</v>
      </c>
      <c r="H7735" s="2" t="s">
        <v>37</v>
      </c>
      <c r="I7735" s="2" t="s">
        <v>22</v>
      </c>
      <c r="J7735" s="2" t="s">
        <v>1239</v>
      </c>
      <c r="K7735" s="2" t="s">
        <v>495</v>
      </c>
      <c r="L7735" s="13" t="s">
        <v>496</v>
      </c>
      <c r="M7735" s="2" t="s">
        <v>26</v>
      </c>
      <c r="N7735" s="29"/>
      <c r="O7735" s="29"/>
      <c r="P7735" s="5" t="str">
        <f>IFERROR(__xludf.DUMMYFUNCTION("TEXTJOIN("" | "",TRUE,IF(OR(D7735="""",E7735="""",I7735="""",J7735="""",H7735=""""),""ফাঁকা ঘর"",""""),IF(AND(C7735&lt;&gt;"""",D7735&lt;&gt;"""",C7735=D7735),""gloss=figurative"",""""),IF(LEN(D7735)&lt;15,""figurative ছোট"",""""),IF(AND(I7735=""Positive"",REGEXMATCH(H7"&amp;"735,""মূর্খ|ভণ্ড|প্রতার|অলস|লোভ|স্বার্থ|অক্ষম|অযোগ্য|বোকা|কৃপণ|হিংস"")),""valence-target অমিল"",""""),IF(COUNTIF($B:$B,B7735)&gt;1,""ডুপ্লিকেট"",""""))"),"")</f>
        <v/>
      </c>
      <c r="Q7735" s="5" t="str">
        <f t="shared" si="1"/>
        <v>২ পরে</v>
      </c>
    </row>
    <row r="7736">
      <c r="A7736" s="4">
        <v>6442.0</v>
      </c>
      <c r="B7736" s="2" t="s">
        <v>31191</v>
      </c>
      <c r="C7736" s="2" t="s">
        <v>31192</v>
      </c>
      <c r="D7736" s="2" t="s">
        <v>31193</v>
      </c>
      <c r="E7736" s="2" t="s">
        <v>31194</v>
      </c>
      <c r="F7736" s="2" t="b">
        <v>1</v>
      </c>
      <c r="G7736" s="2" t="b">
        <v>1</v>
      </c>
      <c r="H7736" s="2" t="s">
        <v>1211</v>
      </c>
      <c r="I7736" s="2" t="s">
        <v>49</v>
      </c>
      <c r="J7736" s="2" t="s">
        <v>1212</v>
      </c>
      <c r="K7736" s="2" t="s">
        <v>495</v>
      </c>
      <c r="L7736" s="13" t="s">
        <v>496</v>
      </c>
      <c r="M7736" s="2" t="s">
        <v>26</v>
      </c>
      <c r="N7736" s="29"/>
      <c r="O7736" s="29"/>
      <c r="P7736" s="5" t="str">
        <f>IFERROR(__xludf.DUMMYFUNCTION("TEXTJOIN("" | "",TRUE,IF(OR(D7736="""",E7736="""",I7736="""",J7736="""",H7736=""""),""ফাঁকা ঘর"",""""),IF(AND(C7736&lt;&gt;"""",D7736&lt;&gt;"""",C7736=D7736),""gloss=figurative"",""""),IF(LEN(D7736)&lt;15,""figurative ছোট"",""""),IF(AND(I7736=""Positive"",REGEXMATCH(H7"&amp;"736,""মূর্খ|ভণ্ড|প্রতার|অলস|লোভ|স্বার্থ|অক্ষম|অযোগ্য|বোকা|কৃপণ|হিংস"")),""valence-target অমিল"",""""),IF(COUNTIF($B:$B,B7736)&gt;1,""ডুপ্লিকেট"",""""))"),"")</f>
        <v/>
      </c>
      <c r="Q7736" s="5" t="str">
        <f t="shared" si="1"/>
        <v>২ পরে</v>
      </c>
    </row>
    <row r="7737">
      <c r="A7737" s="4">
        <v>6452.0</v>
      </c>
      <c r="B7737" s="2" t="s">
        <v>31195</v>
      </c>
      <c r="C7737" s="2" t="s">
        <v>31196</v>
      </c>
      <c r="D7737" s="2" t="s">
        <v>30661</v>
      </c>
      <c r="E7737" s="2" t="s">
        <v>31197</v>
      </c>
      <c r="F7737" s="2" t="b">
        <v>1</v>
      </c>
      <c r="G7737" s="2" t="b">
        <v>1</v>
      </c>
      <c r="H7737" s="2" t="s">
        <v>1211</v>
      </c>
      <c r="I7737" s="2" t="s">
        <v>49</v>
      </c>
      <c r="J7737" s="2" t="s">
        <v>1798</v>
      </c>
      <c r="K7737" s="2" t="s">
        <v>495</v>
      </c>
      <c r="L7737" s="13" t="s">
        <v>496</v>
      </c>
      <c r="M7737" s="2" t="s">
        <v>26</v>
      </c>
      <c r="N7737" s="29"/>
      <c r="O7737" s="29"/>
      <c r="P7737" s="5" t="str">
        <f>IFERROR(__xludf.DUMMYFUNCTION("TEXTJOIN("" | "",TRUE,IF(OR(D7737="""",E7737="""",I7737="""",J7737="""",H7737=""""),""ফাঁকা ঘর"",""""),IF(AND(C7737&lt;&gt;"""",D7737&lt;&gt;"""",C7737=D7737),""gloss=figurative"",""""),IF(LEN(D7737)&lt;15,""figurative ছোট"",""""),IF(AND(I7737=""Positive"",REGEXMATCH(H7"&amp;"737,""মূর্খ|ভণ্ড|প্রতার|অলস|লোভ|স্বার্থ|অক্ষম|অযোগ্য|বোকা|কৃপণ|হিংস"")),""valence-target অমিল"",""""),IF(COUNTIF($B:$B,B7737)&gt;1,""ডুপ্লিকেট"",""""))"),"")</f>
        <v/>
      </c>
      <c r="Q7737" s="5" t="str">
        <f t="shared" si="1"/>
        <v>২ পরে</v>
      </c>
    </row>
    <row r="7738">
      <c r="A7738" s="4">
        <v>6454.0</v>
      </c>
      <c r="B7738" s="2" t="s">
        <v>31198</v>
      </c>
      <c r="C7738" s="2" t="s">
        <v>31199</v>
      </c>
      <c r="D7738" s="2" t="s">
        <v>31200</v>
      </c>
      <c r="E7738" s="2" t="s">
        <v>31201</v>
      </c>
      <c r="F7738" s="2" t="b">
        <v>1</v>
      </c>
      <c r="G7738" s="2" t="b">
        <v>1</v>
      </c>
      <c r="H7738" s="2" t="s">
        <v>1211</v>
      </c>
      <c r="I7738" s="2" t="s">
        <v>22</v>
      </c>
      <c r="J7738" s="2" t="s">
        <v>1357</v>
      </c>
      <c r="K7738" s="2" t="s">
        <v>495</v>
      </c>
      <c r="L7738" s="13" t="s">
        <v>496</v>
      </c>
      <c r="M7738" s="2" t="s">
        <v>26</v>
      </c>
      <c r="N7738" s="29"/>
      <c r="O7738" s="29"/>
      <c r="P7738" s="5" t="str">
        <f>IFERROR(__xludf.DUMMYFUNCTION("TEXTJOIN("" | "",TRUE,IF(OR(D7738="""",E7738="""",I7738="""",J7738="""",H7738=""""),""ফাঁকা ঘর"",""""),IF(AND(C7738&lt;&gt;"""",D7738&lt;&gt;"""",C7738=D7738),""gloss=figurative"",""""),IF(LEN(D7738)&lt;15,""figurative ছোট"",""""),IF(AND(I7738=""Positive"",REGEXMATCH(H7"&amp;"738,""মূর্খ|ভণ্ড|প্রতার|অলস|লোভ|স্বার্থ|অক্ষম|অযোগ্য|বোকা|কৃপণ|হিংস"")),""valence-target অমিল"",""""),IF(COUNTIF($B:$B,B7738)&gt;1,""ডুপ্লিকেট"",""""))"),"")</f>
        <v/>
      </c>
      <c r="Q7738" s="5" t="str">
        <f t="shared" si="1"/>
        <v>২ পরে</v>
      </c>
    </row>
    <row r="7739">
      <c r="A7739" s="4">
        <v>6455.0</v>
      </c>
      <c r="B7739" s="2" t="s">
        <v>31202</v>
      </c>
      <c r="C7739" s="2" t="s">
        <v>31203</v>
      </c>
      <c r="D7739" s="2" t="s">
        <v>31204</v>
      </c>
      <c r="E7739" s="2" t="s">
        <v>31205</v>
      </c>
      <c r="F7739" s="2" t="b">
        <v>1</v>
      </c>
      <c r="G7739" s="2" t="b">
        <v>1</v>
      </c>
      <c r="H7739" s="2" t="s">
        <v>2184</v>
      </c>
      <c r="I7739" s="2" t="s">
        <v>49</v>
      </c>
      <c r="J7739" s="2" t="s">
        <v>3327</v>
      </c>
      <c r="K7739" s="2" t="s">
        <v>495</v>
      </c>
      <c r="L7739" s="13" t="s">
        <v>496</v>
      </c>
      <c r="M7739" s="2" t="s">
        <v>26</v>
      </c>
      <c r="N7739" s="29"/>
      <c r="O7739" s="29"/>
      <c r="P7739" s="5" t="str">
        <f>IFERROR(__xludf.DUMMYFUNCTION("TEXTJOIN("" | "",TRUE,IF(OR(D7739="""",E7739="""",I7739="""",J7739="""",H7739=""""),""ফাঁকা ঘর"",""""),IF(AND(C7739&lt;&gt;"""",D7739&lt;&gt;"""",C7739=D7739),""gloss=figurative"",""""),IF(LEN(D7739)&lt;15,""figurative ছোট"",""""),IF(AND(I7739=""Positive"",REGEXMATCH(H7"&amp;"739,""মূর্খ|ভণ্ড|প্রতার|অলস|লোভ|স্বার্থ|অক্ষম|অযোগ্য|বোকা|কৃপণ|হিংস"")),""valence-target অমিল"",""""),IF(COUNTIF($B:$B,B7739)&gt;1,""ডুপ্লিকেট"",""""))"),"")</f>
        <v/>
      </c>
      <c r="Q7739" s="5" t="str">
        <f t="shared" si="1"/>
        <v>২ পরে</v>
      </c>
    </row>
    <row r="7740">
      <c r="A7740" s="4">
        <v>6461.0</v>
      </c>
      <c r="B7740" s="2" t="s">
        <v>31206</v>
      </c>
      <c r="C7740" s="2" t="s">
        <v>31207</v>
      </c>
      <c r="D7740" s="2" t="s">
        <v>31208</v>
      </c>
      <c r="E7740" s="2" t="s">
        <v>31209</v>
      </c>
      <c r="F7740" s="2" t="b">
        <v>1</v>
      </c>
      <c r="G7740" s="2" t="b">
        <v>0</v>
      </c>
      <c r="H7740" s="2" t="s">
        <v>37</v>
      </c>
      <c r="I7740" s="2" t="s">
        <v>32</v>
      </c>
      <c r="J7740" s="2" t="s">
        <v>565</v>
      </c>
      <c r="K7740" s="2" t="s">
        <v>495</v>
      </c>
      <c r="L7740" s="13" t="s">
        <v>496</v>
      </c>
      <c r="M7740" s="2" t="s">
        <v>26</v>
      </c>
      <c r="N7740" s="29"/>
      <c r="O7740" s="29"/>
      <c r="P7740" s="5" t="str">
        <f>IFERROR(__xludf.DUMMYFUNCTION("TEXTJOIN("" | "",TRUE,IF(OR(D7740="""",E7740="""",I7740="""",J7740="""",H7740=""""),""ফাঁকা ঘর"",""""),IF(AND(C7740&lt;&gt;"""",D7740&lt;&gt;"""",C7740=D7740),""gloss=figurative"",""""),IF(LEN(D7740)&lt;15,""figurative ছোট"",""""),IF(AND(I7740=""Positive"",REGEXMATCH(H7"&amp;"740,""মূর্খ|ভণ্ড|প্রতার|অলস|লোভ|স্বার্থ|অক্ষম|অযোগ্য|বোকা|কৃপণ|হিংস"")),""valence-target অমিল"",""""),IF(COUNTIF($B:$B,B7740)&gt;1,""ডুপ্লিকেট"",""""))"),"")</f>
        <v/>
      </c>
      <c r="Q7740" s="5" t="str">
        <f t="shared" si="1"/>
        <v>২ পরে</v>
      </c>
    </row>
    <row r="7741">
      <c r="A7741" s="4">
        <v>6462.0</v>
      </c>
      <c r="B7741" s="2" t="s">
        <v>31210</v>
      </c>
      <c r="C7741" s="2" t="s">
        <v>31211</v>
      </c>
      <c r="D7741" s="2" t="s">
        <v>31212</v>
      </c>
      <c r="E7741" s="2" t="s">
        <v>31213</v>
      </c>
      <c r="F7741" s="2" t="b">
        <v>1</v>
      </c>
      <c r="G7741" s="2" t="b">
        <v>0</v>
      </c>
      <c r="H7741" s="2" t="s">
        <v>37</v>
      </c>
      <c r="I7741" s="2" t="s">
        <v>32</v>
      </c>
      <c r="J7741" s="2" t="s">
        <v>1060</v>
      </c>
      <c r="K7741" s="2" t="s">
        <v>495</v>
      </c>
      <c r="L7741" s="13" t="s">
        <v>496</v>
      </c>
      <c r="M7741" s="2" t="s">
        <v>26</v>
      </c>
      <c r="N7741" s="29"/>
      <c r="O7741" s="29"/>
      <c r="P7741" s="5" t="str">
        <f>IFERROR(__xludf.DUMMYFUNCTION("TEXTJOIN("" | "",TRUE,IF(OR(D7741="""",E7741="""",I7741="""",J7741="""",H7741=""""),""ফাঁকা ঘর"",""""),IF(AND(C7741&lt;&gt;"""",D7741&lt;&gt;"""",C7741=D7741),""gloss=figurative"",""""),IF(LEN(D7741)&lt;15,""figurative ছোট"",""""),IF(AND(I7741=""Positive"",REGEXMATCH(H7"&amp;"741,""মূর্খ|ভণ্ড|প্রতার|অলস|লোভ|স্বার্থ|অক্ষম|অযোগ্য|বোকা|কৃপণ|হিংস"")),""valence-target অমিল"",""""),IF(COUNTIF($B:$B,B7741)&gt;1,""ডুপ্লিকেট"",""""))"),"")</f>
        <v/>
      </c>
      <c r="Q7741" s="5" t="str">
        <f t="shared" si="1"/>
        <v>২ পরে</v>
      </c>
    </row>
    <row r="7742">
      <c r="A7742" s="4">
        <v>6463.0</v>
      </c>
      <c r="B7742" s="2" t="s">
        <v>31214</v>
      </c>
      <c r="C7742" s="2" t="s">
        <v>31215</v>
      </c>
      <c r="D7742" s="2" t="s">
        <v>30648</v>
      </c>
      <c r="E7742" s="2" t="s">
        <v>31216</v>
      </c>
      <c r="F7742" s="2" t="b">
        <v>1</v>
      </c>
      <c r="G7742" s="2" t="b">
        <v>0</v>
      </c>
      <c r="H7742" s="2" t="s">
        <v>37</v>
      </c>
      <c r="I7742" s="2" t="s">
        <v>32</v>
      </c>
      <c r="J7742" s="2" t="s">
        <v>1060</v>
      </c>
      <c r="K7742" s="2" t="s">
        <v>495</v>
      </c>
      <c r="L7742" s="13" t="s">
        <v>496</v>
      </c>
      <c r="M7742" s="2" t="s">
        <v>26</v>
      </c>
      <c r="N7742" s="29"/>
      <c r="O7742" s="29"/>
      <c r="P7742" s="5" t="str">
        <f>IFERROR(__xludf.DUMMYFUNCTION("TEXTJOIN("" | "",TRUE,IF(OR(D7742="""",E7742="""",I7742="""",J7742="""",H7742=""""),""ফাঁকা ঘর"",""""),IF(AND(C7742&lt;&gt;"""",D7742&lt;&gt;"""",C7742=D7742),""gloss=figurative"",""""),IF(LEN(D7742)&lt;15,""figurative ছোট"",""""),IF(AND(I7742=""Positive"",REGEXMATCH(H7"&amp;"742,""মূর্খ|ভণ্ড|প্রতার|অলস|লোভ|স্বার্থ|অক্ষম|অযোগ্য|বোকা|কৃপণ|হিংস"")),""valence-target অমিল"",""""),IF(COUNTIF($B:$B,B7742)&gt;1,""ডুপ্লিকেট"",""""))"),"")</f>
        <v/>
      </c>
      <c r="Q7742" s="5" t="str">
        <f t="shared" si="1"/>
        <v>২ পরে</v>
      </c>
    </row>
    <row r="7743">
      <c r="A7743" s="4">
        <v>6464.0</v>
      </c>
      <c r="B7743" s="2" t="s">
        <v>31217</v>
      </c>
      <c r="C7743" s="2" t="s">
        <v>31218</v>
      </c>
      <c r="D7743" s="2" t="s">
        <v>31219</v>
      </c>
      <c r="E7743" s="2" t="s">
        <v>31220</v>
      </c>
      <c r="F7743" s="2" t="b">
        <v>1</v>
      </c>
      <c r="G7743" s="2" t="b">
        <v>0</v>
      </c>
      <c r="H7743" s="2" t="s">
        <v>37</v>
      </c>
      <c r="I7743" s="2" t="s">
        <v>32</v>
      </c>
      <c r="J7743" s="2" t="s">
        <v>3156</v>
      </c>
      <c r="K7743" s="2" t="s">
        <v>495</v>
      </c>
      <c r="L7743" s="13" t="s">
        <v>496</v>
      </c>
      <c r="M7743" s="2" t="s">
        <v>26</v>
      </c>
      <c r="N7743" s="29"/>
      <c r="O7743" s="29"/>
      <c r="P7743" s="5" t="str">
        <f>IFERROR(__xludf.DUMMYFUNCTION("TEXTJOIN("" | "",TRUE,IF(OR(D7743="""",E7743="""",I7743="""",J7743="""",H7743=""""),""ফাঁকা ঘর"",""""),IF(AND(C7743&lt;&gt;"""",D7743&lt;&gt;"""",C7743=D7743),""gloss=figurative"",""""),IF(LEN(D7743)&lt;15,""figurative ছোট"",""""),IF(AND(I7743=""Positive"",REGEXMATCH(H7"&amp;"743,""মূর্খ|ভণ্ড|প্রতার|অলস|লোভ|স্বার্থ|অক্ষম|অযোগ্য|বোকা|কৃপণ|হিংস"")),""valence-target অমিল"",""""),IF(COUNTIF($B:$B,B7743)&gt;1,""ডুপ্লিকেট"",""""))"),"")</f>
        <v/>
      </c>
      <c r="Q7743" s="5" t="str">
        <f t="shared" si="1"/>
        <v>২ পরে</v>
      </c>
    </row>
    <row r="7744">
      <c r="A7744" s="4">
        <v>6465.0</v>
      </c>
      <c r="B7744" s="2" t="s">
        <v>31221</v>
      </c>
      <c r="C7744" s="2" t="s">
        <v>31222</v>
      </c>
      <c r="D7744" s="2" t="s">
        <v>31223</v>
      </c>
      <c r="E7744" s="2" t="s">
        <v>31224</v>
      </c>
      <c r="F7744" s="2" t="b">
        <v>1</v>
      </c>
      <c r="G7744" s="2" t="b">
        <v>1</v>
      </c>
      <c r="H7744" s="2" t="s">
        <v>3882</v>
      </c>
      <c r="I7744" s="2" t="s">
        <v>49</v>
      </c>
      <c r="J7744" s="2" t="s">
        <v>1060</v>
      </c>
      <c r="K7744" s="2" t="s">
        <v>495</v>
      </c>
      <c r="L7744" s="13" t="s">
        <v>496</v>
      </c>
      <c r="M7744" s="2" t="s">
        <v>26</v>
      </c>
      <c r="N7744" s="29"/>
      <c r="O7744" s="29"/>
      <c r="P7744" s="5" t="str">
        <f>IFERROR(__xludf.DUMMYFUNCTION("TEXTJOIN("" | "",TRUE,IF(OR(D7744="""",E7744="""",I7744="""",J7744="""",H7744=""""),""ফাঁকা ঘর"",""""),IF(AND(C7744&lt;&gt;"""",D7744&lt;&gt;"""",C7744=D7744),""gloss=figurative"",""""),IF(LEN(D7744)&lt;15,""figurative ছোট"",""""),IF(AND(I7744=""Positive"",REGEXMATCH(H7"&amp;"744,""মূর্খ|ভণ্ড|প্রতার|অলস|লোভ|স্বার্থ|অক্ষম|অযোগ্য|বোকা|কৃপণ|হিংস"")),""valence-target অমিল"",""""),IF(COUNTIF($B:$B,B7744)&gt;1,""ডুপ্লিকেট"",""""))"),"")</f>
        <v/>
      </c>
      <c r="Q7744" s="5" t="str">
        <f t="shared" si="1"/>
        <v>২ পরে</v>
      </c>
    </row>
    <row r="7745">
      <c r="A7745" s="4">
        <v>6466.0</v>
      </c>
      <c r="B7745" s="2" t="s">
        <v>31225</v>
      </c>
      <c r="C7745" s="2" t="s">
        <v>31226</v>
      </c>
      <c r="D7745" s="2" t="s">
        <v>31227</v>
      </c>
      <c r="E7745" s="2" t="s">
        <v>31228</v>
      </c>
      <c r="F7745" s="2" t="b">
        <v>1</v>
      </c>
      <c r="G7745" s="2" t="b">
        <v>1</v>
      </c>
      <c r="H7745" s="2" t="s">
        <v>3882</v>
      </c>
      <c r="I7745" s="2" t="s">
        <v>22</v>
      </c>
      <c r="J7745" s="2" t="s">
        <v>3105</v>
      </c>
      <c r="K7745" s="2" t="s">
        <v>495</v>
      </c>
      <c r="L7745" s="13" t="s">
        <v>496</v>
      </c>
      <c r="M7745" s="2" t="s">
        <v>26</v>
      </c>
      <c r="N7745" s="29"/>
      <c r="O7745" s="29"/>
      <c r="P7745" s="5" t="str">
        <f>IFERROR(__xludf.DUMMYFUNCTION("TEXTJOIN("" | "",TRUE,IF(OR(D7745="""",E7745="""",I7745="""",J7745="""",H7745=""""),""ফাঁকা ঘর"",""""),IF(AND(C7745&lt;&gt;"""",D7745&lt;&gt;"""",C7745=D7745),""gloss=figurative"",""""),IF(LEN(D7745)&lt;15,""figurative ছোট"",""""),IF(AND(I7745=""Positive"",REGEXMATCH(H7"&amp;"745,""মূর্খ|ভণ্ড|প্রতার|অলস|লোভ|স্বার্থ|অক্ষম|অযোগ্য|বোকা|কৃপণ|হিংস"")),""valence-target অমিল"",""""),IF(COUNTIF($B:$B,B7745)&gt;1,""ডুপ্লিকেট"",""""))"),"")</f>
        <v/>
      </c>
      <c r="Q7745" s="5" t="str">
        <f t="shared" si="1"/>
        <v>২ পরে</v>
      </c>
    </row>
    <row r="7746">
      <c r="A7746" s="4">
        <v>6467.0</v>
      </c>
      <c r="B7746" s="15" t="s">
        <v>31229</v>
      </c>
      <c r="C7746" s="15" t="s">
        <v>31230</v>
      </c>
      <c r="D7746" s="2" t="s">
        <v>31231</v>
      </c>
      <c r="E7746" s="15" t="s">
        <v>31232</v>
      </c>
      <c r="F7746" s="2" t="b">
        <v>1</v>
      </c>
      <c r="G7746" s="2" t="b">
        <v>1</v>
      </c>
      <c r="H7746" s="2" t="s">
        <v>1211</v>
      </c>
      <c r="I7746" s="2" t="s">
        <v>49</v>
      </c>
      <c r="J7746" s="2" t="s">
        <v>1798</v>
      </c>
      <c r="K7746" s="2" t="s">
        <v>495</v>
      </c>
      <c r="L7746" s="13" t="s">
        <v>496</v>
      </c>
      <c r="M7746" s="2" t="s">
        <v>26</v>
      </c>
      <c r="N7746" s="29"/>
      <c r="O7746" s="29"/>
      <c r="P7746" s="5" t="str">
        <f>IFERROR(__xludf.DUMMYFUNCTION("TEXTJOIN("" | "",TRUE,IF(OR(D7746="""",E7746="""",I7746="""",J7746="""",H7746=""""),""ফাঁকা ঘর"",""""),IF(AND(C7746&lt;&gt;"""",D7746&lt;&gt;"""",C7746=D7746),""gloss=figurative"",""""),IF(LEN(D7746)&lt;15,""figurative ছোট"",""""),IF(AND(I7746=""Positive"",REGEXMATCH(H7"&amp;"746,""মূর্খ|ভণ্ড|প্রতার|অলস|লোভ|স্বার্থ|অক্ষম|অযোগ্য|বোকা|কৃপণ|হিংস"")),""valence-target অমিল"",""""),IF(COUNTIF($B:$B,B7746)&gt;1,""ডুপ্লিকেট"",""""))"),"")</f>
        <v/>
      </c>
      <c r="Q7746" s="5" t="str">
        <f t="shared" si="1"/>
        <v>২ পরে</v>
      </c>
    </row>
    <row r="7747">
      <c r="A7747" s="4">
        <v>6468.0</v>
      </c>
      <c r="B7747" s="2" t="s">
        <v>31233</v>
      </c>
      <c r="C7747" s="2" t="s">
        <v>31234</v>
      </c>
      <c r="D7747" s="2" t="s">
        <v>31235</v>
      </c>
      <c r="E7747" s="2" t="s">
        <v>31236</v>
      </c>
      <c r="F7747" s="2" t="b">
        <v>1</v>
      </c>
      <c r="G7747" s="2" t="b">
        <v>0</v>
      </c>
      <c r="H7747" s="2" t="s">
        <v>37</v>
      </c>
      <c r="I7747" s="2" t="s">
        <v>22</v>
      </c>
      <c r="J7747" s="2" t="s">
        <v>1239</v>
      </c>
      <c r="K7747" s="2" t="s">
        <v>495</v>
      </c>
      <c r="L7747" s="13" t="s">
        <v>496</v>
      </c>
      <c r="M7747" s="2" t="s">
        <v>26</v>
      </c>
      <c r="N7747" s="29"/>
      <c r="O7747" s="29"/>
      <c r="P7747" s="5" t="str">
        <f>IFERROR(__xludf.DUMMYFUNCTION("TEXTJOIN("" | "",TRUE,IF(OR(D7747="""",E7747="""",I7747="""",J7747="""",H7747=""""),""ফাঁকা ঘর"",""""),IF(AND(C7747&lt;&gt;"""",D7747&lt;&gt;"""",C7747=D7747),""gloss=figurative"",""""),IF(LEN(D7747)&lt;15,""figurative ছোট"",""""),IF(AND(I7747=""Positive"",REGEXMATCH(H7"&amp;"747,""মূর্খ|ভণ্ড|প্রতার|অলস|লোভ|স্বার্থ|অক্ষম|অযোগ্য|বোকা|কৃপণ|হিংস"")),""valence-target অমিল"",""""),IF(COUNTIF($B:$B,B7747)&gt;1,""ডুপ্লিকেট"",""""))"),"")</f>
        <v/>
      </c>
      <c r="Q7747" s="5" t="str">
        <f t="shared" si="1"/>
        <v>২ পরে</v>
      </c>
    </row>
    <row r="7748">
      <c r="A7748" s="4">
        <v>6470.0</v>
      </c>
      <c r="B7748" s="2" t="s">
        <v>31237</v>
      </c>
      <c r="C7748" s="2" t="s">
        <v>31237</v>
      </c>
      <c r="D7748" s="2" t="s">
        <v>31238</v>
      </c>
      <c r="E7748" s="2" t="s">
        <v>31239</v>
      </c>
      <c r="F7748" s="2" t="b">
        <v>1</v>
      </c>
      <c r="G7748" s="2" t="b">
        <v>0</v>
      </c>
      <c r="H7748" s="2" t="s">
        <v>37</v>
      </c>
      <c r="I7748" s="2" t="s">
        <v>22</v>
      </c>
      <c r="J7748" s="2" t="s">
        <v>820</v>
      </c>
      <c r="K7748" s="2" t="s">
        <v>495</v>
      </c>
      <c r="L7748" s="13" t="s">
        <v>496</v>
      </c>
      <c r="M7748" s="2" t="s">
        <v>26</v>
      </c>
      <c r="N7748" s="29"/>
      <c r="O7748" s="29"/>
      <c r="P7748" s="5" t="str">
        <f>IFERROR(__xludf.DUMMYFUNCTION("TEXTJOIN("" | "",TRUE,IF(OR(D7748="""",E7748="""",I7748="""",J7748="""",H7748=""""),""ফাঁকা ঘর"",""""),IF(AND(C7748&lt;&gt;"""",D7748&lt;&gt;"""",C7748=D7748),""gloss=figurative"",""""),IF(LEN(D7748)&lt;15,""figurative ছোট"",""""),IF(AND(I7748=""Positive"",REGEXMATCH(H7"&amp;"748,""মূর্খ|ভণ্ড|প্রতার|অলস|লোভ|স্বার্থ|অক্ষম|অযোগ্য|বোকা|কৃপণ|হিংস"")),""valence-target অমিল"",""""),IF(COUNTIF($B:$B,B7748)&gt;1,""ডুপ্লিকেট"",""""))"),"")</f>
        <v/>
      </c>
      <c r="Q7748" s="5" t="str">
        <f t="shared" si="1"/>
        <v>২ পরে</v>
      </c>
    </row>
    <row r="7749">
      <c r="A7749" s="4">
        <v>6471.0</v>
      </c>
      <c r="B7749" s="2" t="s">
        <v>31240</v>
      </c>
      <c r="C7749" s="2" t="s">
        <v>31241</v>
      </c>
      <c r="D7749" s="2" t="s">
        <v>31242</v>
      </c>
      <c r="E7749" s="2" t="s">
        <v>31243</v>
      </c>
      <c r="F7749" s="2" t="b">
        <v>1</v>
      </c>
      <c r="G7749" s="2" t="b">
        <v>0</v>
      </c>
      <c r="H7749" s="2" t="s">
        <v>37</v>
      </c>
      <c r="I7749" s="2" t="s">
        <v>49</v>
      </c>
      <c r="J7749" s="2" t="s">
        <v>762</v>
      </c>
      <c r="K7749" s="2" t="s">
        <v>495</v>
      </c>
      <c r="L7749" s="13" t="s">
        <v>496</v>
      </c>
      <c r="M7749" s="2" t="s">
        <v>26</v>
      </c>
      <c r="N7749" s="29"/>
      <c r="O7749" s="29"/>
      <c r="P7749" s="5" t="str">
        <f>IFERROR(__xludf.DUMMYFUNCTION("TEXTJOIN("" | "",TRUE,IF(OR(D7749="""",E7749="""",I7749="""",J7749="""",H7749=""""),""ফাঁকা ঘর"",""""),IF(AND(C7749&lt;&gt;"""",D7749&lt;&gt;"""",C7749=D7749),""gloss=figurative"",""""),IF(LEN(D7749)&lt;15,""figurative ছোট"",""""),IF(AND(I7749=""Positive"",REGEXMATCH(H7"&amp;"749,""মূর্খ|ভণ্ড|প্রতার|অলস|লোভ|স্বার্থ|অক্ষম|অযোগ্য|বোকা|কৃপণ|হিংস"")),""valence-target অমিল"",""""),IF(COUNTIF($B:$B,B7749)&gt;1,""ডুপ্লিকেট"",""""))"),"")</f>
        <v/>
      </c>
      <c r="Q7749" s="5" t="str">
        <f t="shared" si="1"/>
        <v>২ পরে</v>
      </c>
    </row>
    <row r="7750">
      <c r="A7750" s="4">
        <v>6473.0</v>
      </c>
      <c r="B7750" s="2" t="s">
        <v>31244</v>
      </c>
      <c r="C7750" s="2" t="s">
        <v>31245</v>
      </c>
      <c r="D7750" s="2" t="s">
        <v>31246</v>
      </c>
      <c r="E7750" s="2" t="s">
        <v>31247</v>
      </c>
      <c r="F7750" s="2" t="b">
        <v>1</v>
      </c>
      <c r="G7750" s="2" t="b">
        <v>0</v>
      </c>
      <c r="H7750" s="2" t="s">
        <v>37</v>
      </c>
      <c r="I7750" s="2" t="s">
        <v>32</v>
      </c>
      <c r="J7750" s="2" t="s">
        <v>739</v>
      </c>
      <c r="K7750" s="2" t="s">
        <v>495</v>
      </c>
      <c r="L7750" s="13" t="s">
        <v>496</v>
      </c>
      <c r="M7750" s="2" t="s">
        <v>26</v>
      </c>
      <c r="N7750" s="29"/>
      <c r="O7750" s="29"/>
      <c r="P7750" s="5" t="str">
        <f>IFERROR(__xludf.DUMMYFUNCTION("TEXTJOIN("" | "",TRUE,IF(OR(D7750="""",E7750="""",I7750="""",J7750="""",H7750=""""),""ফাঁকা ঘর"",""""),IF(AND(C7750&lt;&gt;"""",D7750&lt;&gt;"""",C7750=D7750),""gloss=figurative"",""""),IF(LEN(D7750)&lt;15,""figurative ছোট"",""""),IF(AND(I7750=""Positive"",REGEXMATCH(H7"&amp;"750,""মূর্খ|ভণ্ড|প্রতার|অলস|লোভ|স্বার্থ|অক্ষম|অযোগ্য|বোকা|কৃপণ|হিংস"")),""valence-target অমিল"",""""),IF(COUNTIF($B:$B,B7750)&gt;1,""ডুপ্লিকেট"",""""))"),"")</f>
        <v/>
      </c>
      <c r="Q7750" s="5" t="str">
        <f t="shared" si="1"/>
        <v>২ পরে</v>
      </c>
    </row>
    <row r="7751">
      <c r="A7751" s="4">
        <v>6474.0</v>
      </c>
      <c r="B7751" s="2" t="s">
        <v>31248</v>
      </c>
      <c r="C7751" s="2" t="s">
        <v>31249</v>
      </c>
      <c r="D7751" s="2" t="s">
        <v>31250</v>
      </c>
      <c r="E7751" s="2" t="s">
        <v>31251</v>
      </c>
      <c r="F7751" s="2" t="b">
        <v>1</v>
      </c>
      <c r="G7751" s="2" t="b">
        <v>0</v>
      </c>
      <c r="H7751" s="2" t="s">
        <v>37</v>
      </c>
      <c r="I7751" s="2" t="s">
        <v>22</v>
      </c>
      <c r="J7751" s="2" t="s">
        <v>616</v>
      </c>
      <c r="K7751" s="2" t="s">
        <v>495</v>
      </c>
      <c r="L7751" s="13" t="s">
        <v>496</v>
      </c>
      <c r="M7751" s="2" t="s">
        <v>26</v>
      </c>
      <c r="N7751" s="29"/>
      <c r="O7751" s="29"/>
      <c r="P7751" s="5" t="str">
        <f>IFERROR(__xludf.DUMMYFUNCTION("TEXTJOIN("" | "",TRUE,IF(OR(D7751="""",E7751="""",I7751="""",J7751="""",H7751=""""),""ফাঁকা ঘর"",""""),IF(AND(C7751&lt;&gt;"""",D7751&lt;&gt;"""",C7751=D7751),""gloss=figurative"",""""),IF(LEN(D7751)&lt;15,""figurative ছোট"",""""),IF(AND(I7751=""Positive"",REGEXMATCH(H7"&amp;"751,""মূর্খ|ভণ্ড|প্রতার|অলস|লোভ|স্বার্থ|অক্ষম|অযোগ্য|বোকা|কৃপণ|হিংস"")),""valence-target অমিল"",""""),IF(COUNTIF($B:$B,B7751)&gt;1,""ডুপ্লিকেট"",""""))"),"")</f>
        <v/>
      </c>
      <c r="Q7751" s="5" t="str">
        <f t="shared" si="1"/>
        <v>২ পরে</v>
      </c>
    </row>
    <row r="7752">
      <c r="A7752" s="4">
        <v>6477.0</v>
      </c>
      <c r="B7752" s="2" t="s">
        <v>31252</v>
      </c>
      <c r="C7752" s="2" t="s">
        <v>31253</v>
      </c>
      <c r="D7752" s="2" t="s">
        <v>31254</v>
      </c>
      <c r="E7752" s="2" t="s">
        <v>31255</v>
      </c>
      <c r="F7752" s="2" t="b">
        <v>1</v>
      </c>
      <c r="G7752" s="2" t="b">
        <v>1</v>
      </c>
      <c r="H7752" s="2" t="s">
        <v>2292</v>
      </c>
      <c r="I7752" s="2" t="s">
        <v>49</v>
      </c>
      <c r="J7752" s="2" t="s">
        <v>1925</v>
      </c>
      <c r="K7752" s="2" t="s">
        <v>495</v>
      </c>
      <c r="L7752" s="13" t="s">
        <v>496</v>
      </c>
      <c r="M7752" s="2" t="s">
        <v>26</v>
      </c>
      <c r="N7752" s="29"/>
      <c r="O7752" s="29"/>
      <c r="P7752" s="5" t="str">
        <f>IFERROR(__xludf.DUMMYFUNCTION("TEXTJOIN("" | "",TRUE,IF(OR(D7752="""",E7752="""",I7752="""",J7752="""",H7752=""""),""ফাঁকা ঘর"",""""),IF(AND(C7752&lt;&gt;"""",D7752&lt;&gt;"""",C7752=D7752),""gloss=figurative"",""""),IF(LEN(D7752)&lt;15,""figurative ছোট"",""""),IF(AND(I7752=""Positive"",REGEXMATCH(H7"&amp;"752,""মূর্খ|ভণ্ড|প্রতার|অলস|লোভ|স্বার্থ|অক্ষম|অযোগ্য|বোকা|কৃপণ|হিংস"")),""valence-target অমিল"",""""),IF(COUNTIF($B:$B,B7752)&gt;1,""ডুপ্লিকেট"",""""))"),"")</f>
        <v/>
      </c>
      <c r="Q7752" s="5" t="str">
        <f t="shared" si="1"/>
        <v>২ পরে</v>
      </c>
    </row>
    <row r="7753">
      <c r="A7753" s="4">
        <v>6480.0</v>
      </c>
      <c r="B7753" s="2" t="s">
        <v>31256</v>
      </c>
      <c r="C7753" s="2" t="s">
        <v>31257</v>
      </c>
      <c r="D7753" s="2" t="s">
        <v>31258</v>
      </c>
      <c r="E7753" s="2" t="s">
        <v>31259</v>
      </c>
      <c r="F7753" s="2" t="b">
        <v>1</v>
      </c>
      <c r="G7753" s="2" t="b">
        <v>0</v>
      </c>
      <c r="H7753" s="2" t="s">
        <v>37</v>
      </c>
      <c r="I7753" s="2" t="s">
        <v>49</v>
      </c>
      <c r="J7753" s="2" t="s">
        <v>581</v>
      </c>
      <c r="K7753" s="2" t="s">
        <v>495</v>
      </c>
      <c r="L7753" s="13" t="s">
        <v>496</v>
      </c>
      <c r="M7753" s="2" t="s">
        <v>26</v>
      </c>
      <c r="N7753" s="29"/>
      <c r="O7753" s="29"/>
      <c r="P7753" s="5" t="str">
        <f>IFERROR(__xludf.DUMMYFUNCTION("TEXTJOIN("" | "",TRUE,IF(OR(D7753="""",E7753="""",I7753="""",J7753="""",H7753=""""),""ফাঁকা ঘর"",""""),IF(AND(C7753&lt;&gt;"""",D7753&lt;&gt;"""",C7753=D7753),""gloss=figurative"",""""),IF(LEN(D7753)&lt;15,""figurative ছোট"",""""),IF(AND(I7753=""Positive"",REGEXMATCH(H7"&amp;"753,""মূর্খ|ভণ্ড|প্রতার|অলস|লোভ|স্বার্থ|অক্ষম|অযোগ্য|বোকা|কৃপণ|হিংস"")),""valence-target অমিল"",""""),IF(COUNTIF($B:$B,B7753)&gt;1,""ডুপ্লিকেট"",""""))"),"")</f>
        <v/>
      </c>
      <c r="Q7753" s="5" t="str">
        <f t="shared" si="1"/>
        <v>২ পরে</v>
      </c>
    </row>
    <row r="7754">
      <c r="A7754" s="4">
        <v>6482.0</v>
      </c>
      <c r="B7754" s="2" t="s">
        <v>31260</v>
      </c>
      <c r="C7754" s="2" t="s">
        <v>31261</v>
      </c>
      <c r="D7754" s="2" t="s">
        <v>31262</v>
      </c>
      <c r="E7754" s="2" t="s">
        <v>31263</v>
      </c>
      <c r="F7754" s="2" t="b">
        <v>1</v>
      </c>
      <c r="G7754" s="2" t="b">
        <v>0</v>
      </c>
      <c r="H7754" s="2" t="s">
        <v>10280</v>
      </c>
      <c r="I7754" s="2" t="s">
        <v>22</v>
      </c>
      <c r="J7754" s="2" t="s">
        <v>4284</v>
      </c>
      <c r="K7754" s="2" t="s">
        <v>495</v>
      </c>
      <c r="L7754" s="13" t="s">
        <v>496</v>
      </c>
      <c r="M7754" s="2" t="s">
        <v>26</v>
      </c>
      <c r="N7754" s="29"/>
      <c r="O7754" s="29"/>
      <c r="P7754" s="5" t="str">
        <f>IFERROR(__xludf.DUMMYFUNCTION("TEXTJOIN("" | "",TRUE,IF(OR(D7754="""",E7754="""",I7754="""",J7754="""",H7754=""""),""ফাঁকা ঘর"",""""),IF(AND(C7754&lt;&gt;"""",D7754&lt;&gt;"""",C7754=D7754),""gloss=figurative"",""""),IF(LEN(D7754)&lt;15,""figurative ছোট"",""""),IF(AND(I7754=""Positive"",REGEXMATCH(H7"&amp;"754,""মূর্খ|ভণ্ড|প্রতার|অলস|লোভ|স্বার্থ|অক্ষম|অযোগ্য|বোকা|কৃপণ|হিংস"")),""valence-target অমিল"",""""),IF(COUNTIF($B:$B,B7754)&gt;1,""ডুপ্লিকেট"",""""))"),"")</f>
        <v/>
      </c>
      <c r="Q7754" s="5" t="str">
        <f t="shared" si="1"/>
        <v>২ পরে</v>
      </c>
    </row>
    <row r="7755">
      <c r="A7755" s="4">
        <v>6484.0</v>
      </c>
      <c r="B7755" s="2" t="s">
        <v>31264</v>
      </c>
      <c r="C7755" s="2" t="s">
        <v>31265</v>
      </c>
      <c r="D7755" s="2" t="s">
        <v>31266</v>
      </c>
      <c r="E7755" s="2" t="s">
        <v>31267</v>
      </c>
      <c r="F7755" s="2" t="b">
        <v>1</v>
      </c>
      <c r="G7755" s="2" t="b">
        <v>0</v>
      </c>
      <c r="H7755" s="2" t="s">
        <v>37</v>
      </c>
      <c r="I7755" s="2" t="s">
        <v>49</v>
      </c>
      <c r="J7755" s="2" t="s">
        <v>581</v>
      </c>
      <c r="K7755" s="2" t="s">
        <v>495</v>
      </c>
      <c r="L7755" s="13" t="s">
        <v>496</v>
      </c>
      <c r="M7755" s="2" t="s">
        <v>26</v>
      </c>
      <c r="N7755" s="29"/>
      <c r="O7755" s="29"/>
      <c r="P7755" s="5" t="str">
        <f>IFERROR(__xludf.DUMMYFUNCTION("TEXTJOIN("" | "",TRUE,IF(OR(D7755="""",E7755="""",I7755="""",J7755="""",H7755=""""),""ফাঁকা ঘর"",""""),IF(AND(C7755&lt;&gt;"""",D7755&lt;&gt;"""",C7755=D7755),""gloss=figurative"",""""),IF(LEN(D7755)&lt;15,""figurative ছোট"",""""),IF(AND(I7755=""Positive"",REGEXMATCH(H7"&amp;"755,""মূর্খ|ভণ্ড|প্রতার|অলস|লোভ|স্বার্থ|অক্ষম|অযোগ্য|বোকা|কৃপণ|হিংস"")),""valence-target অমিল"",""""),IF(COUNTIF($B:$B,B7755)&gt;1,""ডুপ্লিকেট"",""""))"),"")</f>
        <v/>
      </c>
      <c r="Q7755" s="5" t="str">
        <f t="shared" si="1"/>
        <v>২ পরে</v>
      </c>
    </row>
    <row r="7756">
      <c r="A7756" s="4">
        <v>6485.0</v>
      </c>
      <c r="B7756" s="2" t="s">
        <v>31268</v>
      </c>
      <c r="C7756" s="2" t="s">
        <v>31269</v>
      </c>
      <c r="D7756" s="2" t="s">
        <v>31270</v>
      </c>
      <c r="E7756" s="2" t="s">
        <v>31271</v>
      </c>
      <c r="F7756" s="2" t="b">
        <v>1</v>
      </c>
      <c r="G7756" s="2" t="b">
        <v>0</v>
      </c>
      <c r="H7756" s="2" t="s">
        <v>37</v>
      </c>
      <c r="I7756" s="2" t="s">
        <v>32</v>
      </c>
      <c r="J7756" s="2" t="s">
        <v>6697</v>
      </c>
      <c r="K7756" s="2" t="s">
        <v>495</v>
      </c>
      <c r="L7756" s="13" t="s">
        <v>496</v>
      </c>
      <c r="M7756" s="2" t="s">
        <v>26</v>
      </c>
      <c r="N7756" s="29"/>
      <c r="O7756" s="29"/>
      <c r="P7756" s="5" t="str">
        <f>IFERROR(__xludf.DUMMYFUNCTION("TEXTJOIN("" | "",TRUE,IF(OR(D7756="""",E7756="""",I7756="""",J7756="""",H7756=""""),""ফাঁকা ঘর"",""""),IF(AND(C7756&lt;&gt;"""",D7756&lt;&gt;"""",C7756=D7756),""gloss=figurative"",""""),IF(LEN(D7756)&lt;15,""figurative ছোট"",""""),IF(AND(I7756=""Positive"",REGEXMATCH(H7"&amp;"756,""মূর্খ|ভণ্ড|প্রতার|অলস|লোভ|স্বার্থ|অক্ষম|অযোগ্য|বোকা|কৃপণ|হিংস"")),""valence-target অমিল"",""""),IF(COUNTIF($B:$B,B7756)&gt;1,""ডুপ্লিকেট"",""""))"),"")</f>
        <v/>
      </c>
      <c r="Q7756" s="5" t="str">
        <f t="shared" si="1"/>
        <v>২ পরে</v>
      </c>
    </row>
    <row r="7757">
      <c r="A7757" s="4">
        <v>6486.0</v>
      </c>
      <c r="B7757" s="2" t="s">
        <v>31272</v>
      </c>
      <c r="C7757" s="2" t="s">
        <v>31273</v>
      </c>
      <c r="D7757" s="2" t="s">
        <v>31274</v>
      </c>
      <c r="E7757" s="2" t="s">
        <v>31275</v>
      </c>
      <c r="F7757" s="2" t="b">
        <v>1</v>
      </c>
      <c r="G7757" s="2" t="b">
        <v>0</v>
      </c>
      <c r="H7757" s="2" t="s">
        <v>37</v>
      </c>
      <c r="I7757" s="2" t="s">
        <v>32</v>
      </c>
      <c r="J7757" s="2" t="s">
        <v>4039</v>
      </c>
      <c r="K7757" s="2" t="s">
        <v>495</v>
      </c>
      <c r="L7757" s="13" t="s">
        <v>496</v>
      </c>
      <c r="M7757" s="2" t="s">
        <v>26</v>
      </c>
      <c r="N7757" s="29"/>
      <c r="O7757" s="29"/>
      <c r="P7757" s="5" t="str">
        <f>IFERROR(__xludf.DUMMYFUNCTION("TEXTJOIN("" | "",TRUE,IF(OR(D7757="""",E7757="""",I7757="""",J7757="""",H7757=""""),""ফাঁকা ঘর"",""""),IF(AND(C7757&lt;&gt;"""",D7757&lt;&gt;"""",C7757=D7757),""gloss=figurative"",""""),IF(LEN(D7757)&lt;15,""figurative ছোট"",""""),IF(AND(I7757=""Positive"",REGEXMATCH(H7"&amp;"757,""মূর্খ|ভণ্ড|প্রতার|অলস|লোভ|স্বার্থ|অক্ষম|অযোগ্য|বোকা|কৃপণ|হিংস"")),""valence-target অমিল"",""""),IF(COUNTIF($B:$B,B7757)&gt;1,""ডুপ্লিকেট"",""""))"),"")</f>
        <v/>
      </c>
      <c r="Q7757" s="5" t="str">
        <f t="shared" si="1"/>
        <v>২ পরে</v>
      </c>
    </row>
    <row r="7758">
      <c r="A7758" s="4">
        <v>6487.0</v>
      </c>
      <c r="B7758" s="2" t="s">
        <v>31276</v>
      </c>
      <c r="C7758" s="2" t="s">
        <v>31277</v>
      </c>
      <c r="D7758" s="2" t="s">
        <v>31278</v>
      </c>
      <c r="E7758" s="2" t="s">
        <v>31279</v>
      </c>
      <c r="F7758" s="2" t="b">
        <v>1</v>
      </c>
      <c r="G7758" s="2" t="b">
        <v>0</v>
      </c>
      <c r="H7758" s="2" t="s">
        <v>37</v>
      </c>
      <c r="I7758" s="2" t="s">
        <v>22</v>
      </c>
      <c r="J7758" s="2" t="s">
        <v>766</v>
      </c>
      <c r="K7758" s="2" t="s">
        <v>495</v>
      </c>
      <c r="L7758" s="13" t="s">
        <v>496</v>
      </c>
      <c r="M7758" s="2" t="s">
        <v>26</v>
      </c>
      <c r="N7758" s="29"/>
      <c r="O7758" s="29"/>
      <c r="P7758" s="5" t="str">
        <f>IFERROR(__xludf.DUMMYFUNCTION("TEXTJOIN("" | "",TRUE,IF(OR(D7758="""",E7758="""",I7758="""",J7758="""",H7758=""""),""ফাঁকা ঘর"",""""),IF(AND(C7758&lt;&gt;"""",D7758&lt;&gt;"""",C7758=D7758),""gloss=figurative"",""""),IF(LEN(D7758)&lt;15,""figurative ছোট"",""""),IF(AND(I7758=""Positive"",REGEXMATCH(H7"&amp;"758,""মূর্খ|ভণ্ড|প্রতার|অলস|লোভ|স্বার্থ|অক্ষম|অযোগ্য|বোকা|কৃপণ|হিংস"")),""valence-target অমিল"",""""),IF(COUNTIF($B:$B,B7758)&gt;1,""ডুপ্লিকেট"",""""))"),"")</f>
        <v/>
      </c>
      <c r="Q7758" s="5" t="str">
        <f t="shared" si="1"/>
        <v>২ পরে</v>
      </c>
    </row>
    <row r="7759">
      <c r="A7759" s="4">
        <v>6488.0</v>
      </c>
      <c r="B7759" s="2" t="s">
        <v>31280</v>
      </c>
      <c r="C7759" s="2" t="s">
        <v>31281</v>
      </c>
      <c r="D7759" s="2" t="s">
        <v>31282</v>
      </c>
      <c r="E7759" s="2" t="s">
        <v>31283</v>
      </c>
      <c r="F7759" s="2" t="b">
        <v>1</v>
      </c>
      <c r="G7759" s="2" t="b">
        <v>0</v>
      </c>
      <c r="H7759" s="2" t="s">
        <v>37</v>
      </c>
      <c r="I7759" s="2" t="s">
        <v>22</v>
      </c>
      <c r="J7759" s="2" t="s">
        <v>708</v>
      </c>
      <c r="K7759" s="2" t="s">
        <v>495</v>
      </c>
      <c r="L7759" s="13" t="s">
        <v>496</v>
      </c>
      <c r="M7759" s="2" t="s">
        <v>26</v>
      </c>
      <c r="N7759" s="29"/>
      <c r="O7759" s="29"/>
      <c r="P7759" s="5" t="str">
        <f>IFERROR(__xludf.DUMMYFUNCTION("TEXTJOIN("" | "",TRUE,IF(OR(D7759="""",E7759="""",I7759="""",J7759="""",H7759=""""),""ফাঁকা ঘর"",""""),IF(AND(C7759&lt;&gt;"""",D7759&lt;&gt;"""",C7759=D7759),""gloss=figurative"",""""),IF(LEN(D7759)&lt;15,""figurative ছোট"",""""),IF(AND(I7759=""Positive"",REGEXMATCH(H7"&amp;"759,""মূর্খ|ভণ্ড|প্রতার|অলস|লোভ|স্বার্থ|অক্ষম|অযোগ্য|বোকা|কৃপণ|হিংস"")),""valence-target অমিল"",""""),IF(COUNTIF($B:$B,B7759)&gt;1,""ডুপ্লিকেট"",""""))"),"")</f>
        <v/>
      </c>
      <c r="Q7759" s="5" t="str">
        <f t="shared" si="1"/>
        <v>২ পরে</v>
      </c>
    </row>
    <row r="7760">
      <c r="A7760" s="4">
        <v>6490.0</v>
      </c>
      <c r="B7760" s="2" t="s">
        <v>31284</v>
      </c>
      <c r="C7760" s="2" t="s">
        <v>31285</v>
      </c>
      <c r="D7760" s="2" t="s">
        <v>31286</v>
      </c>
      <c r="E7760" s="2" t="s">
        <v>31287</v>
      </c>
      <c r="F7760" s="2" t="b">
        <v>1</v>
      </c>
      <c r="G7760" s="2" t="b">
        <v>0</v>
      </c>
      <c r="H7760" s="2" t="s">
        <v>37</v>
      </c>
      <c r="I7760" s="2" t="s">
        <v>22</v>
      </c>
      <c r="J7760" s="2" t="s">
        <v>565</v>
      </c>
      <c r="K7760" s="2" t="s">
        <v>495</v>
      </c>
      <c r="L7760" s="13" t="s">
        <v>496</v>
      </c>
      <c r="M7760" s="2" t="s">
        <v>26</v>
      </c>
      <c r="N7760" s="29"/>
      <c r="O7760" s="29"/>
      <c r="P7760" s="5" t="str">
        <f>IFERROR(__xludf.DUMMYFUNCTION("TEXTJOIN("" | "",TRUE,IF(OR(D7760="""",E7760="""",I7760="""",J7760="""",H7760=""""),""ফাঁকা ঘর"",""""),IF(AND(C7760&lt;&gt;"""",D7760&lt;&gt;"""",C7760=D7760),""gloss=figurative"",""""),IF(LEN(D7760)&lt;15,""figurative ছোট"",""""),IF(AND(I7760=""Positive"",REGEXMATCH(H7"&amp;"760,""মূর্খ|ভণ্ড|প্রতার|অলস|লোভ|স্বার্থ|অক্ষম|অযোগ্য|বোকা|কৃপণ|হিংস"")),""valence-target অমিল"",""""),IF(COUNTIF($B:$B,B7760)&gt;1,""ডুপ্লিকেট"",""""))"),"")</f>
        <v/>
      </c>
      <c r="Q7760" s="5" t="str">
        <f t="shared" si="1"/>
        <v>২ পরে</v>
      </c>
    </row>
    <row r="7761">
      <c r="A7761" s="4">
        <v>6491.0</v>
      </c>
      <c r="B7761" s="2" t="s">
        <v>31288</v>
      </c>
      <c r="C7761" s="2" t="s">
        <v>31288</v>
      </c>
      <c r="D7761" s="2" t="s">
        <v>31289</v>
      </c>
      <c r="E7761" s="2" t="s">
        <v>31290</v>
      </c>
      <c r="F7761" s="2" t="b">
        <v>1</v>
      </c>
      <c r="G7761" s="2" t="b">
        <v>0</v>
      </c>
      <c r="H7761" s="2" t="s">
        <v>37</v>
      </c>
      <c r="I7761" s="2" t="s">
        <v>49</v>
      </c>
      <c r="J7761" s="2" t="s">
        <v>581</v>
      </c>
      <c r="K7761" s="2" t="s">
        <v>495</v>
      </c>
      <c r="L7761" s="13" t="s">
        <v>496</v>
      </c>
      <c r="M7761" s="2" t="s">
        <v>26</v>
      </c>
      <c r="N7761" s="29"/>
      <c r="O7761" s="29"/>
      <c r="P7761" s="5" t="str">
        <f>IFERROR(__xludf.DUMMYFUNCTION("TEXTJOIN("" | "",TRUE,IF(OR(D7761="""",E7761="""",I7761="""",J7761="""",H7761=""""),""ফাঁকা ঘর"",""""),IF(AND(C7761&lt;&gt;"""",D7761&lt;&gt;"""",C7761=D7761),""gloss=figurative"",""""),IF(LEN(D7761)&lt;15,""figurative ছোট"",""""),IF(AND(I7761=""Positive"",REGEXMATCH(H7"&amp;"761,""মূর্খ|ভণ্ড|প্রতার|অলস|লোভ|স্বার্থ|অক্ষম|অযোগ্য|বোকা|কৃপণ|হিংস"")),""valence-target অমিল"",""""),IF(COUNTIF($B:$B,B7761)&gt;1,""ডুপ্লিকেট"",""""))"),"")</f>
        <v/>
      </c>
      <c r="Q7761" s="5" t="str">
        <f t="shared" si="1"/>
        <v>২ পরে</v>
      </c>
    </row>
    <row r="7762">
      <c r="A7762" s="4">
        <v>6492.0</v>
      </c>
      <c r="B7762" s="2" t="s">
        <v>31291</v>
      </c>
      <c r="C7762" s="2" t="s">
        <v>31291</v>
      </c>
      <c r="D7762" s="2" t="s">
        <v>31292</v>
      </c>
      <c r="E7762" s="2" t="s">
        <v>31293</v>
      </c>
      <c r="F7762" s="2" t="b">
        <v>1</v>
      </c>
      <c r="G7762" s="2" t="b">
        <v>0</v>
      </c>
      <c r="H7762" s="2" t="s">
        <v>37</v>
      </c>
      <c r="I7762" s="2" t="s">
        <v>22</v>
      </c>
      <c r="J7762" s="2" t="s">
        <v>669</v>
      </c>
      <c r="K7762" s="2" t="s">
        <v>495</v>
      </c>
      <c r="L7762" s="13" t="s">
        <v>496</v>
      </c>
      <c r="M7762" s="2" t="s">
        <v>26</v>
      </c>
      <c r="N7762" s="29"/>
      <c r="O7762" s="29"/>
      <c r="P7762" s="5" t="str">
        <f>IFERROR(__xludf.DUMMYFUNCTION("TEXTJOIN("" | "",TRUE,IF(OR(D7762="""",E7762="""",I7762="""",J7762="""",H7762=""""),""ফাঁকা ঘর"",""""),IF(AND(C7762&lt;&gt;"""",D7762&lt;&gt;"""",C7762=D7762),""gloss=figurative"",""""),IF(LEN(D7762)&lt;15,""figurative ছোট"",""""),IF(AND(I7762=""Positive"",REGEXMATCH(H7"&amp;"762,""মূর্খ|ভণ্ড|প্রতার|অলস|লোভ|স্বার্থ|অক্ষম|অযোগ্য|বোকা|কৃপণ|হিংস"")),""valence-target অমিল"",""""),IF(COUNTIF($B:$B,B7762)&gt;1,""ডুপ্লিকেট"",""""))"),"")</f>
        <v/>
      </c>
      <c r="Q7762" s="5" t="str">
        <f t="shared" si="1"/>
        <v>২ পরে</v>
      </c>
    </row>
    <row r="7763">
      <c r="A7763" s="4">
        <v>6499.0</v>
      </c>
      <c r="B7763" s="2" t="s">
        <v>31294</v>
      </c>
      <c r="C7763" s="2" t="s">
        <v>31295</v>
      </c>
      <c r="D7763" s="2" t="s">
        <v>31296</v>
      </c>
      <c r="E7763" s="2" t="s">
        <v>31297</v>
      </c>
      <c r="F7763" s="2" t="b">
        <v>1</v>
      </c>
      <c r="G7763" s="2" t="b">
        <v>0</v>
      </c>
      <c r="H7763" s="2" t="s">
        <v>37</v>
      </c>
      <c r="I7763" s="2" t="s">
        <v>32</v>
      </c>
      <c r="J7763" s="2" t="s">
        <v>565</v>
      </c>
      <c r="K7763" s="2" t="s">
        <v>495</v>
      </c>
      <c r="L7763" s="13" t="s">
        <v>496</v>
      </c>
      <c r="M7763" s="2" t="s">
        <v>26</v>
      </c>
      <c r="N7763" s="29"/>
      <c r="O7763" s="29"/>
      <c r="P7763" s="5" t="str">
        <f>IFERROR(__xludf.DUMMYFUNCTION("TEXTJOIN("" | "",TRUE,IF(OR(D7763="""",E7763="""",I7763="""",J7763="""",H7763=""""),""ফাঁকা ঘর"",""""),IF(AND(C7763&lt;&gt;"""",D7763&lt;&gt;"""",C7763=D7763),""gloss=figurative"",""""),IF(LEN(D7763)&lt;15,""figurative ছোট"",""""),IF(AND(I7763=""Positive"",REGEXMATCH(H7"&amp;"763,""মূর্খ|ভণ্ড|প্রতার|অলস|লোভ|স্বার্থ|অক্ষম|অযোগ্য|বোকা|কৃপণ|হিংস"")),""valence-target অমিল"",""""),IF(COUNTIF($B:$B,B7763)&gt;1,""ডুপ্লিকেট"",""""))"),"")</f>
        <v/>
      </c>
      <c r="Q7763" s="5" t="str">
        <f t="shared" si="1"/>
        <v>২ পরে</v>
      </c>
    </row>
    <row r="7764">
      <c r="A7764" s="4">
        <v>6501.0</v>
      </c>
      <c r="B7764" s="2" t="s">
        <v>31298</v>
      </c>
      <c r="C7764" s="2" t="s">
        <v>31298</v>
      </c>
      <c r="D7764" s="2" t="s">
        <v>31299</v>
      </c>
      <c r="E7764" s="2" t="s">
        <v>31300</v>
      </c>
      <c r="F7764" s="2" t="b">
        <v>1</v>
      </c>
      <c r="G7764" s="2" t="b">
        <v>0</v>
      </c>
      <c r="H7764" s="2" t="s">
        <v>37</v>
      </c>
      <c r="I7764" s="2" t="s">
        <v>22</v>
      </c>
      <c r="J7764" s="2" t="s">
        <v>978</v>
      </c>
      <c r="K7764" s="2" t="s">
        <v>495</v>
      </c>
      <c r="L7764" s="13" t="s">
        <v>496</v>
      </c>
      <c r="M7764" s="2" t="s">
        <v>26</v>
      </c>
      <c r="N7764" s="29"/>
      <c r="O7764" s="29"/>
      <c r="P7764" s="5" t="str">
        <f>IFERROR(__xludf.DUMMYFUNCTION("TEXTJOIN("" | "",TRUE,IF(OR(D7764="""",E7764="""",I7764="""",J7764="""",H7764=""""),""ফাঁকা ঘর"",""""),IF(AND(C7764&lt;&gt;"""",D7764&lt;&gt;"""",C7764=D7764),""gloss=figurative"",""""),IF(LEN(D7764)&lt;15,""figurative ছোট"",""""),IF(AND(I7764=""Positive"",REGEXMATCH(H7"&amp;"764,""মূর্খ|ভণ্ড|প্রতার|অলস|লোভ|স্বার্থ|অক্ষম|অযোগ্য|বোকা|কৃপণ|হিংস"")),""valence-target অমিল"",""""),IF(COUNTIF($B:$B,B7764)&gt;1,""ডুপ্লিকেট"",""""))"),"")</f>
        <v/>
      </c>
      <c r="Q7764" s="5" t="str">
        <f t="shared" si="1"/>
        <v>২ পরে</v>
      </c>
    </row>
    <row r="7765">
      <c r="A7765" s="4">
        <v>6514.0</v>
      </c>
      <c r="B7765" s="2" t="s">
        <v>31301</v>
      </c>
      <c r="C7765" s="2" t="s">
        <v>31302</v>
      </c>
      <c r="D7765" s="2" t="s">
        <v>31303</v>
      </c>
      <c r="E7765" s="2" t="s">
        <v>31304</v>
      </c>
      <c r="F7765" s="2" t="b">
        <v>1</v>
      </c>
      <c r="G7765" s="2" t="b">
        <v>0</v>
      </c>
      <c r="H7765" s="2" t="s">
        <v>37</v>
      </c>
      <c r="I7765" s="2" t="s">
        <v>32</v>
      </c>
      <c r="J7765" s="2" t="s">
        <v>4711</v>
      </c>
      <c r="K7765" s="2" t="s">
        <v>495</v>
      </c>
      <c r="L7765" s="13" t="s">
        <v>496</v>
      </c>
      <c r="M7765" s="2" t="s">
        <v>26</v>
      </c>
      <c r="N7765" s="29"/>
      <c r="O7765" s="29"/>
      <c r="P7765" s="5" t="str">
        <f>IFERROR(__xludf.DUMMYFUNCTION("TEXTJOIN("" | "",TRUE,IF(OR(D7765="""",E7765="""",I7765="""",J7765="""",H7765=""""),""ফাঁকা ঘর"",""""),IF(AND(C7765&lt;&gt;"""",D7765&lt;&gt;"""",C7765=D7765),""gloss=figurative"",""""),IF(LEN(D7765)&lt;15,""figurative ছোট"",""""),IF(AND(I7765=""Positive"",REGEXMATCH(H7"&amp;"765,""মূর্খ|ভণ্ড|প্রতার|অলস|লোভ|স্বার্থ|অক্ষম|অযোগ্য|বোকা|কৃপণ|হিংস"")),""valence-target অমিল"",""""),IF(COUNTIF($B:$B,B7765)&gt;1,""ডুপ্লিকেট"",""""))"),"")</f>
        <v/>
      </c>
      <c r="Q7765" s="5" t="str">
        <f t="shared" si="1"/>
        <v>২ পরে</v>
      </c>
    </row>
    <row r="7766">
      <c r="A7766" s="4">
        <v>6516.0</v>
      </c>
      <c r="B7766" s="2" t="s">
        <v>31305</v>
      </c>
      <c r="C7766" s="2" t="s">
        <v>31306</v>
      </c>
      <c r="D7766" s="2" t="s">
        <v>31307</v>
      </c>
      <c r="E7766" s="2" t="s">
        <v>31308</v>
      </c>
      <c r="F7766" s="2" t="b">
        <v>1</v>
      </c>
      <c r="G7766" s="2" t="b">
        <v>0</v>
      </c>
      <c r="H7766" s="2" t="s">
        <v>989</v>
      </c>
      <c r="I7766" s="2" t="s">
        <v>22</v>
      </c>
      <c r="J7766" s="2" t="s">
        <v>990</v>
      </c>
      <c r="K7766" s="2" t="s">
        <v>495</v>
      </c>
      <c r="L7766" s="13" t="s">
        <v>496</v>
      </c>
      <c r="M7766" s="2" t="s">
        <v>26</v>
      </c>
      <c r="N7766" s="29"/>
      <c r="O7766" s="29"/>
      <c r="P7766" s="5" t="str">
        <f>IFERROR(__xludf.DUMMYFUNCTION("TEXTJOIN("" | "",TRUE,IF(OR(D7766="""",E7766="""",I7766="""",J7766="""",H7766=""""),""ফাঁকা ঘর"",""""),IF(AND(C7766&lt;&gt;"""",D7766&lt;&gt;"""",C7766=D7766),""gloss=figurative"",""""),IF(LEN(D7766)&lt;15,""figurative ছোট"",""""),IF(AND(I7766=""Positive"",REGEXMATCH(H7"&amp;"766,""মূর্খ|ভণ্ড|প্রতার|অলস|লোভ|স্বার্থ|অক্ষম|অযোগ্য|বোকা|কৃপণ|হিংস"")),""valence-target অমিল"",""""),IF(COUNTIF($B:$B,B7766)&gt;1,""ডুপ্লিকেট"",""""))"),"")</f>
        <v/>
      </c>
      <c r="Q7766" s="5" t="str">
        <f t="shared" si="1"/>
        <v>২ পরে</v>
      </c>
    </row>
    <row r="7767">
      <c r="A7767" s="4">
        <v>6517.0</v>
      </c>
      <c r="B7767" s="2" t="s">
        <v>31309</v>
      </c>
      <c r="C7767" s="2" t="s">
        <v>31309</v>
      </c>
      <c r="D7767" s="2" t="s">
        <v>31310</v>
      </c>
      <c r="E7767" s="2" t="s">
        <v>31311</v>
      </c>
      <c r="F7767" s="2" t="b">
        <v>1</v>
      </c>
      <c r="G7767" s="2" t="b">
        <v>0</v>
      </c>
      <c r="H7767" s="2" t="s">
        <v>37</v>
      </c>
      <c r="I7767" s="2" t="s">
        <v>22</v>
      </c>
      <c r="J7767" s="2" t="s">
        <v>590</v>
      </c>
      <c r="K7767" s="2" t="s">
        <v>495</v>
      </c>
      <c r="L7767" s="13" t="s">
        <v>496</v>
      </c>
      <c r="M7767" s="2" t="s">
        <v>26</v>
      </c>
      <c r="N7767" s="29"/>
      <c r="O7767" s="29"/>
      <c r="P7767" s="5" t="str">
        <f>IFERROR(__xludf.DUMMYFUNCTION("TEXTJOIN("" | "",TRUE,IF(OR(D7767="""",E7767="""",I7767="""",J7767="""",H7767=""""),""ফাঁকা ঘর"",""""),IF(AND(C7767&lt;&gt;"""",D7767&lt;&gt;"""",C7767=D7767),""gloss=figurative"",""""),IF(LEN(D7767)&lt;15,""figurative ছোট"",""""),IF(AND(I7767=""Positive"",REGEXMATCH(H7"&amp;"767,""মূর্খ|ভণ্ড|প্রতার|অলস|লোভ|স্বার্থ|অক্ষম|অযোগ্য|বোকা|কৃপণ|হিংস"")),""valence-target অমিল"",""""),IF(COUNTIF($B:$B,B7767)&gt;1,""ডুপ্লিকেট"",""""))"),"")</f>
        <v/>
      </c>
      <c r="Q7767" s="5" t="str">
        <f t="shared" si="1"/>
        <v>২ পরে</v>
      </c>
    </row>
    <row r="7768">
      <c r="A7768" s="4">
        <v>6520.0</v>
      </c>
      <c r="B7768" s="2" t="s">
        <v>31312</v>
      </c>
      <c r="C7768" s="2" t="s">
        <v>31313</v>
      </c>
      <c r="D7768" s="2" t="s">
        <v>31314</v>
      </c>
      <c r="E7768" s="2" t="s">
        <v>31315</v>
      </c>
      <c r="F7768" s="2" t="b">
        <v>1</v>
      </c>
      <c r="G7768" s="2" t="b">
        <v>0</v>
      </c>
      <c r="H7768" s="2" t="s">
        <v>37</v>
      </c>
      <c r="I7768" s="2" t="s">
        <v>22</v>
      </c>
      <c r="J7768" s="2" t="s">
        <v>4374</v>
      </c>
      <c r="K7768" s="2" t="s">
        <v>495</v>
      </c>
      <c r="L7768" s="13" t="s">
        <v>496</v>
      </c>
      <c r="M7768" s="2" t="s">
        <v>26</v>
      </c>
      <c r="N7768" s="29"/>
      <c r="O7768" s="29"/>
      <c r="P7768" s="5" t="str">
        <f>IFERROR(__xludf.DUMMYFUNCTION("TEXTJOIN("" | "",TRUE,IF(OR(D7768="""",E7768="""",I7768="""",J7768="""",H7768=""""),""ফাঁকা ঘর"",""""),IF(AND(C7768&lt;&gt;"""",D7768&lt;&gt;"""",C7768=D7768),""gloss=figurative"",""""),IF(LEN(D7768)&lt;15,""figurative ছোট"",""""),IF(AND(I7768=""Positive"",REGEXMATCH(H7"&amp;"768,""মূর্খ|ভণ্ড|প্রতার|অলস|লোভ|স্বার্থ|অক্ষম|অযোগ্য|বোকা|কৃপণ|হিংস"")),""valence-target অমিল"",""""),IF(COUNTIF($B:$B,B7768)&gt;1,""ডুপ্লিকেট"",""""))"),"")</f>
        <v/>
      </c>
      <c r="Q7768" s="5" t="str">
        <f t="shared" si="1"/>
        <v>২ পরে</v>
      </c>
    </row>
    <row r="7769">
      <c r="A7769" s="4">
        <v>6524.0</v>
      </c>
      <c r="B7769" s="2" t="s">
        <v>31316</v>
      </c>
      <c r="C7769" s="2" t="s">
        <v>31316</v>
      </c>
      <c r="D7769" s="2" t="s">
        <v>31317</v>
      </c>
      <c r="E7769" s="2" t="s">
        <v>31318</v>
      </c>
      <c r="F7769" s="2" t="b">
        <v>1</v>
      </c>
      <c r="G7769" s="2" t="b">
        <v>0</v>
      </c>
      <c r="H7769" s="2" t="s">
        <v>37</v>
      </c>
      <c r="I7769" s="2" t="s">
        <v>32</v>
      </c>
      <c r="J7769" s="2" t="s">
        <v>3615</v>
      </c>
      <c r="K7769" s="2" t="s">
        <v>495</v>
      </c>
      <c r="L7769" s="13" t="s">
        <v>496</v>
      </c>
      <c r="M7769" s="2" t="s">
        <v>26</v>
      </c>
      <c r="N7769" s="29"/>
      <c r="O7769" s="29"/>
      <c r="P7769" s="5" t="str">
        <f>IFERROR(__xludf.DUMMYFUNCTION("TEXTJOIN("" | "",TRUE,IF(OR(D7769="""",E7769="""",I7769="""",J7769="""",H7769=""""),""ফাঁকা ঘর"",""""),IF(AND(C7769&lt;&gt;"""",D7769&lt;&gt;"""",C7769=D7769),""gloss=figurative"",""""),IF(LEN(D7769)&lt;15,""figurative ছোট"",""""),IF(AND(I7769=""Positive"",REGEXMATCH(H7"&amp;"769,""মূর্খ|ভণ্ড|প্রতার|অলস|লোভ|স্বার্থ|অক্ষম|অযোগ্য|বোকা|কৃপণ|হিংস"")),""valence-target অমিল"",""""),IF(COUNTIF($B:$B,B7769)&gt;1,""ডুপ্লিকেট"",""""))"),"")</f>
        <v/>
      </c>
      <c r="Q7769" s="5" t="str">
        <f t="shared" si="1"/>
        <v>২ পরে</v>
      </c>
    </row>
    <row r="7770">
      <c r="A7770" s="4">
        <v>6526.0</v>
      </c>
      <c r="B7770" s="2" t="s">
        <v>31319</v>
      </c>
      <c r="C7770" s="2" t="s">
        <v>31320</v>
      </c>
      <c r="D7770" s="2" t="s">
        <v>31321</v>
      </c>
      <c r="E7770" s="2" t="s">
        <v>31322</v>
      </c>
      <c r="F7770" s="2" t="b">
        <v>1</v>
      </c>
      <c r="G7770" s="2" t="b">
        <v>0</v>
      </c>
      <c r="H7770" s="2" t="s">
        <v>37</v>
      </c>
      <c r="I7770" s="2" t="s">
        <v>22</v>
      </c>
      <c r="J7770" s="2" t="s">
        <v>176</v>
      </c>
      <c r="K7770" s="2" t="s">
        <v>495</v>
      </c>
      <c r="L7770" s="13" t="s">
        <v>496</v>
      </c>
      <c r="M7770" s="2" t="s">
        <v>26</v>
      </c>
      <c r="N7770" s="29"/>
      <c r="O7770" s="29"/>
      <c r="P7770" s="5" t="str">
        <f>IFERROR(__xludf.DUMMYFUNCTION("TEXTJOIN("" | "",TRUE,IF(OR(D7770="""",E7770="""",I7770="""",J7770="""",H7770=""""),""ফাঁকা ঘর"",""""),IF(AND(C7770&lt;&gt;"""",D7770&lt;&gt;"""",C7770=D7770),""gloss=figurative"",""""),IF(LEN(D7770)&lt;15,""figurative ছোট"",""""),IF(AND(I7770=""Positive"",REGEXMATCH(H7"&amp;"770,""মূর্খ|ভণ্ড|প্রতার|অলস|লোভ|স্বার্থ|অক্ষম|অযোগ্য|বোকা|কৃপণ|হিংস"")),""valence-target অমিল"",""""),IF(COUNTIF($B:$B,B7770)&gt;1,""ডুপ্লিকেট"",""""))"),"")</f>
        <v/>
      </c>
      <c r="Q7770" s="5" t="str">
        <f t="shared" si="1"/>
        <v>২ পরে</v>
      </c>
    </row>
    <row r="7771">
      <c r="A7771" s="4">
        <v>6535.0</v>
      </c>
      <c r="B7771" s="2" t="s">
        <v>31323</v>
      </c>
      <c r="C7771" s="2" t="s">
        <v>31324</v>
      </c>
      <c r="D7771" s="2" t="s">
        <v>31325</v>
      </c>
      <c r="E7771" s="2" t="s">
        <v>31326</v>
      </c>
      <c r="F7771" s="2" t="b">
        <v>1</v>
      </c>
      <c r="G7771" s="2" t="b">
        <v>1</v>
      </c>
      <c r="H7771" s="2" t="s">
        <v>2173</v>
      </c>
      <c r="I7771" s="2" t="s">
        <v>22</v>
      </c>
      <c r="J7771" s="2" t="s">
        <v>1137</v>
      </c>
      <c r="K7771" s="2" t="s">
        <v>495</v>
      </c>
      <c r="L7771" s="13" t="s">
        <v>496</v>
      </c>
      <c r="M7771" s="2" t="s">
        <v>26</v>
      </c>
      <c r="N7771" s="29"/>
      <c r="O7771" s="29"/>
      <c r="P7771" s="5" t="str">
        <f>IFERROR(__xludf.DUMMYFUNCTION("TEXTJOIN("" | "",TRUE,IF(OR(D7771="""",E7771="""",I7771="""",J7771="""",H7771=""""),""ফাঁকা ঘর"",""""),IF(AND(C7771&lt;&gt;"""",D7771&lt;&gt;"""",C7771=D7771),""gloss=figurative"",""""),IF(LEN(D7771)&lt;15,""figurative ছোট"",""""),IF(AND(I7771=""Positive"",REGEXMATCH(H7"&amp;"771,""মূর্খ|ভণ্ড|প্রতার|অলস|লোভ|স্বার্থ|অক্ষম|অযোগ্য|বোকা|কৃপণ|হিংস"")),""valence-target অমিল"",""""),IF(COUNTIF($B:$B,B7771)&gt;1,""ডুপ্লিকেট"",""""))"),"")</f>
        <v/>
      </c>
      <c r="Q7771" s="5" t="str">
        <f t="shared" si="1"/>
        <v>২ পরে</v>
      </c>
    </row>
    <row r="7772">
      <c r="A7772" s="4">
        <v>6536.0</v>
      </c>
      <c r="B7772" s="2" t="s">
        <v>31327</v>
      </c>
      <c r="C7772" s="2" t="s">
        <v>31328</v>
      </c>
      <c r="D7772" s="2" t="s">
        <v>31329</v>
      </c>
      <c r="E7772" s="2" t="s">
        <v>31330</v>
      </c>
      <c r="F7772" s="2" t="b">
        <v>1</v>
      </c>
      <c r="G7772" s="2" t="b">
        <v>0</v>
      </c>
      <c r="H7772" s="2" t="s">
        <v>756</v>
      </c>
      <c r="I7772" s="2" t="s">
        <v>22</v>
      </c>
      <c r="J7772" s="2" t="s">
        <v>1630</v>
      </c>
      <c r="K7772" s="2" t="s">
        <v>495</v>
      </c>
      <c r="L7772" s="13" t="s">
        <v>496</v>
      </c>
      <c r="M7772" s="2" t="s">
        <v>26</v>
      </c>
      <c r="N7772" s="29"/>
      <c r="O7772" s="29"/>
      <c r="P7772" s="5" t="str">
        <f>IFERROR(__xludf.DUMMYFUNCTION("TEXTJOIN("" | "",TRUE,IF(OR(D7772="""",E7772="""",I7772="""",J7772="""",H7772=""""),""ফাঁকা ঘর"",""""),IF(AND(C7772&lt;&gt;"""",D7772&lt;&gt;"""",C7772=D7772),""gloss=figurative"",""""),IF(LEN(D7772)&lt;15,""figurative ছোট"",""""),IF(AND(I7772=""Positive"",REGEXMATCH(H7"&amp;"772,""মূর্খ|ভণ্ড|প্রতার|অলস|লোভ|স্বার্থ|অক্ষম|অযোগ্য|বোকা|কৃপণ|হিংস"")),""valence-target অমিল"",""""),IF(COUNTIF($B:$B,B7772)&gt;1,""ডুপ্লিকেট"",""""))"),"")</f>
        <v/>
      </c>
      <c r="Q7772" s="5" t="str">
        <f t="shared" si="1"/>
        <v>২ পরে</v>
      </c>
    </row>
    <row r="7773">
      <c r="A7773" s="4">
        <v>6541.0</v>
      </c>
      <c r="B7773" s="2" t="s">
        <v>31331</v>
      </c>
      <c r="C7773" s="2" t="s">
        <v>31331</v>
      </c>
      <c r="D7773" s="2" t="s">
        <v>31332</v>
      </c>
      <c r="E7773" s="2" t="s">
        <v>31333</v>
      </c>
      <c r="F7773" s="2" t="b">
        <v>1</v>
      </c>
      <c r="G7773" s="2" t="b">
        <v>0</v>
      </c>
      <c r="H7773" s="2" t="s">
        <v>756</v>
      </c>
      <c r="I7773" s="2" t="s">
        <v>22</v>
      </c>
      <c r="J7773" s="2" t="s">
        <v>729</v>
      </c>
      <c r="K7773" s="2" t="s">
        <v>495</v>
      </c>
      <c r="L7773" s="13" t="s">
        <v>496</v>
      </c>
      <c r="M7773" s="2" t="s">
        <v>26</v>
      </c>
      <c r="N7773" s="29"/>
      <c r="O7773" s="29"/>
      <c r="P7773" s="5" t="str">
        <f>IFERROR(__xludf.DUMMYFUNCTION("TEXTJOIN("" | "",TRUE,IF(OR(D7773="""",E7773="""",I7773="""",J7773="""",H7773=""""),""ফাঁকা ঘর"",""""),IF(AND(C7773&lt;&gt;"""",D7773&lt;&gt;"""",C7773=D7773),""gloss=figurative"",""""),IF(LEN(D7773)&lt;15,""figurative ছোট"",""""),IF(AND(I7773=""Positive"",REGEXMATCH(H7"&amp;"773,""মূর্খ|ভণ্ড|প্রতার|অলস|লোভ|স্বার্থ|অক্ষম|অযোগ্য|বোকা|কৃপণ|হিংস"")),""valence-target অমিল"",""""),IF(COUNTIF($B:$B,B7773)&gt;1,""ডুপ্লিকেট"",""""))"),"")</f>
        <v/>
      </c>
      <c r="Q7773" s="5" t="str">
        <f t="shared" si="1"/>
        <v>২ পরে</v>
      </c>
    </row>
    <row r="7774">
      <c r="A7774" s="4">
        <v>6542.0</v>
      </c>
      <c r="B7774" s="2" t="s">
        <v>31334</v>
      </c>
      <c r="C7774" s="2" t="s">
        <v>31335</v>
      </c>
      <c r="D7774" s="2" t="s">
        <v>31336</v>
      </c>
      <c r="E7774" s="2" t="s">
        <v>31337</v>
      </c>
      <c r="F7774" s="2" t="b">
        <v>1</v>
      </c>
      <c r="G7774" s="2" t="b">
        <v>0</v>
      </c>
      <c r="H7774" s="2" t="s">
        <v>756</v>
      </c>
      <c r="I7774" s="2" t="s">
        <v>22</v>
      </c>
      <c r="J7774" s="2" t="s">
        <v>1621</v>
      </c>
      <c r="K7774" s="2" t="s">
        <v>495</v>
      </c>
      <c r="L7774" s="13" t="s">
        <v>496</v>
      </c>
      <c r="M7774" s="2" t="s">
        <v>26</v>
      </c>
      <c r="N7774" s="29"/>
      <c r="O7774" s="29"/>
      <c r="P7774" s="5" t="str">
        <f>IFERROR(__xludf.DUMMYFUNCTION("TEXTJOIN("" | "",TRUE,IF(OR(D7774="""",E7774="""",I7774="""",J7774="""",H7774=""""),""ফাঁকা ঘর"",""""),IF(AND(C7774&lt;&gt;"""",D7774&lt;&gt;"""",C7774=D7774),""gloss=figurative"",""""),IF(LEN(D7774)&lt;15,""figurative ছোট"",""""),IF(AND(I7774=""Positive"",REGEXMATCH(H7"&amp;"774,""মূর্খ|ভণ্ড|প্রতার|অলস|লোভ|স্বার্থ|অক্ষম|অযোগ্য|বোকা|কৃপণ|হিংস"")),""valence-target অমিল"",""""),IF(COUNTIF($B:$B,B7774)&gt;1,""ডুপ্লিকেট"",""""))"),"")</f>
        <v/>
      </c>
      <c r="Q7774" s="5" t="str">
        <f t="shared" si="1"/>
        <v>২ পরে</v>
      </c>
    </row>
    <row r="7775">
      <c r="A7775" s="4">
        <v>6549.0</v>
      </c>
      <c r="B7775" s="2" t="s">
        <v>31338</v>
      </c>
      <c r="C7775" s="2" t="s">
        <v>31339</v>
      </c>
      <c r="D7775" s="2" t="s">
        <v>31340</v>
      </c>
      <c r="E7775" s="2" t="s">
        <v>31341</v>
      </c>
      <c r="F7775" s="2" t="b">
        <v>1</v>
      </c>
      <c r="G7775" s="2" t="b">
        <v>0</v>
      </c>
      <c r="H7775" s="2" t="s">
        <v>37</v>
      </c>
      <c r="I7775" s="2" t="s">
        <v>32</v>
      </c>
      <c r="J7775" s="2" t="s">
        <v>1603</v>
      </c>
      <c r="K7775" s="2" t="s">
        <v>495</v>
      </c>
      <c r="L7775" s="13" t="s">
        <v>496</v>
      </c>
      <c r="M7775" s="2" t="s">
        <v>26</v>
      </c>
      <c r="N7775" s="29"/>
      <c r="O7775" s="29"/>
      <c r="P7775" s="5" t="str">
        <f>IFERROR(__xludf.DUMMYFUNCTION("TEXTJOIN("" | "",TRUE,IF(OR(D7775="""",E7775="""",I7775="""",J7775="""",H7775=""""),""ফাঁকা ঘর"",""""),IF(AND(C7775&lt;&gt;"""",D7775&lt;&gt;"""",C7775=D7775),""gloss=figurative"",""""),IF(LEN(D7775)&lt;15,""figurative ছোট"",""""),IF(AND(I7775=""Positive"",REGEXMATCH(H7"&amp;"775,""মূর্খ|ভণ্ড|প্রতার|অলস|লোভ|স্বার্থ|অক্ষম|অযোগ্য|বোকা|কৃপণ|হিংস"")),""valence-target অমিল"",""""),IF(COUNTIF($B:$B,B7775)&gt;1,""ডুপ্লিকেট"",""""))"),"")</f>
        <v/>
      </c>
      <c r="Q7775" s="5" t="str">
        <f t="shared" si="1"/>
        <v>২ পরে</v>
      </c>
    </row>
    <row r="7776">
      <c r="A7776" s="4">
        <v>6550.0</v>
      </c>
      <c r="B7776" s="2" t="s">
        <v>31342</v>
      </c>
      <c r="C7776" s="2" t="s">
        <v>31343</v>
      </c>
      <c r="D7776" s="2" t="s">
        <v>31344</v>
      </c>
      <c r="E7776" s="2" t="s">
        <v>31345</v>
      </c>
      <c r="F7776" s="2" t="b">
        <v>1</v>
      </c>
      <c r="G7776" s="2" t="b">
        <v>0</v>
      </c>
      <c r="H7776" s="2" t="s">
        <v>37</v>
      </c>
      <c r="I7776" s="2" t="s">
        <v>22</v>
      </c>
      <c r="J7776" s="2" t="s">
        <v>4374</v>
      </c>
      <c r="K7776" s="2" t="s">
        <v>495</v>
      </c>
      <c r="L7776" s="13" t="s">
        <v>496</v>
      </c>
      <c r="M7776" s="2" t="s">
        <v>26</v>
      </c>
      <c r="N7776" s="29"/>
      <c r="O7776" s="29"/>
      <c r="P7776" s="5" t="str">
        <f>IFERROR(__xludf.DUMMYFUNCTION("TEXTJOIN("" | "",TRUE,IF(OR(D7776="""",E7776="""",I7776="""",J7776="""",H7776=""""),""ফাঁকা ঘর"",""""),IF(AND(C7776&lt;&gt;"""",D7776&lt;&gt;"""",C7776=D7776),""gloss=figurative"",""""),IF(LEN(D7776)&lt;15,""figurative ছোট"",""""),IF(AND(I7776=""Positive"",REGEXMATCH(H7"&amp;"776,""মূর্খ|ভণ্ড|প্রতার|অলস|লোভ|স্বার্থ|অক্ষম|অযোগ্য|বোকা|কৃপণ|হিংস"")),""valence-target অমিল"",""""),IF(COUNTIF($B:$B,B7776)&gt;1,""ডুপ্লিকেট"",""""))"),"")</f>
        <v/>
      </c>
      <c r="Q7776" s="5" t="str">
        <f t="shared" si="1"/>
        <v>২ পরে</v>
      </c>
    </row>
    <row r="7777">
      <c r="A7777" s="4">
        <v>6559.0</v>
      </c>
      <c r="B7777" s="2" t="s">
        <v>31346</v>
      </c>
      <c r="C7777" s="2" t="s">
        <v>31347</v>
      </c>
      <c r="D7777" s="2" t="s">
        <v>31348</v>
      </c>
      <c r="E7777" s="2" t="s">
        <v>31349</v>
      </c>
      <c r="F7777" s="2" t="b">
        <v>1</v>
      </c>
      <c r="G7777" s="2" t="b">
        <v>0</v>
      </c>
      <c r="H7777" s="2" t="s">
        <v>37</v>
      </c>
      <c r="I7777" s="2" t="s">
        <v>32</v>
      </c>
      <c r="J7777" s="2" t="s">
        <v>1510</v>
      </c>
      <c r="K7777" s="2" t="s">
        <v>495</v>
      </c>
      <c r="L7777" s="13" t="s">
        <v>496</v>
      </c>
      <c r="M7777" s="2" t="s">
        <v>26</v>
      </c>
      <c r="N7777" s="29"/>
      <c r="O7777" s="29"/>
      <c r="P7777" s="5" t="str">
        <f>IFERROR(__xludf.DUMMYFUNCTION("TEXTJOIN("" | "",TRUE,IF(OR(D7777="""",E7777="""",I7777="""",J7777="""",H7777=""""),""ফাঁকা ঘর"",""""),IF(AND(C7777&lt;&gt;"""",D7777&lt;&gt;"""",C7777=D7777),""gloss=figurative"",""""),IF(LEN(D7777)&lt;15,""figurative ছোট"",""""),IF(AND(I7777=""Positive"",REGEXMATCH(H7"&amp;"777,""মূর্খ|ভণ্ড|প্রতার|অলস|লোভ|স্বার্থ|অক্ষম|অযোগ্য|বোকা|কৃপণ|হিংস"")),""valence-target অমিল"",""""),IF(COUNTIF($B:$B,B7777)&gt;1,""ডুপ্লিকেট"",""""))"),"")</f>
        <v/>
      </c>
      <c r="Q7777" s="5" t="str">
        <f t="shared" si="1"/>
        <v>২ পরে</v>
      </c>
    </row>
    <row r="7778">
      <c r="A7778" s="4">
        <v>6560.0</v>
      </c>
      <c r="B7778" s="2" t="s">
        <v>31350</v>
      </c>
      <c r="C7778" s="2" t="s">
        <v>31351</v>
      </c>
      <c r="D7778" s="2" t="s">
        <v>31352</v>
      </c>
      <c r="E7778" s="2" t="s">
        <v>9467</v>
      </c>
      <c r="F7778" s="2" t="b">
        <v>1</v>
      </c>
      <c r="G7778" s="2" t="b">
        <v>0</v>
      </c>
      <c r="H7778" s="2" t="s">
        <v>37</v>
      </c>
      <c r="I7778" s="2" t="s">
        <v>32</v>
      </c>
      <c r="J7778" s="2" t="s">
        <v>1510</v>
      </c>
      <c r="K7778" s="2" t="s">
        <v>495</v>
      </c>
      <c r="L7778" s="13" t="s">
        <v>496</v>
      </c>
      <c r="M7778" s="2" t="s">
        <v>26</v>
      </c>
      <c r="N7778" s="29"/>
      <c r="O7778" s="29"/>
      <c r="P7778" s="5" t="str">
        <f>IFERROR(__xludf.DUMMYFUNCTION("TEXTJOIN("" | "",TRUE,IF(OR(D7778="""",E7778="""",I7778="""",J7778="""",H7778=""""),""ফাঁকা ঘর"",""""),IF(AND(C7778&lt;&gt;"""",D7778&lt;&gt;"""",C7778=D7778),""gloss=figurative"",""""),IF(LEN(D7778)&lt;15,""figurative ছোট"",""""),IF(AND(I7778=""Positive"",REGEXMATCH(H7"&amp;"778,""মূর্খ|ভণ্ড|প্রতার|অলস|লোভ|স্বার্থ|অক্ষম|অযোগ্য|বোকা|কৃপণ|হিংস"")),""valence-target অমিল"",""""),IF(COUNTIF($B:$B,B7778)&gt;1,""ডুপ্লিকেট"",""""))"),"")</f>
        <v/>
      </c>
      <c r="Q7778" s="5" t="str">
        <f t="shared" si="1"/>
        <v>২ পরে</v>
      </c>
    </row>
    <row r="7779">
      <c r="A7779" s="4">
        <v>6562.0</v>
      </c>
      <c r="B7779" s="2" t="s">
        <v>31353</v>
      </c>
      <c r="C7779" s="2" t="s">
        <v>31354</v>
      </c>
      <c r="D7779" s="2" t="s">
        <v>31355</v>
      </c>
      <c r="E7779" s="2" t="s">
        <v>31356</v>
      </c>
      <c r="F7779" s="2" t="b">
        <v>1</v>
      </c>
      <c r="G7779" s="2" t="b">
        <v>0</v>
      </c>
      <c r="H7779" s="2" t="s">
        <v>37</v>
      </c>
      <c r="I7779" s="2" t="s">
        <v>22</v>
      </c>
      <c r="J7779" s="2" t="s">
        <v>1510</v>
      </c>
      <c r="K7779" s="2" t="s">
        <v>495</v>
      </c>
      <c r="L7779" s="13" t="s">
        <v>496</v>
      </c>
      <c r="M7779" s="2" t="s">
        <v>26</v>
      </c>
      <c r="N7779" s="29"/>
      <c r="O7779" s="29"/>
      <c r="P7779" s="5" t="str">
        <f>IFERROR(__xludf.DUMMYFUNCTION("TEXTJOIN("" | "",TRUE,IF(OR(D7779="""",E7779="""",I7779="""",J7779="""",H7779=""""),""ফাঁকা ঘর"",""""),IF(AND(C7779&lt;&gt;"""",D7779&lt;&gt;"""",C7779=D7779),""gloss=figurative"",""""),IF(LEN(D7779)&lt;15,""figurative ছোট"",""""),IF(AND(I7779=""Positive"",REGEXMATCH(H7"&amp;"779,""মূর্খ|ভণ্ড|প্রতার|অলস|লোভ|স্বার্থ|অক্ষম|অযোগ্য|বোকা|কৃপণ|হিংস"")),""valence-target অমিল"",""""),IF(COUNTIF($B:$B,B7779)&gt;1,""ডুপ্লিকেট"",""""))"),"")</f>
        <v/>
      </c>
      <c r="Q7779" s="5" t="str">
        <f t="shared" si="1"/>
        <v>২ পরে</v>
      </c>
    </row>
    <row r="7780">
      <c r="A7780" s="4">
        <v>6568.0</v>
      </c>
      <c r="B7780" s="2" t="s">
        <v>31357</v>
      </c>
      <c r="C7780" s="2" t="s">
        <v>31358</v>
      </c>
      <c r="D7780" s="2" t="s">
        <v>31359</v>
      </c>
      <c r="E7780" s="2" t="s">
        <v>31360</v>
      </c>
      <c r="F7780" s="2" t="b">
        <v>1</v>
      </c>
      <c r="G7780" s="2" t="b">
        <v>0</v>
      </c>
      <c r="H7780" s="2" t="s">
        <v>37</v>
      </c>
      <c r="I7780" s="2" t="s">
        <v>22</v>
      </c>
      <c r="J7780" s="2" t="s">
        <v>17749</v>
      </c>
      <c r="K7780" s="2" t="s">
        <v>495</v>
      </c>
      <c r="L7780" s="13" t="s">
        <v>496</v>
      </c>
      <c r="M7780" s="2" t="s">
        <v>26</v>
      </c>
      <c r="N7780" s="29"/>
      <c r="O7780" s="29"/>
      <c r="P7780" s="5" t="str">
        <f>IFERROR(__xludf.DUMMYFUNCTION("TEXTJOIN("" | "",TRUE,IF(OR(D7780="""",E7780="""",I7780="""",J7780="""",H7780=""""),""ফাঁকা ঘর"",""""),IF(AND(C7780&lt;&gt;"""",D7780&lt;&gt;"""",C7780=D7780),""gloss=figurative"",""""),IF(LEN(D7780)&lt;15,""figurative ছোট"",""""),IF(AND(I7780=""Positive"",REGEXMATCH(H7"&amp;"780,""মূর্খ|ভণ্ড|প্রতার|অলস|লোভ|স্বার্থ|অক্ষম|অযোগ্য|বোকা|কৃপণ|হিংস"")),""valence-target অমিল"",""""),IF(COUNTIF($B:$B,B7780)&gt;1,""ডুপ্লিকেট"",""""))"),"")</f>
        <v/>
      </c>
      <c r="Q7780" s="5" t="str">
        <f t="shared" si="1"/>
        <v>২ পরে</v>
      </c>
    </row>
    <row r="7781">
      <c r="A7781" s="4">
        <v>6577.0</v>
      </c>
      <c r="B7781" s="2" t="s">
        <v>31361</v>
      </c>
      <c r="C7781" s="2" t="s">
        <v>31362</v>
      </c>
      <c r="D7781" s="2" t="s">
        <v>31363</v>
      </c>
      <c r="E7781" s="2" t="s">
        <v>31364</v>
      </c>
      <c r="F7781" s="2" t="b">
        <v>1</v>
      </c>
      <c r="G7781" s="2" t="b">
        <v>0</v>
      </c>
      <c r="H7781" s="2" t="s">
        <v>37</v>
      </c>
      <c r="I7781" s="2" t="s">
        <v>49</v>
      </c>
      <c r="J7781" s="2" t="s">
        <v>6697</v>
      </c>
      <c r="K7781" s="2" t="s">
        <v>495</v>
      </c>
      <c r="L7781" s="13" t="s">
        <v>496</v>
      </c>
      <c r="M7781" s="2" t="s">
        <v>26</v>
      </c>
      <c r="N7781" s="29"/>
      <c r="O7781" s="29"/>
      <c r="P7781" s="5" t="str">
        <f>IFERROR(__xludf.DUMMYFUNCTION("TEXTJOIN("" | "",TRUE,IF(OR(D7781="""",E7781="""",I7781="""",J7781="""",H7781=""""),""ফাঁকা ঘর"",""""),IF(AND(C7781&lt;&gt;"""",D7781&lt;&gt;"""",C7781=D7781),""gloss=figurative"",""""),IF(LEN(D7781)&lt;15,""figurative ছোট"",""""),IF(AND(I7781=""Positive"",REGEXMATCH(H7"&amp;"781,""মূর্খ|ভণ্ড|প্রতার|অলস|লোভ|স্বার্থ|অক্ষম|অযোগ্য|বোকা|কৃপণ|হিংস"")),""valence-target অমিল"",""""),IF(COUNTIF($B:$B,B7781)&gt;1,""ডুপ্লিকেট"",""""))"),"")</f>
        <v/>
      </c>
      <c r="Q7781" s="5" t="str">
        <f t="shared" si="1"/>
        <v>২ পরে</v>
      </c>
    </row>
    <row r="7782">
      <c r="A7782" s="4">
        <v>6578.0</v>
      </c>
      <c r="B7782" s="2" t="s">
        <v>31365</v>
      </c>
      <c r="C7782" s="2" t="s">
        <v>31366</v>
      </c>
      <c r="D7782" s="2" t="s">
        <v>21410</v>
      </c>
      <c r="E7782" s="2" t="s">
        <v>31367</v>
      </c>
      <c r="F7782" s="2" t="b">
        <v>1</v>
      </c>
      <c r="G7782" s="2" t="b">
        <v>0</v>
      </c>
      <c r="H7782" s="2" t="s">
        <v>37</v>
      </c>
      <c r="I7782" s="2" t="s">
        <v>22</v>
      </c>
      <c r="J7782" s="2" t="s">
        <v>669</v>
      </c>
      <c r="K7782" s="2" t="s">
        <v>495</v>
      </c>
      <c r="L7782" s="13" t="s">
        <v>496</v>
      </c>
      <c r="M7782" s="2" t="s">
        <v>26</v>
      </c>
      <c r="N7782" s="29"/>
      <c r="O7782" s="29"/>
      <c r="P7782" s="5" t="str">
        <f>IFERROR(__xludf.DUMMYFUNCTION("TEXTJOIN("" | "",TRUE,IF(OR(D7782="""",E7782="""",I7782="""",J7782="""",H7782=""""),""ফাঁকা ঘর"",""""),IF(AND(C7782&lt;&gt;"""",D7782&lt;&gt;"""",C7782=D7782),""gloss=figurative"",""""),IF(LEN(D7782)&lt;15,""figurative ছোট"",""""),IF(AND(I7782=""Positive"",REGEXMATCH(H7"&amp;"782,""মূর্খ|ভণ্ড|প্রতার|অলস|লোভ|স্বার্থ|অক্ষম|অযোগ্য|বোকা|কৃপণ|হিংস"")),""valence-target অমিল"",""""),IF(COUNTIF($B:$B,B7782)&gt;1,""ডুপ্লিকেট"",""""))"),"")</f>
        <v/>
      </c>
      <c r="Q7782" s="5" t="str">
        <f t="shared" si="1"/>
        <v>২ পরে</v>
      </c>
    </row>
    <row r="7783">
      <c r="A7783" s="4">
        <v>6582.0</v>
      </c>
      <c r="B7783" s="2" t="s">
        <v>31368</v>
      </c>
      <c r="C7783" s="2" t="s">
        <v>31368</v>
      </c>
      <c r="D7783" s="2" t="s">
        <v>31369</v>
      </c>
      <c r="E7783" s="2" t="s">
        <v>31370</v>
      </c>
      <c r="F7783" s="2" t="b">
        <v>1</v>
      </c>
      <c r="G7783" s="2" t="b">
        <v>1</v>
      </c>
      <c r="H7783" s="2" t="s">
        <v>1211</v>
      </c>
      <c r="I7783" s="2" t="s">
        <v>32</v>
      </c>
      <c r="J7783" s="2" t="s">
        <v>3327</v>
      </c>
      <c r="K7783" s="2" t="s">
        <v>495</v>
      </c>
      <c r="L7783" s="13" t="s">
        <v>496</v>
      </c>
      <c r="M7783" s="2" t="s">
        <v>26</v>
      </c>
      <c r="N7783" s="29"/>
      <c r="O7783" s="29"/>
      <c r="P7783" s="5" t="str">
        <f>IFERROR(__xludf.DUMMYFUNCTION("TEXTJOIN("" | "",TRUE,IF(OR(D7783="""",E7783="""",I7783="""",J7783="""",H7783=""""),""ফাঁকা ঘর"",""""),IF(AND(C7783&lt;&gt;"""",D7783&lt;&gt;"""",C7783=D7783),""gloss=figurative"",""""),IF(LEN(D7783)&lt;15,""figurative ছোট"",""""),IF(AND(I7783=""Positive"",REGEXMATCH(H7"&amp;"783,""মূর্খ|ভণ্ড|প্রতার|অলস|লোভ|স্বার্থ|অক্ষম|অযোগ্য|বোকা|কৃপণ|হিংস"")),""valence-target অমিল"",""""),IF(COUNTIF($B:$B,B7783)&gt;1,""ডুপ্লিকেট"",""""))"),"")</f>
        <v/>
      </c>
      <c r="Q7783" s="5" t="str">
        <f t="shared" si="1"/>
        <v>২ পরে</v>
      </c>
    </row>
    <row r="7784">
      <c r="A7784" s="4">
        <v>6585.0</v>
      </c>
      <c r="B7784" s="2" t="s">
        <v>31371</v>
      </c>
      <c r="C7784" s="2" t="s">
        <v>31372</v>
      </c>
      <c r="D7784" s="2" t="s">
        <v>31373</v>
      </c>
      <c r="E7784" s="2" t="s">
        <v>31374</v>
      </c>
      <c r="F7784" s="2" t="b">
        <v>1</v>
      </c>
      <c r="G7784" s="2" t="b">
        <v>0</v>
      </c>
      <c r="H7784" s="2" t="s">
        <v>37</v>
      </c>
      <c r="I7784" s="2" t="s">
        <v>49</v>
      </c>
      <c r="J7784" s="2" t="s">
        <v>1803</v>
      </c>
      <c r="K7784" s="2" t="s">
        <v>495</v>
      </c>
      <c r="L7784" s="13" t="s">
        <v>496</v>
      </c>
      <c r="M7784" s="2" t="s">
        <v>26</v>
      </c>
      <c r="N7784" s="29"/>
      <c r="O7784" s="29"/>
      <c r="P7784" s="5" t="str">
        <f>IFERROR(__xludf.DUMMYFUNCTION("TEXTJOIN("" | "",TRUE,IF(OR(D7784="""",E7784="""",I7784="""",J7784="""",H7784=""""),""ফাঁকা ঘর"",""""),IF(AND(C7784&lt;&gt;"""",D7784&lt;&gt;"""",C7784=D7784),""gloss=figurative"",""""),IF(LEN(D7784)&lt;15,""figurative ছোট"",""""),IF(AND(I7784=""Positive"",REGEXMATCH(H7"&amp;"784,""মূর্খ|ভণ্ড|প্রতার|অলস|লোভ|স্বার্থ|অক্ষম|অযোগ্য|বোকা|কৃপণ|হিংস"")),""valence-target অমিল"",""""),IF(COUNTIF($B:$B,B7784)&gt;1,""ডুপ্লিকেট"",""""))"),"")</f>
        <v/>
      </c>
      <c r="Q7784" s="5" t="str">
        <f t="shared" si="1"/>
        <v>২ পরে</v>
      </c>
    </row>
    <row r="7785">
      <c r="A7785" s="4">
        <v>6591.0</v>
      </c>
      <c r="B7785" s="2" t="s">
        <v>31375</v>
      </c>
      <c r="C7785" s="2" t="s">
        <v>31376</v>
      </c>
      <c r="D7785" s="2" t="s">
        <v>31377</v>
      </c>
      <c r="E7785" s="2" t="s">
        <v>31378</v>
      </c>
      <c r="F7785" s="2" t="b">
        <v>1</v>
      </c>
      <c r="G7785" s="2" t="b">
        <v>0</v>
      </c>
      <c r="H7785" s="2" t="s">
        <v>37</v>
      </c>
      <c r="I7785" s="2" t="s">
        <v>32</v>
      </c>
      <c r="J7785" s="2" t="s">
        <v>1476</v>
      </c>
      <c r="K7785" s="2" t="s">
        <v>495</v>
      </c>
      <c r="L7785" s="13" t="s">
        <v>496</v>
      </c>
      <c r="M7785" s="2" t="s">
        <v>26</v>
      </c>
      <c r="N7785" s="29"/>
      <c r="O7785" s="29"/>
      <c r="P7785" s="5" t="str">
        <f>IFERROR(__xludf.DUMMYFUNCTION("TEXTJOIN("" | "",TRUE,IF(OR(D7785="""",E7785="""",I7785="""",J7785="""",H7785=""""),""ফাঁকা ঘর"",""""),IF(AND(C7785&lt;&gt;"""",D7785&lt;&gt;"""",C7785=D7785),""gloss=figurative"",""""),IF(LEN(D7785)&lt;15,""figurative ছোট"",""""),IF(AND(I7785=""Positive"",REGEXMATCH(H7"&amp;"785,""মূর্খ|ভণ্ড|প্রতার|অলস|লোভ|স্বার্থ|অক্ষম|অযোগ্য|বোকা|কৃপণ|হিংস"")),""valence-target অমিল"",""""),IF(COUNTIF($B:$B,B7785)&gt;1,""ডুপ্লিকেট"",""""))"),"")</f>
        <v/>
      </c>
      <c r="Q7785" s="5" t="str">
        <f t="shared" si="1"/>
        <v>২ পরে</v>
      </c>
    </row>
    <row r="7786">
      <c r="A7786" s="4">
        <v>6592.0</v>
      </c>
      <c r="B7786" s="2" t="s">
        <v>31379</v>
      </c>
      <c r="C7786" s="2" t="s">
        <v>31380</v>
      </c>
      <c r="D7786" s="2" t="s">
        <v>31381</v>
      </c>
      <c r="E7786" s="2" t="s">
        <v>31382</v>
      </c>
      <c r="F7786" s="2" t="b">
        <v>1</v>
      </c>
      <c r="G7786" s="2" t="b">
        <v>0</v>
      </c>
      <c r="H7786" s="2" t="s">
        <v>37</v>
      </c>
      <c r="I7786" s="2" t="s">
        <v>49</v>
      </c>
      <c r="J7786" s="2" t="s">
        <v>1476</v>
      </c>
      <c r="K7786" s="2" t="s">
        <v>495</v>
      </c>
      <c r="L7786" s="13" t="s">
        <v>496</v>
      </c>
      <c r="M7786" s="2" t="s">
        <v>26</v>
      </c>
      <c r="N7786" s="29"/>
      <c r="O7786" s="29"/>
      <c r="P7786" s="5" t="str">
        <f>IFERROR(__xludf.DUMMYFUNCTION("TEXTJOIN("" | "",TRUE,IF(OR(D7786="""",E7786="""",I7786="""",J7786="""",H7786=""""),""ফাঁকা ঘর"",""""),IF(AND(C7786&lt;&gt;"""",D7786&lt;&gt;"""",C7786=D7786),""gloss=figurative"",""""),IF(LEN(D7786)&lt;15,""figurative ছোট"",""""),IF(AND(I7786=""Positive"",REGEXMATCH(H7"&amp;"786,""মূর্খ|ভণ্ড|প্রতার|অলস|লোভ|স্বার্থ|অক্ষম|অযোগ্য|বোকা|কৃপণ|হিংস"")),""valence-target অমিল"",""""),IF(COUNTIF($B:$B,B7786)&gt;1,""ডুপ্লিকেট"",""""))"),"")</f>
        <v/>
      </c>
      <c r="Q7786" s="5" t="str">
        <f t="shared" si="1"/>
        <v>২ পরে</v>
      </c>
    </row>
    <row r="7787">
      <c r="A7787" s="4">
        <v>6596.0</v>
      </c>
      <c r="B7787" s="2" t="s">
        <v>31383</v>
      </c>
      <c r="C7787" s="2" t="s">
        <v>31384</v>
      </c>
      <c r="D7787" s="2" t="s">
        <v>31385</v>
      </c>
      <c r="E7787" s="2" t="s">
        <v>31386</v>
      </c>
      <c r="F7787" s="2" t="b">
        <v>1</v>
      </c>
      <c r="G7787" s="2" t="b">
        <v>0</v>
      </c>
      <c r="H7787" s="2" t="s">
        <v>37</v>
      </c>
      <c r="I7787" s="2" t="s">
        <v>32</v>
      </c>
      <c r="J7787" s="2" t="s">
        <v>2002</v>
      </c>
      <c r="K7787" s="2" t="s">
        <v>495</v>
      </c>
      <c r="L7787" s="13" t="s">
        <v>496</v>
      </c>
      <c r="M7787" s="2" t="s">
        <v>26</v>
      </c>
      <c r="N7787" s="29"/>
      <c r="O7787" s="29"/>
      <c r="P7787" s="5" t="str">
        <f>IFERROR(__xludf.DUMMYFUNCTION("TEXTJOIN("" | "",TRUE,IF(OR(D7787="""",E7787="""",I7787="""",J7787="""",H7787=""""),""ফাঁকা ঘর"",""""),IF(AND(C7787&lt;&gt;"""",D7787&lt;&gt;"""",C7787=D7787),""gloss=figurative"",""""),IF(LEN(D7787)&lt;15,""figurative ছোট"",""""),IF(AND(I7787=""Positive"",REGEXMATCH(H7"&amp;"787,""মূর্খ|ভণ্ড|প্রতার|অলস|লোভ|স্বার্থ|অক্ষম|অযোগ্য|বোকা|কৃপণ|হিংস"")),""valence-target অমিল"",""""),IF(COUNTIF($B:$B,B7787)&gt;1,""ডুপ্লিকেট"",""""))"),"")</f>
        <v/>
      </c>
      <c r="Q7787" s="5" t="str">
        <f t="shared" si="1"/>
        <v>২ পরে</v>
      </c>
    </row>
    <row r="7788">
      <c r="A7788" s="4">
        <v>6603.0</v>
      </c>
      <c r="B7788" s="2" t="s">
        <v>31387</v>
      </c>
      <c r="C7788" s="2" t="s">
        <v>31388</v>
      </c>
      <c r="D7788" s="2" t="s">
        <v>31389</v>
      </c>
      <c r="E7788" s="2" t="s">
        <v>31390</v>
      </c>
      <c r="F7788" s="2" t="b">
        <v>1</v>
      </c>
      <c r="G7788" s="2" t="b">
        <v>0</v>
      </c>
      <c r="H7788" s="2" t="s">
        <v>37</v>
      </c>
      <c r="I7788" s="2" t="s">
        <v>49</v>
      </c>
      <c r="J7788" s="2" t="s">
        <v>4617</v>
      </c>
      <c r="K7788" s="2" t="s">
        <v>495</v>
      </c>
      <c r="L7788" s="13" t="s">
        <v>496</v>
      </c>
      <c r="M7788" s="2" t="s">
        <v>26</v>
      </c>
      <c r="N7788" s="29"/>
      <c r="O7788" s="29"/>
      <c r="P7788" s="5" t="str">
        <f>IFERROR(__xludf.DUMMYFUNCTION("TEXTJOIN("" | "",TRUE,IF(OR(D7788="""",E7788="""",I7788="""",J7788="""",H7788=""""),""ফাঁকা ঘর"",""""),IF(AND(C7788&lt;&gt;"""",D7788&lt;&gt;"""",C7788=D7788),""gloss=figurative"",""""),IF(LEN(D7788)&lt;15,""figurative ছোট"",""""),IF(AND(I7788=""Positive"",REGEXMATCH(H7"&amp;"788,""মূর্খ|ভণ্ড|প্রতার|অলস|লোভ|স্বার্থ|অক্ষম|অযোগ্য|বোকা|কৃপণ|হিংস"")),""valence-target অমিল"",""""),IF(COUNTIF($B:$B,B7788)&gt;1,""ডুপ্লিকেট"",""""))"),"")</f>
        <v/>
      </c>
      <c r="Q7788" s="5" t="str">
        <f t="shared" si="1"/>
        <v>২ পরে</v>
      </c>
    </row>
    <row r="7789">
      <c r="A7789" s="4">
        <v>6612.0</v>
      </c>
      <c r="B7789" s="2" t="s">
        <v>31391</v>
      </c>
      <c r="C7789" s="2" t="s">
        <v>31391</v>
      </c>
      <c r="D7789" s="2" t="s">
        <v>31389</v>
      </c>
      <c r="E7789" s="2" t="s">
        <v>31392</v>
      </c>
      <c r="F7789" s="2" t="b">
        <v>1</v>
      </c>
      <c r="G7789" s="2" t="b">
        <v>0</v>
      </c>
      <c r="H7789" s="2" t="s">
        <v>37</v>
      </c>
      <c r="I7789" s="2" t="s">
        <v>32</v>
      </c>
      <c r="J7789" s="2" t="s">
        <v>4617</v>
      </c>
      <c r="K7789" s="2" t="s">
        <v>495</v>
      </c>
      <c r="L7789" s="13" t="s">
        <v>496</v>
      </c>
      <c r="M7789" s="2" t="s">
        <v>26</v>
      </c>
      <c r="N7789" s="29"/>
      <c r="O7789" s="29"/>
      <c r="P7789" s="5" t="str">
        <f>IFERROR(__xludf.DUMMYFUNCTION("TEXTJOIN("" | "",TRUE,IF(OR(D7789="""",E7789="""",I7789="""",J7789="""",H7789=""""),""ফাঁকা ঘর"",""""),IF(AND(C7789&lt;&gt;"""",D7789&lt;&gt;"""",C7789=D7789),""gloss=figurative"",""""),IF(LEN(D7789)&lt;15,""figurative ছোট"",""""),IF(AND(I7789=""Positive"",REGEXMATCH(H7"&amp;"789,""মূর্খ|ভণ্ড|প্রতার|অলস|লোভ|স্বার্থ|অক্ষম|অযোগ্য|বোকা|কৃপণ|হিংস"")),""valence-target অমিল"",""""),IF(COUNTIF($B:$B,B7789)&gt;1,""ডুপ্লিকেট"",""""))"),"")</f>
        <v/>
      </c>
      <c r="Q7789" s="5" t="str">
        <f t="shared" si="1"/>
        <v>২ পরে</v>
      </c>
    </row>
    <row r="7790">
      <c r="A7790" s="4">
        <v>6619.0</v>
      </c>
      <c r="B7790" s="2" t="s">
        <v>31393</v>
      </c>
      <c r="C7790" s="2" t="s">
        <v>31394</v>
      </c>
      <c r="D7790" s="2" t="s">
        <v>31395</v>
      </c>
      <c r="E7790" s="2" t="s">
        <v>31396</v>
      </c>
      <c r="F7790" s="2" t="b">
        <v>1</v>
      </c>
      <c r="G7790" s="2" t="b">
        <v>0</v>
      </c>
      <c r="H7790" s="2" t="s">
        <v>37</v>
      </c>
      <c r="I7790" s="2" t="s">
        <v>22</v>
      </c>
      <c r="J7790" s="2" t="s">
        <v>1454</v>
      </c>
      <c r="K7790" s="2" t="s">
        <v>495</v>
      </c>
      <c r="L7790" s="13" t="s">
        <v>496</v>
      </c>
      <c r="M7790" s="2" t="s">
        <v>26</v>
      </c>
      <c r="N7790" s="29"/>
      <c r="O7790" s="29"/>
      <c r="P7790" s="5" t="str">
        <f>IFERROR(__xludf.DUMMYFUNCTION("TEXTJOIN("" | "",TRUE,IF(OR(D7790="""",E7790="""",I7790="""",J7790="""",H7790=""""),""ফাঁকা ঘর"",""""),IF(AND(C7790&lt;&gt;"""",D7790&lt;&gt;"""",C7790=D7790),""gloss=figurative"",""""),IF(LEN(D7790)&lt;15,""figurative ছোট"",""""),IF(AND(I7790=""Positive"",REGEXMATCH(H7"&amp;"790,""মূর্খ|ভণ্ড|প্রতার|অলস|লোভ|স্বার্থ|অক্ষম|অযোগ্য|বোকা|কৃপণ|হিংস"")),""valence-target অমিল"",""""),IF(COUNTIF($B:$B,B7790)&gt;1,""ডুপ্লিকেট"",""""))"),"")</f>
        <v/>
      </c>
      <c r="Q7790" s="5" t="str">
        <f t="shared" si="1"/>
        <v>২ পরে</v>
      </c>
    </row>
    <row r="7791">
      <c r="A7791" s="4">
        <v>6620.0</v>
      </c>
      <c r="B7791" s="2" t="s">
        <v>31397</v>
      </c>
      <c r="C7791" s="2" t="s">
        <v>31398</v>
      </c>
      <c r="D7791" s="2" t="s">
        <v>31399</v>
      </c>
      <c r="E7791" s="2" t="s">
        <v>31400</v>
      </c>
      <c r="F7791" s="2" t="b">
        <v>1</v>
      </c>
      <c r="G7791" s="2" t="b">
        <v>0</v>
      </c>
      <c r="H7791" s="2" t="s">
        <v>4349</v>
      </c>
      <c r="I7791" s="2" t="s">
        <v>22</v>
      </c>
      <c r="J7791" s="2" t="s">
        <v>1962</v>
      </c>
      <c r="K7791" s="2" t="s">
        <v>495</v>
      </c>
      <c r="L7791" s="13" t="s">
        <v>496</v>
      </c>
      <c r="M7791" s="2" t="s">
        <v>26</v>
      </c>
      <c r="N7791" s="29"/>
      <c r="O7791" s="29"/>
      <c r="P7791" s="5" t="str">
        <f>IFERROR(__xludf.DUMMYFUNCTION("TEXTJOIN("" | "",TRUE,IF(OR(D7791="""",E7791="""",I7791="""",J7791="""",H7791=""""),""ফাঁকা ঘর"",""""),IF(AND(C7791&lt;&gt;"""",D7791&lt;&gt;"""",C7791=D7791),""gloss=figurative"",""""),IF(LEN(D7791)&lt;15,""figurative ছোট"",""""),IF(AND(I7791=""Positive"",REGEXMATCH(H7"&amp;"791,""মূর্খ|ভণ্ড|প্রতার|অলস|লোভ|স্বার্থ|অক্ষম|অযোগ্য|বোকা|কৃপণ|হিংস"")),""valence-target অমিল"",""""),IF(COUNTIF($B:$B,B7791)&gt;1,""ডুপ্লিকেট"",""""))"),"")</f>
        <v/>
      </c>
      <c r="Q7791" s="5" t="str">
        <f t="shared" si="1"/>
        <v>২ পরে</v>
      </c>
    </row>
    <row r="7792">
      <c r="A7792" s="4">
        <v>6631.0</v>
      </c>
      <c r="B7792" s="2" t="s">
        <v>31401</v>
      </c>
      <c r="C7792" s="2" t="s">
        <v>31402</v>
      </c>
      <c r="D7792" s="2" t="s">
        <v>31403</v>
      </c>
      <c r="E7792" s="2" t="s">
        <v>31404</v>
      </c>
      <c r="F7792" s="2" t="b">
        <v>1</v>
      </c>
      <c r="G7792" s="2" t="b">
        <v>0</v>
      </c>
      <c r="H7792" s="2" t="s">
        <v>4349</v>
      </c>
      <c r="I7792" s="2" t="s">
        <v>22</v>
      </c>
      <c r="J7792" s="2" t="s">
        <v>43</v>
      </c>
      <c r="K7792" s="2" t="s">
        <v>495</v>
      </c>
      <c r="L7792" s="13" t="s">
        <v>496</v>
      </c>
      <c r="M7792" s="2" t="s">
        <v>26</v>
      </c>
      <c r="N7792" s="29"/>
      <c r="O7792" s="29"/>
      <c r="P7792" s="5" t="str">
        <f>IFERROR(__xludf.DUMMYFUNCTION("TEXTJOIN("" | "",TRUE,IF(OR(D7792="""",E7792="""",I7792="""",J7792="""",H7792=""""),""ফাঁকা ঘর"",""""),IF(AND(C7792&lt;&gt;"""",D7792&lt;&gt;"""",C7792=D7792),""gloss=figurative"",""""),IF(LEN(D7792)&lt;15,""figurative ছোট"",""""),IF(AND(I7792=""Positive"",REGEXMATCH(H7"&amp;"792,""মূর্খ|ভণ্ড|প্রতার|অলস|লোভ|স্বার্থ|অক্ষম|অযোগ্য|বোকা|কৃপণ|হিংস"")),""valence-target অমিল"",""""),IF(COUNTIF($B:$B,B7792)&gt;1,""ডুপ্লিকেট"",""""))"),"")</f>
        <v/>
      </c>
      <c r="Q7792" s="5" t="str">
        <f t="shared" si="1"/>
        <v>২ পরে</v>
      </c>
    </row>
    <row r="7793">
      <c r="A7793" s="4">
        <v>6632.0</v>
      </c>
      <c r="B7793" s="2" t="s">
        <v>31405</v>
      </c>
      <c r="C7793" s="2" t="s">
        <v>31406</v>
      </c>
      <c r="D7793" s="2" t="s">
        <v>31407</v>
      </c>
      <c r="E7793" s="2" t="s">
        <v>31408</v>
      </c>
      <c r="F7793" s="2" t="b">
        <v>1</v>
      </c>
      <c r="G7793" s="2" t="b">
        <v>0</v>
      </c>
      <c r="H7793" s="2" t="s">
        <v>37</v>
      </c>
      <c r="I7793" s="2" t="s">
        <v>49</v>
      </c>
      <c r="J7793" s="2" t="s">
        <v>2440</v>
      </c>
      <c r="K7793" s="2" t="s">
        <v>495</v>
      </c>
      <c r="L7793" s="13" t="s">
        <v>496</v>
      </c>
      <c r="M7793" s="2" t="s">
        <v>26</v>
      </c>
      <c r="N7793" s="29"/>
      <c r="O7793" s="29"/>
      <c r="P7793" s="5" t="str">
        <f>IFERROR(__xludf.DUMMYFUNCTION("TEXTJOIN("" | "",TRUE,IF(OR(D7793="""",E7793="""",I7793="""",J7793="""",H7793=""""),""ফাঁকা ঘর"",""""),IF(AND(C7793&lt;&gt;"""",D7793&lt;&gt;"""",C7793=D7793),""gloss=figurative"",""""),IF(LEN(D7793)&lt;15,""figurative ছোট"",""""),IF(AND(I7793=""Positive"",REGEXMATCH(H7"&amp;"793,""মূর্খ|ভণ্ড|প্রতার|অলস|লোভ|স্বার্থ|অক্ষম|অযোগ্য|বোকা|কৃপণ|হিংস"")),""valence-target অমিল"",""""),IF(COUNTIF($B:$B,B7793)&gt;1,""ডুপ্লিকেট"",""""))"),"")</f>
        <v/>
      </c>
      <c r="Q7793" s="5" t="str">
        <f t="shared" si="1"/>
        <v>২ পরে</v>
      </c>
    </row>
    <row r="7794">
      <c r="A7794" s="4">
        <v>6639.0</v>
      </c>
      <c r="B7794" s="2" t="s">
        <v>31409</v>
      </c>
      <c r="C7794" s="2" t="s">
        <v>31410</v>
      </c>
      <c r="D7794" s="2" t="s">
        <v>31411</v>
      </c>
      <c r="E7794" s="2" t="s">
        <v>31412</v>
      </c>
      <c r="F7794" s="2" t="b">
        <v>1</v>
      </c>
      <c r="G7794" s="2" t="b">
        <v>0</v>
      </c>
      <c r="H7794" s="2" t="s">
        <v>37</v>
      </c>
      <c r="I7794" s="2" t="s">
        <v>32</v>
      </c>
      <c r="J7794" s="2" t="s">
        <v>6090</v>
      </c>
      <c r="K7794" s="2" t="s">
        <v>495</v>
      </c>
      <c r="L7794" s="13" t="s">
        <v>496</v>
      </c>
      <c r="M7794" s="2" t="s">
        <v>26</v>
      </c>
      <c r="N7794" s="29"/>
      <c r="O7794" s="29"/>
      <c r="P7794" s="5" t="str">
        <f>IFERROR(__xludf.DUMMYFUNCTION("TEXTJOIN("" | "",TRUE,IF(OR(D7794="""",E7794="""",I7794="""",J7794="""",H7794=""""),""ফাঁকা ঘর"",""""),IF(AND(C7794&lt;&gt;"""",D7794&lt;&gt;"""",C7794=D7794),""gloss=figurative"",""""),IF(LEN(D7794)&lt;15,""figurative ছোট"",""""),IF(AND(I7794=""Positive"",REGEXMATCH(H7"&amp;"794,""মূর্খ|ভণ্ড|প্রতার|অলস|লোভ|স্বার্থ|অক্ষম|অযোগ্য|বোকা|কৃপণ|হিংস"")),""valence-target অমিল"",""""),IF(COUNTIF($B:$B,B7794)&gt;1,""ডুপ্লিকেট"",""""))"),"")</f>
        <v/>
      </c>
      <c r="Q7794" s="5" t="str">
        <f t="shared" si="1"/>
        <v>২ পরে</v>
      </c>
    </row>
    <row r="7795">
      <c r="A7795" s="4">
        <v>6647.0</v>
      </c>
      <c r="B7795" s="2" t="s">
        <v>31413</v>
      </c>
      <c r="C7795" s="2" t="s">
        <v>31414</v>
      </c>
      <c r="D7795" s="2" t="s">
        <v>31415</v>
      </c>
      <c r="E7795" s="2" t="s">
        <v>31416</v>
      </c>
      <c r="F7795" s="2" t="b">
        <v>1</v>
      </c>
      <c r="G7795" s="2" t="b">
        <v>0</v>
      </c>
      <c r="H7795" s="2" t="s">
        <v>37</v>
      </c>
      <c r="I7795" s="2" t="s">
        <v>22</v>
      </c>
      <c r="J7795" s="2" t="s">
        <v>4463</v>
      </c>
      <c r="K7795" s="2" t="s">
        <v>495</v>
      </c>
      <c r="L7795" s="13" t="s">
        <v>496</v>
      </c>
      <c r="M7795" s="2" t="s">
        <v>26</v>
      </c>
      <c r="N7795" s="29"/>
      <c r="O7795" s="29"/>
      <c r="P7795" s="5" t="str">
        <f>IFERROR(__xludf.DUMMYFUNCTION("TEXTJOIN("" | "",TRUE,IF(OR(D7795="""",E7795="""",I7795="""",J7795="""",H7795=""""),""ফাঁকা ঘর"",""""),IF(AND(C7795&lt;&gt;"""",D7795&lt;&gt;"""",C7795=D7795),""gloss=figurative"",""""),IF(LEN(D7795)&lt;15,""figurative ছোট"",""""),IF(AND(I7795=""Positive"",REGEXMATCH(H7"&amp;"795,""মূর্খ|ভণ্ড|প্রতার|অলস|লোভ|স্বার্থ|অক্ষম|অযোগ্য|বোকা|কৃপণ|হিংস"")),""valence-target অমিল"",""""),IF(COUNTIF($B:$B,B7795)&gt;1,""ডুপ্লিকেট"",""""))"),"")</f>
        <v/>
      </c>
      <c r="Q7795" s="5" t="str">
        <f t="shared" si="1"/>
        <v>২ পরে</v>
      </c>
    </row>
    <row r="7796">
      <c r="A7796" s="4">
        <v>6648.0</v>
      </c>
      <c r="B7796" s="2" t="s">
        <v>31417</v>
      </c>
      <c r="C7796" s="2" t="s">
        <v>31418</v>
      </c>
      <c r="D7796" s="2" t="s">
        <v>31419</v>
      </c>
      <c r="E7796" s="2" t="s">
        <v>31420</v>
      </c>
      <c r="F7796" s="2" t="b">
        <v>1</v>
      </c>
      <c r="G7796" s="2" t="b">
        <v>0</v>
      </c>
      <c r="H7796" s="2" t="s">
        <v>37</v>
      </c>
      <c r="I7796" s="2" t="s">
        <v>32</v>
      </c>
      <c r="J7796" s="2" t="s">
        <v>2040</v>
      </c>
      <c r="K7796" s="2" t="s">
        <v>495</v>
      </c>
      <c r="L7796" s="13" t="s">
        <v>496</v>
      </c>
      <c r="M7796" s="2" t="s">
        <v>26</v>
      </c>
      <c r="N7796" s="29"/>
      <c r="O7796" s="29"/>
      <c r="P7796" s="5" t="str">
        <f>IFERROR(__xludf.DUMMYFUNCTION("TEXTJOIN("" | "",TRUE,IF(OR(D7796="""",E7796="""",I7796="""",J7796="""",H7796=""""),""ফাঁকা ঘর"",""""),IF(AND(C7796&lt;&gt;"""",D7796&lt;&gt;"""",C7796=D7796),""gloss=figurative"",""""),IF(LEN(D7796)&lt;15,""figurative ছোট"",""""),IF(AND(I7796=""Positive"",REGEXMATCH(H7"&amp;"796,""মূর্খ|ভণ্ড|প্রতার|অলস|লোভ|স্বার্থ|অক্ষম|অযোগ্য|বোকা|কৃপণ|হিংস"")),""valence-target অমিল"",""""),IF(COUNTIF($B:$B,B7796)&gt;1,""ডুপ্লিকেট"",""""))"),"")</f>
        <v/>
      </c>
      <c r="Q7796" s="5" t="str">
        <f t="shared" si="1"/>
        <v>২ পরে</v>
      </c>
    </row>
    <row r="7797">
      <c r="A7797" s="4">
        <v>6654.0</v>
      </c>
      <c r="B7797" s="2" t="s">
        <v>31421</v>
      </c>
      <c r="C7797" s="2" t="s">
        <v>31422</v>
      </c>
      <c r="D7797" s="2" t="s">
        <v>31423</v>
      </c>
      <c r="E7797" s="2" t="s">
        <v>31424</v>
      </c>
      <c r="F7797" s="2" t="b">
        <v>1</v>
      </c>
      <c r="G7797" s="2" t="b">
        <v>0</v>
      </c>
      <c r="H7797" s="2" t="s">
        <v>37</v>
      </c>
      <c r="I7797" s="2" t="s">
        <v>22</v>
      </c>
      <c r="J7797" s="2" t="s">
        <v>3327</v>
      </c>
      <c r="K7797" s="2" t="s">
        <v>495</v>
      </c>
      <c r="L7797" s="13" t="s">
        <v>496</v>
      </c>
      <c r="M7797" s="2" t="s">
        <v>26</v>
      </c>
      <c r="N7797" s="29"/>
      <c r="O7797" s="29"/>
      <c r="P7797" s="5" t="str">
        <f>IFERROR(__xludf.DUMMYFUNCTION("TEXTJOIN("" | "",TRUE,IF(OR(D7797="""",E7797="""",I7797="""",J7797="""",H7797=""""),""ফাঁকা ঘর"",""""),IF(AND(C7797&lt;&gt;"""",D7797&lt;&gt;"""",C7797=D7797),""gloss=figurative"",""""),IF(LEN(D7797)&lt;15,""figurative ছোট"",""""),IF(AND(I7797=""Positive"",REGEXMATCH(H7"&amp;"797,""মূর্খ|ভণ্ড|প্রতার|অলস|লোভ|স্বার্থ|অক্ষম|অযোগ্য|বোকা|কৃপণ|হিংস"")),""valence-target অমিল"",""""),IF(COUNTIF($B:$B,B7797)&gt;1,""ডুপ্লিকেট"",""""))"),"")</f>
        <v/>
      </c>
      <c r="Q7797" s="5" t="str">
        <f t="shared" si="1"/>
        <v>২ পরে</v>
      </c>
    </row>
    <row r="7798">
      <c r="A7798" s="4">
        <v>6656.0</v>
      </c>
      <c r="B7798" s="2" t="s">
        <v>31425</v>
      </c>
      <c r="C7798" s="2" t="s">
        <v>31426</v>
      </c>
      <c r="D7798" s="2" t="s">
        <v>31427</v>
      </c>
      <c r="E7798" s="2" t="s">
        <v>31428</v>
      </c>
      <c r="F7798" s="2" t="b">
        <v>1</v>
      </c>
      <c r="G7798" s="2" t="b">
        <v>0</v>
      </c>
      <c r="H7798" s="2" t="s">
        <v>37</v>
      </c>
      <c r="I7798" s="2" t="s">
        <v>32</v>
      </c>
      <c r="J7798" s="2" t="s">
        <v>3156</v>
      </c>
      <c r="K7798" s="2" t="s">
        <v>495</v>
      </c>
      <c r="L7798" s="13" t="s">
        <v>496</v>
      </c>
      <c r="M7798" s="2" t="s">
        <v>26</v>
      </c>
      <c r="N7798" s="29"/>
      <c r="O7798" s="29"/>
      <c r="P7798" s="5" t="str">
        <f>IFERROR(__xludf.DUMMYFUNCTION("TEXTJOIN("" | "",TRUE,IF(OR(D7798="""",E7798="""",I7798="""",J7798="""",H7798=""""),""ফাঁকা ঘর"",""""),IF(AND(C7798&lt;&gt;"""",D7798&lt;&gt;"""",C7798=D7798),""gloss=figurative"",""""),IF(LEN(D7798)&lt;15,""figurative ছোট"",""""),IF(AND(I7798=""Positive"",REGEXMATCH(H7"&amp;"798,""মূর্খ|ভণ্ড|প্রতার|অলস|লোভ|স্বার্থ|অক্ষম|অযোগ্য|বোকা|কৃপণ|হিংস"")),""valence-target অমিল"",""""),IF(COUNTIF($B:$B,B7798)&gt;1,""ডুপ্লিকেট"",""""))"),"")</f>
        <v/>
      </c>
      <c r="Q7798" s="5" t="str">
        <f t="shared" si="1"/>
        <v>২ পরে</v>
      </c>
    </row>
    <row r="7799">
      <c r="A7799" s="4">
        <v>6666.0</v>
      </c>
      <c r="B7799" s="2" t="s">
        <v>31429</v>
      </c>
      <c r="C7799" s="2" t="s">
        <v>31430</v>
      </c>
      <c r="D7799" s="2" t="s">
        <v>31431</v>
      </c>
      <c r="E7799" s="2" t="s">
        <v>31432</v>
      </c>
      <c r="F7799" s="2" t="b">
        <v>1</v>
      </c>
      <c r="G7799" s="2" t="b">
        <v>0</v>
      </c>
      <c r="H7799" s="2" t="s">
        <v>37</v>
      </c>
      <c r="I7799" s="2" t="s">
        <v>49</v>
      </c>
      <c r="J7799" s="2" t="s">
        <v>729</v>
      </c>
      <c r="K7799" s="2" t="s">
        <v>495</v>
      </c>
      <c r="L7799" s="13" t="s">
        <v>496</v>
      </c>
      <c r="M7799" s="2" t="s">
        <v>26</v>
      </c>
      <c r="N7799" s="29"/>
      <c r="O7799" s="29"/>
      <c r="P7799" s="5" t="str">
        <f>IFERROR(__xludf.DUMMYFUNCTION("TEXTJOIN("" | "",TRUE,IF(OR(D7799="""",E7799="""",I7799="""",J7799="""",H7799=""""),""ফাঁকা ঘর"",""""),IF(AND(C7799&lt;&gt;"""",D7799&lt;&gt;"""",C7799=D7799),""gloss=figurative"",""""),IF(LEN(D7799)&lt;15,""figurative ছোট"",""""),IF(AND(I7799=""Positive"",REGEXMATCH(H7"&amp;"799,""মূর্খ|ভণ্ড|প্রতার|অলস|লোভ|স্বার্থ|অক্ষম|অযোগ্য|বোকা|কৃপণ|হিংস"")),""valence-target অমিল"",""""),IF(COUNTIF($B:$B,B7799)&gt;1,""ডুপ্লিকেট"",""""))"),"")</f>
        <v/>
      </c>
      <c r="Q7799" s="5" t="str">
        <f t="shared" si="1"/>
        <v>২ পরে</v>
      </c>
    </row>
    <row r="7800">
      <c r="A7800" s="4">
        <v>6687.0</v>
      </c>
      <c r="B7800" s="2" t="s">
        <v>31433</v>
      </c>
      <c r="C7800" s="2" t="s">
        <v>31434</v>
      </c>
      <c r="D7800" s="2" t="s">
        <v>31435</v>
      </c>
      <c r="E7800" s="2" t="s">
        <v>31436</v>
      </c>
      <c r="F7800" s="2" t="b">
        <v>1</v>
      </c>
      <c r="G7800" s="2" t="b">
        <v>0</v>
      </c>
      <c r="H7800" s="2" t="s">
        <v>37</v>
      </c>
      <c r="I7800" s="2" t="s">
        <v>49</v>
      </c>
      <c r="J7800" s="2" t="s">
        <v>565</v>
      </c>
      <c r="K7800" s="2" t="s">
        <v>495</v>
      </c>
      <c r="L7800" s="13" t="s">
        <v>496</v>
      </c>
      <c r="M7800" s="2" t="s">
        <v>26</v>
      </c>
      <c r="N7800" s="29"/>
      <c r="O7800" s="29"/>
      <c r="P7800" s="5" t="str">
        <f>IFERROR(__xludf.DUMMYFUNCTION("TEXTJOIN("" | "",TRUE,IF(OR(D7800="""",E7800="""",I7800="""",J7800="""",H7800=""""),""ফাঁকা ঘর"",""""),IF(AND(C7800&lt;&gt;"""",D7800&lt;&gt;"""",C7800=D7800),""gloss=figurative"",""""),IF(LEN(D7800)&lt;15,""figurative ছোট"",""""),IF(AND(I7800=""Positive"",REGEXMATCH(H7"&amp;"800,""মূর্খ|ভণ্ড|প্রতার|অলস|লোভ|স্বার্থ|অক্ষম|অযোগ্য|বোকা|কৃপণ|হিংস"")),""valence-target অমিল"",""""),IF(COUNTIF($B:$B,B7800)&gt;1,""ডুপ্লিকেট"",""""))"),"")</f>
        <v/>
      </c>
      <c r="Q7800" s="5" t="str">
        <f t="shared" si="1"/>
        <v>২ পরে</v>
      </c>
    </row>
    <row r="7801">
      <c r="A7801" s="4">
        <v>6719.0</v>
      </c>
      <c r="B7801" s="2" t="s">
        <v>31437</v>
      </c>
      <c r="C7801" s="2" t="s">
        <v>31438</v>
      </c>
      <c r="D7801" s="2" t="s">
        <v>31439</v>
      </c>
      <c r="E7801" s="2" t="s">
        <v>31440</v>
      </c>
      <c r="F7801" s="2" t="b">
        <v>1</v>
      </c>
      <c r="G7801" s="2" t="b">
        <v>0</v>
      </c>
      <c r="H7801" s="2" t="s">
        <v>4976</v>
      </c>
      <c r="I7801" s="2" t="s">
        <v>49</v>
      </c>
      <c r="J7801" s="2" t="s">
        <v>1443</v>
      </c>
      <c r="K7801" s="2" t="s">
        <v>495</v>
      </c>
      <c r="L7801" s="13" t="s">
        <v>496</v>
      </c>
      <c r="M7801" s="2" t="s">
        <v>26</v>
      </c>
      <c r="N7801" s="29"/>
      <c r="O7801" s="29"/>
      <c r="P7801" s="5" t="str">
        <f>IFERROR(__xludf.DUMMYFUNCTION("TEXTJOIN("" | "",TRUE,IF(OR(D7801="""",E7801="""",I7801="""",J7801="""",H7801=""""),""ফাঁকা ঘর"",""""),IF(AND(C7801&lt;&gt;"""",D7801&lt;&gt;"""",C7801=D7801),""gloss=figurative"",""""),IF(LEN(D7801)&lt;15,""figurative ছোট"",""""),IF(AND(I7801=""Positive"",REGEXMATCH(H7"&amp;"801,""মূর্খ|ভণ্ড|প্রতার|অলস|লোভ|স্বার্থ|অক্ষম|অযোগ্য|বোকা|কৃপণ|হিংস"")),""valence-target অমিল"",""""),IF(COUNTIF($B:$B,B7801)&gt;1,""ডুপ্লিকেট"",""""))"),"")</f>
        <v/>
      </c>
      <c r="Q7801" s="5" t="str">
        <f t="shared" si="1"/>
        <v>২ পরে</v>
      </c>
    </row>
    <row r="7802">
      <c r="A7802" s="4">
        <v>6741.0</v>
      </c>
      <c r="B7802" s="2" t="s">
        <v>31441</v>
      </c>
      <c r="C7802" s="2" t="s">
        <v>31442</v>
      </c>
      <c r="D7802" s="2" t="s">
        <v>31443</v>
      </c>
      <c r="E7802" s="2" t="s">
        <v>31444</v>
      </c>
      <c r="F7802" s="2" t="b">
        <v>1</v>
      </c>
      <c r="G7802" s="2" t="b">
        <v>0</v>
      </c>
      <c r="H7802" s="2" t="s">
        <v>37</v>
      </c>
      <c r="I7802" s="2" t="s">
        <v>22</v>
      </c>
      <c r="J7802" s="2" t="s">
        <v>2165</v>
      </c>
      <c r="K7802" s="2" t="s">
        <v>495</v>
      </c>
      <c r="L7802" s="13" t="s">
        <v>496</v>
      </c>
      <c r="M7802" s="2" t="s">
        <v>26</v>
      </c>
      <c r="N7802" s="29"/>
      <c r="O7802" s="29"/>
      <c r="P7802" s="5" t="str">
        <f>IFERROR(__xludf.DUMMYFUNCTION("TEXTJOIN("" | "",TRUE,IF(OR(D7802="""",E7802="""",I7802="""",J7802="""",H7802=""""),""ফাঁকা ঘর"",""""),IF(AND(C7802&lt;&gt;"""",D7802&lt;&gt;"""",C7802=D7802),""gloss=figurative"",""""),IF(LEN(D7802)&lt;15,""figurative ছোট"",""""),IF(AND(I7802=""Positive"",REGEXMATCH(H7"&amp;"802,""মূর্খ|ভণ্ড|প্রতার|অলস|লোভ|স্বার্থ|অক্ষম|অযোগ্য|বোকা|কৃপণ|হিংস"")),""valence-target অমিল"",""""),IF(COUNTIF($B:$B,B7802)&gt;1,""ডুপ্লিকেট"",""""))"),"")</f>
        <v/>
      </c>
      <c r="Q7802" s="5" t="str">
        <f t="shared" si="1"/>
        <v>২ পরে</v>
      </c>
    </row>
    <row r="7803">
      <c r="A7803" s="4">
        <v>6780.0</v>
      </c>
      <c r="B7803" s="2" t="s">
        <v>31445</v>
      </c>
      <c r="C7803" s="2" t="s">
        <v>31446</v>
      </c>
      <c r="D7803" s="2" t="s">
        <v>31447</v>
      </c>
      <c r="E7803" s="2" t="s">
        <v>31448</v>
      </c>
      <c r="F7803" s="2" t="b">
        <v>1</v>
      </c>
      <c r="G7803" s="2" t="b">
        <v>0</v>
      </c>
      <c r="H7803" s="2" t="s">
        <v>1284</v>
      </c>
      <c r="I7803" s="2" t="s">
        <v>32</v>
      </c>
      <c r="J7803" s="2" t="s">
        <v>4067</v>
      </c>
      <c r="K7803" s="2" t="s">
        <v>495</v>
      </c>
      <c r="L7803" s="13" t="s">
        <v>496</v>
      </c>
      <c r="M7803" s="2" t="s">
        <v>26</v>
      </c>
      <c r="N7803" s="29"/>
      <c r="O7803" s="29"/>
      <c r="P7803" s="5" t="str">
        <f>IFERROR(__xludf.DUMMYFUNCTION("TEXTJOIN("" | "",TRUE,IF(OR(D7803="""",E7803="""",I7803="""",J7803="""",H7803=""""),""ফাঁকা ঘর"",""""),IF(AND(C7803&lt;&gt;"""",D7803&lt;&gt;"""",C7803=D7803),""gloss=figurative"",""""),IF(LEN(D7803)&lt;15,""figurative ছোট"",""""),IF(AND(I7803=""Positive"",REGEXMATCH(H7"&amp;"803,""মূর্খ|ভণ্ড|প্রতার|অলস|লোভ|স্বার্থ|অক্ষম|অযোগ্য|বোকা|কৃপণ|হিংস"")),""valence-target অমিল"",""""),IF(COUNTIF($B:$B,B7803)&gt;1,""ডুপ্লিকেট"",""""))"),"")</f>
        <v/>
      </c>
      <c r="Q7803" s="5" t="str">
        <f t="shared" si="1"/>
        <v>২ পরে</v>
      </c>
    </row>
    <row r="7804">
      <c r="A7804" s="4">
        <v>6787.0</v>
      </c>
      <c r="B7804" s="2" t="s">
        <v>31449</v>
      </c>
      <c r="C7804" s="2" t="s">
        <v>31450</v>
      </c>
      <c r="D7804" s="2" t="s">
        <v>31451</v>
      </c>
      <c r="E7804" s="2" t="s">
        <v>31452</v>
      </c>
      <c r="F7804" s="2" t="b">
        <v>1</v>
      </c>
      <c r="G7804" s="2" t="b">
        <v>0</v>
      </c>
      <c r="H7804" s="2" t="s">
        <v>37</v>
      </c>
      <c r="I7804" s="2" t="s">
        <v>32</v>
      </c>
      <c r="J7804" s="2" t="s">
        <v>5820</v>
      </c>
      <c r="K7804" s="2" t="s">
        <v>495</v>
      </c>
      <c r="L7804" s="13" t="s">
        <v>496</v>
      </c>
      <c r="M7804" s="2" t="s">
        <v>26</v>
      </c>
      <c r="N7804" s="29"/>
      <c r="O7804" s="29"/>
      <c r="P7804" s="5" t="str">
        <f>IFERROR(__xludf.DUMMYFUNCTION("TEXTJOIN("" | "",TRUE,IF(OR(D7804="""",E7804="""",I7804="""",J7804="""",H7804=""""),""ফাঁকা ঘর"",""""),IF(AND(C7804&lt;&gt;"""",D7804&lt;&gt;"""",C7804=D7804),""gloss=figurative"",""""),IF(LEN(D7804)&lt;15,""figurative ছোট"",""""),IF(AND(I7804=""Positive"",REGEXMATCH(H7"&amp;"804,""মূর্খ|ভণ্ড|প্রতার|অলস|লোভ|স্বার্থ|অক্ষম|অযোগ্য|বোকা|কৃপণ|হিংস"")),""valence-target অমিল"",""""),IF(COUNTIF($B:$B,B7804)&gt;1,""ডুপ্লিকেট"",""""))"),"")</f>
        <v/>
      </c>
      <c r="Q7804" s="5" t="str">
        <f t="shared" si="1"/>
        <v>২ পরে</v>
      </c>
    </row>
    <row r="7805">
      <c r="A7805" s="4">
        <v>6789.0</v>
      </c>
      <c r="B7805" s="2" t="s">
        <v>31453</v>
      </c>
      <c r="C7805" s="2" t="s">
        <v>31454</v>
      </c>
      <c r="D7805" s="2" t="s">
        <v>31455</v>
      </c>
      <c r="E7805" s="2" t="s">
        <v>31456</v>
      </c>
      <c r="F7805" s="2" t="b">
        <v>1</v>
      </c>
      <c r="G7805" s="2" t="b">
        <v>0</v>
      </c>
      <c r="H7805" s="2" t="s">
        <v>37</v>
      </c>
      <c r="I7805" s="2" t="s">
        <v>22</v>
      </c>
      <c r="J7805" s="2" t="s">
        <v>3869</v>
      </c>
      <c r="K7805" s="2" t="s">
        <v>495</v>
      </c>
      <c r="L7805" s="13" t="s">
        <v>496</v>
      </c>
      <c r="M7805" s="2" t="s">
        <v>26</v>
      </c>
      <c r="N7805" s="29"/>
      <c r="O7805" s="29"/>
      <c r="P7805" s="5" t="str">
        <f>IFERROR(__xludf.DUMMYFUNCTION("TEXTJOIN("" | "",TRUE,IF(OR(D7805="""",E7805="""",I7805="""",J7805="""",H7805=""""),""ফাঁকা ঘর"",""""),IF(AND(C7805&lt;&gt;"""",D7805&lt;&gt;"""",C7805=D7805),""gloss=figurative"",""""),IF(LEN(D7805)&lt;15,""figurative ছোট"",""""),IF(AND(I7805=""Positive"",REGEXMATCH(H7"&amp;"805,""মূর্খ|ভণ্ড|প্রতার|অলস|লোভ|স্বার্থ|অক্ষম|অযোগ্য|বোকা|কৃপণ|হিংস"")),""valence-target অমিল"",""""),IF(COUNTIF($B:$B,B7805)&gt;1,""ডুপ্লিকেট"",""""))"),"")</f>
        <v/>
      </c>
      <c r="Q7805" s="5" t="str">
        <f t="shared" si="1"/>
        <v>২ পরে</v>
      </c>
    </row>
    <row r="7806">
      <c r="A7806" s="4">
        <v>6791.0</v>
      </c>
      <c r="B7806" s="2" t="s">
        <v>31457</v>
      </c>
      <c r="C7806" s="2" t="s">
        <v>31458</v>
      </c>
      <c r="D7806" s="2" t="s">
        <v>30842</v>
      </c>
      <c r="E7806" s="2" t="s">
        <v>31459</v>
      </c>
      <c r="F7806" s="2" t="b">
        <v>1</v>
      </c>
      <c r="G7806" s="2" t="b">
        <v>0</v>
      </c>
      <c r="H7806" s="2" t="s">
        <v>1284</v>
      </c>
      <c r="I7806" s="2" t="s">
        <v>22</v>
      </c>
      <c r="J7806" s="2" t="s">
        <v>1471</v>
      </c>
      <c r="K7806" s="2" t="s">
        <v>495</v>
      </c>
      <c r="L7806" s="13" t="s">
        <v>496</v>
      </c>
      <c r="M7806" s="2" t="s">
        <v>26</v>
      </c>
      <c r="N7806" s="29"/>
      <c r="O7806" s="29"/>
      <c r="P7806" s="5" t="str">
        <f>IFERROR(__xludf.DUMMYFUNCTION("TEXTJOIN("" | "",TRUE,IF(OR(D7806="""",E7806="""",I7806="""",J7806="""",H7806=""""),""ফাঁকা ঘর"",""""),IF(AND(C7806&lt;&gt;"""",D7806&lt;&gt;"""",C7806=D7806),""gloss=figurative"",""""),IF(LEN(D7806)&lt;15,""figurative ছোট"",""""),IF(AND(I7806=""Positive"",REGEXMATCH(H7"&amp;"806,""মূর্খ|ভণ্ড|প্রতার|অলস|লোভ|স্বার্থ|অক্ষম|অযোগ্য|বোকা|কৃপণ|হিংস"")),""valence-target অমিল"",""""),IF(COUNTIF($B:$B,B7806)&gt;1,""ডুপ্লিকেট"",""""))"),"")</f>
        <v/>
      </c>
      <c r="Q7806" s="5" t="str">
        <f t="shared" si="1"/>
        <v>২ পরে</v>
      </c>
    </row>
    <row r="7807">
      <c r="A7807" s="4">
        <v>6795.0</v>
      </c>
      <c r="B7807" s="2" t="s">
        <v>31460</v>
      </c>
      <c r="C7807" s="2" t="s">
        <v>31460</v>
      </c>
      <c r="D7807" s="2" t="s">
        <v>31461</v>
      </c>
      <c r="E7807" s="2" t="s">
        <v>31462</v>
      </c>
      <c r="F7807" s="2" t="b">
        <v>1</v>
      </c>
      <c r="G7807" s="2" t="b">
        <v>0</v>
      </c>
      <c r="H7807" s="2" t="s">
        <v>37</v>
      </c>
      <c r="I7807" s="2" t="s">
        <v>32</v>
      </c>
      <c r="J7807" s="2" t="s">
        <v>1510</v>
      </c>
      <c r="K7807" s="2" t="s">
        <v>495</v>
      </c>
      <c r="L7807" s="13" t="s">
        <v>496</v>
      </c>
      <c r="M7807" s="2" t="s">
        <v>26</v>
      </c>
      <c r="N7807" s="29"/>
      <c r="O7807" s="29"/>
      <c r="P7807" s="5" t="str">
        <f>IFERROR(__xludf.DUMMYFUNCTION("TEXTJOIN("" | "",TRUE,IF(OR(D7807="""",E7807="""",I7807="""",J7807="""",H7807=""""),""ফাঁকা ঘর"",""""),IF(AND(C7807&lt;&gt;"""",D7807&lt;&gt;"""",C7807=D7807),""gloss=figurative"",""""),IF(LEN(D7807)&lt;15,""figurative ছোট"",""""),IF(AND(I7807=""Positive"",REGEXMATCH(H7"&amp;"807,""মূর্খ|ভণ্ড|প্রতার|অলস|লোভ|স্বার্থ|অক্ষম|অযোগ্য|বোকা|কৃপণ|হিংস"")),""valence-target অমিল"",""""),IF(COUNTIF($B:$B,B7807)&gt;1,""ডুপ্লিকেট"",""""))"),"")</f>
        <v/>
      </c>
      <c r="Q7807" s="5" t="str">
        <f t="shared" si="1"/>
        <v>২ পরে</v>
      </c>
    </row>
    <row r="7808">
      <c r="A7808" s="4">
        <v>6807.0</v>
      </c>
      <c r="B7808" s="2" t="s">
        <v>31463</v>
      </c>
      <c r="C7808" s="2" t="s">
        <v>31464</v>
      </c>
      <c r="D7808" s="2" t="s">
        <v>31465</v>
      </c>
      <c r="E7808" s="2" t="s">
        <v>31466</v>
      </c>
      <c r="F7808" s="2" t="b">
        <v>1</v>
      </c>
      <c r="G7808" s="2" t="b">
        <v>0</v>
      </c>
      <c r="H7808" s="2" t="s">
        <v>37</v>
      </c>
      <c r="I7808" s="2" t="s">
        <v>22</v>
      </c>
      <c r="J7808" s="2" t="s">
        <v>8409</v>
      </c>
      <c r="K7808" s="2" t="s">
        <v>495</v>
      </c>
      <c r="L7808" s="13" t="s">
        <v>496</v>
      </c>
      <c r="M7808" s="2" t="s">
        <v>26</v>
      </c>
      <c r="N7808" s="29"/>
      <c r="O7808" s="29"/>
      <c r="P7808" s="5" t="str">
        <f>IFERROR(__xludf.DUMMYFUNCTION("TEXTJOIN("" | "",TRUE,IF(OR(D7808="""",E7808="""",I7808="""",J7808="""",H7808=""""),""ফাঁকা ঘর"",""""),IF(AND(C7808&lt;&gt;"""",D7808&lt;&gt;"""",C7808=D7808),""gloss=figurative"",""""),IF(LEN(D7808)&lt;15,""figurative ছোট"",""""),IF(AND(I7808=""Positive"",REGEXMATCH(H7"&amp;"808,""মূর্খ|ভণ্ড|প্রতার|অলস|লোভ|স্বার্থ|অক্ষম|অযোগ্য|বোকা|কৃপণ|হিংস"")),""valence-target অমিল"",""""),IF(COUNTIF($B:$B,B7808)&gt;1,""ডুপ্লিকেট"",""""))"),"")</f>
        <v/>
      </c>
      <c r="Q7808" s="5" t="str">
        <f t="shared" si="1"/>
        <v>২ পরে</v>
      </c>
    </row>
    <row r="7809">
      <c r="A7809" s="4">
        <v>6825.0</v>
      </c>
      <c r="B7809" s="2" t="s">
        <v>31467</v>
      </c>
      <c r="C7809" s="2" t="s">
        <v>31468</v>
      </c>
      <c r="D7809" s="2" t="s">
        <v>31469</v>
      </c>
      <c r="E7809" s="2" t="s">
        <v>31470</v>
      </c>
      <c r="F7809" s="2" t="b">
        <v>1</v>
      </c>
      <c r="G7809" s="2" t="b">
        <v>0</v>
      </c>
      <c r="H7809" s="2" t="s">
        <v>37</v>
      </c>
      <c r="I7809" s="2" t="s">
        <v>22</v>
      </c>
      <c r="J7809" s="2" t="s">
        <v>971</v>
      </c>
      <c r="K7809" s="2" t="s">
        <v>495</v>
      </c>
      <c r="L7809" s="13" t="s">
        <v>496</v>
      </c>
      <c r="M7809" s="2" t="s">
        <v>26</v>
      </c>
      <c r="N7809" s="29"/>
      <c r="O7809" s="29"/>
      <c r="P7809" s="5" t="str">
        <f>IFERROR(__xludf.DUMMYFUNCTION("TEXTJOIN("" | "",TRUE,IF(OR(D7809="""",E7809="""",I7809="""",J7809="""",H7809=""""),""ফাঁকা ঘর"",""""),IF(AND(C7809&lt;&gt;"""",D7809&lt;&gt;"""",C7809=D7809),""gloss=figurative"",""""),IF(LEN(D7809)&lt;15,""figurative ছোট"",""""),IF(AND(I7809=""Positive"",REGEXMATCH(H7"&amp;"809,""মূর্খ|ভণ্ড|প্রতার|অলস|লোভ|স্বার্থ|অক্ষম|অযোগ্য|বোকা|কৃপণ|হিংস"")),""valence-target অমিল"",""""),IF(COUNTIF($B:$B,B7809)&gt;1,""ডুপ্লিকেট"",""""))"),"")</f>
        <v/>
      </c>
      <c r="Q7809" s="5" t="str">
        <f t="shared" si="1"/>
        <v>২ পরে</v>
      </c>
    </row>
    <row r="7810">
      <c r="A7810" s="4">
        <v>6832.0</v>
      </c>
      <c r="B7810" s="2" t="s">
        <v>31471</v>
      </c>
      <c r="C7810" s="2" t="s">
        <v>31472</v>
      </c>
      <c r="D7810" s="2" t="s">
        <v>31473</v>
      </c>
      <c r="E7810" s="2" t="s">
        <v>31474</v>
      </c>
      <c r="F7810" s="2" t="b">
        <v>1</v>
      </c>
      <c r="G7810" s="2" t="b">
        <v>0</v>
      </c>
      <c r="H7810" s="2" t="s">
        <v>37</v>
      </c>
      <c r="I7810" s="2" t="s">
        <v>32</v>
      </c>
      <c r="J7810" s="2" t="s">
        <v>2108</v>
      </c>
      <c r="K7810" s="2" t="s">
        <v>495</v>
      </c>
      <c r="L7810" s="13" t="s">
        <v>496</v>
      </c>
      <c r="M7810" s="2" t="s">
        <v>26</v>
      </c>
      <c r="N7810" s="29"/>
      <c r="O7810" s="29"/>
      <c r="P7810" s="5" t="str">
        <f>IFERROR(__xludf.DUMMYFUNCTION("TEXTJOIN("" | "",TRUE,IF(OR(D7810="""",E7810="""",I7810="""",J7810="""",H7810=""""),""ফাঁকা ঘর"",""""),IF(AND(C7810&lt;&gt;"""",D7810&lt;&gt;"""",C7810=D7810),""gloss=figurative"",""""),IF(LEN(D7810)&lt;15,""figurative ছোট"",""""),IF(AND(I7810=""Positive"",REGEXMATCH(H7"&amp;"810,""মূর্খ|ভণ্ড|প্রতার|অলস|লোভ|স্বার্থ|অক্ষম|অযোগ্য|বোকা|কৃপণ|হিংস"")),""valence-target অমিল"",""""),IF(COUNTIF($B:$B,B7810)&gt;1,""ডুপ্লিকেট"",""""))"),"")</f>
        <v/>
      </c>
      <c r="Q7810" s="5" t="str">
        <f t="shared" si="1"/>
        <v>২ পরে</v>
      </c>
    </row>
    <row r="7811">
      <c r="A7811" s="4">
        <v>6834.0</v>
      </c>
      <c r="B7811" s="2" t="s">
        <v>31475</v>
      </c>
      <c r="C7811" s="2" t="s">
        <v>31476</v>
      </c>
      <c r="D7811" s="2" t="s">
        <v>31477</v>
      </c>
      <c r="E7811" s="2" t="s">
        <v>31478</v>
      </c>
      <c r="F7811" s="2" t="b">
        <v>1</v>
      </c>
      <c r="G7811" s="2" t="b">
        <v>0</v>
      </c>
      <c r="H7811" s="2" t="s">
        <v>37</v>
      </c>
      <c r="I7811" s="2" t="s">
        <v>32</v>
      </c>
      <c r="J7811" s="2" t="s">
        <v>2108</v>
      </c>
      <c r="K7811" s="2" t="s">
        <v>495</v>
      </c>
      <c r="L7811" s="13" t="s">
        <v>496</v>
      </c>
      <c r="M7811" s="2" t="s">
        <v>26</v>
      </c>
      <c r="N7811" s="29"/>
      <c r="O7811" s="29"/>
      <c r="P7811" s="5" t="str">
        <f>IFERROR(__xludf.DUMMYFUNCTION("TEXTJOIN("" | "",TRUE,IF(OR(D7811="""",E7811="""",I7811="""",J7811="""",H7811=""""),""ফাঁকা ঘর"",""""),IF(AND(C7811&lt;&gt;"""",D7811&lt;&gt;"""",C7811=D7811),""gloss=figurative"",""""),IF(LEN(D7811)&lt;15,""figurative ছোট"",""""),IF(AND(I7811=""Positive"",REGEXMATCH(H7"&amp;"811,""মূর্খ|ভণ্ড|প্রতার|অলস|লোভ|স্বার্থ|অক্ষম|অযোগ্য|বোকা|কৃপণ|হিংস"")),""valence-target অমিল"",""""),IF(COUNTIF($B:$B,B7811)&gt;1,""ডুপ্লিকেট"",""""))"),"")</f>
        <v/>
      </c>
      <c r="Q7811" s="5" t="str">
        <f t="shared" si="1"/>
        <v>২ পরে</v>
      </c>
    </row>
    <row r="7812">
      <c r="A7812" s="4">
        <v>6869.0</v>
      </c>
      <c r="B7812" s="2" t="s">
        <v>31479</v>
      </c>
      <c r="C7812" s="2" t="s">
        <v>31480</v>
      </c>
      <c r="D7812" s="2" t="s">
        <v>31481</v>
      </c>
      <c r="E7812" s="2" t="s">
        <v>31482</v>
      </c>
      <c r="F7812" s="2" t="b">
        <v>1</v>
      </c>
      <c r="G7812" s="2" t="b">
        <v>0</v>
      </c>
      <c r="H7812" s="2" t="s">
        <v>37</v>
      </c>
      <c r="I7812" s="2" t="s">
        <v>22</v>
      </c>
      <c r="J7812" s="2" t="s">
        <v>1239</v>
      </c>
      <c r="K7812" s="2" t="s">
        <v>495</v>
      </c>
      <c r="L7812" s="13" t="s">
        <v>496</v>
      </c>
      <c r="M7812" s="2" t="s">
        <v>26</v>
      </c>
      <c r="N7812" s="29"/>
      <c r="O7812" s="29"/>
      <c r="P7812" s="5" t="str">
        <f>IFERROR(__xludf.DUMMYFUNCTION("TEXTJOIN("" | "",TRUE,IF(OR(D7812="""",E7812="""",I7812="""",J7812="""",H7812=""""),""ফাঁকা ঘর"",""""),IF(AND(C7812&lt;&gt;"""",D7812&lt;&gt;"""",C7812=D7812),""gloss=figurative"",""""),IF(LEN(D7812)&lt;15,""figurative ছোট"",""""),IF(AND(I7812=""Positive"",REGEXMATCH(H7"&amp;"812,""মূর্খ|ভণ্ড|প্রতার|অলস|লোভ|স্বার্থ|অক্ষম|অযোগ্য|বোকা|কৃপণ|হিংস"")),""valence-target অমিল"",""""),IF(COUNTIF($B:$B,B7812)&gt;1,""ডুপ্লিকেট"",""""))"),"")</f>
        <v/>
      </c>
      <c r="Q7812" s="5" t="str">
        <f t="shared" si="1"/>
        <v>২ পরে</v>
      </c>
    </row>
    <row r="7813">
      <c r="A7813" s="4">
        <v>6961.0</v>
      </c>
      <c r="B7813" s="2" t="s">
        <v>31483</v>
      </c>
      <c r="C7813" s="2" t="s">
        <v>5750</v>
      </c>
      <c r="D7813" s="2" t="s">
        <v>31484</v>
      </c>
      <c r="E7813" s="2" t="s">
        <v>31485</v>
      </c>
      <c r="F7813" s="2" t="b">
        <v>1</v>
      </c>
      <c r="G7813" s="2" t="b">
        <v>0</v>
      </c>
      <c r="H7813" s="2" t="s">
        <v>37</v>
      </c>
      <c r="I7813" s="2" t="s">
        <v>32</v>
      </c>
      <c r="J7813" s="2" t="s">
        <v>528</v>
      </c>
      <c r="K7813" s="2" t="s">
        <v>495</v>
      </c>
      <c r="L7813" s="13" t="s">
        <v>496</v>
      </c>
      <c r="M7813" s="2" t="s">
        <v>26</v>
      </c>
      <c r="N7813" s="29"/>
      <c r="O7813" s="29"/>
      <c r="P7813" s="5" t="str">
        <f>IFERROR(__xludf.DUMMYFUNCTION("TEXTJOIN("" | "",TRUE,IF(OR(D7813="""",E7813="""",I7813="""",J7813="""",H7813=""""),""ফাঁকা ঘর"",""""),IF(AND(C7813&lt;&gt;"""",D7813&lt;&gt;"""",C7813=D7813),""gloss=figurative"",""""),IF(LEN(D7813)&lt;15,""figurative ছোট"",""""),IF(AND(I7813=""Positive"",REGEXMATCH(H7"&amp;"813,""মূর্খ|ভণ্ড|প্রতার|অলস|লোভ|স্বার্থ|অক্ষম|অযোগ্য|বোকা|কৃপণ|হিংস"")),""valence-target অমিল"",""""),IF(COUNTIF($B:$B,B7813)&gt;1,""ডুপ্লিকেট"",""""))"),"")</f>
        <v/>
      </c>
      <c r="Q7813" s="5" t="str">
        <f t="shared" si="1"/>
        <v>২ পরে</v>
      </c>
    </row>
    <row r="7814">
      <c r="A7814" s="4">
        <v>6962.0</v>
      </c>
      <c r="B7814" s="2" t="s">
        <v>31486</v>
      </c>
      <c r="C7814" s="2" t="s">
        <v>31487</v>
      </c>
      <c r="D7814" s="2" t="s">
        <v>31488</v>
      </c>
      <c r="E7814" s="2" t="s">
        <v>31489</v>
      </c>
      <c r="F7814" s="2" t="b">
        <v>1</v>
      </c>
      <c r="G7814" s="2" t="b">
        <v>0</v>
      </c>
      <c r="H7814" s="2" t="s">
        <v>37</v>
      </c>
      <c r="I7814" s="2" t="s">
        <v>32</v>
      </c>
      <c r="J7814" s="2" t="s">
        <v>1060</v>
      </c>
      <c r="K7814" s="2" t="s">
        <v>495</v>
      </c>
      <c r="L7814" s="13" t="s">
        <v>496</v>
      </c>
      <c r="M7814" s="2" t="s">
        <v>26</v>
      </c>
      <c r="N7814" s="29"/>
      <c r="O7814" s="29"/>
      <c r="P7814" s="5" t="str">
        <f>IFERROR(__xludf.DUMMYFUNCTION("TEXTJOIN("" | "",TRUE,IF(OR(D7814="""",E7814="""",I7814="""",J7814="""",H7814=""""),""ফাঁকা ঘর"",""""),IF(AND(C7814&lt;&gt;"""",D7814&lt;&gt;"""",C7814=D7814),""gloss=figurative"",""""),IF(LEN(D7814)&lt;15,""figurative ছোট"",""""),IF(AND(I7814=""Positive"",REGEXMATCH(H7"&amp;"814,""মূর্খ|ভণ্ড|প্রতার|অলস|লোভ|স্বার্থ|অক্ষম|অযোগ্য|বোকা|কৃপণ|হিংস"")),""valence-target অমিল"",""""),IF(COUNTIF($B:$B,B7814)&gt;1,""ডুপ্লিকেট"",""""))"),"")</f>
        <v/>
      </c>
      <c r="Q7814" s="5" t="str">
        <f t="shared" si="1"/>
        <v>২ পরে</v>
      </c>
    </row>
    <row r="7815">
      <c r="A7815" s="4">
        <v>6963.0</v>
      </c>
      <c r="B7815" s="2" t="s">
        <v>31490</v>
      </c>
      <c r="C7815" s="2" t="s">
        <v>31491</v>
      </c>
      <c r="D7815" s="2" t="s">
        <v>31492</v>
      </c>
      <c r="E7815" s="2" t="s">
        <v>31493</v>
      </c>
      <c r="F7815" s="2" t="b">
        <v>1</v>
      </c>
      <c r="G7815" s="2" t="b">
        <v>0</v>
      </c>
      <c r="H7815" s="2" t="s">
        <v>37</v>
      </c>
      <c r="I7815" s="2" t="s">
        <v>32</v>
      </c>
      <c r="J7815" s="2" t="s">
        <v>5696</v>
      </c>
      <c r="K7815" s="2" t="s">
        <v>495</v>
      </c>
      <c r="L7815" s="13" t="s">
        <v>496</v>
      </c>
      <c r="M7815" s="2" t="s">
        <v>26</v>
      </c>
      <c r="N7815" s="29"/>
      <c r="O7815" s="29"/>
      <c r="P7815" s="5" t="str">
        <f>IFERROR(__xludf.DUMMYFUNCTION("TEXTJOIN("" | "",TRUE,IF(OR(D7815="""",E7815="""",I7815="""",J7815="""",H7815=""""),""ফাঁকা ঘর"",""""),IF(AND(C7815&lt;&gt;"""",D7815&lt;&gt;"""",C7815=D7815),""gloss=figurative"",""""),IF(LEN(D7815)&lt;15,""figurative ছোট"",""""),IF(AND(I7815=""Positive"",REGEXMATCH(H7"&amp;"815,""মূর্খ|ভণ্ড|প্রতার|অলস|লোভ|স্বার্থ|অক্ষম|অযোগ্য|বোকা|কৃপণ|হিংস"")),""valence-target অমিল"",""""),IF(COUNTIF($B:$B,B7815)&gt;1,""ডুপ্লিকেট"",""""))"),"")</f>
        <v/>
      </c>
      <c r="Q7815" s="5" t="str">
        <f t="shared" si="1"/>
        <v>২ পরে</v>
      </c>
    </row>
    <row r="7816">
      <c r="A7816" s="4">
        <v>6964.0</v>
      </c>
      <c r="B7816" s="2" t="s">
        <v>31494</v>
      </c>
      <c r="C7816" s="2" t="s">
        <v>31495</v>
      </c>
      <c r="D7816" s="2" t="s">
        <v>31496</v>
      </c>
      <c r="E7816" s="2" t="s">
        <v>31497</v>
      </c>
      <c r="F7816" s="2" t="b">
        <v>1</v>
      </c>
      <c r="G7816" s="2" t="b">
        <v>1</v>
      </c>
      <c r="H7816" s="2" t="s">
        <v>2292</v>
      </c>
      <c r="I7816" s="2" t="s">
        <v>32</v>
      </c>
      <c r="J7816" s="2" t="s">
        <v>1925</v>
      </c>
      <c r="K7816" s="2" t="s">
        <v>495</v>
      </c>
      <c r="L7816" s="13" t="s">
        <v>496</v>
      </c>
      <c r="M7816" s="2" t="s">
        <v>26</v>
      </c>
      <c r="N7816" s="29"/>
      <c r="O7816" s="29"/>
      <c r="P7816" s="5" t="str">
        <f>IFERROR(__xludf.DUMMYFUNCTION("TEXTJOIN("" | "",TRUE,IF(OR(D7816="""",E7816="""",I7816="""",J7816="""",H7816=""""),""ফাঁকা ঘর"",""""),IF(AND(C7816&lt;&gt;"""",D7816&lt;&gt;"""",C7816=D7816),""gloss=figurative"",""""),IF(LEN(D7816)&lt;15,""figurative ছোট"",""""),IF(AND(I7816=""Positive"",REGEXMATCH(H7"&amp;"816,""মূর্খ|ভণ্ড|প্রতার|অলস|লোভ|স্বার্থ|অক্ষম|অযোগ্য|বোকা|কৃপণ|হিংস"")),""valence-target অমিল"",""""),IF(COUNTIF($B:$B,B7816)&gt;1,""ডুপ্লিকেট"",""""))"),"")</f>
        <v/>
      </c>
      <c r="Q7816" s="5" t="str">
        <f t="shared" si="1"/>
        <v>২ পরে</v>
      </c>
    </row>
    <row r="7817">
      <c r="A7817" s="4">
        <v>6965.0</v>
      </c>
      <c r="B7817" s="2" t="s">
        <v>31498</v>
      </c>
      <c r="C7817" s="2" t="s">
        <v>31499</v>
      </c>
      <c r="D7817" s="2" t="s">
        <v>31492</v>
      </c>
      <c r="E7817" s="2" t="s">
        <v>31500</v>
      </c>
      <c r="F7817" s="2" t="b">
        <v>1</v>
      </c>
      <c r="G7817" s="2" t="b">
        <v>0</v>
      </c>
      <c r="H7817" s="2" t="s">
        <v>37</v>
      </c>
      <c r="I7817" s="2" t="s">
        <v>32</v>
      </c>
      <c r="J7817" s="2" t="s">
        <v>5696</v>
      </c>
      <c r="K7817" s="2" t="s">
        <v>495</v>
      </c>
      <c r="L7817" s="13" t="s">
        <v>496</v>
      </c>
      <c r="M7817" s="2" t="s">
        <v>26</v>
      </c>
      <c r="N7817" s="29"/>
      <c r="O7817" s="29"/>
      <c r="P7817" s="5" t="str">
        <f>IFERROR(__xludf.DUMMYFUNCTION("TEXTJOIN("" | "",TRUE,IF(OR(D7817="""",E7817="""",I7817="""",J7817="""",H7817=""""),""ফাঁকা ঘর"",""""),IF(AND(C7817&lt;&gt;"""",D7817&lt;&gt;"""",C7817=D7817),""gloss=figurative"",""""),IF(LEN(D7817)&lt;15,""figurative ছোট"",""""),IF(AND(I7817=""Positive"",REGEXMATCH(H7"&amp;"817,""মূর্খ|ভণ্ড|প্রতার|অলস|লোভ|স্বার্থ|অক্ষম|অযোগ্য|বোকা|কৃপণ|হিংস"")),""valence-target অমিল"",""""),IF(COUNTIF($B:$B,B7817)&gt;1,""ডুপ্লিকেট"",""""))"),"")</f>
        <v/>
      </c>
      <c r="Q7817" s="5" t="str">
        <f t="shared" si="1"/>
        <v>২ পরে</v>
      </c>
    </row>
    <row r="7818">
      <c r="A7818" s="4">
        <v>6966.0</v>
      </c>
      <c r="B7818" s="2" t="s">
        <v>31501</v>
      </c>
      <c r="C7818" s="2" t="s">
        <v>31501</v>
      </c>
      <c r="D7818" s="2" t="s">
        <v>31502</v>
      </c>
      <c r="E7818" s="2" t="s">
        <v>31503</v>
      </c>
      <c r="F7818" s="2" t="b">
        <v>1</v>
      </c>
      <c r="G7818" s="2" t="b">
        <v>0</v>
      </c>
      <c r="H7818" s="2" t="s">
        <v>37</v>
      </c>
      <c r="I7818" s="2" t="s">
        <v>32</v>
      </c>
      <c r="J7818" s="2" t="s">
        <v>1603</v>
      </c>
      <c r="K7818" s="2" t="s">
        <v>495</v>
      </c>
      <c r="L7818" s="13" t="s">
        <v>496</v>
      </c>
      <c r="M7818" s="2" t="s">
        <v>26</v>
      </c>
      <c r="N7818" s="29"/>
      <c r="O7818" s="29"/>
      <c r="P7818" s="5" t="str">
        <f>IFERROR(__xludf.DUMMYFUNCTION("TEXTJOIN("" | "",TRUE,IF(OR(D7818="""",E7818="""",I7818="""",J7818="""",H7818=""""),""ফাঁকা ঘর"",""""),IF(AND(C7818&lt;&gt;"""",D7818&lt;&gt;"""",C7818=D7818),""gloss=figurative"",""""),IF(LEN(D7818)&lt;15,""figurative ছোট"",""""),IF(AND(I7818=""Positive"",REGEXMATCH(H7"&amp;"818,""মূর্খ|ভণ্ড|প্রতার|অলস|লোভ|স্বার্থ|অক্ষম|অযোগ্য|বোকা|কৃপণ|হিংস"")),""valence-target অমিল"",""""),IF(COUNTIF($B:$B,B7818)&gt;1,""ডুপ্লিকেট"",""""))"),"")</f>
        <v/>
      </c>
      <c r="Q7818" s="5" t="str">
        <f t="shared" si="1"/>
        <v>২ পরে</v>
      </c>
    </row>
    <row r="7819">
      <c r="A7819" s="4">
        <v>6967.0</v>
      </c>
      <c r="B7819" s="2" t="s">
        <v>31504</v>
      </c>
      <c r="C7819" s="2" t="s">
        <v>25510</v>
      </c>
      <c r="D7819" s="2" t="s">
        <v>31505</v>
      </c>
      <c r="E7819" s="2" t="s">
        <v>31506</v>
      </c>
      <c r="F7819" s="2" t="b">
        <v>1</v>
      </c>
      <c r="G7819" s="2" t="b">
        <v>0</v>
      </c>
      <c r="H7819" s="2" t="s">
        <v>37</v>
      </c>
      <c r="I7819" s="2" t="s">
        <v>49</v>
      </c>
      <c r="J7819" s="2" t="s">
        <v>4617</v>
      </c>
      <c r="K7819" s="2" t="s">
        <v>495</v>
      </c>
      <c r="L7819" s="13" t="s">
        <v>496</v>
      </c>
      <c r="M7819" s="2" t="s">
        <v>26</v>
      </c>
      <c r="N7819" s="29"/>
      <c r="O7819" s="29"/>
      <c r="P7819" s="5" t="str">
        <f>IFERROR(__xludf.DUMMYFUNCTION("TEXTJOIN("" | "",TRUE,IF(OR(D7819="""",E7819="""",I7819="""",J7819="""",H7819=""""),""ফাঁকা ঘর"",""""),IF(AND(C7819&lt;&gt;"""",D7819&lt;&gt;"""",C7819=D7819),""gloss=figurative"",""""),IF(LEN(D7819)&lt;15,""figurative ছোট"",""""),IF(AND(I7819=""Positive"",REGEXMATCH(H7"&amp;"819,""মূর্খ|ভণ্ড|প্রতার|অলস|লোভ|স্বার্থ|অক্ষম|অযোগ্য|বোকা|কৃপণ|হিংস"")),""valence-target অমিল"",""""),IF(COUNTIF($B:$B,B7819)&gt;1,""ডুপ্লিকেট"",""""))"),"")</f>
        <v/>
      </c>
      <c r="Q7819" s="5" t="str">
        <f t="shared" si="1"/>
        <v>২ পরে</v>
      </c>
    </row>
    <row r="7820">
      <c r="A7820" s="4">
        <v>6968.0</v>
      </c>
      <c r="B7820" s="2" t="s">
        <v>31507</v>
      </c>
      <c r="C7820" s="2" t="s">
        <v>25510</v>
      </c>
      <c r="D7820" s="2" t="s">
        <v>31508</v>
      </c>
      <c r="E7820" s="2" t="s">
        <v>31509</v>
      </c>
      <c r="F7820" s="2" t="b">
        <v>1</v>
      </c>
      <c r="G7820" s="2" t="b">
        <v>0</v>
      </c>
      <c r="H7820" s="2" t="s">
        <v>37</v>
      </c>
      <c r="I7820" s="2" t="s">
        <v>49</v>
      </c>
      <c r="J7820" s="2" t="s">
        <v>4617</v>
      </c>
      <c r="K7820" s="2" t="s">
        <v>495</v>
      </c>
      <c r="L7820" s="13" t="s">
        <v>496</v>
      </c>
      <c r="M7820" s="2" t="s">
        <v>26</v>
      </c>
      <c r="N7820" s="29"/>
      <c r="O7820" s="29"/>
      <c r="P7820" s="5" t="str">
        <f>IFERROR(__xludf.DUMMYFUNCTION("TEXTJOIN("" | "",TRUE,IF(OR(D7820="""",E7820="""",I7820="""",J7820="""",H7820=""""),""ফাঁকা ঘর"",""""),IF(AND(C7820&lt;&gt;"""",D7820&lt;&gt;"""",C7820=D7820),""gloss=figurative"",""""),IF(LEN(D7820)&lt;15,""figurative ছোট"",""""),IF(AND(I7820=""Positive"",REGEXMATCH(H7"&amp;"820,""মূর্খ|ভণ্ড|প্রতার|অলস|লোভ|স্বার্থ|অক্ষম|অযোগ্য|বোকা|কৃপণ|হিংস"")),""valence-target অমিল"",""""),IF(COUNTIF($B:$B,B7820)&gt;1,""ডুপ্লিকেট"",""""))"),"")</f>
        <v/>
      </c>
      <c r="Q7820" s="5" t="str">
        <f t="shared" si="1"/>
        <v>২ পরে</v>
      </c>
    </row>
    <row r="7821">
      <c r="A7821" s="4">
        <v>6971.0</v>
      </c>
      <c r="B7821" s="2" t="s">
        <v>31510</v>
      </c>
      <c r="C7821" s="2" t="s">
        <v>31511</v>
      </c>
      <c r="D7821" s="2" t="s">
        <v>31512</v>
      </c>
      <c r="E7821" s="2" t="s">
        <v>31513</v>
      </c>
      <c r="F7821" s="2" t="b">
        <v>1</v>
      </c>
      <c r="G7821" s="2" t="b">
        <v>0</v>
      </c>
      <c r="H7821" s="2" t="s">
        <v>37</v>
      </c>
      <c r="I7821" s="2" t="s">
        <v>32</v>
      </c>
      <c r="J7821" s="2" t="s">
        <v>1775</v>
      </c>
      <c r="K7821" s="2" t="s">
        <v>495</v>
      </c>
      <c r="L7821" s="13" t="s">
        <v>496</v>
      </c>
      <c r="M7821" s="2" t="s">
        <v>26</v>
      </c>
      <c r="N7821" s="29"/>
      <c r="O7821" s="29"/>
      <c r="P7821" s="5" t="str">
        <f>IFERROR(__xludf.DUMMYFUNCTION("TEXTJOIN("" | "",TRUE,IF(OR(D7821="""",E7821="""",I7821="""",J7821="""",H7821=""""),""ফাঁকা ঘর"",""""),IF(AND(C7821&lt;&gt;"""",D7821&lt;&gt;"""",C7821=D7821),""gloss=figurative"",""""),IF(LEN(D7821)&lt;15,""figurative ছোট"",""""),IF(AND(I7821=""Positive"",REGEXMATCH(H7"&amp;"821,""মূর্খ|ভণ্ড|প্রতার|অলস|লোভ|স্বার্থ|অক্ষম|অযোগ্য|বোকা|কৃপণ|হিংস"")),""valence-target অমিল"",""""),IF(COUNTIF($B:$B,B7821)&gt;1,""ডুপ্লিকেট"",""""))"),"")</f>
        <v/>
      </c>
      <c r="Q7821" s="5" t="str">
        <f t="shared" si="1"/>
        <v>২ পরে</v>
      </c>
    </row>
    <row r="7822">
      <c r="A7822" s="4">
        <v>6972.0</v>
      </c>
      <c r="B7822" s="2" t="s">
        <v>31514</v>
      </c>
      <c r="C7822" s="2" t="s">
        <v>31515</v>
      </c>
      <c r="D7822" s="2" t="s">
        <v>31516</v>
      </c>
      <c r="E7822" s="2" t="s">
        <v>31517</v>
      </c>
      <c r="F7822" s="2" t="b">
        <v>1</v>
      </c>
      <c r="G7822" s="2" t="b">
        <v>0</v>
      </c>
      <c r="H7822" s="2" t="s">
        <v>37</v>
      </c>
      <c r="I7822" s="2" t="s">
        <v>32</v>
      </c>
      <c r="J7822" s="2" t="s">
        <v>3127</v>
      </c>
      <c r="K7822" s="2" t="s">
        <v>495</v>
      </c>
      <c r="L7822" s="13" t="s">
        <v>496</v>
      </c>
      <c r="M7822" s="2" t="s">
        <v>26</v>
      </c>
      <c r="N7822" s="29"/>
      <c r="O7822" s="29"/>
      <c r="P7822" s="5" t="str">
        <f>IFERROR(__xludf.DUMMYFUNCTION("TEXTJOIN("" | "",TRUE,IF(OR(D7822="""",E7822="""",I7822="""",J7822="""",H7822=""""),""ফাঁকা ঘর"",""""),IF(AND(C7822&lt;&gt;"""",D7822&lt;&gt;"""",C7822=D7822),""gloss=figurative"",""""),IF(LEN(D7822)&lt;15,""figurative ছোট"",""""),IF(AND(I7822=""Positive"",REGEXMATCH(H7"&amp;"822,""মূর্খ|ভণ্ড|প্রতার|অলস|লোভ|স্বার্থ|অক্ষম|অযোগ্য|বোকা|কৃপণ|হিংস"")),""valence-target অমিল"",""""),IF(COUNTIF($B:$B,B7822)&gt;1,""ডুপ্লিকেট"",""""))"),"")</f>
        <v/>
      </c>
      <c r="Q7822" s="5" t="str">
        <f t="shared" si="1"/>
        <v>২ পরে</v>
      </c>
    </row>
    <row r="7823">
      <c r="A7823" s="4">
        <v>6973.0</v>
      </c>
      <c r="B7823" s="2" t="s">
        <v>31518</v>
      </c>
      <c r="C7823" s="2" t="s">
        <v>31519</v>
      </c>
      <c r="D7823" s="2" t="s">
        <v>5727</v>
      </c>
      <c r="E7823" s="2" t="s">
        <v>31520</v>
      </c>
      <c r="F7823" s="2" t="b">
        <v>1</v>
      </c>
      <c r="G7823" s="2" t="b">
        <v>0</v>
      </c>
      <c r="H7823" s="2" t="s">
        <v>37</v>
      </c>
      <c r="I7823" s="2" t="s">
        <v>32</v>
      </c>
      <c r="J7823" s="2" t="s">
        <v>1603</v>
      </c>
      <c r="K7823" s="2" t="s">
        <v>495</v>
      </c>
      <c r="L7823" s="13" t="s">
        <v>496</v>
      </c>
      <c r="M7823" s="2" t="s">
        <v>26</v>
      </c>
      <c r="N7823" s="29"/>
      <c r="O7823" s="29"/>
      <c r="P7823" s="5" t="str">
        <f>IFERROR(__xludf.DUMMYFUNCTION("TEXTJOIN("" | "",TRUE,IF(OR(D7823="""",E7823="""",I7823="""",J7823="""",H7823=""""),""ফাঁকা ঘর"",""""),IF(AND(C7823&lt;&gt;"""",D7823&lt;&gt;"""",C7823=D7823),""gloss=figurative"",""""),IF(LEN(D7823)&lt;15,""figurative ছোট"",""""),IF(AND(I7823=""Positive"",REGEXMATCH(H7"&amp;"823,""মূর্খ|ভণ্ড|প্রতার|অলস|লোভ|স্বার্থ|অক্ষম|অযোগ্য|বোকা|কৃপণ|হিংস"")),""valence-target অমিল"",""""),IF(COUNTIF($B:$B,B7823)&gt;1,""ডুপ্লিকেট"",""""))"),"")</f>
        <v/>
      </c>
      <c r="Q7823" s="5" t="str">
        <f t="shared" si="1"/>
        <v>২ পরে</v>
      </c>
    </row>
    <row r="7824">
      <c r="A7824" s="4">
        <v>6974.0</v>
      </c>
      <c r="B7824" s="2" t="s">
        <v>5249</v>
      </c>
      <c r="C7824" s="2" t="s">
        <v>5249</v>
      </c>
      <c r="D7824" s="2" t="s">
        <v>31521</v>
      </c>
      <c r="E7824" s="2" t="s">
        <v>31522</v>
      </c>
      <c r="F7824" s="2" t="b">
        <v>1</v>
      </c>
      <c r="G7824" s="2" t="b">
        <v>0</v>
      </c>
      <c r="H7824" s="2" t="s">
        <v>37</v>
      </c>
      <c r="I7824" s="2" t="s">
        <v>32</v>
      </c>
      <c r="J7824" s="2" t="s">
        <v>1603</v>
      </c>
      <c r="K7824" s="2" t="s">
        <v>495</v>
      </c>
      <c r="L7824" s="13" t="s">
        <v>496</v>
      </c>
      <c r="M7824" s="2" t="s">
        <v>26</v>
      </c>
      <c r="N7824" s="29"/>
      <c r="O7824" s="29"/>
      <c r="P7824" s="5" t="str">
        <f>IFERROR(__xludf.DUMMYFUNCTION("TEXTJOIN("" | "",TRUE,IF(OR(D7824="""",E7824="""",I7824="""",J7824="""",H7824=""""),""ফাঁকা ঘর"",""""),IF(AND(C7824&lt;&gt;"""",D7824&lt;&gt;"""",C7824=D7824),""gloss=figurative"",""""),IF(LEN(D7824)&lt;15,""figurative ছোট"",""""),IF(AND(I7824=""Positive"",REGEXMATCH(H7"&amp;"824,""মূর্খ|ভণ্ড|প্রতার|অলস|লোভ|স্বার্থ|অক্ষম|অযোগ্য|বোকা|কৃপণ|হিংস"")),""valence-target অমিল"",""""),IF(COUNTIF($B:$B,B7824)&gt;1,""ডুপ্লিকেট"",""""))"),"")</f>
        <v/>
      </c>
      <c r="Q7824" s="5" t="str">
        <f t="shared" si="1"/>
        <v>২ পরে</v>
      </c>
    </row>
    <row r="7825">
      <c r="A7825" s="4">
        <v>6978.0</v>
      </c>
      <c r="B7825" s="2" t="s">
        <v>31523</v>
      </c>
      <c r="C7825" s="2" t="s">
        <v>31524</v>
      </c>
      <c r="D7825" s="2" t="s">
        <v>31525</v>
      </c>
      <c r="E7825" s="2" t="s">
        <v>31526</v>
      </c>
      <c r="F7825" s="2" t="b">
        <v>1</v>
      </c>
      <c r="G7825" s="2" t="b">
        <v>0</v>
      </c>
      <c r="H7825" s="2" t="s">
        <v>37</v>
      </c>
      <c r="I7825" s="2" t="s">
        <v>32</v>
      </c>
      <c r="J7825" s="2" t="s">
        <v>5696</v>
      </c>
      <c r="K7825" s="2" t="s">
        <v>495</v>
      </c>
      <c r="L7825" s="13" t="s">
        <v>496</v>
      </c>
      <c r="M7825" s="2" t="s">
        <v>26</v>
      </c>
      <c r="N7825" s="29"/>
      <c r="O7825" s="29"/>
      <c r="P7825" s="5" t="str">
        <f>IFERROR(__xludf.DUMMYFUNCTION("TEXTJOIN("" | "",TRUE,IF(OR(D7825="""",E7825="""",I7825="""",J7825="""",H7825=""""),""ফাঁকা ঘর"",""""),IF(AND(C7825&lt;&gt;"""",D7825&lt;&gt;"""",C7825=D7825),""gloss=figurative"",""""),IF(LEN(D7825)&lt;15,""figurative ছোট"",""""),IF(AND(I7825=""Positive"",REGEXMATCH(H7"&amp;"825,""মূর্খ|ভণ্ড|প্রতার|অলস|লোভ|স্বার্থ|অক্ষম|অযোগ্য|বোকা|কৃপণ|হিংস"")),""valence-target অমিল"",""""),IF(COUNTIF($B:$B,B7825)&gt;1,""ডুপ্লিকেট"",""""))"),"")</f>
        <v/>
      </c>
      <c r="Q7825" s="5" t="str">
        <f t="shared" si="1"/>
        <v>২ পরে</v>
      </c>
    </row>
    <row r="7826">
      <c r="A7826" s="4">
        <v>6979.0</v>
      </c>
      <c r="B7826" s="2" t="s">
        <v>31527</v>
      </c>
      <c r="C7826" s="2" t="s">
        <v>31528</v>
      </c>
      <c r="D7826" s="2" t="s">
        <v>31529</v>
      </c>
      <c r="E7826" s="2" t="s">
        <v>31530</v>
      </c>
      <c r="F7826" s="2" t="b">
        <v>1</v>
      </c>
      <c r="G7826" s="2" t="b">
        <v>0</v>
      </c>
      <c r="H7826" s="2" t="s">
        <v>37</v>
      </c>
      <c r="I7826" s="2" t="s">
        <v>32</v>
      </c>
      <c r="J7826" s="2" t="s">
        <v>25390</v>
      </c>
      <c r="K7826" s="2" t="s">
        <v>495</v>
      </c>
      <c r="L7826" s="13" t="s">
        <v>496</v>
      </c>
      <c r="M7826" s="2" t="s">
        <v>26</v>
      </c>
      <c r="N7826" s="29"/>
      <c r="O7826" s="29"/>
      <c r="P7826" s="5" t="str">
        <f>IFERROR(__xludf.DUMMYFUNCTION("TEXTJOIN("" | "",TRUE,IF(OR(D7826="""",E7826="""",I7826="""",J7826="""",H7826=""""),""ফাঁকা ঘর"",""""),IF(AND(C7826&lt;&gt;"""",D7826&lt;&gt;"""",C7826=D7826),""gloss=figurative"",""""),IF(LEN(D7826)&lt;15,""figurative ছোট"",""""),IF(AND(I7826=""Positive"",REGEXMATCH(H7"&amp;"826,""মূর্খ|ভণ্ড|প্রতার|অলস|লোভ|স্বার্থ|অক্ষম|অযোগ্য|বোকা|কৃপণ|হিংস"")),""valence-target অমিল"",""""),IF(COUNTIF($B:$B,B7826)&gt;1,""ডুপ্লিকেট"",""""))"),"")</f>
        <v/>
      </c>
      <c r="Q7826" s="5" t="str">
        <f t="shared" si="1"/>
        <v>২ পরে</v>
      </c>
    </row>
    <row r="7827">
      <c r="A7827" s="4">
        <v>6982.0</v>
      </c>
      <c r="B7827" s="2" t="s">
        <v>31531</v>
      </c>
      <c r="C7827" s="2" t="s">
        <v>31531</v>
      </c>
      <c r="D7827" s="2" t="s">
        <v>31532</v>
      </c>
      <c r="E7827" s="2" t="s">
        <v>31533</v>
      </c>
      <c r="F7827" s="2" t="b">
        <v>1</v>
      </c>
      <c r="G7827" s="2" t="b">
        <v>0</v>
      </c>
      <c r="H7827" s="2" t="s">
        <v>3379</v>
      </c>
      <c r="I7827" s="2" t="s">
        <v>22</v>
      </c>
      <c r="J7827" s="2" t="s">
        <v>1244</v>
      </c>
      <c r="K7827" s="2" t="s">
        <v>495</v>
      </c>
      <c r="L7827" s="13" t="s">
        <v>496</v>
      </c>
      <c r="M7827" s="2" t="s">
        <v>26</v>
      </c>
      <c r="N7827" s="29"/>
      <c r="O7827" s="29"/>
      <c r="P7827" s="5" t="str">
        <f>IFERROR(__xludf.DUMMYFUNCTION("TEXTJOIN("" | "",TRUE,IF(OR(D7827="""",E7827="""",I7827="""",J7827="""",H7827=""""),""ফাঁকা ঘর"",""""),IF(AND(C7827&lt;&gt;"""",D7827&lt;&gt;"""",C7827=D7827),""gloss=figurative"",""""),IF(LEN(D7827)&lt;15,""figurative ছোট"",""""),IF(AND(I7827=""Positive"",REGEXMATCH(H7"&amp;"827,""মূর্খ|ভণ্ড|প্রতার|অলস|লোভ|স্বার্থ|অক্ষম|অযোগ্য|বোকা|কৃপণ|হিংস"")),""valence-target অমিল"",""""),IF(COUNTIF($B:$B,B7827)&gt;1,""ডুপ্লিকেট"",""""))"),"")</f>
        <v/>
      </c>
      <c r="Q7827" s="5" t="str">
        <f t="shared" si="1"/>
        <v>২ পরে</v>
      </c>
    </row>
    <row r="7828">
      <c r="A7828" s="4">
        <v>6983.0</v>
      </c>
      <c r="B7828" s="2" t="s">
        <v>31534</v>
      </c>
      <c r="C7828" s="2" t="s">
        <v>31535</v>
      </c>
      <c r="D7828" s="2" t="s">
        <v>31536</v>
      </c>
      <c r="E7828" s="2" t="s">
        <v>31537</v>
      </c>
      <c r="F7828" s="2" t="b">
        <v>1</v>
      </c>
      <c r="G7828" s="2" t="b">
        <v>0</v>
      </c>
      <c r="H7828" s="2" t="s">
        <v>37</v>
      </c>
      <c r="I7828" s="2" t="s">
        <v>49</v>
      </c>
      <c r="J7828" s="2" t="s">
        <v>1018</v>
      </c>
      <c r="K7828" s="2" t="s">
        <v>495</v>
      </c>
      <c r="L7828" s="13" t="s">
        <v>496</v>
      </c>
      <c r="M7828" s="2" t="s">
        <v>26</v>
      </c>
      <c r="N7828" s="29"/>
      <c r="O7828" s="29"/>
      <c r="P7828" s="5" t="str">
        <f>IFERROR(__xludf.DUMMYFUNCTION("TEXTJOIN("" | "",TRUE,IF(OR(D7828="""",E7828="""",I7828="""",J7828="""",H7828=""""),""ফাঁকা ঘর"",""""),IF(AND(C7828&lt;&gt;"""",D7828&lt;&gt;"""",C7828=D7828),""gloss=figurative"",""""),IF(LEN(D7828)&lt;15,""figurative ছোট"",""""),IF(AND(I7828=""Positive"",REGEXMATCH(H7"&amp;"828,""মূর্খ|ভণ্ড|প্রতার|অলস|লোভ|স্বার্থ|অক্ষম|অযোগ্য|বোকা|কৃপণ|হিংস"")),""valence-target অমিল"",""""),IF(COUNTIF($B:$B,B7828)&gt;1,""ডুপ্লিকেট"",""""))"),"")</f>
        <v/>
      </c>
      <c r="Q7828" s="5" t="str">
        <f t="shared" si="1"/>
        <v>২ পরে</v>
      </c>
    </row>
    <row r="7829">
      <c r="A7829" s="4">
        <v>6985.0</v>
      </c>
      <c r="B7829" s="2" t="s">
        <v>31538</v>
      </c>
      <c r="C7829" s="2" t="s">
        <v>31539</v>
      </c>
      <c r="D7829" s="2" t="s">
        <v>31540</v>
      </c>
      <c r="E7829" s="2" t="s">
        <v>31541</v>
      </c>
      <c r="F7829" s="2" t="b">
        <v>1</v>
      </c>
      <c r="G7829" s="2" t="b">
        <v>0</v>
      </c>
      <c r="H7829" s="2" t="s">
        <v>37</v>
      </c>
      <c r="I7829" s="2" t="s">
        <v>49</v>
      </c>
      <c r="J7829" s="2" t="s">
        <v>300</v>
      </c>
      <c r="K7829" s="2" t="s">
        <v>495</v>
      </c>
      <c r="L7829" s="13" t="s">
        <v>496</v>
      </c>
      <c r="M7829" s="2" t="s">
        <v>26</v>
      </c>
      <c r="N7829" s="29"/>
      <c r="O7829" s="29"/>
      <c r="P7829" s="5" t="str">
        <f>IFERROR(__xludf.DUMMYFUNCTION("TEXTJOIN("" | "",TRUE,IF(OR(D7829="""",E7829="""",I7829="""",J7829="""",H7829=""""),""ফাঁকা ঘর"",""""),IF(AND(C7829&lt;&gt;"""",D7829&lt;&gt;"""",C7829=D7829),""gloss=figurative"",""""),IF(LEN(D7829)&lt;15,""figurative ছোট"",""""),IF(AND(I7829=""Positive"",REGEXMATCH(H7"&amp;"829,""মূর্খ|ভণ্ড|প্রতার|অলস|লোভ|স্বার্থ|অক্ষম|অযোগ্য|বোকা|কৃপণ|হিংস"")),""valence-target অমিল"",""""),IF(COUNTIF($B:$B,B7829)&gt;1,""ডুপ্লিকেট"",""""))"),"")</f>
        <v/>
      </c>
      <c r="Q7829" s="5" t="str">
        <f t="shared" si="1"/>
        <v>২ পরে</v>
      </c>
    </row>
    <row r="7830">
      <c r="A7830" s="4">
        <v>6986.0</v>
      </c>
      <c r="B7830" s="2" t="s">
        <v>31542</v>
      </c>
      <c r="C7830" s="2" t="s">
        <v>31543</v>
      </c>
      <c r="D7830" s="2" t="s">
        <v>31544</v>
      </c>
      <c r="E7830" s="2" t="s">
        <v>31545</v>
      </c>
      <c r="F7830" s="2" t="b">
        <v>1</v>
      </c>
      <c r="G7830" s="2" t="b">
        <v>0</v>
      </c>
      <c r="H7830" s="2" t="s">
        <v>37</v>
      </c>
      <c r="I7830" s="2" t="s">
        <v>49</v>
      </c>
      <c r="J7830" s="2" t="s">
        <v>29767</v>
      </c>
      <c r="K7830" s="2" t="s">
        <v>495</v>
      </c>
      <c r="L7830" s="13" t="s">
        <v>496</v>
      </c>
      <c r="M7830" s="2" t="s">
        <v>26</v>
      </c>
      <c r="N7830" s="29"/>
      <c r="O7830" s="29"/>
      <c r="P7830" s="5" t="str">
        <f>IFERROR(__xludf.DUMMYFUNCTION("TEXTJOIN("" | "",TRUE,IF(OR(D7830="""",E7830="""",I7830="""",J7830="""",H7830=""""),""ফাঁকা ঘর"",""""),IF(AND(C7830&lt;&gt;"""",D7830&lt;&gt;"""",C7830=D7830),""gloss=figurative"",""""),IF(LEN(D7830)&lt;15,""figurative ছোট"",""""),IF(AND(I7830=""Positive"",REGEXMATCH(H7"&amp;"830,""মূর্খ|ভণ্ড|প্রতার|অলস|লোভ|স্বার্থ|অক্ষম|অযোগ্য|বোকা|কৃপণ|হিংস"")),""valence-target অমিল"",""""),IF(COUNTIF($B:$B,B7830)&gt;1,""ডুপ্লিকেট"",""""))"),"")</f>
        <v/>
      </c>
      <c r="Q7830" s="5" t="str">
        <f t="shared" si="1"/>
        <v>২ পরে</v>
      </c>
    </row>
    <row r="7831">
      <c r="A7831" s="4">
        <v>6987.0</v>
      </c>
      <c r="B7831" s="2" t="s">
        <v>31546</v>
      </c>
      <c r="C7831" s="2" t="s">
        <v>31547</v>
      </c>
      <c r="D7831" s="2" t="s">
        <v>31548</v>
      </c>
      <c r="E7831" s="2" t="s">
        <v>31549</v>
      </c>
      <c r="F7831" s="2" t="b">
        <v>1</v>
      </c>
      <c r="G7831" s="2" t="b">
        <v>0</v>
      </c>
      <c r="H7831" s="2" t="s">
        <v>37</v>
      </c>
      <c r="I7831" s="2" t="s">
        <v>22</v>
      </c>
      <c r="J7831" s="2" t="s">
        <v>3156</v>
      </c>
      <c r="K7831" s="2" t="s">
        <v>495</v>
      </c>
      <c r="L7831" s="13" t="s">
        <v>496</v>
      </c>
      <c r="M7831" s="2" t="s">
        <v>26</v>
      </c>
      <c r="N7831" s="29"/>
      <c r="O7831" s="29"/>
      <c r="P7831" s="5" t="str">
        <f>IFERROR(__xludf.DUMMYFUNCTION("TEXTJOIN("" | "",TRUE,IF(OR(D7831="""",E7831="""",I7831="""",J7831="""",H7831=""""),""ফাঁকা ঘর"",""""),IF(AND(C7831&lt;&gt;"""",D7831&lt;&gt;"""",C7831=D7831),""gloss=figurative"",""""),IF(LEN(D7831)&lt;15,""figurative ছোট"",""""),IF(AND(I7831=""Positive"",REGEXMATCH(H7"&amp;"831,""মূর্খ|ভণ্ড|প্রতার|অলস|লোভ|স্বার্থ|অক্ষম|অযোগ্য|বোকা|কৃপণ|হিংস"")),""valence-target অমিল"",""""),IF(COUNTIF($B:$B,B7831)&gt;1,""ডুপ্লিকেট"",""""))"),"")</f>
        <v/>
      </c>
      <c r="Q7831" s="5" t="str">
        <f t="shared" si="1"/>
        <v>২ পরে</v>
      </c>
    </row>
    <row r="7832">
      <c r="A7832" s="4">
        <v>6988.0</v>
      </c>
      <c r="B7832" s="2" t="s">
        <v>31550</v>
      </c>
      <c r="C7832" s="2" t="s">
        <v>31551</v>
      </c>
      <c r="D7832" s="2" t="s">
        <v>31552</v>
      </c>
      <c r="E7832" s="2" t="s">
        <v>31553</v>
      </c>
      <c r="F7832" s="2" t="b">
        <v>1</v>
      </c>
      <c r="G7832" s="2" t="b">
        <v>0</v>
      </c>
      <c r="H7832" s="2" t="s">
        <v>37</v>
      </c>
      <c r="I7832" s="2" t="s">
        <v>32</v>
      </c>
      <c r="J7832" s="2" t="s">
        <v>713</v>
      </c>
      <c r="K7832" s="2" t="s">
        <v>495</v>
      </c>
      <c r="L7832" s="13" t="s">
        <v>496</v>
      </c>
      <c r="M7832" s="2" t="s">
        <v>26</v>
      </c>
      <c r="N7832" s="29"/>
      <c r="O7832" s="29"/>
      <c r="P7832" s="5" t="str">
        <f>IFERROR(__xludf.DUMMYFUNCTION("TEXTJOIN("" | "",TRUE,IF(OR(D7832="""",E7832="""",I7832="""",J7832="""",H7832=""""),""ফাঁকা ঘর"",""""),IF(AND(C7832&lt;&gt;"""",D7832&lt;&gt;"""",C7832=D7832),""gloss=figurative"",""""),IF(LEN(D7832)&lt;15,""figurative ছোট"",""""),IF(AND(I7832=""Positive"",REGEXMATCH(H7"&amp;"832,""মূর্খ|ভণ্ড|প্রতার|অলস|লোভ|স্বার্থ|অক্ষম|অযোগ্য|বোকা|কৃপণ|হিংস"")),""valence-target অমিল"",""""),IF(COUNTIF($B:$B,B7832)&gt;1,""ডুপ্লিকেট"",""""))"),"")</f>
        <v/>
      </c>
      <c r="Q7832" s="5" t="str">
        <f t="shared" si="1"/>
        <v>২ পরে</v>
      </c>
    </row>
    <row r="7833">
      <c r="A7833" s="4">
        <v>6994.0</v>
      </c>
      <c r="B7833" s="2" t="s">
        <v>31554</v>
      </c>
      <c r="C7833" s="2" t="s">
        <v>31555</v>
      </c>
      <c r="D7833" s="2" t="s">
        <v>31556</v>
      </c>
      <c r="E7833" s="2" t="s">
        <v>31557</v>
      </c>
      <c r="F7833" s="2" t="b">
        <v>1</v>
      </c>
      <c r="G7833" s="2" t="b">
        <v>0</v>
      </c>
      <c r="H7833" s="2" t="s">
        <v>37</v>
      </c>
      <c r="I7833" s="2" t="s">
        <v>22</v>
      </c>
      <c r="J7833" s="2" t="s">
        <v>669</v>
      </c>
      <c r="K7833" s="2" t="s">
        <v>495</v>
      </c>
      <c r="L7833" s="13" t="s">
        <v>496</v>
      </c>
      <c r="M7833" s="2" t="s">
        <v>26</v>
      </c>
      <c r="N7833" s="29"/>
      <c r="O7833" s="29"/>
      <c r="P7833" s="5" t="str">
        <f>IFERROR(__xludf.DUMMYFUNCTION("TEXTJOIN("" | "",TRUE,IF(OR(D7833="""",E7833="""",I7833="""",J7833="""",H7833=""""),""ফাঁকা ঘর"",""""),IF(AND(C7833&lt;&gt;"""",D7833&lt;&gt;"""",C7833=D7833),""gloss=figurative"",""""),IF(LEN(D7833)&lt;15,""figurative ছোট"",""""),IF(AND(I7833=""Positive"",REGEXMATCH(H7"&amp;"833,""মূর্খ|ভণ্ড|প্রতার|অলস|লোভ|স্বার্থ|অক্ষম|অযোগ্য|বোকা|কৃপণ|হিংস"")),""valence-target অমিল"",""""),IF(COUNTIF($B:$B,B7833)&gt;1,""ডুপ্লিকেট"",""""))"),"")</f>
        <v/>
      </c>
      <c r="Q7833" s="5" t="str">
        <f t="shared" si="1"/>
        <v>২ পরে</v>
      </c>
    </row>
    <row r="7834">
      <c r="A7834" s="4">
        <v>6997.0</v>
      </c>
      <c r="B7834" s="2" t="s">
        <v>31558</v>
      </c>
      <c r="C7834" s="2" t="s">
        <v>5391</v>
      </c>
      <c r="D7834" s="2" t="s">
        <v>31559</v>
      </c>
      <c r="E7834" s="2" t="s">
        <v>31560</v>
      </c>
      <c r="F7834" s="2" t="b">
        <v>1</v>
      </c>
      <c r="G7834" s="2" t="b">
        <v>0</v>
      </c>
      <c r="H7834" s="2" t="s">
        <v>37</v>
      </c>
      <c r="I7834" s="2" t="s">
        <v>22</v>
      </c>
      <c r="J7834" s="2" t="s">
        <v>4088</v>
      </c>
      <c r="K7834" s="2" t="s">
        <v>495</v>
      </c>
      <c r="L7834" s="13" t="s">
        <v>496</v>
      </c>
      <c r="M7834" s="2" t="s">
        <v>26</v>
      </c>
      <c r="N7834" s="29"/>
      <c r="O7834" s="29"/>
      <c r="P7834" s="5" t="str">
        <f>IFERROR(__xludf.DUMMYFUNCTION("TEXTJOIN("" | "",TRUE,IF(OR(D7834="""",E7834="""",I7834="""",J7834="""",H7834=""""),""ফাঁকা ঘর"",""""),IF(AND(C7834&lt;&gt;"""",D7834&lt;&gt;"""",C7834=D7834),""gloss=figurative"",""""),IF(LEN(D7834)&lt;15,""figurative ছোট"",""""),IF(AND(I7834=""Positive"",REGEXMATCH(H7"&amp;"834,""মূর্খ|ভণ্ড|প্রতার|অলস|লোভ|স্বার্থ|অক্ষম|অযোগ্য|বোকা|কৃপণ|হিংস"")),""valence-target অমিল"",""""),IF(COUNTIF($B:$B,B7834)&gt;1,""ডুপ্লিকেট"",""""))"),"")</f>
        <v/>
      </c>
      <c r="Q7834" s="5" t="str">
        <f t="shared" si="1"/>
        <v>২ পরে</v>
      </c>
    </row>
    <row r="7835">
      <c r="A7835" s="4">
        <v>6999.0</v>
      </c>
      <c r="B7835" s="2" t="s">
        <v>31561</v>
      </c>
      <c r="C7835" s="2" t="s">
        <v>31562</v>
      </c>
      <c r="D7835" s="2" t="s">
        <v>31563</v>
      </c>
      <c r="E7835" s="2" t="s">
        <v>31564</v>
      </c>
      <c r="F7835" s="2" t="b">
        <v>1</v>
      </c>
      <c r="G7835" s="2" t="b">
        <v>0</v>
      </c>
      <c r="H7835" s="2" t="s">
        <v>37</v>
      </c>
      <c r="I7835" s="2" t="s">
        <v>32</v>
      </c>
      <c r="J7835" s="2" t="s">
        <v>5820</v>
      </c>
      <c r="K7835" s="2" t="s">
        <v>495</v>
      </c>
      <c r="L7835" s="13" t="s">
        <v>496</v>
      </c>
      <c r="M7835" s="2" t="s">
        <v>26</v>
      </c>
      <c r="N7835" s="29"/>
      <c r="O7835" s="29"/>
      <c r="P7835" s="5" t="str">
        <f>IFERROR(__xludf.DUMMYFUNCTION("TEXTJOIN("" | "",TRUE,IF(OR(D7835="""",E7835="""",I7835="""",J7835="""",H7835=""""),""ফাঁকা ঘর"",""""),IF(AND(C7835&lt;&gt;"""",D7835&lt;&gt;"""",C7835=D7835),""gloss=figurative"",""""),IF(LEN(D7835)&lt;15,""figurative ছোট"",""""),IF(AND(I7835=""Positive"",REGEXMATCH(H7"&amp;"835,""মূর্খ|ভণ্ড|প্রতার|অলস|লোভ|স্বার্থ|অক্ষম|অযোগ্য|বোকা|কৃপণ|হিংস"")),""valence-target অমিল"",""""),IF(COUNTIF($B:$B,B7835)&gt;1,""ডুপ্লিকেট"",""""))"),"")</f>
        <v/>
      </c>
      <c r="Q7835" s="5" t="str">
        <f t="shared" si="1"/>
        <v>২ পরে</v>
      </c>
    </row>
    <row r="7836">
      <c r="A7836" s="4">
        <v>7002.0</v>
      </c>
      <c r="B7836" s="2" t="s">
        <v>31565</v>
      </c>
      <c r="C7836" s="2" t="s">
        <v>31566</v>
      </c>
      <c r="D7836" s="2" t="s">
        <v>31567</v>
      </c>
      <c r="E7836" s="2" t="s">
        <v>31568</v>
      </c>
      <c r="F7836" s="2" t="b">
        <v>1</v>
      </c>
      <c r="G7836" s="2" t="b">
        <v>0</v>
      </c>
      <c r="H7836" s="2" t="s">
        <v>37</v>
      </c>
      <c r="I7836" s="2" t="s">
        <v>22</v>
      </c>
      <c r="J7836" s="2" t="s">
        <v>9380</v>
      </c>
      <c r="K7836" s="2" t="s">
        <v>495</v>
      </c>
      <c r="L7836" s="13" t="s">
        <v>496</v>
      </c>
      <c r="M7836" s="2" t="s">
        <v>26</v>
      </c>
      <c r="N7836" s="29"/>
      <c r="O7836" s="29"/>
      <c r="P7836" s="5" t="str">
        <f>IFERROR(__xludf.DUMMYFUNCTION("TEXTJOIN("" | "",TRUE,IF(OR(D7836="""",E7836="""",I7836="""",J7836="""",H7836=""""),""ফাঁকা ঘর"",""""),IF(AND(C7836&lt;&gt;"""",D7836&lt;&gt;"""",C7836=D7836),""gloss=figurative"",""""),IF(LEN(D7836)&lt;15,""figurative ছোট"",""""),IF(AND(I7836=""Positive"",REGEXMATCH(H7"&amp;"836,""মূর্খ|ভণ্ড|প্রতার|অলস|লোভ|স্বার্থ|অক্ষম|অযোগ্য|বোকা|কৃপণ|হিংস"")),""valence-target অমিল"",""""),IF(COUNTIF($B:$B,B7836)&gt;1,""ডুপ্লিকেট"",""""))"),"")</f>
        <v/>
      </c>
      <c r="Q7836" s="5" t="str">
        <f t="shared" si="1"/>
        <v>২ পরে</v>
      </c>
    </row>
    <row r="7837">
      <c r="A7837" s="4">
        <v>7009.0</v>
      </c>
      <c r="B7837" s="2" t="s">
        <v>31569</v>
      </c>
      <c r="C7837" s="2" t="s">
        <v>31570</v>
      </c>
      <c r="D7837" s="2" t="s">
        <v>31571</v>
      </c>
      <c r="E7837" s="2" t="s">
        <v>31572</v>
      </c>
      <c r="F7837" s="2" t="b">
        <v>1</v>
      </c>
      <c r="G7837" s="2" t="b">
        <v>0</v>
      </c>
      <c r="H7837" s="2" t="s">
        <v>37</v>
      </c>
      <c r="I7837" s="2" t="s">
        <v>22</v>
      </c>
      <c r="J7837" s="2" t="s">
        <v>2040</v>
      </c>
      <c r="K7837" s="2" t="s">
        <v>495</v>
      </c>
      <c r="L7837" s="13" t="s">
        <v>496</v>
      </c>
      <c r="M7837" s="2" t="s">
        <v>26</v>
      </c>
      <c r="N7837" s="29"/>
      <c r="O7837" s="29"/>
      <c r="P7837" s="5" t="str">
        <f>IFERROR(__xludf.DUMMYFUNCTION("TEXTJOIN("" | "",TRUE,IF(OR(D7837="""",E7837="""",I7837="""",J7837="""",H7837=""""),""ফাঁকা ঘর"",""""),IF(AND(C7837&lt;&gt;"""",D7837&lt;&gt;"""",C7837=D7837),""gloss=figurative"",""""),IF(LEN(D7837)&lt;15,""figurative ছোট"",""""),IF(AND(I7837=""Positive"",REGEXMATCH(H7"&amp;"837,""মূর্খ|ভণ্ড|প্রতার|অলস|লোভ|স্বার্থ|অক্ষম|অযোগ্য|বোকা|কৃপণ|হিংস"")),""valence-target অমিল"",""""),IF(COUNTIF($B:$B,B7837)&gt;1,""ডুপ্লিকেট"",""""))"),"")</f>
        <v/>
      </c>
      <c r="Q7837" s="5" t="str">
        <f t="shared" si="1"/>
        <v>২ পরে</v>
      </c>
    </row>
    <row r="7838">
      <c r="A7838" s="4">
        <v>7010.0</v>
      </c>
      <c r="B7838" s="2" t="s">
        <v>31573</v>
      </c>
      <c r="C7838" s="2" t="s">
        <v>31574</v>
      </c>
      <c r="D7838" s="2" t="s">
        <v>31575</v>
      </c>
      <c r="E7838" s="2" t="s">
        <v>31576</v>
      </c>
      <c r="F7838" s="2" t="b">
        <v>1</v>
      </c>
      <c r="G7838" s="2" t="b">
        <v>0</v>
      </c>
      <c r="H7838" s="2" t="s">
        <v>37</v>
      </c>
      <c r="I7838" s="2" t="s">
        <v>22</v>
      </c>
      <c r="J7838" s="2" t="s">
        <v>2040</v>
      </c>
      <c r="K7838" s="2" t="s">
        <v>495</v>
      </c>
      <c r="L7838" s="13" t="s">
        <v>496</v>
      </c>
      <c r="M7838" s="2" t="s">
        <v>26</v>
      </c>
      <c r="N7838" s="29"/>
      <c r="O7838" s="29"/>
      <c r="P7838" s="5" t="str">
        <f>IFERROR(__xludf.DUMMYFUNCTION("TEXTJOIN("" | "",TRUE,IF(OR(D7838="""",E7838="""",I7838="""",J7838="""",H7838=""""),""ফাঁকা ঘর"",""""),IF(AND(C7838&lt;&gt;"""",D7838&lt;&gt;"""",C7838=D7838),""gloss=figurative"",""""),IF(LEN(D7838)&lt;15,""figurative ছোট"",""""),IF(AND(I7838=""Positive"",REGEXMATCH(H7"&amp;"838,""মূর্খ|ভণ্ড|প্রতার|অলস|লোভ|স্বার্থ|অক্ষম|অযোগ্য|বোকা|কৃপণ|হিংস"")),""valence-target অমিল"",""""),IF(COUNTIF($B:$B,B7838)&gt;1,""ডুপ্লিকেট"",""""))"),"")</f>
        <v/>
      </c>
      <c r="Q7838" s="5" t="str">
        <f t="shared" si="1"/>
        <v>২ পরে</v>
      </c>
    </row>
    <row r="7839">
      <c r="A7839" s="4">
        <v>7026.0</v>
      </c>
      <c r="B7839" s="2" t="s">
        <v>31577</v>
      </c>
      <c r="C7839" s="2" t="s">
        <v>31578</v>
      </c>
      <c r="D7839" s="2" t="s">
        <v>31579</v>
      </c>
      <c r="E7839" s="2" t="s">
        <v>31580</v>
      </c>
      <c r="F7839" s="2" t="b">
        <v>1</v>
      </c>
      <c r="G7839" s="2" t="b">
        <v>0</v>
      </c>
      <c r="H7839" s="2" t="s">
        <v>37</v>
      </c>
      <c r="I7839" s="2" t="s">
        <v>32</v>
      </c>
      <c r="J7839" s="2" t="s">
        <v>5910</v>
      </c>
      <c r="K7839" s="2" t="s">
        <v>495</v>
      </c>
      <c r="L7839" s="13" t="s">
        <v>496</v>
      </c>
      <c r="M7839" s="2" t="s">
        <v>26</v>
      </c>
      <c r="N7839" s="29"/>
      <c r="O7839" s="29"/>
      <c r="P7839" s="5" t="str">
        <f>IFERROR(__xludf.DUMMYFUNCTION("TEXTJOIN("" | "",TRUE,IF(OR(D7839="""",E7839="""",I7839="""",J7839="""",H7839=""""),""ফাঁকা ঘর"",""""),IF(AND(C7839&lt;&gt;"""",D7839&lt;&gt;"""",C7839=D7839),""gloss=figurative"",""""),IF(LEN(D7839)&lt;15,""figurative ছোট"",""""),IF(AND(I7839=""Positive"",REGEXMATCH(H7"&amp;"839,""মূর্খ|ভণ্ড|প্রতার|অলস|লোভ|স্বার্থ|অক্ষম|অযোগ্য|বোকা|কৃপণ|হিংস"")),""valence-target অমিল"",""""),IF(COUNTIF($B:$B,B7839)&gt;1,""ডুপ্লিকেট"",""""))"),"")</f>
        <v/>
      </c>
      <c r="Q7839" s="5" t="str">
        <f t="shared" si="1"/>
        <v>২ পরে</v>
      </c>
    </row>
    <row r="7840">
      <c r="A7840" s="4">
        <v>7029.0</v>
      </c>
      <c r="B7840" s="2" t="s">
        <v>31581</v>
      </c>
      <c r="C7840" s="2" t="s">
        <v>31581</v>
      </c>
      <c r="D7840" s="2" t="s">
        <v>31582</v>
      </c>
      <c r="E7840" s="2" t="s">
        <v>31583</v>
      </c>
      <c r="F7840" s="2" t="b">
        <v>1</v>
      </c>
      <c r="G7840" s="2" t="b">
        <v>0</v>
      </c>
      <c r="H7840" s="2" t="s">
        <v>37</v>
      </c>
      <c r="I7840" s="2" t="s">
        <v>32</v>
      </c>
      <c r="J7840" s="2" t="s">
        <v>31584</v>
      </c>
      <c r="K7840" s="2" t="s">
        <v>495</v>
      </c>
      <c r="L7840" s="13" t="s">
        <v>496</v>
      </c>
      <c r="M7840" s="2" t="s">
        <v>26</v>
      </c>
      <c r="N7840" s="29"/>
      <c r="O7840" s="29"/>
      <c r="P7840" s="5" t="str">
        <f>IFERROR(__xludf.DUMMYFUNCTION("TEXTJOIN("" | "",TRUE,IF(OR(D7840="""",E7840="""",I7840="""",J7840="""",H7840=""""),""ফাঁকা ঘর"",""""),IF(AND(C7840&lt;&gt;"""",D7840&lt;&gt;"""",C7840=D7840),""gloss=figurative"",""""),IF(LEN(D7840)&lt;15,""figurative ছোট"",""""),IF(AND(I7840=""Positive"",REGEXMATCH(H7"&amp;"840,""মূর্খ|ভণ্ড|প্রতার|অলস|লোভ|স্বার্থ|অক্ষম|অযোগ্য|বোকা|কৃপণ|হিংস"")),""valence-target অমিল"",""""),IF(COUNTIF($B:$B,B7840)&gt;1,""ডুপ্লিকেট"",""""))"),"")</f>
        <v/>
      </c>
      <c r="Q7840" s="5" t="str">
        <f t="shared" si="1"/>
        <v>২ পরে</v>
      </c>
    </row>
    <row r="7841">
      <c r="A7841" s="4">
        <v>7031.0</v>
      </c>
      <c r="B7841" s="2" t="s">
        <v>31585</v>
      </c>
      <c r="C7841" s="2" t="s">
        <v>31586</v>
      </c>
      <c r="D7841" s="2" t="s">
        <v>31159</v>
      </c>
      <c r="E7841" s="2" t="s">
        <v>31587</v>
      </c>
      <c r="F7841" s="2" t="b">
        <v>1</v>
      </c>
      <c r="G7841" s="2" t="b">
        <v>0</v>
      </c>
      <c r="H7841" s="2" t="s">
        <v>37</v>
      </c>
      <c r="I7841" s="2" t="s">
        <v>22</v>
      </c>
      <c r="J7841" s="2" t="s">
        <v>6010</v>
      </c>
      <c r="K7841" s="2" t="s">
        <v>495</v>
      </c>
      <c r="L7841" s="13" t="s">
        <v>496</v>
      </c>
      <c r="M7841" s="2" t="s">
        <v>26</v>
      </c>
      <c r="N7841" s="29"/>
      <c r="O7841" s="29"/>
      <c r="P7841" s="5" t="str">
        <f>IFERROR(__xludf.DUMMYFUNCTION("TEXTJOIN("" | "",TRUE,IF(OR(D7841="""",E7841="""",I7841="""",J7841="""",H7841=""""),""ফাঁকা ঘর"",""""),IF(AND(C7841&lt;&gt;"""",D7841&lt;&gt;"""",C7841=D7841),""gloss=figurative"",""""),IF(LEN(D7841)&lt;15,""figurative ছোট"",""""),IF(AND(I7841=""Positive"",REGEXMATCH(H7"&amp;"841,""মূর্খ|ভণ্ড|প্রতার|অলস|লোভ|স্বার্থ|অক্ষম|অযোগ্য|বোকা|কৃপণ|হিংস"")),""valence-target অমিল"",""""),IF(COUNTIF($B:$B,B7841)&gt;1,""ডুপ্লিকেট"",""""))"),"")</f>
        <v/>
      </c>
      <c r="Q7841" s="5" t="str">
        <f t="shared" si="1"/>
        <v>২ পরে</v>
      </c>
    </row>
    <row r="7842">
      <c r="A7842" s="4">
        <v>7036.0</v>
      </c>
      <c r="B7842" s="2" t="s">
        <v>31588</v>
      </c>
      <c r="C7842" s="2" t="s">
        <v>31588</v>
      </c>
      <c r="D7842" s="2" t="s">
        <v>31423</v>
      </c>
      <c r="E7842" s="2" t="s">
        <v>31589</v>
      </c>
      <c r="F7842" s="2" t="b">
        <v>1</v>
      </c>
      <c r="G7842" s="2" t="b">
        <v>0</v>
      </c>
      <c r="H7842" s="2" t="s">
        <v>37</v>
      </c>
      <c r="I7842" s="2" t="s">
        <v>22</v>
      </c>
      <c r="J7842" s="2" t="s">
        <v>3327</v>
      </c>
      <c r="K7842" s="2" t="s">
        <v>495</v>
      </c>
      <c r="L7842" s="13" t="s">
        <v>496</v>
      </c>
      <c r="M7842" s="2" t="s">
        <v>26</v>
      </c>
      <c r="N7842" s="29"/>
      <c r="O7842" s="29"/>
      <c r="P7842" s="5" t="str">
        <f>IFERROR(__xludf.DUMMYFUNCTION("TEXTJOIN("" | "",TRUE,IF(OR(D7842="""",E7842="""",I7842="""",J7842="""",H7842=""""),""ফাঁকা ঘর"",""""),IF(AND(C7842&lt;&gt;"""",D7842&lt;&gt;"""",C7842=D7842),""gloss=figurative"",""""),IF(LEN(D7842)&lt;15,""figurative ছোট"",""""),IF(AND(I7842=""Positive"",REGEXMATCH(H7"&amp;"842,""মূর্খ|ভণ্ড|প্রতার|অলস|লোভ|স্বার্থ|অক্ষম|অযোগ্য|বোকা|কৃপণ|হিংস"")),""valence-target অমিল"",""""),IF(COUNTIF($B:$B,B7842)&gt;1,""ডুপ্লিকেট"",""""))"),"")</f>
        <v/>
      </c>
      <c r="Q7842" s="5" t="str">
        <f t="shared" si="1"/>
        <v>২ পরে</v>
      </c>
    </row>
    <row r="7843">
      <c r="A7843" s="4">
        <v>7038.0</v>
      </c>
      <c r="B7843" s="2" t="s">
        <v>31590</v>
      </c>
      <c r="C7843" s="2" t="s">
        <v>31591</v>
      </c>
      <c r="D7843" s="2" t="s">
        <v>31592</v>
      </c>
      <c r="E7843" s="2" t="s">
        <v>31593</v>
      </c>
      <c r="F7843" s="2" t="b">
        <v>1</v>
      </c>
      <c r="G7843" s="2" t="b">
        <v>0</v>
      </c>
      <c r="H7843" s="2" t="s">
        <v>37</v>
      </c>
      <c r="I7843" s="2" t="s">
        <v>22</v>
      </c>
      <c r="J7843" s="2" t="s">
        <v>1175</v>
      </c>
      <c r="K7843" s="2" t="s">
        <v>495</v>
      </c>
      <c r="L7843" s="13" t="s">
        <v>496</v>
      </c>
      <c r="M7843" s="2" t="s">
        <v>26</v>
      </c>
      <c r="N7843" s="29"/>
      <c r="O7843" s="29"/>
      <c r="P7843" s="5" t="str">
        <f>IFERROR(__xludf.DUMMYFUNCTION("TEXTJOIN("" | "",TRUE,IF(OR(D7843="""",E7843="""",I7843="""",J7843="""",H7843=""""),""ফাঁকা ঘর"",""""),IF(AND(C7843&lt;&gt;"""",D7843&lt;&gt;"""",C7843=D7843),""gloss=figurative"",""""),IF(LEN(D7843)&lt;15,""figurative ছোট"",""""),IF(AND(I7843=""Positive"",REGEXMATCH(H7"&amp;"843,""মূর্খ|ভণ্ড|প্রতার|অলস|লোভ|স্বার্থ|অক্ষম|অযোগ্য|বোকা|কৃপণ|হিংস"")),""valence-target অমিল"",""""),IF(COUNTIF($B:$B,B7843)&gt;1,""ডুপ্লিকেট"",""""))"),"")</f>
        <v/>
      </c>
      <c r="Q7843" s="5" t="str">
        <f t="shared" si="1"/>
        <v>২ পরে</v>
      </c>
    </row>
    <row r="7844">
      <c r="A7844" s="4">
        <v>7039.0</v>
      </c>
      <c r="B7844" s="2" t="s">
        <v>31594</v>
      </c>
      <c r="C7844" s="2" t="s">
        <v>31595</v>
      </c>
      <c r="D7844" s="2" t="s">
        <v>31596</v>
      </c>
      <c r="E7844" s="2" t="s">
        <v>31597</v>
      </c>
      <c r="F7844" s="2" t="b">
        <v>1</v>
      </c>
      <c r="G7844" s="2" t="b">
        <v>0</v>
      </c>
      <c r="H7844" s="2" t="s">
        <v>37</v>
      </c>
      <c r="I7844" s="2" t="s">
        <v>32</v>
      </c>
      <c r="J7844" s="2" t="s">
        <v>814</v>
      </c>
      <c r="K7844" s="2" t="s">
        <v>495</v>
      </c>
      <c r="L7844" s="13" t="s">
        <v>496</v>
      </c>
      <c r="M7844" s="2" t="s">
        <v>26</v>
      </c>
      <c r="N7844" s="29"/>
      <c r="O7844" s="29"/>
      <c r="P7844" s="5" t="str">
        <f>IFERROR(__xludf.DUMMYFUNCTION("TEXTJOIN("" | "",TRUE,IF(OR(D7844="""",E7844="""",I7844="""",J7844="""",H7844=""""),""ফাঁকা ঘর"",""""),IF(AND(C7844&lt;&gt;"""",D7844&lt;&gt;"""",C7844=D7844),""gloss=figurative"",""""),IF(LEN(D7844)&lt;15,""figurative ছোট"",""""),IF(AND(I7844=""Positive"",REGEXMATCH(H7"&amp;"844,""মূর্খ|ভণ্ড|প্রতার|অলস|লোভ|স্বার্থ|অক্ষম|অযোগ্য|বোকা|কৃপণ|হিংস"")),""valence-target অমিল"",""""),IF(COUNTIF($B:$B,B7844)&gt;1,""ডুপ্লিকেট"",""""))"),"")</f>
        <v/>
      </c>
      <c r="Q7844" s="5" t="str">
        <f t="shared" si="1"/>
        <v>২ পরে</v>
      </c>
    </row>
    <row r="7845">
      <c r="A7845" s="4">
        <v>7044.0</v>
      </c>
      <c r="B7845" s="2" t="s">
        <v>31598</v>
      </c>
      <c r="C7845" s="2" t="s">
        <v>31599</v>
      </c>
      <c r="D7845" s="2" t="s">
        <v>31600</v>
      </c>
      <c r="E7845" s="2" t="s">
        <v>31601</v>
      </c>
      <c r="F7845" s="2" t="b">
        <v>1</v>
      </c>
      <c r="G7845" s="2" t="b">
        <v>0</v>
      </c>
      <c r="H7845" s="2" t="s">
        <v>37</v>
      </c>
      <c r="I7845" s="2" t="s">
        <v>49</v>
      </c>
      <c r="J7845" s="2" t="s">
        <v>669</v>
      </c>
      <c r="K7845" s="2" t="s">
        <v>495</v>
      </c>
      <c r="L7845" s="13" t="s">
        <v>496</v>
      </c>
      <c r="M7845" s="2" t="s">
        <v>26</v>
      </c>
      <c r="N7845" s="29"/>
      <c r="O7845" s="29"/>
      <c r="P7845" s="5" t="str">
        <f>IFERROR(__xludf.DUMMYFUNCTION("TEXTJOIN("" | "",TRUE,IF(OR(D7845="""",E7845="""",I7845="""",J7845="""",H7845=""""),""ফাঁকা ঘর"",""""),IF(AND(C7845&lt;&gt;"""",D7845&lt;&gt;"""",C7845=D7845),""gloss=figurative"",""""),IF(LEN(D7845)&lt;15,""figurative ছোট"",""""),IF(AND(I7845=""Positive"",REGEXMATCH(H7"&amp;"845,""মূর্খ|ভণ্ড|প্রতার|অলস|লোভ|স্বার্থ|অক্ষম|অযোগ্য|বোকা|কৃপণ|হিংস"")),""valence-target অমিল"",""""),IF(COUNTIF($B:$B,B7845)&gt;1,""ডুপ্লিকেট"",""""))"),"")</f>
        <v/>
      </c>
      <c r="Q7845" s="5" t="str">
        <f t="shared" si="1"/>
        <v>২ পরে</v>
      </c>
    </row>
    <row r="7846">
      <c r="A7846" s="4">
        <v>7046.0</v>
      </c>
      <c r="B7846" s="2" t="s">
        <v>31602</v>
      </c>
      <c r="C7846" s="2" t="s">
        <v>31602</v>
      </c>
      <c r="D7846" s="2" t="s">
        <v>31603</v>
      </c>
      <c r="E7846" s="2" t="s">
        <v>31604</v>
      </c>
      <c r="F7846" s="2" t="b">
        <v>1</v>
      </c>
      <c r="G7846" s="2" t="b">
        <v>0</v>
      </c>
      <c r="H7846" s="2" t="s">
        <v>37</v>
      </c>
      <c r="I7846" s="2" t="s">
        <v>49</v>
      </c>
      <c r="J7846" s="2" t="s">
        <v>3506</v>
      </c>
      <c r="K7846" s="2" t="s">
        <v>495</v>
      </c>
      <c r="L7846" s="13" t="s">
        <v>496</v>
      </c>
      <c r="M7846" s="2" t="s">
        <v>26</v>
      </c>
      <c r="N7846" s="29"/>
      <c r="O7846" s="29"/>
      <c r="P7846" s="5" t="str">
        <f>IFERROR(__xludf.DUMMYFUNCTION("TEXTJOIN("" | "",TRUE,IF(OR(D7846="""",E7846="""",I7846="""",J7846="""",H7846=""""),""ফাঁকা ঘর"",""""),IF(AND(C7846&lt;&gt;"""",D7846&lt;&gt;"""",C7846=D7846),""gloss=figurative"",""""),IF(LEN(D7846)&lt;15,""figurative ছোট"",""""),IF(AND(I7846=""Positive"",REGEXMATCH(H7"&amp;"846,""মূর্খ|ভণ্ড|প্রতার|অলস|লোভ|স্বার্থ|অক্ষম|অযোগ্য|বোকা|কৃপণ|হিংস"")),""valence-target অমিল"",""""),IF(COUNTIF($B:$B,B7846)&gt;1,""ডুপ্লিকেট"",""""))"),"")</f>
        <v/>
      </c>
      <c r="Q7846" s="5" t="str">
        <f t="shared" si="1"/>
        <v>২ পরে</v>
      </c>
    </row>
    <row r="7847">
      <c r="A7847" s="4">
        <v>7048.0</v>
      </c>
      <c r="B7847" s="2" t="s">
        <v>31605</v>
      </c>
      <c r="C7847" s="2" t="s">
        <v>31606</v>
      </c>
      <c r="D7847" s="2" t="s">
        <v>31607</v>
      </c>
      <c r="E7847" s="2" t="s">
        <v>31608</v>
      </c>
      <c r="F7847" s="2" t="b">
        <v>1</v>
      </c>
      <c r="G7847" s="2" t="b">
        <v>1</v>
      </c>
      <c r="H7847" s="2" t="s">
        <v>1106</v>
      </c>
      <c r="I7847" s="2" t="s">
        <v>49</v>
      </c>
      <c r="J7847" s="2" t="s">
        <v>762</v>
      </c>
      <c r="K7847" s="2" t="s">
        <v>495</v>
      </c>
      <c r="L7847" s="13" t="s">
        <v>496</v>
      </c>
      <c r="M7847" s="2" t="s">
        <v>26</v>
      </c>
      <c r="N7847" s="29"/>
      <c r="O7847" s="29"/>
      <c r="P7847" s="5" t="str">
        <f>IFERROR(__xludf.DUMMYFUNCTION("TEXTJOIN("" | "",TRUE,IF(OR(D7847="""",E7847="""",I7847="""",J7847="""",H7847=""""),""ফাঁকা ঘর"",""""),IF(AND(C7847&lt;&gt;"""",D7847&lt;&gt;"""",C7847=D7847),""gloss=figurative"",""""),IF(LEN(D7847)&lt;15,""figurative ছোট"",""""),IF(AND(I7847=""Positive"",REGEXMATCH(H7"&amp;"847,""মূর্খ|ভণ্ড|প্রতার|অলস|লোভ|স্বার্থ|অক্ষম|অযোগ্য|বোকা|কৃপণ|হিংস"")),""valence-target অমিল"",""""),IF(COUNTIF($B:$B,B7847)&gt;1,""ডুপ্লিকেট"",""""))"),"")</f>
        <v/>
      </c>
      <c r="Q7847" s="5" t="str">
        <f t="shared" si="1"/>
        <v>২ পরে</v>
      </c>
    </row>
    <row r="7848">
      <c r="A7848" s="4">
        <v>7049.0</v>
      </c>
      <c r="B7848" s="2" t="s">
        <v>31609</v>
      </c>
      <c r="C7848" s="2" t="s">
        <v>31610</v>
      </c>
      <c r="D7848" s="2" t="s">
        <v>31611</v>
      </c>
      <c r="E7848" s="2" t="s">
        <v>31612</v>
      </c>
      <c r="F7848" s="2" t="b">
        <v>1</v>
      </c>
      <c r="G7848" s="2" t="b">
        <v>1</v>
      </c>
      <c r="H7848" s="2" t="s">
        <v>1065</v>
      </c>
      <c r="I7848" s="2" t="s">
        <v>49</v>
      </c>
      <c r="J7848" s="2" t="s">
        <v>762</v>
      </c>
      <c r="K7848" s="2" t="s">
        <v>495</v>
      </c>
      <c r="L7848" s="13" t="s">
        <v>496</v>
      </c>
      <c r="M7848" s="2" t="s">
        <v>26</v>
      </c>
      <c r="N7848" s="29"/>
      <c r="O7848" s="29"/>
      <c r="P7848" s="5" t="str">
        <f>IFERROR(__xludf.DUMMYFUNCTION("TEXTJOIN("" | "",TRUE,IF(OR(D7848="""",E7848="""",I7848="""",J7848="""",H7848=""""),""ফাঁকা ঘর"",""""),IF(AND(C7848&lt;&gt;"""",D7848&lt;&gt;"""",C7848=D7848),""gloss=figurative"",""""),IF(LEN(D7848)&lt;15,""figurative ছোট"",""""),IF(AND(I7848=""Positive"",REGEXMATCH(H7"&amp;"848,""মূর্খ|ভণ্ড|প্রতার|অলস|লোভ|স্বার্থ|অক্ষম|অযোগ্য|বোকা|কৃপণ|হিংস"")),""valence-target অমিল"",""""),IF(COUNTIF($B:$B,B7848)&gt;1,""ডুপ্লিকেট"",""""))"),"")</f>
        <v/>
      </c>
      <c r="Q7848" s="5" t="str">
        <f t="shared" si="1"/>
        <v>২ পরে</v>
      </c>
    </row>
    <row r="7849">
      <c r="A7849" s="4">
        <v>7050.0</v>
      </c>
      <c r="B7849" s="2" t="s">
        <v>31613</v>
      </c>
      <c r="C7849" s="2" t="s">
        <v>31614</v>
      </c>
      <c r="D7849" s="2" t="s">
        <v>31615</v>
      </c>
      <c r="E7849" s="2" t="s">
        <v>31616</v>
      </c>
      <c r="F7849" s="2" t="b">
        <v>1</v>
      </c>
      <c r="G7849" s="2" t="b">
        <v>1</v>
      </c>
      <c r="H7849" s="2" t="s">
        <v>1065</v>
      </c>
      <c r="I7849" s="2" t="s">
        <v>49</v>
      </c>
      <c r="J7849" s="2" t="s">
        <v>762</v>
      </c>
      <c r="K7849" s="2" t="s">
        <v>495</v>
      </c>
      <c r="L7849" s="13" t="s">
        <v>496</v>
      </c>
      <c r="M7849" s="2" t="s">
        <v>26</v>
      </c>
      <c r="N7849" s="29"/>
      <c r="O7849" s="29"/>
      <c r="P7849" s="5" t="str">
        <f>IFERROR(__xludf.DUMMYFUNCTION("TEXTJOIN("" | "",TRUE,IF(OR(D7849="""",E7849="""",I7849="""",J7849="""",H7849=""""),""ফাঁকা ঘর"",""""),IF(AND(C7849&lt;&gt;"""",D7849&lt;&gt;"""",C7849=D7849),""gloss=figurative"",""""),IF(LEN(D7849)&lt;15,""figurative ছোট"",""""),IF(AND(I7849=""Positive"",REGEXMATCH(H7"&amp;"849,""মূর্খ|ভণ্ড|প্রতার|অলস|লোভ|স্বার্থ|অক্ষম|অযোগ্য|বোকা|কৃপণ|হিংস"")),""valence-target অমিল"",""""),IF(COUNTIF($B:$B,B7849)&gt;1,""ডুপ্লিকেট"",""""))"),"")</f>
        <v/>
      </c>
      <c r="Q7849" s="5" t="str">
        <f t="shared" si="1"/>
        <v>২ পরে</v>
      </c>
    </row>
    <row r="7850">
      <c r="A7850" s="4">
        <v>7053.0</v>
      </c>
      <c r="B7850" s="2" t="s">
        <v>31617</v>
      </c>
      <c r="C7850" s="2" t="s">
        <v>31617</v>
      </c>
      <c r="D7850" s="2" t="s">
        <v>31618</v>
      </c>
      <c r="E7850" s="2" t="s">
        <v>31619</v>
      </c>
      <c r="F7850" s="2" t="b">
        <v>1</v>
      </c>
      <c r="G7850" s="2" t="b">
        <v>1</v>
      </c>
      <c r="H7850" s="2" t="s">
        <v>1106</v>
      </c>
      <c r="I7850" s="2" t="s">
        <v>49</v>
      </c>
      <c r="J7850" s="2" t="s">
        <v>5524</v>
      </c>
      <c r="K7850" s="2" t="s">
        <v>495</v>
      </c>
      <c r="L7850" s="13" t="s">
        <v>496</v>
      </c>
      <c r="M7850" s="2" t="s">
        <v>26</v>
      </c>
      <c r="N7850" s="29"/>
      <c r="O7850" s="29"/>
      <c r="P7850" s="5" t="str">
        <f>IFERROR(__xludf.DUMMYFUNCTION("TEXTJOIN("" | "",TRUE,IF(OR(D7850="""",E7850="""",I7850="""",J7850="""",H7850=""""),""ফাঁকা ঘর"",""""),IF(AND(C7850&lt;&gt;"""",D7850&lt;&gt;"""",C7850=D7850),""gloss=figurative"",""""),IF(LEN(D7850)&lt;15,""figurative ছোট"",""""),IF(AND(I7850=""Positive"",REGEXMATCH(H7"&amp;"850,""মূর্খ|ভণ্ড|প্রতার|অলস|লোভ|স্বার্থ|অক্ষম|অযোগ্য|বোকা|কৃপণ|হিংস"")),""valence-target অমিল"",""""),IF(COUNTIF($B:$B,B7850)&gt;1,""ডুপ্লিকেট"",""""))"),"")</f>
        <v/>
      </c>
      <c r="Q7850" s="5" t="str">
        <f t="shared" si="1"/>
        <v>২ পরে</v>
      </c>
    </row>
    <row r="7851">
      <c r="A7851" s="4">
        <v>7054.0</v>
      </c>
      <c r="B7851" s="2" t="s">
        <v>31620</v>
      </c>
      <c r="C7851" s="2" t="s">
        <v>31621</v>
      </c>
      <c r="D7851" s="2" t="s">
        <v>31622</v>
      </c>
      <c r="E7851" s="2" t="s">
        <v>31623</v>
      </c>
      <c r="F7851" s="2" t="b">
        <v>1</v>
      </c>
      <c r="G7851" s="2" t="b">
        <v>0</v>
      </c>
      <c r="H7851" s="2" t="s">
        <v>37</v>
      </c>
      <c r="I7851" s="2" t="s">
        <v>22</v>
      </c>
      <c r="J7851" s="2" t="s">
        <v>1013</v>
      </c>
      <c r="K7851" s="2" t="s">
        <v>495</v>
      </c>
      <c r="L7851" s="13" t="s">
        <v>496</v>
      </c>
      <c r="M7851" s="2" t="s">
        <v>26</v>
      </c>
      <c r="N7851" s="29"/>
      <c r="O7851" s="29"/>
      <c r="P7851" s="5" t="str">
        <f>IFERROR(__xludf.DUMMYFUNCTION("TEXTJOIN("" | "",TRUE,IF(OR(D7851="""",E7851="""",I7851="""",J7851="""",H7851=""""),""ফাঁকা ঘর"",""""),IF(AND(C7851&lt;&gt;"""",D7851&lt;&gt;"""",C7851=D7851),""gloss=figurative"",""""),IF(LEN(D7851)&lt;15,""figurative ছোট"",""""),IF(AND(I7851=""Positive"",REGEXMATCH(H7"&amp;"851,""মূর্খ|ভণ্ড|প্রতার|অলস|লোভ|স্বার্থ|অক্ষম|অযোগ্য|বোকা|কৃপণ|হিংস"")),""valence-target অমিল"",""""),IF(COUNTIF($B:$B,B7851)&gt;1,""ডুপ্লিকেট"",""""))"),"")</f>
        <v/>
      </c>
      <c r="Q7851" s="5" t="str">
        <f t="shared" si="1"/>
        <v>২ পরে</v>
      </c>
    </row>
    <row r="7852">
      <c r="A7852" s="4">
        <v>7057.0</v>
      </c>
      <c r="B7852" s="2" t="s">
        <v>31624</v>
      </c>
      <c r="C7852" s="2" t="s">
        <v>31625</v>
      </c>
      <c r="D7852" s="2" t="s">
        <v>31626</v>
      </c>
      <c r="E7852" s="2" t="s">
        <v>31627</v>
      </c>
      <c r="F7852" s="2" t="b">
        <v>1</v>
      </c>
      <c r="G7852" s="2" t="b">
        <v>0</v>
      </c>
      <c r="H7852" s="2" t="s">
        <v>37</v>
      </c>
      <c r="I7852" s="2" t="s">
        <v>49</v>
      </c>
      <c r="J7852" s="2" t="s">
        <v>1175</v>
      </c>
      <c r="K7852" s="2" t="s">
        <v>495</v>
      </c>
      <c r="L7852" s="13" t="s">
        <v>496</v>
      </c>
      <c r="M7852" s="2" t="s">
        <v>26</v>
      </c>
      <c r="N7852" s="29"/>
      <c r="O7852" s="29"/>
      <c r="P7852" s="5" t="str">
        <f>IFERROR(__xludf.DUMMYFUNCTION("TEXTJOIN("" | "",TRUE,IF(OR(D7852="""",E7852="""",I7852="""",J7852="""",H7852=""""),""ফাঁকা ঘর"",""""),IF(AND(C7852&lt;&gt;"""",D7852&lt;&gt;"""",C7852=D7852),""gloss=figurative"",""""),IF(LEN(D7852)&lt;15,""figurative ছোট"",""""),IF(AND(I7852=""Positive"",REGEXMATCH(H7"&amp;"852,""মূর্খ|ভণ্ড|প্রতার|অলস|লোভ|স্বার্থ|অক্ষম|অযোগ্য|বোকা|কৃপণ|হিংস"")),""valence-target অমিল"",""""),IF(COUNTIF($B:$B,B7852)&gt;1,""ডুপ্লিকেট"",""""))"),"")</f>
        <v/>
      </c>
      <c r="Q7852" s="5" t="str">
        <f t="shared" si="1"/>
        <v>২ পরে</v>
      </c>
    </row>
    <row r="7853">
      <c r="A7853" s="4">
        <v>7061.0</v>
      </c>
      <c r="B7853" s="2" t="s">
        <v>31628</v>
      </c>
      <c r="C7853" s="2" t="s">
        <v>31628</v>
      </c>
      <c r="D7853" s="2" t="s">
        <v>31629</v>
      </c>
      <c r="E7853" s="2" t="s">
        <v>31630</v>
      </c>
      <c r="F7853" s="2" t="b">
        <v>1</v>
      </c>
      <c r="G7853" s="2" t="b">
        <v>0</v>
      </c>
      <c r="H7853" s="2" t="s">
        <v>37</v>
      </c>
      <c r="I7853" s="2" t="s">
        <v>22</v>
      </c>
      <c r="J7853" s="2" t="s">
        <v>4463</v>
      </c>
      <c r="K7853" s="2" t="s">
        <v>495</v>
      </c>
      <c r="L7853" s="13" t="s">
        <v>496</v>
      </c>
      <c r="M7853" s="2" t="s">
        <v>26</v>
      </c>
      <c r="N7853" s="29"/>
      <c r="O7853" s="29"/>
      <c r="P7853" s="5" t="str">
        <f>IFERROR(__xludf.DUMMYFUNCTION("TEXTJOIN("" | "",TRUE,IF(OR(D7853="""",E7853="""",I7853="""",J7853="""",H7853=""""),""ফাঁকা ঘর"",""""),IF(AND(C7853&lt;&gt;"""",D7853&lt;&gt;"""",C7853=D7853),""gloss=figurative"",""""),IF(LEN(D7853)&lt;15,""figurative ছোট"",""""),IF(AND(I7853=""Positive"",REGEXMATCH(H7"&amp;"853,""মূর্খ|ভণ্ড|প্রতার|অলস|লোভ|স্বার্থ|অক্ষম|অযোগ্য|বোকা|কৃপণ|হিংস"")),""valence-target অমিল"",""""),IF(COUNTIF($B:$B,B7853)&gt;1,""ডুপ্লিকেট"",""""))"),"")</f>
        <v/>
      </c>
      <c r="Q7853" s="5" t="str">
        <f t="shared" si="1"/>
        <v>২ পরে</v>
      </c>
    </row>
    <row r="7854">
      <c r="A7854" s="4">
        <v>7062.0</v>
      </c>
      <c r="B7854" s="2" t="s">
        <v>31631</v>
      </c>
      <c r="C7854" s="2" t="s">
        <v>31632</v>
      </c>
      <c r="D7854" s="2" t="s">
        <v>31633</v>
      </c>
      <c r="E7854" s="2" t="s">
        <v>31634</v>
      </c>
      <c r="F7854" s="2" t="b">
        <v>1</v>
      </c>
      <c r="G7854" s="2" t="b">
        <v>0</v>
      </c>
      <c r="H7854" s="2" t="s">
        <v>37</v>
      </c>
      <c r="I7854" s="2" t="s">
        <v>49</v>
      </c>
      <c r="J7854" s="2" t="s">
        <v>3004</v>
      </c>
      <c r="K7854" s="2" t="s">
        <v>495</v>
      </c>
      <c r="L7854" s="13" t="s">
        <v>496</v>
      </c>
      <c r="M7854" s="2" t="s">
        <v>26</v>
      </c>
      <c r="N7854" s="29"/>
      <c r="O7854" s="29"/>
      <c r="P7854" s="5" t="str">
        <f>IFERROR(__xludf.DUMMYFUNCTION("TEXTJOIN("" | "",TRUE,IF(OR(D7854="""",E7854="""",I7854="""",J7854="""",H7854=""""),""ফাঁকা ঘর"",""""),IF(AND(C7854&lt;&gt;"""",D7854&lt;&gt;"""",C7854=D7854),""gloss=figurative"",""""),IF(LEN(D7854)&lt;15,""figurative ছোট"",""""),IF(AND(I7854=""Positive"",REGEXMATCH(H7"&amp;"854,""মূর্খ|ভণ্ড|প্রতার|অলস|লোভ|স্বার্থ|অক্ষম|অযোগ্য|বোকা|কৃপণ|হিংস"")),""valence-target অমিল"",""""),IF(COUNTIF($B:$B,B7854)&gt;1,""ডুপ্লিকেট"",""""))"),"")</f>
        <v/>
      </c>
      <c r="Q7854" s="5" t="str">
        <f t="shared" si="1"/>
        <v>২ পরে</v>
      </c>
    </row>
    <row r="7855">
      <c r="A7855" s="4">
        <v>7065.0</v>
      </c>
      <c r="B7855" s="2" t="s">
        <v>31635</v>
      </c>
      <c r="C7855" s="2" t="s">
        <v>31635</v>
      </c>
      <c r="D7855" s="2" t="s">
        <v>31636</v>
      </c>
      <c r="E7855" s="2" t="s">
        <v>31637</v>
      </c>
      <c r="F7855" s="2" t="b">
        <v>1</v>
      </c>
      <c r="G7855" s="2" t="b">
        <v>0</v>
      </c>
      <c r="H7855" s="2" t="s">
        <v>37</v>
      </c>
      <c r="I7855" s="2" t="s">
        <v>49</v>
      </c>
      <c r="J7855" s="2" t="s">
        <v>2575</v>
      </c>
      <c r="K7855" s="2" t="s">
        <v>495</v>
      </c>
      <c r="L7855" s="13" t="s">
        <v>496</v>
      </c>
      <c r="M7855" s="2" t="s">
        <v>26</v>
      </c>
      <c r="N7855" s="29"/>
      <c r="O7855" s="29"/>
      <c r="P7855" s="5" t="str">
        <f>IFERROR(__xludf.DUMMYFUNCTION("TEXTJOIN("" | "",TRUE,IF(OR(D7855="""",E7855="""",I7855="""",J7855="""",H7855=""""),""ফাঁকা ঘর"",""""),IF(AND(C7855&lt;&gt;"""",D7855&lt;&gt;"""",C7855=D7855),""gloss=figurative"",""""),IF(LEN(D7855)&lt;15,""figurative ছোট"",""""),IF(AND(I7855=""Positive"",REGEXMATCH(H7"&amp;"855,""মূর্খ|ভণ্ড|প্রতার|অলস|লোভ|স্বার্থ|অক্ষম|অযোগ্য|বোকা|কৃপণ|হিংস"")),""valence-target অমিল"",""""),IF(COUNTIF($B:$B,B7855)&gt;1,""ডুপ্লিকেট"",""""))"),"")</f>
        <v/>
      </c>
      <c r="Q7855" s="5" t="str">
        <f t="shared" si="1"/>
        <v>২ পরে</v>
      </c>
    </row>
    <row r="7856">
      <c r="A7856" s="4">
        <v>7066.0</v>
      </c>
      <c r="B7856" s="2" t="s">
        <v>31638</v>
      </c>
      <c r="C7856" s="2" t="s">
        <v>31638</v>
      </c>
      <c r="D7856" s="2" t="s">
        <v>31639</v>
      </c>
      <c r="E7856" s="2" t="s">
        <v>31640</v>
      </c>
      <c r="F7856" s="2" t="b">
        <v>1</v>
      </c>
      <c r="G7856" s="2" t="b">
        <v>0</v>
      </c>
      <c r="H7856" s="2" t="s">
        <v>3407</v>
      </c>
      <c r="I7856" s="2" t="s">
        <v>22</v>
      </c>
      <c r="J7856" s="2" t="s">
        <v>5829</v>
      </c>
      <c r="K7856" s="2" t="s">
        <v>495</v>
      </c>
      <c r="L7856" s="13" t="s">
        <v>496</v>
      </c>
      <c r="M7856" s="2" t="s">
        <v>26</v>
      </c>
      <c r="N7856" s="29"/>
      <c r="O7856" s="29"/>
      <c r="P7856" s="5" t="str">
        <f>IFERROR(__xludf.DUMMYFUNCTION("TEXTJOIN("" | "",TRUE,IF(OR(D7856="""",E7856="""",I7856="""",J7856="""",H7856=""""),""ফাঁকা ঘর"",""""),IF(AND(C7856&lt;&gt;"""",D7856&lt;&gt;"""",C7856=D7856),""gloss=figurative"",""""),IF(LEN(D7856)&lt;15,""figurative ছোট"",""""),IF(AND(I7856=""Positive"",REGEXMATCH(H7"&amp;"856,""মূর্খ|ভণ্ড|প্রতার|অলস|লোভ|স্বার্থ|অক্ষম|অযোগ্য|বোকা|কৃপণ|হিংস"")),""valence-target অমিল"",""""),IF(COUNTIF($B:$B,B7856)&gt;1,""ডুপ্লিকেট"",""""))"),"")</f>
        <v/>
      </c>
      <c r="Q7856" s="5" t="str">
        <f t="shared" si="1"/>
        <v>২ পরে</v>
      </c>
    </row>
    <row r="7857">
      <c r="A7857" s="4">
        <v>7067.0</v>
      </c>
      <c r="B7857" s="2" t="s">
        <v>31641</v>
      </c>
      <c r="C7857" s="2" t="s">
        <v>31642</v>
      </c>
      <c r="D7857" s="2" t="s">
        <v>31643</v>
      </c>
      <c r="E7857" s="2" t="s">
        <v>31644</v>
      </c>
      <c r="F7857" s="2" t="b">
        <v>1</v>
      </c>
      <c r="G7857" s="2" t="b">
        <v>0</v>
      </c>
      <c r="H7857" s="2" t="s">
        <v>3407</v>
      </c>
      <c r="I7857" s="2" t="s">
        <v>22</v>
      </c>
      <c r="J7857" s="2" t="s">
        <v>1310</v>
      </c>
      <c r="K7857" s="2" t="s">
        <v>495</v>
      </c>
      <c r="L7857" s="13" t="s">
        <v>496</v>
      </c>
      <c r="M7857" s="2" t="s">
        <v>26</v>
      </c>
      <c r="N7857" s="29"/>
      <c r="O7857" s="29"/>
      <c r="P7857" s="5" t="str">
        <f>IFERROR(__xludf.DUMMYFUNCTION("TEXTJOIN("" | "",TRUE,IF(OR(D7857="""",E7857="""",I7857="""",J7857="""",H7857=""""),""ফাঁকা ঘর"",""""),IF(AND(C7857&lt;&gt;"""",D7857&lt;&gt;"""",C7857=D7857),""gloss=figurative"",""""),IF(LEN(D7857)&lt;15,""figurative ছোট"",""""),IF(AND(I7857=""Positive"",REGEXMATCH(H7"&amp;"857,""মূর্খ|ভণ্ড|প্রতার|অলস|লোভ|স্বার্থ|অক্ষম|অযোগ্য|বোকা|কৃপণ|হিংস"")),""valence-target অমিল"",""""),IF(COUNTIF($B:$B,B7857)&gt;1,""ডুপ্লিকেট"",""""))"),"")</f>
        <v/>
      </c>
      <c r="Q7857" s="5" t="str">
        <f t="shared" si="1"/>
        <v>২ পরে</v>
      </c>
    </row>
    <row r="7858">
      <c r="A7858" s="4">
        <v>7070.0</v>
      </c>
      <c r="B7858" s="2" t="s">
        <v>31645</v>
      </c>
      <c r="C7858" s="2" t="s">
        <v>31646</v>
      </c>
      <c r="D7858" s="2" t="s">
        <v>31647</v>
      </c>
      <c r="E7858" s="2" t="s">
        <v>31648</v>
      </c>
      <c r="F7858" s="2" t="b">
        <v>1</v>
      </c>
      <c r="G7858" s="2" t="b">
        <v>0</v>
      </c>
      <c r="H7858" s="2" t="s">
        <v>37</v>
      </c>
      <c r="I7858" s="2" t="s">
        <v>49</v>
      </c>
      <c r="J7858" s="2" t="s">
        <v>6010</v>
      </c>
      <c r="K7858" s="2" t="s">
        <v>495</v>
      </c>
      <c r="L7858" s="13" t="s">
        <v>496</v>
      </c>
      <c r="M7858" s="2" t="s">
        <v>26</v>
      </c>
      <c r="N7858" s="29"/>
      <c r="O7858" s="29"/>
      <c r="P7858" s="5" t="str">
        <f>IFERROR(__xludf.DUMMYFUNCTION("TEXTJOIN("" | "",TRUE,IF(OR(D7858="""",E7858="""",I7858="""",J7858="""",H7858=""""),""ফাঁকা ঘর"",""""),IF(AND(C7858&lt;&gt;"""",D7858&lt;&gt;"""",C7858=D7858),""gloss=figurative"",""""),IF(LEN(D7858)&lt;15,""figurative ছোট"",""""),IF(AND(I7858=""Positive"",REGEXMATCH(H7"&amp;"858,""মূর্খ|ভণ্ড|প্রতার|অলস|লোভ|স্বার্থ|অক্ষম|অযোগ্য|বোকা|কৃপণ|হিংস"")),""valence-target অমিল"",""""),IF(COUNTIF($B:$B,B7858)&gt;1,""ডুপ্লিকেট"",""""))"),"")</f>
        <v/>
      </c>
      <c r="Q7858" s="5" t="str">
        <f t="shared" si="1"/>
        <v>২ পরে</v>
      </c>
    </row>
    <row r="7859">
      <c r="A7859" s="4">
        <v>7072.0</v>
      </c>
      <c r="B7859" s="2" t="s">
        <v>31649</v>
      </c>
      <c r="C7859" s="2" t="s">
        <v>31649</v>
      </c>
      <c r="D7859" s="2" t="s">
        <v>31650</v>
      </c>
      <c r="E7859" s="2" t="s">
        <v>31651</v>
      </c>
      <c r="F7859" s="2" t="b">
        <v>1</v>
      </c>
      <c r="G7859" s="2" t="b">
        <v>0</v>
      </c>
      <c r="H7859" s="2" t="s">
        <v>37</v>
      </c>
      <c r="I7859" s="2" t="s">
        <v>22</v>
      </c>
      <c r="J7859" s="2" t="s">
        <v>6010</v>
      </c>
      <c r="K7859" s="2" t="s">
        <v>495</v>
      </c>
      <c r="L7859" s="13" t="s">
        <v>496</v>
      </c>
      <c r="M7859" s="2" t="s">
        <v>26</v>
      </c>
      <c r="N7859" s="29"/>
      <c r="O7859" s="29"/>
      <c r="P7859" s="5" t="str">
        <f>IFERROR(__xludf.DUMMYFUNCTION("TEXTJOIN("" | "",TRUE,IF(OR(D7859="""",E7859="""",I7859="""",J7859="""",H7859=""""),""ফাঁকা ঘর"",""""),IF(AND(C7859&lt;&gt;"""",D7859&lt;&gt;"""",C7859=D7859),""gloss=figurative"",""""),IF(LEN(D7859)&lt;15,""figurative ছোট"",""""),IF(AND(I7859=""Positive"",REGEXMATCH(H7"&amp;"859,""মূর্খ|ভণ্ড|প্রতার|অলস|লোভ|স্বার্থ|অক্ষম|অযোগ্য|বোকা|কৃপণ|হিংস"")),""valence-target অমিল"",""""),IF(COUNTIF($B:$B,B7859)&gt;1,""ডুপ্লিকেট"",""""))"),"")</f>
        <v/>
      </c>
      <c r="Q7859" s="5" t="str">
        <f t="shared" si="1"/>
        <v>২ পরে</v>
      </c>
    </row>
    <row r="7860">
      <c r="A7860" s="4">
        <v>7074.0</v>
      </c>
      <c r="B7860" s="2" t="s">
        <v>31652</v>
      </c>
      <c r="C7860" s="2" t="s">
        <v>31653</v>
      </c>
      <c r="D7860" s="2" t="s">
        <v>31654</v>
      </c>
      <c r="E7860" s="2" t="s">
        <v>31655</v>
      </c>
      <c r="F7860" s="2" t="b">
        <v>1</v>
      </c>
      <c r="G7860" s="2" t="b">
        <v>0</v>
      </c>
      <c r="H7860" s="2" t="s">
        <v>1284</v>
      </c>
      <c r="I7860" s="2" t="s">
        <v>32</v>
      </c>
      <c r="J7860" s="2" t="s">
        <v>1471</v>
      </c>
      <c r="K7860" s="2" t="s">
        <v>495</v>
      </c>
      <c r="L7860" s="13" t="s">
        <v>496</v>
      </c>
      <c r="M7860" s="2" t="s">
        <v>26</v>
      </c>
      <c r="N7860" s="29"/>
      <c r="O7860" s="29"/>
      <c r="P7860" s="5" t="str">
        <f>IFERROR(__xludf.DUMMYFUNCTION("TEXTJOIN("" | "",TRUE,IF(OR(D7860="""",E7860="""",I7860="""",J7860="""",H7860=""""),""ফাঁকা ঘর"",""""),IF(AND(C7860&lt;&gt;"""",D7860&lt;&gt;"""",C7860=D7860),""gloss=figurative"",""""),IF(LEN(D7860)&lt;15,""figurative ছোট"",""""),IF(AND(I7860=""Positive"",REGEXMATCH(H7"&amp;"860,""মূর্খ|ভণ্ড|প্রতার|অলস|লোভ|স্বার্থ|অক্ষম|অযোগ্য|বোকা|কৃপণ|হিংস"")),""valence-target অমিল"",""""),IF(COUNTIF($B:$B,B7860)&gt;1,""ডুপ্লিকেট"",""""))"),"")</f>
        <v/>
      </c>
      <c r="Q7860" s="5" t="str">
        <f t="shared" si="1"/>
        <v>২ পরে</v>
      </c>
    </row>
    <row r="7861">
      <c r="A7861" s="4">
        <v>7080.0</v>
      </c>
      <c r="B7861" s="2" t="s">
        <v>31656</v>
      </c>
      <c r="C7861" s="2" t="s">
        <v>31657</v>
      </c>
      <c r="D7861" s="2" t="s">
        <v>31658</v>
      </c>
      <c r="E7861" s="2" t="s">
        <v>31659</v>
      </c>
      <c r="F7861" s="2" t="b">
        <v>1</v>
      </c>
      <c r="G7861" s="2" t="b">
        <v>0</v>
      </c>
      <c r="H7861" s="2" t="s">
        <v>37</v>
      </c>
      <c r="I7861" s="2" t="s">
        <v>22</v>
      </c>
      <c r="J7861" s="2" t="s">
        <v>5829</v>
      </c>
      <c r="K7861" s="2" t="s">
        <v>495</v>
      </c>
      <c r="L7861" s="13" t="s">
        <v>496</v>
      </c>
      <c r="M7861" s="2" t="s">
        <v>26</v>
      </c>
      <c r="N7861" s="29"/>
      <c r="O7861" s="29"/>
      <c r="P7861" s="5" t="str">
        <f>IFERROR(__xludf.DUMMYFUNCTION("TEXTJOIN("" | "",TRUE,IF(OR(D7861="""",E7861="""",I7861="""",J7861="""",H7861=""""),""ফাঁকা ঘর"",""""),IF(AND(C7861&lt;&gt;"""",D7861&lt;&gt;"""",C7861=D7861),""gloss=figurative"",""""),IF(LEN(D7861)&lt;15,""figurative ছোট"",""""),IF(AND(I7861=""Positive"",REGEXMATCH(H7"&amp;"861,""মূর্খ|ভণ্ড|প্রতার|অলস|লোভ|স্বার্থ|অক্ষম|অযোগ্য|বোকা|কৃপণ|হিংস"")),""valence-target অমিল"",""""),IF(COUNTIF($B:$B,B7861)&gt;1,""ডুপ্লিকেট"",""""))"),"")</f>
        <v/>
      </c>
      <c r="Q7861" s="5" t="str">
        <f t="shared" si="1"/>
        <v>২ পরে</v>
      </c>
    </row>
    <row r="7862">
      <c r="A7862" s="4">
        <v>7091.0</v>
      </c>
      <c r="B7862" s="2" t="s">
        <v>31660</v>
      </c>
      <c r="C7862" s="2" t="s">
        <v>31661</v>
      </c>
      <c r="D7862" s="2" t="s">
        <v>31662</v>
      </c>
      <c r="E7862" s="2" t="s">
        <v>31663</v>
      </c>
      <c r="F7862" s="2" t="b">
        <v>1</v>
      </c>
      <c r="G7862" s="2" t="b">
        <v>0</v>
      </c>
      <c r="H7862" s="2" t="s">
        <v>37</v>
      </c>
      <c r="I7862" s="2" t="s">
        <v>32</v>
      </c>
      <c r="J7862" s="2" t="s">
        <v>3506</v>
      </c>
      <c r="K7862" s="2" t="s">
        <v>495</v>
      </c>
      <c r="L7862" s="13" t="s">
        <v>496</v>
      </c>
      <c r="M7862" s="2" t="s">
        <v>26</v>
      </c>
      <c r="N7862" s="29"/>
      <c r="O7862" s="29"/>
      <c r="P7862" s="5" t="str">
        <f>IFERROR(__xludf.DUMMYFUNCTION("TEXTJOIN("" | "",TRUE,IF(OR(D7862="""",E7862="""",I7862="""",J7862="""",H7862=""""),""ফাঁকা ঘর"",""""),IF(AND(C7862&lt;&gt;"""",D7862&lt;&gt;"""",C7862=D7862),""gloss=figurative"",""""),IF(LEN(D7862)&lt;15,""figurative ছোট"",""""),IF(AND(I7862=""Positive"",REGEXMATCH(H7"&amp;"862,""মূর্খ|ভণ্ড|প্রতার|অলস|লোভ|স্বার্থ|অক্ষম|অযোগ্য|বোকা|কৃপণ|হিংস"")),""valence-target অমিল"",""""),IF(COUNTIF($B:$B,B7862)&gt;1,""ডুপ্লিকেট"",""""))"),"")</f>
        <v/>
      </c>
      <c r="Q7862" s="5" t="str">
        <f t="shared" si="1"/>
        <v>২ পরে</v>
      </c>
    </row>
    <row r="7863">
      <c r="A7863" s="4">
        <v>7099.0</v>
      </c>
      <c r="B7863" s="2" t="s">
        <v>31664</v>
      </c>
      <c r="C7863" s="2" t="s">
        <v>31665</v>
      </c>
      <c r="D7863" s="2" t="s">
        <v>31666</v>
      </c>
      <c r="E7863" s="2" t="s">
        <v>31667</v>
      </c>
      <c r="F7863" s="2" t="b">
        <v>1</v>
      </c>
      <c r="G7863" s="2" t="b">
        <v>0</v>
      </c>
      <c r="H7863" s="2" t="s">
        <v>37</v>
      </c>
      <c r="I7863" s="2" t="s">
        <v>22</v>
      </c>
      <c r="J7863" s="2" t="s">
        <v>4463</v>
      </c>
      <c r="K7863" s="2" t="s">
        <v>495</v>
      </c>
      <c r="L7863" s="13" t="s">
        <v>496</v>
      </c>
      <c r="M7863" s="2" t="s">
        <v>26</v>
      </c>
      <c r="N7863" s="29"/>
      <c r="O7863" s="29"/>
      <c r="P7863" s="5" t="str">
        <f>IFERROR(__xludf.DUMMYFUNCTION("TEXTJOIN("" | "",TRUE,IF(OR(D7863="""",E7863="""",I7863="""",J7863="""",H7863=""""),""ফাঁকা ঘর"",""""),IF(AND(C7863&lt;&gt;"""",D7863&lt;&gt;"""",C7863=D7863),""gloss=figurative"",""""),IF(LEN(D7863)&lt;15,""figurative ছোট"",""""),IF(AND(I7863=""Positive"",REGEXMATCH(H7"&amp;"863,""মূর্খ|ভণ্ড|প্রতার|অলস|লোভ|স্বার্থ|অক্ষম|অযোগ্য|বোকা|কৃপণ|হিংস"")),""valence-target অমিল"",""""),IF(COUNTIF($B:$B,B7863)&gt;1,""ডুপ্লিকেট"",""""))"),"")</f>
        <v/>
      </c>
      <c r="Q7863" s="5" t="str">
        <f t="shared" si="1"/>
        <v>২ পরে</v>
      </c>
    </row>
    <row r="7864">
      <c r="A7864" s="4">
        <v>7101.0</v>
      </c>
      <c r="B7864" s="2" t="s">
        <v>31668</v>
      </c>
      <c r="C7864" s="2" t="s">
        <v>31669</v>
      </c>
      <c r="D7864" s="2" t="s">
        <v>31670</v>
      </c>
      <c r="E7864" s="2" t="s">
        <v>31671</v>
      </c>
      <c r="F7864" s="2" t="b">
        <v>1</v>
      </c>
      <c r="G7864" s="2" t="b">
        <v>0</v>
      </c>
      <c r="H7864" s="2" t="s">
        <v>37</v>
      </c>
      <c r="I7864" s="2" t="s">
        <v>22</v>
      </c>
      <c r="J7864" s="2" t="s">
        <v>2857</v>
      </c>
      <c r="K7864" s="2" t="s">
        <v>495</v>
      </c>
      <c r="L7864" s="13" t="s">
        <v>496</v>
      </c>
      <c r="M7864" s="2" t="s">
        <v>26</v>
      </c>
      <c r="N7864" s="29"/>
      <c r="O7864" s="29"/>
      <c r="P7864" s="5" t="str">
        <f>IFERROR(__xludf.DUMMYFUNCTION("TEXTJOIN("" | "",TRUE,IF(OR(D7864="""",E7864="""",I7864="""",J7864="""",H7864=""""),""ফাঁকা ঘর"",""""),IF(AND(C7864&lt;&gt;"""",D7864&lt;&gt;"""",C7864=D7864),""gloss=figurative"",""""),IF(LEN(D7864)&lt;15,""figurative ছোট"",""""),IF(AND(I7864=""Positive"",REGEXMATCH(H7"&amp;"864,""মূর্খ|ভণ্ড|প্রতার|অলস|লোভ|স্বার্থ|অক্ষম|অযোগ্য|বোকা|কৃপণ|হিংস"")),""valence-target অমিল"",""""),IF(COUNTIF($B:$B,B7864)&gt;1,""ডুপ্লিকেট"",""""))"),"")</f>
        <v/>
      </c>
      <c r="Q7864" s="5" t="str">
        <f t="shared" si="1"/>
        <v>২ পরে</v>
      </c>
    </row>
    <row r="7865">
      <c r="A7865" s="4">
        <v>7108.0</v>
      </c>
      <c r="B7865" s="2" t="s">
        <v>31672</v>
      </c>
      <c r="C7865" s="2" t="s">
        <v>31673</v>
      </c>
      <c r="D7865" s="2" t="s">
        <v>31674</v>
      </c>
      <c r="E7865" s="2" t="s">
        <v>31675</v>
      </c>
      <c r="F7865" s="2" t="b">
        <v>1</v>
      </c>
      <c r="G7865" s="2" t="b">
        <v>0</v>
      </c>
      <c r="H7865" s="2" t="s">
        <v>37</v>
      </c>
      <c r="I7865" s="2" t="s">
        <v>32</v>
      </c>
      <c r="J7865" s="2" t="s">
        <v>5365</v>
      </c>
      <c r="K7865" s="2" t="s">
        <v>495</v>
      </c>
      <c r="L7865" s="13" t="s">
        <v>496</v>
      </c>
      <c r="M7865" s="2" t="s">
        <v>26</v>
      </c>
      <c r="N7865" s="29"/>
      <c r="O7865" s="29"/>
      <c r="P7865" s="5" t="str">
        <f>IFERROR(__xludf.DUMMYFUNCTION("TEXTJOIN("" | "",TRUE,IF(OR(D7865="""",E7865="""",I7865="""",J7865="""",H7865=""""),""ফাঁকা ঘর"",""""),IF(AND(C7865&lt;&gt;"""",D7865&lt;&gt;"""",C7865=D7865),""gloss=figurative"",""""),IF(LEN(D7865)&lt;15,""figurative ছোট"",""""),IF(AND(I7865=""Positive"",REGEXMATCH(H7"&amp;"865,""মূর্খ|ভণ্ড|প্রতার|অলস|লোভ|স্বার্থ|অক্ষম|অযোগ্য|বোকা|কৃপণ|হিংস"")),""valence-target অমিল"",""""),IF(COUNTIF($B:$B,B7865)&gt;1,""ডুপ্লিকেট"",""""))"),"")</f>
        <v/>
      </c>
      <c r="Q7865" s="5" t="str">
        <f t="shared" si="1"/>
        <v>২ পরে</v>
      </c>
    </row>
    <row r="7866">
      <c r="A7866" s="4">
        <v>7110.0</v>
      </c>
      <c r="B7866" s="2" t="s">
        <v>31676</v>
      </c>
      <c r="C7866" s="2" t="s">
        <v>31677</v>
      </c>
      <c r="D7866" s="2" t="s">
        <v>31678</v>
      </c>
      <c r="E7866" s="2" t="s">
        <v>31679</v>
      </c>
      <c r="F7866" s="2" t="b">
        <v>1</v>
      </c>
      <c r="G7866" s="2" t="b">
        <v>0</v>
      </c>
      <c r="H7866" s="2" t="s">
        <v>37</v>
      </c>
      <c r="I7866" s="2" t="s">
        <v>22</v>
      </c>
      <c r="J7866" s="2" t="s">
        <v>1363</v>
      </c>
      <c r="K7866" s="2" t="s">
        <v>495</v>
      </c>
      <c r="L7866" s="13" t="s">
        <v>496</v>
      </c>
      <c r="M7866" s="2" t="s">
        <v>26</v>
      </c>
      <c r="N7866" s="29"/>
      <c r="O7866" s="29"/>
      <c r="P7866" s="5" t="str">
        <f>IFERROR(__xludf.DUMMYFUNCTION("TEXTJOIN("" | "",TRUE,IF(OR(D7866="""",E7866="""",I7866="""",J7866="""",H7866=""""),""ফাঁকা ঘর"",""""),IF(AND(C7866&lt;&gt;"""",D7866&lt;&gt;"""",C7866=D7866),""gloss=figurative"",""""),IF(LEN(D7866)&lt;15,""figurative ছোট"",""""),IF(AND(I7866=""Positive"",REGEXMATCH(H7"&amp;"866,""মূর্খ|ভণ্ড|প্রতার|অলস|লোভ|স্বার্থ|অক্ষম|অযোগ্য|বোকা|কৃপণ|হিংস"")),""valence-target অমিল"",""""),IF(COUNTIF($B:$B,B7866)&gt;1,""ডুপ্লিকেট"",""""))"),"")</f>
        <v/>
      </c>
      <c r="Q7866" s="5" t="str">
        <f t="shared" si="1"/>
        <v>২ পরে</v>
      </c>
    </row>
    <row r="7867">
      <c r="A7867" s="4">
        <v>7120.0</v>
      </c>
      <c r="B7867" s="2" t="s">
        <v>31680</v>
      </c>
      <c r="C7867" s="2" t="s">
        <v>31681</v>
      </c>
      <c r="D7867" s="2" t="s">
        <v>31682</v>
      </c>
      <c r="E7867" s="2" t="s">
        <v>31683</v>
      </c>
      <c r="F7867" s="2" t="b">
        <v>1</v>
      </c>
      <c r="G7867" s="2" t="b">
        <v>0</v>
      </c>
      <c r="H7867" s="2" t="s">
        <v>37</v>
      </c>
      <c r="I7867" s="2" t="s">
        <v>22</v>
      </c>
      <c r="J7867" s="2" t="s">
        <v>1684</v>
      </c>
      <c r="K7867" s="2" t="s">
        <v>495</v>
      </c>
      <c r="L7867" s="13" t="s">
        <v>496</v>
      </c>
      <c r="M7867" s="2" t="s">
        <v>26</v>
      </c>
      <c r="N7867" s="29"/>
      <c r="O7867" s="29"/>
      <c r="P7867" s="5" t="str">
        <f>IFERROR(__xludf.DUMMYFUNCTION("TEXTJOIN("" | "",TRUE,IF(OR(D7867="""",E7867="""",I7867="""",J7867="""",H7867=""""),""ফাঁকা ঘর"",""""),IF(AND(C7867&lt;&gt;"""",D7867&lt;&gt;"""",C7867=D7867),""gloss=figurative"",""""),IF(LEN(D7867)&lt;15,""figurative ছোট"",""""),IF(AND(I7867=""Positive"",REGEXMATCH(H7"&amp;"867,""মূর্খ|ভণ্ড|প্রতার|অলস|লোভ|স্বার্থ|অক্ষম|অযোগ্য|বোকা|কৃপণ|হিংস"")),""valence-target অমিল"",""""),IF(COUNTIF($B:$B,B7867)&gt;1,""ডুপ্লিকেট"",""""))"),"")</f>
        <v/>
      </c>
      <c r="Q7867" s="5" t="str">
        <f t="shared" si="1"/>
        <v>২ পরে</v>
      </c>
    </row>
    <row r="7868">
      <c r="A7868" s="4">
        <v>7123.0</v>
      </c>
      <c r="B7868" s="2" t="s">
        <v>31684</v>
      </c>
      <c r="C7868" s="2" t="s">
        <v>31685</v>
      </c>
      <c r="D7868" s="2" t="s">
        <v>31686</v>
      </c>
      <c r="E7868" s="2" t="s">
        <v>31687</v>
      </c>
      <c r="F7868" s="2" t="b">
        <v>1</v>
      </c>
      <c r="G7868" s="2" t="b">
        <v>1</v>
      </c>
      <c r="H7868" s="2" t="s">
        <v>1106</v>
      </c>
      <c r="I7868" s="2" t="s">
        <v>22</v>
      </c>
      <c r="J7868" s="2" t="s">
        <v>1315</v>
      </c>
      <c r="K7868" s="2" t="s">
        <v>495</v>
      </c>
      <c r="L7868" s="13" t="s">
        <v>496</v>
      </c>
      <c r="M7868" s="2" t="s">
        <v>26</v>
      </c>
      <c r="N7868" s="29"/>
      <c r="O7868" s="29"/>
      <c r="P7868" s="5" t="str">
        <f>IFERROR(__xludf.DUMMYFUNCTION("TEXTJOIN("" | "",TRUE,IF(OR(D7868="""",E7868="""",I7868="""",J7868="""",H7868=""""),""ফাঁকা ঘর"",""""),IF(AND(C7868&lt;&gt;"""",D7868&lt;&gt;"""",C7868=D7868),""gloss=figurative"",""""),IF(LEN(D7868)&lt;15,""figurative ছোট"",""""),IF(AND(I7868=""Positive"",REGEXMATCH(H7"&amp;"868,""মূর্খ|ভণ্ড|প্রতার|অলস|লোভ|স্বার্থ|অক্ষম|অযোগ্য|বোকা|কৃপণ|হিংস"")),""valence-target অমিল"",""""),IF(COUNTIF($B:$B,B7868)&gt;1,""ডুপ্লিকেট"",""""))"),"")</f>
        <v/>
      </c>
      <c r="Q7868" s="5" t="str">
        <f t="shared" si="1"/>
        <v>২ পরে</v>
      </c>
    </row>
    <row r="7869">
      <c r="A7869" s="4">
        <v>7124.0</v>
      </c>
      <c r="B7869" s="2" t="s">
        <v>31688</v>
      </c>
      <c r="C7869" s="2" t="s">
        <v>31689</v>
      </c>
      <c r="D7869" s="2" t="s">
        <v>31690</v>
      </c>
      <c r="E7869" s="2" t="s">
        <v>31691</v>
      </c>
      <c r="F7869" s="2" t="b">
        <v>1</v>
      </c>
      <c r="G7869" s="2" t="b">
        <v>1</v>
      </c>
      <c r="H7869" s="2" t="s">
        <v>1106</v>
      </c>
      <c r="I7869" s="2" t="s">
        <v>32</v>
      </c>
      <c r="J7869" s="2" t="s">
        <v>1175</v>
      </c>
      <c r="K7869" s="2" t="s">
        <v>495</v>
      </c>
      <c r="L7869" s="13" t="s">
        <v>496</v>
      </c>
      <c r="M7869" s="2" t="s">
        <v>26</v>
      </c>
      <c r="N7869" s="29"/>
      <c r="O7869" s="29"/>
      <c r="P7869" s="5" t="str">
        <f>IFERROR(__xludf.DUMMYFUNCTION("TEXTJOIN("" | "",TRUE,IF(OR(D7869="""",E7869="""",I7869="""",J7869="""",H7869=""""),""ফাঁকা ঘর"",""""),IF(AND(C7869&lt;&gt;"""",D7869&lt;&gt;"""",C7869=D7869),""gloss=figurative"",""""),IF(LEN(D7869)&lt;15,""figurative ছোট"",""""),IF(AND(I7869=""Positive"",REGEXMATCH(H7"&amp;"869,""মূর্খ|ভণ্ড|প্রতার|অলস|লোভ|স্বার্থ|অক্ষম|অযোগ্য|বোকা|কৃপণ|হিংস"")),""valence-target অমিল"",""""),IF(COUNTIF($B:$B,B7869)&gt;1,""ডুপ্লিকেট"",""""))"),"")</f>
        <v/>
      </c>
      <c r="Q7869" s="5" t="str">
        <f t="shared" si="1"/>
        <v>২ পরে</v>
      </c>
    </row>
    <row r="7870">
      <c r="A7870" s="4">
        <v>7134.0</v>
      </c>
      <c r="B7870" s="2" t="s">
        <v>31692</v>
      </c>
      <c r="C7870" s="2" t="s">
        <v>31693</v>
      </c>
      <c r="D7870" s="2" t="s">
        <v>31694</v>
      </c>
      <c r="E7870" s="2" t="s">
        <v>31695</v>
      </c>
      <c r="F7870" s="2" t="b">
        <v>1</v>
      </c>
      <c r="G7870" s="2" t="b">
        <v>0</v>
      </c>
      <c r="H7870" s="2" t="s">
        <v>37</v>
      </c>
      <c r="I7870" s="2" t="s">
        <v>32</v>
      </c>
      <c r="J7870" s="2" t="s">
        <v>891</v>
      </c>
      <c r="K7870" s="2" t="s">
        <v>495</v>
      </c>
      <c r="L7870" s="13" t="s">
        <v>496</v>
      </c>
      <c r="M7870" s="2" t="s">
        <v>26</v>
      </c>
      <c r="N7870" s="29"/>
      <c r="O7870" s="29"/>
      <c r="P7870" s="5" t="str">
        <f>IFERROR(__xludf.DUMMYFUNCTION("TEXTJOIN("" | "",TRUE,IF(OR(D7870="""",E7870="""",I7870="""",J7870="""",H7870=""""),""ফাঁকা ঘর"",""""),IF(AND(C7870&lt;&gt;"""",D7870&lt;&gt;"""",C7870=D7870),""gloss=figurative"",""""),IF(LEN(D7870)&lt;15,""figurative ছোট"",""""),IF(AND(I7870=""Positive"",REGEXMATCH(H7"&amp;"870,""মূর্খ|ভণ্ড|প্রতার|অলস|লোভ|স্বার্থ|অক্ষম|অযোগ্য|বোকা|কৃপণ|হিংস"")),""valence-target অমিল"",""""),IF(COUNTIF($B:$B,B7870)&gt;1,""ডুপ্লিকেট"",""""))"),"")</f>
        <v/>
      </c>
      <c r="Q7870" s="5" t="str">
        <f t="shared" si="1"/>
        <v>২ পরে</v>
      </c>
    </row>
    <row r="7871">
      <c r="A7871" s="4">
        <v>7143.0</v>
      </c>
      <c r="B7871" s="2" t="s">
        <v>31696</v>
      </c>
      <c r="C7871" s="2" t="s">
        <v>31696</v>
      </c>
      <c r="D7871" s="2" t="s">
        <v>31697</v>
      </c>
      <c r="E7871" s="2" t="s">
        <v>31698</v>
      </c>
      <c r="F7871" s="2" t="b">
        <v>1</v>
      </c>
      <c r="G7871" s="2" t="b">
        <v>0</v>
      </c>
      <c r="H7871" s="2" t="s">
        <v>37</v>
      </c>
      <c r="I7871" s="2" t="s">
        <v>22</v>
      </c>
      <c r="J7871" s="2" t="s">
        <v>1630</v>
      </c>
      <c r="K7871" s="2" t="s">
        <v>495</v>
      </c>
      <c r="L7871" s="13" t="s">
        <v>496</v>
      </c>
      <c r="M7871" s="2" t="s">
        <v>26</v>
      </c>
      <c r="N7871" s="29"/>
      <c r="O7871" s="29"/>
      <c r="P7871" s="5" t="str">
        <f>IFERROR(__xludf.DUMMYFUNCTION("TEXTJOIN("" | "",TRUE,IF(OR(D7871="""",E7871="""",I7871="""",J7871="""",H7871=""""),""ফাঁকা ঘর"",""""),IF(AND(C7871&lt;&gt;"""",D7871&lt;&gt;"""",C7871=D7871),""gloss=figurative"",""""),IF(LEN(D7871)&lt;15,""figurative ছোট"",""""),IF(AND(I7871=""Positive"",REGEXMATCH(H7"&amp;"871,""মূর্খ|ভণ্ড|প্রতার|অলস|লোভ|স্বার্থ|অক্ষম|অযোগ্য|বোকা|কৃপণ|হিংস"")),""valence-target অমিল"",""""),IF(COUNTIF($B:$B,B7871)&gt;1,""ডুপ্লিকেট"",""""))"),"")</f>
        <v/>
      </c>
      <c r="Q7871" s="5" t="str">
        <f t="shared" si="1"/>
        <v>২ পরে</v>
      </c>
    </row>
    <row r="7872">
      <c r="A7872" s="4">
        <v>7145.0</v>
      </c>
      <c r="B7872" s="2" t="s">
        <v>31699</v>
      </c>
      <c r="C7872" s="2" t="s">
        <v>31700</v>
      </c>
      <c r="D7872" s="2" t="s">
        <v>31701</v>
      </c>
      <c r="E7872" s="2" t="s">
        <v>31702</v>
      </c>
      <c r="F7872" s="2" t="b">
        <v>1</v>
      </c>
      <c r="G7872" s="2" t="b">
        <v>0</v>
      </c>
      <c r="H7872" s="2" t="s">
        <v>37</v>
      </c>
      <c r="I7872" s="2" t="s">
        <v>22</v>
      </c>
      <c r="J7872" s="2" t="s">
        <v>868</v>
      </c>
      <c r="K7872" s="2" t="s">
        <v>495</v>
      </c>
      <c r="L7872" s="13" t="s">
        <v>496</v>
      </c>
      <c r="M7872" s="2" t="s">
        <v>26</v>
      </c>
      <c r="N7872" s="29"/>
      <c r="O7872" s="29"/>
      <c r="P7872" s="5" t="str">
        <f>IFERROR(__xludf.DUMMYFUNCTION("TEXTJOIN("" | "",TRUE,IF(OR(D7872="""",E7872="""",I7872="""",J7872="""",H7872=""""),""ফাঁকা ঘর"",""""),IF(AND(C7872&lt;&gt;"""",D7872&lt;&gt;"""",C7872=D7872),""gloss=figurative"",""""),IF(LEN(D7872)&lt;15,""figurative ছোট"",""""),IF(AND(I7872=""Positive"",REGEXMATCH(H7"&amp;"872,""মূর্খ|ভণ্ড|প্রতার|অলস|লোভ|স্বার্থ|অক্ষম|অযোগ্য|বোকা|কৃপণ|হিংস"")),""valence-target অমিল"",""""),IF(COUNTIF($B:$B,B7872)&gt;1,""ডুপ্লিকেট"",""""))"),"")</f>
        <v/>
      </c>
      <c r="Q7872" s="5" t="str">
        <f t="shared" si="1"/>
        <v>২ পরে</v>
      </c>
    </row>
    <row r="7873">
      <c r="A7873" s="4">
        <v>7150.0</v>
      </c>
      <c r="B7873" s="2" t="s">
        <v>31703</v>
      </c>
      <c r="C7873" s="2" t="s">
        <v>31704</v>
      </c>
      <c r="D7873" s="2" t="s">
        <v>31705</v>
      </c>
      <c r="E7873" s="2" t="s">
        <v>31706</v>
      </c>
      <c r="F7873" s="2" t="b">
        <v>1</v>
      </c>
      <c r="G7873" s="2" t="b">
        <v>0</v>
      </c>
      <c r="H7873" s="2" t="s">
        <v>37</v>
      </c>
      <c r="I7873" s="2" t="s">
        <v>49</v>
      </c>
      <c r="J7873" s="2" t="s">
        <v>739</v>
      </c>
      <c r="K7873" s="2" t="s">
        <v>495</v>
      </c>
      <c r="L7873" s="13" t="s">
        <v>496</v>
      </c>
      <c r="M7873" s="2" t="s">
        <v>26</v>
      </c>
      <c r="N7873" s="29"/>
      <c r="O7873" s="29"/>
      <c r="P7873" s="5" t="str">
        <f>IFERROR(__xludf.DUMMYFUNCTION("TEXTJOIN("" | "",TRUE,IF(OR(D7873="""",E7873="""",I7873="""",J7873="""",H7873=""""),""ফাঁকা ঘর"",""""),IF(AND(C7873&lt;&gt;"""",D7873&lt;&gt;"""",C7873=D7873),""gloss=figurative"",""""),IF(LEN(D7873)&lt;15,""figurative ছোট"",""""),IF(AND(I7873=""Positive"",REGEXMATCH(H7"&amp;"873,""মূর্খ|ভণ্ড|প্রতার|অলস|লোভ|স্বার্থ|অক্ষম|অযোগ্য|বোকা|কৃপণ|হিংস"")),""valence-target অমিল"",""""),IF(COUNTIF($B:$B,B7873)&gt;1,""ডুপ্লিকেট"",""""))"),"")</f>
        <v/>
      </c>
      <c r="Q7873" s="5" t="str">
        <f t="shared" si="1"/>
        <v>২ পরে</v>
      </c>
    </row>
    <row r="7874">
      <c r="A7874" s="4">
        <v>7151.0</v>
      </c>
      <c r="B7874" s="2" t="s">
        <v>31707</v>
      </c>
      <c r="C7874" s="2" t="s">
        <v>31708</v>
      </c>
      <c r="D7874" s="2" t="s">
        <v>31709</v>
      </c>
      <c r="E7874" s="2" t="s">
        <v>31710</v>
      </c>
      <c r="F7874" s="2" t="b">
        <v>1</v>
      </c>
      <c r="G7874" s="2" t="b">
        <v>0</v>
      </c>
      <c r="H7874" s="2" t="s">
        <v>37</v>
      </c>
      <c r="I7874" s="2" t="s">
        <v>32</v>
      </c>
      <c r="J7874" s="2" t="s">
        <v>739</v>
      </c>
      <c r="K7874" s="2" t="s">
        <v>495</v>
      </c>
      <c r="L7874" s="13" t="s">
        <v>496</v>
      </c>
      <c r="M7874" s="2" t="s">
        <v>26</v>
      </c>
      <c r="N7874" s="29"/>
      <c r="O7874" s="29"/>
      <c r="P7874" s="5" t="str">
        <f>IFERROR(__xludf.DUMMYFUNCTION("TEXTJOIN("" | "",TRUE,IF(OR(D7874="""",E7874="""",I7874="""",J7874="""",H7874=""""),""ফাঁকা ঘর"",""""),IF(AND(C7874&lt;&gt;"""",D7874&lt;&gt;"""",C7874=D7874),""gloss=figurative"",""""),IF(LEN(D7874)&lt;15,""figurative ছোট"",""""),IF(AND(I7874=""Positive"",REGEXMATCH(H7"&amp;"874,""মূর্খ|ভণ্ড|প্রতার|অলস|লোভ|স্বার্থ|অক্ষম|অযোগ্য|বোকা|কৃপণ|হিংস"")),""valence-target অমিল"",""""),IF(COUNTIF($B:$B,B7874)&gt;1,""ডুপ্লিকেট"",""""))"),"")</f>
        <v/>
      </c>
      <c r="Q7874" s="5" t="str">
        <f t="shared" si="1"/>
        <v>২ পরে</v>
      </c>
    </row>
    <row r="7875">
      <c r="A7875" s="4">
        <v>7167.0</v>
      </c>
      <c r="B7875" s="2" t="s">
        <v>31711</v>
      </c>
      <c r="C7875" s="2" t="s">
        <v>31712</v>
      </c>
      <c r="D7875" s="2" t="s">
        <v>31713</v>
      </c>
      <c r="E7875" s="2" t="s">
        <v>31714</v>
      </c>
      <c r="F7875" s="2" t="b">
        <v>1</v>
      </c>
      <c r="G7875" s="2" t="b">
        <v>0</v>
      </c>
      <c r="H7875" s="2" t="s">
        <v>37</v>
      </c>
      <c r="I7875" s="2" t="s">
        <v>49</v>
      </c>
      <c r="J7875" s="2" t="s">
        <v>447</v>
      </c>
      <c r="K7875" s="2" t="s">
        <v>495</v>
      </c>
      <c r="L7875" s="13" t="s">
        <v>496</v>
      </c>
      <c r="M7875" s="2" t="s">
        <v>26</v>
      </c>
      <c r="N7875" s="29"/>
      <c r="O7875" s="29"/>
      <c r="P7875" s="5" t="str">
        <f>IFERROR(__xludf.DUMMYFUNCTION("TEXTJOIN("" | "",TRUE,IF(OR(D7875="""",E7875="""",I7875="""",J7875="""",H7875=""""),""ফাঁকা ঘর"",""""),IF(AND(C7875&lt;&gt;"""",D7875&lt;&gt;"""",C7875=D7875),""gloss=figurative"",""""),IF(LEN(D7875)&lt;15,""figurative ছোট"",""""),IF(AND(I7875=""Positive"",REGEXMATCH(H7"&amp;"875,""মূর্খ|ভণ্ড|প্রতার|অলস|লোভ|স্বার্থ|অক্ষম|অযোগ্য|বোকা|কৃপণ|হিংস"")),""valence-target অমিল"",""""),IF(COUNTIF($B:$B,B7875)&gt;1,""ডুপ্লিকেট"",""""))"),"")</f>
        <v/>
      </c>
      <c r="Q7875" s="5" t="str">
        <f t="shared" si="1"/>
        <v>২ পরে</v>
      </c>
    </row>
    <row r="7876">
      <c r="A7876" s="4">
        <v>7168.0</v>
      </c>
      <c r="B7876" s="2" t="s">
        <v>31715</v>
      </c>
      <c r="C7876" s="2" t="s">
        <v>31716</v>
      </c>
      <c r="D7876" s="2" t="s">
        <v>31717</v>
      </c>
      <c r="E7876" s="2" t="s">
        <v>31718</v>
      </c>
      <c r="F7876" s="2" t="b">
        <v>1</v>
      </c>
      <c r="G7876" s="2" t="b">
        <v>0</v>
      </c>
      <c r="H7876" s="2" t="s">
        <v>37</v>
      </c>
      <c r="I7876" s="2" t="s">
        <v>22</v>
      </c>
      <c r="J7876" s="2" t="s">
        <v>1876</v>
      </c>
      <c r="K7876" s="2" t="s">
        <v>495</v>
      </c>
      <c r="L7876" s="13" t="s">
        <v>496</v>
      </c>
      <c r="M7876" s="2" t="s">
        <v>26</v>
      </c>
      <c r="N7876" s="29"/>
      <c r="O7876" s="29"/>
      <c r="P7876" s="5" t="str">
        <f>IFERROR(__xludf.DUMMYFUNCTION("TEXTJOIN("" | "",TRUE,IF(OR(D7876="""",E7876="""",I7876="""",J7876="""",H7876=""""),""ফাঁকা ঘর"",""""),IF(AND(C7876&lt;&gt;"""",D7876&lt;&gt;"""",C7876=D7876),""gloss=figurative"",""""),IF(LEN(D7876)&lt;15,""figurative ছোট"",""""),IF(AND(I7876=""Positive"",REGEXMATCH(H7"&amp;"876,""মূর্খ|ভণ্ড|প্রতার|অলস|লোভ|স্বার্থ|অক্ষম|অযোগ্য|বোকা|কৃপণ|হিংস"")),""valence-target অমিল"",""""),IF(COUNTIF($B:$B,B7876)&gt;1,""ডুপ্লিকেট"",""""))"),"")</f>
        <v/>
      </c>
      <c r="Q7876" s="5" t="str">
        <f t="shared" si="1"/>
        <v>২ পরে</v>
      </c>
    </row>
    <row r="7877">
      <c r="A7877" s="4">
        <v>7171.0</v>
      </c>
      <c r="B7877" s="2" t="s">
        <v>31719</v>
      </c>
      <c r="C7877" s="2" t="s">
        <v>31720</v>
      </c>
      <c r="D7877" s="2" t="s">
        <v>31721</v>
      </c>
      <c r="E7877" s="2" t="s">
        <v>31722</v>
      </c>
      <c r="F7877" s="2" t="b">
        <v>1</v>
      </c>
      <c r="G7877" s="2" t="b">
        <v>0</v>
      </c>
      <c r="H7877" s="2" t="s">
        <v>37</v>
      </c>
      <c r="I7877" s="2" t="s">
        <v>49</v>
      </c>
      <c r="J7877" s="2" t="s">
        <v>6697</v>
      </c>
      <c r="K7877" s="2" t="s">
        <v>495</v>
      </c>
      <c r="L7877" s="13" t="s">
        <v>496</v>
      </c>
      <c r="M7877" s="2" t="s">
        <v>26</v>
      </c>
      <c r="N7877" s="29"/>
      <c r="O7877" s="29"/>
      <c r="P7877" s="5" t="str">
        <f>IFERROR(__xludf.DUMMYFUNCTION("TEXTJOIN("" | "",TRUE,IF(OR(D7877="""",E7877="""",I7877="""",J7877="""",H7877=""""),""ফাঁকা ঘর"",""""),IF(AND(C7877&lt;&gt;"""",D7877&lt;&gt;"""",C7877=D7877),""gloss=figurative"",""""),IF(LEN(D7877)&lt;15,""figurative ছোট"",""""),IF(AND(I7877=""Positive"",REGEXMATCH(H7"&amp;"877,""মূর্খ|ভণ্ড|প্রতার|অলস|লোভ|স্বার্থ|অক্ষম|অযোগ্য|বোকা|কৃপণ|হিংস"")),""valence-target অমিল"",""""),IF(COUNTIF($B:$B,B7877)&gt;1,""ডুপ্লিকেট"",""""))"),"")</f>
        <v/>
      </c>
      <c r="Q7877" s="5" t="str">
        <f t="shared" si="1"/>
        <v>২ পরে</v>
      </c>
    </row>
    <row r="7878">
      <c r="A7878" s="4">
        <v>7172.0</v>
      </c>
      <c r="B7878" s="2" t="s">
        <v>31723</v>
      </c>
      <c r="C7878" s="2" t="s">
        <v>31724</v>
      </c>
      <c r="D7878" s="2" t="s">
        <v>29046</v>
      </c>
      <c r="E7878" s="2" t="s">
        <v>31725</v>
      </c>
      <c r="F7878" s="2" t="b">
        <v>1</v>
      </c>
      <c r="G7878" s="2" t="b">
        <v>0</v>
      </c>
      <c r="H7878" s="2" t="s">
        <v>1334</v>
      </c>
      <c r="I7878" s="2" t="s">
        <v>22</v>
      </c>
      <c r="J7878" s="2" t="s">
        <v>820</v>
      </c>
      <c r="K7878" s="2" t="s">
        <v>495</v>
      </c>
      <c r="L7878" s="13" t="s">
        <v>496</v>
      </c>
      <c r="M7878" s="2" t="s">
        <v>26</v>
      </c>
      <c r="N7878" s="29"/>
      <c r="O7878" s="29"/>
      <c r="P7878" s="5" t="str">
        <f>IFERROR(__xludf.DUMMYFUNCTION("TEXTJOIN("" | "",TRUE,IF(OR(D7878="""",E7878="""",I7878="""",J7878="""",H7878=""""),""ফাঁকা ঘর"",""""),IF(AND(C7878&lt;&gt;"""",D7878&lt;&gt;"""",C7878=D7878),""gloss=figurative"",""""),IF(LEN(D7878)&lt;15,""figurative ছোট"",""""),IF(AND(I7878=""Positive"",REGEXMATCH(H7"&amp;"878,""মূর্খ|ভণ্ড|প্রতার|অলস|লোভ|স্বার্থ|অক্ষম|অযোগ্য|বোকা|কৃপণ|হিংস"")),""valence-target অমিল"",""""),IF(COUNTIF($B:$B,B7878)&gt;1,""ডুপ্লিকেট"",""""))"),"")</f>
        <v/>
      </c>
      <c r="Q7878" s="5" t="str">
        <f t="shared" si="1"/>
        <v>২ পরে</v>
      </c>
    </row>
    <row r="7879">
      <c r="A7879" s="4">
        <v>7174.0</v>
      </c>
      <c r="B7879" s="2" t="s">
        <v>31726</v>
      </c>
      <c r="C7879" s="2" t="s">
        <v>31727</v>
      </c>
      <c r="D7879" s="2" t="s">
        <v>27764</v>
      </c>
      <c r="E7879" s="2" t="s">
        <v>31728</v>
      </c>
      <c r="F7879" s="2" t="b">
        <v>1</v>
      </c>
      <c r="G7879" s="2" t="b">
        <v>0</v>
      </c>
      <c r="H7879" s="2" t="s">
        <v>37</v>
      </c>
      <c r="I7879" s="2" t="s">
        <v>22</v>
      </c>
      <c r="J7879" s="2" t="s">
        <v>21730</v>
      </c>
      <c r="K7879" s="2" t="s">
        <v>495</v>
      </c>
      <c r="L7879" s="13" t="s">
        <v>496</v>
      </c>
      <c r="M7879" s="2" t="s">
        <v>26</v>
      </c>
      <c r="N7879" s="29"/>
      <c r="O7879" s="29"/>
      <c r="P7879" s="5" t="str">
        <f>IFERROR(__xludf.DUMMYFUNCTION("TEXTJOIN("" | "",TRUE,IF(OR(D7879="""",E7879="""",I7879="""",J7879="""",H7879=""""),""ফাঁকা ঘর"",""""),IF(AND(C7879&lt;&gt;"""",D7879&lt;&gt;"""",C7879=D7879),""gloss=figurative"",""""),IF(LEN(D7879)&lt;15,""figurative ছোট"",""""),IF(AND(I7879=""Positive"",REGEXMATCH(H7"&amp;"879,""মূর্খ|ভণ্ড|প্রতার|অলস|লোভ|স্বার্থ|অক্ষম|অযোগ্য|বোকা|কৃপণ|হিংস"")),""valence-target অমিল"",""""),IF(COUNTIF($B:$B,B7879)&gt;1,""ডুপ্লিকেট"",""""))"),"")</f>
        <v/>
      </c>
      <c r="Q7879" s="5" t="str">
        <f t="shared" si="1"/>
        <v>২ পরে</v>
      </c>
    </row>
    <row r="7880">
      <c r="A7880" s="4">
        <v>7185.0</v>
      </c>
      <c r="B7880" s="2" t="s">
        <v>31729</v>
      </c>
      <c r="C7880" s="2" t="s">
        <v>31730</v>
      </c>
      <c r="D7880" s="2" t="s">
        <v>31731</v>
      </c>
      <c r="E7880" s="2" t="s">
        <v>31732</v>
      </c>
      <c r="F7880" s="2" t="b">
        <v>1</v>
      </c>
      <c r="G7880" s="2" t="b">
        <v>0</v>
      </c>
      <c r="H7880" s="2" t="s">
        <v>1334</v>
      </c>
      <c r="I7880" s="2" t="s">
        <v>22</v>
      </c>
      <c r="J7880" s="2" t="s">
        <v>820</v>
      </c>
      <c r="K7880" s="2" t="s">
        <v>495</v>
      </c>
      <c r="L7880" s="13" t="s">
        <v>496</v>
      </c>
      <c r="M7880" s="2" t="s">
        <v>26</v>
      </c>
      <c r="N7880" s="29"/>
      <c r="O7880" s="29"/>
      <c r="P7880" s="5" t="str">
        <f>IFERROR(__xludf.DUMMYFUNCTION("TEXTJOIN("" | "",TRUE,IF(OR(D7880="""",E7880="""",I7880="""",J7880="""",H7880=""""),""ফাঁকা ঘর"",""""),IF(AND(C7880&lt;&gt;"""",D7880&lt;&gt;"""",C7880=D7880),""gloss=figurative"",""""),IF(LEN(D7880)&lt;15,""figurative ছোট"",""""),IF(AND(I7880=""Positive"",REGEXMATCH(H7"&amp;"880,""মূর্খ|ভণ্ড|প্রতার|অলস|লোভ|স্বার্থ|অক্ষম|অযোগ্য|বোকা|কৃপণ|হিংস"")),""valence-target অমিল"",""""),IF(COUNTIF($B:$B,B7880)&gt;1,""ডুপ্লিকেট"",""""))"),"")</f>
        <v/>
      </c>
      <c r="Q7880" s="5" t="str">
        <f t="shared" si="1"/>
        <v>২ পরে</v>
      </c>
    </row>
    <row r="7881">
      <c r="A7881" s="4">
        <v>7187.0</v>
      </c>
      <c r="B7881" s="2" t="s">
        <v>31733</v>
      </c>
      <c r="C7881" s="2" t="s">
        <v>31734</v>
      </c>
      <c r="D7881" s="2" t="s">
        <v>31735</v>
      </c>
      <c r="E7881" s="2" t="s">
        <v>31736</v>
      </c>
      <c r="F7881" s="2" t="b">
        <v>1</v>
      </c>
      <c r="G7881" s="2" t="b">
        <v>0</v>
      </c>
      <c r="H7881" s="2" t="s">
        <v>1334</v>
      </c>
      <c r="I7881" s="2" t="s">
        <v>22</v>
      </c>
      <c r="J7881" s="2" t="s">
        <v>820</v>
      </c>
      <c r="K7881" s="2" t="s">
        <v>495</v>
      </c>
      <c r="L7881" s="13" t="s">
        <v>496</v>
      </c>
      <c r="M7881" s="2" t="s">
        <v>26</v>
      </c>
      <c r="N7881" s="29"/>
      <c r="O7881" s="29"/>
      <c r="P7881" s="5" t="str">
        <f>IFERROR(__xludf.DUMMYFUNCTION("TEXTJOIN("" | "",TRUE,IF(OR(D7881="""",E7881="""",I7881="""",J7881="""",H7881=""""),""ফাঁকা ঘর"",""""),IF(AND(C7881&lt;&gt;"""",D7881&lt;&gt;"""",C7881=D7881),""gloss=figurative"",""""),IF(LEN(D7881)&lt;15,""figurative ছোট"",""""),IF(AND(I7881=""Positive"",REGEXMATCH(H7"&amp;"881,""মূর্খ|ভণ্ড|প্রতার|অলস|লোভ|স্বার্থ|অক্ষম|অযোগ্য|বোকা|কৃপণ|হিংস"")),""valence-target অমিল"",""""),IF(COUNTIF($B:$B,B7881)&gt;1,""ডুপ্লিকেট"",""""))"),"")</f>
        <v/>
      </c>
      <c r="Q7881" s="5" t="str">
        <f t="shared" si="1"/>
        <v>২ পরে</v>
      </c>
    </row>
    <row r="7882">
      <c r="A7882" s="4">
        <v>7193.0</v>
      </c>
      <c r="B7882" s="2" t="s">
        <v>31737</v>
      </c>
      <c r="C7882" s="2" t="s">
        <v>31738</v>
      </c>
      <c r="D7882" s="2" t="s">
        <v>31739</v>
      </c>
      <c r="E7882" s="2" t="s">
        <v>31740</v>
      </c>
      <c r="F7882" s="2" t="b">
        <v>1</v>
      </c>
      <c r="G7882" s="2" t="b">
        <v>0</v>
      </c>
      <c r="H7882" s="2" t="s">
        <v>37</v>
      </c>
      <c r="I7882" s="2" t="s">
        <v>22</v>
      </c>
      <c r="J7882" s="2" t="s">
        <v>1700</v>
      </c>
      <c r="K7882" s="2" t="s">
        <v>495</v>
      </c>
      <c r="L7882" s="13" t="s">
        <v>496</v>
      </c>
      <c r="M7882" s="2" t="s">
        <v>26</v>
      </c>
      <c r="N7882" s="29"/>
      <c r="O7882" s="29"/>
      <c r="P7882" s="5" t="str">
        <f>IFERROR(__xludf.DUMMYFUNCTION("TEXTJOIN("" | "",TRUE,IF(OR(D7882="""",E7882="""",I7882="""",J7882="""",H7882=""""),""ফাঁকা ঘর"",""""),IF(AND(C7882&lt;&gt;"""",D7882&lt;&gt;"""",C7882=D7882),""gloss=figurative"",""""),IF(LEN(D7882)&lt;15,""figurative ছোট"",""""),IF(AND(I7882=""Positive"",REGEXMATCH(H7"&amp;"882,""মূর্খ|ভণ্ড|প্রতার|অলস|লোভ|স্বার্থ|অক্ষম|অযোগ্য|বোকা|কৃপণ|হিংস"")),""valence-target অমিল"",""""),IF(COUNTIF($B:$B,B7882)&gt;1,""ডুপ্লিকেট"",""""))"),"")</f>
        <v/>
      </c>
      <c r="Q7882" s="5" t="str">
        <f t="shared" si="1"/>
        <v>২ পরে</v>
      </c>
    </row>
    <row r="7883">
      <c r="A7883" s="4">
        <v>7207.0</v>
      </c>
      <c r="B7883" s="2" t="s">
        <v>31741</v>
      </c>
      <c r="C7883" s="2" t="s">
        <v>31741</v>
      </c>
      <c r="D7883" s="2" t="s">
        <v>31742</v>
      </c>
      <c r="E7883" s="2" t="s">
        <v>31743</v>
      </c>
      <c r="F7883" s="2" t="b">
        <v>1</v>
      </c>
      <c r="G7883" s="2" t="b">
        <v>0</v>
      </c>
      <c r="H7883" s="2" t="s">
        <v>37</v>
      </c>
      <c r="I7883" s="2" t="s">
        <v>22</v>
      </c>
      <c r="J7883" s="2" t="s">
        <v>31744</v>
      </c>
      <c r="K7883" s="2" t="s">
        <v>495</v>
      </c>
      <c r="L7883" s="13" t="s">
        <v>496</v>
      </c>
      <c r="M7883" s="2" t="s">
        <v>26</v>
      </c>
      <c r="N7883" s="29"/>
      <c r="O7883" s="29"/>
      <c r="P7883" s="5" t="str">
        <f>IFERROR(__xludf.DUMMYFUNCTION("TEXTJOIN("" | "",TRUE,IF(OR(D7883="""",E7883="""",I7883="""",J7883="""",H7883=""""),""ফাঁকা ঘর"",""""),IF(AND(C7883&lt;&gt;"""",D7883&lt;&gt;"""",C7883=D7883),""gloss=figurative"",""""),IF(LEN(D7883)&lt;15,""figurative ছোট"",""""),IF(AND(I7883=""Positive"",REGEXMATCH(H7"&amp;"883,""মূর্খ|ভণ্ড|প্রতার|অলস|লোভ|স্বার্থ|অক্ষম|অযোগ্য|বোকা|কৃপণ|হিংস"")),""valence-target অমিল"",""""),IF(COUNTIF($B:$B,B7883)&gt;1,""ডুপ্লিকেট"",""""))"),"")</f>
        <v/>
      </c>
      <c r="Q7883" s="5" t="str">
        <f t="shared" si="1"/>
        <v>২ পরে</v>
      </c>
    </row>
    <row r="7884">
      <c r="A7884" s="4">
        <v>7229.0</v>
      </c>
      <c r="B7884" s="2" t="s">
        <v>31745</v>
      </c>
      <c r="C7884" s="2" t="s">
        <v>31746</v>
      </c>
      <c r="D7884" s="2" t="s">
        <v>31747</v>
      </c>
      <c r="E7884" s="2" t="s">
        <v>31748</v>
      </c>
      <c r="F7884" s="2" t="b">
        <v>1</v>
      </c>
      <c r="G7884" s="2" t="b">
        <v>0</v>
      </c>
      <c r="H7884" s="2" t="s">
        <v>37</v>
      </c>
      <c r="I7884" s="2" t="s">
        <v>22</v>
      </c>
      <c r="J7884" s="2" t="s">
        <v>5829</v>
      </c>
      <c r="K7884" s="2" t="s">
        <v>495</v>
      </c>
      <c r="L7884" s="13" t="s">
        <v>496</v>
      </c>
      <c r="M7884" s="2" t="s">
        <v>26</v>
      </c>
      <c r="N7884" s="29"/>
      <c r="O7884" s="29"/>
      <c r="P7884" s="5" t="str">
        <f>IFERROR(__xludf.DUMMYFUNCTION("TEXTJOIN("" | "",TRUE,IF(OR(D7884="""",E7884="""",I7884="""",J7884="""",H7884=""""),""ফাঁকা ঘর"",""""),IF(AND(C7884&lt;&gt;"""",D7884&lt;&gt;"""",C7884=D7884),""gloss=figurative"",""""),IF(LEN(D7884)&lt;15,""figurative ছোট"",""""),IF(AND(I7884=""Positive"",REGEXMATCH(H7"&amp;"884,""মূর্খ|ভণ্ড|প্রতার|অলস|লোভ|স্বার্থ|অক্ষম|অযোগ্য|বোকা|কৃপণ|হিংস"")),""valence-target অমিল"",""""),IF(COUNTIF($B:$B,B7884)&gt;1,""ডুপ্লিকেট"",""""))"),"")</f>
        <v/>
      </c>
      <c r="Q7884" s="5" t="str">
        <f t="shared" si="1"/>
        <v>২ পরে</v>
      </c>
    </row>
    <row r="7885">
      <c r="A7885" s="4">
        <v>7234.0</v>
      </c>
      <c r="B7885" s="2" t="s">
        <v>31749</v>
      </c>
      <c r="C7885" s="2" t="s">
        <v>31749</v>
      </c>
      <c r="D7885" s="2" t="s">
        <v>31750</v>
      </c>
      <c r="E7885" s="2" t="s">
        <v>31751</v>
      </c>
      <c r="F7885" s="2" t="b">
        <v>1</v>
      </c>
      <c r="G7885" s="2" t="b">
        <v>0</v>
      </c>
      <c r="H7885" s="2" t="s">
        <v>37</v>
      </c>
      <c r="I7885" s="2" t="s">
        <v>32</v>
      </c>
      <c r="J7885" s="2" t="s">
        <v>868</v>
      </c>
      <c r="K7885" s="2" t="s">
        <v>495</v>
      </c>
      <c r="L7885" s="13" t="s">
        <v>496</v>
      </c>
      <c r="M7885" s="2" t="s">
        <v>26</v>
      </c>
      <c r="N7885" s="29"/>
      <c r="O7885" s="29"/>
      <c r="P7885" s="5" t="str">
        <f>IFERROR(__xludf.DUMMYFUNCTION("TEXTJOIN("" | "",TRUE,IF(OR(D7885="""",E7885="""",I7885="""",J7885="""",H7885=""""),""ফাঁকা ঘর"",""""),IF(AND(C7885&lt;&gt;"""",D7885&lt;&gt;"""",C7885=D7885),""gloss=figurative"",""""),IF(LEN(D7885)&lt;15,""figurative ছোট"",""""),IF(AND(I7885=""Positive"",REGEXMATCH(H7"&amp;"885,""মূর্খ|ভণ্ড|প্রতার|অলস|লোভ|স্বার্থ|অক্ষম|অযোগ্য|বোকা|কৃপণ|হিংস"")),""valence-target অমিল"",""""),IF(COUNTIF($B:$B,B7885)&gt;1,""ডুপ্লিকেট"",""""))"),"")</f>
        <v/>
      </c>
      <c r="Q7885" s="5" t="str">
        <f t="shared" si="1"/>
        <v>২ পরে</v>
      </c>
    </row>
    <row r="7886">
      <c r="A7886" s="4">
        <v>7242.0</v>
      </c>
      <c r="B7886" s="2" t="s">
        <v>31752</v>
      </c>
      <c r="C7886" s="2" t="s">
        <v>31753</v>
      </c>
      <c r="D7886" s="2" t="s">
        <v>31754</v>
      </c>
      <c r="E7886" s="2" t="s">
        <v>31755</v>
      </c>
      <c r="F7886" s="2" t="b">
        <v>1</v>
      </c>
      <c r="G7886" s="2" t="b">
        <v>0</v>
      </c>
      <c r="H7886" s="2" t="s">
        <v>37</v>
      </c>
      <c r="I7886" s="2" t="s">
        <v>22</v>
      </c>
      <c r="J7886" s="2" t="s">
        <v>5689</v>
      </c>
      <c r="K7886" s="2" t="s">
        <v>495</v>
      </c>
      <c r="L7886" s="13" t="s">
        <v>496</v>
      </c>
      <c r="M7886" s="2" t="s">
        <v>26</v>
      </c>
      <c r="N7886" s="29"/>
      <c r="O7886" s="29"/>
      <c r="P7886" s="5" t="str">
        <f>IFERROR(__xludf.DUMMYFUNCTION("TEXTJOIN("" | "",TRUE,IF(OR(D7886="""",E7886="""",I7886="""",J7886="""",H7886=""""),""ফাঁকা ঘর"",""""),IF(AND(C7886&lt;&gt;"""",D7886&lt;&gt;"""",C7886=D7886),""gloss=figurative"",""""),IF(LEN(D7886)&lt;15,""figurative ছোট"",""""),IF(AND(I7886=""Positive"",REGEXMATCH(H7"&amp;"886,""মূর্খ|ভণ্ড|প্রতার|অলস|লোভ|স্বার্থ|অক্ষম|অযোগ্য|বোকা|কৃপণ|হিংস"")),""valence-target অমিল"",""""),IF(COUNTIF($B:$B,B7886)&gt;1,""ডুপ্লিকেট"",""""))"),"")</f>
        <v/>
      </c>
      <c r="Q7886" s="5" t="str">
        <f t="shared" si="1"/>
        <v>২ পরে</v>
      </c>
    </row>
    <row r="7887">
      <c r="A7887" s="4">
        <v>7247.0</v>
      </c>
      <c r="B7887" s="2" t="s">
        <v>31756</v>
      </c>
      <c r="C7887" s="2" t="s">
        <v>31757</v>
      </c>
      <c r="D7887" s="2" t="s">
        <v>31758</v>
      </c>
      <c r="E7887" s="2" t="s">
        <v>31759</v>
      </c>
      <c r="F7887" s="2" t="b">
        <v>1</v>
      </c>
      <c r="G7887" s="2" t="b">
        <v>0</v>
      </c>
      <c r="H7887" s="2" t="s">
        <v>37</v>
      </c>
      <c r="I7887" s="2" t="s">
        <v>22</v>
      </c>
      <c r="J7887" s="2" t="s">
        <v>2857</v>
      </c>
      <c r="K7887" s="2" t="s">
        <v>495</v>
      </c>
      <c r="L7887" s="13" t="s">
        <v>496</v>
      </c>
      <c r="M7887" s="2" t="s">
        <v>26</v>
      </c>
      <c r="N7887" s="29"/>
      <c r="O7887" s="29"/>
      <c r="P7887" s="5" t="str">
        <f>IFERROR(__xludf.DUMMYFUNCTION("TEXTJOIN("" | "",TRUE,IF(OR(D7887="""",E7887="""",I7887="""",J7887="""",H7887=""""),""ফাঁকা ঘর"",""""),IF(AND(C7887&lt;&gt;"""",D7887&lt;&gt;"""",C7887=D7887),""gloss=figurative"",""""),IF(LEN(D7887)&lt;15,""figurative ছোট"",""""),IF(AND(I7887=""Positive"",REGEXMATCH(H7"&amp;"887,""মূর্খ|ভণ্ড|প্রতার|অলস|লোভ|স্বার্থ|অক্ষম|অযোগ্য|বোকা|কৃপণ|হিংস"")),""valence-target অমিল"",""""),IF(COUNTIF($B:$B,B7887)&gt;1,""ডুপ্লিকেট"",""""))"),"")</f>
        <v/>
      </c>
      <c r="Q7887" s="5" t="str">
        <f t="shared" si="1"/>
        <v>২ পরে</v>
      </c>
    </row>
    <row r="7888">
      <c r="A7888" s="4">
        <v>7290.0</v>
      </c>
      <c r="B7888" s="2" t="s">
        <v>31760</v>
      </c>
      <c r="C7888" s="2" t="s">
        <v>31761</v>
      </c>
      <c r="D7888" s="2" t="s">
        <v>31754</v>
      </c>
      <c r="E7888" s="2" t="s">
        <v>31762</v>
      </c>
      <c r="F7888" s="2" t="b">
        <v>1</v>
      </c>
      <c r="G7888" s="2" t="b">
        <v>0</v>
      </c>
      <c r="H7888" s="2" t="s">
        <v>37</v>
      </c>
      <c r="I7888" s="2" t="s">
        <v>22</v>
      </c>
      <c r="J7888" s="2" t="s">
        <v>5689</v>
      </c>
      <c r="K7888" s="2" t="s">
        <v>495</v>
      </c>
      <c r="L7888" s="13" t="s">
        <v>496</v>
      </c>
      <c r="M7888" s="2" t="s">
        <v>26</v>
      </c>
      <c r="N7888" s="29"/>
      <c r="O7888" s="29"/>
      <c r="P7888" s="5" t="str">
        <f>IFERROR(__xludf.DUMMYFUNCTION("TEXTJOIN("" | "",TRUE,IF(OR(D7888="""",E7888="""",I7888="""",J7888="""",H7888=""""),""ফাঁকা ঘর"",""""),IF(AND(C7888&lt;&gt;"""",D7888&lt;&gt;"""",C7888=D7888),""gloss=figurative"",""""),IF(LEN(D7888)&lt;15,""figurative ছোট"",""""),IF(AND(I7888=""Positive"",REGEXMATCH(H7"&amp;"888,""মূর্খ|ভণ্ড|প্রতার|অলস|লোভ|স্বার্থ|অক্ষম|অযোগ্য|বোকা|কৃপণ|হিংস"")),""valence-target অমিল"",""""),IF(COUNTIF($B:$B,B7888)&gt;1,""ডুপ্লিকেট"",""""))"),"")</f>
        <v/>
      </c>
      <c r="Q7888" s="5" t="str">
        <f t="shared" si="1"/>
        <v>২ পরে</v>
      </c>
    </row>
    <row r="7889">
      <c r="A7889" s="4">
        <v>7292.0</v>
      </c>
      <c r="B7889" s="2" t="s">
        <v>31763</v>
      </c>
      <c r="C7889" s="2" t="s">
        <v>31764</v>
      </c>
      <c r="D7889" s="2" t="s">
        <v>31344</v>
      </c>
      <c r="E7889" s="2" t="s">
        <v>31765</v>
      </c>
      <c r="F7889" s="2" t="b">
        <v>1</v>
      </c>
      <c r="G7889" s="2" t="b">
        <v>0</v>
      </c>
      <c r="H7889" s="2" t="s">
        <v>37</v>
      </c>
      <c r="I7889" s="2" t="s">
        <v>22</v>
      </c>
      <c r="J7889" s="2" t="s">
        <v>4374</v>
      </c>
      <c r="K7889" s="2" t="s">
        <v>495</v>
      </c>
      <c r="L7889" s="13" t="s">
        <v>496</v>
      </c>
      <c r="M7889" s="2" t="s">
        <v>26</v>
      </c>
      <c r="N7889" s="29"/>
      <c r="O7889" s="29"/>
      <c r="P7889" s="5" t="str">
        <f>IFERROR(__xludf.DUMMYFUNCTION("TEXTJOIN("" | "",TRUE,IF(OR(D7889="""",E7889="""",I7889="""",J7889="""",H7889=""""),""ফাঁকা ঘর"",""""),IF(AND(C7889&lt;&gt;"""",D7889&lt;&gt;"""",C7889=D7889),""gloss=figurative"",""""),IF(LEN(D7889)&lt;15,""figurative ছোট"",""""),IF(AND(I7889=""Positive"",REGEXMATCH(H7"&amp;"889,""মূর্খ|ভণ্ড|প্রতার|অলস|লোভ|স্বার্থ|অক্ষম|অযোগ্য|বোকা|কৃপণ|হিংস"")),""valence-target অমিল"",""""),IF(COUNTIF($B:$B,B7889)&gt;1,""ডুপ্লিকেট"",""""))"),"")</f>
        <v/>
      </c>
      <c r="Q7889" s="5" t="str">
        <f t="shared" si="1"/>
        <v>২ পরে</v>
      </c>
    </row>
    <row r="7890">
      <c r="A7890" s="4">
        <v>7293.0</v>
      </c>
      <c r="B7890" s="2" t="s">
        <v>134</v>
      </c>
      <c r="C7890" s="2" t="s">
        <v>134</v>
      </c>
      <c r="D7890" s="2" t="s">
        <v>31766</v>
      </c>
      <c r="E7890" s="2" t="s">
        <v>31767</v>
      </c>
      <c r="F7890" s="2" t="b">
        <v>1</v>
      </c>
      <c r="G7890" s="2" t="b">
        <v>0</v>
      </c>
      <c r="H7890" s="2" t="s">
        <v>37</v>
      </c>
      <c r="I7890" s="2" t="s">
        <v>22</v>
      </c>
      <c r="J7890" s="2" t="s">
        <v>2857</v>
      </c>
      <c r="K7890" s="2" t="s">
        <v>495</v>
      </c>
      <c r="L7890" s="13" t="s">
        <v>496</v>
      </c>
      <c r="M7890" s="2" t="s">
        <v>26</v>
      </c>
      <c r="N7890" s="29"/>
      <c r="O7890" s="29"/>
      <c r="P7890" s="5" t="str">
        <f>IFERROR(__xludf.DUMMYFUNCTION("TEXTJOIN("" | "",TRUE,IF(OR(D7890="""",E7890="""",I7890="""",J7890="""",H7890=""""),""ফাঁকা ঘর"",""""),IF(AND(C7890&lt;&gt;"""",D7890&lt;&gt;"""",C7890=D7890),""gloss=figurative"",""""),IF(LEN(D7890)&lt;15,""figurative ছোট"",""""),IF(AND(I7890=""Positive"",REGEXMATCH(H7"&amp;"890,""মূর্খ|ভণ্ড|প্রতার|অলস|লোভ|স্বার্থ|অক্ষম|অযোগ্য|বোকা|কৃপণ|হিংস"")),""valence-target অমিল"",""""),IF(COUNTIF($B:$B,B7890)&gt;1,""ডুপ্লিকেট"",""""))"),"")</f>
        <v/>
      </c>
      <c r="Q7890" s="5" t="str">
        <f t="shared" si="1"/>
        <v>২ পরে</v>
      </c>
    </row>
    <row r="7891">
      <c r="A7891" s="4">
        <v>7295.0</v>
      </c>
      <c r="B7891" s="2" t="s">
        <v>31768</v>
      </c>
      <c r="C7891" s="2" t="s">
        <v>31769</v>
      </c>
      <c r="D7891" s="2" t="s">
        <v>31770</v>
      </c>
      <c r="E7891" s="2" t="s">
        <v>31771</v>
      </c>
      <c r="F7891" s="2" t="b">
        <v>1</v>
      </c>
      <c r="G7891" s="2" t="b">
        <v>0</v>
      </c>
      <c r="H7891" s="2" t="s">
        <v>37</v>
      </c>
      <c r="I7891" s="2" t="s">
        <v>22</v>
      </c>
      <c r="J7891" s="2" t="s">
        <v>4026</v>
      </c>
      <c r="K7891" s="2" t="s">
        <v>495</v>
      </c>
      <c r="L7891" s="13" t="s">
        <v>496</v>
      </c>
      <c r="M7891" s="2" t="s">
        <v>26</v>
      </c>
      <c r="N7891" s="29"/>
      <c r="O7891" s="29"/>
      <c r="P7891" s="5" t="str">
        <f>IFERROR(__xludf.DUMMYFUNCTION("TEXTJOIN("" | "",TRUE,IF(OR(D7891="""",E7891="""",I7891="""",J7891="""",H7891=""""),""ফাঁকা ঘর"",""""),IF(AND(C7891&lt;&gt;"""",D7891&lt;&gt;"""",C7891=D7891),""gloss=figurative"",""""),IF(LEN(D7891)&lt;15,""figurative ছোট"",""""),IF(AND(I7891=""Positive"",REGEXMATCH(H7"&amp;"891,""মূর্খ|ভণ্ড|প্রতার|অলস|লোভ|স্বার্থ|অক্ষম|অযোগ্য|বোকা|কৃপণ|হিংস"")),""valence-target অমিল"",""""),IF(COUNTIF($B:$B,B7891)&gt;1,""ডুপ্লিকেট"",""""))"),"")</f>
        <v/>
      </c>
      <c r="Q7891" s="5" t="str">
        <f t="shared" si="1"/>
        <v>২ পরে</v>
      </c>
    </row>
    <row r="7892">
      <c r="A7892" s="4">
        <v>7298.0</v>
      </c>
      <c r="B7892" s="2" t="s">
        <v>31772</v>
      </c>
      <c r="C7892" s="2" t="s">
        <v>31773</v>
      </c>
      <c r="D7892" s="2" t="s">
        <v>31774</v>
      </c>
      <c r="E7892" s="2" t="s">
        <v>31775</v>
      </c>
      <c r="F7892" s="2" t="b">
        <v>1</v>
      </c>
      <c r="G7892" s="2" t="b">
        <v>0</v>
      </c>
      <c r="H7892" s="2" t="s">
        <v>37</v>
      </c>
      <c r="I7892" s="2" t="s">
        <v>32</v>
      </c>
      <c r="J7892" s="2" t="s">
        <v>1679</v>
      </c>
      <c r="K7892" s="2" t="s">
        <v>495</v>
      </c>
      <c r="L7892" s="13" t="s">
        <v>496</v>
      </c>
      <c r="M7892" s="2" t="s">
        <v>26</v>
      </c>
      <c r="N7892" s="29"/>
      <c r="O7892" s="29"/>
      <c r="P7892" s="5" t="str">
        <f>IFERROR(__xludf.DUMMYFUNCTION("TEXTJOIN("" | "",TRUE,IF(OR(D7892="""",E7892="""",I7892="""",J7892="""",H7892=""""),""ফাঁকা ঘর"",""""),IF(AND(C7892&lt;&gt;"""",D7892&lt;&gt;"""",C7892=D7892),""gloss=figurative"",""""),IF(LEN(D7892)&lt;15,""figurative ছোট"",""""),IF(AND(I7892=""Positive"",REGEXMATCH(H7"&amp;"892,""মূর্খ|ভণ্ড|প্রতার|অলস|লোভ|স্বার্থ|অক্ষম|অযোগ্য|বোকা|কৃপণ|হিংস"")),""valence-target অমিল"",""""),IF(COUNTIF($B:$B,B7892)&gt;1,""ডুপ্লিকেট"",""""))"),"")</f>
        <v/>
      </c>
      <c r="Q7892" s="5" t="str">
        <f t="shared" si="1"/>
        <v>২ পরে</v>
      </c>
    </row>
    <row r="7893">
      <c r="A7893" s="4">
        <v>7302.0</v>
      </c>
      <c r="B7893" s="2" t="s">
        <v>31776</v>
      </c>
      <c r="C7893" s="2" t="s">
        <v>31776</v>
      </c>
      <c r="D7893" s="2" t="s">
        <v>30972</v>
      </c>
      <c r="E7893" s="2" t="s">
        <v>31777</v>
      </c>
      <c r="F7893" s="2" t="b">
        <v>1</v>
      </c>
      <c r="G7893" s="2" t="b">
        <v>0</v>
      </c>
      <c r="H7893" s="2" t="s">
        <v>37</v>
      </c>
      <c r="I7893" s="2" t="s">
        <v>22</v>
      </c>
      <c r="J7893" s="2" t="s">
        <v>590</v>
      </c>
      <c r="K7893" s="2" t="s">
        <v>495</v>
      </c>
      <c r="L7893" s="13" t="s">
        <v>496</v>
      </c>
      <c r="M7893" s="2" t="s">
        <v>26</v>
      </c>
      <c r="N7893" s="29"/>
      <c r="O7893" s="29"/>
      <c r="P7893" s="5" t="str">
        <f>IFERROR(__xludf.DUMMYFUNCTION("TEXTJOIN("" | "",TRUE,IF(OR(D7893="""",E7893="""",I7893="""",J7893="""",H7893=""""),""ফাঁকা ঘর"",""""),IF(AND(C7893&lt;&gt;"""",D7893&lt;&gt;"""",C7893=D7893),""gloss=figurative"",""""),IF(LEN(D7893)&lt;15,""figurative ছোট"",""""),IF(AND(I7893=""Positive"",REGEXMATCH(H7"&amp;"893,""মূর্খ|ভণ্ড|প্রতার|অলস|লোভ|স্বার্থ|অক্ষম|অযোগ্য|বোকা|কৃপণ|হিংস"")),""valence-target অমিল"",""""),IF(COUNTIF($B:$B,B7893)&gt;1,""ডুপ্লিকেট"",""""))"),"")</f>
        <v/>
      </c>
      <c r="Q7893" s="5" t="str">
        <f t="shared" si="1"/>
        <v>২ পরে</v>
      </c>
    </row>
    <row r="7894">
      <c r="A7894" s="4">
        <v>7318.0</v>
      </c>
      <c r="B7894" s="2" t="s">
        <v>31778</v>
      </c>
      <c r="C7894" s="2" t="s">
        <v>31779</v>
      </c>
      <c r="D7894" s="2" t="s">
        <v>29542</v>
      </c>
      <c r="E7894" s="2" t="s">
        <v>31780</v>
      </c>
      <c r="F7894" s="2" t="b">
        <v>1</v>
      </c>
      <c r="G7894" s="2" t="b">
        <v>0</v>
      </c>
      <c r="H7894" s="2" t="s">
        <v>37</v>
      </c>
      <c r="I7894" s="2" t="s">
        <v>49</v>
      </c>
      <c r="J7894" s="2" t="s">
        <v>2122</v>
      </c>
      <c r="K7894" s="2" t="s">
        <v>495</v>
      </c>
      <c r="L7894" s="13" t="s">
        <v>496</v>
      </c>
      <c r="M7894" s="2" t="s">
        <v>26</v>
      </c>
      <c r="N7894" s="29"/>
      <c r="O7894" s="29"/>
      <c r="P7894" s="5" t="str">
        <f>IFERROR(__xludf.DUMMYFUNCTION("TEXTJOIN("" | "",TRUE,IF(OR(D7894="""",E7894="""",I7894="""",J7894="""",H7894=""""),""ফাঁকা ঘর"",""""),IF(AND(C7894&lt;&gt;"""",D7894&lt;&gt;"""",C7894=D7894),""gloss=figurative"",""""),IF(LEN(D7894)&lt;15,""figurative ছোট"",""""),IF(AND(I7894=""Positive"",REGEXMATCH(H7"&amp;"894,""মূর্খ|ভণ্ড|প্রতার|অলস|লোভ|স্বার্থ|অক্ষম|অযোগ্য|বোকা|কৃপণ|হিংস"")),""valence-target অমিল"",""""),IF(COUNTIF($B:$B,B7894)&gt;1,""ডুপ্লিকেট"",""""))"),"")</f>
        <v/>
      </c>
      <c r="Q7894" s="5" t="str">
        <f t="shared" si="1"/>
        <v>২ পরে</v>
      </c>
    </row>
    <row r="7895">
      <c r="A7895" s="4">
        <v>7323.0</v>
      </c>
      <c r="B7895" s="2" t="s">
        <v>31781</v>
      </c>
      <c r="C7895" s="2" t="s">
        <v>31782</v>
      </c>
      <c r="D7895" s="2" t="s">
        <v>31783</v>
      </c>
      <c r="E7895" s="2" t="s">
        <v>31784</v>
      </c>
      <c r="F7895" s="2" t="b">
        <v>1</v>
      </c>
      <c r="G7895" s="2" t="b">
        <v>0</v>
      </c>
      <c r="H7895" s="2" t="s">
        <v>37</v>
      </c>
      <c r="I7895" s="2" t="s">
        <v>22</v>
      </c>
      <c r="J7895" s="2" t="s">
        <v>842</v>
      </c>
      <c r="K7895" s="2" t="s">
        <v>495</v>
      </c>
      <c r="L7895" s="13" t="s">
        <v>496</v>
      </c>
      <c r="M7895" s="2" t="s">
        <v>26</v>
      </c>
      <c r="N7895" s="29"/>
      <c r="O7895" s="29"/>
      <c r="P7895" s="5" t="str">
        <f>IFERROR(__xludf.DUMMYFUNCTION("TEXTJOIN("" | "",TRUE,IF(OR(D7895="""",E7895="""",I7895="""",J7895="""",H7895=""""),""ফাঁকা ঘর"",""""),IF(AND(C7895&lt;&gt;"""",D7895&lt;&gt;"""",C7895=D7895),""gloss=figurative"",""""),IF(LEN(D7895)&lt;15,""figurative ছোট"",""""),IF(AND(I7895=""Positive"",REGEXMATCH(H7"&amp;"895,""মূর্খ|ভণ্ড|প্রতার|অলস|লোভ|স্বার্থ|অক্ষম|অযোগ্য|বোকা|কৃপণ|হিংস"")),""valence-target অমিল"",""""),IF(COUNTIF($B:$B,B7895)&gt;1,""ডুপ্লিকেট"",""""))"),"")</f>
        <v/>
      </c>
      <c r="Q7895" s="5" t="str">
        <f t="shared" si="1"/>
        <v>২ পরে</v>
      </c>
    </row>
    <row r="7896">
      <c r="A7896" s="4">
        <v>7333.0</v>
      </c>
      <c r="B7896" s="2" t="s">
        <v>31785</v>
      </c>
      <c r="C7896" s="2" t="s">
        <v>31786</v>
      </c>
      <c r="D7896" s="2" t="s">
        <v>30014</v>
      </c>
      <c r="E7896" s="2" t="s">
        <v>31787</v>
      </c>
      <c r="F7896" s="2" t="b">
        <v>1</v>
      </c>
      <c r="G7896" s="2" t="b">
        <v>0</v>
      </c>
      <c r="H7896" s="2" t="s">
        <v>2482</v>
      </c>
      <c r="I7896" s="2" t="s">
        <v>32</v>
      </c>
      <c r="J7896" s="2" t="s">
        <v>947</v>
      </c>
      <c r="K7896" s="2" t="s">
        <v>495</v>
      </c>
      <c r="L7896" s="13" t="s">
        <v>496</v>
      </c>
      <c r="M7896" s="2" t="s">
        <v>26</v>
      </c>
      <c r="N7896" s="29"/>
      <c r="O7896" s="29"/>
      <c r="P7896" s="5" t="str">
        <f>IFERROR(__xludf.DUMMYFUNCTION("TEXTJOIN("" | "",TRUE,IF(OR(D7896="""",E7896="""",I7896="""",J7896="""",H7896=""""),""ফাঁকা ঘর"",""""),IF(AND(C7896&lt;&gt;"""",D7896&lt;&gt;"""",C7896=D7896),""gloss=figurative"",""""),IF(LEN(D7896)&lt;15,""figurative ছোট"",""""),IF(AND(I7896=""Positive"",REGEXMATCH(H7"&amp;"896,""মূর্খ|ভণ্ড|প্রতার|অলস|লোভ|স্বার্থ|অক্ষম|অযোগ্য|বোকা|কৃপণ|হিংস"")),""valence-target অমিল"",""""),IF(COUNTIF($B:$B,B7896)&gt;1,""ডুপ্লিকেট"",""""))"),"")</f>
        <v/>
      </c>
      <c r="Q7896" s="5" t="str">
        <f t="shared" si="1"/>
        <v>২ পরে</v>
      </c>
    </row>
    <row r="7897">
      <c r="A7897" s="4">
        <v>7363.0</v>
      </c>
      <c r="B7897" s="2" t="s">
        <v>31788</v>
      </c>
      <c r="C7897" s="2" t="s">
        <v>31788</v>
      </c>
      <c r="D7897" s="2" t="s">
        <v>31789</v>
      </c>
      <c r="E7897" s="2" t="s">
        <v>31790</v>
      </c>
      <c r="F7897" s="2" t="b">
        <v>1</v>
      </c>
      <c r="G7897" s="2" t="b">
        <v>0</v>
      </c>
      <c r="H7897" s="2" t="s">
        <v>37</v>
      </c>
      <c r="I7897" s="2" t="s">
        <v>32</v>
      </c>
      <c r="J7897" s="2" t="s">
        <v>6697</v>
      </c>
      <c r="K7897" s="2" t="s">
        <v>495</v>
      </c>
      <c r="L7897" s="13" t="s">
        <v>496</v>
      </c>
      <c r="M7897" s="2" t="s">
        <v>26</v>
      </c>
      <c r="N7897" s="29"/>
      <c r="O7897" s="29"/>
      <c r="P7897" s="5" t="str">
        <f>IFERROR(__xludf.DUMMYFUNCTION("TEXTJOIN("" | "",TRUE,IF(OR(D7897="""",E7897="""",I7897="""",J7897="""",H7897=""""),""ফাঁকা ঘর"",""""),IF(AND(C7897&lt;&gt;"""",D7897&lt;&gt;"""",C7897=D7897),""gloss=figurative"",""""),IF(LEN(D7897)&lt;15,""figurative ছোট"",""""),IF(AND(I7897=""Positive"",REGEXMATCH(H7"&amp;"897,""মূর্খ|ভণ্ড|প্রতার|অলস|লোভ|স্বার্থ|অক্ষম|অযোগ্য|বোকা|কৃপণ|হিংস"")),""valence-target অমিল"",""""),IF(COUNTIF($B:$B,B7897)&gt;1,""ডুপ্লিকেট"",""""))"),"")</f>
        <v/>
      </c>
      <c r="Q7897" s="5" t="str">
        <f t="shared" si="1"/>
        <v>২ পরে</v>
      </c>
    </row>
    <row r="7898">
      <c r="A7898" s="4">
        <v>7384.0</v>
      </c>
      <c r="B7898" s="2" t="s">
        <v>31791</v>
      </c>
      <c r="C7898" s="2" t="s">
        <v>22387</v>
      </c>
      <c r="D7898" s="2" t="s">
        <v>29320</v>
      </c>
      <c r="E7898" s="2" t="s">
        <v>31792</v>
      </c>
      <c r="F7898" s="2" t="b">
        <v>1</v>
      </c>
      <c r="G7898" s="2" t="b">
        <v>0</v>
      </c>
      <c r="H7898" s="2" t="s">
        <v>37</v>
      </c>
      <c r="I7898" s="2" t="s">
        <v>22</v>
      </c>
      <c r="J7898" s="2" t="s">
        <v>836</v>
      </c>
      <c r="K7898" s="2" t="s">
        <v>495</v>
      </c>
      <c r="L7898" s="13" t="s">
        <v>496</v>
      </c>
      <c r="M7898" s="2" t="s">
        <v>26</v>
      </c>
      <c r="N7898" s="29"/>
      <c r="O7898" s="29"/>
      <c r="P7898" s="5" t="str">
        <f>IFERROR(__xludf.DUMMYFUNCTION("TEXTJOIN("" | "",TRUE,IF(OR(D7898="""",E7898="""",I7898="""",J7898="""",H7898=""""),""ফাঁকা ঘর"",""""),IF(AND(C7898&lt;&gt;"""",D7898&lt;&gt;"""",C7898=D7898),""gloss=figurative"",""""),IF(LEN(D7898)&lt;15,""figurative ছোট"",""""),IF(AND(I7898=""Positive"",REGEXMATCH(H7"&amp;"898,""মূর্খ|ভণ্ড|প্রতার|অলস|লোভ|স্বার্থ|অক্ষম|অযোগ্য|বোকা|কৃপণ|হিংস"")),""valence-target অমিল"",""""),IF(COUNTIF($B:$B,B7898)&gt;1,""ডুপ্লিকেট"",""""))"),"")</f>
        <v/>
      </c>
      <c r="Q7898" s="5" t="str">
        <f t="shared" si="1"/>
        <v>২ পরে</v>
      </c>
    </row>
    <row r="7899">
      <c r="A7899" s="4">
        <v>7390.0</v>
      </c>
      <c r="B7899" s="2" t="s">
        <v>31793</v>
      </c>
      <c r="C7899" s="2" t="s">
        <v>7987</v>
      </c>
      <c r="D7899" s="2" t="s">
        <v>31794</v>
      </c>
      <c r="E7899" s="2" t="s">
        <v>7989</v>
      </c>
      <c r="F7899" s="2" t="b">
        <v>1</v>
      </c>
      <c r="G7899" s="2" t="b">
        <v>0</v>
      </c>
      <c r="H7899" s="2" t="s">
        <v>4703</v>
      </c>
      <c r="I7899" s="2" t="s">
        <v>32</v>
      </c>
      <c r="J7899" s="2" t="s">
        <v>4704</v>
      </c>
      <c r="K7899" s="2" t="s">
        <v>495</v>
      </c>
      <c r="L7899" s="13" t="s">
        <v>496</v>
      </c>
      <c r="M7899" s="2" t="s">
        <v>26</v>
      </c>
      <c r="N7899" s="29"/>
      <c r="O7899" s="29"/>
      <c r="P7899" s="5" t="str">
        <f>IFERROR(__xludf.DUMMYFUNCTION("TEXTJOIN("" | "",TRUE,IF(OR(D7899="""",E7899="""",I7899="""",J7899="""",H7899=""""),""ফাঁকা ঘর"",""""),IF(AND(C7899&lt;&gt;"""",D7899&lt;&gt;"""",C7899=D7899),""gloss=figurative"",""""),IF(LEN(D7899)&lt;15,""figurative ছোট"",""""),IF(AND(I7899=""Positive"",REGEXMATCH(H7"&amp;"899,""মূর্খ|ভণ্ড|প্রতার|অলস|লোভ|স্বার্থ|অক্ষম|অযোগ্য|বোকা|কৃপণ|হিংস"")),""valence-target অমিল"",""""),IF(COUNTIF($B:$B,B7899)&gt;1,""ডুপ্লিকেট"",""""))"),"")</f>
        <v/>
      </c>
      <c r="Q7899" s="5" t="str">
        <f t="shared" si="1"/>
        <v>২ পরে</v>
      </c>
    </row>
    <row r="7900">
      <c r="A7900" s="4">
        <v>7400.0</v>
      </c>
      <c r="B7900" s="2" t="s">
        <v>31795</v>
      </c>
      <c r="C7900" s="2" t="s">
        <v>31796</v>
      </c>
      <c r="D7900" s="2" t="s">
        <v>31797</v>
      </c>
      <c r="E7900" s="2" t="s">
        <v>31798</v>
      </c>
      <c r="F7900" s="2" t="b">
        <v>1</v>
      </c>
      <c r="G7900" s="2" t="b">
        <v>1</v>
      </c>
      <c r="H7900" s="2" t="s">
        <v>1106</v>
      </c>
      <c r="I7900" s="2" t="s">
        <v>22</v>
      </c>
      <c r="J7900" s="2" t="s">
        <v>3327</v>
      </c>
      <c r="K7900" s="2" t="s">
        <v>495</v>
      </c>
      <c r="L7900" s="13" t="s">
        <v>496</v>
      </c>
      <c r="M7900" s="2" t="s">
        <v>26</v>
      </c>
      <c r="N7900" s="29"/>
      <c r="O7900" s="29"/>
      <c r="P7900" s="5" t="str">
        <f>IFERROR(__xludf.DUMMYFUNCTION("TEXTJOIN("" | "",TRUE,IF(OR(D7900="""",E7900="""",I7900="""",J7900="""",H7900=""""),""ফাঁকা ঘর"",""""),IF(AND(C7900&lt;&gt;"""",D7900&lt;&gt;"""",C7900=D7900),""gloss=figurative"",""""),IF(LEN(D7900)&lt;15,""figurative ছোট"",""""),IF(AND(I7900=""Positive"",REGEXMATCH(H7"&amp;"900,""মূর্খ|ভণ্ড|প্রতার|অলস|লোভ|স্বার্থ|অক্ষম|অযোগ্য|বোকা|কৃপণ|হিংস"")),""valence-target অমিল"",""""),IF(COUNTIF($B:$B,B7900)&gt;1,""ডুপ্লিকেট"",""""))"),"")</f>
        <v/>
      </c>
      <c r="Q7900" s="5" t="str">
        <f t="shared" si="1"/>
        <v>২ পরে</v>
      </c>
    </row>
    <row r="7901">
      <c r="A7901" s="4">
        <v>7414.0</v>
      </c>
      <c r="B7901" s="2" t="s">
        <v>31799</v>
      </c>
      <c r="C7901" s="2" t="s">
        <v>31799</v>
      </c>
      <c r="D7901" s="2" t="s">
        <v>31800</v>
      </c>
      <c r="E7901" s="2" t="s">
        <v>31801</v>
      </c>
      <c r="F7901" s="2" t="b">
        <v>1</v>
      </c>
      <c r="G7901" s="2" t="b">
        <v>0</v>
      </c>
      <c r="H7901" s="2" t="s">
        <v>854</v>
      </c>
      <c r="I7901" s="2" t="s">
        <v>22</v>
      </c>
      <c r="J7901" s="2" t="s">
        <v>855</v>
      </c>
      <c r="K7901" s="2" t="s">
        <v>495</v>
      </c>
      <c r="L7901" s="13" t="s">
        <v>496</v>
      </c>
      <c r="M7901" s="2" t="s">
        <v>26</v>
      </c>
      <c r="N7901" s="29"/>
      <c r="O7901" s="29"/>
      <c r="P7901" s="5" t="str">
        <f>IFERROR(__xludf.DUMMYFUNCTION("TEXTJOIN("" | "",TRUE,IF(OR(D7901="""",E7901="""",I7901="""",J7901="""",H7901=""""),""ফাঁকা ঘর"",""""),IF(AND(C7901&lt;&gt;"""",D7901&lt;&gt;"""",C7901=D7901),""gloss=figurative"",""""),IF(LEN(D7901)&lt;15,""figurative ছোট"",""""),IF(AND(I7901=""Positive"",REGEXMATCH(H7"&amp;"901,""মূর্খ|ভণ্ড|প্রতার|অলস|লোভ|স্বার্থ|অক্ষম|অযোগ্য|বোকা|কৃপণ|হিংস"")),""valence-target অমিল"",""""),IF(COUNTIF($B:$B,B7901)&gt;1,""ডুপ্লিকেট"",""""))"),"")</f>
        <v/>
      </c>
      <c r="Q7901" s="5" t="str">
        <f t="shared" si="1"/>
        <v>২ পরে</v>
      </c>
    </row>
    <row r="7902">
      <c r="A7902" s="4">
        <v>7422.0</v>
      </c>
      <c r="B7902" s="2" t="s">
        <v>31802</v>
      </c>
      <c r="C7902" s="2" t="s">
        <v>31803</v>
      </c>
      <c r="D7902" s="2" t="s">
        <v>31804</v>
      </c>
      <c r="E7902" s="2" t="s">
        <v>31805</v>
      </c>
      <c r="F7902" s="2" t="b">
        <v>1</v>
      </c>
      <c r="G7902" s="2" t="b">
        <v>0</v>
      </c>
      <c r="H7902" s="2" t="s">
        <v>37</v>
      </c>
      <c r="I7902" s="2" t="s">
        <v>22</v>
      </c>
      <c r="J7902" s="2" t="s">
        <v>4284</v>
      </c>
      <c r="K7902" s="2" t="s">
        <v>495</v>
      </c>
      <c r="L7902" s="13" t="s">
        <v>496</v>
      </c>
      <c r="M7902" s="2" t="s">
        <v>26</v>
      </c>
      <c r="N7902" s="29"/>
      <c r="O7902" s="29"/>
      <c r="P7902" s="5" t="str">
        <f>IFERROR(__xludf.DUMMYFUNCTION("TEXTJOIN("" | "",TRUE,IF(OR(D7902="""",E7902="""",I7902="""",J7902="""",H7902=""""),""ফাঁকা ঘর"",""""),IF(AND(C7902&lt;&gt;"""",D7902&lt;&gt;"""",C7902=D7902),""gloss=figurative"",""""),IF(LEN(D7902)&lt;15,""figurative ছোট"",""""),IF(AND(I7902=""Positive"",REGEXMATCH(H7"&amp;"902,""মূর্খ|ভণ্ড|প্রতার|অলস|লোভ|স্বার্থ|অক্ষম|অযোগ্য|বোকা|কৃপণ|হিংস"")),""valence-target অমিল"",""""),IF(COUNTIF($B:$B,B7902)&gt;1,""ডুপ্লিকেট"",""""))"),"")</f>
        <v/>
      </c>
      <c r="Q7902" s="5" t="str">
        <f t="shared" si="1"/>
        <v>২ পরে</v>
      </c>
    </row>
    <row r="7903">
      <c r="A7903" s="4">
        <v>7461.0</v>
      </c>
      <c r="B7903" s="2" t="s">
        <v>31806</v>
      </c>
      <c r="C7903" s="2" t="s">
        <v>31807</v>
      </c>
      <c r="D7903" s="2" t="s">
        <v>31808</v>
      </c>
      <c r="E7903" s="2" t="s">
        <v>31809</v>
      </c>
      <c r="F7903" s="2" t="b">
        <v>1</v>
      </c>
      <c r="G7903" s="2" t="b">
        <v>0</v>
      </c>
      <c r="H7903" s="2" t="s">
        <v>37</v>
      </c>
      <c r="I7903" s="2" t="s">
        <v>49</v>
      </c>
      <c r="J7903" s="2" t="s">
        <v>2140</v>
      </c>
      <c r="K7903" s="2" t="s">
        <v>495</v>
      </c>
      <c r="L7903" s="13" t="s">
        <v>496</v>
      </c>
      <c r="M7903" s="2" t="s">
        <v>26</v>
      </c>
      <c r="N7903" s="29"/>
      <c r="O7903" s="29"/>
      <c r="P7903" s="5" t="str">
        <f>IFERROR(__xludf.DUMMYFUNCTION("TEXTJOIN("" | "",TRUE,IF(OR(D7903="""",E7903="""",I7903="""",J7903="""",H7903=""""),""ফাঁকা ঘর"",""""),IF(AND(C7903&lt;&gt;"""",D7903&lt;&gt;"""",C7903=D7903),""gloss=figurative"",""""),IF(LEN(D7903)&lt;15,""figurative ছোট"",""""),IF(AND(I7903=""Positive"",REGEXMATCH(H7"&amp;"903,""মূর্খ|ভণ্ড|প্রতার|অলস|লোভ|স্বার্থ|অক্ষম|অযোগ্য|বোকা|কৃপণ|হিংস"")),""valence-target অমিল"",""""),IF(COUNTIF($B:$B,B7903)&gt;1,""ডুপ্লিকেট"",""""))"),"")</f>
        <v/>
      </c>
      <c r="Q7903" s="5" t="str">
        <f t="shared" si="1"/>
        <v>২ পরে</v>
      </c>
    </row>
    <row r="7904">
      <c r="A7904" s="4">
        <v>7462.0</v>
      </c>
      <c r="B7904" s="2" t="s">
        <v>31810</v>
      </c>
      <c r="C7904" s="2" t="s">
        <v>31811</v>
      </c>
      <c r="D7904" s="2" t="s">
        <v>31812</v>
      </c>
      <c r="E7904" s="2" t="s">
        <v>31813</v>
      </c>
      <c r="F7904" s="2" t="b">
        <v>1</v>
      </c>
      <c r="G7904" s="2" t="b">
        <v>0</v>
      </c>
      <c r="H7904" s="2" t="s">
        <v>37</v>
      </c>
      <c r="I7904" s="2" t="s">
        <v>49</v>
      </c>
      <c r="J7904" s="2" t="s">
        <v>340</v>
      </c>
      <c r="K7904" s="2" t="s">
        <v>495</v>
      </c>
      <c r="L7904" s="13" t="s">
        <v>496</v>
      </c>
      <c r="M7904" s="2" t="s">
        <v>26</v>
      </c>
      <c r="N7904" s="29"/>
      <c r="O7904" s="29"/>
      <c r="P7904" s="5" t="str">
        <f>IFERROR(__xludf.DUMMYFUNCTION("TEXTJOIN("" | "",TRUE,IF(OR(D7904="""",E7904="""",I7904="""",J7904="""",H7904=""""),""ফাঁকা ঘর"",""""),IF(AND(C7904&lt;&gt;"""",D7904&lt;&gt;"""",C7904=D7904),""gloss=figurative"",""""),IF(LEN(D7904)&lt;15,""figurative ছোট"",""""),IF(AND(I7904=""Positive"",REGEXMATCH(H7"&amp;"904,""মূর্খ|ভণ্ড|প্রতার|অলস|লোভ|স্বার্থ|অক্ষম|অযোগ্য|বোকা|কৃপণ|হিংস"")),""valence-target অমিল"",""""),IF(COUNTIF($B:$B,B7904)&gt;1,""ডুপ্লিকেট"",""""))"),"")</f>
        <v/>
      </c>
      <c r="Q7904" s="5" t="str">
        <f t="shared" si="1"/>
        <v>২ পরে</v>
      </c>
    </row>
    <row r="7905">
      <c r="A7905" s="4">
        <v>7463.0</v>
      </c>
      <c r="B7905" s="2" t="s">
        <v>31814</v>
      </c>
      <c r="C7905" s="2" t="s">
        <v>31815</v>
      </c>
      <c r="D7905" s="2" t="s">
        <v>31816</v>
      </c>
      <c r="E7905" s="2" t="s">
        <v>31817</v>
      </c>
      <c r="F7905" s="2" t="b">
        <v>1</v>
      </c>
      <c r="G7905" s="2" t="b">
        <v>0</v>
      </c>
      <c r="H7905" s="2" t="s">
        <v>37</v>
      </c>
      <c r="I7905" s="2" t="s">
        <v>49</v>
      </c>
      <c r="J7905" s="2" t="s">
        <v>340</v>
      </c>
      <c r="K7905" s="2" t="s">
        <v>495</v>
      </c>
      <c r="L7905" s="13" t="s">
        <v>496</v>
      </c>
      <c r="M7905" s="2" t="s">
        <v>26</v>
      </c>
      <c r="N7905" s="29"/>
      <c r="O7905" s="29"/>
      <c r="P7905" s="5" t="str">
        <f>IFERROR(__xludf.DUMMYFUNCTION("TEXTJOIN("" | "",TRUE,IF(OR(D7905="""",E7905="""",I7905="""",J7905="""",H7905=""""),""ফাঁকা ঘর"",""""),IF(AND(C7905&lt;&gt;"""",D7905&lt;&gt;"""",C7905=D7905),""gloss=figurative"",""""),IF(LEN(D7905)&lt;15,""figurative ছোট"",""""),IF(AND(I7905=""Positive"",REGEXMATCH(H7"&amp;"905,""মূর্খ|ভণ্ড|প্রতার|অলস|লোভ|স্বার্থ|অক্ষম|অযোগ্য|বোকা|কৃপণ|হিংস"")),""valence-target অমিল"",""""),IF(COUNTIF($B:$B,B7905)&gt;1,""ডুপ্লিকেট"",""""))"),"")</f>
        <v/>
      </c>
      <c r="Q7905" s="5" t="str">
        <f t="shared" si="1"/>
        <v>২ পরে</v>
      </c>
    </row>
    <row r="7906">
      <c r="A7906" s="4">
        <v>7464.0</v>
      </c>
      <c r="B7906" s="2" t="s">
        <v>31818</v>
      </c>
      <c r="C7906" s="2" t="s">
        <v>31819</v>
      </c>
      <c r="D7906" s="2" t="s">
        <v>31820</v>
      </c>
      <c r="E7906" s="2" t="s">
        <v>31821</v>
      </c>
      <c r="F7906" s="2" t="b">
        <v>1</v>
      </c>
      <c r="G7906" s="2" t="b">
        <v>0</v>
      </c>
      <c r="H7906" s="2" t="s">
        <v>37</v>
      </c>
      <c r="I7906" s="2" t="s">
        <v>49</v>
      </c>
      <c r="J7906" s="2" t="s">
        <v>340</v>
      </c>
      <c r="K7906" s="2" t="s">
        <v>495</v>
      </c>
      <c r="L7906" s="13" t="s">
        <v>496</v>
      </c>
      <c r="M7906" s="2" t="s">
        <v>26</v>
      </c>
      <c r="N7906" s="29"/>
      <c r="O7906" s="29"/>
      <c r="P7906" s="5" t="str">
        <f>IFERROR(__xludf.DUMMYFUNCTION("TEXTJOIN("" | "",TRUE,IF(OR(D7906="""",E7906="""",I7906="""",J7906="""",H7906=""""),""ফাঁকা ঘর"",""""),IF(AND(C7906&lt;&gt;"""",D7906&lt;&gt;"""",C7906=D7906),""gloss=figurative"",""""),IF(LEN(D7906)&lt;15,""figurative ছোট"",""""),IF(AND(I7906=""Positive"",REGEXMATCH(H7"&amp;"906,""মূর্খ|ভণ্ড|প্রতার|অলস|লোভ|স্বার্থ|অক্ষম|অযোগ্য|বোকা|কৃপণ|হিংস"")),""valence-target অমিল"",""""),IF(COUNTIF($B:$B,B7906)&gt;1,""ডুপ্লিকেট"",""""))"),"")</f>
        <v/>
      </c>
      <c r="Q7906" s="5" t="str">
        <f t="shared" si="1"/>
        <v>২ পরে</v>
      </c>
    </row>
    <row r="7907">
      <c r="A7907" s="4">
        <v>7465.0</v>
      </c>
      <c r="B7907" s="2" t="s">
        <v>31822</v>
      </c>
      <c r="C7907" s="2" t="s">
        <v>31823</v>
      </c>
      <c r="D7907" s="2" t="s">
        <v>31824</v>
      </c>
      <c r="E7907" s="2" t="s">
        <v>31825</v>
      </c>
      <c r="F7907" s="2" t="b">
        <v>1</v>
      </c>
      <c r="G7907" s="2" t="b">
        <v>0</v>
      </c>
      <c r="H7907" s="2" t="s">
        <v>37</v>
      </c>
      <c r="I7907" s="2" t="s">
        <v>49</v>
      </c>
      <c r="J7907" s="2" t="s">
        <v>340</v>
      </c>
      <c r="K7907" s="2" t="s">
        <v>495</v>
      </c>
      <c r="L7907" s="13" t="s">
        <v>496</v>
      </c>
      <c r="M7907" s="2" t="s">
        <v>26</v>
      </c>
      <c r="N7907" s="29"/>
      <c r="O7907" s="29"/>
      <c r="P7907" s="5" t="str">
        <f>IFERROR(__xludf.DUMMYFUNCTION("TEXTJOIN("" | "",TRUE,IF(OR(D7907="""",E7907="""",I7907="""",J7907="""",H7907=""""),""ফাঁকা ঘর"",""""),IF(AND(C7907&lt;&gt;"""",D7907&lt;&gt;"""",C7907=D7907),""gloss=figurative"",""""),IF(LEN(D7907)&lt;15,""figurative ছোট"",""""),IF(AND(I7907=""Positive"",REGEXMATCH(H7"&amp;"907,""মূর্খ|ভণ্ড|প্রতার|অলস|লোভ|স্বার্থ|অক্ষম|অযোগ্য|বোকা|কৃপণ|হিংস"")),""valence-target অমিল"",""""),IF(COUNTIF($B:$B,B7907)&gt;1,""ডুপ্লিকেট"",""""))"),"")</f>
        <v/>
      </c>
      <c r="Q7907" s="5" t="str">
        <f t="shared" si="1"/>
        <v>২ পরে</v>
      </c>
    </row>
    <row r="7908">
      <c r="A7908" s="4">
        <v>7466.0</v>
      </c>
      <c r="B7908" s="2" t="s">
        <v>31826</v>
      </c>
      <c r="C7908" s="2" t="s">
        <v>31827</v>
      </c>
      <c r="D7908" s="2" t="s">
        <v>31828</v>
      </c>
      <c r="E7908" s="2" t="s">
        <v>31829</v>
      </c>
      <c r="F7908" s="2" t="b">
        <v>1</v>
      </c>
      <c r="G7908" s="2" t="b">
        <v>0</v>
      </c>
      <c r="H7908" s="2" t="s">
        <v>37</v>
      </c>
      <c r="I7908" s="2" t="s">
        <v>49</v>
      </c>
      <c r="J7908" s="2" t="s">
        <v>340</v>
      </c>
      <c r="K7908" s="2" t="s">
        <v>495</v>
      </c>
      <c r="L7908" s="13" t="s">
        <v>496</v>
      </c>
      <c r="M7908" s="2" t="s">
        <v>26</v>
      </c>
      <c r="N7908" s="29"/>
      <c r="O7908" s="29"/>
      <c r="P7908" s="5" t="str">
        <f>IFERROR(__xludf.DUMMYFUNCTION("TEXTJOIN("" | "",TRUE,IF(OR(D7908="""",E7908="""",I7908="""",J7908="""",H7908=""""),""ফাঁকা ঘর"",""""),IF(AND(C7908&lt;&gt;"""",D7908&lt;&gt;"""",C7908=D7908),""gloss=figurative"",""""),IF(LEN(D7908)&lt;15,""figurative ছোট"",""""),IF(AND(I7908=""Positive"",REGEXMATCH(H7"&amp;"908,""মূর্খ|ভণ্ড|প্রতার|অলস|লোভ|স্বার্থ|অক্ষম|অযোগ্য|বোকা|কৃপণ|হিংস"")),""valence-target অমিল"",""""),IF(COUNTIF($B:$B,B7908)&gt;1,""ডুপ্লিকেট"",""""))"),"")</f>
        <v/>
      </c>
      <c r="Q7908" s="5" t="str">
        <f t="shared" si="1"/>
        <v>২ পরে</v>
      </c>
    </row>
    <row r="7909">
      <c r="A7909" s="4">
        <v>7467.0</v>
      </c>
      <c r="B7909" s="2" t="s">
        <v>31830</v>
      </c>
      <c r="C7909" s="2" t="s">
        <v>31831</v>
      </c>
      <c r="D7909" s="2" t="s">
        <v>31832</v>
      </c>
      <c r="E7909" s="2" t="s">
        <v>31833</v>
      </c>
      <c r="F7909" s="2" t="b">
        <v>1</v>
      </c>
      <c r="G7909" s="2" t="b">
        <v>0</v>
      </c>
      <c r="H7909" s="2" t="s">
        <v>14913</v>
      </c>
      <c r="I7909" s="2" t="s">
        <v>32</v>
      </c>
      <c r="J7909" s="2" t="s">
        <v>340</v>
      </c>
      <c r="K7909" s="2" t="s">
        <v>495</v>
      </c>
      <c r="L7909" s="13" t="s">
        <v>496</v>
      </c>
      <c r="M7909" s="2" t="s">
        <v>26</v>
      </c>
      <c r="N7909" s="29"/>
      <c r="O7909" s="29"/>
      <c r="P7909" s="5" t="str">
        <f>IFERROR(__xludf.DUMMYFUNCTION("TEXTJOIN("" | "",TRUE,IF(OR(D7909="""",E7909="""",I7909="""",J7909="""",H7909=""""),""ফাঁকা ঘর"",""""),IF(AND(C7909&lt;&gt;"""",D7909&lt;&gt;"""",C7909=D7909),""gloss=figurative"",""""),IF(LEN(D7909)&lt;15,""figurative ছোট"",""""),IF(AND(I7909=""Positive"",REGEXMATCH(H7"&amp;"909,""মূর্খ|ভণ্ড|প্রতার|অলস|লোভ|স্বার্থ|অক্ষম|অযোগ্য|বোকা|কৃপণ|হিংস"")),""valence-target অমিল"",""""),IF(COUNTIF($B:$B,B7909)&gt;1,""ডুপ্লিকেট"",""""))"),"")</f>
        <v/>
      </c>
      <c r="Q7909" s="5" t="str">
        <f t="shared" si="1"/>
        <v>২ পরে</v>
      </c>
    </row>
    <row r="7910">
      <c r="A7910" s="4">
        <v>7468.0</v>
      </c>
      <c r="B7910" s="2" t="s">
        <v>31834</v>
      </c>
      <c r="C7910" s="2" t="s">
        <v>31835</v>
      </c>
      <c r="D7910" s="2" t="s">
        <v>31836</v>
      </c>
      <c r="E7910" s="2" t="s">
        <v>7217</v>
      </c>
      <c r="F7910" s="2" t="b">
        <v>1</v>
      </c>
      <c r="G7910" s="2" t="b">
        <v>0</v>
      </c>
      <c r="H7910" s="2" t="s">
        <v>37</v>
      </c>
      <c r="I7910" s="2" t="s">
        <v>49</v>
      </c>
      <c r="J7910" s="2" t="s">
        <v>447</v>
      </c>
      <c r="K7910" s="2" t="s">
        <v>495</v>
      </c>
      <c r="L7910" s="13" t="s">
        <v>496</v>
      </c>
      <c r="M7910" s="2" t="s">
        <v>26</v>
      </c>
      <c r="N7910" s="29"/>
      <c r="O7910" s="29"/>
      <c r="P7910" s="5" t="str">
        <f>IFERROR(__xludf.DUMMYFUNCTION("TEXTJOIN("" | "",TRUE,IF(OR(D7910="""",E7910="""",I7910="""",J7910="""",H7910=""""),""ফাঁকা ঘর"",""""),IF(AND(C7910&lt;&gt;"""",D7910&lt;&gt;"""",C7910=D7910),""gloss=figurative"",""""),IF(LEN(D7910)&lt;15,""figurative ছোট"",""""),IF(AND(I7910=""Positive"",REGEXMATCH(H7"&amp;"910,""মূর্খ|ভণ্ড|প্রতার|অলস|লোভ|স্বার্থ|অক্ষম|অযোগ্য|বোকা|কৃপণ|হিংস"")),""valence-target অমিল"",""""),IF(COUNTIF($B:$B,B7910)&gt;1,""ডুপ্লিকেট"",""""))"),"")</f>
        <v/>
      </c>
      <c r="Q7910" s="5" t="str">
        <f t="shared" si="1"/>
        <v>২ পরে</v>
      </c>
    </row>
    <row r="7911">
      <c r="A7911" s="4">
        <v>7471.0</v>
      </c>
      <c r="B7911" s="2" t="s">
        <v>31837</v>
      </c>
      <c r="C7911" s="2" t="s">
        <v>31838</v>
      </c>
      <c r="D7911" s="2" t="s">
        <v>31839</v>
      </c>
      <c r="E7911" s="2" t="s">
        <v>31840</v>
      </c>
      <c r="F7911" s="2" t="b">
        <v>1</v>
      </c>
      <c r="G7911" s="2" t="b">
        <v>0</v>
      </c>
      <c r="H7911" s="2" t="s">
        <v>37</v>
      </c>
      <c r="I7911" s="2" t="s">
        <v>49</v>
      </c>
      <c r="J7911" s="2" t="s">
        <v>1249</v>
      </c>
      <c r="K7911" s="2" t="s">
        <v>495</v>
      </c>
      <c r="L7911" s="13" t="s">
        <v>496</v>
      </c>
      <c r="M7911" s="2" t="s">
        <v>26</v>
      </c>
      <c r="N7911" s="29"/>
      <c r="O7911" s="29"/>
      <c r="P7911" s="5" t="str">
        <f>IFERROR(__xludf.DUMMYFUNCTION("TEXTJOIN("" | "",TRUE,IF(OR(D7911="""",E7911="""",I7911="""",J7911="""",H7911=""""),""ফাঁকা ঘর"",""""),IF(AND(C7911&lt;&gt;"""",D7911&lt;&gt;"""",C7911=D7911),""gloss=figurative"",""""),IF(LEN(D7911)&lt;15,""figurative ছোট"",""""),IF(AND(I7911=""Positive"",REGEXMATCH(H7"&amp;"911,""মূর্খ|ভণ্ড|প্রতার|অলস|লোভ|স্বার্থ|অক্ষম|অযোগ্য|বোকা|কৃপণ|হিংস"")),""valence-target অমিল"",""""),IF(COUNTIF($B:$B,B7911)&gt;1,""ডুপ্লিকেট"",""""))"),"")</f>
        <v/>
      </c>
      <c r="Q7911" s="5" t="str">
        <f t="shared" si="1"/>
        <v>২ পরে</v>
      </c>
    </row>
    <row r="7912">
      <c r="A7912" s="4">
        <v>7473.0</v>
      </c>
      <c r="B7912" s="2" t="s">
        <v>31841</v>
      </c>
      <c r="C7912" s="2" t="s">
        <v>31842</v>
      </c>
      <c r="D7912" s="2" t="s">
        <v>31843</v>
      </c>
      <c r="E7912" s="2" t="s">
        <v>31844</v>
      </c>
      <c r="F7912" s="2" t="b">
        <v>1</v>
      </c>
      <c r="G7912" s="2" t="b">
        <v>0</v>
      </c>
      <c r="H7912" s="2" t="s">
        <v>37</v>
      </c>
      <c r="I7912" s="2" t="s">
        <v>49</v>
      </c>
      <c r="J7912" s="2" t="s">
        <v>340</v>
      </c>
      <c r="K7912" s="2" t="s">
        <v>495</v>
      </c>
      <c r="L7912" s="13" t="s">
        <v>496</v>
      </c>
      <c r="M7912" s="2" t="s">
        <v>26</v>
      </c>
      <c r="N7912" s="29"/>
      <c r="O7912" s="29"/>
      <c r="P7912" s="5" t="str">
        <f>IFERROR(__xludf.DUMMYFUNCTION("TEXTJOIN("" | "",TRUE,IF(OR(D7912="""",E7912="""",I7912="""",J7912="""",H7912=""""),""ফাঁকা ঘর"",""""),IF(AND(C7912&lt;&gt;"""",D7912&lt;&gt;"""",C7912=D7912),""gloss=figurative"",""""),IF(LEN(D7912)&lt;15,""figurative ছোট"",""""),IF(AND(I7912=""Positive"",REGEXMATCH(H7"&amp;"912,""মূর্খ|ভণ্ড|প্রতার|অলস|লোভ|স্বার্থ|অক্ষম|অযোগ্য|বোকা|কৃপণ|হিংস"")),""valence-target অমিল"",""""),IF(COUNTIF($B:$B,B7912)&gt;1,""ডুপ্লিকেট"",""""))"),"")</f>
        <v/>
      </c>
      <c r="Q7912" s="5" t="str">
        <f t="shared" si="1"/>
        <v>২ পরে</v>
      </c>
    </row>
    <row r="7913">
      <c r="A7913" s="4">
        <v>7475.0</v>
      </c>
      <c r="B7913" s="2" t="s">
        <v>31845</v>
      </c>
      <c r="C7913" s="2" t="s">
        <v>31846</v>
      </c>
      <c r="D7913" s="2" t="s">
        <v>31847</v>
      </c>
      <c r="E7913" s="2" t="s">
        <v>31848</v>
      </c>
      <c r="F7913" s="2" t="b">
        <v>1</v>
      </c>
      <c r="G7913" s="2" t="b">
        <v>0</v>
      </c>
      <c r="H7913" s="2" t="s">
        <v>37</v>
      </c>
      <c r="I7913" s="2" t="s">
        <v>49</v>
      </c>
      <c r="J7913" s="2" t="s">
        <v>340</v>
      </c>
      <c r="K7913" s="2" t="s">
        <v>495</v>
      </c>
      <c r="L7913" s="13" t="s">
        <v>496</v>
      </c>
      <c r="M7913" s="2" t="s">
        <v>26</v>
      </c>
      <c r="N7913" s="29"/>
      <c r="O7913" s="29"/>
      <c r="P7913" s="5" t="str">
        <f>IFERROR(__xludf.DUMMYFUNCTION("TEXTJOIN("" | "",TRUE,IF(OR(D7913="""",E7913="""",I7913="""",J7913="""",H7913=""""),""ফাঁকা ঘর"",""""),IF(AND(C7913&lt;&gt;"""",D7913&lt;&gt;"""",C7913=D7913),""gloss=figurative"",""""),IF(LEN(D7913)&lt;15,""figurative ছোট"",""""),IF(AND(I7913=""Positive"",REGEXMATCH(H7"&amp;"913,""মূর্খ|ভণ্ড|প্রতার|অলস|লোভ|স্বার্থ|অক্ষম|অযোগ্য|বোকা|কৃপণ|হিংস"")),""valence-target অমিল"",""""),IF(COUNTIF($B:$B,B7913)&gt;1,""ডুপ্লিকেট"",""""))"),"")</f>
        <v/>
      </c>
      <c r="Q7913" s="5" t="str">
        <f t="shared" si="1"/>
        <v>২ পরে</v>
      </c>
    </row>
    <row r="7914">
      <c r="A7914" s="4">
        <v>7476.0</v>
      </c>
      <c r="B7914" s="2" t="s">
        <v>31849</v>
      </c>
      <c r="C7914" s="2" t="s">
        <v>31850</v>
      </c>
      <c r="D7914" s="2" t="s">
        <v>31851</v>
      </c>
      <c r="E7914" s="2" t="s">
        <v>31852</v>
      </c>
      <c r="F7914" s="2" t="b">
        <v>1</v>
      </c>
      <c r="G7914" s="2" t="b">
        <v>0</v>
      </c>
      <c r="H7914" s="2" t="s">
        <v>1334</v>
      </c>
      <c r="I7914" s="2" t="s">
        <v>22</v>
      </c>
      <c r="J7914" s="2" t="s">
        <v>820</v>
      </c>
      <c r="K7914" s="2" t="s">
        <v>495</v>
      </c>
      <c r="L7914" s="13" t="s">
        <v>496</v>
      </c>
      <c r="M7914" s="2" t="s">
        <v>26</v>
      </c>
      <c r="N7914" s="29"/>
      <c r="O7914" s="29"/>
      <c r="P7914" s="5" t="str">
        <f>IFERROR(__xludf.DUMMYFUNCTION("TEXTJOIN("" | "",TRUE,IF(OR(D7914="""",E7914="""",I7914="""",J7914="""",H7914=""""),""ফাঁকা ঘর"",""""),IF(AND(C7914&lt;&gt;"""",D7914&lt;&gt;"""",C7914=D7914),""gloss=figurative"",""""),IF(LEN(D7914)&lt;15,""figurative ছোট"",""""),IF(AND(I7914=""Positive"",REGEXMATCH(H7"&amp;"914,""মূর্খ|ভণ্ড|প্রতার|অলস|লোভ|স্বার্থ|অক্ষম|অযোগ্য|বোকা|কৃপণ|হিংস"")),""valence-target অমিল"",""""),IF(COUNTIF($B:$B,B7914)&gt;1,""ডুপ্লিকেট"",""""))"),"")</f>
        <v/>
      </c>
      <c r="Q7914" s="5" t="str">
        <f t="shared" si="1"/>
        <v>২ পরে</v>
      </c>
    </row>
    <row r="7915">
      <c r="A7915" s="4">
        <v>7477.0</v>
      </c>
      <c r="B7915" s="2" t="s">
        <v>31853</v>
      </c>
      <c r="C7915" s="2" t="s">
        <v>31854</v>
      </c>
      <c r="D7915" s="2" t="s">
        <v>31855</v>
      </c>
      <c r="E7915" s="2" t="s">
        <v>31856</v>
      </c>
      <c r="F7915" s="2" t="b">
        <v>1</v>
      </c>
      <c r="G7915" s="2" t="b">
        <v>0</v>
      </c>
      <c r="H7915" s="2" t="s">
        <v>37</v>
      </c>
      <c r="I7915" s="2" t="s">
        <v>49</v>
      </c>
      <c r="J7915" s="2" t="s">
        <v>2482</v>
      </c>
      <c r="K7915" s="2" t="s">
        <v>495</v>
      </c>
      <c r="L7915" s="13" t="s">
        <v>496</v>
      </c>
      <c r="M7915" s="2" t="s">
        <v>26</v>
      </c>
      <c r="N7915" s="29"/>
      <c r="O7915" s="29"/>
      <c r="P7915" s="5" t="str">
        <f>IFERROR(__xludf.DUMMYFUNCTION("TEXTJOIN("" | "",TRUE,IF(OR(D7915="""",E7915="""",I7915="""",J7915="""",H7915=""""),""ফাঁকা ঘর"",""""),IF(AND(C7915&lt;&gt;"""",D7915&lt;&gt;"""",C7915=D7915),""gloss=figurative"",""""),IF(LEN(D7915)&lt;15,""figurative ছোট"",""""),IF(AND(I7915=""Positive"",REGEXMATCH(H7"&amp;"915,""মূর্খ|ভণ্ড|প্রতার|অলস|লোভ|স্বার্থ|অক্ষম|অযোগ্য|বোকা|কৃপণ|হিংস"")),""valence-target অমিল"",""""),IF(COUNTIF($B:$B,B7915)&gt;1,""ডুপ্লিকেট"",""""))"),"")</f>
        <v/>
      </c>
      <c r="Q7915" s="5" t="str">
        <f t="shared" si="1"/>
        <v>২ পরে</v>
      </c>
    </row>
    <row r="7916">
      <c r="A7916" s="4">
        <v>7479.0</v>
      </c>
      <c r="B7916" s="2" t="s">
        <v>31857</v>
      </c>
      <c r="C7916" s="2" t="s">
        <v>31857</v>
      </c>
      <c r="D7916" s="2" t="s">
        <v>31858</v>
      </c>
      <c r="E7916" s="2" t="s">
        <v>31859</v>
      </c>
      <c r="F7916" s="2" t="b">
        <v>1</v>
      </c>
      <c r="G7916" s="2" t="b">
        <v>0</v>
      </c>
      <c r="H7916" s="2" t="s">
        <v>37</v>
      </c>
      <c r="I7916" s="2" t="s">
        <v>22</v>
      </c>
      <c r="J7916" s="2" t="s">
        <v>669</v>
      </c>
      <c r="K7916" s="2" t="s">
        <v>495</v>
      </c>
      <c r="L7916" s="13" t="s">
        <v>496</v>
      </c>
      <c r="M7916" s="2" t="s">
        <v>26</v>
      </c>
      <c r="N7916" s="29"/>
      <c r="O7916" s="29"/>
      <c r="P7916" s="5" t="str">
        <f>IFERROR(__xludf.DUMMYFUNCTION("TEXTJOIN("" | "",TRUE,IF(OR(D7916="""",E7916="""",I7916="""",J7916="""",H7916=""""),""ফাঁকা ঘর"",""""),IF(AND(C7916&lt;&gt;"""",D7916&lt;&gt;"""",C7916=D7916),""gloss=figurative"",""""),IF(LEN(D7916)&lt;15,""figurative ছোট"",""""),IF(AND(I7916=""Positive"",REGEXMATCH(H7"&amp;"916,""মূর্খ|ভণ্ড|প্রতার|অলস|লোভ|স্বার্থ|অক্ষম|অযোগ্য|বোকা|কৃপণ|হিংস"")),""valence-target অমিল"",""""),IF(COUNTIF($B:$B,B7916)&gt;1,""ডুপ্লিকেট"",""""))"),"")</f>
        <v/>
      </c>
      <c r="Q7916" s="5" t="str">
        <f t="shared" si="1"/>
        <v>২ পরে</v>
      </c>
    </row>
    <row r="7917">
      <c r="A7917" s="4">
        <v>7480.0</v>
      </c>
      <c r="B7917" s="2" t="s">
        <v>31860</v>
      </c>
      <c r="C7917" s="2" t="s">
        <v>31860</v>
      </c>
      <c r="D7917" s="2" t="s">
        <v>31861</v>
      </c>
      <c r="E7917" s="2" t="s">
        <v>31862</v>
      </c>
      <c r="F7917" s="2" t="b">
        <v>1</v>
      </c>
      <c r="G7917" s="2" t="b">
        <v>0</v>
      </c>
      <c r="H7917" s="2" t="s">
        <v>37</v>
      </c>
      <c r="I7917" s="2" t="s">
        <v>22</v>
      </c>
      <c r="J7917" s="2" t="s">
        <v>1630</v>
      </c>
      <c r="K7917" s="2" t="s">
        <v>495</v>
      </c>
      <c r="L7917" s="13" t="s">
        <v>496</v>
      </c>
      <c r="M7917" s="2" t="s">
        <v>26</v>
      </c>
      <c r="N7917" s="29"/>
      <c r="O7917" s="29"/>
      <c r="P7917" s="5" t="str">
        <f>IFERROR(__xludf.DUMMYFUNCTION("TEXTJOIN("" | "",TRUE,IF(OR(D7917="""",E7917="""",I7917="""",J7917="""",H7917=""""),""ফাঁকা ঘর"",""""),IF(AND(C7917&lt;&gt;"""",D7917&lt;&gt;"""",C7917=D7917),""gloss=figurative"",""""),IF(LEN(D7917)&lt;15,""figurative ছোট"",""""),IF(AND(I7917=""Positive"",REGEXMATCH(H7"&amp;"917,""মূর্খ|ভণ্ড|প্রতার|অলস|লোভ|স্বার্থ|অক্ষম|অযোগ্য|বোকা|কৃপণ|হিংস"")),""valence-target অমিল"",""""),IF(COUNTIF($B:$B,B7917)&gt;1,""ডুপ্লিকেট"",""""))"),"")</f>
        <v/>
      </c>
      <c r="Q7917" s="5" t="str">
        <f t="shared" si="1"/>
        <v>২ পরে</v>
      </c>
    </row>
    <row r="7918">
      <c r="A7918" s="4">
        <v>7481.0</v>
      </c>
      <c r="B7918" s="2" t="s">
        <v>31863</v>
      </c>
      <c r="C7918" s="2" t="s">
        <v>31864</v>
      </c>
      <c r="D7918" s="2" t="s">
        <v>31865</v>
      </c>
      <c r="E7918" s="2" t="s">
        <v>31866</v>
      </c>
      <c r="F7918" s="2" t="b">
        <v>1</v>
      </c>
      <c r="G7918" s="2" t="b">
        <v>0</v>
      </c>
      <c r="H7918" s="2" t="s">
        <v>37</v>
      </c>
      <c r="I7918" s="2" t="s">
        <v>32</v>
      </c>
      <c r="J7918" s="2" t="s">
        <v>3506</v>
      </c>
      <c r="K7918" s="2" t="s">
        <v>495</v>
      </c>
      <c r="L7918" s="13" t="s">
        <v>496</v>
      </c>
      <c r="M7918" s="2" t="s">
        <v>26</v>
      </c>
      <c r="N7918" s="29"/>
      <c r="O7918" s="29"/>
      <c r="P7918" s="5" t="str">
        <f>IFERROR(__xludf.DUMMYFUNCTION("TEXTJOIN("" | "",TRUE,IF(OR(D7918="""",E7918="""",I7918="""",J7918="""",H7918=""""),""ফাঁকা ঘর"",""""),IF(AND(C7918&lt;&gt;"""",D7918&lt;&gt;"""",C7918=D7918),""gloss=figurative"",""""),IF(LEN(D7918)&lt;15,""figurative ছোট"",""""),IF(AND(I7918=""Positive"",REGEXMATCH(H7"&amp;"918,""মূর্খ|ভণ্ড|প্রতার|অলস|লোভ|স্বার্থ|অক্ষম|অযোগ্য|বোকা|কৃপণ|হিংস"")),""valence-target অমিল"",""""),IF(COUNTIF($B:$B,B7918)&gt;1,""ডুপ্লিকেট"",""""))"),"")</f>
        <v/>
      </c>
      <c r="Q7918" s="5" t="str">
        <f t="shared" si="1"/>
        <v>২ পরে</v>
      </c>
    </row>
    <row r="7919">
      <c r="A7919" s="4">
        <v>7485.0</v>
      </c>
      <c r="B7919" s="2" t="s">
        <v>31867</v>
      </c>
      <c r="C7919" s="2" t="s">
        <v>31868</v>
      </c>
      <c r="D7919" s="2" t="s">
        <v>31869</v>
      </c>
      <c r="E7919" s="2" t="s">
        <v>31870</v>
      </c>
      <c r="F7919" s="2" t="b">
        <v>1</v>
      </c>
      <c r="G7919" s="2" t="b">
        <v>0</v>
      </c>
      <c r="H7919" s="2" t="s">
        <v>37</v>
      </c>
      <c r="I7919" s="2" t="s">
        <v>22</v>
      </c>
      <c r="J7919" s="2" t="s">
        <v>26387</v>
      </c>
      <c r="K7919" s="2" t="s">
        <v>495</v>
      </c>
      <c r="L7919" s="13" t="s">
        <v>496</v>
      </c>
      <c r="M7919" s="2" t="s">
        <v>26</v>
      </c>
      <c r="N7919" s="29"/>
      <c r="O7919" s="29"/>
      <c r="P7919" s="5" t="str">
        <f>IFERROR(__xludf.DUMMYFUNCTION("TEXTJOIN("" | "",TRUE,IF(OR(D7919="""",E7919="""",I7919="""",J7919="""",H7919=""""),""ফাঁকা ঘর"",""""),IF(AND(C7919&lt;&gt;"""",D7919&lt;&gt;"""",C7919=D7919),""gloss=figurative"",""""),IF(LEN(D7919)&lt;15,""figurative ছোট"",""""),IF(AND(I7919=""Positive"",REGEXMATCH(H7"&amp;"919,""মূর্খ|ভণ্ড|প্রতার|অলস|লোভ|স্বার্থ|অক্ষম|অযোগ্য|বোকা|কৃপণ|হিংস"")),""valence-target অমিল"",""""),IF(COUNTIF($B:$B,B7919)&gt;1,""ডুপ্লিকেট"",""""))"),"")</f>
        <v/>
      </c>
      <c r="Q7919" s="5" t="str">
        <f t="shared" si="1"/>
        <v>২ পরে</v>
      </c>
    </row>
    <row r="7920">
      <c r="A7920" s="4">
        <v>7488.0</v>
      </c>
      <c r="B7920" s="2" t="s">
        <v>31871</v>
      </c>
      <c r="C7920" s="2" t="s">
        <v>31872</v>
      </c>
      <c r="D7920" s="2" t="s">
        <v>31873</v>
      </c>
      <c r="E7920" s="2" t="s">
        <v>31874</v>
      </c>
      <c r="F7920" s="2" t="b">
        <v>1</v>
      </c>
      <c r="G7920" s="2" t="b">
        <v>0</v>
      </c>
      <c r="H7920" s="2" t="s">
        <v>521</v>
      </c>
      <c r="I7920" s="2" t="s">
        <v>22</v>
      </c>
      <c r="J7920" s="2" t="s">
        <v>300</v>
      </c>
      <c r="K7920" s="2" t="s">
        <v>495</v>
      </c>
      <c r="L7920" s="13" t="s">
        <v>496</v>
      </c>
      <c r="M7920" s="2" t="s">
        <v>26</v>
      </c>
      <c r="N7920" s="29"/>
      <c r="O7920" s="29"/>
      <c r="P7920" s="5" t="str">
        <f>IFERROR(__xludf.DUMMYFUNCTION("TEXTJOIN("" | "",TRUE,IF(OR(D7920="""",E7920="""",I7920="""",J7920="""",H7920=""""),""ফাঁকা ঘর"",""""),IF(AND(C7920&lt;&gt;"""",D7920&lt;&gt;"""",C7920=D7920),""gloss=figurative"",""""),IF(LEN(D7920)&lt;15,""figurative ছোট"",""""),IF(AND(I7920=""Positive"",REGEXMATCH(H7"&amp;"920,""মূর্খ|ভণ্ড|প্রতার|অলস|লোভ|স্বার্থ|অক্ষম|অযোগ্য|বোকা|কৃপণ|হিংস"")),""valence-target অমিল"",""""),IF(COUNTIF($B:$B,B7920)&gt;1,""ডুপ্লিকেট"",""""))"),"")</f>
        <v/>
      </c>
      <c r="Q7920" s="5" t="str">
        <f t="shared" si="1"/>
        <v>২ পরে</v>
      </c>
    </row>
    <row r="7921">
      <c r="A7921" s="4">
        <v>7489.0</v>
      </c>
      <c r="B7921" s="2" t="s">
        <v>31875</v>
      </c>
      <c r="C7921" s="2" t="s">
        <v>31876</v>
      </c>
      <c r="D7921" s="2" t="s">
        <v>31877</v>
      </c>
      <c r="E7921" s="2" t="s">
        <v>31878</v>
      </c>
      <c r="F7921" s="2" t="b">
        <v>1</v>
      </c>
      <c r="G7921" s="2" t="b">
        <v>0</v>
      </c>
      <c r="H7921" s="2" t="s">
        <v>37</v>
      </c>
      <c r="I7921" s="2" t="s">
        <v>49</v>
      </c>
      <c r="J7921" s="2" t="s">
        <v>708</v>
      </c>
      <c r="K7921" s="2" t="s">
        <v>495</v>
      </c>
      <c r="L7921" s="13" t="s">
        <v>496</v>
      </c>
      <c r="M7921" s="2" t="s">
        <v>26</v>
      </c>
      <c r="N7921" s="29"/>
      <c r="O7921" s="29"/>
      <c r="P7921" s="5" t="str">
        <f>IFERROR(__xludf.DUMMYFUNCTION("TEXTJOIN("" | "",TRUE,IF(OR(D7921="""",E7921="""",I7921="""",J7921="""",H7921=""""),""ফাঁকা ঘর"",""""),IF(AND(C7921&lt;&gt;"""",D7921&lt;&gt;"""",C7921=D7921),""gloss=figurative"",""""),IF(LEN(D7921)&lt;15,""figurative ছোট"",""""),IF(AND(I7921=""Positive"",REGEXMATCH(H7"&amp;"921,""মূর্খ|ভণ্ড|প্রতার|অলস|লোভ|স্বার্থ|অক্ষম|অযোগ্য|বোকা|কৃপণ|হিংস"")),""valence-target অমিল"",""""),IF(COUNTIF($B:$B,B7921)&gt;1,""ডুপ্লিকেট"",""""))"),"")</f>
        <v/>
      </c>
      <c r="Q7921" s="5" t="str">
        <f t="shared" si="1"/>
        <v>২ পরে</v>
      </c>
    </row>
    <row r="7922">
      <c r="A7922" s="4">
        <v>7490.0</v>
      </c>
      <c r="B7922" s="2" t="s">
        <v>31879</v>
      </c>
      <c r="C7922" s="2" t="s">
        <v>31880</v>
      </c>
      <c r="D7922" s="2" t="s">
        <v>31881</v>
      </c>
      <c r="E7922" s="2" t="s">
        <v>9986</v>
      </c>
      <c r="F7922" s="2" t="b">
        <v>1</v>
      </c>
      <c r="G7922" s="2" t="b">
        <v>0</v>
      </c>
      <c r="H7922" s="2" t="s">
        <v>31882</v>
      </c>
      <c r="I7922" s="2" t="s">
        <v>22</v>
      </c>
      <c r="J7922" s="2" t="s">
        <v>5524</v>
      </c>
      <c r="K7922" s="2" t="s">
        <v>495</v>
      </c>
      <c r="L7922" s="13" t="s">
        <v>496</v>
      </c>
      <c r="M7922" s="2" t="s">
        <v>26</v>
      </c>
      <c r="N7922" s="29"/>
      <c r="O7922" s="29"/>
      <c r="P7922" s="5" t="str">
        <f>IFERROR(__xludf.DUMMYFUNCTION("TEXTJOIN("" | "",TRUE,IF(OR(D7922="""",E7922="""",I7922="""",J7922="""",H7922=""""),""ফাঁকা ঘর"",""""),IF(AND(C7922&lt;&gt;"""",D7922&lt;&gt;"""",C7922=D7922),""gloss=figurative"",""""),IF(LEN(D7922)&lt;15,""figurative ছোট"",""""),IF(AND(I7922=""Positive"",REGEXMATCH(H7"&amp;"922,""মূর্খ|ভণ্ড|প্রতার|অলস|লোভ|স্বার্থ|অক্ষম|অযোগ্য|বোকা|কৃপণ|হিংস"")),""valence-target অমিল"",""""),IF(COUNTIF($B:$B,B7922)&gt;1,""ডুপ্লিকেট"",""""))"),"")</f>
        <v/>
      </c>
      <c r="Q7922" s="5" t="str">
        <f t="shared" si="1"/>
        <v>২ পরে</v>
      </c>
    </row>
    <row r="7923">
      <c r="A7923" s="4">
        <v>7491.0</v>
      </c>
      <c r="B7923" s="2" t="s">
        <v>31883</v>
      </c>
      <c r="C7923" s="2" t="s">
        <v>31884</v>
      </c>
      <c r="D7923" s="2" t="s">
        <v>31885</v>
      </c>
      <c r="E7923" s="2" t="s">
        <v>31886</v>
      </c>
      <c r="F7923" s="2" t="b">
        <v>1</v>
      </c>
      <c r="G7923" s="2" t="b">
        <v>0</v>
      </c>
      <c r="H7923" s="2" t="s">
        <v>37</v>
      </c>
      <c r="I7923" s="2" t="s">
        <v>22</v>
      </c>
      <c r="J7923" s="2" t="s">
        <v>1111</v>
      </c>
      <c r="K7923" s="2" t="s">
        <v>495</v>
      </c>
      <c r="L7923" s="13" t="s">
        <v>496</v>
      </c>
      <c r="M7923" s="2" t="s">
        <v>26</v>
      </c>
      <c r="N7923" s="29"/>
      <c r="O7923" s="29"/>
      <c r="P7923" s="5" t="str">
        <f>IFERROR(__xludf.DUMMYFUNCTION("TEXTJOIN("" | "",TRUE,IF(OR(D7923="""",E7923="""",I7923="""",J7923="""",H7923=""""),""ফাঁকা ঘর"",""""),IF(AND(C7923&lt;&gt;"""",D7923&lt;&gt;"""",C7923=D7923),""gloss=figurative"",""""),IF(LEN(D7923)&lt;15,""figurative ছোট"",""""),IF(AND(I7923=""Positive"",REGEXMATCH(H7"&amp;"923,""মূর্খ|ভণ্ড|প্রতার|অলস|লোভ|স্বার্থ|অক্ষম|অযোগ্য|বোকা|কৃপণ|হিংস"")),""valence-target অমিল"",""""),IF(COUNTIF($B:$B,B7923)&gt;1,""ডুপ্লিকেট"",""""))"),"")</f>
        <v/>
      </c>
      <c r="Q7923" s="5" t="str">
        <f t="shared" si="1"/>
        <v>২ পরে</v>
      </c>
    </row>
    <row r="7924">
      <c r="A7924" s="4">
        <v>7492.0</v>
      </c>
      <c r="B7924" s="2" t="s">
        <v>31887</v>
      </c>
      <c r="C7924" s="2" t="s">
        <v>31888</v>
      </c>
      <c r="D7924" s="2" t="s">
        <v>31889</v>
      </c>
      <c r="E7924" s="2" t="s">
        <v>31890</v>
      </c>
      <c r="F7924" s="2" t="b">
        <v>1</v>
      </c>
      <c r="G7924" s="2" t="b">
        <v>0</v>
      </c>
      <c r="H7924" s="2" t="s">
        <v>37</v>
      </c>
      <c r="I7924" s="2" t="s">
        <v>32</v>
      </c>
      <c r="J7924" s="2" t="s">
        <v>17749</v>
      </c>
      <c r="K7924" s="2" t="s">
        <v>495</v>
      </c>
      <c r="L7924" s="13" t="s">
        <v>496</v>
      </c>
      <c r="M7924" s="2" t="s">
        <v>26</v>
      </c>
      <c r="N7924" s="29"/>
      <c r="O7924" s="29"/>
      <c r="P7924" s="5" t="str">
        <f>IFERROR(__xludf.DUMMYFUNCTION("TEXTJOIN("" | "",TRUE,IF(OR(D7924="""",E7924="""",I7924="""",J7924="""",H7924=""""),""ফাঁকা ঘর"",""""),IF(AND(C7924&lt;&gt;"""",D7924&lt;&gt;"""",C7924=D7924),""gloss=figurative"",""""),IF(LEN(D7924)&lt;15,""figurative ছোট"",""""),IF(AND(I7924=""Positive"",REGEXMATCH(H7"&amp;"924,""মূর্খ|ভণ্ড|প্রতার|অলস|লোভ|স্বার্থ|অক্ষম|অযোগ্য|বোকা|কৃপণ|হিংস"")),""valence-target অমিল"",""""),IF(COUNTIF($B:$B,B7924)&gt;1,""ডুপ্লিকেট"",""""))"),"")</f>
        <v/>
      </c>
      <c r="Q7924" s="5" t="str">
        <f t="shared" si="1"/>
        <v>২ পরে</v>
      </c>
    </row>
    <row r="7925">
      <c r="A7925" s="4">
        <v>7493.0</v>
      </c>
      <c r="B7925" s="2" t="s">
        <v>31891</v>
      </c>
      <c r="C7925" s="2" t="s">
        <v>31892</v>
      </c>
      <c r="D7925" s="2" t="s">
        <v>31893</v>
      </c>
      <c r="E7925" s="2" t="s">
        <v>31894</v>
      </c>
      <c r="F7925" s="2" t="b">
        <v>1</v>
      </c>
      <c r="G7925" s="2" t="b">
        <v>0</v>
      </c>
      <c r="H7925" s="2" t="s">
        <v>37</v>
      </c>
      <c r="I7925" s="2" t="s">
        <v>49</v>
      </c>
      <c r="J7925" s="2" t="s">
        <v>1175</v>
      </c>
      <c r="K7925" s="2" t="s">
        <v>495</v>
      </c>
      <c r="L7925" s="13" t="s">
        <v>496</v>
      </c>
      <c r="M7925" s="2" t="s">
        <v>26</v>
      </c>
      <c r="N7925" s="29"/>
      <c r="O7925" s="29"/>
      <c r="P7925" s="5" t="str">
        <f>IFERROR(__xludf.DUMMYFUNCTION("TEXTJOIN("" | "",TRUE,IF(OR(D7925="""",E7925="""",I7925="""",J7925="""",H7925=""""),""ফাঁকা ঘর"",""""),IF(AND(C7925&lt;&gt;"""",D7925&lt;&gt;"""",C7925=D7925),""gloss=figurative"",""""),IF(LEN(D7925)&lt;15,""figurative ছোট"",""""),IF(AND(I7925=""Positive"",REGEXMATCH(H7"&amp;"925,""মূর্খ|ভণ্ড|প্রতার|অলস|লোভ|স্বার্থ|অক্ষম|অযোগ্য|বোকা|কৃপণ|হিংস"")),""valence-target অমিল"",""""),IF(COUNTIF($B:$B,B7925)&gt;1,""ডুপ্লিকেট"",""""))"),"")</f>
        <v/>
      </c>
      <c r="Q7925" s="5" t="str">
        <f t="shared" si="1"/>
        <v>২ পরে</v>
      </c>
    </row>
    <row r="7926">
      <c r="A7926" s="4">
        <v>7495.0</v>
      </c>
      <c r="B7926" s="2" t="s">
        <v>31895</v>
      </c>
      <c r="C7926" s="2" t="s">
        <v>31895</v>
      </c>
      <c r="D7926" s="2" t="s">
        <v>31896</v>
      </c>
      <c r="E7926" s="2" t="s">
        <v>31897</v>
      </c>
      <c r="F7926" s="2" t="b">
        <v>1</v>
      </c>
      <c r="G7926" s="2" t="b">
        <v>0</v>
      </c>
      <c r="H7926" s="2" t="s">
        <v>37</v>
      </c>
      <c r="I7926" s="2" t="s">
        <v>32</v>
      </c>
      <c r="J7926" s="2" t="s">
        <v>669</v>
      </c>
      <c r="K7926" s="2" t="s">
        <v>495</v>
      </c>
      <c r="L7926" s="13" t="s">
        <v>496</v>
      </c>
      <c r="M7926" s="2" t="s">
        <v>26</v>
      </c>
      <c r="N7926" s="29"/>
      <c r="O7926" s="29"/>
      <c r="P7926" s="5" t="str">
        <f>IFERROR(__xludf.DUMMYFUNCTION("TEXTJOIN("" | "",TRUE,IF(OR(D7926="""",E7926="""",I7926="""",J7926="""",H7926=""""),""ফাঁকা ঘর"",""""),IF(AND(C7926&lt;&gt;"""",D7926&lt;&gt;"""",C7926=D7926),""gloss=figurative"",""""),IF(LEN(D7926)&lt;15,""figurative ছোট"",""""),IF(AND(I7926=""Positive"",REGEXMATCH(H7"&amp;"926,""মূর্খ|ভণ্ড|প্রতার|অলস|লোভ|স্বার্থ|অক্ষম|অযোগ্য|বোকা|কৃপণ|হিংস"")),""valence-target অমিল"",""""),IF(COUNTIF($B:$B,B7926)&gt;1,""ডুপ্লিকেট"",""""))"),"")</f>
        <v/>
      </c>
      <c r="Q7926" s="5" t="str">
        <f t="shared" si="1"/>
        <v>২ পরে</v>
      </c>
    </row>
    <row r="7927">
      <c r="A7927" s="4">
        <v>7498.0</v>
      </c>
      <c r="B7927" s="2" t="s">
        <v>31898</v>
      </c>
      <c r="C7927" s="2" t="s">
        <v>31899</v>
      </c>
      <c r="D7927" s="2" t="s">
        <v>31900</v>
      </c>
      <c r="E7927" s="2" t="s">
        <v>31901</v>
      </c>
      <c r="F7927" s="2" t="b">
        <v>1</v>
      </c>
      <c r="G7927" s="2" t="b">
        <v>0</v>
      </c>
      <c r="H7927" s="2" t="s">
        <v>37</v>
      </c>
      <c r="I7927" s="2" t="s">
        <v>22</v>
      </c>
      <c r="J7927" s="2" t="s">
        <v>4374</v>
      </c>
      <c r="K7927" s="2" t="s">
        <v>495</v>
      </c>
      <c r="L7927" s="13" t="s">
        <v>496</v>
      </c>
      <c r="M7927" s="2" t="s">
        <v>26</v>
      </c>
      <c r="N7927" s="29"/>
      <c r="O7927" s="29"/>
      <c r="P7927" s="5" t="str">
        <f>IFERROR(__xludf.DUMMYFUNCTION("TEXTJOIN("" | "",TRUE,IF(OR(D7927="""",E7927="""",I7927="""",J7927="""",H7927=""""),""ফাঁকা ঘর"",""""),IF(AND(C7927&lt;&gt;"""",D7927&lt;&gt;"""",C7927=D7927),""gloss=figurative"",""""),IF(LEN(D7927)&lt;15,""figurative ছোট"",""""),IF(AND(I7927=""Positive"",REGEXMATCH(H7"&amp;"927,""মূর্খ|ভণ্ড|প্রতার|অলস|লোভ|স্বার্থ|অক্ষম|অযোগ্য|বোকা|কৃপণ|হিংস"")),""valence-target অমিল"",""""),IF(COUNTIF($B:$B,B7927)&gt;1,""ডুপ্লিকেট"",""""))"),"")</f>
        <v/>
      </c>
      <c r="Q7927" s="5" t="str">
        <f t="shared" si="1"/>
        <v>২ পরে</v>
      </c>
    </row>
    <row r="7928">
      <c r="A7928" s="4">
        <v>7501.0</v>
      </c>
      <c r="B7928" s="2" t="s">
        <v>31902</v>
      </c>
      <c r="C7928" s="2" t="s">
        <v>31903</v>
      </c>
      <c r="D7928" s="2" t="s">
        <v>31904</v>
      </c>
      <c r="E7928" s="2" t="s">
        <v>31905</v>
      </c>
      <c r="F7928" s="2" t="b">
        <v>1</v>
      </c>
      <c r="G7928" s="2" t="b">
        <v>0</v>
      </c>
      <c r="H7928" s="2" t="s">
        <v>37</v>
      </c>
      <c r="I7928" s="2" t="s">
        <v>22</v>
      </c>
      <c r="J7928" s="2" t="s">
        <v>300</v>
      </c>
      <c r="K7928" s="2" t="s">
        <v>495</v>
      </c>
      <c r="L7928" s="13" t="s">
        <v>496</v>
      </c>
      <c r="M7928" s="2" t="s">
        <v>26</v>
      </c>
      <c r="N7928" s="29"/>
      <c r="O7928" s="29"/>
      <c r="P7928" s="5" t="str">
        <f>IFERROR(__xludf.DUMMYFUNCTION("TEXTJOIN("" | "",TRUE,IF(OR(D7928="""",E7928="""",I7928="""",J7928="""",H7928=""""),""ফাঁকা ঘর"",""""),IF(AND(C7928&lt;&gt;"""",D7928&lt;&gt;"""",C7928=D7928),""gloss=figurative"",""""),IF(LEN(D7928)&lt;15,""figurative ছোট"",""""),IF(AND(I7928=""Positive"",REGEXMATCH(H7"&amp;"928,""মূর্খ|ভণ্ড|প্রতার|অলস|লোভ|স্বার্থ|অক্ষম|অযোগ্য|বোকা|কৃপণ|হিংস"")),""valence-target অমিল"",""""),IF(COUNTIF($B:$B,B7928)&gt;1,""ডুপ্লিকেট"",""""))"),"")</f>
        <v/>
      </c>
      <c r="Q7928" s="5" t="str">
        <f t="shared" si="1"/>
        <v>২ পরে</v>
      </c>
    </row>
    <row r="7929">
      <c r="A7929" s="4">
        <v>7504.0</v>
      </c>
      <c r="B7929" s="2" t="s">
        <v>31906</v>
      </c>
      <c r="C7929" s="2" t="s">
        <v>31907</v>
      </c>
      <c r="D7929" s="2" t="s">
        <v>31908</v>
      </c>
      <c r="E7929" s="2" t="s">
        <v>6804</v>
      </c>
      <c r="F7929" s="2" t="b">
        <v>1</v>
      </c>
      <c r="G7929" s="2" t="b">
        <v>0</v>
      </c>
      <c r="H7929" s="2" t="s">
        <v>37</v>
      </c>
      <c r="I7929" s="2" t="s">
        <v>32</v>
      </c>
      <c r="J7929" s="2" t="s">
        <v>3506</v>
      </c>
      <c r="K7929" s="2" t="s">
        <v>495</v>
      </c>
      <c r="L7929" s="13" t="s">
        <v>496</v>
      </c>
      <c r="M7929" s="2" t="s">
        <v>26</v>
      </c>
      <c r="N7929" s="29"/>
      <c r="O7929" s="29"/>
      <c r="P7929" s="5" t="str">
        <f>IFERROR(__xludf.DUMMYFUNCTION("TEXTJOIN("" | "",TRUE,IF(OR(D7929="""",E7929="""",I7929="""",J7929="""",H7929=""""),""ফাঁকা ঘর"",""""),IF(AND(C7929&lt;&gt;"""",D7929&lt;&gt;"""",C7929=D7929),""gloss=figurative"",""""),IF(LEN(D7929)&lt;15,""figurative ছোট"",""""),IF(AND(I7929=""Positive"",REGEXMATCH(H7"&amp;"929,""মূর্খ|ভণ্ড|প্রতার|অলস|লোভ|স্বার্থ|অক্ষম|অযোগ্য|বোকা|কৃপণ|হিংস"")),""valence-target অমিল"",""""),IF(COUNTIF($B:$B,B7929)&gt;1,""ডুপ্লিকেট"",""""))"),"")</f>
        <v/>
      </c>
      <c r="Q7929" s="5" t="str">
        <f t="shared" si="1"/>
        <v>২ পরে</v>
      </c>
    </row>
    <row r="7930">
      <c r="A7930" s="4">
        <v>7506.0</v>
      </c>
      <c r="B7930" s="2" t="s">
        <v>31909</v>
      </c>
      <c r="C7930" s="2" t="s">
        <v>31910</v>
      </c>
      <c r="D7930" s="2" t="s">
        <v>31911</v>
      </c>
      <c r="E7930" s="2" t="s">
        <v>31912</v>
      </c>
      <c r="F7930" s="2" t="b">
        <v>1</v>
      </c>
      <c r="G7930" s="2" t="b">
        <v>0</v>
      </c>
      <c r="H7930" s="2" t="s">
        <v>37</v>
      </c>
      <c r="I7930" s="2" t="s">
        <v>22</v>
      </c>
      <c r="J7930" s="2" t="s">
        <v>1027</v>
      </c>
      <c r="K7930" s="2" t="s">
        <v>495</v>
      </c>
      <c r="L7930" s="13" t="s">
        <v>496</v>
      </c>
      <c r="M7930" s="2" t="s">
        <v>26</v>
      </c>
      <c r="N7930" s="29"/>
      <c r="O7930" s="29"/>
      <c r="P7930" s="5" t="str">
        <f>IFERROR(__xludf.DUMMYFUNCTION("TEXTJOIN("" | "",TRUE,IF(OR(D7930="""",E7930="""",I7930="""",J7930="""",H7930=""""),""ফাঁকা ঘর"",""""),IF(AND(C7930&lt;&gt;"""",D7930&lt;&gt;"""",C7930=D7930),""gloss=figurative"",""""),IF(LEN(D7930)&lt;15,""figurative ছোট"",""""),IF(AND(I7930=""Positive"",REGEXMATCH(H7"&amp;"930,""মূর্খ|ভণ্ড|প্রতার|অলস|লোভ|স্বার্থ|অক্ষম|অযোগ্য|বোকা|কৃপণ|হিংস"")),""valence-target অমিল"",""""),IF(COUNTIF($B:$B,B7930)&gt;1,""ডুপ্লিকেট"",""""))"),"")</f>
        <v/>
      </c>
      <c r="Q7930" s="5" t="str">
        <f t="shared" si="1"/>
        <v>২ পরে</v>
      </c>
    </row>
    <row r="7931">
      <c r="A7931" s="4">
        <v>7507.0</v>
      </c>
      <c r="B7931" s="2" t="s">
        <v>31913</v>
      </c>
      <c r="C7931" s="2" t="s">
        <v>31914</v>
      </c>
      <c r="D7931" s="2" t="s">
        <v>31915</v>
      </c>
      <c r="E7931" s="2" t="s">
        <v>31916</v>
      </c>
      <c r="F7931" s="2" t="b">
        <v>1</v>
      </c>
      <c r="G7931" s="2" t="b">
        <v>0</v>
      </c>
      <c r="H7931" s="2" t="s">
        <v>37</v>
      </c>
      <c r="I7931" s="2" t="s">
        <v>32</v>
      </c>
      <c r="J7931" s="2" t="s">
        <v>17749</v>
      </c>
      <c r="K7931" s="2" t="s">
        <v>495</v>
      </c>
      <c r="L7931" s="13" t="s">
        <v>496</v>
      </c>
      <c r="M7931" s="2" t="s">
        <v>26</v>
      </c>
      <c r="N7931" s="29"/>
      <c r="O7931" s="29"/>
      <c r="P7931" s="5" t="str">
        <f>IFERROR(__xludf.DUMMYFUNCTION("TEXTJOIN("" | "",TRUE,IF(OR(D7931="""",E7931="""",I7931="""",J7931="""",H7931=""""),""ফাঁকা ঘর"",""""),IF(AND(C7931&lt;&gt;"""",D7931&lt;&gt;"""",C7931=D7931),""gloss=figurative"",""""),IF(LEN(D7931)&lt;15,""figurative ছোট"",""""),IF(AND(I7931=""Positive"",REGEXMATCH(H7"&amp;"931,""মূর্খ|ভণ্ড|প্রতার|অলস|লোভ|স্বার্থ|অক্ষম|অযোগ্য|বোকা|কৃপণ|হিংস"")),""valence-target অমিল"",""""),IF(COUNTIF($B:$B,B7931)&gt;1,""ডুপ্লিকেট"",""""))"),"")</f>
        <v/>
      </c>
      <c r="Q7931" s="5" t="str">
        <f t="shared" si="1"/>
        <v>২ পরে</v>
      </c>
    </row>
    <row r="7932">
      <c r="A7932" s="4">
        <v>7510.0</v>
      </c>
      <c r="B7932" s="2" t="s">
        <v>31917</v>
      </c>
      <c r="C7932" s="2" t="s">
        <v>31918</v>
      </c>
      <c r="D7932" s="2" t="s">
        <v>31919</v>
      </c>
      <c r="E7932" s="2" t="s">
        <v>31920</v>
      </c>
      <c r="F7932" s="2" t="b">
        <v>1</v>
      </c>
      <c r="G7932" s="2" t="b">
        <v>0</v>
      </c>
      <c r="H7932" s="2" t="s">
        <v>37</v>
      </c>
      <c r="I7932" s="2" t="s">
        <v>22</v>
      </c>
      <c r="J7932" s="2" t="s">
        <v>4374</v>
      </c>
      <c r="K7932" s="2" t="s">
        <v>495</v>
      </c>
      <c r="L7932" s="13" t="s">
        <v>496</v>
      </c>
      <c r="M7932" s="2" t="s">
        <v>26</v>
      </c>
      <c r="N7932" s="29"/>
      <c r="O7932" s="29"/>
      <c r="P7932" s="5" t="str">
        <f>IFERROR(__xludf.DUMMYFUNCTION("TEXTJOIN("" | "",TRUE,IF(OR(D7932="""",E7932="""",I7932="""",J7932="""",H7932=""""),""ফাঁকা ঘর"",""""),IF(AND(C7932&lt;&gt;"""",D7932&lt;&gt;"""",C7932=D7932),""gloss=figurative"",""""),IF(LEN(D7932)&lt;15,""figurative ছোট"",""""),IF(AND(I7932=""Positive"",REGEXMATCH(H7"&amp;"932,""মূর্খ|ভণ্ড|প্রতার|অলস|লোভ|স্বার্থ|অক্ষম|অযোগ্য|বোকা|কৃপণ|হিংস"")),""valence-target অমিল"",""""),IF(COUNTIF($B:$B,B7932)&gt;1,""ডুপ্লিকেট"",""""))"),"")</f>
        <v/>
      </c>
      <c r="Q7932" s="5" t="str">
        <f t="shared" si="1"/>
        <v>২ পরে</v>
      </c>
    </row>
    <row r="7933">
      <c r="A7933" s="4">
        <v>7514.0</v>
      </c>
      <c r="B7933" s="2" t="s">
        <v>31921</v>
      </c>
      <c r="C7933" s="2" t="s">
        <v>31922</v>
      </c>
      <c r="D7933" s="2" t="s">
        <v>31923</v>
      </c>
      <c r="E7933" s="2" t="s">
        <v>31924</v>
      </c>
      <c r="F7933" s="2" t="b">
        <v>1</v>
      </c>
      <c r="G7933" s="2" t="b">
        <v>0</v>
      </c>
      <c r="H7933" s="2" t="s">
        <v>37</v>
      </c>
      <c r="I7933" s="2" t="s">
        <v>22</v>
      </c>
      <c r="J7933" s="2" t="s">
        <v>1438</v>
      </c>
      <c r="K7933" s="2" t="s">
        <v>495</v>
      </c>
      <c r="L7933" s="13" t="s">
        <v>496</v>
      </c>
      <c r="M7933" s="2" t="s">
        <v>26</v>
      </c>
      <c r="N7933" s="29"/>
      <c r="O7933" s="29"/>
      <c r="P7933" s="5" t="str">
        <f>IFERROR(__xludf.DUMMYFUNCTION("TEXTJOIN("" | "",TRUE,IF(OR(D7933="""",E7933="""",I7933="""",J7933="""",H7933=""""),""ফাঁকা ঘর"",""""),IF(AND(C7933&lt;&gt;"""",D7933&lt;&gt;"""",C7933=D7933),""gloss=figurative"",""""),IF(LEN(D7933)&lt;15,""figurative ছোট"",""""),IF(AND(I7933=""Positive"",REGEXMATCH(H7"&amp;"933,""মূর্খ|ভণ্ড|প্রতার|অলস|লোভ|স্বার্থ|অক্ষম|অযোগ্য|বোকা|কৃপণ|হিংস"")),""valence-target অমিল"",""""),IF(COUNTIF($B:$B,B7933)&gt;1,""ডুপ্লিকেট"",""""))"),"")</f>
        <v/>
      </c>
      <c r="Q7933" s="5" t="str">
        <f t="shared" si="1"/>
        <v>২ পরে</v>
      </c>
    </row>
    <row r="7934">
      <c r="A7934" s="4">
        <v>7516.0</v>
      </c>
      <c r="B7934" s="2" t="s">
        <v>31925</v>
      </c>
      <c r="C7934" s="2" t="s">
        <v>31926</v>
      </c>
      <c r="D7934" s="2" t="s">
        <v>31927</v>
      </c>
      <c r="E7934" s="2" t="s">
        <v>31928</v>
      </c>
      <c r="F7934" s="2" t="b">
        <v>1</v>
      </c>
      <c r="G7934" s="2" t="b">
        <v>0</v>
      </c>
      <c r="H7934" s="2" t="s">
        <v>37</v>
      </c>
      <c r="I7934" s="2" t="s">
        <v>49</v>
      </c>
      <c r="J7934" s="2" t="s">
        <v>176</v>
      </c>
      <c r="K7934" s="2" t="s">
        <v>495</v>
      </c>
      <c r="L7934" s="13" t="s">
        <v>496</v>
      </c>
      <c r="M7934" s="2" t="s">
        <v>26</v>
      </c>
      <c r="N7934" s="29"/>
      <c r="O7934" s="29"/>
      <c r="P7934" s="5" t="str">
        <f>IFERROR(__xludf.DUMMYFUNCTION("TEXTJOIN("" | "",TRUE,IF(OR(D7934="""",E7934="""",I7934="""",J7934="""",H7934=""""),""ফাঁকা ঘর"",""""),IF(AND(C7934&lt;&gt;"""",D7934&lt;&gt;"""",C7934=D7934),""gloss=figurative"",""""),IF(LEN(D7934)&lt;15,""figurative ছোট"",""""),IF(AND(I7934=""Positive"",REGEXMATCH(H7"&amp;"934,""মূর্খ|ভণ্ড|প্রতার|অলস|লোভ|স্বার্থ|অক্ষম|অযোগ্য|বোকা|কৃপণ|হিংস"")),""valence-target অমিল"",""""),IF(COUNTIF($B:$B,B7934)&gt;1,""ডুপ্লিকেট"",""""))"),"")</f>
        <v/>
      </c>
      <c r="Q7934" s="5" t="str">
        <f t="shared" si="1"/>
        <v>২ পরে</v>
      </c>
    </row>
    <row r="7935">
      <c r="A7935" s="4">
        <v>7517.0</v>
      </c>
      <c r="B7935" s="2" t="s">
        <v>31929</v>
      </c>
      <c r="C7935" s="2" t="s">
        <v>31930</v>
      </c>
      <c r="D7935" s="2" t="s">
        <v>30870</v>
      </c>
      <c r="E7935" s="2" t="s">
        <v>31931</v>
      </c>
      <c r="F7935" s="2" t="b">
        <v>1</v>
      </c>
      <c r="G7935" s="2" t="b">
        <v>0</v>
      </c>
      <c r="H7935" s="2" t="s">
        <v>37</v>
      </c>
      <c r="I7935" s="2" t="s">
        <v>49</v>
      </c>
      <c r="J7935" s="2" t="s">
        <v>1008</v>
      </c>
      <c r="K7935" s="2" t="s">
        <v>495</v>
      </c>
      <c r="L7935" s="13" t="s">
        <v>496</v>
      </c>
      <c r="M7935" s="2" t="s">
        <v>26</v>
      </c>
      <c r="N7935" s="29"/>
      <c r="O7935" s="29"/>
      <c r="P7935" s="5" t="str">
        <f>IFERROR(__xludf.DUMMYFUNCTION("TEXTJOIN("" | "",TRUE,IF(OR(D7935="""",E7935="""",I7935="""",J7935="""",H7935=""""),""ফাঁকা ঘর"",""""),IF(AND(C7935&lt;&gt;"""",D7935&lt;&gt;"""",C7935=D7935),""gloss=figurative"",""""),IF(LEN(D7935)&lt;15,""figurative ছোট"",""""),IF(AND(I7935=""Positive"",REGEXMATCH(H7"&amp;"935,""মূর্খ|ভণ্ড|প্রতার|অলস|লোভ|স্বার্থ|অক্ষম|অযোগ্য|বোকা|কৃপণ|হিংস"")),""valence-target অমিল"",""""),IF(COUNTIF($B:$B,B7935)&gt;1,""ডুপ্লিকেট"",""""))"),"")</f>
        <v/>
      </c>
      <c r="Q7935" s="5" t="str">
        <f t="shared" si="1"/>
        <v>২ পরে</v>
      </c>
    </row>
    <row r="7936">
      <c r="A7936" s="4">
        <v>7518.0</v>
      </c>
      <c r="B7936" s="2" t="s">
        <v>31932</v>
      </c>
      <c r="C7936" s="2" t="s">
        <v>31933</v>
      </c>
      <c r="D7936" s="2" t="s">
        <v>31934</v>
      </c>
      <c r="E7936" s="2" t="s">
        <v>5263</v>
      </c>
      <c r="F7936" s="2" t="b">
        <v>1</v>
      </c>
      <c r="G7936" s="2" t="b">
        <v>0</v>
      </c>
      <c r="H7936" s="2" t="s">
        <v>37</v>
      </c>
      <c r="I7936" s="2" t="s">
        <v>49</v>
      </c>
      <c r="J7936" s="2" t="s">
        <v>3570</v>
      </c>
      <c r="K7936" s="2" t="s">
        <v>495</v>
      </c>
      <c r="L7936" s="13" t="s">
        <v>496</v>
      </c>
      <c r="M7936" s="2" t="s">
        <v>26</v>
      </c>
      <c r="N7936" s="29"/>
      <c r="O7936" s="29"/>
      <c r="P7936" s="5" t="str">
        <f>IFERROR(__xludf.DUMMYFUNCTION("TEXTJOIN("" | "",TRUE,IF(OR(D7936="""",E7936="""",I7936="""",J7936="""",H7936=""""),""ফাঁকা ঘর"",""""),IF(AND(C7936&lt;&gt;"""",D7936&lt;&gt;"""",C7936=D7936),""gloss=figurative"",""""),IF(LEN(D7936)&lt;15,""figurative ছোট"",""""),IF(AND(I7936=""Positive"",REGEXMATCH(H7"&amp;"936,""মূর্খ|ভণ্ড|প্রতার|অলস|লোভ|স্বার্থ|অক্ষম|অযোগ্য|বোকা|কৃপণ|হিংস"")),""valence-target অমিল"",""""),IF(COUNTIF($B:$B,B7936)&gt;1,""ডুপ্লিকেট"",""""))"),"")</f>
        <v/>
      </c>
      <c r="Q7936" s="5" t="str">
        <f t="shared" si="1"/>
        <v>২ পরে</v>
      </c>
    </row>
    <row r="7937">
      <c r="A7937" s="4">
        <v>7519.0</v>
      </c>
      <c r="B7937" s="2" t="s">
        <v>31935</v>
      </c>
      <c r="C7937" s="2" t="s">
        <v>31936</v>
      </c>
      <c r="D7937" s="2" t="s">
        <v>31919</v>
      </c>
      <c r="E7937" s="2" t="s">
        <v>31937</v>
      </c>
      <c r="F7937" s="2" t="b">
        <v>1</v>
      </c>
      <c r="G7937" s="2" t="b">
        <v>0</v>
      </c>
      <c r="H7937" s="2" t="s">
        <v>37</v>
      </c>
      <c r="I7937" s="2" t="s">
        <v>22</v>
      </c>
      <c r="J7937" s="2" t="s">
        <v>4374</v>
      </c>
      <c r="K7937" s="2" t="s">
        <v>495</v>
      </c>
      <c r="L7937" s="13" t="s">
        <v>496</v>
      </c>
      <c r="M7937" s="2" t="s">
        <v>26</v>
      </c>
      <c r="N7937" s="29"/>
      <c r="O7937" s="29"/>
      <c r="P7937" s="5" t="str">
        <f>IFERROR(__xludf.DUMMYFUNCTION("TEXTJOIN("" | "",TRUE,IF(OR(D7937="""",E7937="""",I7937="""",J7937="""",H7937=""""),""ফাঁকা ঘর"",""""),IF(AND(C7937&lt;&gt;"""",D7937&lt;&gt;"""",C7937=D7937),""gloss=figurative"",""""),IF(LEN(D7937)&lt;15,""figurative ছোট"",""""),IF(AND(I7937=""Positive"",REGEXMATCH(H7"&amp;"937,""মূর্খ|ভণ্ড|প্রতার|অলস|লোভ|স্বার্থ|অক্ষম|অযোগ্য|বোকা|কৃপণ|হিংস"")),""valence-target অমিল"",""""),IF(COUNTIF($B:$B,B7937)&gt;1,""ডুপ্লিকেট"",""""))"),"")</f>
        <v/>
      </c>
      <c r="Q7937" s="5" t="str">
        <f t="shared" si="1"/>
        <v>২ পরে</v>
      </c>
    </row>
    <row r="7938">
      <c r="A7938" s="4">
        <v>7521.0</v>
      </c>
      <c r="B7938" s="2" t="s">
        <v>31938</v>
      </c>
      <c r="C7938" s="2" t="s">
        <v>31939</v>
      </c>
      <c r="D7938" s="2" t="s">
        <v>31919</v>
      </c>
      <c r="E7938" s="2" t="s">
        <v>31940</v>
      </c>
      <c r="F7938" s="2" t="b">
        <v>1</v>
      </c>
      <c r="G7938" s="2" t="b">
        <v>0</v>
      </c>
      <c r="H7938" s="2" t="s">
        <v>37</v>
      </c>
      <c r="I7938" s="2" t="s">
        <v>22</v>
      </c>
      <c r="J7938" s="2" t="s">
        <v>4374</v>
      </c>
      <c r="K7938" s="2" t="s">
        <v>495</v>
      </c>
      <c r="L7938" s="13" t="s">
        <v>496</v>
      </c>
      <c r="M7938" s="2" t="s">
        <v>26</v>
      </c>
      <c r="N7938" s="29"/>
      <c r="O7938" s="29"/>
      <c r="P7938" s="5" t="str">
        <f>IFERROR(__xludf.DUMMYFUNCTION("TEXTJOIN("" | "",TRUE,IF(OR(D7938="""",E7938="""",I7938="""",J7938="""",H7938=""""),""ফাঁকা ঘর"",""""),IF(AND(C7938&lt;&gt;"""",D7938&lt;&gt;"""",C7938=D7938),""gloss=figurative"",""""),IF(LEN(D7938)&lt;15,""figurative ছোট"",""""),IF(AND(I7938=""Positive"",REGEXMATCH(H7"&amp;"938,""মূর্খ|ভণ্ড|প্রতার|অলস|লোভ|স্বার্থ|অক্ষম|অযোগ্য|বোকা|কৃপণ|হিংস"")),""valence-target অমিল"",""""),IF(COUNTIF($B:$B,B7938)&gt;1,""ডুপ্লিকেট"",""""))"),"")</f>
        <v/>
      </c>
      <c r="Q7938" s="5" t="str">
        <f t="shared" si="1"/>
        <v>২ পরে</v>
      </c>
    </row>
    <row r="7939">
      <c r="A7939" s="4">
        <v>7524.0</v>
      </c>
      <c r="B7939" s="2" t="s">
        <v>31941</v>
      </c>
      <c r="C7939" s="2" t="s">
        <v>31942</v>
      </c>
      <c r="D7939" s="2" t="s">
        <v>31943</v>
      </c>
      <c r="E7939" s="2" t="s">
        <v>31944</v>
      </c>
      <c r="F7939" s="2" t="b">
        <v>1</v>
      </c>
      <c r="G7939" s="2" t="b">
        <v>0</v>
      </c>
      <c r="H7939" s="2" t="s">
        <v>37</v>
      </c>
      <c r="I7939" s="2" t="s">
        <v>32</v>
      </c>
      <c r="J7939" s="2" t="s">
        <v>3506</v>
      </c>
      <c r="K7939" s="2" t="s">
        <v>495</v>
      </c>
      <c r="L7939" s="13" t="s">
        <v>496</v>
      </c>
      <c r="M7939" s="2" t="s">
        <v>26</v>
      </c>
      <c r="N7939" s="29"/>
      <c r="O7939" s="29"/>
      <c r="P7939" s="5" t="str">
        <f>IFERROR(__xludf.DUMMYFUNCTION("TEXTJOIN("" | "",TRUE,IF(OR(D7939="""",E7939="""",I7939="""",J7939="""",H7939=""""),""ফাঁকা ঘর"",""""),IF(AND(C7939&lt;&gt;"""",D7939&lt;&gt;"""",C7939=D7939),""gloss=figurative"",""""),IF(LEN(D7939)&lt;15,""figurative ছোট"",""""),IF(AND(I7939=""Positive"",REGEXMATCH(H7"&amp;"939,""মূর্খ|ভণ্ড|প্রতার|অলস|লোভ|স্বার্থ|অক্ষম|অযোগ্য|বোকা|কৃপণ|হিংস"")),""valence-target অমিল"",""""),IF(COUNTIF($B:$B,B7939)&gt;1,""ডুপ্লিকেট"",""""))"),"")</f>
        <v/>
      </c>
      <c r="Q7939" s="5" t="str">
        <f t="shared" si="1"/>
        <v>২ পরে</v>
      </c>
    </row>
    <row r="7940">
      <c r="A7940" s="4">
        <v>7528.0</v>
      </c>
      <c r="B7940" s="2" t="s">
        <v>31945</v>
      </c>
      <c r="C7940" s="2" t="s">
        <v>31946</v>
      </c>
      <c r="D7940" s="2" t="s">
        <v>31947</v>
      </c>
      <c r="E7940" s="2" t="s">
        <v>31948</v>
      </c>
      <c r="F7940" s="2" t="b">
        <v>1</v>
      </c>
      <c r="G7940" s="2" t="b">
        <v>0</v>
      </c>
      <c r="H7940" s="2" t="s">
        <v>37</v>
      </c>
      <c r="I7940" s="2" t="s">
        <v>22</v>
      </c>
      <c r="J7940" s="2" t="s">
        <v>5862</v>
      </c>
      <c r="K7940" s="2" t="s">
        <v>495</v>
      </c>
      <c r="L7940" s="13" t="s">
        <v>496</v>
      </c>
      <c r="M7940" s="2" t="s">
        <v>26</v>
      </c>
      <c r="N7940" s="29"/>
      <c r="O7940" s="29"/>
      <c r="P7940" s="5" t="str">
        <f>IFERROR(__xludf.DUMMYFUNCTION("TEXTJOIN("" | "",TRUE,IF(OR(D7940="""",E7940="""",I7940="""",J7940="""",H7940=""""),""ফাঁকা ঘর"",""""),IF(AND(C7940&lt;&gt;"""",D7940&lt;&gt;"""",C7940=D7940),""gloss=figurative"",""""),IF(LEN(D7940)&lt;15,""figurative ছোট"",""""),IF(AND(I7940=""Positive"",REGEXMATCH(H7"&amp;"940,""মূর্খ|ভণ্ড|প্রতার|অলস|লোভ|স্বার্থ|অক্ষম|অযোগ্য|বোকা|কৃপণ|হিংস"")),""valence-target অমিল"",""""),IF(COUNTIF($B:$B,B7940)&gt;1,""ডুপ্লিকেট"",""""))"),"")</f>
        <v/>
      </c>
      <c r="Q7940" s="5" t="str">
        <f t="shared" si="1"/>
        <v>২ পরে</v>
      </c>
    </row>
    <row r="7941">
      <c r="A7941" s="4">
        <v>7530.0</v>
      </c>
      <c r="B7941" s="2" t="s">
        <v>31949</v>
      </c>
      <c r="C7941" s="2" t="s">
        <v>31950</v>
      </c>
      <c r="D7941" s="2" t="s">
        <v>31951</v>
      </c>
      <c r="E7941" s="2" t="s">
        <v>31952</v>
      </c>
      <c r="F7941" s="2" t="b">
        <v>1</v>
      </c>
      <c r="G7941" s="2" t="b">
        <v>1</v>
      </c>
      <c r="H7941" s="2" t="s">
        <v>1106</v>
      </c>
      <c r="I7941" s="2" t="s">
        <v>22</v>
      </c>
      <c r="J7941" s="2" t="s">
        <v>1038</v>
      </c>
      <c r="K7941" s="2" t="s">
        <v>495</v>
      </c>
      <c r="L7941" s="13" t="s">
        <v>496</v>
      </c>
      <c r="M7941" s="2" t="s">
        <v>26</v>
      </c>
      <c r="N7941" s="29"/>
      <c r="O7941" s="29"/>
      <c r="P7941" s="5" t="str">
        <f>IFERROR(__xludf.DUMMYFUNCTION("TEXTJOIN("" | "",TRUE,IF(OR(D7941="""",E7941="""",I7941="""",J7941="""",H7941=""""),""ফাঁকা ঘর"",""""),IF(AND(C7941&lt;&gt;"""",D7941&lt;&gt;"""",C7941=D7941),""gloss=figurative"",""""),IF(LEN(D7941)&lt;15,""figurative ছোট"",""""),IF(AND(I7941=""Positive"",REGEXMATCH(H7"&amp;"941,""মূর্খ|ভণ্ড|প্রতার|অলস|লোভ|স্বার্থ|অক্ষম|অযোগ্য|বোকা|কৃপণ|হিংস"")),""valence-target অমিল"",""""),IF(COUNTIF($B:$B,B7941)&gt;1,""ডুপ্লিকেট"",""""))"),"")</f>
        <v/>
      </c>
      <c r="Q7941" s="5" t="str">
        <f t="shared" si="1"/>
        <v>২ পরে</v>
      </c>
    </row>
    <row r="7942">
      <c r="A7942" s="4">
        <v>7534.0</v>
      </c>
      <c r="B7942" s="2" t="s">
        <v>31953</v>
      </c>
      <c r="C7942" s="2" t="s">
        <v>31953</v>
      </c>
      <c r="D7942" s="2" t="s">
        <v>31954</v>
      </c>
      <c r="E7942" s="2" t="s">
        <v>31955</v>
      </c>
      <c r="F7942" s="2" t="b">
        <v>1</v>
      </c>
      <c r="G7942" s="2" t="b">
        <v>0</v>
      </c>
      <c r="H7942" s="2" t="s">
        <v>37</v>
      </c>
      <c r="I7942" s="2" t="s">
        <v>22</v>
      </c>
      <c r="J7942" s="2" t="s">
        <v>2040</v>
      </c>
      <c r="K7942" s="2" t="s">
        <v>495</v>
      </c>
      <c r="L7942" s="13" t="s">
        <v>496</v>
      </c>
      <c r="M7942" s="2" t="s">
        <v>26</v>
      </c>
      <c r="N7942" s="29"/>
      <c r="O7942" s="29"/>
      <c r="P7942" s="5" t="str">
        <f>IFERROR(__xludf.DUMMYFUNCTION("TEXTJOIN("" | "",TRUE,IF(OR(D7942="""",E7942="""",I7942="""",J7942="""",H7942=""""),""ফাঁকা ঘর"",""""),IF(AND(C7942&lt;&gt;"""",D7942&lt;&gt;"""",C7942=D7942),""gloss=figurative"",""""),IF(LEN(D7942)&lt;15,""figurative ছোট"",""""),IF(AND(I7942=""Positive"",REGEXMATCH(H7"&amp;"942,""মূর্খ|ভণ্ড|প্রতার|অলস|লোভ|স্বার্থ|অক্ষম|অযোগ্য|বোকা|কৃপণ|হিংস"")),""valence-target অমিল"",""""),IF(COUNTIF($B:$B,B7942)&gt;1,""ডুপ্লিকেট"",""""))"),"")</f>
        <v/>
      </c>
      <c r="Q7942" s="5" t="str">
        <f t="shared" si="1"/>
        <v>২ পরে</v>
      </c>
    </row>
    <row r="7943">
      <c r="A7943" s="4">
        <v>7535.0</v>
      </c>
      <c r="B7943" s="2" t="s">
        <v>31956</v>
      </c>
      <c r="C7943" s="2" t="s">
        <v>31956</v>
      </c>
      <c r="D7943" s="2" t="s">
        <v>31957</v>
      </c>
      <c r="E7943" s="2" t="s">
        <v>31958</v>
      </c>
      <c r="F7943" s="2" t="b">
        <v>1</v>
      </c>
      <c r="G7943" s="2" t="b">
        <v>0</v>
      </c>
      <c r="H7943" s="2" t="s">
        <v>37</v>
      </c>
      <c r="I7943" s="2" t="s">
        <v>22</v>
      </c>
      <c r="J7943" s="2" t="s">
        <v>5207</v>
      </c>
      <c r="K7943" s="2" t="s">
        <v>495</v>
      </c>
      <c r="L7943" s="13" t="s">
        <v>496</v>
      </c>
      <c r="M7943" s="2" t="s">
        <v>26</v>
      </c>
      <c r="N7943" s="29"/>
      <c r="O7943" s="29"/>
      <c r="P7943" s="5" t="str">
        <f>IFERROR(__xludf.DUMMYFUNCTION("TEXTJOIN("" | "",TRUE,IF(OR(D7943="""",E7943="""",I7943="""",J7943="""",H7943=""""),""ফাঁকা ঘর"",""""),IF(AND(C7943&lt;&gt;"""",D7943&lt;&gt;"""",C7943=D7943),""gloss=figurative"",""""),IF(LEN(D7943)&lt;15,""figurative ছোট"",""""),IF(AND(I7943=""Positive"",REGEXMATCH(H7"&amp;"943,""মূর্খ|ভণ্ড|প্রতার|অলস|লোভ|স্বার্থ|অক্ষম|অযোগ্য|বোকা|কৃপণ|হিংস"")),""valence-target অমিল"",""""),IF(COUNTIF($B:$B,B7943)&gt;1,""ডুপ্লিকেট"",""""))"),"")</f>
        <v/>
      </c>
      <c r="Q7943" s="5" t="str">
        <f t="shared" si="1"/>
        <v>২ পরে</v>
      </c>
    </row>
    <row r="7944">
      <c r="A7944" s="4">
        <v>7537.0</v>
      </c>
      <c r="B7944" s="2" t="s">
        <v>31959</v>
      </c>
      <c r="C7944" s="2" t="s">
        <v>31960</v>
      </c>
      <c r="D7944" s="2" t="s">
        <v>31961</v>
      </c>
      <c r="E7944" s="2" t="s">
        <v>31962</v>
      </c>
      <c r="F7944" s="2" t="b">
        <v>1</v>
      </c>
      <c r="G7944" s="2" t="b">
        <v>0</v>
      </c>
      <c r="H7944" s="2" t="s">
        <v>37</v>
      </c>
      <c r="I7944" s="2" t="s">
        <v>49</v>
      </c>
      <c r="J7944" s="2" t="s">
        <v>2002</v>
      </c>
      <c r="K7944" s="2" t="s">
        <v>495</v>
      </c>
      <c r="L7944" s="13" t="s">
        <v>496</v>
      </c>
      <c r="M7944" s="2" t="s">
        <v>26</v>
      </c>
      <c r="N7944" s="29"/>
      <c r="O7944" s="29"/>
      <c r="P7944" s="5" t="str">
        <f>IFERROR(__xludf.DUMMYFUNCTION("TEXTJOIN("" | "",TRUE,IF(OR(D7944="""",E7944="""",I7944="""",J7944="""",H7944=""""),""ফাঁকা ঘর"",""""),IF(AND(C7944&lt;&gt;"""",D7944&lt;&gt;"""",C7944=D7944),""gloss=figurative"",""""),IF(LEN(D7944)&lt;15,""figurative ছোট"",""""),IF(AND(I7944=""Positive"",REGEXMATCH(H7"&amp;"944,""মূর্খ|ভণ্ড|প্রতার|অলস|লোভ|স্বার্থ|অক্ষম|অযোগ্য|বোকা|কৃপণ|হিংস"")),""valence-target অমিল"",""""),IF(COUNTIF($B:$B,B7944)&gt;1,""ডুপ্লিকেট"",""""))"),"")</f>
        <v/>
      </c>
      <c r="Q7944" s="5" t="str">
        <f t="shared" si="1"/>
        <v>২ পরে</v>
      </c>
    </row>
    <row r="7945">
      <c r="A7945" s="4">
        <v>7540.0</v>
      </c>
      <c r="B7945" s="2" t="s">
        <v>31963</v>
      </c>
      <c r="C7945" s="2" t="s">
        <v>31964</v>
      </c>
      <c r="D7945" s="2" t="s">
        <v>31965</v>
      </c>
      <c r="E7945" s="2" t="s">
        <v>31966</v>
      </c>
      <c r="F7945" s="2" t="b">
        <v>1</v>
      </c>
      <c r="G7945" s="2" t="b">
        <v>0</v>
      </c>
      <c r="H7945" s="2" t="s">
        <v>37</v>
      </c>
      <c r="I7945" s="2" t="s">
        <v>22</v>
      </c>
      <c r="J7945" s="2" t="s">
        <v>7349</v>
      </c>
      <c r="K7945" s="2" t="s">
        <v>495</v>
      </c>
      <c r="L7945" s="13" t="s">
        <v>496</v>
      </c>
      <c r="M7945" s="2" t="s">
        <v>26</v>
      </c>
      <c r="N7945" s="29"/>
      <c r="O7945" s="29"/>
      <c r="P7945" s="5" t="str">
        <f>IFERROR(__xludf.DUMMYFUNCTION("TEXTJOIN("" | "",TRUE,IF(OR(D7945="""",E7945="""",I7945="""",J7945="""",H7945=""""),""ফাঁকা ঘর"",""""),IF(AND(C7945&lt;&gt;"""",D7945&lt;&gt;"""",C7945=D7945),""gloss=figurative"",""""),IF(LEN(D7945)&lt;15,""figurative ছোট"",""""),IF(AND(I7945=""Positive"",REGEXMATCH(H7"&amp;"945,""মূর্খ|ভণ্ড|প্রতার|অলস|লোভ|স্বার্থ|অক্ষম|অযোগ্য|বোকা|কৃপণ|হিংস"")),""valence-target অমিল"",""""),IF(COUNTIF($B:$B,B7945)&gt;1,""ডুপ্লিকেট"",""""))"),"")</f>
        <v/>
      </c>
      <c r="Q7945" s="5" t="str">
        <f t="shared" si="1"/>
        <v>২ পরে</v>
      </c>
    </row>
    <row r="7946">
      <c r="A7946" s="4">
        <v>7543.0</v>
      </c>
      <c r="B7946" s="2" t="s">
        <v>31967</v>
      </c>
      <c r="C7946" s="2" t="s">
        <v>31968</v>
      </c>
      <c r="D7946" s="2" t="s">
        <v>31969</v>
      </c>
      <c r="E7946" s="2" t="s">
        <v>31970</v>
      </c>
      <c r="F7946" s="2" t="b">
        <v>1</v>
      </c>
      <c r="G7946" s="2" t="b">
        <v>0</v>
      </c>
      <c r="H7946" s="2" t="s">
        <v>37</v>
      </c>
      <c r="I7946" s="2" t="s">
        <v>22</v>
      </c>
      <c r="J7946" s="2" t="s">
        <v>868</v>
      </c>
      <c r="K7946" s="2" t="s">
        <v>495</v>
      </c>
      <c r="L7946" s="13" t="s">
        <v>496</v>
      </c>
      <c r="M7946" s="2" t="s">
        <v>26</v>
      </c>
      <c r="N7946" s="29"/>
      <c r="O7946" s="29"/>
      <c r="P7946" s="5" t="str">
        <f>IFERROR(__xludf.DUMMYFUNCTION("TEXTJOIN("" | "",TRUE,IF(OR(D7946="""",E7946="""",I7946="""",J7946="""",H7946=""""),""ফাঁকা ঘর"",""""),IF(AND(C7946&lt;&gt;"""",D7946&lt;&gt;"""",C7946=D7946),""gloss=figurative"",""""),IF(LEN(D7946)&lt;15,""figurative ছোট"",""""),IF(AND(I7946=""Positive"",REGEXMATCH(H7"&amp;"946,""মূর্খ|ভণ্ড|প্রতার|অলস|লোভ|স্বার্থ|অক্ষম|অযোগ্য|বোকা|কৃপণ|হিংস"")),""valence-target অমিল"",""""),IF(COUNTIF($B:$B,B7946)&gt;1,""ডুপ্লিকেট"",""""))"),"")</f>
        <v/>
      </c>
      <c r="Q7946" s="5" t="str">
        <f t="shared" si="1"/>
        <v>২ পরে</v>
      </c>
    </row>
    <row r="7947">
      <c r="A7947" s="4">
        <v>7557.0</v>
      </c>
      <c r="B7947" s="2" t="s">
        <v>31971</v>
      </c>
      <c r="C7947" s="2" t="s">
        <v>31971</v>
      </c>
      <c r="D7947" s="2" t="s">
        <v>31972</v>
      </c>
      <c r="E7947" s="2" t="s">
        <v>31973</v>
      </c>
      <c r="F7947" s="2" t="b">
        <v>1</v>
      </c>
      <c r="G7947" s="2" t="b">
        <v>0</v>
      </c>
      <c r="H7947" s="2" t="s">
        <v>37</v>
      </c>
      <c r="I7947" s="2" t="s">
        <v>22</v>
      </c>
      <c r="J7947" s="2" t="s">
        <v>947</v>
      </c>
      <c r="K7947" s="2" t="s">
        <v>495</v>
      </c>
      <c r="L7947" s="13" t="s">
        <v>496</v>
      </c>
      <c r="M7947" s="2" t="s">
        <v>26</v>
      </c>
      <c r="N7947" s="29"/>
      <c r="O7947" s="29"/>
      <c r="P7947" s="5" t="str">
        <f>IFERROR(__xludf.DUMMYFUNCTION("TEXTJOIN("" | "",TRUE,IF(OR(D7947="""",E7947="""",I7947="""",J7947="""",H7947=""""),""ফাঁকা ঘর"",""""),IF(AND(C7947&lt;&gt;"""",D7947&lt;&gt;"""",C7947=D7947),""gloss=figurative"",""""),IF(LEN(D7947)&lt;15,""figurative ছোট"",""""),IF(AND(I7947=""Positive"",REGEXMATCH(H7"&amp;"947,""মূর্খ|ভণ্ড|প্রতার|অলস|লোভ|স্বার্থ|অক্ষম|অযোগ্য|বোকা|কৃপণ|হিংস"")),""valence-target অমিল"",""""),IF(COUNTIF($B:$B,B7947)&gt;1,""ডুপ্লিকেট"",""""))"),"")</f>
        <v/>
      </c>
      <c r="Q7947" s="5" t="str">
        <f t="shared" si="1"/>
        <v>২ পরে</v>
      </c>
    </row>
    <row r="7948">
      <c r="A7948" s="4">
        <v>7558.0</v>
      </c>
      <c r="B7948" s="2" t="s">
        <v>31974</v>
      </c>
      <c r="C7948" s="2" t="s">
        <v>31975</v>
      </c>
      <c r="D7948" s="2" t="s">
        <v>27586</v>
      </c>
      <c r="E7948" s="2" t="s">
        <v>31976</v>
      </c>
      <c r="F7948" s="2" t="b">
        <v>1</v>
      </c>
      <c r="G7948" s="2" t="b">
        <v>0</v>
      </c>
      <c r="H7948" s="2" t="s">
        <v>37</v>
      </c>
      <c r="I7948" s="2" t="s">
        <v>49</v>
      </c>
      <c r="J7948" s="2" t="s">
        <v>1151</v>
      </c>
      <c r="K7948" s="2" t="s">
        <v>495</v>
      </c>
      <c r="L7948" s="13" t="s">
        <v>496</v>
      </c>
      <c r="M7948" s="2" t="s">
        <v>26</v>
      </c>
      <c r="N7948" s="29"/>
      <c r="O7948" s="29"/>
      <c r="P7948" s="5" t="str">
        <f>IFERROR(__xludf.DUMMYFUNCTION("TEXTJOIN("" | "",TRUE,IF(OR(D7948="""",E7948="""",I7948="""",J7948="""",H7948=""""),""ফাঁকা ঘর"",""""),IF(AND(C7948&lt;&gt;"""",D7948&lt;&gt;"""",C7948=D7948),""gloss=figurative"",""""),IF(LEN(D7948)&lt;15,""figurative ছোট"",""""),IF(AND(I7948=""Positive"",REGEXMATCH(H7"&amp;"948,""মূর্খ|ভণ্ড|প্রতার|অলস|লোভ|স্বার্থ|অক্ষম|অযোগ্য|বোকা|কৃপণ|হিংস"")),""valence-target অমিল"",""""),IF(COUNTIF($B:$B,B7948)&gt;1,""ডুপ্লিকেট"",""""))"),"")</f>
        <v/>
      </c>
      <c r="Q7948" s="5" t="str">
        <f t="shared" si="1"/>
        <v>২ পরে</v>
      </c>
    </row>
    <row r="7949">
      <c r="A7949" s="4">
        <v>7562.0</v>
      </c>
      <c r="B7949" s="2" t="s">
        <v>31977</v>
      </c>
      <c r="C7949" s="2" t="s">
        <v>31978</v>
      </c>
      <c r="D7949" s="2" t="s">
        <v>31979</v>
      </c>
      <c r="E7949" s="2" t="s">
        <v>31980</v>
      </c>
      <c r="F7949" s="2" t="b">
        <v>1</v>
      </c>
      <c r="G7949" s="2" t="b">
        <v>0</v>
      </c>
      <c r="H7949" s="2" t="s">
        <v>37</v>
      </c>
      <c r="I7949" s="2" t="s">
        <v>49</v>
      </c>
      <c r="J7949" s="2" t="s">
        <v>2040</v>
      </c>
      <c r="K7949" s="2" t="s">
        <v>495</v>
      </c>
      <c r="L7949" s="13" t="s">
        <v>496</v>
      </c>
      <c r="M7949" s="2" t="s">
        <v>26</v>
      </c>
      <c r="N7949" s="29"/>
      <c r="O7949" s="29"/>
      <c r="P7949" s="5" t="str">
        <f>IFERROR(__xludf.DUMMYFUNCTION("TEXTJOIN("" | "",TRUE,IF(OR(D7949="""",E7949="""",I7949="""",J7949="""",H7949=""""),""ফাঁকা ঘর"",""""),IF(AND(C7949&lt;&gt;"""",D7949&lt;&gt;"""",C7949=D7949),""gloss=figurative"",""""),IF(LEN(D7949)&lt;15,""figurative ছোট"",""""),IF(AND(I7949=""Positive"",REGEXMATCH(H7"&amp;"949,""মূর্খ|ভণ্ড|প্রতার|অলস|লোভ|স্বার্থ|অক্ষম|অযোগ্য|বোকা|কৃপণ|হিংস"")),""valence-target অমিল"",""""),IF(COUNTIF($B:$B,B7949)&gt;1,""ডুপ্লিকেট"",""""))"),"")</f>
        <v/>
      </c>
      <c r="Q7949" s="5" t="str">
        <f t="shared" si="1"/>
        <v>২ পরে</v>
      </c>
    </row>
    <row r="7950">
      <c r="A7950" s="4">
        <v>7569.0</v>
      </c>
      <c r="B7950" s="2" t="s">
        <v>31981</v>
      </c>
      <c r="C7950" s="2" t="s">
        <v>31982</v>
      </c>
      <c r="D7950" s="2" t="s">
        <v>31983</v>
      </c>
      <c r="E7950" s="2" t="s">
        <v>31984</v>
      </c>
      <c r="F7950" s="2" t="b">
        <v>1</v>
      </c>
      <c r="G7950" s="2" t="b">
        <v>0</v>
      </c>
      <c r="H7950" s="2" t="s">
        <v>3407</v>
      </c>
      <c r="I7950" s="2" t="s">
        <v>22</v>
      </c>
      <c r="J7950" s="2" t="s">
        <v>447</v>
      </c>
      <c r="K7950" s="2" t="s">
        <v>495</v>
      </c>
      <c r="L7950" s="13" t="s">
        <v>496</v>
      </c>
      <c r="M7950" s="2" t="s">
        <v>26</v>
      </c>
      <c r="N7950" s="29"/>
      <c r="O7950" s="29"/>
      <c r="P7950" s="5" t="str">
        <f>IFERROR(__xludf.DUMMYFUNCTION("TEXTJOIN("" | "",TRUE,IF(OR(D7950="""",E7950="""",I7950="""",J7950="""",H7950=""""),""ফাঁকা ঘর"",""""),IF(AND(C7950&lt;&gt;"""",D7950&lt;&gt;"""",C7950=D7950),""gloss=figurative"",""""),IF(LEN(D7950)&lt;15,""figurative ছোট"",""""),IF(AND(I7950=""Positive"",REGEXMATCH(H7"&amp;"950,""মূর্খ|ভণ্ড|প্রতার|অলস|লোভ|স্বার্থ|অক্ষম|অযোগ্য|বোকা|কৃপণ|হিংস"")),""valence-target অমিল"",""""),IF(COUNTIF($B:$B,B7950)&gt;1,""ডুপ্লিকেট"",""""))"),"")</f>
        <v/>
      </c>
      <c r="Q7950" s="5" t="str">
        <f t="shared" si="1"/>
        <v>২ পরে</v>
      </c>
    </row>
    <row r="7951">
      <c r="A7951" s="4">
        <v>7578.0</v>
      </c>
      <c r="B7951" s="2" t="s">
        <v>31985</v>
      </c>
      <c r="C7951" s="2" t="s">
        <v>31986</v>
      </c>
      <c r="D7951" s="2" t="s">
        <v>31987</v>
      </c>
      <c r="E7951" s="2" t="s">
        <v>31988</v>
      </c>
      <c r="F7951" s="2" t="b">
        <v>1</v>
      </c>
      <c r="G7951" s="2" t="b">
        <v>0</v>
      </c>
      <c r="H7951" s="2" t="s">
        <v>37</v>
      </c>
      <c r="I7951" s="2" t="s">
        <v>22</v>
      </c>
      <c r="J7951" s="2" t="s">
        <v>3585</v>
      </c>
      <c r="K7951" s="2" t="s">
        <v>495</v>
      </c>
      <c r="L7951" s="13" t="s">
        <v>496</v>
      </c>
      <c r="M7951" s="2" t="s">
        <v>26</v>
      </c>
      <c r="N7951" s="29"/>
      <c r="O7951" s="29"/>
      <c r="P7951" s="5" t="str">
        <f>IFERROR(__xludf.DUMMYFUNCTION("TEXTJOIN("" | "",TRUE,IF(OR(D7951="""",E7951="""",I7951="""",J7951="""",H7951=""""),""ফাঁকা ঘর"",""""),IF(AND(C7951&lt;&gt;"""",D7951&lt;&gt;"""",C7951=D7951),""gloss=figurative"",""""),IF(LEN(D7951)&lt;15,""figurative ছোট"",""""),IF(AND(I7951=""Positive"",REGEXMATCH(H7"&amp;"951,""মূর্খ|ভণ্ড|প্রতার|অলস|লোভ|স্বার্থ|অক্ষম|অযোগ্য|বোকা|কৃপণ|হিংস"")),""valence-target অমিল"",""""),IF(COUNTIF($B:$B,B7951)&gt;1,""ডুপ্লিকেট"",""""))"),"")</f>
        <v/>
      </c>
      <c r="Q7951" s="5" t="str">
        <f t="shared" si="1"/>
        <v>২ পরে</v>
      </c>
    </row>
    <row r="7952">
      <c r="A7952" s="4">
        <v>7579.0</v>
      </c>
      <c r="B7952" s="2" t="s">
        <v>31989</v>
      </c>
      <c r="C7952" s="2" t="s">
        <v>31990</v>
      </c>
      <c r="D7952" s="2" t="s">
        <v>31991</v>
      </c>
      <c r="E7952" s="2" t="s">
        <v>31992</v>
      </c>
      <c r="F7952" s="2" t="b">
        <v>1</v>
      </c>
      <c r="G7952" s="2" t="b">
        <v>0</v>
      </c>
      <c r="H7952" s="2" t="s">
        <v>756</v>
      </c>
      <c r="I7952" s="2" t="s">
        <v>22</v>
      </c>
      <c r="J7952" s="2" t="s">
        <v>1630</v>
      </c>
      <c r="K7952" s="2" t="s">
        <v>495</v>
      </c>
      <c r="L7952" s="13" t="s">
        <v>496</v>
      </c>
      <c r="M7952" s="2" t="s">
        <v>26</v>
      </c>
      <c r="N7952" s="29"/>
      <c r="O7952" s="29"/>
      <c r="P7952" s="5" t="str">
        <f>IFERROR(__xludf.DUMMYFUNCTION("TEXTJOIN("" | "",TRUE,IF(OR(D7952="""",E7952="""",I7952="""",J7952="""",H7952=""""),""ফাঁকা ঘর"",""""),IF(AND(C7952&lt;&gt;"""",D7952&lt;&gt;"""",C7952=D7952),""gloss=figurative"",""""),IF(LEN(D7952)&lt;15,""figurative ছোট"",""""),IF(AND(I7952=""Positive"",REGEXMATCH(H7"&amp;"952,""মূর্খ|ভণ্ড|প্রতার|অলস|লোভ|স্বার্থ|অক্ষম|অযোগ্য|বোকা|কৃপণ|হিংস"")),""valence-target অমিল"",""""),IF(COUNTIF($B:$B,B7952)&gt;1,""ডুপ্লিকেট"",""""))"),"")</f>
        <v/>
      </c>
      <c r="Q7952" s="5" t="str">
        <f t="shared" si="1"/>
        <v>২ পরে</v>
      </c>
    </row>
    <row r="7953">
      <c r="A7953" s="4">
        <v>7580.0</v>
      </c>
      <c r="B7953" s="2" t="s">
        <v>31993</v>
      </c>
      <c r="C7953" s="2" t="s">
        <v>31994</v>
      </c>
      <c r="D7953" s="2" t="s">
        <v>31995</v>
      </c>
      <c r="E7953" s="2" t="s">
        <v>31996</v>
      </c>
      <c r="F7953" s="2" t="b">
        <v>1</v>
      </c>
      <c r="G7953" s="2" t="b">
        <v>0</v>
      </c>
      <c r="H7953" s="2" t="s">
        <v>37</v>
      </c>
      <c r="I7953" s="2" t="s">
        <v>49</v>
      </c>
      <c r="J7953" s="2" t="s">
        <v>2732</v>
      </c>
      <c r="K7953" s="2" t="s">
        <v>495</v>
      </c>
      <c r="L7953" s="13" t="s">
        <v>496</v>
      </c>
      <c r="M7953" s="2" t="s">
        <v>26</v>
      </c>
      <c r="N7953" s="29"/>
      <c r="O7953" s="29"/>
      <c r="P7953" s="5" t="str">
        <f>IFERROR(__xludf.DUMMYFUNCTION("TEXTJOIN("" | "",TRUE,IF(OR(D7953="""",E7953="""",I7953="""",J7953="""",H7953=""""),""ফাঁকা ঘর"",""""),IF(AND(C7953&lt;&gt;"""",D7953&lt;&gt;"""",C7953=D7953),""gloss=figurative"",""""),IF(LEN(D7953)&lt;15,""figurative ছোট"",""""),IF(AND(I7953=""Positive"",REGEXMATCH(H7"&amp;"953,""মূর্খ|ভণ্ড|প্রতার|অলস|লোভ|স্বার্থ|অক্ষম|অযোগ্য|বোকা|কৃপণ|হিংস"")),""valence-target অমিল"",""""),IF(COUNTIF($B:$B,B7953)&gt;1,""ডুপ্লিকেট"",""""))"),"")</f>
        <v/>
      </c>
      <c r="Q7953" s="5" t="str">
        <f t="shared" si="1"/>
        <v>২ পরে</v>
      </c>
    </row>
    <row r="7954">
      <c r="A7954" s="4">
        <v>7581.0</v>
      </c>
      <c r="B7954" s="2" t="s">
        <v>31997</v>
      </c>
      <c r="C7954" s="2" t="s">
        <v>31997</v>
      </c>
      <c r="D7954" s="2" t="s">
        <v>31998</v>
      </c>
      <c r="E7954" s="2" t="s">
        <v>31999</v>
      </c>
      <c r="F7954" s="2" t="b">
        <v>1</v>
      </c>
      <c r="G7954" s="2" t="b">
        <v>0</v>
      </c>
      <c r="H7954" s="2" t="s">
        <v>37</v>
      </c>
      <c r="I7954" s="2" t="s">
        <v>22</v>
      </c>
      <c r="J7954" s="2" t="s">
        <v>1397</v>
      </c>
      <c r="K7954" s="2" t="s">
        <v>495</v>
      </c>
      <c r="L7954" s="13" t="s">
        <v>496</v>
      </c>
      <c r="M7954" s="2" t="s">
        <v>26</v>
      </c>
      <c r="N7954" s="29"/>
      <c r="O7954" s="29"/>
      <c r="P7954" s="5" t="str">
        <f>IFERROR(__xludf.DUMMYFUNCTION("TEXTJOIN("" | "",TRUE,IF(OR(D7954="""",E7954="""",I7954="""",J7954="""",H7954=""""),""ফাঁকা ঘর"",""""),IF(AND(C7954&lt;&gt;"""",D7954&lt;&gt;"""",C7954=D7954),""gloss=figurative"",""""),IF(LEN(D7954)&lt;15,""figurative ছোট"",""""),IF(AND(I7954=""Positive"",REGEXMATCH(H7"&amp;"954,""মূর্খ|ভণ্ড|প্রতার|অলস|লোভ|স্বার্থ|অক্ষম|অযোগ্য|বোকা|কৃপণ|হিংস"")),""valence-target অমিল"",""""),IF(COUNTIF($B:$B,B7954)&gt;1,""ডুপ্লিকেট"",""""))"),"")</f>
        <v/>
      </c>
      <c r="Q7954" s="5" t="str">
        <f t="shared" si="1"/>
        <v>২ পরে</v>
      </c>
    </row>
    <row r="7955">
      <c r="A7955" s="4">
        <v>7582.0</v>
      </c>
      <c r="B7955" s="2" t="s">
        <v>32000</v>
      </c>
      <c r="C7955" s="2" t="s">
        <v>32001</v>
      </c>
      <c r="D7955" s="2" t="s">
        <v>32002</v>
      </c>
      <c r="E7955" s="2" t="s">
        <v>32003</v>
      </c>
      <c r="F7955" s="2" t="b">
        <v>1</v>
      </c>
      <c r="G7955" s="2" t="b">
        <v>0</v>
      </c>
      <c r="H7955" s="2" t="s">
        <v>37</v>
      </c>
      <c r="I7955" s="2" t="s">
        <v>49</v>
      </c>
      <c r="J7955" s="2" t="s">
        <v>4711</v>
      </c>
      <c r="K7955" s="2" t="s">
        <v>495</v>
      </c>
      <c r="L7955" s="13" t="s">
        <v>496</v>
      </c>
      <c r="M7955" s="2" t="s">
        <v>26</v>
      </c>
      <c r="N7955" s="29"/>
      <c r="O7955" s="29"/>
      <c r="P7955" s="5" t="str">
        <f>IFERROR(__xludf.DUMMYFUNCTION("TEXTJOIN("" | "",TRUE,IF(OR(D7955="""",E7955="""",I7955="""",J7955="""",H7955=""""),""ফাঁকা ঘর"",""""),IF(AND(C7955&lt;&gt;"""",D7955&lt;&gt;"""",C7955=D7955),""gloss=figurative"",""""),IF(LEN(D7955)&lt;15,""figurative ছোট"",""""),IF(AND(I7955=""Positive"",REGEXMATCH(H7"&amp;"955,""মূর্খ|ভণ্ড|প্রতার|অলস|লোভ|স্বার্থ|অক্ষম|অযোগ্য|বোকা|কৃপণ|হিংস"")),""valence-target অমিল"",""""),IF(COUNTIF($B:$B,B7955)&gt;1,""ডুপ্লিকেট"",""""))"),"")</f>
        <v/>
      </c>
      <c r="Q7955" s="5" t="str">
        <f t="shared" si="1"/>
        <v>২ পরে</v>
      </c>
    </row>
    <row r="7956">
      <c r="A7956" s="4">
        <v>7590.0</v>
      </c>
      <c r="B7956" s="2" t="s">
        <v>32004</v>
      </c>
      <c r="C7956" s="2" t="s">
        <v>32005</v>
      </c>
      <c r="D7956" s="2" t="s">
        <v>32006</v>
      </c>
      <c r="E7956" s="2" t="s">
        <v>32007</v>
      </c>
      <c r="F7956" s="2" t="b">
        <v>1</v>
      </c>
      <c r="G7956" s="2" t="b">
        <v>0</v>
      </c>
      <c r="H7956" s="2" t="s">
        <v>37</v>
      </c>
      <c r="I7956" s="2" t="s">
        <v>49</v>
      </c>
      <c r="J7956" s="2" t="s">
        <v>2827</v>
      </c>
      <c r="K7956" s="2" t="s">
        <v>495</v>
      </c>
      <c r="L7956" s="13" t="s">
        <v>496</v>
      </c>
      <c r="M7956" s="2" t="s">
        <v>26</v>
      </c>
      <c r="N7956" s="29"/>
      <c r="O7956" s="29"/>
      <c r="P7956" s="5" t="str">
        <f>IFERROR(__xludf.DUMMYFUNCTION("TEXTJOIN("" | "",TRUE,IF(OR(D7956="""",E7956="""",I7956="""",J7956="""",H7956=""""),""ফাঁকা ঘর"",""""),IF(AND(C7956&lt;&gt;"""",D7956&lt;&gt;"""",C7956=D7956),""gloss=figurative"",""""),IF(LEN(D7956)&lt;15,""figurative ছোট"",""""),IF(AND(I7956=""Positive"",REGEXMATCH(H7"&amp;"956,""মূর্খ|ভণ্ড|প্রতার|অলস|লোভ|স্বার্থ|অক্ষম|অযোগ্য|বোকা|কৃপণ|হিংস"")),""valence-target অমিল"",""""),IF(COUNTIF($B:$B,B7956)&gt;1,""ডুপ্লিকেট"",""""))"),"")</f>
        <v/>
      </c>
      <c r="Q7956" s="5" t="str">
        <f t="shared" si="1"/>
        <v>২ পরে</v>
      </c>
    </row>
    <row r="7957">
      <c r="A7957" s="4">
        <v>7604.0</v>
      </c>
      <c r="B7957" s="2" t="s">
        <v>32008</v>
      </c>
      <c r="C7957" s="2" t="s">
        <v>32009</v>
      </c>
      <c r="D7957" s="2" t="s">
        <v>32010</v>
      </c>
      <c r="E7957" s="2" t="s">
        <v>32011</v>
      </c>
      <c r="F7957" s="2" t="b">
        <v>1</v>
      </c>
      <c r="G7957" s="2" t="b">
        <v>0</v>
      </c>
      <c r="H7957" s="2" t="s">
        <v>37</v>
      </c>
      <c r="I7957" s="2" t="s">
        <v>22</v>
      </c>
      <c r="J7957" s="2" t="s">
        <v>836</v>
      </c>
      <c r="K7957" s="2" t="s">
        <v>495</v>
      </c>
      <c r="L7957" s="13" t="s">
        <v>496</v>
      </c>
      <c r="M7957" s="2" t="s">
        <v>26</v>
      </c>
      <c r="N7957" s="29"/>
      <c r="O7957" s="29"/>
      <c r="P7957" s="5" t="str">
        <f>IFERROR(__xludf.DUMMYFUNCTION("TEXTJOIN("" | "",TRUE,IF(OR(D7957="""",E7957="""",I7957="""",J7957="""",H7957=""""),""ফাঁকা ঘর"",""""),IF(AND(C7957&lt;&gt;"""",D7957&lt;&gt;"""",C7957=D7957),""gloss=figurative"",""""),IF(LEN(D7957)&lt;15,""figurative ছোট"",""""),IF(AND(I7957=""Positive"",REGEXMATCH(H7"&amp;"957,""মূর্খ|ভণ্ড|প্রতার|অলস|লোভ|স্বার্থ|অক্ষম|অযোগ্য|বোকা|কৃপণ|হিংস"")),""valence-target অমিল"",""""),IF(COUNTIF($B:$B,B7957)&gt;1,""ডুপ্লিকেট"",""""))"),"")</f>
        <v/>
      </c>
      <c r="Q7957" s="5" t="str">
        <f t="shared" si="1"/>
        <v>২ পরে</v>
      </c>
    </row>
    <row r="7958">
      <c r="A7958" s="4">
        <v>7611.0</v>
      </c>
      <c r="B7958" s="2" t="s">
        <v>32012</v>
      </c>
      <c r="C7958" s="2" t="s">
        <v>32013</v>
      </c>
      <c r="D7958" s="2" t="s">
        <v>32014</v>
      </c>
      <c r="E7958" s="2" t="s">
        <v>32015</v>
      </c>
      <c r="F7958" s="2" t="b">
        <v>1</v>
      </c>
      <c r="G7958" s="2" t="b">
        <v>0</v>
      </c>
      <c r="H7958" s="2" t="s">
        <v>37</v>
      </c>
      <c r="I7958" s="2" t="s">
        <v>49</v>
      </c>
      <c r="J7958" s="2" t="s">
        <v>1679</v>
      </c>
      <c r="K7958" s="2" t="s">
        <v>495</v>
      </c>
      <c r="L7958" s="13" t="s">
        <v>496</v>
      </c>
      <c r="M7958" s="2" t="s">
        <v>26</v>
      </c>
      <c r="N7958" s="29"/>
      <c r="O7958" s="29"/>
      <c r="P7958" s="5" t="str">
        <f>IFERROR(__xludf.DUMMYFUNCTION("TEXTJOIN("" | "",TRUE,IF(OR(D7958="""",E7958="""",I7958="""",J7958="""",H7958=""""),""ফাঁকা ঘর"",""""),IF(AND(C7958&lt;&gt;"""",D7958&lt;&gt;"""",C7958=D7958),""gloss=figurative"",""""),IF(LEN(D7958)&lt;15,""figurative ছোট"",""""),IF(AND(I7958=""Positive"",REGEXMATCH(H7"&amp;"958,""মূর্খ|ভণ্ড|প্রতার|অলস|লোভ|স্বার্থ|অক্ষম|অযোগ্য|বোকা|কৃপণ|হিংস"")),""valence-target অমিল"",""""),IF(COUNTIF($B:$B,B7958)&gt;1,""ডুপ্লিকেট"",""""))"),"")</f>
        <v/>
      </c>
      <c r="Q7958" s="5" t="str">
        <f t="shared" si="1"/>
        <v>২ পরে</v>
      </c>
    </row>
    <row r="7959">
      <c r="A7959" s="4">
        <v>7614.0</v>
      </c>
      <c r="B7959" s="2" t="s">
        <v>32016</v>
      </c>
      <c r="C7959" s="2" t="s">
        <v>32017</v>
      </c>
      <c r="D7959" s="2" t="s">
        <v>32018</v>
      </c>
      <c r="E7959" s="2" t="s">
        <v>32019</v>
      </c>
      <c r="F7959" s="2" t="b">
        <v>1</v>
      </c>
      <c r="G7959" s="2" t="b">
        <v>0</v>
      </c>
      <c r="H7959" s="2" t="s">
        <v>37</v>
      </c>
      <c r="I7959" s="2" t="s">
        <v>22</v>
      </c>
      <c r="J7959" s="2" t="s">
        <v>2064</v>
      </c>
      <c r="K7959" s="2" t="s">
        <v>495</v>
      </c>
      <c r="L7959" s="13" t="s">
        <v>496</v>
      </c>
      <c r="M7959" s="2" t="s">
        <v>26</v>
      </c>
      <c r="N7959" s="29"/>
      <c r="O7959" s="29"/>
      <c r="P7959" s="5" t="str">
        <f>IFERROR(__xludf.DUMMYFUNCTION("TEXTJOIN("" | "",TRUE,IF(OR(D7959="""",E7959="""",I7959="""",J7959="""",H7959=""""),""ফাঁকা ঘর"",""""),IF(AND(C7959&lt;&gt;"""",D7959&lt;&gt;"""",C7959=D7959),""gloss=figurative"",""""),IF(LEN(D7959)&lt;15,""figurative ছোট"",""""),IF(AND(I7959=""Positive"",REGEXMATCH(H7"&amp;"959,""মূর্খ|ভণ্ড|প্রতার|অলস|লোভ|স্বার্থ|অক্ষম|অযোগ্য|বোকা|কৃপণ|হিংস"")),""valence-target অমিল"",""""),IF(COUNTIF($B:$B,B7959)&gt;1,""ডুপ্লিকেট"",""""))"),"")</f>
        <v/>
      </c>
      <c r="Q7959" s="5" t="str">
        <f t="shared" si="1"/>
        <v>২ পরে</v>
      </c>
    </row>
    <row r="7960">
      <c r="A7960" s="4">
        <v>7615.0</v>
      </c>
      <c r="B7960" s="2" t="s">
        <v>32020</v>
      </c>
      <c r="C7960" s="2" t="s">
        <v>32021</v>
      </c>
      <c r="D7960" s="2" t="s">
        <v>32022</v>
      </c>
      <c r="E7960" s="2" t="s">
        <v>32023</v>
      </c>
      <c r="F7960" s="2" t="b">
        <v>1</v>
      </c>
      <c r="G7960" s="2" t="b">
        <v>0</v>
      </c>
      <c r="H7960" s="2" t="s">
        <v>37</v>
      </c>
      <c r="I7960" s="2" t="s">
        <v>49</v>
      </c>
      <c r="J7960" s="2" t="s">
        <v>2732</v>
      </c>
      <c r="K7960" s="2" t="s">
        <v>495</v>
      </c>
      <c r="L7960" s="13" t="s">
        <v>496</v>
      </c>
      <c r="M7960" s="2" t="s">
        <v>26</v>
      </c>
      <c r="N7960" s="29"/>
      <c r="O7960" s="29"/>
      <c r="P7960" s="5" t="str">
        <f>IFERROR(__xludf.DUMMYFUNCTION("TEXTJOIN("" | "",TRUE,IF(OR(D7960="""",E7960="""",I7960="""",J7960="""",H7960=""""),""ফাঁকা ঘর"",""""),IF(AND(C7960&lt;&gt;"""",D7960&lt;&gt;"""",C7960=D7960),""gloss=figurative"",""""),IF(LEN(D7960)&lt;15,""figurative ছোট"",""""),IF(AND(I7960=""Positive"",REGEXMATCH(H7"&amp;"960,""মূর্খ|ভণ্ড|প্রতার|অলস|লোভ|স্বার্থ|অক্ষম|অযোগ্য|বোকা|কৃপণ|হিংস"")),""valence-target অমিল"",""""),IF(COUNTIF($B:$B,B7960)&gt;1,""ডুপ্লিকেট"",""""))"),"")</f>
        <v/>
      </c>
      <c r="Q7960" s="5" t="str">
        <f t="shared" si="1"/>
        <v>২ পরে</v>
      </c>
    </row>
    <row r="7961">
      <c r="A7961" s="4">
        <v>7617.0</v>
      </c>
      <c r="B7961" s="2" t="s">
        <v>32024</v>
      </c>
      <c r="C7961" s="2" t="s">
        <v>32025</v>
      </c>
      <c r="D7961" s="2" t="s">
        <v>32026</v>
      </c>
      <c r="E7961" s="2" t="s">
        <v>32027</v>
      </c>
      <c r="F7961" s="2" t="b">
        <v>1</v>
      </c>
      <c r="G7961" s="2" t="b">
        <v>0</v>
      </c>
      <c r="H7961" s="2" t="s">
        <v>37</v>
      </c>
      <c r="I7961" s="2" t="s">
        <v>22</v>
      </c>
      <c r="J7961" s="2" t="s">
        <v>1363</v>
      </c>
      <c r="K7961" s="2" t="s">
        <v>495</v>
      </c>
      <c r="L7961" s="13" t="s">
        <v>496</v>
      </c>
      <c r="M7961" s="2" t="s">
        <v>26</v>
      </c>
      <c r="N7961" s="29"/>
      <c r="O7961" s="29"/>
      <c r="P7961" s="5" t="str">
        <f>IFERROR(__xludf.DUMMYFUNCTION("TEXTJOIN("" | "",TRUE,IF(OR(D7961="""",E7961="""",I7961="""",J7961="""",H7961=""""),""ফাঁকা ঘর"",""""),IF(AND(C7961&lt;&gt;"""",D7961&lt;&gt;"""",C7961=D7961),""gloss=figurative"",""""),IF(LEN(D7961)&lt;15,""figurative ছোট"",""""),IF(AND(I7961=""Positive"",REGEXMATCH(H7"&amp;"961,""মূর্খ|ভণ্ড|প্রতার|অলস|লোভ|স্বার্থ|অক্ষম|অযোগ্য|বোকা|কৃপণ|হিংস"")),""valence-target অমিল"",""""),IF(COUNTIF($B:$B,B7961)&gt;1,""ডুপ্লিকেট"",""""))"),"")</f>
        <v/>
      </c>
      <c r="Q7961" s="5" t="str">
        <f t="shared" si="1"/>
        <v>২ পরে</v>
      </c>
    </row>
    <row r="7962">
      <c r="A7962" s="4">
        <v>7649.0</v>
      </c>
      <c r="B7962" s="2" t="s">
        <v>32028</v>
      </c>
      <c r="C7962" s="2" t="s">
        <v>32029</v>
      </c>
      <c r="D7962" s="2" t="s">
        <v>32030</v>
      </c>
      <c r="E7962" s="2" t="s">
        <v>32031</v>
      </c>
      <c r="F7962" s="2" t="b">
        <v>1</v>
      </c>
      <c r="G7962" s="2" t="b">
        <v>1</v>
      </c>
      <c r="H7962" s="2" t="s">
        <v>1106</v>
      </c>
      <c r="I7962" s="2" t="s">
        <v>22</v>
      </c>
      <c r="J7962" s="2" t="s">
        <v>1175</v>
      </c>
      <c r="K7962" s="2" t="s">
        <v>495</v>
      </c>
      <c r="L7962" s="13" t="s">
        <v>496</v>
      </c>
      <c r="M7962" s="2" t="s">
        <v>26</v>
      </c>
      <c r="N7962" s="29"/>
      <c r="O7962" s="29"/>
      <c r="P7962" s="5" t="str">
        <f>IFERROR(__xludf.DUMMYFUNCTION("TEXTJOIN("" | "",TRUE,IF(OR(D7962="""",E7962="""",I7962="""",J7962="""",H7962=""""),""ফাঁকা ঘর"",""""),IF(AND(C7962&lt;&gt;"""",D7962&lt;&gt;"""",C7962=D7962),""gloss=figurative"",""""),IF(LEN(D7962)&lt;15,""figurative ছোট"",""""),IF(AND(I7962=""Positive"",REGEXMATCH(H7"&amp;"962,""মূর্খ|ভণ্ড|প্রতার|অলস|লোভ|স্বার্থ|অক্ষম|অযোগ্য|বোকা|কৃপণ|হিংস"")),""valence-target অমিল"",""""),IF(COUNTIF($B:$B,B7962)&gt;1,""ডুপ্লিকেট"",""""))"),"")</f>
        <v/>
      </c>
      <c r="Q7962" s="5" t="str">
        <f t="shared" si="1"/>
        <v>২ পরে</v>
      </c>
    </row>
    <row r="7963">
      <c r="A7963" s="4">
        <v>7650.0</v>
      </c>
      <c r="B7963" s="2" t="s">
        <v>32032</v>
      </c>
      <c r="C7963" s="2" t="s">
        <v>32032</v>
      </c>
      <c r="D7963" s="2" t="s">
        <v>31770</v>
      </c>
      <c r="E7963" s="2" t="s">
        <v>32033</v>
      </c>
      <c r="F7963" s="2" t="b">
        <v>1</v>
      </c>
      <c r="G7963" s="2" t="b">
        <v>0</v>
      </c>
      <c r="H7963" s="2" t="s">
        <v>37</v>
      </c>
      <c r="I7963" s="2" t="s">
        <v>22</v>
      </c>
      <c r="J7963" s="2" t="s">
        <v>4026</v>
      </c>
      <c r="K7963" s="2" t="s">
        <v>495</v>
      </c>
      <c r="L7963" s="13" t="s">
        <v>496</v>
      </c>
      <c r="M7963" s="2" t="s">
        <v>26</v>
      </c>
      <c r="N7963" s="29"/>
      <c r="O7963" s="29"/>
      <c r="P7963" s="5" t="str">
        <f>IFERROR(__xludf.DUMMYFUNCTION("TEXTJOIN("" | "",TRUE,IF(OR(D7963="""",E7963="""",I7963="""",J7963="""",H7963=""""),""ফাঁকা ঘর"",""""),IF(AND(C7963&lt;&gt;"""",D7963&lt;&gt;"""",C7963=D7963),""gloss=figurative"",""""),IF(LEN(D7963)&lt;15,""figurative ছোট"",""""),IF(AND(I7963=""Positive"",REGEXMATCH(H7"&amp;"963,""মূর্খ|ভণ্ড|প্রতার|অলস|লোভ|স্বার্থ|অক্ষম|অযোগ্য|বোকা|কৃপণ|হিংস"")),""valence-target অমিল"",""""),IF(COUNTIF($B:$B,B7963)&gt;1,""ডুপ্লিকেট"",""""))"),"")</f>
        <v/>
      </c>
      <c r="Q7963" s="5" t="str">
        <f t="shared" si="1"/>
        <v>২ পরে</v>
      </c>
    </row>
    <row r="7964">
      <c r="A7964" s="4">
        <v>7671.0</v>
      </c>
      <c r="B7964" s="2" t="s">
        <v>32034</v>
      </c>
      <c r="C7964" s="2" t="s">
        <v>30507</v>
      </c>
      <c r="D7964" s="2" t="s">
        <v>30508</v>
      </c>
      <c r="E7964" s="2" t="s">
        <v>30509</v>
      </c>
      <c r="F7964" s="2" t="b">
        <v>1</v>
      </c>
      <c r="G7964" s="2" t="b">
        <v>0</v>
      </c>
      <c r="H7964" s="2" t="s">
        <v>37</v>
      </c>
      <c r="I7964" s="2" t="s">
        <v>22</v>
      </c>
      <c r="J7964" s="2" t="s">
        <v>1944</v>
      </c>
      <c r="K7964" s="2" t="s">
        <v>495</v>
      </c>
      <c r="L7964" s="13" t="s">
        <v>496</v>
      </c>
      <c r="M7964" s="2" t="s">
        <v>26</v>
      </c>
      <c r="N7964" s="29"/>
      <c r="O7964" s="29"/>
      <c r="P7964" s="5" t="str">
        <f>IFERROR(__xludf.DUMMYFUNCTION("TEXTJOIN("" | "",TRUE,IF(OR(D7964="""",E7964="""",I7964="""",J7964="""",H7964=""""),""ফাঁকা ঘর"",""""),IF(AND(C7964&lt;&gt;"""",D7964&lt;&gt;"""",C7964=D7964),""gloss=figurative"",""""),IF(LEN(D7964)&lt;15,""figurative ছোট"",""""),IF(AND(I7964=""Positive"",REGEXMATCH(H7"&amp;"964,""মূর্খ|ভণ্ড|প্রতার|অলস|লোভ|স্বার্থ|অক্ষম|অযোগ্য|বোকা|কৃপণ|হিংস"")),""valence-target অমিল"",""""),IF(COUNTIF($B:$B,B7964)&gt;1,""ডুপ্লিকেট"",""""))"),"")</f>
        <v/>
      </c>
      <c r="Q7964" s="5" t="str">
        <f t="shared" si="1"/>
        <v>২ পরে</v>
      </c>
    </row>
    <row r="7965">
      <c r="A7965" s="4">
        <v>7689.0</v>
      </c>
      <c r="B7965" s="2" t="s">
        <v>32035</v>
      </c>
      <c r="C7965" s="2" t="s">
        <v>32036</v>
      </c>
      <c r="D7965" s="2" t="s">
        <v>32037</v>
      </c>
      <c r="E7965" s="2" t="s">
        <v>32038</v>
      </c>
      <c r="F7965" s="2" t="b">
        <v>1</v>
      </c>
      <c r="G7965" s="2" t="b">
        <v>0</v>
      </c>
      <c r="H7965" s="2" t="s">
        <v>37</v>
      </c>
      <c r="I7965" s="2" t="s">
        <v>22</v>
      </c>
      <c r="J7965" s="2" t="s">
        <v>1111</v>
      </c>
      <c r="K7965" s="2" t="s">
        <v>495</v>
      </c>
      <c r="L7965" s="13" t="s">
        <v>496</v>
      </c>
      <c r="M7965" s="2" t="s">
        <v>26</v>
      </c>
      <c r="N7965" s="29"/>
      <c r="O7965" s="29"/>
      <c r="P7965" s="5" t="str">
        <f>IFERROR(__xludf.DUMMYFUNCTION("TEXTJOIN("" | "",TRUE,IF(OR(D7965="""",E7965="""",I7965="""",J7965="""",H7965=""""),""ফাঁকা ঘর"",""""),IF(AND(C7965&lt;&gt;"""",D7965&lt;&gt;"""",C7965=D7965),""gloss=figurative"",""""),IF(LEN(D7965)&lt;15,""figurative ছোট"",""""),IF(AND(I7965=""Positive"",REGEXMATCH(H7"&amp;"965,""মূর্খ|ভণ্ড|প্রতার|অলস|লোভ|স্বার্থ|অক্ষম|অযোগ্য|বোকা|কৃপণ|হিংস"")),""valence-target অমিল"",""""),IF(COUNTIF($B:$B,B7965)&gt;1,""ডুপ্লিকেট"",""""))"),"")</f>
        <v/>
      </c>
      <c r="Q7965" s="5" t="str">
        <f t="shared" si="1"/>
        <v>২ পরে</v>
      </c>
    </row>
    <row r="7966">
      <c r="A7966" s="4">
        <v>7723.0</v>
      </c>
      <c r="B7966" s="2" t="s">
        <v>32039</v>
      </c>
      <c r="C7966" s="2" t="s">
        <v>32040</v>
      </c>
      <c r="D7966" s="2" t="s">
        <v>32041</v>
      </c>
      <c r="E7966" s="2" t="s">
        <v>32042</v>
      </c>
      <c r="F7966" s="2" t="b">
        <v>1</v>
      </c>
      <c r="G7966" s="2" t="b">
        <v>0</v>
      </c>
      <c r="H7966" s="2" t="s">
        <v>37</v>
      </c>
      <c r="I7966" s="2" t="s">
        <v>49</v>
      </c>
      <c r="J7966" s="2" t="s">
        <v>4711</v>
      </c>
      <c r="K7966" s="2" t="s">
        <v>495</v>
      </c>
      <c r="L7966" s="13" t="s">
        <v>496</v>
      </c>
      <c r="M7966" s="2" t="s">
        <v>26</v>
      </c>
      <c r="N7966" s="29"/>
      <c r="O7966" s="29"/>
      <c r="P7966" s="5" t="str">
        <f>IFERROR(__xludf.DUMMYFUNCTION("TEXTJOIN("" | "",TRUE,IF(OR(D7966="""",E7966="""",I7966="""",J7966="""",H7966=""""),""ফাঁকা ঘর"",""""),IF(AND(C7966&lt;&gt;"""",D7966&lt;&gt;"""",C7966=D7966),""gloss=figurative"",""""),IF(LEN(D7966)&lt;15,""figurative ছোট"",""""),IF(AND(I7966=""Positive"",REGEXMATCH(H7"&amp;"966,""মূর্খ|ভণ্ড|প্রতার|অলস|লোভ|স্বার্থ|অক্ষম|অযোগ্য|বোকা|কৃপণ|হিংস"")),""valence-target অমিল"",""""),IF(COUNTIF($B:$B,B7966)&gt;1,""ডুপ্লিকেট"",""""))"),"")</f>
        <v/>
      </c>
      <c r="Q7966" s="5" t="str">
        <f t="shared" si="1"/>
        <v>২ পরে</v>
      </c>
    </row>
    <row r="7967">
      <c r="A7967" s="4">
        <v>7742.0</v>
      </c>
      <c r="B7967" s="2" t="s">
        <v>32043</v>
      </c>
      <c r="C7967" s="2" t="s">
        <v>32044</v>
      </c>
      <c r="D7967" s="2" t="s">
        <v>32045</v>
      </c>
      <c r="E7967" s="2" t="s">
        <v>32046</v>
      </c>
      <c r="F7967" s="2" t="b">
        <v>1</v>
      </c>
      <c r="G7967" s="2" t="b">
        <v>0</v>
      </c>
      <c r="H7967" s="2" t="s">
        <v>37</v>
      </c>
      <c r="I7967" s="2" t="s">
        <v>49</v>
      </c>
      <c r="J7967" s="2" t="s">
        <v>1803</v>
      </c>
      <c r="K7967" s="2" t="s">
        <v>495</v>
      </c>
      <c r="L7967" s="13" t="s">
        <v>496</v>
      </c>
      <c r="M7967" s="2" t="s">
        <v>26</v>
      </c>
      <c r="N7967" s="29"/>
      <c r="O7967" s="29"/>
      <c r="P7967" s="5" t="str">
        <f>IFERROR(__xludf.DUMMYFUNCTION("TEXTJOIN("" | "",TRUE,IF(OR(D7967="""",E7967="""",I7967="""",J7967="""",H7967=""""),""ফাঁকা ঘর"",""""),IF(AND(C7967&lt;&gt;"""",D7967&lt;&gt;"""",C7967=D7967),""gloss=figurative"",""""),IF(LEN(D7967)&lt;15,""figurative ছোট"",""""),IF(AND(I7967=""Positive"",REGEXMATCH(H7"&amp;"967,""মূর্খ|ভণ্ড|প্রতার|অলস|লোভ|স্বার্থ|অক্ষম|অযোগ্য|বোকা|কৃপণ|হিংস"")),""valence-target অমিল"",""""),IF(COUNTIF($B:$B,B7967)&gt;1,""ডুপ্লিকেট"",""""))"),"")</f>
        <v/>
      </c>
      <c r="Q7967" s="5" t="str">
        <f t="shared" si="1"/>
        <v>২ পরে</v>
      </c>
    </row>
    <row r="7968">
      <c r="A7968" s="4">
        <v>7754.0</v>
      </c>
      <c r="B7968" s="2" t="s">
        <v>32047</v>
      </c>
      <c r="C7968" s="2" t="s">
        <v>32036</v>
      </c>
      <c r="D7968" s="2" t="s">
        <v>32037</v>
      </c>
      <c r="E7968" s="2" t="s">
        <v>7797</v>
      </c>
      <c r="F7968" s="2" t="b">
        <v>1</v>
      </c>
      <c r="G7968" s="2" t="b">
        <v>0</v>
      </c>
      <c r="H7968" s="2" t="s">
        <v>37</v>
      </c>
      <c r="I7968" s="2" t="s">
        <v>22</v>
      </c>
      <c r="J7968" s="2" t="s">
        <v>1111</v>
      </c>
      <c r="K7968" s="2" t="s">
        <v>495</v>
      </c>
      <c r="L7968" s="13" t="s">
        <v>496</v>
      </c>
      <c r="M7968" s="2" t="s">
        <v>26</v>
      </c>
      <c r="N7968" s="29"/>
      <c r="O7968" s="29"/>
      <c r="P7968" s="5" t="str">
        <f>IFERROR(__xludf.DUMMYFUNCTION("TEXTJOIN("" | "",TRUE,IF(OR(D7968="""",E7968="""",I7968="""",J7968="""",H7968=""""),""ফাঁকা ঘর"",""""),IF(AND(C7968&lt;&gt;"""",D7968&lt;&gt;"""",C7968=D7968),""gloss=figurative"",""""),IF(LEN(D7968)&lt;15,""figurative ছোট"",""""),IF(AND(I7968=""Positive"",REGEXMATCH(H7"&amp;"968,""মূর্খ|ভণ্ড|প্রতার|অলস|লোভ|স্বার্থ|অক্ষম|অযোগ্য|বোকা|কৃপণ|হিংস"")),""valence-target অমিল"",""""),IF(COUNTIF($B:$B,B7968)&gt;1,""ডুপ্লিকেট"",""""))"),"")</f>
        <v/>
      </c>
      <c r="Q7968" s="5" t="str">
        <f t="shared" si="1"/>
        <v>২ পরে</v>
      </c>
    </row>
    <row r="7969">
      <c r="A7969" s="4">
        <v>7757.0</v>
      </c>
      <c r="B7969" s="2" t="s">
        <v>32048</v>
      </c>
      <c r="C7969" s="2" t="s">
        <v>32049</v>
      </c>
      <c r="D7969" s="2" t="s">
        <v>32050</v>
      </c>
      <c r="E7969" s="2" t="s">
        <v>32051</v>
      </c>
      <c r="F7969" s="2" t="b">
        <v>1</v>
      </c>
      <c r="G7969" s="2" t="b">
        <v>0</v>
      </c>
      <c r="H7969" s="2" t="s">
        <v>37</v>
      </c>
      <c r="I7969" s="2" t="s">
        <v>22</v>
      </c>
      <c r="J7969" s="2" t="s">
        <v>1630</v>
      </c>
      <c r="K7969" s="2" t="s">
        <v>495</v>
      </c>
      <c r="L7969" s="13" t="s">
        <v>496</v>
      </c>
      <c r="M7969" s="2" t="s">
        <v>26</v>
      </c>
      <c r="N7969" s="29"/>
      <c r="O7969" s="29"/>
      <c r="P7969" s="5" t="str">
        <f>IFERROR(__xludf.DUMMYFUNCTION("TEXTJOIN("" | "",TRUE,IF(OR(D7969="""",E7969="""",I7969="""",J7969="""",H7969=""""),""ফাঁকা ঘর"",""""),IF(AND(C7969&lt;&gt;"""",D7969&lt;&gt;"""",C7969=D7969),""gloss=figurative"",""""),IF(LEN(D7969)&lt;15,""figurative ছোট"",""""),IF(AND(I7969=""Positive"",REGEXMATCH(H7"&amp;"969,""মূর্খ|ভণ্ড|প্রতার|অলস|লোভ|স্বার্থ|অক্ষম|অযোগ্য|বোকা|কৃপণ|হিংস"")),""valence-target অমিল"",""""),IF(COUNTIF($B:$B,B7969)&gt;1,""ডুপ্লিকেট"",""""))"),"")</f>
        <v/>
      </c>
      <c r="Q7969" s="5" t="str">
        <f t="shared" si="1"/>
        <v>২ পরে</v>
      </c>
    </row>
    <row r="7970">
      <c r="A7970" s="4">
        <v>7765.0</v>
      </c>
      <c r="B7970" s="2" t="s">
        <v>32052</v>
      </c>
      <c r="C7970" s="2" t="s">
        <v>32052</v>
      </c>
      <c r="D7970" s="2" t="s">
        <v>32053</v>
      </c>
      <c r="E7970" s="2" t="s">
        <v>32054</v>
      </c>
      <c r="F7970" s="2" t="b">
        <v>1</v>
      </c>
      <c r="G7970" s="2" t="b">
        <v>0</v>
      </c>
      <c r="H7970" s="2" t="s">
        <v>37</v>
      </c>
      <c r="I7970" s="2" t="s">
        <v>22</v>
      </c>
      <c r="J7970" s="2" t="s">
        <v>1397</v>
      </c>
      <c r="K7970" s="2" t="s">
        <v>495</v>
      </c>
      <c r="L7970" s="13" t="s">
        <v>496</v>
      </c>
      <c r="M7970" s="2" t="s">
        <v>26</v>
      </c>
      <c r="N7970" s="29"/>
      <c r="O7970" s="29"/>
      <c r="P7970" s="5" t="str">
        <f>IFERROR(__xludf.DUMMYFUNCTION("TEXTJOIN("" | "",TRUE,IF(OR(D7970="""",E7970="""",I7970="""",J7970="""",H7970=""""),""ফাঁকা ঘর"",""""),IF(AND(C7970&lt;&gt;"""",D7970&lt;&gt;"""",C7970=D7970),""gloss=figurative"",""""),IF(LEN(D7970)&lt;15,""figurative ছোট"",""""),IF(AND(I7970=""Positive"",REGEXMATCH(H7"&amp;"970,""মূর্খ|ভণ্ড|প্রতার|অলস|লোভ|স্বার্থ|অক্ষম|অযোগ্য|বোকা|কৃপণ|হিংস"")),""valence-target অমিল"",""""),IF(COUNTIF($B:$B,B7970)&gt;1,""ডুপ্লিকেট"",""""))"),"")</f>
        <v/>
      </c>
      <c r="Q7970" s="5" t="str">
        <f t="shared" si="1"/>
        <v>২ পরে</v>
      </c>
    </row>
    <row r="7971">
      <c r="A7971" s="4">
        <v>7790.0</v>
      </c>
      <c r="B7971" s="2" t="s">
        <v>32055</v>
      </c>
      <c r="C7971" s="2" t="s">
        <v>32055</v>
      </c>
      <c r="D7971" s="2" t="s">
        <v>32056</v>
      </c>
      <c r="E7971" s="2" t="s">
        <v>32057</v>
      </c>
      <c r="F7971" s="2" t="b">
        <v>1</v>
      </c>
      <c r="G7971" s="2" t="b">
        <v>0</v>
      </c>
      <c r="H7971" s="2" t="s">
        <v>37</v>
      </c>
      <c r="I7971" s="2" t="s">
        <v>49</v>
      </c>
      <c r="J7971" s="2" t="s">
        <v>1212</v>
      </c>
      <c r="K7971" s="2" t="s">
        <v>495</v>
      </c>
      <c r="L7971" s="13" t="s">
        <v>496</v>
      </c>
      <c r="M7971" s="2" t="s">
        <v>26</v>
      </c>
      <c r="N7971" s="29"/>
      <c r="O7971" s="29"/>
      <c r="P7971" s="5" t="str">
        <f>IFERROR(__xludf.DUMMYFUNCTION("TEXTJOIN("" | "",TRUE,IF(OR(D7971="""",E7971="""",I7971="""",J7971="""",H7971=""""),""ফাঁকা ঘর"",""""),IF(AND(C7971&lt;&gt;"""",D7971&lt;&gt;"""",C7971=D7971),""gloss=figurative"",""""),IF(LEN(D7971)&lt;15,""figurative ছোট"",""""),IF(AND(I7971=""Positive"",REGEXMATCH(H7"&amp;"971,""মূর্খ|ভণ্ড|প্রতার|অলস|লোভ|স্বার্থ|অক্ষম|অযোগ্য|বোকা|কৃপণ|হিংস"")),""valence-target অমিল"",""""),IF(COUNTIF($B:$B,B7971)&gt;1,""ডুপ্লিকেট"",""""))"),"")</f>
        <v/>
      </c>
      <c r="Q7971" s="5" t="str">
        <f t="shared" si="1"/>
        <v>২ পরে</v>
      </c>
    </row>
    <row r="7972">
      <c r="A7972" s="4">
        <v>7799.0</v>
      </c>
      <c r="B7972" s="2" t="s">
        <v>32058</v>
      </c>
      <c r="C7972" s="2" t="s">
        <v>32059</v>
      </c>
      <c r="D7972" s="2" t="s">
        <v>30508</v>
      </c>
      <c r="E7972" s="2" t="s">
        <v>32060</v>
      </c>
      <c r="F7972" s="2" t="b">
        <v>1</v>
      </c>
      <c r="G7972" s="2" t="b">
        <v>0</v>
      </c>
      <c r="H7972" s="2" t="s">
        <v>37</v>
      </c>
      <c r="I7972" s="2" t="s">
        <v>22</v>
      </c>
      <c r="J7972" s="2" t="s">
        <v>1603</v>
      </c>
      <c r="K7972" s="2" t="s">
        <v>495</v>
      </c>
      <c r="L7972" s="13" t="s">
        <v>496</v>
      </c>
      <c r="M7972" s="2" t="s">
        <v>26</v>
      </c>
      <c r="N7972" s="29"/>
      <c r="O7972" s="29"/>
      <c r="P7972" s="5" t="str">
        <f>IFERROR(__xludf.DUMMYFUNCTION("TEXTJOIN("" | "",TRUE,IF(OR(D7972="""",E7972="""",I7972="""",J7972="""",H7972=""""),""ফাঁকা ঘর"",""""),IF(AND(C7972&lt;&gt;"""",D7972&lt;&gt;"""",C7972=D7972),""gloss=figurative"",""""),IF(LEN(D7972)&lt;15,""figurative ছোট"",""""),IF(AND(I7972=""Positive"",REGEXMATCH(H7"&amp;"972,""মূর্খ|ভণ্ড|প্রতার|অলস|লোভ|স্বার্থ|অক্ষম|অযোগ্য|বোকা|কৃপণ|হিংস"")),""valence-target অমিল"",""""),IF(COUNTIF($B:$B,B7972)&gt;1,""ডুপ্লিকেট"",""""))"),"")</f>
        <v/>
      </c>
      <c r="Q7972" s="5" t="str">
        <f t="shared" si="1"/>
        <v>২ পরে</v>
      </c>
    </row>
    <row r="7973">
      <c r="A7973" s="4">
        <v>7827.0</v>
      </c>
      <c r="B7973" s="2" t="s">
        <v>32061</v>
      </c>
      <c r="C7973" s="2" t="s">
        <v>32062</v>
      </c>
      <c r="D7973" s="2" t="s">
        <v>32063</v>
      </c>
      <c r="E7973" s="2" t="s">
        <v>32064</v>
      </c>
      <c r="F7973" s="2" t="b">
        <v>1</v>
      </c>
      <c r="G7973" s="2" t="b">
        <v>0</v>
      </c>
      <c r="H7973" s="2" t="s">
        <v>37</v>
      </c>
      <c r="I7973" s="2" t="s">
        <v>22</v>
      </c>
      <c r="J7973" s="2" t="s">
        <v>340</v>
      </c>
      <c r="K7973" s="2" t="s">
        <v>495</v>
      </c>
      <c r="L7973" s="13" t="s">
        <v>496</v>
      </c>
      <c r="M7973" s="2" t="s">
        <v>26</v>
      </c>
      <c r="N7973" s="29"/>
      <c r="O7973" s="29"/>
      <c r="P7973" s="5" t="str">
        <f>IFERROR(__xludf.DUMMYFUNCTION("TEXTJOIN("" | "",TRUE,IF(OR(D7973="""",E7973="""",I7973="""",J7973="""",H7973=""""),""ফাঁকা ঘর"",""""),IF(AND(C7973&lt;&gt;"""",D7973&lt;&gt;"""",C7973=D7973),""gloss=figurative"",""""),IF(LEN(D7973)&lt;15,""figurative ছোট"",""""),IF(AND(I7973=""Positive"",REGEXMATCH(H7"&amp;"973,""মূর্খ|ভণ্ড|প্রতার|অলস|লোভ|স্বার্থ|অক্ষম|অযোগ্য|বোকা|কৃপণ|হিংস"")),""valence-target অমিল"",""""),IF(COUNTIF($B:$B,B7973)&gt;1,""ডুপ্লিকেট"",""""))"),"")</f>
        <v/>
      </c>
      <c r="Q7973" s="5" t="str">
        <f t="shared" si="1"/>
        <v>২ পরে</v>
      </c>
    </row>
    <row r="7974">
      <c r="A7974" s="4">
        <v>7828.0</v>
      </c>
      <c r="B7974" s="2" t="s">
        <v>32065</v>
      </c>
      <c r="C7974" s="2" t="s">
        <v>32066</v>
      </c>
      <c r="D7974" s="2" t="s">
        <v>32067</v>
      </c>
      <c r="E7974" s="2" t="s">
        <v>32068</v>
      </c>
      <c r="F7974" s="2" t="b">
        <v>1</v>
      </c>
      <c r="G7974" s="2" t="b">
        <v>0</v>
      </c>
      <c r="H7974" s="2" t="s">
        <v>37</v>
      </c>
      <c r="I7974" s="2" t="s">
        <v>49</v>
      </c>
      <c r="J7974" s="2" t="s">
        <v>340</v>
      </c>
      <c r="K7974" s="2" t="s">
        <v>495</v>
      </c>
      <c r="L7974" s="13" t="s">
        <v>496</v>
      </c>
      <c r="M7974" s="2" t="s">
        <v>26</v>
      </c>
      <c r="N7974" s="29"/>
      <c r="O7974" s="29"/>
      <c r="P7974" s="5" t="str">
        <f>IFERROR(__xludf.DUMMYFUNCTION("TEXTJOIN("" | "",TRUE,IF(OR(D7974="""",E7974="""",I7974="""",J7974="""",H7974=""""),""ফাঁকা ঘর"",""""),IF(AND(C7974&lt;&gt;"""",D7974&lt;&gt;"""",C7974=D7974),""gloss=figurative"",""""),IF(LEN(D7974)&lt;15,""figurative ছোট"",""""),IF(AND(I7974=""Positive"",REGEXMATCH(H7"&amp;"974,""মূর্খ|ভণ্ড|প্রতার|অলস|লোভ|স্বার্থ|অক্ষম|অযোগ্য|বোকা|কৃপণ|হিংস"")),""valence-target অমিল"",""""),IF(COUNTIF($B:$B,B7974)&gt;1,""ডুপ্লিকেট"",""""))"),"")</f>
        <v/>
      </c>
      <c r="Q7974" s="5" t="str">
        <f t="shared" si="1"/>
        <v>২ পরে</v>
      </c>
    </row>
    <row r="7975">
      <c r="A7975" s="4">
        <v>7837.0</v>
      </c>
      <c r="B7975" s="2" t="s">
        <v>32069</v>
      </c>
      <c r="C7975" s="2" t="s">
        <v>32069</v>
      </c>
      <c r="D7975" s="2" t="s">
        <v>32070</v>
      </c>
      <c r="E7975" s="2" t="s">
        <v>32071</v>
      </c>
      <c r="F7975" s="2" t="b">
        <v>1</v>
      </c>
      <c r="G7975" s="2" t="b">
        <v>0</v>
      </c>
      <c r="H7975" s="2" t="s">
        <v>37</v>
      </c>
      <c r="I7975" s="2" t="s">
        <v>22</v>
      </c>
      <c r="J7975" s="2" t="s">
        <v>669</v>
      </c>
      <c r="K7975" s="2" t="s">
        <v>495</v>
      </c>
      <c r="L7975" s="13" t="s">
        <v>496</v>
      </c>
      <c r="M7975" s="2" t="s">
        <v>26</v>
      </c>
      <c r="N7975" s="29"/>
      <c r="O7975" s="29"/>
      <c r="P7975" s="5" t="str">
        <f>IFERROR(__xludf.DUMMYFUNCTION("TEXTJOIN("" | "",TRUE,IF(OR(D7975="""",E7975="""",I7975="""",J7975="""",H7975=""""),""ফাঁকা ঘর"",""""),IF(AND(C7975&lt;&gt;"""",D7975&lt;&gt;"""",C7975=D7975),""gloss=figurative"",""""),IF(LEN(D7975)&lt;15,""figurative ছোট"",""""),IF(AND(I7975=""Positive"",REGEXMATCH(H7"&amp;"975,""মূর্খ|ভণ্ড|প্রতার|অলস|লোভ|স্বার্থ|অক্ষম|অযোগ্য|বোকা|কৃপণ|হিংস"")),""valence-target অমিল"",""""),IF(COUNTIF($B:$B,B7975)&gt;1,""ডুপ্লিকেট"",""""))"),"")</f>
        <v/>
      </c>
      <c r="Q7975" s="5" t="str">
        <f t="shared" si="1"/>
        <v>২ পরে</v>
      </c>
    </row>
    <row r="7976">
      <c r="A7976" s="4">
        <v>7899.0</v>
      </c>
      <c r="B7976" s="2" t="s">
        <v>32072</v>
      </c>
      <c r="C7976" s="2" t="s">
        <v>32073</v>
      </c>
      <c r="D7976" s="2" t="s">
        <v>32074</v>
      </c>
      <c r="E7976" s="2" t="s">
        <v>32075</v>
      </c>
      <c r="F7976" s="2" t="b">
        <v>1</v>
      </c>
      <c r="G7976" s="2" t="b">
        <v>0</v>
      </c>
      <c r="H7976" s="2" t="s">
        <v>37</v>
      </c>
      <c r="I7976" s="2" t="s">
        <v>22</v>
      </c>
      <c r="J7976" s="2" t="s">
        <v>1607</v>
      </c>
      <c r="K7976" s="2" t="s">
        <v>495</v>
      </c>
      <c r="L7976" s="13" t="s">
        <v>496</v>
      </c>
      <c r="M7976" s="2" t="s">
        <v>26</v>
      </c>
      <c r="N7976" s="29"/>
      <c r="O7976" s="29"/>
      <c r="P7976" s="5" t="str">
        <f>IFERROR(__xludf.DUMMYFUNCTION("TEXTJOIN("" | "",TRUE,IF(OR(D7976="""",E7976="""",I7976="""",J7976="""",H7976=""""),""ফাঁকা ঘর"",""""),IF(AND(C7976&lt;&gt;"""",D7976&lt;&gt;"""",C7976=D7976),""gloss=figurative"",""""),IF(LEN(D7976)&lt;15,""figurative ছোট"",""""),IF(AND(I7976=""Positive"",REGEXMATCH(H7"&amp;"976,""মূর্খ|ভণ্ড|প্রতার|অলস|লোভ|স্বার্থ|অক্ষম|অযোগ্য|বোকা|কৃপণ|হিংস"")),""valence-target অমিল"",""""),IF(COUNTIF($B:$B,B7976)&gt;1,""ডুপ্লিকেট"",""""))"),"")</f>
        <v/>
      </c>
      <c r="Q7976" s="5" t="str">
        <f t="shared" si="1"/>
        <v>২ পরে</v>
      </c>
    </row>
    <row r="7977">
      <c r="A7977" s="4">
        <v>7909.0</v>
      </c>
      <c r="B7977" s="2" t="s">
        <v>32076</v>
      </c>
      <c r="C7977" s="2" t="s">
        <v>32076</v>
      </c>
      <c r="D7977" s="2" t="s">
        <v>31431</v>
      </c>
      <c r="E7977" s="2" t="s">
        <v>32077</v>
      </c>
      <c r="F7977" s="2" t="b">
        <v>1</v>
      </c>
      <c r="G7977" s="2" t="b">
        <v>0</v>
      </c>
      <c r="H7977" s="2" t="s">
        <v>37</v>
      </c>
      <c r="I7977" s="2" t="s">
        <v>32</v>
      </c>
      <c r="J7977" s="2" t="s">
        <v>1603</v>
      </c>
      <c r="K7977" s="2" t="s">
        <v>495</v>
      </c>
      <c r="L7977" s="13" t="s">
        <v>496</v>
      </c>
      <c r="M7977" s="2" t="s">
        <v>26</v>
      </c>
      <c r="N7977" s="29"/>
      <c r="O7977" s="29"/>
      <c r="P7977" s="5" t="str">
        <f>IFERROR(__xludf.DUMMYFUNCTION("TEXTJOIN("" | "",TRUE,IF(OR(D7977="""",E7977="""",I7977="""",J7977="""",H7977=""""),""ফাঁকা ঘর"",""""),IF(AND(C7977&lt;&gt;"""",D7977&lt;&gt;"""",C7977=D7977),""gloss=figurative"",""""),IF(LEN(D7977)&lt;15,""figurative ছোট"",""""),IF(AND(I7977=""Positive"",REGEXMATCH(H7"&amp;"977,""মূর্খ|ভণ্ড|প্রতার|অলস|লোভ|স্বার্থ|অক্ষম|অযোগ্য|বোকা|কৃপণ|হিংস"")),""valence-target অমিল"",""""),IF(COUNTIF($B:$B,B7977)&gt;1,""ডুপ্লিকেট"",""""))"),"")</f>
        <v/>
      </c>
      <c r="Q7977" s="5" t="str">
        <f t="shared" si="1"/>
        <v>২ পরে</v>
      </c>
    </row>
    <row r="7978">
      <c r="A7978" s="4"/>
      <c r="B7978" s="2"/>
      <c r="C7978" s="2"/>
      <c r="D7978" s="2"/>
      <c r="E7978" s="2"/>
      <c r="F7978" s="2"/>
      <c r="G7978" s="2"/>
      <c r="H7978" s="2"/>
      <c r="I7978" s="2"/>
      <c r="J7978" s="2"/>
      <c r="K7978" s="2"/>
      <c r="L7978" s="2"/>
      <c r="M7978" s="2"/>
      <c r="N7978" s="29"/>
      <c r="O7978" s="29"/>
    </row>
    <row r="7979">
      <c r="A7979" s="4"/>
      <c r="B7979" s="2"/>
      <c r="C7979" s="2"/>
      <c r="D7979" s="2"/>
      <c r="E7979" s="2"/>
      <c r="F7979" s="2"/>
      <c r="G7979" s="2"/>
      <c r="H7979" s="2"/>
      <c r="I7979" s="2"/>
      <c r="J7979" s="2"/>
      <c r="K7979" s="2"/>
      <c r="L7979" s="2"/>
      <c r="M7979" s="2"/>
      <c r="N7979" s="29"/>
      <c r="O7979" s="29"/>
    </row>
    <row r="7980">
      <c r="A7980" s="4"/>
      <c r="B7980" s="2"/>
      <c r="C7980" s="2"/>
      <c r="D7980" s="2"/>
      <c r="E7980" s="2"/>
      <c r="F7980" s="2"/>
      <c r="G7980" s="2"/>
      <c r="H7980" s="2"/>
      <c r="I7980" s="2"/>
      <c r="J7980" s="2"/>
      <c r="K7980" s="2"/>
      <c r="L7980" s="2"/>
      <c r="M7980" s="2"/>
      <c r="N7980" s="29"/>
      <c r="O7980" s="29"/>
    </row>
    <row r="7981">
      <c r="A7981" s="4"/>
      <c r="B7981" s="2"/>
      <c r="C7981" s="2"/>
      <c r="D7981" s="2"/>
      <c r="E7981" s="2"/>
      <c r="F7981" s="2"/>
      <c r="G7981" s="2"/>
      <c r="H7981" s="2"/>
      <c r="I7981" s="2"/>
      <c r="J7981" s="2"/>
      <c r="K7981" s="2"/>
      <c r="L7981" s="2"/>
      <c r="M7981" s="2"/>
      <c r="N7981" s="29"/>
      <c r="O7981" s="29"/>
    </row>
    <row r="7982">
      <c r="A7982" s="4"/>
      <c r="B7982" s="2"/>
      <c r="C7982" s="2"/>
      <c r="D7982" s="2"/>
      <c r="E7982" s="2"/>
      <c r="F7982" s="2"/>
      <c r="G7982" s="2"/>
      <c r="H7982" s="2"/>
      <c r="I7982" s="2"/>
      <c r="J7982" s="2"/>
      <c r="K7982" s="2"/>
      <c r="L7982" s="2"/>
      <c r="M7982" s="2"/>
      <c r="N7982" s="29"/>
      <c r="O7982" s="29"/>
    </row>
    <row r="7983">
      <c r="A7983" s="4"/>
      <c r="B7983" s="2"/>
      <c r="C7983" s="2"/>
      <c r="D7983" s="2"/>
      <c r="E7983" s="2"/>
      <c r="F7983" s="2"/>
      <c r="G7983" s="2"/>
      <c r="H7983" s="2"/>
      <c r="I7983" s="2"/>
      <c r="J7983" s="2"/>
      <c r="K7983" s="2"/>
      <c r="L7983" s="2"/>
      <c r="M7983" s="2"/>
      <c r="N7983" s="29"/>
      <c r="O7983" s="29"/>
    </row>
    <row r="7984">
      <c r="A7984" s="4"/>
      <c r="B7984" s="2"/>
      <c r="C7984" s="2"/>
      <c r="D7984" s="2"/>
      <c r="E7984" s="2"/>
      <c r="F7984" s="2"/>
      <c r="G7984" s="2"/>
      <c r="H7984" s="2"/>
      <c r="I7984" s="2"/>
      <c r="J7984" s="2"/>
      <c r="K7984" s="2"/>
      <c r="L7984" s="2"/>
      <c r="M7984" s="2"/>
      <c r="N7984" s="29"/>
      <c r="O7984" s="29"/>
    </row>
    <row r="7985">
      <c r="A7985" s="4"/>
      <c r="B7985" s="2"/>
      <c r="C7985" s="2"/>
      <c r="D7985" s="2"/>
      <c r="E7985" s="2"/>
      <c r="F7985" s="2"/>
      <c r="G7985" s="2"/>
      <c r="H7985" s="2"/>
      <c r="I7985" s="2"/>
      <c r="J7985" s="2"/>
      <c r="K7985" s="2"/>
      <c r="L7985" s="2"/>
      <c r="M7985" s="2"/>
      <c r="N7985" s="29"/>
      <c r="O7985" s="29"/>
    </row>
    <row r="7986">
      <c r="A7986" s="4"/>
      <c r="B7986" s="2"/>
      <c r="C7986" s="2"/>
      <c r="D7986" s="2"/>
      <c r="E7986" s="2"/>
      <c r="F7986" s="2"/>
      <c r="G7986" s="2"/>
      <c r="H7986" s="2"/>
      <c r="I7986" s="2"/>
      <c r="J7986" s="2"/>
      <c r="K7986" s="2"/>
      <c r="L7986" s="2"/>
      <c r="M7986" s="2"/>
      <c r="N7986" s="29"/>
      <c r="O7986" s="29"/>
    </row>
    <row r="7987">
      <c r="A7987" s="4"/>
      <c r="B7987" s="2"/>
      <c r="C7987" s="2"/>
      <c r="D7987" s="2"/>
      <c r="E7987" s="2"/>
      <c r="F7987" s="2"/>
      <c r="G7987" s="2"/>
      <c r="H7987" s="2"/>
      <c r="I7987" s="2"/>
      <c r="J7987" s="2"/>
      <c r="K7987" s="2"/>
      <c r="L7987" s="2"/>
      <c r="M7987" s="2"/>
      <c r="N7987" s="29"/>
      <c r="O7987" s="29"/>
    </row>
    <row r="7988">
      <c r="A7988" s="4"/>
      <c r="B7988" s="2"/>
      <c r="C7988" s="2"/>
      <c r="D7988" s="2"/>
      <c r="E7988" s="2"/>
      <c r="F7988" s="2"/>
      <c r="G7988" s="2"/>
      <c r="H7988" s="2"/>
      <c r="I7988" s="2"/>
      <c r="J7988" s="2"/>
      <c r="K7988" s="2"/>
      <c r="L7988" s="2"/>
      <c r="M7988" s="2"/>
      <c r="N7988" s="29"/>
      <c r="O7988" s="29"/>
    </row>
    <row r="7989">
      <c r="A7989" s="4"/>
      <c r="B7989" s="2"/>
      <c r="C7989" s="2"/>
      <c r="D7989" s="2"/>
      <c r="E7989" s="2"/>
      <c r="F7989" s="2"/>
      <c r="G7989" s="2"/>
      <c r="H7989" s="2"/>
      <c r="I7989" s="2"/>
      <c r="J7989" s="2"/>
      <c r="K7989" s="2"/>
      <c r="L7989" s="2"/>
      <c r="M7989" s="2"/>
      <c r="N7989" s="29"/>
      <c r="O7989" s="29"/>
    </row>
    <row r="7990">
      <c r="A7990" s="4"/>
      <c r="B7990" s="2"/>
      <c r="C7990" s="2"/>
      <c r="D7990" s="2"/>
      <c r="E7990" s="2"/>
      <c r="F7990" s="2"/>
      <c r="G7990" s="2"/>
      <c r="H7990" s="2"/>
      <c r="I7990" s="2"/>
      <c r="J7990" s="2"/>
      <c r="K7990" s="2"/>
      <c r="L7990" s="2"/>
      <c r="M7990" s="2"/>
      <c r="N7990" s="29"/>
      <c r="O7990" s="29"/>
    </row>
    <row r="7991">
      <c r="A7991" s="4"/>
      <c r="B7991" s="2"/>
      <c r="C7991" s="2"/>
      <c r="D7991" s="2"/>
      <c r="E7991" s="2"/>
      <c r="F7991" s="2"/>
      <c r="G7991" s="2"/>
      <c r="H7991" s="2"/>
      <c r="I7991" s="2"/>
      <c r="J7991" s="2"/>
      <c r="K7991" s="2"/>
      <c r="L7991" s="2"/>
      <c r="M7991" s="2"/>
      <c r="N7991" s="29"/>
      <c r="O7991" s="29"/>
    </row>
    <row r="7992">
      <c r="A7992" s="4"/>
      <c r="B7992" s="2"/>
      <c r="C7992" s="2"/>
      <c r="D7992" s="2"/>
      <c r="E7992" s="2"/>
      <c r="F7992" s="2"/>
      <c r="G7992" s="2"/>
      <c r="H7992" s="2"/>
      <c r="I7992" s="2"/>
      <c r="J7992" s="2"/>
      <c r="K7992" s="2"/>
      <c r="L7992" s="2"/>
      <c r="M7992" s="2"/>
      <c r="N7992" s="29"/>
      <c r="O7992" s="29"/>
    </row>
    <row r="7993">
      <c r="A7993" s="4"/>
      <c r="B7993" s="2"/>
      <c r="C7993" s="2"/>
      <c r="D7993" s="2"/>
      <c r="E7993" s="2"/>
      <c r="F7993" s="2"/>
      <c r="G7993" s="2"/>
      <c r="H7993" s="2"/>
      <c r="I7993" s="2"/>
      <c r="J7993" s="2"/>
      <c r="K7993" s="2"/>
      <c r="L7993" s="2"/>
      <c r="M7993" s="2"/>
      <c r="N7993" s="29"/>
      <c r="O7993" s="29"/>
    </row>
    <row r="7994">
      <c r="A7994" s="4"/>
      <c r="B7994" s="2"/>
      <c r="C7994" s="2"/>
      <c r="D7994" s="2"/>
      <c r="E7994" s="2"/>
      <c r="F7994" s="2"/>
      <c r="G7994" s="2"/>
      <c r="H7994" s="2"/>
      <c r="I7994" s="2"/>
      <c r="J7994" s="2"/>
      <c r="K7994" s="2"/>
      <c r="L7994" s="2"/>
      <c r="M7994" s="2"/>
      <c r="N7994" s="29"/>
      <c r="O7994" s="29"/>
    </row>
    <row r="7995">
      <c r="A7995" s="4"/>
      <c r="B7995" s="2"/>
      <c r="C7995" s="2"/>
      <c r="D7995" s="2"/>
      <c r="E7995" s="2"/>
      <c r="F7995" s="2"/>
      <c r="G7995" s="2"/>
      <c r="H7995" s="2"/>
      <c r="I7995" s="2"/>
      <c r="J7995" s="2"/>
      <c r="K7995" s="2"/>
      <c r="L7995" s="2"/>
      <c r="M7995" s="2"/>
      <c r="N7995" s="29"/>
      <c r="O7995" s="29"/>
    </row>
    <row r="7996">
      <c r="A7996" s="4"/>
      <c r="B7996" s="2"/>
      <c r="C7996" s="2"/>
      <c r="D7996" s="2"/>
      <c r="E7996" s="2"/>
      <c r="F7996" s="2"/>
      <c r="G7996" s="2"/>
      <c r="H7996" s="2"/>
      <c r="I7996" s="2"/>
      <c r="J7996" s="2"/>
      <c r="K7996" s="2"/>
      <c r="L7996" s="2"/>
      <c r="M7996" s="2"/>
      <c r="N7996" s="29"/>
      <c r="O7996" s="29"/>
    </row>
    <row r="7997">
      <c r="A7997" s="4"/>
      <c r="B7997" s="2"/>
      <c r="C7997" s="2"/>
      <c r="D7997" s="2"/>
      <c r="E7997" s="2"/>
      <c r="F7997" s="2"/>
      <c r="G7997" s="2"/>
      <c r="H7997" s="2"/>
      <c r="I7997" s="2"/>
      <c r="J7997" s="2"/>
      <c r="K7997" s="2"/>
      <c r="L7997" s="2"/>
      <c r="M7997" s="2"/>
      <c r="N7997" s="29"/>
      <c r="O7997" s="29"/>
    </row>
    <row r="7998">
      <c r="A7998" s="4"/>
      <c r="B7998" s="2"/>
      <c r="C7998" s="2"/>
      <c r="D7998" s="2"/>
      <c r="E7998" s="2"/>
      <c r="F7998" s="2"/>
      <c r="G7998" s="2"/>
      <c r="H7998" s="2"/>
      <c r="I7998" s="2"/>
      <c r="J7998" s="2"/>
      <c r="K7998" s="2"/>
      <c r="L7998" s="2"/>
      <c r="M7998" s="2"/>
      <c r="N7998" s="29"/>
      <c r="O7998" s="29"/>
    </row>
    <row r="7999">
      <c r="A7999" s="4"/>
      <c r="B7999" s="2"/>
      <c r="C7999" s="2"/>
      <c r="D7999" s="2"/>
      <c r="E7999" s="2"/>
      <c r="F7999" s="2"/>
      <c r="G7999" s="2"/>
      <c r="H7999" s="2"/>
      <c r="I7999" s="2"/>
      <c r="J7999" s="2"/>
      <c r="K7999" s="2"/>
      <c r="L7999" s="2"/>
      <c r="M7999" s="2"/>
      <c r="N7999" s="29"/>
      <c r="O7999" s="29"/>
    </row>
    <row r="8000">
      <c r="A8000" s="4"/>
      <c r="B8000" s="2"/>
      <c r="C8000" s="2"/>
      <c r="D8000" s="2"/>
      <c r="E8000" s="2"/>
      <c r="F8000" s="2"/>
      <c r="G8000" s="2"/>
      <c r="H8000" s="2"/>
      <c r="I8000" s="2"/>
      <c r="J8000" s="2"/>
      <c r="K8000" s="2"/>
      <c r="L8000" s="2"/>
      <c r="M8000" s="2"/>
      <c r="N8000" s="29"/>
      <c r="O8000" s="29"/>
    </row>
    <row r="8001">
      <c r="A8001" s="4"/>
      <c r="B8001" s="2"/>
      <c r="C8001" s="2"/>
      <c r="D8001" s="2"/>
      <c r="E8001" s="2"/>
      <c r="F8001" s="2"/>
      <c r="G8001" s="2"/>
      <c r="H8001" s="2"/>
      <c r="I8001" s="2"/>
      <c r="J8001" s="2"/>
      <c r="K8001" s="2"/>
      <c r="L8001" s="2"/>
      <c r="M8001" s="2"/>
      <c r="N8001" s="29"/>
      <c r="O8001" s="29"/>
    </row>
    <row r="8002">
      <c r="A8002" s="4"/>
      <c r="B8002" s="2"/>
      <c r="C8002" s="2"/>
      <c r="D8002" s="2"/>
      <c r="E8002" s="2"/>
      <c r="F8002" s="2"/>
      <c r="G8002" s="2"/>
      <c r="H8002" s="2"/>
      <c r="I8002" s="2"/>
      <c r="J8002" s="2"/>
      <c r="K8002" s="2"/>
      <c r="L8002" s="2"/>
      <c r="M8002" s="2"/>
      <c r="N8002" s="29"/>
      <c r="O8002" s="29"/>
    </row>
    <row r="8003">
      <c r="A8003" s="4"/>
      <c r="B8003" s="2"/>
      <c r="C8003" s="2"/>
      <c r="D8003" s="2"/>
      <c r="E8003" s="2"/>
      <c r="F8003" s="2"/>
      <c r="G8003" s="2"/>
      <c r="H8003" s="2"/>
      <c r="I8003" s="2"/>
      <c r="J8003" s="2"/>
      <c r="K8003" s="2"/>
      <c r="L8003" s="2"/>
      <c r="M8003" s="2"/>
      <c r="N8003" s="29"/>
      <c r="O8003" s="29"/>
    </row>
    <row r="8004">
      <c r="A8004" s="4"/>
      <c r="B8004" s="2"/>
      <c r="C8004" s="2"/>
      <c r="D8004" s="2"/>
      <c r="E8004" s="2"/>
      <c r="F8004" s="2"/>
      <c r="G8004" s="2"/>
      <c r="H8004" s="2"/>
      <c r="I8004" s="2"/>
      <c r="J8004" s="2"/>
      <c r="K8004" s="2"/>
      <c r="L8004" s="2"/>
      <c r="M8004" s="2"/>
      <c r="N8004" s="29"/>
      <c r="O8004" s="29"/>
    </row>
    <row r="8005">
      <c r="A8005" s="4"/>
      <c r="B8005" s="2"/>
      <c r="C8005" s="2"/>
      <c r="D8005" s="2"/>
      <c r="E8005" s="2"/>
      <c r="F8005" s="2"/>
      <c r="G8005" s="2"/>
      <c r="H8005" s="2"/>
      <c r="I8005" s="2"/>
      <c r="J8005" s="2"/>
      <c r="K8005" s="2"/>
      <c r="L8005" s="2"/>
      <c r="M8005" s="2"/>
      <c r="N8005" s="29"/>
      <c r="O8005" s="29"/>
    </row>
    <row r="8006">
      <c r="A8006" s="4"/>
      <c r="B8006" s="2"/>
      <c r="C8006" s="2"/>
      <c r="D8006" s="2"/>
      <c r="E8006" s="2"/>
      <c r="F8006" s="2"/>
      <c r="G8006" s="2"/>
      <c r="H8006" s="2"/>
      <c r="I8006" s="2"/>
      <c r="J8006" s="2"/>
      <c r="K8006" s="2"/>
      <c r="L8006" s="2"/>
      <c r="M8006" s="2"/>
      <c r="N8006" s="29"/>
      <c r="O8006" s="29"/>
    </row>
    <row r="8007">
      <c r="A8007" s="4"/>
      <c r="B8007" s="2"/>
      <c r="C8007" s="2"/>
      <c r="D8007" s="2"/>
      <c r="E8007" s="2"/>
      <c r="F8007" s="2"/>
      <c r="G8007" s="2"/>
      <c r="H8007" s="2"/>
      <c r="I8007" s="2"/>
      <c r="J8007" s="2"/>
      <c r="K8007" s="2"/>
      <c r="L8007" s="2"/>
      <c r="M8007" s="2"/>
      <c r="N8007" s="29"/>
      <c r="O8007" s="29"/>
    </row>
    <row r="8008">
      <c r="A8008" s="4"/>
      <c r="B8008" s="2"/>
      <c r="C8008" s="2"/>
      <c r="D8008" s="2"/>
      <c r="E8008" s="2"/>
      <c r="F8008" s="2"/>
      <c r="G8008" s="2"/>
      <c r="H8008" s="2"/>
      <c r="I8008" s="2"/>
      <c r="J8008" s="2"/>
      <c r="K8008" s="2"/>
      <c r="L8008" s="2"/>
      <c r="M8008" s="2"/>
      <c r="N8008" s="29"/>
      <c r="O8008" s="29"/>
    </row>
    <row r="8009">
      <c r="A8009" s="4"/>
      <c r="B8009" s="2"/>
      <c r="C8009" s="2"/>
      <c r="D8009" s="2"/>
      <c r="E8009" s="2"/>
      <c r="F8009" s="2"/>
      <c r="G8009" s="2"/>
      <c r="H8009" s="2"/>
      <c r="I8009" s="2"/>
      <c r="J8009" s="2"/>
      <c r="K8009" s="2"/>
      <c r="L8009" s="2"/>
      <c r="M8009" s="2"/>
      <c r="N8009" s="29"/>
      <c r="O8009" s="29"/>
    </row>
    <row r="8010">
      <c r="A8010" s="4"/>
      <c r="B8010" s="2"/>
      <c r="C8010" s="2"/>
      <c r="D8010" s="2"/>
      <c r="E8010" s="2"/>
      <c r="F8010" s="2"/>
      <c r="G8010" s="2"/>
      <c r="H8010" s="2"/>
      <c r="I8010" s="2"/>
      <c r="J8010" s="2"/>
      <c r="K8010" s="2"/>
      <c r="L8010" s="2"/>
      <c r="M8010" s="2"/>
      <c r="N8010" s="29"/>
      <c r="O8010" s="29"/>
    </row>
    <row r="8011">
      <c r="A8011" s="4"/>
      <c r="B8011" s="2"/>
      <c r="C8011" s="2"/>
      <c r="D8011" s="2"/>
      <c r="E8011" s="2"/>
      <c r="F8011" s="2"/>
      <c r="G8011" s="2"/>
      <c r="H8011" s="2"/>
      <c r="I8011" s="2"/>
      <c r="J8011" s="2"/>
      <c r="K8011" s="2"/>
      <c r="L8011" s="2"/>
      <c r="M8011" s="2"/>
      <c r="N8011" s="29"/>
      <c r="O8011" s="29"/>
    </row>
    <row r="8012">
      <c r="A8012" s="4"/>
      <c r="B8012" s="2"/>
      <c r="C8012" s="2"/>
      <c r="D8012" s="2"/>
      <c r="E8012" s="2"/>
      <c r="F8012" s="2"/>
      <c r="G8012" s="2"/>
      <c r="H8012" s="2"/>
      <c r="I8012" s="2"/>
      <c r="J8012" s="2"/>
      <c r="K8012" s="2"/>
      <c r="L8012" s="2"/>
      <c r="M8012" s="2"/>
      <c r="N8012" s="29"/>
      <c r="O8012" s="29"/>
    </row>
    <row r="8013">
      <c r="A8013" s="4"/>
      <c r="B8013" s="2"/>
      <c r="C8013" s="2"/>
      <c r="D8013" s="2"/>
      <c r="E8013" s="2"/>
      <c r="F8013" s="2"/>
      <c r="G8013" s="2"/>
      <c r="H8013" s="2"/>
      <c r="I8013" s="2"/>
      <c r="J8013" s="2"/>
      <c r="K8013" s="2"/>
      <c r="L8013" s="2"/>
      <c r="M8013" s="2"/>
      <c r="N8013" s="29"/>
      <c r="O8013" s="29"/>
    </row>
    <row r="8014">
      <c r="A8014" s="4"/>
      <c r="B8014" s="2"/>
      <c r="C8014" s="2"/>
      <c r="D8014" s="2"/>
      <c r="E8014" s="2"/>
      <c r="F8014" s="2"/>
      <c r="G8014" s="2"/>
      <c r="H8014" s="2"/>
      <c r="I8014" s="2"/>
      <c r="J8014" s="2"/>
      <c r="K8014" s="2"/>
      <c r="L8014" s="2"/>
      <c r="M8014" s="2"/>
      <c r="N8014" s="29"/>
      <c r="O8014" s="29"/>
    </row>
    <row r="8015">
      <c r="A8015" s="4"/>
      <c r="B8015" s="2"/>
      <c r="C8015" s="2"/>
      <c r="D8015" s="2"/>
      <c r="E8015" s="2"/>
      <c r="F8015" s="2"/>
      <c r="G8015" s="2"/>
      <c r="H8015" s="2"/>
      <c r="I8015" s="2"/>
      <c r="J8015" s="2"/>
      <c r="K8015" s="2"/>
      <c r="L8015" s="2"/>
      <c r="M8015" s="2"/>
      <c r="N8015" s="29"/>
      <c r="O8015" s="29"/>
    </row>
    <row r="8016">
      <c r="A8016" s="4"/>
      <c r="B8016" s="2"/>
      <c r="C8016" s="2"/>
      <c r="D8016" s="2"/>
      <c r="E8016" s="2"/>
      <c r="F8016" s="2"/>
      <c r="G8016" s="2"/>
      <c r="H8016" s="2"/>
      <c r="I8016" s="2"/>
      <c r="J8016" s="2"/>
      <c r="K8016" s="2"/>
      <c r="L8016" s="2"/>
      <c r="M8016" s="2"/>
      <c r="N8016" s="29"/>
      <c r="O8016" s="29"/>
    </row>
    <row r="8017">
      <c r="A8017" s="4"/>
      <c r="B8017" s="2"/>
      <c r="C8017" s="2"/>
      <c r="D8017" s="2"/>
      <c r="E8017" s="2"/>
      <c r="F8017" s="2"/>
      <c r="G8017" s="2"/>
      <c r="H8017" s="2"/>
      <c r="I8017" s="2"/>
      <c r="J8017" s="2"/>
      <c r="K8017" s="2"/>
      <c r="L8017" s="2"/>
      <c r="M8017" s="2"/>
      <c r="N8017" s="29"/>
      <c r="O8017" s="29"/>
    </row>
    <row r="8018">
      <c r="A8018" s="4"/>
      <c r="B8018" s="2"/>
      <c r="C8018" s="2"/>
      <c r="D8018" s="2"/>
      <c r="E8018" s="2"/>
      <c r="F8018" s="2"/>
      <c r="G8018" s="2"/>
      <c r="H8018" s="2"/>
      <c r="I8018" s="2"/>
      <c r="J8018" s="2"/>
      <c r="K8018" s="2"/>
      <c r="L8018" s="2"/>
      <c r="M8018" s="2"/>
      <c r="N8018" s="29"/>
      <c r="O8018" s="29"/>
    </row>
    <row r="8019">
      <c r="A8019" s="4"/>
      <c r="B8019" s="2"/>
      <c r="C8019" s="2"/>
      <c r="D8019" s="2"/>
      <c r="E8019" s="2"/>
      <c r="F8019" s="2"/>
      <c r="G8019" s="2"/>
      <c r="H8019" s="2"/>
      <c r="I8019" s="2"/>
      <c r="J8019" s="2"/>
      <c r="K8019" s="2"/>
      <c r="L8019" s="2"/>
      <c r="M8019" s="2"/>
      <c r="N8019" s="29"/>
      <c r="O8019" s="29"/>
    </row>
    <row r="8020">
      <c r="A8020" s="4"/>
      <c r="B8020" s="2"/>
      <c r="C8020" s="2"/>
      <c r="D8020" s="2"/>
      <c r="E8020" s="2"/>
      <c r="F8020" s="2"/>
      <c r="G8020" s="2"/>
      <c r="H8020" s="2"/>
      <c r="I8020" s="2"/>
      <c r="J8020" s="2"/>
      <c r="K8020" s="2"/>
      <c r="L8020" s="2"/>
      <c r="M8020" s="2"/>
      <c r="N8020" s="29"/>
      <c r="O8020" s="29"/>
    </row>
    <row r="8021">
      <c r="A8021" s="4"/>
      <c r="B8021" s="2"/>
      <c r="C8021" s="2"/>
      <c r="D8021" s="2"/>
      <c r="E8021" s="2"/>
      <c r="F8021" s="2"/>
      <c r="G8021" s="2"/>
      <c r="H8021" s="2"/>
      <c r="I8021" s="2"/>
      <c r="J8021" s="2"/>
      <c r="K8021" s="2"/>
      <c r="L8021" s="2"/>
      <c r="M8021" s="2"/>
      <c r="N8021" s="29"/>
      <c r="O8021" s="29"/>
    </row>
    <row r="8022">
      <c r="A8022" s="4"/>
      <c r="B8022" s="2"/>
      <c r="C8022" s="2"/>
      <c r="D8022" s="2"/>
      <c r="E8022" s="2"/>
      <c r="F8022" s="2"/>
      <c r="G8022" s="2"/>
      <c r="H8022" s="2"/>
      <c r="I8022" s="2"/>
      <c r="J8022" s="2"/>
      <c r="K8022" s="2"/>
      <c r="L8022" s="2"/>
      <c r="M8022" s="2"/>
      <c r="N8022" s="29"/>
      <c r="O8022" s="29"/>
    </row>
    <row r="8023">
      <c r="A8023" s="4"/>
      <c r="B8023" s="2"/>
      <c r="C8023" s="2"/>
      <c r="D8023" s="2"/>
      <c r="E8023" s="2"/>
      <c r="F8023" s="2"/>
      <c r="G8023" s="2"/>
      <c r="H8023" s="2"/>
      <c r="I8023" s="2"/>
      <c r="J8023" s="2"/>
      <c r="K8023" s="2"/>
      <c r="L8023" s="2"/>
      <c r="M8023" s="2"/>
      <c r="N8023" s="29"/>
      <c r="O8023" s="29"/>
    </row>
    <row r="8024">
      <c r="A8024" s="4"/>
      <c r="B8024" s="2"/>
      <c r="C8024" s="2"/>
      <c r="D8024" s="2"/>
      <c r="E8024" s="2"/>
      <c r="F8024" s="2"/>
      <c r="G8024" s="2"/>
      <c r="H8024" s="2"/>
      <c r="I8024" s="2"/>
      <c r="J8024" s="2"/>
      <c r="K8024" s="2"/>
      <c r="L8024" s="2"/>
      <c r="M8024" s="2"/>
      <c r="N8024" s="29"/>
      <c r="O8024" s="29"/>
    </row>
    <row r="8025">
      <c r="A8025" s="4"/>
      <c r="B8025" s="2"/>
      <c r="C8025" s="2"/>
      <c r="D8025" s="2"/>
      <c r="E8025" s="2"/>
      <c r="F8025" s="2"/>
      <c r="G8025" s="2"/>
      <c r="H8025" s="2"/>
      <c r="I8025" s="2"/>
      <c r="J8025" s="2"/>
      <c r="K8025" s="2"/>
      <c r="L8025" s="2"/>
      <c r="M8025" s="2"/>
      <c r="N8025" s="29"/>
      <c r="O8025" s="29"/>
    </row>
    <row r="8026">
      <c r="A8026" s="4"/>
      <c r="B8026" s="2"/>
      <c r="C8026" s="2"/>
      <c r="D8026" s="2"/>
      <c r="E8026" s="2"/>
      <c r="F8026" s="2"/>
      <c r="G8026" s="2"/>
      <c r="H8026" s="2"/>
      <c r="I8026" s="2"/>
      <c r="J8026" s="2"/>
      <c r="K8026" s="2"/>
      <c r="L8026" s="2"/>
      <c r="M8026" s="2"/>
      <c r="N8026" s="29"/>
      <c r="O8026" s="29"/>
    </row>
    <row r="8027">
      <c r="A8027" s="4"/>
      <c r="B8027" s="2"/>
      <c r="C8027" s="2"/>
      <c r="D8027" s="2"/>
      <c r="E8027" s="2"/>
      <c r="F8027" s="2"/>
      <c r="G8027" s="2"/>
      <c r="H8027" s="2"/>
      <c r="I8027" s="2"/>
      <c r="J8027" s="2"/>
      <c r="K8027" s="2"/>
      <c r="L8027" s="2"/>
      <c r="M8027" s="2"/>
      <c r="N8027" s="29"/>
      <c r="O8027" s="29"/>
    </row>
    <row r="8028">
      <c r="A8028" s="4"/>
      <c r="B8028" s="2"/>
      <c r="C8028" s="2"/>
      <c r="D8028" s="2"/>
      <c r="E8028" s="2"/>
      <c r="F8028" s="2"/>
      <c r="G8028" s="2"/>
      <c r="H8028" s="2"/>
      <c r="I8028" s="2"/>
      <c r="J8028" s="2"/>
      <c r="K8028" s="2"/>
      <c r="L8028" s="2"/>
      <c r="M8028" s="2"/>
      <c r="N8028" s="29"/>
      <c r="O8028" s="29"/>
    </row>
    <row r="8029">
      <c r="A8029" s="4"/>
      <c r="B8029" s="2"/>
      <c r="C8029" s="2"/>
      <c r="D8029" s="2"/>
      <c r="E8029" s="2"/>
      <c r="F8029" s="2"/>
      <c r="G8029" s="2"/>
      <c r="H8029" s="2"/>
      <c r="I8029" s="2"/>
      <c r="J8029" s="2"/>
      <c r="K8029" s="2"/>
      <c r="L8029" s="2"/>
      <c r="M8029" s="2"/>
      <c r="N8029" s="29"/>
      <c r="O8029" s="29"/>
    </row>
    <row r="8030">
      <c r="A8030" s="4"/>
      <c r="B8030" s="2"/>
      <c r="C8030" s="2"/>
      <c r="D8030" s="2"/>
      <c r="E8030" s="2"/>
      <c r="F8030" s="2"/>
      <c r="G8030" s="2"/>
      <c r="H8030" s="2"/>
      <c r="I8030" s="2"/>
      <c r="J8030" s="2"/>
      <c r="K8030" s="2"/>
      <c r="L8030" s="2"/>
      <c r="M8030" s="2"/>
      <c r="N8030" s="29"/>
      <c r="O8030" s="29"/>
    </row>
    <row r="8031">
      <c r="A8031" s="4"/>
      <c r="B8031" s="2"/>
      <c r="C8031" s="2"/>
      <c r="D8031" s="2"/>
      <c r="E8031" s="2"/>
      <c r="F8031" s="2"/>
      <c r="G8031" s="2"/>
      <c r="H8031" s="2"/>
      <c r="I8031" s="2"/>
      <c r="J8031" s="2"/>
      <c r="K8031" s="2"/>
      <c r="L8031" s="2"/>
      <c r="M8031" s="2"/>
      <c r="N8031" s="29"/>
      <c r="O8031" s="29"/>
    </row>
    <row r="8032">
      <c r="A8032" s="4"/>
      <c r="B8032" s="2"/>
      <c r="C8032" s="2"/>
      <c r="D8032" s="2"/>
      <c r="E8032" s="2"/>
      <c r="F8032" s="2"/>
      <c r="G8032" s="2"/>
      <c r="H8032" s="2"/>
      <c r="I8032" s="2"/>
      <c r="J8032" s="2"/>
      <c r="K8032" s="2"/>
      <c r="L8032" s="2"/>
      <c r="M8032" s="2"/>
      <c r="N8032" s="29"/>
      <c r="O8032" s="29"/>
    </row>
    <row r="8033">
      <c r="A8033" s="4"/>
      <c r="B8033" s="2"/>
      <c r="C8033" s="2"/>
      <c r="D8033" s="2"/>
      <c r="E8033" s="2"/>
      <c r="F8033" s="2"/>
      <c r="G8033" s="2"/>
      <c r="H8033" s="2"/>
      <c r="I8033" s="2"/>
      <c r="J8033" s="2"/>
      <c r="K8033" s="2"/>
      <c r="L8033" s="2"/>
      <c r="M8033" s="2"/>
      <c r="N8033" s="29"/>
      <c r="O8033" s="29"/>
    </row>
    <row r="8034">
      <c r="A8034" s="4"/>
      <c r="B8034" s="2"/>
      <c r="C8034" s="2"/>
      <c r="D8034" s="2"/>
      <c r="E8034" s="2"/>
      <c r="F8034" s="2"/>
      <c r="G8034" s="2"/>
      <c r="H8034" s="2"/>
      <c r="I8034" s="2"/>
      <c r="J8034" s="2"/>
      <c r="K8034" s="2"/>
      <c r="L8034" s="2"/>
      <c r="M8034" s="2"/>
      <c r="N8034" s="29"/>
      <c r="O8034" s="29"/>
    </row>
    <row r="8035">
      <c r="A8035" s="4"/>
      <c r="B8035" s="2"/>
      <c r="C8035" s="2"/>
      <c r="D8035" s="2"/>
      <c r="E8035" s="2"/>
      <c r="F8035" s="2"/>
      <c r="G8035" s="2"/>
      <c r="H8035" s="2"/>
      <c r="I8035" s="2"/>
      <c r="J8035" s="2"/>
      <c r="K8035" s="2"/>
      <c r="L8035" s="2"/>
      <c r="M8035" s="2"/>
      <c r="N8035" s="29"/>
      <c r="O8035" s="29"/>
    </row>
    <row r="8036">
      <c r="A8036" s="4"/>
      <c r="B8036" s="2"/>
      <c r="C8036" s="2"/>
      <c r="D8036" s="2"/>
      <c r="E8036" s="2"/>
      <c r="F8036" s="2"/>
      <c r="G8036" s="2"/>
      <c r="H8036" s="2"/>
      <c r="I8036" s="2"/>
      <c r="J8036" s="2"/>
      <c r="K8036" s="2"/>
      <c r="L8036" s="2"/>
      <c r="M8036" s="2"/>
      <c r="N8036" s="29"/>
      <c r="O8036" s="29"/>
    </row>
    <row r="8037">
      <c r="A8037" s="4"/>
      <c r="B8037" s="2"/>
      <c r="C8037" s="2"/>
      <c r="D8037" s="2"/>
      <c r="E8037" s="2"/>
      <c r="F8037" s="2"/>
      <c r="G8037" s="2"/>
      <c r="H8037" s="2"/>
      <c r="I8037" s="2"/>
      <c r="J8037" s="2"/>
      <c r="K8037" s="2"/>
      <c r="L8037" s="2"/>
      <c r="M8037" s="2"/>
      <c r="N8037" s="29"/>
      <c r="O8037" s="29"/>
    </row>
    <row r="8038">
      <c r="A8038" s="4"/>
      <c r="B8038" s="2"/>
      <c r="C8038" s="2"/>
      <c r="D8038" s="2"/>
      <c r="E8038" s="2"/>
      <c r="F8038" s="2"/>
      <c r="G8038" s="2"/>
      <c r="H8038" s="2"/>
      <c r="I8038" s="2"/>
      <c r="J8038" s="2"/>
      <c r="K8038" s="2"/>
      <c r="L8038" s="2"/>
      <c r="M8038" s="2"/>
      <c r="N8038" s="29"/>
      <c r="O8038" s="29"/>
    </row>
    <row r="8039">
      <c r="A8039" s="4"/>
      <c r="B8039" s="2"/>
      <c r="C8039" s="2"/>
      <c r="D8039" s="2"/>
      <c r="E8039" s="2"/>
      <c r="F8039" s="2"/>
      <c r="G8039" s="2"/>
      <c r="H8039" s="2"/>
      <c r="I8039" s="2"/>
      <c r="J8039" s="2"/>
      <c r="K8039" s="2"/>
      <c r="L8039" s="2"/>
      <c r="M8039" s="2"/>
      <c r="N8039" s="29"/>
      <c r="O8039" s="29"/>
    </row>
    <row r="8040">
      <c r="A8040" s="4"/>
      <c r="B8040" s="2"/>
      <c r="C8040" s="2"/>
      <c r="D8040" s="2"/>
      <c r="E8040" s="2"/>
      <c r="F8040" s="2"/>
      <c r="G8040" s="2"/>
      <c r="H8040" s="2"/>
      <c r="I8040" s="2"/>
      <c r="J8040" s="2"/>
      <c r="K8040" s="2"/>
      <c r="L8040" s="2"/>
      <c r="M8040" s="2"/>
      <c r="N8040" s="29"/>
      <c r="O8040" s="29"/>
    </row>
    <row r="8041">
      <c r="A8041" s="4"/>
      <c r="B8041" s="2"/>
      <c r="C8041" s="2"/>
      <c r="D8041" s="2"/>
      <c r="E8041" s="2"/>
      <c r="F8041" s="2"/>
      <c r="G8041" s="2"/>
      <c r="H8041" s="2"/>
      <c r="I8041" s="2"/>
      <c r="J8041" s="2"/>
      <c r="K8041" s="2"/>
      <c r="L8041" s="2"/>
      <c r="M8041" s="2"/>
      <c r="N8041" s="29"/>
      <c r="O8041" s="29"/>
    </row>
    <row r="8042">
      <c r="A8042" s="4"/>
      <c r="B8042" s="2"/>
      <c r="C8042" s="2"/>
      <c r="D8042" s="2"/>
      <c r="E8042" s="2"/>
      <c r="F8042" s="2"/>
      <c r="G8042" s="2"/>
      <c r="H8042" s="2"/>
      <c r="I8042" s="2"/>
      <c r="J8042" s="2"/>
      <c r="K8042" s="2"/>
      <c r="L8042" s="2"/>
      <c r="M8042" s="2"/>
      <c r="N8042" s="29"/>
      <c r="O8042" s="29"/>
    </row>
    <row r="8043">
      <c r="A8043" s="4"/>
      <c r="B8043" s="2"/>
      <c r="C8043" s="2"/>
      <c r="D8043" s="2"/>
      <c r="E8043" s="2"/>
      <c r="F8043" s="2"/>
      <c r="G8043" s="2"/>
      <c r="H8043" s="2"/>
      <c r="I8043" s="2"/>
      <c r="J8043" s="2"/>
      <c r="K8043" s="2"/>
      <c r="L8043" s="2"/>
      <c r="M8043" s="2"/>
      <c r="N8043" s="29"/>
      <c r="O8043" s="29"/>
    </row>
    <row r="8044">
      <c r="A8044" s="4"/>
      <c r="B8044" s="2"/>
      <c r="C8044" s="2"/>
      <c r="D8044" s="2"/>
      <c r="E8044" s="2"/>
      <c r="F8044" s="2"/>
      <c r="G8044" s="2"/>
      <c r="H8044" s="2"/>
      <c r="I8044" s="2"/>
      <c r="J8044" s="2"/>
      <c r="K8044" s="2"/>
      <c r="L8044" s="2"/>
      <c r="M8044" s="2"/>
      <c r="N8044" s="29"/>
      <c r="O8044" s="29"/>
    </row>
    <row r="8045">
      <c r="A8045" s="4"/>
      <c r="B8045" s="2"/>
      <c r="C8045" s="2"/>
      <c r="D8045" s="2"/>
      <c r="E8045" s="2"/>
      <c r="F8045" s="2"/>
      <c r="G8045" s="2"/>
      <c r="H8045" s="2"/>
      <c r="I8045" s="2"/>
      <c r="J8045" s="2"/>
      <c r="K8045" s="2"/>
      <c r="L8045" s="2"/>
      <c r="M8045" s="2"/>
      <c r="N8045" s="29"/>
      <c r="O8045" s="29"/>
    </row>
    <row r="8046">
      <c r="A8046" s="4"/>
      <c r="B8046" s="2"/>
      <c r="C8046" s="2"/>
      <c r="D8046" s="2"/>
      <c r="E8046" s="2"/>
      <c r="F8046" s="2"/>
      <c r="G8046" s="2"/>
      <c r="H8046" s="2"/>
      <c r="I8046" s="2"/>
      <c r="J8046" s="2"/>
      <c r="K8046" s="2"/>
      <c r="L8046" s="2"/>
      <c r="M8046" s="2"/>
      <c r="N8046" s="29"/>
      <c r="O8046" s="29"/>
    </row>
    <row r="8047">
      <c r="A8047" s="4"/>
      <c r="B8047" s="2"/>
      <c r="C8047" s="2"/>
      <c r="D8047" s="2"/>
      <c r="E8047" s="2"/>
      <c r="F8047" s="2"/>
      <c r="G8047" s="2"/>
      <c r="H8047" s="2"/>
      <c r="I8047" s="2"/>
      <c r="J8047" s="2"/>
      <c r="K8047" s="2"/>
      <c r="L8047" s="2"/>
      <c r="M8047" s="2"/>
      <c r="N8047" s="29"/>
      <c r="O8047" s="29"/>
    </row>
    <row r="8048">
      <c r="A8048" s="4"/>
      <c r="B8048" s="2"/>
      <c r="C8048" s="2"/>
      <c r="D8048" s="2"/>
      <c r="E8048" s="2"/>
      <c r="F8048" s="2"/>
      <c r="G8048" s="2"/>
      <c r="H8048" s="2"/>
      <c r="I8048" s="2"/>
      <c r="J8048" s="2"/>
      <c r="K8048" s="2"/>
      <c r="L8048" s="2"/>
      <c r="M8048" s="2"/>
      <c r="N8048" s="29"/>
      <c r="O8048" s="29"/>
    </row>
    <row r="8049">
      <c r="A8049" s="4"/>
      <c r="B8049" s="2"/>
      <c r="C8049" s="2"/>
      <c r="D8049" s="2"/>
      <c r="E8049" s="2"/>
      <c r="F8049" s="2"/>
      <c r="G8049" s="2"/>
      <c r="H8049" s="2"/>
      <c r="I8049" s="2"/>
      <c r="J8049" s="2"/>
      <c r="K8049" s="2"/>
      <c r="L8049" s="2"/>
      <c r="M8049" s="2"/>
      <c r="N8049" s="29"/>
      <c r="O8049" s="29"/>
    </row>
    <row r="8050">
      <c r="A8050" s="4"/>
      <c r="B8050" s="2"/>
      <c r="C8050" s="2"/>
      <c r="D8050" s="2"/>
      <c r="E8050" s="2"/>
      <c r="F8050" s="2"/>
      <c r="G8050" s="2"/>
      <c r="H8050" s="2"/>
      <c r="I8050" s="2"/>
      <c r="J8050" s="2"/>
      <c r="K8050" s="2"/>
      <c r="L8050" s="2"/>
      <c r="M8050" s="2"/>
      <c r="N8050" s="29"/>
      <c r="O8050" s="29"/>
    </row>
    <row r="8051">
      <c r="A8051" s="4"/>
      <c r="B8051" s="2"/>
      <c r="C8051" s="2"/>
      <c r="D8051" s="2"/>
      <c r="E8051" s="2"/>
      <c r="F8051" s="2"/>
      <c r="G8051" s="2"/>
      <c r="H8051" s="2"/>
      <c r="I8051" s="2"/>
      <c r="J8051" s="2"/>
      <c r="K8051" s="2"/>
      <c r="L8051" s="2"/>
      <c r="M8051" s="2"/>
      <c r="N8051" s="29"/>
      <c r="O8051" s="29"/>
    </row>
    <row r="8052">
      <c r="A8052" s="4"/>
      <c r="B8052" s="2"/>
      <c r="C8052" s="2"/>
      <c r="D8052" s="2"/>
      <c r="E8052" s="2"/>
      <c r="F8052" s="2"/>
      <c r="G8052" s="2"/>
      <c r="H8052" s="2"/>
      <c r="I8052" s="2"/>
      <c r="J8052" s="2"/>
      <c r="K8052" s="2"/>
      <c r="L8052" s="2"/>
      <c r="M8052" s="2"/>
      <c r="N8052" s="29"/>
      <c r="O8052" s="29"/>
    </row>
    <row r="8053">
      <c r="A8053" s="4"/>
      <c r="B8053" s="2"/>
      <c r="C8053" s="2"/>
      <c r="D8053" s="2"/>
      <c r="E8053" s="2"/>
      <c r="F8053" s="2"/>
      <c r="G8053" s="2"/>
      <c r="H8053" s="2"/>
      <c r="I8053" s="2"/>
      <c r="J8053" s="2"/>
      <c r="K8053" s="2"/>
      <c r="L8053" s="2"/>
      <c r="M8053" s="2"/>
      <c r="N8053" s="29"/>
      <c r="O8053" s="29"/>
    </row>
    <row r="8054">
      <c r="A8054" s="4"/>
      <c r="B8054" s="2"/>
      <c r="C8054" s="2"/>
      <c r="D8054" s="2"/>
      <c r="E8054" s="2"/>
      <c r="F8054" s="2"/>
      <c r="G8054" s="2"/>
      <c r="H8054" s="2"/>
      <c r="I8054" s="2"/>
      <c r="J8054" s="2"/>
      <c r="K8054" s="2"/>
      <c r="L8054" s="2"/>
      <c r="M8054" s="2"/>
      <c r="N8054" s="29"/>
      <c r="O8054" s="29"/>
    </row>
    <row r="8055">
      <c r="A8055" s="4"/>
      <c r="B8055" s="2"/>
      <c r="C8055" s="2"/>
      <c r="D8055" s="2"/>
      <c r="E8055" s="2"/>
      <c r="F8055" s="2"/>
      <c r="G8055" s="2"/>
      <c r="H8055" s="2"/>
      <c r="I8055" s="2"/>
      <c r="J8055" s="2"/>
      <c r="K8055" s="2"/>
      <c r="L8055" s="2"/>
      <c r="M8055" s="2"/>
      <c r="N8055" s="29"/>
      <c r="O8055" s="29"/>
    </row>
    <row r="8056">
      <c r="A8056" s="4"/>
      <c r="B8056" s="2"/>
      <c r="C8056" s="2"/>
      <c r="D8056" s="2"/>
      <c r="E8056" s="2"/>
      <c r="F8056" s="2"/>
      <c r="G8056" s="2"/>
      <c r="H8056" s="2"/>
      <c r="I8056" s="2"/>
      <c r="J8056" s="2"/>
      <c r="K8056" s="2"/>
      <c r="L8056" s="2"/>
      <c r="M8056" s="2"/>
      <c r="N8056" s="29"/>
      <c r="O8056" s="29"/>
    </row>
    <row r="8057">
      <c r="A8057" s="4"/>
      <c r="B8057" s="2"/>
      <c r="C8057" s="2"/>
      <c r="D8057" s="2"/>
      <c r="E8057" s="2"/>
      <c r="F8057" s="2"/>
      <c r="G8057" s="2"/>
      <c r="H8057" s="2"/>
      <c r="I8057" s="2"/>
      <c r="J8057" s="2"/>
      <c r="K8057" s="2"/>
      <c r="L8057" s="2"/>
      <c r="M8057" s="2"/>
      <c r="N8057" s="29"/>
      <c r="O8057" s="29"/>
    </row>
    <row r="8058">
      <c r="A8058" s="4"/>
      <c r="B8058" s="2"/>
      <c r="C8058" s="2"/>
      <c r="D8058" s="2"/>
      <c r="E8058" s="2"/>
      <c r="F8058" s="2"/>
      <c r="G8058" s="2"/>
      <c r="H8058" s="2"/>
      <c r="I8058" s="2"/>
      <c r="J8058" s="2"/>
      <c r="K8058" s="2"/>
      <c r="L8058" s="2"/>
      <c r="M8058" s="2"/>
      <c r="N8058" s="29"/>
      <c r="O8058" s="29"/>
    </row>
    <row r="8059">
      <c r="A8059" s="4"/>
      <c r="B8059" s="2"/>
      <c r="C8059" s="2"/>
      <c r="D8059" s="2"/>
      <c r="E8059" s="2"/>
      <c r="F8059" s="2"/>
      <c r="G8059" s="2"/>
      <c r="H8059" s="2"/>
      <c r="I8059" s="2"/>
      <c r="J8059" s="2"/>
      <c r="K8059" s="2"/>
      <c r="L8059" s="2"/>
      <c r="M8059" s="2"/>
      <c r="N8059" s="29"/>
      <c r="O8059" s="29"/>
    </row>
    <row r="8060">
      <c r="A8060" s="4"/>
      <c r="B8060" s="2"/>
      <c r="C8060" s="2"/>
      <c r="D8060" s="2"/>
      <c r="E8060" s="2"/>
      <c r="F8060" s="2"/>
      <c r="G8060" s="2"/>
      <c r="H8060" s="2"/>
      <c r="I8060" s="2"/>
      <c r="J8060" s="2"/>
      <c r="K8060" s="2"/>
      <c r="L8060" s="2"/>
      <c r="M8060" s="2"/>
      <c r="N8060" s="29"/>
      <c r="O8060" s="29"/>
    </row>
    <row r="8061">
      <c r="A8061" s="4"/>
      <c r="B8061" s="2"/>
      <c r="C8061" s="2"/>
      <c r="D8061" s="2"/>
      <c r="E8061" s="2"/>
      <c r="F8061" s="2"/>
      <c r="G8061" s="2"/>
      <c r="H8061" s="2"/>
      <c r="I8061" s="2"/>
      <c r="J8061" s="2"/>
      <c r="K8061" s="2"/>
      <c r="L8061" s="2"/>
      <c r="M8061" s="2"/>
      <c r="N8061" s="29"/>
      <c r="O8061" s="29"/>
    </row>
    <row r="8062">
      <c r="A8062" s="4"/>
      <c r="B8062" s="2"/>
      <c r="C8062" s="2"/>
      <c r="D8062" s="2"/>
      <c r="E8062" s="2"/>
      <c r="F8062" s="2"/>
      <c r="G8062" s="2"/>
      <c r="H8062" s="2"/>
      <c r="I8062" s="2"/>
      <c r="J8062" s="2"/>
      <c r="K8062" s="2"/>
      <c r="L8062" s="2"/>
      <c r="M8062" s="2"/>
      <c r="N8062" s="29"/>
      <c r="O8062" s="29"/>
    </row>
    <row r="8063">
      <c r="A8063" s="4"/>
      <c r="B8063" s="2"/>
      <c r="C8063" s="2"/>
      <c r="D8063" s="2"/>
      <c r="E8063" s="2"/>
      <c r="F8063" s="2"/>
      <c r="G8063" s="2"/>
      <c r="H8063" s="2"/>
      <c r="I8063" s="2"/>
      <c r="J8063" s="2"/>
      <c r="K8063" s="2"/>
      <c r="L8063" s="2"/>
      <c r="M8063" s="2"/>
      <c r="N8063" s="29"/>
      <c r="O8063" s="29"/>
    </row>
    <row r="8064">
      <c r="A8064" s="4"/>
      <c r="B8064" s="2"/>
      <c r="C8064" s="2"/>
      <c r="D8064" s="2"/>
      <c r="E8064" s="2"/>
      <c r="F8064" s="2"/>
      <c r="G8064" s="2"/>
      <c r="H8064" s="2"/>
      <c r="I8064" s="2"/>
      <c r="J8064" s="2"/>
      <c r="K8064" s="2"/>
      <c r="L8064" s="2"/>
      <c r="M8064" s="2"/>
      <c r="N8064" s="29"/>
      <c r="O8064" s="29"/>
    </row>
    <row r="8065">
      <c r="A8065" s="4"/>
      <c r="B8065" s="2"/>
      <c r="C8065" s="2"/>
      <c r="D8065" s="2"/>
      <c r="E8065" s="2"/>
      <c r="F8065" s="2"/>
      <c r="G8065" s="2"/>
      <c r="H8065" s="2"/>
      <c r="I8065" s="2"/>
      <c r="J8065" s="2"/>
      <c r="K8065" s="2"/>
      <c r="L8065" s="2"/>
      <c r="M8065" s="2"/>
      <c r="N8065" s="29"/>
      <c r="O8065" s="29"/>
    </row>
    <row r="8066">
      <c r="A8066" s="4"/>
      <c r="B8066" s="2"/>
      <c r="C8066" s="2"/>
      <c r="D8066" s="2"/>
      <c r="E8066" s="2"/>
      <c r="F8066" s="2"/>
      <c r="G8066" s="2"/>
      <c r="H8066" s="2"/>
      <c r="I8066" s="2"/>
      <c r="J8066" s="2"/>
      <c r="K8066" s="2"/>
      <c r="L8066" s="2"/>
      <c r="M8066" s="2"/>
      <c r="N8066" s="29"/>
      <c r="O8066" s="29"/>
    </row>
    <row r="8067">
      <c r="A8067" s="4"/>
      <c r="B8067" s="2"/>
      <c r="C8067" s="2"/>
      <c r="D8067" s="2"/>
      <c r="E8067" s="2"/>
      <c r="F8067" s="2"/>
      <c r="G8067" s="2"/>
      <c r="H8067" s="2"/>
      <c r="I8067" s="2"/>
      <c r="J8067" s="2"/>
      <c r="K8067" s="2"/>
      <c r="L8067" s="2"/>
      <c r="M8067" s="2"/>
      <c r="N8067" s="29"/>
      <c r="O8067" s="29"/>
    </row>
    <row r="8068">
      <c r="A8068" s="4"/>
      <c r="B8068" s="2"/>
      <c r="C8068" s="2"/>
      <c r="D8068" s="2"/>
      <c r="E8068" s="2"/>
      <c r="F8068" s="2"/>
      <c r="G8068" s="2"/>
      <c r="H8068" s="2"/>
      <c r="I8068" s="2"/>
      <c r="J8068" s="2"/>
      <c r="K8068" s="2"/>
      <c r="L8068" s="2"/>
      <c r="M8068" s="2"/>
      <c r="N8068" s="29"/>
      <c r="O8068" s="29"/>
    </row>
    <row r="8069">
      <c r="A8069" s="4"/>
      <c r="B8069" s="2"/>
      <c r="C8069" s="2"/>
      <c r="D8069" s="2"/>
      <c r="E8069" s="2"/>
      <c r="F8069" s="2"/>
      <c r="G8069" s="2"/>
      <c r="H8069" s="2"/>
      <c r="I8069" s="2"/>
      <c r="J8069" s="2"/>
      <c r="K8069" s="2"/>
      <c r="L8069" s="2"/>
      <c r="M8069" s="2"/>
      <c r="N8069" s="29"/>
      <c r="O8069" s="29"/>
    </row>
    <row r="8070">
      <c r="A8070" s="4"/>
      <c r="B8070" s="2"/>
      <c r="C8070" s="2"/>
      <c r="D8070" s="2"/>
      <c r="E8070" s="2"/>
      <c r="F8070" s="2"/>
      <c r="G8070" s="2"/>
      <c r="H8070" s="2"/>
      <c r="I8070" s="2"/>
      <c r="J8070" s="2"/>
      <c r="K8070" s="2"/>
      <c r="L8070" s="2"/>
      <c r="M8070" s="2"/>
      <c r="N8070" s="29"/>
      <c r="O8070" s="29"/>
    </row>
    <row r="8071">
      <c r="A8071" s="4"/>
      <c r="B8071" s="2"/>
      <c r="C8071" s="2"/>
      <c r="D8071" s="2"/>
      <c r="E8071" s="2"/>
      <c r="F8071" s="2"/>
      <c r="G8071" s="2"/>
      <c r="H8071" s="2"/>
      <c r="I8071" s="2"/>
      <c r="J8071" s="2"/>
      <c r="K8071" s="2"/>
      <c r="L8071" s="2"/>
      <c r="M8071" s="2"/>
      <c r="N8071" s="29"/>
      <c r="O8071" s="29"/>
    </row>
    <row r="8072">
      <c r="A8072" s="4"/>
      <c r="B8072" s="2"/>
      <c r="C8072" s="2"/>
      <c r="D8072" s="2"/>
      <c r="E8072" s="2"/>
      <c r="F8072" s="2"/>
      <c r="G8072" s="2"/>
      <c r="H8072" s="2"/>
      <c r="I8072" s="2"/>
      <c r="J8072" s="2"/>
      <c r="K8072" s="2"/>
      <c r="L8072" s="2"/>
      <c r="M8072" s="2"/>
      <c r="N8072" s="29"/>
      <c r="O8072" s="29"/>
    </row>
    <row r="8073">
      <c r="A8073" s="4"/>
      <c r="B8073" s="2"/>
      <c r="C8073" s="2"/>
      <c r="D8073" s="2"/>
      <c r="E8073" s="2"/>
      <c r="F8073" s="2"/>
      <c r="G8073" s="2"/>
      <c r="H8073" s="2"/>
      <c r="I8073" s="2"/>
      <c r="J8073" s="2"/>
      <c r="K8073" s="2"/>
      <c r="L8073" s="2"/>
      <c r="M8073" s="2"/>
      <c r="N8073" s="29"/>
      <c r="O8073" s="29"/>
    </row>
    <row r="8074">
      <c r="A8074" s="4"/>
      <c r="B8074" s="2"/>
      <c r="C8074" s="2"/>
      <c r="D8074" s="2"/>
      <c r="E8074" s="2"/>
      <c r="F8074" s="2"/>
      <c r="G8074" s="2"/>
      <c r="H8074" s="2"/>
      <c r="I8074" s="2"/>
      <c r="J8074" s="2"/>
      <c r="K8074" s="2"/>
      <c r="L8074" s="2"/>
      <c r="M8074" s="2"/>
      <c r="N8074" s="29"/>
      <c r="O8074" s="29"/>
    </row>
    <row r="8075">
      <c r="A8075" s="4"/>
      <c r="B8075" s="2"/>
      <c r="C8075" s="2"/>
      <c r="D8075" s="2"/>
      <c r="E8075" s="2"/>
      <c r="F8075" s="2"/>
      <c r="G8075" s="2"/>
      <c r="H8075" s="2"/>
      <c r="I8075" s="2"/>
      <c r="J8075" s="2"/>
      <c r="K8075" s="2"/>
      <c r="L8075" s="2"/>
      <c r="M8075" s="2"/>
      <c r="N8075" s="29"/>
      <c r="O8075" s="29"/>
    </row>
    <row r="8076">
      <c r="A8076" s="4"/>
      <c r="B8076" s="2"/>
      <c r="C8076" s="2"/>
      <c r="D8076" s="2"/>
      <c r="E8076" s="2"/>
      <c r="F8076" s="2"/>
      <c r="G8076" s="2"/>
      <c r="H8076" s="2"/>
      <c r="I8076" s="2"/>
      <c r="J8076" s="2"/>
      <c r="K8076" s="2"/>
      <c r="L8076" s="2"/>
      <c r="M8076" s="2"/>
      <c r="N8076" s="29"/>
      <c r="O8076" s="29"/>
    </row>
    <row r="8077">
      <c r="A8077" s="4"/>
      <c r="B8077" s="2"/>
      <c r="C8077" s="2"/>
      <c r="D8077" s="2"/>
      <c r="E8077" s="2"/>
      <c r="F8077" s="2"/>
      <c r="G8077" s="2"/>
      <c r="H8077" s="2"/>
      <c r="I8077" s="2"/>
      <c r="J8077" s="2"/>
      <c r="K8077" s="2"/>
      <c r="L8077" s="2"/>
      <c r="M8077" s="2"/>
      <c r="N8077" s="29"/>
      <c r="O8077" s="29"/>
    </row>
    <row r="8078">
      <c r="A8078" s="4"/>
      <c r="B8078" s="2"/>
      <c r="C8078" s="2"/>
      <c r="D8078" s="2"/>
      <c r="E8078" s="2"/>
      <c r="F8078" s="2"/>
      <c r="G8078" s="2"/>
      <c r="H8078" s="2"/>
      <c r="I8078" s="2"/>
      <c r="J8078" s="2"/>
      <c r="K8078" s="2"/>
      <c r="L8078" s="2"/>
      <c r="M8078" s="2"/>
      <c r="N8078" s="29"/>
      <c r="O8078" s="29"/>
    </row>
    <row r="8079">
      <c r="A8079" s="4"/>
      <c r="B8079" s="2"/>
      <c r="C8079" s="2"/>
      <c r="D8079" s="2"/>
      <c r="E8079" s="2"/>
      <c r="F8079" s="2"/>
      <c r="G8079" s="2"/>
      <c r="H8079" s="2"/>
      <c r="I8079" s="2"/>
      <c r="J8079" s="2"/>
      <c r="K8079" s="2"/>
      <c r="L8079" s="2"/>
      <c r="M8079" s="2"/>
      <c r="N8079" s="29"/>
      <c r="O8079" s="29"/>
    </row>
    <row r="8080">
      <c r="A8080" s="4"/>
      <c r="B8080" s="2"/>
      <c r="C8080" s="2"/>
      <c r="D8080" s="2"/>
      <c r="E8080" s="2"/>
      <c r="F8080" s="2"/>
      <c r="G8080" s="2"/>
      <c r="H8080" s="2"/>
      <c r="I8080" s="2"/>
      <c r="J8080" s="2"/>
      <c r="K8080" s="2"/>
      <c r="L8080" s="2"/>
      <c r="M8080" s="2"/>
      <c r="N8080" s="29"/>
      <c r="O8080" s="29"/>
    </row>
    <row r="8081">
      <c r="A8081" s="4"/>
      <c r="B8081" s="2"/>
      <c r="C8081" s="2"/>
      <c r="D8081" s="2"/>
      <c r="E8081" s="2"/>
      <c r="F8081" s="2"/>
      <c r="G8081" s="2"/>
      <c r="H8081" s="2"/>
      <c r="I8081" s="2"/>
      <c r="J8081" s="2"/>
      <c r="K8081" s="2"/>
      <c r="L8081" s="2"/>
      <c r="M8081" s="2"/>
      <c r="N8081" s="29"/>
      <c r="O8081" s="29"/>
    </row>
    <row r="8082">
      <c r="A8082" s="4"/>
      <c r="B8082" s="2"/>
      <c r="C8082" s="2"/>
      <c r="D8082" s="2"/>
      <c r="E8082" s="2"/>
      <c r="F8082" s="2"/>
      <c r="G8082" s="2"/>
      <c r="H8082" s="2"/>
      <c r="I8082" s="2"/>
      <c r="J8082" s="2"/>
      <c r="K8082" s="2"/>
      <c r="L8082" s="2"/>
      <c r="M8082" s="2"/>
      <c r="N8082" s="29"/>
      <c r="O8082" s="29"/>
    </row>
    <row r="8083">
      <c r="A8083" s="4"/>
      <c r="B8083" s="2"/>
      <c r="C8083" s="2"/>
      <c r="D8083" s="2"/>
      <c r="E8083" s="2"/>
      <c r="F8083" s="2"/>
      <c r="G8083" s="2"/>
      <c r="H8083" s="2"/>
      <c r="I8083" s="2"/>
      <c r="J8083" s="2"/>
      <c r="K8083" s="2"/>
      <c r="L8083" s="2"/>
      <c r="M8083" s="2"/>
      <c r="N8083" s="29"/>
      <c r="O8083" s="29"/>
    </row>
    <row r="8084">
      <c r="A8084" s="4"/>
      <c r="B8084" s="2"/>
      <c r="C8084" s="2"/>
      <c r="D8084" s="2"/>
      <c r="E8084" s="2"/>
      <c r="F8084" s="2"/>
      <c r="G8084" s="2"/>
      <c r="H8084" s="2"/>
      <c r="I8084" s="2"/>
      <c r="J8084" s="2"/>
      <c r="K8084" s="2"/>
      <c r="L8084" s="2"/>
      <c r="M8084" s="2"/>
      <c r="N8084" s="29"/>
      <c r="O8084" s="29"/>
    </row>
    <row r="8085">
      <c r="A8085" s="4"/>
      <c r="B8085" s="2"/>
      <c r="C8085" s="2"/>
      <c r="D8085" s="2"/>
      <c r="E8085" s="2"/>
      <c r="F8085" s="2"/>
      <c r="G8085" s="2"/>
      <c r="H8085" s="2"/>
      <c r="I8085" s="2"/>
      <c r="J8085" s="2"/>
      <c r="K8085" s="2"/>
      <c r="L8085" s="2"/>
      <c r="M8085" s="2"/>
      <c r="N8085" s="29"/>
      <c r="O8085" s="29"/>
    </row>
    <row r="8086">
      <c r="A8086" s="4"/>
      <c r="B8086" s="2"/>
      <c r="C8086" s="2"/>
      <c r="D8086" s="2"/>
      <c r="E8086" s="2"/>
      <c r="F8086" s="2"/>
      <c r="G8086" s="2"/>
      <c r="H8086" s="2"/>
      <c r="I8086" s="2"/>
      <c r="J8086" s="2"/>
      <c r="K8086" s="2"/>
      <c r="L8086" s="2"/>
      <c r="M8086" s="2"/>
      <c r="N8086" s="29"/>
      <c r="O8086" s="29"/>
    </row>
    <row r="8087">
      <c r="A8087" s="4"/>
      <c r="B8087" s="2"/>
      <c r="C8087" s="2"/>
      <c r="D8087" s="2"/>
      <c r="E8087" s="2"/>
      <c r="F8087" s="2"/>
      <c r="G8087" s="2"/>
      <c r="H8087" s="2"/>
      <c r="I8087" s="2"/>
      <c r="J8087" s="2"/>
      <c r="K8087" s="2"/>
      <c r="L8087" s="2"/>
      <c r="M8087" s="2"/>
      <c r="N8087" s="29"/>
      <c r="O8087" s="29"/>
    </row>
    <row r="8088">
      <c r="A8088" s="4"/>
      <c r="B8088" s="2"/>
      <c r="C8088" s="2"/>
      <c r="D8088" s="2"/>
      <c r="E8088" s="2"/>
      <c r="F8088" s="2"/>
      <c r="G8088" s="2"/>
      <c r="H8088" s="2"/>
      <c r="I8088" s="2"/>
      <c r="J8088" s="2"/>
      <c r="K8088" s="2"/>
      <c r="L8088" s="2"/>
      <c r="M8088" s="2"/>
      <c r="N8088" s="29"/>
      <c r="O8088" s="29"/>
    </row>
    <row r="8089">
      <c r="A8089" s="4"/>
      <c r="B8089" s="2"/>
      <c r="C8089" s="2"/>
      <c r="D8089" s="2"/>
      <c r="E8089" s="2"/>
      <c r="F8089" s="2"/>
      <c r="G8089" s="2"/>
      <c r="H8089" s="2"/>
      <c r="I8089" s="2"/>
      <c r="J8089" s="2"/>
      <c r="K8089" s="2"/>
      <c r="L8089" s="2"/>
      <c r="M8089" s="2"/>
      <c r="N8089" s="29"/>
      <c r="O8089" s="29"/>
    </row>
    <row r="8090">
      <c r="A8090" s="4"/>
      <c r="B8090" s="2"/>
      <c r="C8090" s="2"/>
      <c r="D8090" s="2"/>
      <c r="E8090" s="2"/>
      <c r="F8090" s="2"/>
      <c r="G8090" s="2"/>
      <c r="H8090" s="2"/>
      <c r="I8090" s="2"/>
      <c r="J8090" s="2"/>
      <c r="K8090" s="2"/>
      <c r="L8090" s="2"/>
      <c r="M8090" s="2"/>
      <c r="N8090" s="29"/>
      <c r="O8090" s="29"/>
    </row>
    <row r="8091">
      <c r="A8091" s="4"/>
      <c r="B8091" s="2"/>
      <c r="C8091" s="2"/>
      <c r="D8091" s="2"/>
      <c r="E8091" s="2"/>
      <c r="F8091" s="2"/>
      <c r="G8091" s="2"/>
      <c r="H8091" s="2"/>
      <c r="I8091" s="2"/>
      <c r="J8091" s="2"/>
      <c r="K8091" s="2"/>
      <c r="L8091" s="2"/>
      <c r="M8091" s="2"/>
      <c r="N8091" s="29"/>
      <c r="O8091" s="29"/>
    </row>
    <row r="8092">
      <c r="A8092" s="4"/>
      <c r="B8092" s="2"/>
      <c r="C8092" s="2"/>
      <c r="D8092" s="2"/>
      <c r="E8092" s="2"/>
      <c r="F8092" s="2"/>
      <c r="G8092" s="2"/>
      <c r="H8092" s="2"/>
      <c r="I8092" s="2"/>
      <c r="J8092" s="2"/>
      <c r="K8092" s="2"/>
      <c r="L8092" s="2"/>
      <c r="M8092" s="2"/>
      <c r="N8092" s="29"/>
      <c r="O8092" s="29"/>
    </row>
    <row r="8093">
      <c r="A8093" s="4"/>
      <c r="B8093" s="2"/>
      <c r="C8093" s="2"/>
      <c r="D8093" s="2"/>
      <c r="E8093" s="2"/>
      <c r="F8093" s="2"/>
      <c r="G8093" s="2"/>
      <c r="H8093" s="2"/>
      <c r="I8093" s="2"/>
      <c r="J8093" s="2"/>
      <c r="K8093" s="2"/>
      <c r="L8093" s="2"/>
      <c r="M8093" s="2"/>
      <c r="N8093" s="29"/>
      <c r="O8093" s="29"/>
    </row>
    <row r="8094">
      <c r="A8094" s="4"/>
      <c r="B8094" s="2"/>
      <c r="C8094" s="2"/>
      <c r="D8094" s="2"/>
      <c r="E8094" s="2"/>
      <c r="F8094" s="2"/>
      <c r="G8094" s="2"/>
      <c r="H8094" s="2"/>
      <c r="I8094" s="2"/>
      <c r="J8094" s="2"/>
      <c r="K8094" s="2"/>
      <c r="L8094" s="2"/>
      <c r="M8094" s="2"/>
      <c r="N8094" s="29"/>
      <c r="O8094" s="29"/>
    </row>
    <row r="8095">
      <c r="A8095" s="4"/>
      <c r="B8095" s="2"/>
      <c r="C8095" s="2"/>
      <c r="D8095" s="2"/>
      <c r="E8095" s="2"/>
      <c r="F8095" s="2"/>
      <c r="G8095" s="2"/>
      <c r="H8095" s="2"/>
      <c r="I8095" s="2"/>
      <c r="J8095" s="2"/>
      <c r="K8095" s="2"/>
      <c r="L8095" s="2"/>
      <c r="M8095" s="2"/>
      <c r="N8095" s="29"/>
      <c r="O8095" s="29"/>
    </row>
    <row r="8096">
      <c r="A8096" s="4"/>
      <c r="B8096" s="2"/>
      <c r="C8096" s="2"/>
      <c r="D8096" s="2"/>
      <c r="E8096" s="2"/>
      <c r="F8096" s="2"/>
      <c r="G8096" s="2"/>
      <c r="H8096" s="2"/>
      <c r="I8096" s="2"/>
      <c r="J8096" s="2"/>
      <c r="K8096" s="2"/>
      <c r="L8096" s="2"/>
      <c r="M8096" s="2"/>
      <c r="N8096" s="29"/>
      <c r="O8096" s="29"/>
    </row>
    <row r="8097">
      <c r="A8097" s="4"/>
      <c r="B8097" s="2"/>
      <c r="C8097" s="2"/>
      <c r="D8097" s="2"/>
      <c r="E8097" s="2"/>
      <c r="F8097" s="2"/>
      <c r="G8097" s="2"/>
      <c r="H8097" s="2"/>
      <c r="I8097" s="2"/>
      <c r="J8097" s="2"/>
      <c r="K8097" s="2"/>
      <c r="L8097" s="2"/>
      <c r="M8097" s="2"/>
      <c r="N8097" s="29"/>
      <c r="O8097" s="29"/>
    </row>
    <row r="8098">
      <c r="A8098" s="4"/>
      <c r="B8098" s="2"/>
      <c r="C8098" s="2"/>
      <c r="D8098" s="2"/>
      <c r="E8098" s="2"/>
      <c r="F8098" s="2"/>
      <c r="G8098" s="2"/>
      <c r="H8098" s="2"/>
      <c r="I8098" s="2"/>
      <c r="J8098" s="2"/>
      <c r="K8098" s="2"/>
      <c r="L8098" s="2"/>
      <c r="M8098" s="2"/>
      <c r="N8098" s="29"/>
      <c r="O8098" s="29"/>
    </row>
    <row r="8099">
      <c r="A8099" s="4"/>
      <c r="B8099" s="2"/>
      <c r="C8099" s="2"/>
      <c r="D8099" s="2"/>
      <c r="E8099" s="2"/>
      <c r="F8099" s="2"/>
      <c r="G8099" s="2"/>
      <c r="H8099" s="2"/>
      <c r="I8099" s="2"/>
      <c r="J8099" s="2"/>
      <c r="K8099" s="2"/>
      <c r="L8099" s="2"/>
      <c r="M8099" s="2"/>
      <c r="N8099" s="29"/>
      <c r="O8099" s="29"/>
    </row>
    <row r="8100">
      <c r="A8100" s="4"/>
      <c r="B8100" s="2"/>
      <c r="C8100" s="2"/>
      <c r="D8100" s="2"/>
      <c r="E8100" s="2"/>
      <c r="F8100" s="2"/>
      <c r="G8100" s="2"/>
      <c r="H8100" s="2"/>
      <c r="I8100" s="2"/>
      <c r="J8100" s="2"/>
      <c r="K8100" s="2"/>
      <c r="L8100" s="2"/>
      <c r="M8100" s="2"/>
      <c r="N8100" s="29"/>
      <c r="O8100" s="29"/>
    </row>
    <row r="8101">
      <c r="A8101" s="4"/>
      <c r="B8101" s="2"/>
      <c r="C8101" s="2"/>
      <c r="D8101" s="2"/>
      <c r="E8101" s="2"/>
      <c r="F8101" s="2"/>
      <c r="G8101" s="2"/>
      <c r="H8101" s="2"/>
      <c r="I8101" s="2"/>
      <c r="J8101" s="2"/>
      <c r="K8101" s="2"/>
      <c r="L8101" s="2"/>
      <c r="M8101" s="2"/>
      <c r="N8101" s="29"/>
      <c r="O8101" s="29"/>
    </row>
    <row r="8102">
      <c r="A8102" s="4"/>
      <c r="B8102" s="2"/>
      <c r="C8102" s="2"/>
      <c r="D8102" s="2"/>
      <c r="E8102" s="2"/>
      <c r="F8102" s="2"/>
      <c r="G8102" s="2"/>
      <c r="H8102" s="2"/>
      <c r="I8102" s="2"/>
      <c r="J8102" s="2"/>
      <c r="K8102" s="2"/>
      <c r="L8102" s="2"/>
      <c r="M8102" s="2"/>
      <c r="N8102" s="29"/>
      <c r="O8102" s="29"/>
    </row>
    <row r="8103">
      <c r="A8103" s="4"/>
      <c r="B8103" s="2"/>
      <c r="C8103" s="2"/>
      <c r="D8103" s="2"/>
      <c r="E8103" s="2"/>
      <c r="F8103" s="2"/>
      <c r="G8103" s="2"/>
      <c r="H8103" s="2"/>
      <c r="I8103" s="2"/>
      <c r="J8103" s="2"/>
      <c r="K8103" s="2"/>
      <c r="L8103" s="2"/>
      <c r="M8103" s="2"/>
      <c r="N8103" s="29"/>
      <c r="O8103" s="29"/>
    </row>
    <row r="8104">
      <c r="A8104" s="4"/>
      <c r="B8104" s="2"/>
      <c r="C8104" s="2"/>
      <c r="D8104" s="2"/>
      <c r="E8104" s="2"/>
      <c r="F8104" s="2"/>
      <c r="G8104" s="2"/>
      <c r="H8104" s="2"/>
      <c r="I8104" s="2"/>
      <c r="J8104" s="2"/>
      <c r="K8104" s="2"/>
      <c r="L8104" s="2"/>
      <c r="M8104" s="2"/>
      <c r="N8104" s="29"/>
      <c r="O8104" s="29"/>
    </row>
    <row r="8105">
      <c r="A8105" s="4"/>
      <c r="B8105" s="2"/>
      <c r="C8105" s="2"/>
      <c r="D8105" s="2"/>
      <c r="E8105" s="2"/>
      <c r="F8105" s="2"/>
      <c r="G8105" s="2"/>
      <c r="H8105" s="2"/>
      <c r="I8105" s="2"/>
      <c r="J8105" s="2"/>
      <c r="K8105" s="2"/>
      <c r="L8105" s="2"/>
      <c r="M8105" s="2"/>
      <c r="N8105" s="29"/>
      <c r="O8105" s="29"/>
    </row>
    <row r="8106">
      <c r="A8106" s="4"/>
      <c r="B8106" s="2"/>
      <c r="C8106" s="2"/>
      <c r="D8106" s="2"/>
      <c r="E8106" s="2"/>
      <c r="F8106" s="2"/>
      <c r="G8106" s="2"/>
      <c r="H8106" s="2"/>
      <c r="I8106" s="2"/>
      <c r="J8106" s="2"/>
      <c r="K8106" s="2"/>
      <c r="L8106" s="2"/>
      <c r="M8106" s="2"/>
      <c r="N8106" s="29"/>
      <c r="O8106" s="29"/>
    </row>
    <row r="8107">
      <c r="A8107" s="4"/>
      <c r="B8107" s="2"/>
      <c r="C8107" s="2"/>
      <c r="D8107" s="2"/>
      <c r="E8107" s="2"/>
      <c r="F8107" s="2"/>
      <c r="G8107" s="2"/>
      <c r="H8107" s="2"/>
      <c r="I8107" s="2"/>
      <c r="J8107" s="2"/>
      <c r="K8107" s="2"/>
      <c r="L8107" s="2"/>
      <c r="M8107" s="2"/>
      <c r="N8107" s="29"/>
      <c r="O8107" s="29"/>
    </row>
    <row r="8108">
      <c r="A8108" s="4"/>
      <c r="B8108" s="2"/>
      <c r="C8108" s="2"/>
      <c r="D8108" s="2"/>
      <c r="E8108" s="2"/>
      <c r="F8108" s="2"/>
      <c r="G8108" s="2"/>
      <c r="H8108" s="2"/>
      <c r="I8108" s="2"/>
      <c r="J8108" s="2"/>
      <c r="K8108" s="2"/>
      <c r="L8108" s="2"/>
      <c r="M8108" s="2"/>
      <c r="N8108" s="29"/>
      <c r="O8108" s="29"/>
    </row>
    <row r="8109">
      <c r="A8109" s="4"/>
      <c r="B8109" s="2"/>
      <c r="C8109" s="2"/>
      <c r="D8109" s="2"/>
      <c r="E8109" s="2"/>
      <c r="F8109" s="2"/>
      <c r="G8109" s="2"/>
      <c r="H8109" s="2"/>
      <c r="I8109" s="2"/>
      <c r="J8109" s="2"/>
      <c r="K8109" s="2"/>
      <c r="L8109" s="2"/>
      <c r="M8109" s="2"/>
      <c r="N8109" s="29"/>
      <c r="O8109" s="29"/>
    </row>
    <row r="8110">
      <c r="A8110" s="4"/>
      <c r="B8110" s="2"/>
      <c r="C8110" s="2"/>
      <c r="D8110" s="2"/>
      <c r="E8110" s="2"/>
      <c r="F8110" s="2"/>
      <c r="G8110" s="2"/>
      <c r="H8110" s="2"/>
      <c r="I8110" s="2"/>
      <c r="J8110" s="2"/>
      <c r="K8110" s="2"/>
      <c r="L8110" s="2"/>
      <c r="M8110" s="2"/>
      <c r="N8110" s="29"/>
      <c r="O8110" s="29"/>
    </row>
    <row r="8111">
      <c r="A8111" s="4"/>
      <c r="B8111" s="2"/>
      <c r="C8111" s="2"/>
      <c r="D8111" s="2"/>
      <c r="E8111" s="2"/>
      <c r="F8111" s="2"/>
      <c r="G8111" s="2"/>
      <c r="H8111" s="2"/>
      <c r="I8111" s="2"/>
      <c r="J8111" s="2"/>
      <c r="K8111" s="2"/>
      <c r="L8111" s="2"/>
      <c r="M8111" s="2"/>
      <c r="N8111" s="29"/>
      <c r="O8111" s="29"/>
    </row>
    <row r="8112">
      <c r="A8112" s="4"/>
      <c r="B8112" s="2"/>
      <c r="C8112" s="2"/>
      <c r="D8112" s="2"/>
      <c r="E8112" s="2"/>
      <c r="F8112" s="2"/>
      <c r="G8112" s="2"/>
      <c r="H8112" s="2"/>
      <c r="I8112" s="2"/>
      <c r="J8112" s="2"/>
      <c r="K8112" s="2"/>
      <c r="L8112" s="2"/>
      <c r="M8112" s="2"/>
      <c r="N8112" s="29"/>
      <c r="O8112" s="29"/>
    </row>
    <row r="8113">
      <c r="A8113" s="4"/>
      <c r="B8113" s="2"/>
      <c r="C8113" s="2"/>
      <c r="D8113" s="2"/>
      <c r="E8113" s="2"/>
      <c r="F8113" s="2"/>
      <c r="G8113" s="2"/>
      <c r="H8113" s="2"/>
      <c r="I8113" s="2"/>
      <c r="J8113" s="2"/>
      <c r="K8113" s="2"/>
      <c r="L8113" s="2"/>
      <c r="M8113" s="2"/>
      <c r="N8113" s="29"/>
      <c r="O8113" s="29"/>
    </row>
    <row r="8114">
      <c r="A8114" s="4"/>
      <c r="B8114" s="2"/>
      <c r="C8114" s="2"/>
      <c r="D8114" s="2"/>
      <c r="E8114" s="2"/>
      <c r="F8114" s="2"/>
      <c r="G8114" s="2"/>
      <c r="H8114" s="2"/>
      <c r="I8114" s="2"/>
      <c r="J8114" s="2"/>
      <c r="K8114" s="2"/>
      <c r="L8114" s="2"/>
      <c r="M8114" s="2"/>
      <c r="N8114" s="29"/>
      <c r="O8114" s="29"/>
    </row>
    <row r="8115">
      <c r="A8115" s="4"/>
      <c r="B8115" s="2"/>
      <c r="C8115" s="2"/>
      <c r="D8115" s="2"/>
      <c r="E8115" s="2"/>
      <c r="F8115" s="2"/>
      <c r="G8115" s="2"/>
      <c r="H8115" s="2"/>
      <c r="I8115" s="2"/>
      <c r="J8115" s="2"/>
      <c r="K8115" s="2"/>
      <c r="L8115" s="2"/>
      <c r="M8115" s="2"/>
      <c r="N8115" s="29"/>
      <c r="O8115" s="29"/>
    </row>
    <row r="8116">
      <c r="A8116" s="4"/>
      <c r="B8116" s="2"/>
      <c r="C8116" s="2"/>
      <c r="D8116" s="2"/>
      <c r="E8116" s="2"/>
      <c r="F8116" s="2"/>
      <c r="G8116" s="2"/>
      <c r="H8116" s="2"/>
      <c r="I8116" s="2"/>
      <c r="J8116" s="2"/>
      <c r="K8116" s="2"/>
      <c r="L8116" s="2"/>
      <c r="M8116" s="2"/>
      <c r="N8116" s="29"/>
      <c r="O8116" s="29"/>
    </row>
    <row r="8117">
      <c r="A8117" s="4"/>
      <c r="B8117" s="2"/>
      <c r="C8117" s="2"/>
      <c r="D8117" s="2"/>
      <c r="E8117" s="2"/>
      <c r="F8117" s="2"/>
      <c r="G8117" s="2"/>
      <c r="H8117" s="2"/>
      <c r="I8117" s="2"/>
      <c r="J8117" s="2"/>
      <c r="K8117" s="2"/>
      <c r="L8117" s="2"/>
      <c r="M8117" s="2"/>
      <c r="N8117" s="29"/>
      <c r="O8117" s="29"/>
    </row>
    <row r="8118">
      <c r="A8118" s="4"/>
      <c r="B8118" s="2"/>
      <c r="C8118" s="2"/>
      <c r="D8118" s="2"/>
      <c r="E8118" s="2"/>
      <c r="F8118" s="2"/>
      <c r="G8118" s="2"/>
      <c r="H8118" s="2"/>
      <c r="I8118" s="2"/>
      <c r="J8118" s="2"/>
      <c r="K8118" s="2"/>
      <c r="L8118" s="2"/>
      <c r="M8118" s="2"/>
      <c r="N8118" s="29"/>
      <c r="O8118" s="29"/>
    </row>
    <row r="8119">
      <c r="A8119" s="4"/>
      <c r="B8119" s="2"/>
      <c r="C8119" s="2"/>
      <c r="D8119" s="2"/>
      <c r="E8119" s="2"/>
      <c r="F8119" s="2"/>
      <c r="G8119" s="2"/>
      <c r="H8119" s="2"/>
      <c r="I8119" s="2"/>
      <c r="J8119" s="2"/>
      <c r="K8119" s="2"/>
      <c r="L8119" s="2"/>
      <c r="M8119" s="2"/>
      <c r="N8119" s="29"/>
      <c r="O8119" s="29"/>
    </row>
    <row r="8120">
      <c r="A8120" s="4"/>
      <c r="B8120" s="2"/>
      <c r="C8120" s="2"/>
      <c r="D8120" s="2"/>
      <c r="E8120" s="2"/>
      <c r="F8120" s="2"/>
      <c r="G8120" s="2"/>
      <c r="H8120" s="2"/>
      <c r="I8120" s="2"/>
      <c r="J8120" s="2"/>
      <c r="K8120" s="2"/>
      <c r="L8120" s="2"/>
      <c r="M8120" s="2"/>
      <c r="N8120" s="29"/>
      <c r="O8120" s="29"/>
    </row>
    <row r="8121">
      <c r="A8121" s="4"/>
      <c r="B8121" s="2"/>
      <c r="C8121" s="2"/>
      <c r="D8121" s="2"/>
      <c r="E8121" s="2"/>
      <c r="F8121" s="2"/>
      <c r="G8121" s="2"/>
      <c r="H8121" s="2"/>
      <c r="I8121" s="2"/>
      <c r="J8121" s="2"/>
      <c r="K8121" s="2"/>
      <c r="L8121" s="2"/>
      <c r="M8121" s="2"/>
      <c r="N8121" s="29"/>
      <c r="O8121" s="29"/>
    </row>
    <row r="8122">
      <c r="A8122" s="4"/>
      <c r="B8122" s="2"/>
      <c r="C8122" s="2"/>
      <c r="D8122" s="2"/>
      <c r="E8122" s="2"/>
      <c r="F8122" s="2"/>
      <c r="G8122" s="2"/>
      <c r="H8122" s="2"/>
      <c r="I8122" s="2"/>
      <c r="J8122" s="2"/>
      <c r="K8122" s="2"/>
      <c r="L8122" s="2"/>
      <c r="M8122" s="2"/>
      <c r="N8122" s="29"/>
      <c r="O8122" s="29"/>
    </row>
    <row r="8123">
      <c r="A8123" s="4"/>
      <c r="B8123" s="2"/>
      <c r="C8123" s="2"/>
      <c r="D8123" s="2"/>
      <c r="E8123" s="2"/>
      <c r="F8123" s="2"/>
      <c r="G8123" s="2"/>
      <c r="H8123" s="2"/>
      <c r="I8123" s="2"/>
      <c r="J8123" s="2"/>
      <c r="K8123" s="2"/>
      <c r="L8123" s="2"/>
      <c r="M8123" s="2"/>
      <c r="N8123" s="29"/>
      <c r="O8123" s="29"/>
    </row>
    <row r="8124">
      <c r="A8124" s="4"/>
      <c r="B8124" s="2"/>
      <c r="C8124" s="2"/>
      <c r="D8124" s="2"/>
      <c r="E8124" s="2"/>
      <c r="F8124" s="2"/>
      <c r="G8124" s="2"/>
      <c r="H8124" s="2"/>
      <c r="I8124" s="2"/>
      <c r="J8124" s="2"/>
      <c r="K8124" s="2"/>
      <c r="L8124" s="2"/>
      <c r="M8124" s="2"/>
      <c r="N8124" s="29"/>
      <c r="O8124" s="29"/>
    </row>
    <row r="8125">
      <c r="A8125" s="4"/>
      <c r="B8125" s="2"/>
      <c r="C8125" s="2"/>
      <c r="D8125" s="2"/>
      <c r="E8125" s="2"/>
      <c r="F8125" s="2"/>
      <c r="G8125" s="2"/>
      <c r="H8125" s="2"/>
      <c r="I8125" s="2"/>
      <c r="J8125" s="2"/>
      <c r="K8125" s="2"/>
      <c r="L8125" s="2"/>
      <c r="M8125" s="2"/>
      <c r="N8125" s="29"/>
      <c r="O8125" s="29"/>
    </row>
    <row r="8126">
      <c r="A8126" s="4"/>
      <c r="B8126" s="2"/>
      <c r="C8126" s="2"/>
      <c r="D8126" s="2"/>
      <c r="E8126" s="2"/>
      <c r="F8126" s="2"/>
      <c r="G8126" s="2"/>
      <c r="H8126" s="2"/>
      <c r="I8126" s="2"/>
      <c r="J8126" s="2"/>
      <c r="K8126" s="2"/>
      <c r="L8126" s="2"/>
      <c r="M8126" s="2"/>
      <c r="N8126" s="29"/>
      <c r="O8126" s="29"/>
    </row>
    <row r="8127">
      <c r="A8127" s="4"/>
      <c r="B8127" s="2"/>
      <c r="C8127" s="2"/>
      <c r="D8127" s="2"/>
      <c r="E8127" s="2"/>
      <c r="F8127" s="2"/>
      <c r="G8127" s="2"/>
      <c r="H8127" s="2"/>
      <c r="I8127" s="2"/>
      <c r="J8127" s="2"/>
      <c r="K8127" s="2"/>
      <c r="L8127" s="2"/>
      <c r="M8127" s="2"/>
      <c r="N8127" s="29"/>
      <c r="O8127" s="29"/>
    </row>
    <row r="8128">
      <c r="A8128" s="4"/>
      <c r="B8128" s="2"/>
      <c r="C8128" s="2"/>
      <c r="D8128" s="2"/>
      <c r="E8128" s="2"/>
      <c r="F8128" s="2"/>
      <c r="G8128" s="2"/>
      <c r="H8128" s="2"/>
      <c r="I8128" s="2"/>
      <c r="J8128" s="2"/>
      <c r="K8128" s="2"/>
      <c r="L8128" s="2"/>
      <c r="M8128" s="2"/>
      <c r="N8128" s="29"/>
      <c r="O8128" s="29"/>
    </row>
    <row r="8129">
      <c r="A8129" s="4"/>
      <c r="B8129" s="2"/>
      <c r="C8129" s="2"/>
      <c r="D8129" s="2"/>
      <c r="E8129" s="2"/>
      <c r="F8129" s="2"/>
      <c r="G8129" s="2"/>
      <c r="H8129" s="2"/>
      <c r="I8129" s="2"/>
      <c r="J8129" s="2"/>
      <c r="K8129" s="2"/>
      <c r="L8129" s="2"/>
      <c r="M8129" s="2"/>
      <c r="N8129" s="29"/>
      <c r="O8129" s="29"/>
    </row>
    <row r="8130">
      <c r="A8130" s="4"/>
      <c r="B8130" s="2"/>
      <c r="C8130" s="2"/>
      <c r="D8130" s="2"/>
      <c r="E8130" s="2"/>
      <c r="F8130" s="2"/>
      <c r="G8130" s="2"/>
      <c r="H8130" s="2"/>
      <c r="I8130" s="2"/>
      <c r="J8130" s="2"/>
      <c r="K8130" s="2"/>
      <c r="L8130" s="2"/>
      <c r="M8130" s="2"/>
      <c r="N8130" s="29"/>
      <c r="O8130" s="29"/>
    </row>
    <row r="8131">
      <c r="A8131" s="4"/>
      <c r="B8131" s="2"/>
      <c r="C8131" s="2"/>
      <c r="D8131" s="2"/>
      <c r="E8131" s="2"/>
      <c r="F8131" s="2"/>
      <c r="G8131" s="2"/>
      <c r="H8131" s="2"/>
      <c r="I8131" s="2"/>
      <c r="J8131" s="2"/>
      <c r="K8131" s="2"/>
      <c r="L8131" s="2"/>
      <c r="M8131" s="2"/>
      <c r="N8131" s="29"/>
      <c r="O8131" s="29"/>
    </row>
    <row r="8132">
      <c r="A8132" s="4"/>
      <c r="B8132" s="2"/>
      <c r="C8132" s="2"/>
      <c r="D8132" s="2"/>
      <c r="E8132" s="2"/>
      <c r="F8132" s="2"/>
      <c r="G8132" s="2"/>
      <c r="H8132" s="2"/>
      <c r="I8132" s="2"/>
      <c r="J8132" s="2"/>
      <c r="K8132" s="2"/>
      <c r="L8132" s="2"/>
      <c r="M8132" s="2"/>
      <c r="N8132" s="29"/>
      <c r="O8132" s="29"/>
    </row>
    <row r="8133">
      <c r="A8133" s="4"/>
      <c r="B8133" s="2"/>
      <c r="C8133" s="2"/>
      <c r="D8133" s="2"/>
      <c r="E8133" s="2"/>
      <c r="F8133" s="2"/>
      <c r="G8133" s="2"/>
      <c r="H8133" s="2"/>
      <c r="I8133" s="2"/>
      <c r="J8133" s="2"/>
      <c r="K8133" s="2"/>
      <c r="L8133" s="2"/>
      <c r="M8133" s="2"/>
      <c r="N8133" s="29"/>
      <c r="O8133" s="29"/>
    </row>
    <row r="8134">
      <c r="A8134" s="4"/>
      <c r="B8134" s="2"/>
      <c r="C8134" s="2"/>
      <c r="D8134" s="2"/>
      <c r="E8134" s="2"/>
      <c r="F8134" s="2"/>
      <c r="G8134" s="2"/>
      <c r="H8134" s="2"/>
      <c r="I8134" s="2"/>
      <c r="J8134" s="2"/>
      <c r="K8134" s="2"/>
      <c r="L8134" s="2"/>
      <c r="M8134" s="2"/>
      <c r="N8134" s="29"/>
      <c r="O8134" s="29"/>
    </row>
    <row r="8135">
      <c r="A8135" s="4"/>
      <c r="B8135" s="2"/>
      <c r="C8135" s="2"/>
      <c r="D8135" s="2"/>
      <c r="E8135" s="2"/>
      <c r="F8135" s="2"/>
      <c r="G8135" s="2"/>
      <c r="H8135" s="2"/>
      <c r="I8135" s="2"/>
      <c r="J8135" s="2"/>
      <c r="K8135" s="2"/>
      <c r="L8135" s="2"/>
      <c r="M8135" s="2"/>
      <c r="N8135" s="29"/>
      <c r="O8135" s="29"/>
    </row>
    <row r="8136">
      <c r="A8136" s="4"/>
      <c r="B8136" s="2"/>
      <c r="C8136" s="2"/>
      <c r="D8136" s="2"/>
      <c r="E8136" s="2"/>
      <c r="F8136" s="2"/>
      <c r="G8136" s="2"/>
      <c r="H8136" s="2"/>
      <c r="I8136" s="2"/>
      <c r="J8136" s="2"/>
      <c r="K8136" s="2"/>
      <c r="L8136" s="2"/>
      <c r="M8136" s="2"/>
      <c r="N8136" s="29"/>
      <c r="O8136" s="29"/>
    </row>
    <row r="8137">
      <c r="A8137" s="4"/>
      <c r="B8137" s="2"/>
      <c r="C8137" s="2"/>
      <c r="D8137" s="2"/>
      <c r="E8137" s="2"/>
      <c r="F8137" s="2"/>
      <c r="G8137" s="2"/>
      <c r="H8137" s="2"/>
      <c r="I8137" s="2"/>
      <c r="J8137" s="2"/>
      <c r="K8137" s="2"/>
      <c r="L8137" s="2"/>
      <c r="M8137" s="2"/>
      <c r="N8137" s="29"/>
      <c r="O8137" s="29"/>
    </row>
    <row r="8138">
      <c r="A8138" s="4"/>
      <c r="B8138" s="2"/>
      <c r="C8138" s="2"/>
      <c r="D8138" s="2"/>
      <c r="E8138" s="2"/>
      <c r="F8138" s="2"/>
      <c r="G8138" s="2"/>
      <c r="H8138" s="2"/>
      <c r="I8138" s="2"/>
      <c r="J8138" s="2"/>
      <c r="K8138" s="2"/>
      <c r="L8138" s="2"/>
      <c r="M8138" s="2"/>
      <c r="N8138" s="29"/>
      <c r="O8138" s="29"/>
    </row>
    <row r="8139">
      <c r="A8139" s="4"/>
      <c r="B8139" s="2"/>
      <c r="C8139" s="2"/>
      <c r="D8139" s="2"/>
      <c r="E8139" s="2"/>
      <c r="F8139" s="2"/>
      <c r="G8139" s="2"/>
      <c r="H8139" s="2"/>
      <c r="I8139" s="2"/>
      <c r="J8139" s="2"/>
      <c r="K8139" s="2"/>
      <c r="L8139" s="2"/>
      <c r="M8139" s="2"/>
      <c r="N8139" s="29"/>
      <c r="O8139" s="29"/>
    </row>
    <row r="8140">
      <c r="A8140" s="4"/>
      <c r="B8140" s="2"/>
      <c r="C8140" s="2"/>
      <c r="D8140" s="2"/>
      <c r="E8140" s="2"/>
      <c r="F8140" s="2"/>
      <c r="G8140" s="2"/>
      <c r="H8140" s="2"/>
      <c r="I8140" s="2"/>
      <c r="J8140" s="2"/>
      <c r="K8140" s="2"/>
      <c r="L8140" s="2"/>
      <c r="M8140" s="2"/>
      <c r="N8140" s="29"/>
      <c r="O8140" s="29"/>
    </row>
    <row r="8141">
      <c r="A8141" s="4"/>
      <c r="B8141" s="2"/>
      <c r="C8141" s="2"/>
      <c r="D8141" s="2"/>
      <c r="E8141" s="2"/>
      <c r="F8141" s="2"/>
      <c r="G8141" s="2"/>
      <c r="H8141" s="2"/>
      <c r="I8141" s="2"/>
      <c r="J8141" s="2"/>
      <c r="K8141" s="2"/>
      <c r="L8141" s="2"/>
      <c r="M8141" s="2"/>
      <c r="N8141" s="29"/>
      <c r="O8141" s="29"/>
    </row>
    <row r="8142">
      <c r="A8142" s="4"/>
      <c r="B8142" s="2"/>
      <c r="C8142" s="2"/>
      <c r="D8142" s="2"/>
      <c r="E8142" s="2"/>
      <c r="F8142" s="2"/>
      <c r="G8142" s="2"/>
      <c r="H8142" s="2"/>
      <c r="I8142" s="2"/>
      <c r="J8142" s="2"/>
      <c r="K8142" s="2"/>
      <c r="L8142" s="2"/>
      <c r="M8142" s="2"/>
      <c r="N8142" s="29"/>
      <c r="O8142" s="29"/>
    </row>
    <row r="8143">
      <c r="A8143" s="4"/>
      <c r="B8143" s="2"/>
      <c r="C8143" s="2"/>
      <c r="D8143" s="2"/>
      <c r="E8143" s="2"/>
      <c r="F8143" s="2"/>
      <c r="G8143" s="2"/>
      <c r="H8143" s="2"/>
      <c r="I8143" s="2"/>
      <c r="J8143" s="2"/>
      <c r="K8143" s="2"/>
      <c r="L8143" s="2"/>
      <c r="M8143" s="2"/>
      <c r="N8143" s="29"/>
      <c r="O8143" s="29"/>
    </row>
    <row r="8144">
      <c r="A8144" s="4"/>
      <c r="B8144" s="2"/>
      <c r="C8144" s="2"/>
      <c r="D8144" s="2"/>
      <c r="E8144" s="2"/>
      <c r="F8144" s="2"/>
      <c r="G8144" s="2"/>
      <c r="H8144" s="2"/>
      <c r="I8144" s="2"/>
      <c r="J8144" s="2"/>
      <c r="K8144" s="2"/>
      <c r="L8144" s="2"/>
      <c r="M8144" s="2"/>
      <c r="N8144" s="29"/>
      <c r="O8144" s="29"/>
    </row>
    <row r="8145">
      <c r="A8145" s="4"/>
      <c r="B8145" s="2"/>
      <c r="C8145" s="2"/>
      <c r="D8145" s="2"/>
      <c r="E8145" s="2"/>
      <c r="F8145" s="2"/>
      <c r="G8145" s="2"/>
      <c r="H8145" s="2"/>
      <c r="I8145" s="2"/>
      <c r="J8145" s="2"/>
      <c r="K8145" s="2"/>
      <c r="L8145" s="2"/>
      <c r="M8145" s="2"/>
      <c r="N8145" s="29"/>
      <c r="O8145" s="29"/>
    </row>
    <row r="8146">
      <c r="A8146" s="4"/>
      <c r="B8146" s="2"/>
      <c r="C8146" s="2"/>
      <c r="D8146" s="2"/>
      <c r="E8146" s="2"/>
      <c r="F8146" s="2"/>
      <c r="G8146" s="2"/>
      <c r="H8146" s="2"/>
      <c r="I8146" s="2"/>
      <c r="J8146" s="2"/>
      <c r="K8146" s="2"/>
      <c r="L8146" s="2"/>
      <c r="M8146" s="2"/>
      <c r="N8146" s="29"/>
      <c r="O8146" s="29"/>
    </row>
    <row r="8147">
      <c r="A8147" s="4"/>
      <c r="B8147" s="2"/>
      <c r="C8147" s="2"/>
      <c r="D8147" s="2"/>
      <c r="E8147" s="2"/>
      <c r="F8147" s="2"/>
      <c r="G8147" s="2"/>
      <c r="H8147" s="2"/>
      <c r="I8147" s="2"/>
      <c r="J8147" s="2"/>
      <c r="K8147" s="2"/>
      <c r="L8147" s="2"/>
      <c r="M8147" s="2"/>
      <c r="N8147" s="29"/>
      <c r="O8147" s="29"/>
    </row>
    <row r="8148">
      <c r="A8148" s="4"/>
      <c r="B8148" s="2"/>
      <c r="C8148" s="2"/>
      <c r="D8148" s="2"/>
      <c r="E8148" s="2"/>
      <c r="F8148" s="2"/>
      <c r="G8148" s="2"/>
      <c r="H8148" s="2"/>
      <c r="I8148" s="2"/>
      <c r="J8148" s="2"/>
      <c r="K8148" s="2"/>
      <c r="L8148" s="2"/>
      <c r="M8148" s="2"/>
      <c r="N8148" s="29"/>
      <c r="O8148" s="29"/>
    </row>
    <row r="8149">
      <c r="A8149" s="4"/>
      <c r="B8149" s="2"/>
      <c r="C8149" s="2"/>
      <c r="D8149" s="2"/>
      <c r="E8149" s="2"/>
      <c r="F8149" s="2"/>
      <c r="G8149" s="2"/>
      <c r="H8149" s="2"/>
      <c r="I8149" s="2"/>
      <c r="J8149" s="2"/>
      <c r="K8149" s="2"/>
      <c r="L8149" s="2"/>
      <c r="M8149" s="2"/>
      <c r="N8149" s="29"/>
      <c r="O8149" s="29"/>
    </row>
    <row r="8150">
      <c r="A8150" s="4"/>
      <c r="B8150" s="2"/>
      <c r="C8150" s="2"/>
      <c r="D8150" s="2"/>
      <c r="E8150" s="2"/>
      <c r="F8150" s="2"/>
      <c r="G8150" s="2"/>
      <c r="H8150" s="2"/>
      <c r="I8150" s="2"/>
      <c r="J8150" s="2"/>
      <c r="K8150" s="2"/>
      <c r="L8150" s="2"/>
      <c r="M8150" s="2"/>
      <c r="N8150" s="29"/>
      <c r="O8150" s="29"/>
    </row>
    <row r="8151">
      <c r="A8151" s="4"/>
      <c r="B8151" s="2"/>
      <c r="C8151" s="2"/>
      <c r="D8151" s="2"/>
      <c r="E8151" s="2"/>
      <c r="F8151" s="2"/>
      <c r="G8151" s="2"/>
      <c r="H8151" s="2"/>
      <c r="I8151" s="2"/>
      <c r="J8151" s="2"/>
      <c r="K8151" s="2"/>
      <c r="L8151" s="2"/>
      <c r="M8151" s="2"/>
      <c r="N8151" s="29"/>
      <c r="O8151" s="29"/>
    </row>
    <row r="8152">
      <c r="A8152" s="4"/>
      <c r="B8152" s="2"/>
      <c r="C8152" s="2"/>
      <c r="D8152" s="2"/>
      <c r="E8152" s="2"/>
      <c r="F8152" s="2"/>
      <c r="G8152" s="2"/>
      <c r="H8152" s="2"/>
      <c r="I8152" s="2"/>
      <c r="J8152" s="2"/>
      <c r="K8152" s="2"/>
      <c r="L8152" s="2"/>
      <c r="M8152" s="2"/>
      <c r="N8152" s="29"/>
      <c r="O8152" s="29"/>
    </row>
    <row r="8153">
      <c r="A8153" s="4"/>
      <c r="B8153" s="2"/>
      <c r="C8153" s="2"/>
      <c r="D8153" s="2"/>
      <c r="E8153" s="2"/>
      <c r="F8153" s="2"/>
      <c r="G8153" s="2"/>
      <c r="H8153" s="2"/>
      <c r="I8153" s="2"/>
      <c r="J8153" s="2"/>
      <c r="K8153" s="2"/>
      <c r="L8153" s="2"/>
      <c r="M8153" s="2"/>
      <c r="N8153" s="29"/>
      <c r="O8153" s="29"/>
    </row>
    <row r="8154">
      <c r="A8154" s="4"/>
      <c r="B8154" s="2"/>
      <c r="C8154" s="2"/>
      <c r="D8154" s="2"/>
      <c r="E8154" s="2"/>
      <c r="F8154" s="2"/>
      <c r="G8154" s="2"/>
      <c r="H8154" s="2"/>
      <c r="I8154" s="2"/>
      <c r="J8154" s="2"/>
      <c r="K8154" s="2"/>
      <c r="L8154" s="2"/>
      <c r="M8154" s="2"/>
      <c r="N8154" s="29"/>
      <c r="O8154" s="29"/>
    </row>
    <row r="8155">
      <c r="A8155" s="4"/>
      <c r="B8155" s="2"/>
      <c r="C8155" s="2"/>
      <c r="D8155" s="2"/>
      <c r="E8155" s="2"/>
      <c r="F8155" s="2"/>
      <c r="G8155" s="2"/>
      <c r="H8155" s="2"/>
      <c r="I8155" s="2"/>
      <c r="J8155" s="2"/>
      <c r="K8155" s="2"/>
      <c r="L8155" s="2"/>
      <c r="M8155" s="2"/>
      <c r="N8155" s="29"/>
      <c r="O8155" s="29"/>
    </row>
    <row r="8156">
      <c r="A8156" s="4"/>
      <c r="B8156" s="2"/>
      <c r="C8156" s="2"/>
      <c r="D8156" s="2"/>
      <c r="E8156" s="2"/>
      <c r="F8156" s="2"/>
      <c r="G8156" s="2"/>
      <c r="H8156" s="2"/>
      <c r="I8156" s="2"/>
      <c r="J8156" s="2"/>
      <c r="K8156" s="2"/>
      <c r="L8156" s="2"/>
      <c r="M8156" s="2"/>
      <c r="N8156" s="29"/>
      <c r="O8156" s="29"/>
    </row>
    <row r="8157">
      <c r="A8157" s="4"/>
      <c r="B8157" s="2"/>
      <c r="C8157" s="2"/>
      <c r="D8157" s="2"/>
      <c r="E8157" s="2"/>
      <c r="F8157" s="2"/>
      <c r="G8157" s="2"/>
      <c r="H8157" s="2"/>
      <c r="I8157" s="2"/>
      <c r="J8157" s="2"/>
      <c r="K8157" s="2"/>
      <c r="L8157" s="2"/>
      <c r="M8157" s="2"/>
      <c r="N8157" s="29"/>
      <c r="O8157" s="29"/>
    </row>
    <row r="8158">
      <c r="A8158" s="4"/>
      <c r="B8158" s="2"/>
      <c r="C8158" s="2"/>
      <c r="D8158" s="2"/>
      <c r="E8158" s="2"/>
      <c r="F8158" s="2"/>
      <c r="G8158" s="2"/>
      <c r="H8158" s="2"/>
      <c r="I8158" s="2"/>
      <c r="J8158" s="2"/>
      <c r="K8158" s="2"/>
      <c r="L8158" s="2"/>
      <c r="M8158" s="2"/>
      <c r="N8158" s="29"/>
      <c r="O8158" s="29"/>
    </row>
    <row r="8159">
      <c r="A8159" s="4"/>
      <c r="B8159" s="2"/>
      <c r="C8159" s="2"/>
      <c r="D8159" s="2"/>
      <c r="E8159" s="2"/>
      <c r="F8159" s="2"/>
      <c r="G8159" s="2"/>
      <c r="H8159" s="2"/>
      <c r="I8159" s="2"/>
      <c r="J8159" s="2"/>
      <c r="K8159" s="2"/>
      <c r="L8159" s="2"/>
      <c r="M8159" s="2"/>
      <c r="N8159" s="29"/>
      <c r="O8159" s="29"/>
    </row>
    <row r="8160">
      <c r="A8160" s="4"/>
      <c r="B8160" s="2"/>
      <c r="C8160" s="2"/>
      <c r="D8160" s="2"/>
      <c r="E8160" s="2"/>
      <c r="F8160" s="2"/>
      <c r="G8160" s="2"/>
      <c r="H8160" s="2"/>
      <c r="I8160" s="2"/>
      <c r="J8160" s="2"/>
      <c r="K8160" s="2"/>
      <c r="L8160" s="2"/>
      <c r="M8160" s="2"/>
      <c r="N8160" s="29"/>
      <c r="O8160" s="29"/>
    </row>
    <row r="8161">
      <c r="A8161" s="4"/>
      <c r="B8161" s="2"/>
      <c r="C8161" s="2"/>
      <c r="D8161" s="2"/>
      <c r="E8161" s="2"/>
      <c r="F8161" s="2"/>
      <c r="G8161" s="2"/>
      <c r="H8161" s="2"/>
      <c r="I8161" s="2"/>
      <c r="J8161" s="2"/>
      <c r="K8161" s="2"/>
      <c r="L8161" s="2"/>
      <c r="M8161" s="2"/>
      <c r="N8161" s="29"/>
      <c r="O8161" s="29"/>
    </row>
    <row r="8162">
      <c r="A8162" s="4"/>
      <c r="B8162" s="2"/>
      <c r="C8162" s="2"/>
      <c r="D8162" s="2"/>
      <c r="E8162" s="2"/>
      <c r="F8162" s="2"/>
      <c r="G8162" s="2"/>
      <c r="H8162" s="2"/>
      <c r="I8162" s="2"/>
      <c r="J8162" s="2"/>
      <c r="K8162" s="2"/>
      <c r="L8162" s="2"/>
      <c r="M8162" s="2"/>
      <c r="N8162" s="29"/>
      <c r="O8162" s="29"/>
    </row>
    <row r="8163">
      <c r="A8163" s="4"/>
      <c r="B8163" s="2"/>
      <c r="C8163" s="2"/>
      <c r="D8163" s="2"/>
      <c r="E8163" s="2"/>
      <c r="F8163" s="2"/>
      <c r="G8163" s="2"/>
      <c r="H8163" s="2"/>
      <c r="I8163" s="2"/>
      <c r="J8163" s="2"/>
      <c r="K8163" s="2"/>
      <c r="L8163" s="2"/>
      <c r="M8163" s="2"/>
      <c r="N8163" s="29"/>
      <c r="O8163" s="29"/>
    </row>
    <row r="8164">
      <c r="A8164" s="4"/>
      <c r="B8164" s="2"/>
      <c r="C8164" s="2"/>
      <c r="D8164" s="2"/>
      <c r="E8164" s="2"/>
      <c r="F8164" s="2"/>
      <c r="G8164" s="2"/>
      <c r="H8164" s="2"/>
      <c r="I8164" s="2"/>
      <c r="J8164" s="2"/>
      <c r="K8164" s="2"/>
      <c r="L8164" s="2"/>
      <c r="M8164" s="2"/>
      <c r="N8164" s="29"/>
      <c r="O8164" s="29"/>
    </row>
    <row r="8165">
      <c r="A8165" s="4"/>
      <c r="B8165" s="2"/>
      <c r="C8165" s="2"/>
      <c r="D8165" s="2"/>
      <c r="E8165" s="2"/>
      <c r="F8165" s="2"/>
      <c r="G8165" s="2"/>
      <c r="H8165" s="2"/>
      <c r="I8165" s="2"/>
      <c r="J8165" s="2"/>
      <c r="K8165" s="2"/>
      <c r="L8165" s="2"/>
      <c r="M8165" s="2"/>
      <c r="N8165" s="29"/>
      <c r="O8165" s="29"/>
    </row>
    <row r="8166">
      <c r="A8166" s="4"/>
      <c r="B8166" s="2"/>
      <c r="C8166" s="2"/>
      <c r="D8166" s="2"/>
      <c r="E8166" s="2"/>
      <c r="F8166" s="2"/>
      <c r="G8166" s="2"/>
      <c r="H8166" s="2"/>
      <c r="I8166" s="2"/>
      <c r="J8166" s="2"/>
      <c r="K8166" s="2"/>
      <c r="L8166" s="2"/>
      <c r="M8166" s="2"/>
      <c r="N8166" s="29"/>
      <c r="O8166" s="29"/>
    </row>
    <row r="8167">
      <c r="A8167" s="4"/>
      <c r="B8167" s="2"/>
      <c r="C8167" s="2"/>
      <c r="D8167" s="2"/>
      <c r="E8167" s="2"/>
      <c r="F8167" s="2"/>
      <c r="G8167" s="2"/>
      <c r="H8167" s="2"/>
      <c r="I8167" s="2"/>
      <c r="J8167" s="2"/>
      <c r="K8167" s="2"/>
      <c r="L8167" s="2"/>
      <c r="M8167" s="2"/>
      <c r="N8167" s="29"/>
      <c r="O8167" s="29"/>
    </row>
    <row r="8168">
      <c r="A8168" s="4"/>
      <c r="B8168" s="2"/>
      <c r="C8168" s="2"/>
      <c r="D8168" s="2"/>
      <c r="E8168" s="2"/>
      <c r="F8168" s="2"/>
      <c r="G8168" s="2"/>
      <c r="H8168" s="2"/>
      <c r="I8168" s="2"/>
      <c r="J8168" s="2"/>
      <c r="K8168" s="2"/>
      <c r="L8168" s="2"/>
      <c r="M8168" s="2"/>
      <c r="N8168" s="29"/>
      <c r="O8168" s="29"/>
    </row>
    <row r="8169">
      <c r="A8169" s="4"/>
      <c r="B8169" s="2"/>
      <c r="C8169" s="2"/>
      <c r="D8169" s="2"/>
      <c r="E8169" s="2"/>
      <c r="F8169" s="2"/>
      <c r="G8169" s="2"/>
      <c r="H8169" s="2"/>
      <c r="I8169" s="2"/>
      <c r="J8169" s="2"/>
      <c r="K8169" s="2"/>
      <c r="L8169" s="2"/>
      <c r="M8169" s="2"/>
      <c r="N8169" s="29"/>
      <c r="O8169" s="29"/>
    </row>
    <row r="8170">
      <c r="A8170" s="4"/>
      <c r="B8170" s="2"/>
      <c r="C8170" s="2"/>
      <c r="D8170" s="2"/>
      <c r="E8170" s="2"/>
      <c r="F8170" s="2"/>
      <c r="G8170" s="2"/>
      <c r="H8170" s="2"/>
      <c r="I8170" s="2"/>
      <c r="J8170" s="2"/>
      <c r="K8170" s="2"/>
      <c r="L8170" s="2"/>
      <c r="M8170" s="2"/>
      <c r="N8170" s="29"/>
      <c r="O8170" s="29"/>
    </row>
    <row r="8171">
      <c r="A8171" s="4"/>
      <c r="B8171" s="2"/>
      <c r="C8171" s="2"/>
      <c r="D8171" s="2"/>
      <c r="E8171" s="2"/>
      <c r="F8171" s="2"/>
      <c r="G8171" s="2"/>
      <c r="H8171" s="2"/>
      <c r="I8171" s="2"/>
      <c r="J8171" s="2"/>
      <c r="K8171" s="2"/>
      <c r="L8171" s="2"/>
      <c r="M8171" s="2"/>
      <c r="N8171" s="29"/>
      <c r="O8171" s="29"/>
    </row>
    <row r="8172">
      <c r="A8172" s="4"/>
      <c r="B8172" s="2"/>
      <c r="C8172" s="2"/>
      <c r="D8172" s="2"/>
      <c r="E8172" s="2"/>
      <c r="F8172" s="2"/>
      <c r="G8172" s="2"/>
      <c r="H8172" s="2"/>
      <c r="I8172" s="2"/>
      <c r="J8172" s="2"/>
      <c r="K8172" s="2"/>
      <c r="L8172" s="2"/>
      <c r="M8172" s="2"/>
      <c r="N8172" s="29"/>
      <c r="O8172" s="29"/>
    </row>
    <row r="8173">
      <c r="A8173" s="4"/>
      <c r="B8173" s="2"/>
      <c r="C8173" s="2"/>
      <c r="D8173" s="2"/>
      <c r="E8173" s="2"/>
      <c r="F8173" s="2"/>
      <c r="G8173" s="2"/>
      <c r="H8173" s="2"/>
      <c r="I8173" s="2"/>
      <c r="J8173" s="2"/>
      <c r="K8173" s="2"/>
      <c r="L8173" s="2"/>
      <c r="M8173" s="2"/>
      <c r="N8173" s="29"/>
      <c r="O8173" s="29"/>
    </row>
    <row r="8174">
      <c r="A8174" s="4"/>
      <c r="B8174" s="2"/>
      <c r="C8174" s="2"/>
      <c r="D8174" s="2"/>
      <c r="E8174" s="2"/>
      <c r="F8174" s="2"/>
      <c r="G8174" s="2"/>
      <c r="H8174" s="2"/>
      <c r="I8174" s="2"/>
      <c r="J8174" s="2"/>
      <c r="K8174" s="2"/>
      <c r="L8174" s="2"/>
      <c r="M8174" s="2"/>
      <c r="N8174" s="29"/>
      <c r="O8174" s="29"/>
    </row>
    <row r="8175">
      <c r="A8175" s="4"/>
      <c r="B8175" s="2"/>
      <c r="C8175" s="2"/>
      <c r="D8175" s="2"/>
      <c r="E8175" s="2"/>
      <c r="F8175" s="2"/>
      <c r="G8175" s="2"/>
      <c r="H8175" s="2"/>
      <c r="I8175" s="2"/>
      <c r="J8175" s="2"/>
      <c r="K8175" s="2"/>
      <c r="L8175" s="2"/>
      <c r="M8175" s="2"/>
      <c r="N8175" s="29"/>
      <c r="O8175" s="29"/>
    </row>
    <row r="8176">
      <c r="A8176" s="4"/>
      <c r="B8176" s="2"/>
      <c r="C8176" s="2"/>
      <c r="D8176" s="2"/>
      <c r="E8176" s="2"/>
      <c r="F8176" s="2"/>
      <c r="G8176" s="2"/>
      <c r="H8176" s="2"/>
      <c r="I8176" s="2"/>
      <c r="J8176" s="2"/>
      <c r="K8176" s="2"/>
      <c r="L8176" s="2"/>
      <c r="M8176" s="2"/>
      <c r="N8176" s="29"/>
      <c r="O8176" s="29"/>
    </row>
    <row r="8177">
      <c r="A8177" s="4"/>
      <c r="B8177" s="2"/>
      <c r="C8177" s="2"/>
      <c r="D8177" s="2"/>
      <c r="E8177" s="2"/>
      <c r="F8177" s="2"/>
      <c r="G8177" s="2"/>
      <c r="H8177" s="2"/>
      <c r="I8177" s="2"/>
      <c r="J8177" s="2"/>
      <c r="K8177" s="2"/>
      <c r="L8177" s="2"/>
      <c r="M8177" s="2"/>
      <c r="N8177" s="29"/>
      <c r="O8177" s="29"/>
    </row>
    <row r="8178">
      <c r="A8178" s="4"/>
      <c r="B8178" s="2"/>
      <c r="C8178" s="2"/>
      <c r="D8178" s="2"/>
      <c r="E8178" s="2"/>
      <c r="F8178" s="2"/>
      <c r="G8178" s="2"/>
      <c r="H8178" s="2"/>
      <c r="I8178" s="2"/>
      <c r="J8178" s="2"/>
      <c r="K8178" s="2"/>
      <c r="L8178" s="2"/>
      <c r="M8178" s="2"/>
      <c r="N8178" s="29"/>
      <c r="O8178" s="29"/>
    </row>
    <row r="8179">
      <c r="A8179" s="4"/>
      <c r="B8179" s="2"/>
      <c r="C8179" s="2"/>
      <c r="D8179" s="2"/>
      <c r="E8179" s="2"/>
      <c r="F8179" s="2"/>
      <c r="G8179" s="2"/>
      <c r="H8179" s="2"/>
      <c r="I8179" s="2"/>
      <c r="J8179" s="2"/>
      <c r="K8179" s="2"/>
      <c r="L8179" s="2"/>
      <c r="M8179" s="2"/>
      <c r="N8179" s="29"/>
      <c r="O8179" s="29"/>
    </row>
    <row r="8180">
      <c r="A8180" s="4"/>
      <c r="B8180" s="2"/>
      <c r="C8180" s="2"/>
      <c r="D8180" s="2"/>
      <c r="E8180" s="2"/>
      <c r="F8180" s="2"/>
      <c r="G8180" s="2"/>
      <c r="H8180" s="2"/>
      <c r="I8180" s="2"/>
      <c r="J8180" s="2"/>
      <c r="K8180" s="2"/>
      <c r="L8180" s="2"/>
      <c r="M8180" s="2"/>
      <c r="N8180" s="29"/>
      <c r="O8180" s="29"/>
    </row>
    <row r="8181">
      <c r="A8181" s="4"/>
      <c r="B8181" s="2"/>
      <c r="C8181" s="2"/>
      <c r="D8181" s="2"/>
      <c r="E8181" s="2"/>
      <c r="F8181" s="2"/>
      <c r="G8181" s="2"/>
      <c r="H8181" s="2"/>
      <c r="I8181" s="2"/>
      <c r="J8181" s="2"/>
      <c r="K8181" s="2"/>
      <c r="L8181" s="2"/>
      <c r="M8181" s="2"/>
      <c r="N8181" s="29"/>
      <c r="O8181" s="29"/>
    </row>
    <row r="8182">
      <c r="A8182" s="4"/>
      <c r="B8182" s="2"/>
      <c r="C8182" s="2"/>
      <c r="D8182" s="2"/>
      <c r="E8182" s="2"/>
      <c r="F8182" s="2"/>
      <c r="G8182" s="2"/>
      <c r="H8182" s="2"/>
      <c r="I8182" s="2"/>
      <c r="J8182" s="2"/>
      <c r="K8182" s="2"/>
      <c r="L8182" s="2"/>
      <c r="M8182" s="2"/>
      <c r="N8182" s="29"/>
      <c r="O8182" s="29"/>
    </row>
    <row r="8183">
      <c r="A8183" s="4"/>
      <c r="B8183" s="2"/>
      <c r="C8183" s="2"/>
      <c r="D8183" s="2"/>
      <c r="E8183" s="2"/>
      <c r="F8183" s="2"/>
      <c r="G8183" s="2"/>
      <c r="H8183" s="2"/>
      <c r="I8183" s="2"/>
      <c r="J8183" s="2"/>
      <c r="K8183" s="2"/>
      <c r="L8183" s="2"/>
      <c r="M8183" s="2"/>
      <c r="N8183" s="29"/>
      <c r="O8183" s="29"/>
    </row>
    <row r="8184">
      <c r="A8184" s="4"/>
      <c r="B8184" s="2"/>
      <c r="C8184" s="2"/>
      <c r="D8184" s="2"/>
      <c r="E8184" s="2"/>
      <c r="F8184" s="2"/>
      <c r="G8184" s="2"/>
      <c r="H8184" s="2"/>
      <c r="I8184" s="2"/>
      <c r="J8184" s="2"/>
      <c r="K8184" s="2"/>
      <c r="L8184" s="2"/>
      <c r="M8184" s="2"/>
      <c r="N8184" s="29"/>
      <c r="O8184" s="29"/>
    </row>
    <row r="8185">
      <c r="A8185" s="4"/>
      <c r="B8185" s="2"/>
      <c r="C8185" s="2"/>
      <c r="D8185" s="2"/>
      <c r="E8185" s="2"/>
      <c r="F8185" s="2"/>
      <c r="G8185" s="2"/>
      <c r="H8185" s="2"/>
      <c r="I8185" s="2"/>
      <c r="J8185" s="2"/>
      <c r="K8185" s="2"/>
      <c r="L8185" s="2"/>
      <c r="M8185" s="2"/>
      <c r="N8185" s="29"/>
      <c r="O8185" s="29"/>
    </row>
    <row r="8186">
      <c r="A8186" s="4"/>
      <c r="B8186" s="2"/>
      <c r="C8186" s="2"/>
      <c r="D8186" s="2"/>
      <c r="E8186" s="2"/>
      <c r="F8186" s="2"/>
      <c r="G8186" s="2"/>
      <c r="H8186" s="2"/>
      <c r="I8186" s="2"/>
      <c r="J8186" s="2"/>
      <c r="K8186" s="2"/>
      <c r="L8186" s="2"/>
      <c r="M8186" s="2"/>
      <c r="N8186" s="29"/>
      <c r="O8186" s="29"/>
    </row>
    <row r="8187">
      <c r="A8187" s="4"/>
      <c r="B8187" s="2"/>
      <c r="C8187" s="2"/>
      <c r="D8187" s="2"/>
      <c r="E8187" s="2"/>
      <c r="F8187" s="2"/>
      <c r="G8187" s="2"/>
      <c r="H8187" s="2"/>
      <c r="I8187" s="2"/>
      <c r="J8187" s="2"/>
      <c r="K8187" s="2"/>
      <c r="L8187" s="2"/>
      <c r="M8187" s="2"/>
      <c r="N8187" s="29"/>
      <c r="O8187" s="29"/>
    </row>
    <row r="8188">
      <c r="A8188" s="4"/>
      <c r="B8188" s="2"/>
      <c r="C8188" s="2"/>
      <c r="D8188" s="2"/>
      <c r="E8188" s="2"/>
      <c r="F8188" s="2"/>
      <c r="G8188" s="2"/>
      <c r="H8188" s="2"/>
      <c r="I8188" s="2"/>
      <c r="J8188" s="2"/>
      <c r="K8188" s="2"/>
      <c r="L8188" s="2"/>
      <c r="M8188" s="2"/>
      <c r="N8188" s="29"/>
      <c r="O8188" s="29"/>
    </row>
    <row r="8189">
      <c r="A8189" s="4"/>
      <c r="B8189" s="2"/>
      <c r="C8189" s="2"/>
      <c r="D8189" s="2"/>
      <c r="E8189" s="2"/>
      <c r="F8189" s="2"/>
      <c r="G8189" s="2"/>
      <c r="H8189" s="2"/>
      <c r="I8189" s="2"/>
      <c r="J8189" s="2"/>
      <c r="K8189" s="2"/>
      <c r="L8189" s="2"/>
      <c r="M8189" s="2"/>
      <c r="N8189" s="29"/>
      <c r="O8189" s="29"/>
    </row>
    <row r="8190">
      <c r="A8190" s="4"/>
      <c r="B8190" s="2"/>
      <c r="C8190" s="2"/>
      <c r="D8190" s="2"/>
      <c r="E8190" s="2"/>
      <c r="F8190" s="2"/>
      <c r="G8190" s="2"/>
      <c r="H8190" s="2"/>
      <c r="I8190" s="2"/>
      <c r="J8190" s="2"/>
      <c r="K8190" s="2"/>
      <c r="L8190" s="2"/>
      <c r="M8190" s="2"/>
      <c r="N8190" s="29"/>
      <c r="O8190" s="29"/>
    </row>
    <row r="8191">
      <c r="A8191" s="4"/>
      <c r="B8191" s="2"/>
      <c r="C8191" s="2"/>
      <c r="D8191" s="2"/>
      <c r="E8191" s="2"/>
      <c r="F8191" s="2"/>
      <c r="G8191" s="2"/>
      <c r="H8191" s="2"/>
      <c r="I8191" s="2"/>
      <c r="J8191" s="2"/>
      <c r="K8191" s="2"/>
      <c r="L8191" s="2"/>
      <c r="M8191" s="2"/>
      <c r="N8191" s="29"/>
      <c r="O8191" s="29"/>
    </row>
    <row r="8192">
      <c r="A8192" s="4"/>
      <c r="B8192" s="2"/>
      <c r="C8192" s="2"/>
      <c r="D8192" s="2"/>
      <c r="E8192" s="2"/>
      <c r="F8192" s="2"/>
      <c r="G8192" s="2"/>
      <c r="H8192" s="2"/>
      <c r="I8192" s="2"/>
      <c r="J8192" s="2"/>
      <c r="K8192" s="2"/>
      <c r="L8192" s="2"/>
      <c r="M8192" s="2"/>
      <c r="N8192" s="29"/>
      <c r="O8192" s="29"/>
    </row>
    <row r="8193">
      <c r="A8193" s="4"/>
      <c r="B8193" s="2"/>
      <c r="C8193" s="2"/>
      <c r="D8193" s="2"/>
      <c r="E8193" s="2"/>
      <c r="F8193" s="2"/>
      <c r="G8193" s="2"/>
      <c r="H8193" s="2"/>
      <c r="I8193" s="2"/>
      <c r="J8193" s="2"/>
      <c r="K8193" s="2"/>
      <c r="L8193" s="2"/>
      <c r="M8193" s="2"/>
      <c r="N8193" s="29"/>
      <c r="O8193" s="29"/>
    </row>
    <row r="8194">
      <c r="A8194" s="4"/>
      <c r="B8194" s="2"/>
      <c r="C8194" s="2"/>
      <c r="D8194" s="2"/>
      <c r="E8194" s="2"/>
      <c r="F8194" s="2"/>
      <c r="G8194" s="2"/>
      <c r="H8194" s="2"/>
      <c r="I8194" s="2"/>
      <c r="J8194" s="2"/>
      <c r="K8194" s="2"/>
      <c r="L8194" s="2"/>
      <c r="M8194" s="2"/>
      <c r="N8194" s="29"/>
      <c r="O8194" s="29"/>
    </row>
    <row r="8195">
      <c r="A8195" s="4"/>
      <c r="B8195" s="2"/>
      <c r="C8195" s="2"/>
      <c r="D8195" s="2"/>
      <c r="E8195" s="2"/>
      <c r="F8195" s="2"/>
      <c r="G8195" s="2"/>
      <c r="H8195" s="2"/>
      <c r="I8195" s="2"/>
      <c r="J8195" s="2"/>
      <c r="K8195" s="2"/>
      <c r="L8195" s="2"/>
      <c r="M8195" s="2"/>
      <c r="N8195" s="29"/>
      <c r="O8195" s="29"/>
    </row>
    <row r="8196">
      <c r="A8196" s="4"/>
      <c r="B8196" s="2"/>
      <c r="C8196" s="2"/>
      <c r="D8196" s="2"/>
      <c r="E8196" s="2"/>
      <c r="F8196" s="2"/>
      <c r="G8196" s="2"/>
      <c r="H8196" s="2"/>
      <c r="I8196" s="2"/>
      <c r="J8196" s="2"/>
      <c r="K8196" s="2"/>
      <c r="L8196" s="2"/>
      <c r="M8196" s="2"/>
      <c r="N8196" s="29"/>
      <c r="O8196" s="29"/>
    </row>
    <row r="8197">
      <c r="A8197" s="4"/>
      <c r="B8197" s="2"/>
      <c r="C8197" s="2"/>
      <c r="D8197" s="2"/>
      <c r="E8197" s="2"/>
      <c r="F8197" s="2"/>
      <c r="G8197" s="2"/>
      <c r="H8197" s="2"/>
      <c r="I8197" s="2"/>
      <c r="J8197" s="2"/>
      <c r="K8197" s="2"/>
      <c r="L8197" s="2"/>
      <c r="M8197" s="2"/>
      <c r="N8197" s="29"/>
      <c r="O8197" s="29"/>
    </row>
    <row r="8198">
      <c r="A8198" s="4"/>
      <c r="B8198" s="2"/>
      <c r="C8198" s="2"/>
      <c r="D8198" s="2"/>
      <c r="E8198" s="2"/>
      <c r="F8198" s="2"/>
      <c r="G8198" s="2"/>
      <c r="H8198" s="2"/>
      <c r="I8198" s="2"/>
      <c r="J8198" s="2"/>
      <c r="K8198" s="2"/>
      <c r="L8198" s="2"/>
      <c r="M8198" s="2"/>
      <c r="N8198" s="29"/>
      <c r="O8198" s="29"/>
    </row>
    <row r="8199">
      <c r="A8199" s="4"/>
      <c r="B8199" s="2"/>
      <c r="C8199" s="2"/>
      <c r="D8199" s="2"/>
      <c r="E8199" s="2"/>
      <c r="F8199" s="2"/>
      <c r="G8199" s="2"/>
      <c r="H8199" s="2"/>
      <c r="I8199" s="2"/>
      <c r="J8199" s="2"/>
      <c r="K8199" s="2"/>
      <c r="L8199" s="2"/>
      <c r="M8199" s="2"/>
      <c r="N8199" s="29"/>
      <c r="O8199" s="29"/>
    </row>
    <row r="8200">
      <c r="A8200" s="4"/>
      <c r="B8200" s="2"/>
      <c r="C8200" s="2"/>
      <c r="D8200" s="2"/>
      <c r="E8200" s="2"/>
      <c r="F8200" s="2"/>
      <c r="G8200" s="2"/>
      <c r="H8200" s="2"/>
      <c r="I8200" s="2"/>
      <c r="J8200" s="2"/>
      <c r="K8200" s="2"/>
      <c r="L8200" s="2"/>
      <c r="M8200" s="2"/>
      <c r="N8200" s="29"/>
      <c r="O8200" s="29"/>
    </row>
    <row r="8201">
      <c r="A8201" s="4"/>
      <c r="B8201" s="2"/>
      <c r="C8201" s="2"/>
      <c r="D8201" s="2"/>
      <c r="E8201" s="2"/>
      <c r="F8201" s="2"/>
      <c r="G8201" s="2"/>
      <c r="H8201" s="2"/>
      <c r="I8201" s="2"/>
      <c r="J8201" s="2"/>
      <c r="K8201" s="2"/>
      <c r="L8201" s="2"/>
      <c r="M8201" s="2"/>
      <c r="N8201" s="29"/>
      <c r="O8201" s="29"/>
    </row>
    <row r="8202">
      <c r="A8202" s="4"/>
      <c r="B8202" s="2"/>
      <c r="C8202" s="2"/>
      <c r="D8202" s="2"/>
      <c r="E8202" s="2"/>
      <c r="F8202" s="2"/>
      <c r="G8202" s="2"/>
      <c r="H8202" s="2"/>
      <c r="I8202" s="2"/>
      <c r="J8202" s="2"/>
      <c r="K8202" s="2"/>
      <c r="L8202" s="2"/>
      <c r="M8202" s="2"/>
      <c r="N8202" s="29"/>
      <c r="O8202" s="29"/>
    </row>
    <row r="8203">
      <c r="A8203" s="4"/>
      <c r="B8203" s="2"/>
      <c r="C8203" s="2"/>
      <c r="D8203" s="2"/>
      <c r="E8203" s="2"/>
      <c r="F8203" s="2"/>
      <c r="G8203" s="2"/>
      <c r="H8203" s="2"/>
      <c r="I8203" s="2"/>
      <c r="J8203" s="2"/>
      <c r="K8203" s="2"/>
      <c r="L8203" s="2"/>
      <c r="M8203" s="2"/>
      <c r="N8203" s="29"/>
      <c r="O8203" s="29"/>
    </row>
    <row r="8204">
      <c r="A8204" s="4"/>
      <c r="B8204" s="2"/>
      <c r="C8204" s="2"/>
      <c r="D8204" s="2"/>
      <c r="E8204" s="2"/>
      <c r="F8204" s="2"/>
      <c r="G8204" s="2"/>
      <c r="H8204" s="2"/>
      <c r="I8204" s="2"/>
      <c r="J8204" s="2"/>
      <c r="K8204" s="2"/>
      <c r="L8204" s="2"/>
      <c r="M8204" s="2"/>
      <c r="N8204" s="29"/>
      <c r="O8204" s="29"/>
    </row>
    <row r="8205">
      <c r="A8205" s="4"/>
      <c r="B8205" s="2"/>
      <c r="C8205" s="2"/>
      <c r="D8205" s="2"/>
      <c r="E8205" s="2"/>
      <c r="F8205" s="2"/>
      <c r="G8205" s="2"/>
      <c r="H8205" s="2"/>
      <c r="I8205" s="2"/>
      <c r="J8205" s="2"/>
      <c r="K8205" s="2"/>
      <c r="L8205" s="2"/>
      <c r="M8205" s="2"/>
      <c r="N8205" s="29"/>
      <c r="O8205" s="29"/>
    </row>
    <row r="8206">
      <c r="A8206" s="4"/>
      <c r="B8206" s="2"/>
      <c r="C8206" s="2"/>
      <c r="D8206" s="2"/>
      <c r="E8206" s="2"/>
      <c r="F8206" s="2"/>
      <c r="G8206" s="2"/>
      <c r="H8206" s="2"/>
      <c r="I8206" s="2"/>
      <c r="J8206" s="2"/>
      <c r="K8206" s="2"/>
      <c r="L8206" s="2"/>
      <c r="M8206" s="2"/>
      <c r="N8206" s="29"/>
      <c r="O8206" s="29"/>
    </row>
    <row r="8207">
      <c r="A8207" s="4"/>
      <c r="B8207" s="2"/>
      <c r="C8207" s="2"/>
      <c r="D8207" s="2"/>
      <c r="E8207" s="2"/>
      <c r="F8207" s="2"/>
      <c r="G8207" s="2"/>
      <c r="H8207" s="2"/>
      <c r="I8207" s="2"/>
      <c r="J8207" s="2"/>
      <c r="K8207" s="2"/>
      <c r="L8207" s="2"/>
      <c r="M8207" s="2"/>
      <c r="N8207" s="29"/>
      <c r="O8207" s="29"/>
    </row>
    <row r="8208">
      <c r="A8208" s="4"/>
      <c r="B8208" s="2"/>
      <c r="C8208" s="2"/>
      <c r="D8208" s="2"/>
      <c r="E8208" s="2"/>
      <c r="F8208" s="2"/>
      <c r="G8208" s="2"/>
      <c r="H8208" s="2"/>
      <c r="I8208" s="2"/>
      <c r="J8208" s="2"/>
      <c r="K8208" s="2"/>
      <c r="L8208" s="2"/>
      <c r="M8208" s="2"/>
      <c r="N8208" s="29"/>
      <c r="O8208" s="29"/>
    </row>
    <row r="8209">
      <c r="A8209" s="4"/>
      <c r="B8209" s="2"/>
      <c r="C8209" s="2"/>
      <c r="D8209" s="2"/>
      <c r="E8209" s="2"/>
      <c r="F8209" s="2"/>
      <c r="G8209" s="2"/>
      <c r="H8209" s="2"/>
      <c r="I8209" s="2"/>
      <c r="J8209" s="2"/>
      <c r="K8209" s="2"/>
      <c r="L8209" s="2"/>
      <c r="M8209" s="2"/>
      <c r="N8209" s="29"/>
      <c r="O8209" s="29"/>
    </row>
    <row r="8210">
      <c r="A8210" s="4"/>
      <c r="B8210" s="2"/>
      <c r="C8210" s="2"/>
      <c r="D8210" s="2"/>
      <c r="E8210" s="2"/>
      <c r="F8210" s="2"/>
      <c r="G8210" s="2"/>
      <c r="H8210" s="2"/>
      <c r="I8210" s="2"/>
      <c r="J8210" s="2"/>
      <c r="K8210" s="2"/>
      <c r="L8210" s="2"/>
      <c r="M8210" s="2"/>
      <c r="N8210" s="29"/>
      <c r="O8210" s="29"/>
    </row>
    <row r="8211">
      <c r="A8211" s="4"/>
      <c r="B8211" s="2"/>
      <c r="C8211" s="2"/>
      <c r="D8211" s="2"/>
      <c r="E8211" s="2"/>
      <c r="F8211" s="2"/>
      <c r="G8211" s="2"/>
      <c r="H8211" s="2"/>
      <c r="I8211" s="2"/>
      <c r="J8211" s="2"/>
      <c r="K8211" s="2"/>
      <c r="L8211" s="2"/>
      <c r="M8211" s="2"/>
      <c r="N8211" s="29"/>
      <c r="O8211" s="29"/>
    </row>
    <row r="8212">
      <c r="A8212" s="4"/>
      <c r="B8212" s="2"/>
      <c r="C8212" s="2"/>
      <c r="D8212" s="2"/>
      <c r="E8212" s="2"/>
      <c r="F8212" s="2"/>
      <c r="G8212" s="2"/>
      <c r="H8212" s="2"/>
      <c r="I8212" s="2"/>
      <c r="J8212" s="2"/>
      <c r="K8212" s="2"/>
      <c r="L8212" s="2"/>
      <c r="M8212" s="2"/>
      <c r="N8212" s="29"/>
      <c r="O8212" s="29"/>
    </row>
    <row r="8213">
      <c r="A8213" s="4"/>
      <c r="B8213" s="2"/>
      <c r="C8213" s="2"/>
      <c r="D8213" s="2"/>
      <c r="E8213" s="2"/>
      <c r="F8213" s="2"/>
      <c r="G8213" s="2"/>
      <c r="H8213" s="2"/>
      <c r="I8213" s="2"/>
      <c r="J8213" s="2"/>
      <c r="K8213" s="2"/>
      <c r="L8213" s="2"/>
      <c r="M8213" s="2"/>
      <c r="N8213" s="29"/>
      <c r="O8213" s="29"/>
    </row>
    <row r="8214">
      <c r="A8214" s="4"/>
      <c r="B8214" s="2"/>
      <c r="C8214" s="2"/>
      <c r="D8214" s="2"/>
      <c r="E8214" s="2"/>
      <c r="F8214" s="2"/>
      <c r="G8214" s="2"/>
      <c r="H8214" s="2"/>
      <c r="I8214" s="2"/>
      <c r="J8214" s="2"/>
      <c r="K8214" s="2"/>
      <c r="L8214" s="2"/>
      <c r="M8214" s="2"/>
      <c r="N8214" s="29"/>
      <c r="O8214" s="29"/>
    </row>
    <row r="8215">
      <c r="A8215" s="4"/>
      <c r="B8215" s="2"/>
      <c r="C8215" s="2"/>
      <c r="D8215" s="2"/>
      <c r="E8215" s="2"/>
      <c r="F8215" s="2"/>
      <c r="G8215" s="2"/>
      <c r="H8215" s="2"/>
      <c r="I8215" s="2"/>
      <c r="J8215" s="2"/>
      <c r="K8215" s="2"/>
      <c r="L8215" s="2"/>
      <c r="M8215" s="2"/>
      <c r="N8215" s="29"/>
      <c r="O8215" s="29"/>
    </row>
    <row r="8216">
      <c r="A8216" s="4"/>
      <c r="B8216" s="2"/>
      <c r="C8216" s="2"/>
      <c r="D8216" s="2"/>
      <c r="E8216" s="2"/>
      <c r="F8216" s="2"/>
      <c r="G8216" s="2"/>
      <c r="H8216" s="2"/>
      <c r="I8216" s="2"/>
      <c r="J8216" s="2"/>
      <c r="K8216" s="2"/>
      <c r="L8216" s="2"/>
      <c r="M8216" s="2"/>
      <c r="N8216" s="29"/>
      <c r="O8216" s="29"/>
    </row>
    <row r="8217">
      <c r="A8217" s="4"/>
      <c r="B8217" s="2"/>
      <c r="C8217" s="2"/>
      <c r="D8217" s="2"/>
      <c r="E8217" s="2"/>
      <c r="F8217" s="2"/>
      <c r="G8217" s="2"/>
      <c r="H8217" s="2"/>
      <c r="I8217" s="2"/>
      <c r="J8217" s="2"/>
      <c r="K8217" s="2"/>
      <c r="L8217" s="2"/>
      <c r="M8217" s="2"/>
      <c r="N8217" s="29"/>
      <c r="O8217" s="29"/>
    </row>
    <row r="8218">
      <c r="A8218" s="4"/>
      <c r="B8218" s="2"/>
      <c r="C8218" s="2"/>
      <c r="D8218" s="2"/>
      <c r="E8218" s="2"/>
      <c r="F8218" s="2"/>
      <c r="G8218" s="2"/>
      <c r="H8218" s="2"/>
      <c r="I8218" s="2"/>
      <c r="J8218" s="2"/>
      <c r="K8218" s="2"/>
      <c r="L8218" s="2"/>
      <c r="M8218" s="2"/>
      <c r="N8218" s="29"/>
      <c r="O8218" s="29"/>
    </row>
    <row r="8219">
      <c r="A8219" s="4"/>
      <c r="B8219" s="2"/>
      <c r="C8219" s="2"/>
      <c r="D8219" s="2"/>
      <c r="E8219" s="2"/>
      <c r="F8219" s="2"/>
      <c r="G8219" s="2"/>
      <c r="H8219" s="2"/>
      <c r="I8219" s="2"/>
      <c r="J8219" s="2"/>
      <c r="K8219" s="2"/>
      <c r="L8219" s="2"/>
      <c r="M8219" s="2"/>
      <c r="N8219" s="29"/>
      <c r="O8219" s="29"/>
    </row>
    <row r="8220">
      <c r="A8220" s="4"/>
      <c r="B8220" s="2"/>
      <c r="C8220" s="2"/>
      <c r="D8220" s="2"/>
      <c r="E8220" s="2"/>
      <c r="F8220" s="2"/>
      <c r="G8220" s="2"/>
      <c r="H8220" s="2"/>
      <c r="I8220" s="2"/>
      <c r="J8220" s="2"/>
      <c r="K8220" s="2"/>
      <c r="L8220" s="2"/>
      <c r="M8220" s="2"/>
      <c r="N8220" s="29"/>
      <c r="O8220" s="29"/>
    </row>
    <row r="8221">
      <c r="A8221" s="4"/>
      <c r="B8221" s="2"/>
      <c r="C8221" s="2"/>
      <c r="D8221" s="2"/>
      <c r="E8221" s="2"/>
      <c r="F8221" s="2"/>
      <c r="G8221" s="2"/>
      <c r="H8221" s="2"/>
      <c r="I8221" s="2"/>
      <c r="J8221" s="2"/>
      <c r="K8221" s="2"/>
      <c r="L8221" s="2"/>
      <c r="M8221" s="2"/>
      <c r="N8221" s="29"/>
      <c r="O8221" s="29"/>
    </row>
    <row r="8222">
      <c r="A8222" s="4"/>
      <c r="B8222" s="2"/>
      <c r="C8222" s="2"/>
      <c r="D8222" s="2"/>
      <c r="E8222" s="2"/>
      <c r="F8222" s="2"/>
      <c r="G8222" s="2"/>
      <c r="H8222" s="2"/>
      <c r="I8222" s="2"/>
      <c r="J8222" s="2"/>
      <c r="K8222" s="2"/>
      <c r="L8222" s="2"/>
      <c r="M8222" s="2"/>
      <c r="N8222" s="29"/>
      <c r="O8222" s="29"/>
    </row>
    <row r="8223">
      <c r="A8223" s="4"/>
      <c r="B8223" s="2"/>
      <c r="C8223" s="2"/>
      <c r="D8223" s="2"/>
      <c r="E8223" s="2"/>
      <c r="F8223" s="2"/>
      <c r="G8223" s="2"/>
      <c r="H8223" s="2"/>
      <c r="I8223" s="2"/>
      <c r="J8223" s="2"/>
      <c r="K8223" s="2"/>
      <c r="L8223" s="2"/>
      <c r="M8223" s="2"/>
      <c r="N8223" s="29"/>
      <c r="O8223" s="29"/>
    </row>
    <row r="8224">
      <c r="A8224" s="4"/>
      <c r="B8224" s="2"/>
      <c r="C8224" s="2"/>
      <c r="D8224" s="2"/>
      <c r="E8224" s="2"/>
      <c r="F8224" s="2"/>
      <c r="G8224" s="2"/>
      <c r="H8224" s="2"/>
      <c r="I8224" s="2"/>
      <c r="J8224" s="2"/>
      <c r="K8224" s="2"/>
      <c r="L8224" s="2"/>
      <c r="M8224" s="2"/>
      <c r="N8224" s="29"/>
      <c r="O8224" s="29"/>
    </row>
    <row r="8225">
      <c r="A8225" s="4"/>
      <c r="B8225" s="2"/>
      <c r="C8225" s="2"/>
      <c r="D8225" s="2"/>
      <c r="E8225" s="2"/>
      <c r="F8225" s="2"/>
      <c r="G8225" s="2"/>
      <c r="H8225" s="2"/>
      <c r="I8225" s="2"/>
      <c r="J8225" s="2"/>
      <c r="K8225" s="2"/>
      <c r="L8225" s="2"/>
      <c r="M8225" s="2"/>
      <c r="N8225" s="29"/>
      <c r="O8225" s="29"/>
    </row>
    <row r="8226">
      <c r="A8226" s="4"/>
      <c r="B8226" s="2"/>
      <c r="C8226" s="2"/>
      <c r="D8226" s="2"/>
      <c r="E8226" s="2"/>
      <c r="F8226" s="2"/>
      <c r="G8226" s="2"/>
      <c r="H8226" s="2"/>
      <c r="I8226" s="2"/>
      <c r="J8226" s="2"/>
      <c r="K8226" s="2"/>
      <c r="L8226" s="2"/>
      <c r="M8226" s="2"/>
      <c r="N8226" s="29"/>
      <c r="O8226" s="29"/>
    </row>
    <row r="8227">
      <c r="A8227" s="4"/>
      <c r="B8227" s="2"/>
      <c r="C8227" s="2"/>
      <c r="D8227" s="2"/>
      <c r="E8227" s="2"/>
      <c r="F8227" s="2"/>
      <c r="G8227" s="2"/>
      <c r="H8227" s="2"/>
      <c r="I8227" s="2"/>
      <c r="J8227" s="2"/>
      <c r="K8227" s="2"/>
      <c r="L8227" s="2"/>
      <c r="M8227" s="2"/>
      <c r="N8227" s="29"/>
      <c r="O8227" s="29"/>
    </row>
    <row r="8228">
      <c r="A8228" s="4"/>
      <c r="B8228" s="2"/>
      <c r="C8228" s="2"/>
      <c r="D8228" s="2"/>
      <c r="E8228" s="2"/>
      <c r="F8228" s="2"/>
      <c r="G8228" s="2"/>
      <c r="H8228" s="2"/>
      <c r="I8228" s="2"/>
      <c r="J8228" s="2"/>
      <c r="K8228" s="2"/>
      <c r="L8228" s="2"/>
      <c r="M8228" s="2"/>
      <c r="N8228" s="29"/>
      <c r="O8228" s="29"/>
    </row>
    <row r="8229">
      <c r="A8229" s="4"/>
      <c r="B8229" s="2"/>
      <c r="C8229" s="2"/>
      <c r="D8229" s="2"/>
      <c r="E8229" s="2"/>
      <c r="F8229" s="2"/>
      <c r="G8229" s="2"/>
      <c r="H8229" s="2"/>
      <c r="I8229" s="2"/>
      <c r="J8229" s="2"/>
      <c r="K8229" s="2"/>
      <c r="L8229" s="2"/>
      <c r="M8229" s="2"/>
      <c r="N8229" s="29"/>
      <c r="O8229" s="29"/>
    </row>
    <row r="8230">
      <c r="A8230" s="4"/>
      <c r="B8230" s="2"/>
      <c r="C8230" s="2"/>
      <c r="D8230" s="2"/>
      <c r="E8230" s="2"/>
      <c r="F8230" s="2"/>
      <c r="G8230" s="2"/>
      <c r="H8230" s="2"/>
      <c r="I8230" s="2"/>
      <c r="J8230" s="2"/>
      <c r="K8230" s="2"/>
      <c r="L8230" s="2"/>
      <c r="M8230" s="2"/>
      <c r="N8230" s="29"/>
      <c r="O8230" s="29"/>
    </row>
    <row r="8231">
      <c r="A8231" s="4"/>
      <c r="B8231" s="2"/>
      <c r="C8231" s="2"/>
      <c r="D8231" s="2"/>
      <c r="E8231" s="2"/>
      <c r="F8231" s="2"/>
      <c r="G8231" s="2"/>
      <c r="H8231" s="2"/>
      <c r="I8231" s="2"/>
      <c r="J8231" s="2"/>
      <c r="K8231" s="2"/>
      <c r="L8231" s="2"/>
      <c r="M8231" s="2"/>
      <c r="N8231" s="29"/>
      <c r="O8231" s="29"/>
    </row>
    <row r="8232">
      <c r="A8232" s="4"/>
      <c r="B8232" s="2"/>
      <c r="C8232" s="2"/>
      <c r="D8232" s="2"/>
      <c r="E8232" s="2"/>
      <c r="F8232" s="2"/>
      <c r="G8232" s="2"/>
      <c r="H8232" s="2"/>
      <c r="I8232" s="2"/>
      <c r="J8232" s="2"/>
      <c r="K8232" s="2"/>
      <c r="L8232" s="2"/>
      <c r="M8232" s="2"/>
      <c r="N8232" s="29"/>
      <c r="O8232" s="29"/>
    </row>
    <row r="8233">
      <c r="A8233" s="4"/>
      <c r="B8233" s="2"/>
      <c r="C8233" s="2"/>
      <c r="D8233" s="2"/>
      <c r="E8233" s="2"/>
      <c r="F8233" s="2"/>
      <c r="G8233" s="2"/>
      <c r="H8233" s="2"/>
      <c r="I8233" s="2"/>
      <c r="J8233" s="2"/>
      <c r="K8233" s="2"/>
      <c r="L8233" s="2"/>
      <c r="M8233" s="2"/>
      <c r="N8233" s="29"/>
      <c r="O8233" s="29"/>
    </row>
    <row r="8234">
      <c r="A8234" s="4"/>
      <c r="B8234" s="2"/>
      <c r="C8234" s="2"/>
      <c r="D8234" s="2"/>
      <c r="E8234" s="2"/>
      <c r="F8234" s="2"/>
      <c r="G8234" s="2"/>
      <c r="H8234" s="2"/>
      <c r="I8234" s="2"/>
      <c r="J8234" s="2"/>
      <c r="K8234" s="2"/>
      <c r="L8234" s="2"/>
      <c r="M8234" s="2"/>
      <c r="N8234" s="29"/>
      <c r="O8234" s="29"/>
    </row>
    <row r="8235">
      <c r="A8235" s="4"/>
      <c r="B8235" s="2"/>
      <c r="C8235" s="2"/>
      <c r="D8235" s="2"/>
      <c r="E8235" s="2"/>
      <c r="F8235" s="2"/>
      <c r="G8235" s="2"/>
      <c r="H8235" s="2"/>
      <c r="I8235" s="2"/>
      <c r="J8235" s="2"/>
      <c r="K8235" s="2"/>
      <c r="L8235" s="2"/>
      <c r="M8235" s="2"/>
      <c r="N8235" s="29"/>
      <c r="O8235" s="29"/>
    </row>
    <row r="8236">
      <c r="A8236" s="4"/>
      <c r="B8236" s="2"/>
      <c r="C8236" s="2"/>
      <c r="D8236" s="2"/>
      <c r="E8236" s="2"/>
      <c r="F8236" s="2"/>
      <c r="G8236" s="2"/>
      <c r="H8236" s="2"/>
      <c r="I8236" s="2"/>
      <c r="J8236" s="2"/>
      <c r="K8236" s="2"/>
      <c r="L8236" s="2"/>
      <c r="M8236" s="2"/>
      <c r="N8236" s="29"/>
      <c r="O8236" s="29"/>
    </row>
    <row r="8237">
      <c r="A8237" s="4"/>
      <c r="B8237" s="2"/>
      <c r="C8237" s="2"/>
      <c r="D8237" s="2"/>
      <c r="E8237" s="2"/>
      <c r="F8237" s="2"/>
      <c r="G8237" s="2"/>
      <c r="H8237" s="2"/>
      <c r="I8237" s="2"/>
      <c r="J8237" s="2"/>
      <c r="K8237" s="2"/>
      <c r="L8237" s="2"/>
      <c r="M8237" s="2"/>
      <c r="N8237" s="29"/>
      <c r="O8237" s="29"/>
    </row>
    <row r="8238">
      <c r="A8238" s="4"/>
      <c r="B8238" s="2"/>
      <c r="C8238" s="2"/>
      <c r="D8238" s="2"/>
      <c r="E8238" s="2"/>
      <c r="F8238" s="2"/>
      <c r="G8238" s="2"/>
      <c r="H8238" s="2"/>
      <c r="I8238" s="2"/>
      <c r="J8238" s="2"/>
      <c r="K8238" s="2"/>
      <c r="L8238" s="2"/>
      <c r="M8238" s="2"/>
      <c r="N8238" s="29"/>
      <c r="O8238" s="29"/>
    </row>
    <row r="8239">
      <c r="A8239" s="4"/>
      <c r="B8239" s="2"/>
      <c r="C8239" s="2"/>
      <c r="D8239" s="2"/>
      <c r="E8239" s="2"/>
      <c r="F8239" s="2"/>
      <c r="G8239" s="2"/>
      <c r="H8239" s="2"/>
      <c r="I8239" s="2"/>
      <c r="J8239" s="2"/>
      <c r="K8239" s="2"/>
      <c r="L8239" s="2"/>
      <c r="M8239" s="2"/>
      <c r="N8239" s="29"/>
      <c r="O8239" s="29"/>
    </row>
    <row r="8240">
      <c r="A8240" s="4"/>
      <c r="B8240" s="2"/>
      <c r="C8240" s="2"/>
      <c r="D8240" s="2"/>
      <c r="E8240" s="2"/>
      <c r="F8240" s="2"/>
      <c r="G8240" s="2"/>
      <c r="H8240" s="2"/>
      <c r="I8240" s="2"/>
      <c r="J8240" s="2"/>
      <c r="K8240" s="2"/>
      <c r="L8240" s="2"/>
      <c r="M8240" s="2"/>
      <c r="N8240" s="29"/>
      <c r="O8240" s="29"/>
    </row>
    <row r="8241">
      <c r="A8241" s="4"/>
      <c r="B8241" s="2"/>
      <c r="C8241" s="2"/>
      <c r="D8241" s="2"/>
      <c r="E8241" s="2"/>
      <c r="F8241" s="2"/>
      <c r="G8241" s="2"/>
      <c r="H8241" s="2"/>
      <c r="I8241" s="2"/>
      <c r="J8241" s="2"/>
      <c r="K8241" s="2"/>
      <c r="L8241" s="2"/>
      <c r="M8241" s="2"/>
      <c r="N8241" s="29"/>
      <c r="O8241" s="29"/>
    </row>
    <row r="8242">
      <c r="A8242" s="4"/>
      <c r="B8242" s="2"/>
      <c r="C8242" s="2"/>
      <c r="D8242" s="2"/>
      <c r="E8242" s="2"/>
      <c r="F8242" s="2"/>
      <c r="G8242" s="2"/>
      <c r="H8242" s="2"/>
      <c r="I8242" s="2"/>
      <c r="J8242" s="2"/>
      <c r="K8242" s="2"/>
      <c r="L8242" s="2"/>
      <c r="M8242" s="2"/>
      <c r="N8242" s="29"/>
      <c r="O8242" s="29"/>
    </row>
    <row r="8243">
      <c r="A8243" s="4"/>
      <c r="B8243" s="2"/>
      <c r="C8243" s="2"/>
      <c r="D8243" s="2"/>
      <c r="E8243" s="2"/>
      <c r="F8243" s="2"/>
      <c r="G8243" s="2"/>
      <c r="H8243" s="2"/>
      <c r="I8243" s="2"/>
      <c r="J8243" s="2"/>
      <c r="K8243" s="2"/>
      <c r="L8243" s="2"/>
      <c r="M8243" s="2"/>
      <c r="N8243" s="29"/>
      <c r="O8243" s="29"/>
    </row>
    <row r="8244">
      <c r="A8244" s="4"/>
      <c r="B8244" s="2"/>
      <c r="C8244" s="2"/>
      <c r="D8244" s="2"/>
      <c r="E8244" s="2"/>
      <c r="F8244" s="2"/>
      <c r="G8244" s="2"/>
      <c r="H8244" s="2"/>
      <c r="I8244" s="2"/>
      <c r="J8244" s="2"/>
      <c r="K8244" s="2"/>
      <c r="L8244" s="2"/>
      <c r="M8244" s="2"/>
      <c r="N8244" s="29"/>
      <c r="O8244" s="29"/>
    </row>
    <row r="8245">
      <c r="A8245" s="4"/>
      <c r="B8245" s="2"/>
      <c r="C8245" s="2"/>
      <c r="D8245" s="2"/>
      <c r="E8245" s="2"/>
      <c r="F8245" s="2"/>
      <c r="G8245" s="2"/>
      <c r="H8245" s="2"/>
      <c r="I8245" s="2"/>
      <c r="J8245" s="2"/>
      <c r="K8245" s="2"/>
      <c r="L8245" s="2"/>
      <c r="M8245" s="2"/>
      <c r="N8245" s="29"/>
      <c r="O8245" s="29"/>
    </row>
    <row r="8246">
      <c r="A8246" s="4"/>
      <c r="B8246" s="2"/>
      <c r="C8246" s="2"/>
      <c r="D8246" s="2"/>
      <c r="E8246" s="2"/>
      <c r="F8246" s="2"/>
      <c r="G8246" s="2"/>
      <c r="H8246" s="2"/>
      <c r="I8246" s="2"/>
      <c r="J8246" s="2"/>
      <c r="K8246" s="2"/>
      <c r="L8246" s="2"/>
      <c r="M8246" s="2"/>
      <c r="N8246" s="29"/>
      <c r="O8246" s="29"/>
    </row>
    <row r="8247">
      <c r="A8247" s="4"/>
      <c r="B8247" s="2"/>
      <c r="C8247" s="2"/>
      <c r="D8247" s="2"/>
      <c r="E8247" s="2"/>
      <c r="F8247" s="2"/>
      <c r="G8247" s="2"/>
      <c r="H8247" s="2"/>
      <c r="I8247" s="2"/>
      <c r="J8247" s="2"/>
      <c r="K8247" s="2"/>
      <c r="L8247" s="2"/>
      <c r="M8247" s="2"/>
      <c r="N8247" s="29"/>
      <c r="O8247" s="29"/>
    </row>
    <row r="8248">
      <c r="A8248" s="4"/>
      <c r="B8248" s="2"/>
      <c r="C8248" s="2"/>
      <c r="D8248" s="2"/>
      <c r="E8248" s="2"/>
      <c r="F8248" s="2"/>
      <c r="G8248" s="2"/>
      <c r="H8248" s="2"/>
      <c r="I8248" s="2"/>
      <c r="J8248" s="2"/>
      <c r="K8248" s="2"/>
      <c r="L8248" s="2"/>
      <c r="M8248" s="2"/>
      <c r="N8248" s="29"/>
      <c r="O8248" s="29"/>
    </row>
    <row r="8249">
      <c r="A8249" s="4"/>
      <c r="B8249" s="2"/>
      <c r="C8249" s="2"/>
      <c r="D8249" s="2"/>
      <c r="E8249" s="2"/>
      <c r="F8249" s="2"/>
      <c r="G8249" s="2"/>
      <c r="H8249" s="2"/>
      <c r="I8249" s="2"/>
      <c r="J8249" s="2"/>
      <c r="K8249" s="2"/>
      <c r="L8249" s="2"/>
      <c r="M8249" s="2"/>
      <c r="N8249" s="29"/>
      <c r="O8249" s="29"/>
    </row>
    <row r="8250">
      <c r="A8250" s="4"/>
      <c r="B8250" s="2"/>
      <c r="C8250" s="2"/>
      <c r="D8250" s="2"/>
      <c r="E8250" s="2"/>
      <c r="F8250" s="2"/>
      <c r="G8250" s="2"/>
      <c r="H8250" s="2"/>
      <c r="I8250" s="2"/>
      <c r="J8250" s="2"/>
      <c r="K8250" s="2"/>
      <c r="L8250" s="2"/>
      <c r="M8250" s="2"/>
      <c r="N8250" s="29"/>
      <c r="O8250" s="29"/>
    </row>
    <row r="8251">
      <c r="A8251" s="4"/>
      <c r="B8251" s="2"/>
      <c r="C8251" s="2"/>
      <c r="D8251" s="2"/>
      <c r="E8251" s="2"/>
      <c r="F8251" s="2"/>
      <c r="G8251" s="2"/>
      <c r="H8251" s="2"/>
      <c r="I8251" s="2"/>
      <c r="J8251" s="2"/>
      <c r="K8251" s="2"/>
      <c r="L8251" s="2"/>
      <c r="M8251" s="2"/>
      <c r="N8251" s="29"/>
      <c r="O8251" s="29"/>
    </row>
    <row r="8252">
      <c r="A8252" s="4"/>
      <c r="B8252" s="2"/>
      <c r="C8252" s="2"/>
      <c r="D8252" s="2"/>
      <c r="E8252" s="2"/>
      <c r="F8252" s="2"/>
      <c r="G8252" s="2"/>
      <c r="H8252" s="2"/>
      <c r="I8252" s="2"/>
      <c r="J8252" s="2"/>
      <c r="K8252" s="2"/>
      <c r="L8252" s="2"/>
      <c r="M8252" s="2"/>
      <c r="N8252" s="29"/>
      <c r="O8252" s="29"/>
    </row>
    <row r="8253">
      <c r="A8253" s="4"/>
      <c r="B8253" s="2"/>
      <c r="C8253" s="2"/>
      <c r="D8253" s="2"/>
      <c r="E8253" s="2"/>
      <c r="F8253" s="2"/>
      <c r="G8253" s="2"/>
      <c r="H8253" s="2"/>
      <c r="I8253" s="2"/>
      <c r="J8253" s="2"/>
      <c r="K8253" s="2"/>
      <c r="L8253" s="2"/>
      <c r="M8253" s="2"/>
      <c r="N8253" s="29"/>
      <c r="O8253" s="29"/>
    </row>
    <row r="8254">
      <c r="A8254" s="4"/>
      <c r="B8254" s="2"/>
      <c r="C8254" s="2"/>
      <c r="D8254" s="2"/>
      <c r="E8254" s="2"/>
      <c r="F8254" s="2"/>
      <c r="G8254" s="2"/>
      <c r="H8254" s="2"/>
      <c r="I8254" s="2"/>
      <c r="J8254" s="2"/>
      <c r="K8254" s="2"/>
      <c r="L8254" s="2"/>
      <c r="M8254" s="2"/>
      <c r="N8254" s="29"/>
      <c r="O8254" s="29"/>
    </row>
    <row r="8255">
      <c r="A8255" s="4"/>
      <c r="B8255" s="2"/>
      <c r="C8255" s="2"/>
      <c r="D8255" s="2"/>
      <c r="E8255" s="2"/>
      <c r="F8255" s="2"/>
      <c r="G8255" s="2"/>
      <c r="H8255" s="2"/>
      <c r="I8255" s="2"/>
      <c r="J8255" s="2"/>
      <c r="K8255" s="2"/>
      <c r="L8255" s="2"/>
      <c r="M8255" s="2"/>
      <c r="N8255" s="29"/>
      <c r="O8255" s="29"/>
    </row>
    <row r="8256">
      <c r="A8256" s="4"/>
      <c r="B8256" s="2"/>
      <c r="C8256" s="2"/>
      <c r="D8256" s="2"/>
      <c r="E8256" s="2"/>
      <c r="F8256" s="2"/>
      <c r="G8256" s="2"/>
      <c r="H8256" s="2"/>
      <c r="I8256" s="2"/>
      <c r="J8256" s="2"/>
      <c r="K8256" s="2"/>
      <c r="L8256" s="2"/>
      <c r="M8256" s="2"/>
      <c r="N8256" s="29"/>
      <c r="O8256" s="29"/>
    </row>
    <row r="8257">
      <c r="A8257" s="4"/>
      <c r="B8257" s="2"/>
      <c r="C8257" s="2"/>
      <c r="D8257" s="2"/>
      <c r="E8257" s="2"/>
      <c r="F8257" s="2"/>
      <c r="G8257" s="2"/>
      <c r="H8257" s="2"/>
      <c r="I8257" s="2"/>
      <c r="J8257" s="2"/>
      <c r="K8257" s="2"/>
      <c r="L8257" s="2"/>
      <c r="M8257" s="2"/>
      <c r="N8257" s="29"/>
      <c r="O8257" s="29"/>
    </row>
    <row r="8258">
      <c r="A8258" s="4"/>
      <c r="B8258" s="2"/>
      <c r="C8258" s="2"/>
      <c r="D8258" s="2"/>
      <c r="E8258" s="2"/>
      <c r="F8258" s="2"/>
      <c r="G8258" s="2"/>
      <c r="H8258" s="2"/>
      <c r="I8258" s="2"/>
      <c r="J8258" s="2"/>
      <c r="K8258" s="2"/>
      <c r="L8258" s="2"/>
      <c r="M8258" s="2"/>
      <c r="N8258" s="29"/>
      <c r="O8258" s="29"/>
    </row>
    <row r="8259">
      <c r="A8259" s="4"/>
      <c r="B8259" s="2"/>
      <c r="C8259" s="2"/>
      <c r="D8259" s="2"/>
      <c r="E8259" s="2"/>
      <c r="F8259" s="2"/>
      <c r="G8259" s="2"/>
      <c r="H8259" s="2"/>
      <c r="I8259" s="2"/>
      <c r="J8259" s="2"/>
      <c r="K8259" s="2"/>
      <c r="L8259" s="2"/>
      <c r="M8259" s="2"/>
      <c r="N8259" s="29"/>
      <c r="O8259" s="29"/>
    </row>
    <row r="8260">
      <c r="A8260" s="4"/>
      <c r="B8260" s="2"/>
      <c r="C8260" s="2"/>
      <c r="D8260" s="2"/>
      <c r="E8260" s="2"/>
      <c r="F8260" s="2"/>
      <c r="G8260" s="2"/>
      <c r="H8260" s="2"/>
      <c r="I8260" s="2"/>
      <c r="J8260" s="2"/>
      <c r="K8260" s="2"/>
      <c r="L8260" s="2"/>
      <c r="M8260" s="2"/>
      <c r="N8260" s="29"/>
      <c r="O8260" s="29"/>
    </row>
    <row r="8261">
      <c r="A8261" s="4"/>
      <c r="B8261" s="2"/>
      <c r="C8261" s="2"/>
      <c r="D8261" s="2"/>
      <c r="E8261" s="2"/>
      <c r="F8261" s="2"/>
      <c r="G8261" s="2"/>
      <c r="H8261" s="2"/>
      <c r="I8261" s="2"/>
      <c r="J8261" s="2"/>
      <c r="K8261" s="2"/>
      <c r="L8261" s="2"/>
      <c r="M8261" s="2"/>
      <c r="N8261" s="29"/>
      <c r="O8261" s="29"/>
    </row>
    <row r="8262">
      <c r="A8262" s="4"/>
      <c r="B8262" s="2"/>
      <c r="C8262" s="2"/>
      <c r="D8262" s="2"/>
      <c r="E8262" s="2"/>
      <c r="F8262" s="2"/>
      <c r="G8262" s="2"/>
      <c r="H8262" s="2"/>
      <c r="I8262" s="2"/>
      <c r="J8262" s="2"/>
      <c r="K8262" s="2"/>
      <c r="L8262" s="2"/>
      <c r="M8262" s="2"/>
      <c r="N8262" s="29"/>
      <c r="O8262" s="29"/>
    </row>
    <row r="8263">
      <c r="A8263" s="4"/>
      <c r="B8263" s="2"/>
      <c r="C8263" s="2"/>
      <c r="D8263" s="2"/>
      <c r="E8263" s="2"/>
      <c r="F8263" s="2"/>
      <c r="G8263" s="2"/>
      <c r="H8263" s="2"/>
      <c r="I8263" s="2"/>
      <c r="J8263" s="2"/>
      <c r="K8263" s="2"/>
      <c r="L8263" s="2"/>
      <c r="M8263" s="2"/>
      <c r="N8263" s="29"/>
      <c r="O8263" s="29"/>
    </row>
    <row r="8264">
      <c r="A8264" s="4"/>
      <c r="B8264" s="2"/>
      <c r="C8264" s="2"/>
      <c r="D8264" s="2"/>
      <c r="E8264" s="2"/>
      <c r="F8264" s="2"/>
      <c r="G8264" s="2"/>
      <c r="H8264" s="2"/>
      <c r="I8264" s="2"/>
      <c r="J8264" s="2"/>
      <c r="K8264" s="2"/>
      <c r="L8264" s="2"/>
      <c r="M8264" s="2"/>
      <c r="N8264" s="29"/>
      <c r="O8264" s="29"/>
    </row>
    <row r="8265">
      <c r="A8265" s="4"/>
      <c r="B8265" s="2"/>
      <c r="C8265" s="2"/>
      <c r="D8265" s="2"/>
      <c r="E8265" s="2"/>
      <c r="F8265" s="2"/>
      <c r="G8265" s="2"/>
      <c r="H8265" s="2"/>
      <c r="I8265" s="2"/>
      <c r="J8265" s="2"/>
      <c r="K8265" s="2"/>
      <c r="L8265" s="2"/>
      <c r="M8265" s="2"/>
      <c r="N8265" s="29"/>
      <c r="O8265" s="29"/>
    </row>
    <row r="8266">
      <c r="A8266" s="4"/>
      <c r="B8266" s="2"/>
      <c r="C8266" s="2"/>
      <c r="D8266" s="2"/>
      <c r="E8266" s="2"/>
      <c r="F8266" s="2"/>
      <c r="G8266" s="2"/>
      <c r="H8266" s="2"/>
      <c r="I8266" s="2"/>
      <c r="J8266" s="2"/>
      <c r="K8266" s="2"/>
      <c r="L8266" s="2"/>
      <c r="M8266" s="2"/>
      <c r="N8266" s="29"/>
      <c r="O8266" s="29"/>
    </row>
    <row r="8267">
      <c r="A8267" s="4"/>
      <c r="B8267" s="2"/>
      <c r="C8267" s="2"/>
      <c r="D8267" s="2"/>
      <c r="E8267" s="2"/>
      <c r="F8267" s="2"/>
      <c r="G8267" s="2"/>
      <c r="H8267" s="2"/>
      <c r="I8267" s="2"/>
      <c r="J8267" s="2"/>
      <c r="K8267" s="2"/>
      <c r="L8267" s="2"/>
      <c r="M8267" s="2"/>
      <c r="N8267" s="29"/>
      <c r="O8267" s="29"/>
    </row>
    <row r="8268">
      <c r="A8268" s="4"/>
      <c r="B8268" s="2"/>
      <c r="C8268" s="2"/>
      <c r="D8268" s="2"/>
      <c r="E8268" s="2"/>
      <c r="F8268" s="2"/>
      <c r="G8268" s="2"/>
      <c r="H8268" s="2"/>
      <c r="I8268" s="2"/>
      <c r="J8268" s="2"/>
      <c r="K8268" s="2"/>
      <c r="L8268" s="2"/>
      <c r="M8268" s="2"/>
      <c r="N8268" s="29"/>
      <c r="O8268" s="29"/>
    </row>
    <row r="8269">
      <c r="A8269" s="4"/>
      <c r="B8269" s="2"/>
      <c r="C8269" s="2"/>
      <c r="D8269" s="2"/>
      <c r="E8269" s="2"/>
      <c r="F8269" s="2"/>
      <c r="G8269" s="2"/>
      <c r="H8269" s="2"/>
      <c r="I8269" s="2"/>
      <c r="J8269" s="2"/>
      <c r="K8269" s="2"/>
      <c r="L8269" s="2"/>
      <c r="M8269" s="2"/>
      <c r="N8269" s="29"/>
      <c r="O8269" s="29"/>
    </row>
    <row r="8270">
      <c r="A8270" s="4"/>
      <c r="B8270" s="2"/>
      <c r="C8270" s="2"/>
      <c r="D8270" s="2"/>
      <c r="E8270" s="2"/>
      <c r="F8270" s="2"/>
      <c r="G8270" s="2"/>
      <c r="H8270" s="2"/>
      <c r="I8270" s="2"/>
      <c r="J8270" s="2"/>
      <c r="K8270" s="2"/>
      <c r="L8270" s="2"/>
      <c r="M8270" s="2"/>
      <c r="N8270" s="29"/>
      <c r="O8270" s="29"/>
    </row>
    <row r="8271">
      <c r="A8271" s="4"/>
      <c r="B8271" s="2"/>
      <c r="C8271" s="2"/>
      <c r="D8271" s="2"/>
      <c r="E8271" s="2"/>
      <c r="F8271" s="2"/>
      <c r="G8271" s="2"/>
      <c r="H8271" s="2"/>
      <c r="I8271" s="2"/>
      <c r="J8271" s="2"/>
      <c r="K8271" s="2"/>
      <c r="L8271" s="2"/>
      <c r="M8271" s="2"/>
      <c r="N8271" s="29"/>
      <c r="O8271" s="29"/>
    </row>
    <row r="8272">
      <c r="A8272" s="4"/>
      <c r="B8272" s="2"/>
      <c r="C8272" s="2"/>
      <c r="D8272" s="2"/>
      <c r="E8272" s="2"/>
      <c r="F8272" s="2"/>
      <c r="G8272" s="2"/>
      <c r="H8272" s="2"/>
      <c r="I8272" s="2"/>
      <c r="J8272" s="2"/>
      <c r="K8272" s="2"/>
      <c r="L8272" s="2"/>
      <c r="M8272" s="2"/>
      <c r="N8272" s="29"/>
      <c r="O8272" s="29"/>
    </row>
    <row r="8273">
      <c r="A8273" s="4"/>
      <c r="B8273" s="2"/>
      <c r="C8273" s="2"/>
      <c r="D8273" s="2"/>
      <c r="E8273" s="2"/>
      <c r="F8273" s="2"/>
      <c r="G8273" s="2"/>
      <c r="H8273" s="2"/>
      <c r="I8273" s="2"/>
      <c r="J8273" s="2"/>
      <c r="K8273" s="2"/>
      <c r="L8273" s="2"/>
      <c r="M8273" s="2"/>
      <c r="N8273" s="29"/>
      <c r="O8273" s="29"/>
    </row>
    <row r="8274">
      <c r="A8274" s="4"/>
      <c r="B8274" s="2"/>
      <c r="C8274" s="2"/>
      <c r="D8274" s="2"/>
      <c r="E8274" s="2"/>
      <c r="F8274" s="2"/>
      <c r="G8274" s="2"/>
      <c r="H8274" s="2"/>
      <c r="I8274" s="2"/>
      <c r="J8274" s="2"/>
      <c r="K8274" s="2"/>
      <c r="L8274" s="2"/>
      <c r="M8274" s="2"/>
      <c r="N8274" s="29"/>
      <c r="O8274" s="29"/>
    </row>
    <row r="8275">
      <c r="A8275" s="4"/>
      <c r="B8275" s="2"/>
      <c r="C8275" s="2"/>
      <c r="D8275" s="2"/>
      <c r="E8275" s="2"/>
      <c r="F8275" s="2"/>
      <c r="G8275" s="2"/>
      <c r="H8275" s="2"/>
      <c r="I8275" s="2"/>
      <c r="J8275" s="2"/>
      <c r="K8275" s="2"/>
      <c r="L8275" s="2"/>
      <c r="M8275" s="2"/>
      <c r="N8275" s="29"/>
      <c r="O8275" s="29"/>
    </row>
    <row r="8276">
      <c r="A8276" s="4"/>
      <c r="B8276" s="2"/>
      <c r="C8276" s="2"/>
      <c r="D8276" s="2"/>
      <c r="E8276" s="2"/>
      <c r="F8276" s="2"/>
      <c r="G8276" s="2"/>
      <c r="H8276" s="2"/>
      <c r="I8276" s="2"/>
      <c r="J8276" s="2"/>
      <c r="K8276" s="2"/>
      <c r="L8276" s="2"/>
      <c r="M8276" s="2"/>
      <c r="N8276" s="29"/>
      <c r="O8276" s="29"/>
    </row>
    <row r="8277">
      <c r="A8277" s="4"/>
      <c r="B8277" s="2"/>
      <c r="C8277" s="2"/>
      <c r="D8277" s="2"/>
      <c r="E8277" s="2"/>
      <c r="F8277" s="2"/>
      <c r="G8277" s="2"/>
      <c r="H8277" s="2"/>
      <c r="I8277" s="2"/>
      <c r="J8277" s="2"/>
      <c r="K8277" s="2"/>
      <c r="L8277" s="2"/>
      <c r="M8277" s="2"/>
      <c r="N8277" s="29"/>
      <c r="O8277" s="29"/>
    </row>
    <row r="8278">
      <c r="A8278" s="4"/>
      <c r="B8278" s="2"/>
      <c r="C8278" s="2"/>
      <c r="D8278" s="2"/>
      <c r="E8278" s="2"/>
      <c r="F8278" s="2"/>
      <c r="G8278" s="2"/>
      <c r="H8278" s="2"/>
      <c r="I8278" s="2"/>
      <c r="J8278" s="2"/>
      <c r="K8278" s="2"/>
      <c r="L8278" s="2"/>
      <c r="M8278" s="2"/>
      <c r="N8278" s="29"/>
      <c r="O8278" s="29"/>
    </row>
    <row r="8279">
      <c r="A8279" s="4"/>
      <c r="B8279" s="2"/>
      <c r="C8279" s="2"/>
      <c r="D8279" s="2"/>
      <c r="E8279" s="2"/>
      <c r="F8279" s="2"/>
      <c r="G8279" s="2"/>
      <c r="H8279" s="2"/>
      <c r="I8279" s="2"/>
      <c r="J8279" s="2"/>
      <c r="K8279" s="2"/>
      <c r="L8279" s="2"/>
      <c r="M8279" s="2"/>
      <c r="N8279" s="29"/>
      <c r="O8279" s="29"/>
    </row>
    <row r="8280">
      <c r="A8280" s="4"/>
      <c r="B8280" s="2"/>
      <c r="C8280" s="2"/>
      <c r="D8280" s="2"/>
      <c r="E8280" s="2"/>
      <c r="F8280" s="2"/>
      <c r="G8280" s="2"/>
      <c r="H8280" s="2"/>
      <c r="I8280" s="2"/>
      <c r="J8280" s="2"/>
      <c r="K8280" s="2"/>
      <c r="L8280" s="2"/>
      <c r="M8280" s="2"/>
      <c r="N8280" s="29"/>
      <c r="O8280" s="29"/>
    </row>
    <row r="8281">
      <c r="A8281" s="4"/>
      <c r="B8281" s="2"/>
      <c r="C8281" s="2"/>
      <c r="D8281" s="2"/>
      <c r="E8281" s="2"/>
      <c r="F8281" s="2"/>
      <c r="G8281" s="2"/>
      <c r="H8281" s="2"/>
      <c r="I8281" s="2"/>
      <c r="J8281" s="2"/>
      <c r="K8281" s="2"/>
      <c r="L8281" s="2"/>
      <c r="M8281" s="2"/>
      <c r="N8281" s="29"/>
      <c r="O8281" s="29"/>
    </row>
    <row r="8282">
      <c r="A8282" s="4"/>
      <c r="B8282" s="2"/>
      <c r="C8282" s="2"/>
      <c r="D8282" s="2"/>
      <c r="E8282" s="2"/>
      <c r="F8282" s="2"/>
      <c r="G8282" s="2"/>
      <c r="H8282" s="2"/>
      <c r="I8282" s="2"/>
      <c r="J8282" s="2"/>
      <c r="K8282" s="2"/>
      <c r="L8282" s="2"/>
      <c r="M8282" s="2"/>
      <c r="N8282" s="29"/>
      <c r="O8282" s="29"/>
    </row>
    <row r="8283">
      <c r="A8283" s="4"/>
      <c r="B8283" s="2"/>
      <c r="C8283" s="2"/>
      <c r="D8283" s="2"/>
      <c r="E8283" s="2"/>
      <c r="F8283" s="2"/>
      <c r="G8283" s="2"/>
      <c r="H8283" s="2"/>
      <c r="I8283" s="2"/>
      <c r="J8283" s="2"/>
      <c r="K8283" s="2"/>
      <c r="L8283" s="2"/>
      <c r="M8283" s="2"/>
      <c r="N8283" s="29"/>
      <c r="O8283" s="29"/>
    </row>
    <row r="8284">
      <c r="A8284" s="4"/>
      <c r="B8284" s="2"/>
      <c r="C8284" s="2"/>
      <c r="D8284" s="2"/>
      <c r="E8284" s="2"/>
      <c r="F8284" s="2"/>
      <c r="G8284" s="2"/>
      <c r="H8284" s="2"/>
      <c r="I8284" s="2"/>
      <c r="J8284" s="2"/>
      <c r="K8284" s="2"/>
      <c r="L8284" s="2"/>
      <c r="M8284" s="2"/>
      <c r="N8284" s="29"/>
      <c r="O8284" s="29"/>
    </row>
    <row r="8285">
      <c r="A8285" s="4"/>
      <c r="B8285" s="2"/>
      <c r="C8285" s="2"/>
      <c r="D8285" s="2"/>
      <c r="E8285" s="2"/>
      <c r="F8285" s="2"/>
      <c r="G8285" s="2"/>
      <c r="H8285" s="2"/>
      <c r="I8285" s="2"/>
      <c r="J8285" s="2"/>
      <c r="K8285" s="2"/>
      <c r="L8285" s="2"/>
      <c r="M8285" s="2"/>
      <c r="N8285" s="29"/>
      <c r="O8285" s="29"/>
    </row>
    <row r="8286">
      <c r="A8286" s="4"/>
      <c r="B8286" s="2"/>
      <c r="C8286" s="2"/>
      <c r="D8286" s="2"/>
      <c r="E8286" s="2"/>
      <c r="F8286" s="2"/>
      <c r="G8286" s="2"/>
      <c r="H8286" s="2"/>
      <c r="I8286" s="2"/>
      <c r="J8286" s="2"/>
      <c r="K8286" s="2"/>
      <c r="L8286" s="2"/>
      <c r="M8286" s="2"/>
      <c r="N8286" s="29"/>
      <c r="O8286" s="29"/>
    </row>
    <row r="8287">
      <c r="A8287" s="4"/>
      <c r="B8287" s="2"/>
      <c r="C8287" s="2"/>
      <c r="D8287" s="2"/>
      <c r="E8287" s="2"/>
      <c r="F8287" s="2"/>
      <c r="G8287" s="2"/>
      <c r="H8287" s="2"/>
      <c r="I8287" s="2"/>
      <c r="J8287" s="2"/>
      <c r="K8287" s="2"/>
      <c r="L8287" s="2"/>
      <c r="M8287" s="2"/>
      <c r="N8287" s="29"/>
      <c r="O8287" s="29"/>
    </row>
    <row r="8288">
      <c r="A8288" s="4"/>
      <c r="B8288" s="2"/>
      <c r="C8288" s="2"/>
      <c r="D8288" s="2"/>
      <c r="E8288" s="2"/>
      <c r="F8288" s="2"/>
      <c r="G8288" s="2"/>
      <c r="H8288" s="2"/>
      <c r="I8288" s="2"/>
      <c r="J8288" s="2"/>
      <c r="K8288" s="2"/>
      <c r="L8288" s="2"/>
      <c r="M8288" s="2"/>
      <c r="N8288" s="29"/>
      <c r="O8288" s="29"/>
    </row>
    <row r="8289">
      <c r="A8289" s="4"/>
      <c r="B8289" s="2"/>
      <c r="C8289" s="2"/>
      <c r="D8289" s="2"/>
      <c r="E8289" s="2"/>
      <c r="F8289" s="2"/>
      <c r="G8289" s="2"/>
      <c r="H8289" s="2"/>
      <c r="I8289" s="2"/>
      <c r="J8289" s="2"/>
      <c r="K8289" s="2"/>
      <c r="L8289" s="2"/>
      <c r="M8289" s="2"/>
      <c r="N8289" s="29"/>
      <c r="O8289" s="29"/>
    </row>
    <row r="8290">
      <c r="A8290" s="4"/>
      <c r="B8290" s="2"/>
      <c r="C8290" s="2"/>
      <c r="D8290" s="2"/>
      <c r="E8290" s="2"/>
      <c r="F8290" s="2"/>
      <c r="G8290" s="2"/>
      <c r="H8290" s="2"/>
      <c r="I8290" s="2"/>
      <c r="J8290" s="2"/>
      <c r="K8290" s="2"/>
      <c r="L8290" s="2"/>
      <c r="M8290" s="2"/>
      <c r="N8290" s="29"/>
      <c r="O8290" s="29"/>
    </row>
    <row r="8291">
      <c r="A8291" s="4"/>
      <c r="B8291" s="2"/>
      <c r="C8291" s="2"/>
      <c r="D8291" s="2"/>
      <c r="E8291" s="2"/>
      <c r="F8291" s="2"/>
      <c r="G8291" s="2"/>
      <c r="H8291" s="2"/>
      <c r="I8291" s="2"/>
      <c r="J8291" s="2"/>
      <c r="K8291" s="2"/>
      <c r="L8291" s="2"/>
      <c r="M8291" s="2"/>
      <c r="N8291" s="29"/>
      <c r="O8291" s="29"/>
    </row>
    <row r="8292">
      <c r="A8292" s="4"/>
      <c r="B8292" s="2"/>
      <c r="C8292" s="2"/>
      <c r="D8292" s="2"/>
      <c r="E8292" s="2"/>
      <c r="F8292" s="2"/>
      <c r="G8292" s="2"/>
      <c r="H8292" s="2"/>
      <c r="I8292" s="2"/>
      <c r="J8292" s="2"/>
      <c r="K8292" s="2"/>
      <c r="L8292" s="2"/>
      <c r="M8292" s="2"/>
      <c r="N8292" s="29"/>
      <c r="O8292" s="29"/>
    </row>
    <row r="8293">
      <c r="A8293" s="4"/>
      <c r="B8293" s="2"/>
      <c r="C8293" s="2"/>
      <c r="D8293" s="2"/>
      <c r="E8293" s="2"/>
      <c r="F8293" s="2"/>
      <c r="G8293" s="2"/>
      <c r="H8293" s="2"/>
      <c r="I8293" s="2"/>
      <c r="J8293" s="2"/>
      <c r="K8293" s="2"/>
      <c r="L8293" s="2"/>
      <c r="M8293" s="2"/>
      <c r="N8293" s="29"/>
      <c r="O8293" s="29"/>
    </row>
    <row r="8294">
      <c r="A8294" s="4"/>
      <c r="B8294" s="2"/>
      <c r="C8294" s="2"/>
      <c r="D8294" s="2"/>
      <c r="E8294" s="2"/>
      <c r="F8294" s="2"/>
      <c r="G8294" s="2"/>
      <c r="H8294" s="2"/>
      <c r="I8294" s="2"/>
      <c r="J8294" s="2"/>
      <c r="K8294" s="2"/>
      <c r="L8294" s="2"/>
      <c r="M8294" s="2"/>
      <c r="N8294" s="29"/>
      <c r="O8294" s="29"/>
    </row>
    <row r="8295">
      <c r="A8295" s="4"/>
      <c r="B8295" s="2"/>
      <c r="C8295" s="2"/>
      <c r="D8295" s="2"/>
      <c r="E8295" s="2"/>
      <c r="F8295" s="2"/>
      <c r="G8295" s="2"/>
      <c r="H8295" s="2"/>
      <c r="I8295" s="2"/>
      <c r="J8295" s="2"/>
      <c r="K8295" s="2"/>
      <c r="L8295" s="2"/>
      <c r="M8295" s="2"/>
      <c r="N8295" s="29"/>
      <c r="O8295" s="29"/>
    </row>
    <row r="8296">
      <c r="A8296" s="4"/>
      <c r="B8296" s="2"/>
      <c r="C8296" s="2"/>
      <c r="D8296" s="2"/>
      <c r="E8296" s="2"/>
      <c r="F8296" s="2"/>
      <c r="G8296" s="2"/>
      <c r="H8296" s="2"/>
      <c r="I8296" s="2"/>
      <c r="J8296" s="2"/>
      <c r="K8296" s="2"/>
      <c r="L8296" s="2"/>
      <c r="M8296" s="2"/>
      <c r="N8296" s="29"/>
      <c r="O8296" s="29"/>
    </row>
    <row r="8297">
      <c r="A8297" s="4"/>
      <c r="B8297" s="2"/>
      <c r="C8297" s="2"/>
      <c r="D8297" s="2"/>
      <c r="E8297" s="2"/>
      <c r="F8297" s="2"/>
      <c r="G8297" s="2"/>
      <c r="H8297" s="2"/>
      <c r="I8297" s="2"/>
      <c r="J8297" s="2"/>
      <c r="K8297" s="2"/>
      <c r="L8297" s="2"/>
      <c r="M8297" s="2"/>
      <c r="N8297" s="29"/>
      <c r="O8297" s="29"/>
    </row>
    <row r="8298">
      <c r="A8298" s="4"/>
      <c r="B8298" s="2"/>
      <c r="C8298" s="2"/>
      <c r="D8298" s="2"/>
      <c r="E8298" s="2"/>
      <c r="F8298" s="2"/>
      <c r="G8298" s="2"/>
      <c r="H8298" s="2"/>
      <c r="I8298" s="2"/>
      <c r="J8298" s="2"/>
      <c r="K8298" s="2"/>
      <c r="L8298" s="2"/>
      <c r="M8298" s="2"/>
      <c r="N8298" s="29"/>
      <c r="O8298" s="29"/>
    </row>
    <row r="8299">
      <c r="A8299" s="4"/>
      <c r="B8299" s="2"/>
      <c r="C8299" s="2"/>
      <c r="D8299" s="2"/>
      <c r="E8299" s="2"/>
      <c r="F8299" s="2"/>
      <c r="G8299" s="2"/>
      <c r="H8299" s="2"/>
      <c r="I8299" s="2"/>
      <c r="J8299" s="2"/>
      <c r="K8299" s="2"/>
      <c r="L8299" s="2"/>
      <c r="M8299" s="2"/>
      <c r="N8299" s="29"/>
      <c r="O8299" s="29"/>
    </row>
    <row r="8300">
      <c r="A8300" s="4"/>
      <c r="B8300" s="2"/>
      <c r="C8300" s="2"/>
      <c r="D8300" s="2"/>
      <c r="E8300" s="2"/>
      <c r="F8300" s="2"/>
      <c r="G8300" s="2"/>
      <c r="H8300" s="2"/>
      <c r="I8300" s="2"/>
      <c r="J8300" s="2"/>
      <c r="K8300" s="2"/>
      <c r="L8300" s="2"/>
      <c r="M8300" s="2"/>
      <c r="N8300" s="29"/>
      <c r="O8300" s="29"/>
    </row>
    <row r="8301">
      <c r="A8301" s="4"/>
      <c r="B8301" s="2"/>
      <c r="C8301" s="2"/>
      <c r="D8301" s="2"/>
      <c r="E8301" s="2"/>
      <c r="F8301" s="2"/>
      <c r="G8301" s="2"/>
      <c r="H8301" s="2"/>
      <c r="I8301" s="2"/>
      <c r="J8301" s="2"/>
      <c r="K8301" s="2"/>
      <c r="L8301" s="2"/>
      <c r="M8301" s="2"/>
      <c r="N8301" s="29"/>
      <c r="O8301" s="29"/>
    </row>
    <row r="8302">
      <c r="A8302" s="4"/>
      <c r="B8302" s="2"/>
      <c r="C8302" s="2"/>
      <c r="D8302" s="2"/>
      <c r="E8302" s="2"/>
      <c r="F8302" s="2"/>
      <c r="G8302" s="2"/>
      <c r="H8302" s="2"/>
      <c r="I8302" s="2"/>
      <c r="J8302" s="2"/>
      <c r="K8302" s="2"/>
      <c r="L8302" s="2"/>
      <c r="M8302" s="2"/>
      <c r="N8302" s="29"/>
      <c r="O8302" s="29"/>
    </row>
    <row r="8303">
      <c r="A8303" s="4"/>
      <c r="B8303" s="2"/>
      <c r="C8303" s="2"/>
      <c r="D8303" s="2"/>
      <c r="E8303" s="2"/>
      <c r="F8303" s="2"/>
      <c r="G8303" s="2"/>
      <c r="H8303" s="2"/>
      <c r="I8303" s="2"/>
      <c r="J8303" s="2"/>
      <c r="K8303" s="2"/>
      <c r="L8303" s="2"/>
      <c r="M8303" s="2"/>
      <c r="N8303" s="29"/>
      <c r="O8303" s="29"/>
    </row>
    <row r="8304">
      <c r="A8304" s="4"/>
      <c r="B8304" s="2"/>
      <c r="C8304" s="2"/>
      <c r="D8304" s="2"/>
      <c r="E8304" s="2"/>
      <c r="F8304" s="2"/>
      <c r="G8304" s="2"/>
      <c r="H8304" s="2"/>
      <c r="I8304" s="2"/>
      <c r="J8304" s="2"/>
      <c r="K8304" s="2"/>
      <c r="L8304" s="2"/>
      <c r="M8304" s="2"/>
      <c r="N8304" s="29"/>
      <c r="O8304" s="29"/>
    </row>
    <row r="8305">
      <c r="A8305" s="4"/>
      <c r="B8305" s="2"/>
      <c r="C8305" s="2"/>
      <c r="D8305" s="2"/>
      <c r="E8305" s="2"/>
      <c r="F8305" s="2"/>
      <c r="G8305" s="2"/>
      <c r="H8305" s="2"/>
      <c r="I8305" s="2"/>
      <c r="J8305" s="2"/>
      <c r="K8305" s="2"/>
      <c r="L8305" s="2"/>
      <c r="M8305" s="2"/>
      <c r="N8305" s="29"/>
      <c r="O8305" s="29"/>
    </row>
    <row r="8306">
      <c r="A8306" s="4"/>
      <c r="B8306" s="2"/>
      <c r="C8306" s="2"/>
      <c r="D8306" s="2"/>
      <c r="E8306" s="2"/>
      <c r="F8306" s="2"/>
      <c r="G8306" s="2"/>
      <c r="H8306" s="2"/>
      <c r="I8306" s="2"/>
      <c r="J8306" s="2"/>
      <c r="K8306" s="2"/>
      <c r="L8306" s="2"/>
      <c r="M8306" s="2"/>
      <c r="N8306" s="29"/>
      <c r="O8306" s="29"/>
    </row>
    <row r="8307">
      <c r="A8307" s="4"/>
      <c r="B8307" s="2"/>
      <c r="C8307" s="2"/>
      <c r="D8307" s="2"/>
      <c r="E8307" s="2"/>
      <c r="F8307" s="2"/>
      <c r="G8307" s="2"/>
      <c r="H8307" s="2"/>
      <c r="I8307" s="2"/>
      <c r="J8307" s="2"/>
      <c r="K8307" s="2"/>
      <c r="L8307" s="2"/>
      <c r="M8307" s="2"/>
      <c r="N8307" s="29"/>
      <c r="O8307" s="29"/>
    </row>
    <row r="8308">
      <c r="A8308" s="4"/>
      <c r="B8308" s="2"/>
      <c r="C8308" s="2"/>
      <c r="D8308" s="2"/>
      <c r="E8308" s="2"/>
      <c r="F8308" s="2"/>
      <c r="G8308" s="2"/>
      <c r="H8308" s="2"/>
      <c r="I8308" s="2"/>
      <c r="J8308" s="2"/>
      <c r="K8308" s="2"/>
      <c r="L8308" s="2"/>
      <c r="M8308" s="2"/>
      <c r="N8308" s="29"/>
      <c r="O8308" s="29"/>
    </row>
    <row r="8309">
      <c r="A8309" s="4"/>
      <c r="B8309" s="2"/>
      <c r="C8309" s="2"/>
      <c r="D8309" s="2"/>
      <c r="E8309" s="2"/>
      <c r="F8309" s="2"/>
      <c r="G8309" s="2"/>
      <c r="H8309" s="2"/>
      <c r="I8309" s="2"/>
      <c r="J8309" s="2"/>
      <c r="K8309" s="2"/>
      <c r="L8309" s="2"/>
      <c r="M8309" s="2"/>
      <c r="N8309" s="29"/>
      <c r="O8309" s="29"/>
    </row>
    <row r="8310">
      <c r="A8310" s="4"/>
      <c r="B8310" s="2"/>
      <c r="C8310" s="2"/>
      <c r="D8310" s="2"/>
      <c r="E8310" s="2"/>
      <c r="F8310" s="2"/>
      <c r="G8310" s="2"/>
      <c r="H8310" s="2"/>
      <c r="I8310" s="2"/>
      <c r="J8310" s="2"/>
      <c r="K8310" s="2"/>
      <c r="L8310" s="2"/>
      <c r="M8310" s="2"/>
      <c r="N8310" s="29"/>
      <c r="O8310" s="29"/>
    </row>
    <row r="8311">
      <c r="A8311" s="4"/>
      <c r="B8311" s="2"/>
      <c r="C8311" s="2"/>
      <c r="D8311" s="2"/>
      <c r="E8311" s="2"/>
      <c r="F8311" s="2"/>
      <c r="G8311" s="2"/>
      <c r="H8311" s="2"/>
      <c r="I8311" s="2"/>
      <c r="J8311" s="2"/>
      <c r="K8311" s="2"/>
      <c r="L8311" s="2"/>
      <c r="M8311" s="2"/>
      <c r="N8311" s="29"/>
      <c r="O8311" s="29"/>
    </row>
    <row r="8312">
      <c r="A8312" s="4"/>
      <c r="B8312" s="2"/>
      <c r="C8312" s="2"/>
      <c r="D8312" s="2"/>
      <c r="E8312" s="2"/>
      <c r="F8312" s="2"/>
      <c r="G8312" s="2"/>
      <c r="H8312" s="2"/>
      <c r="I8312" s="2"/>
      <c r="J8312" s="2"/>
      <c r="K8312" s="2"/>
      <c r="L8312" s="2"/>
      <c r="M8312" s="2"/>
      <c r="N8312" s="29"/>
      <c r="O8312" s="29"/>
    </row>
    <row r="8313">
      <c r="A8313" s="4"/>
      <c r="B8313" s="2"/>
      <c r="C8313" s="2"/>
      <c r="D8313" s="2"/>
      <c r="E8313" s="2"/>
      <c r="F8313" s="2"/>
      <c r="G8313" s="2"/>
      <c r="H8313" s="2"/>
      <c r="I8313" s="2"/>
      <c r="J8313" s="2"/>
      <c r="K8313" s="2"/>
      <c r="L8313" s="2"/>
      <c r="M8313" s="2"/>
      <c r="N8313" s="29"/>
      <c r="O8313" s="29"/>
    </row>
    <row r="8314">
      <c r="A8314" s="4"/>
      <c r="B8314" s="2"/>
      <c r="C8314" s="2"/>
      <c r="D8314" s="2"/>
      <c r="E8314" s="2"/>
      <c r="F8314" s="2"/>
      <c r="G8314" s="2"/>
      <c r="H8314" s="2"/>
      <c r="I8314" s="2"/>
      <c r="J8314" s="2"/>
      <c r="K8314" s="2"/>
      <c r="L8314" s="2"/>
      <c r="M8314" s="2"/>
      <c r="N8314" s="29"/>
      <c r="O8314" s="29"/>
    </row>
    <row r="8315">
      <c r="A8315" s="4"/>
      <c r="B8315" s="2"/>
      <c r="C8315" s="2"/>
      <c r="D8315" s="2"/>
      <c r="E8315" s="2"/>
      <c r="F8315" s="2"/>
      <c r="G8315" s="2"/>
      <c r="H8315" s="2"/>
      <c r="I8315" s="2"/>
      <c r="J8315" s="2"/>
      <c r="K8315" s="2"/>
      <c r="L8315" s="2"/>
      <c r="M8315" s="2"/>
      <c r="N8315" s="29"/>
      <c r="O8315" s="29"/>
    </row>
    <row r="8316">
      <c r="A8316" s="4"/>
      <c r="B8316" s="2"/>
      <c r="C8316" s="2"/>
      <c r="D8316" s="2"/>
      <c r="E8316" s="2"/>
      <c r="F8316" s="2"/>
      <c r="G8316" s="2"/>
      <c r="H8316" s="2"/>
      <c r="I8316" s="2"/>
      <c r="J8316" s="2"/>
      <c r="K8316" s="2"/>
      <c r="L8316" s="2"/>
      <c r="M8316" s="2"/>
      <c r="N8316" s="29"/>
      <c r="O8316" s="29"/>
    </row>
    <row r="8317">
      <c r="A8317" s="4"/>
      <c r="B8317" s="2"/>
      <c r="C8317" s="2"/>
      <c r="D8317" s="2"/>
      <c r="E8317" s="2"/>
      <c r="F8317" s="2"/>
      <c r="G8317" s="2"/>
      <c r="H8317" s="2"/>
      <c r="I8317" s="2"/>
      <c r="J8317" s="2"/>
      <c r="K8317" s="2"/>
      <c r="L8317" s="2"/>
      <c r="M8317" s="2"/>
      <c r="N8317" s="29"/>
      <c r="O8317" s="29"/>
    </row>
    <row r="8318">
      <c r="A8318" s="4"/>
      <c r="B8318" s="2"/>
      <c r="C8318" s="2"/>
      <c r="D8318" s="2"/>
      <c r="E8318" s="2"/>
      <c r="F8318" s="2"/>
      <c r="G8318" s="2"/>
      <c r="H8318" s="2"/>
      <c r="I8318" s="2"/>
      <c r="J8318" s="2"/>
      <c r="K8318" s="2"/>
      <c r="L8318" s="2"/>
      <c r="M8318" s="2"/>
      <c r="N8318" s="29"/>
      <c r="O8318" s="29"/>
    </row>
    <row r="8319">
      <c r="A8319" s="4"/>
      <c r="B8319" s="2"/>
      <c r="C8319" s="2"/>
      <c r="D8319" s="2"/>
      <c r="E8319" s="2"/>
      <c r="F8319" s="2"/>
      <c r="G8319" s="2"/>
      <c r="H8319" s="2"/>
      <c r="I8319" s="2"/>
      <c r="J8319" s="2"/>
      <c r="K8319" s="2"/>
      <c r="L8319" s="2"/>
      <c r="M8319" s="2"/>
      <c r="N8319" s="29"/>
      <c r="O8319" s="29"/>
    </row>
    <row r="8320">
      <c r="A8320" s="4"/>
      <c r="B8320" s="2"/>
      <c r="C8320" s="2"/>
      <c r="D8320" s="2"/>
      <c r="E8320" s="2"/>
      <c r="F8320" s="2"/>
      <c r="G8320" s="2"/>
      <c r="H8320" s="2"/>
      <c r="I8320" s="2"/>
      <c r="J8320" s="2"/>
      <c r="K8320" s="2"/>
      <c r="L8320" s="2"/>
      <c r="M8320" s="2"/>
      <c r="N8320" s="29"/>
      <c r="O8320" s="29"/>
    </row>
    <row r="8321">
      <c r="A8321" s="4"/>
      <c r="B8321" s="2"/>
      <c r="C8321" s="2"/>
      <c r="D8321" s="2"/>
      <c r="E8321" s="2"/>
      <c r="F8321" s="2"/>
      <c r="G8321" s="2"/>
      <c r="H8321" s="2"/>
      <c r="I8321" s="2"/>
      <c r="J8321" s="2"/>
      <c r="K8321" s="2"/>
      <c r="L8321" s="2"/>
      <c r="M8321" s="2"/>
      <c r="N8321" s="29"/>
      <c r="O8321" s="29"/>
    </row>
    <row r="8322">
      <c r="A8322" s="4"/>
      <c r="B8322" s="2"/>
      <c r="C8322" s="2"/>
      <c r="D8322" s="2"/>
      <c r="E8322" s="2"/>
      <c r="F8322" s="2"/>
      <c r="G8322" s="2"/>
      <c r="H8322" s="2"/>
      <c r="I8322" s="2"/>
      <c r="J8322" s="2"/>
      <c r="K8322" s="2"/>
      <c r="L8322" s="2"/>
      <c r="M8322" s="2"/>
      <c r="N8322" s="29"/>
      <c r="O8322" s="29"/>
    </row>
    <row r="8323">
      <c r="A8323" s="4"/>
      <c r="B8323" s="2"/>
      <c r="C8323" s="2"/>
      <c r="D8323" s="2"/>
      <c r="E8323" s="2"/>
      <c r="F8323" s="2"/>
      <c r="G8323" s="2"/>
      <c r="H8323" s="2"/>
      <c r="I8323" s="2"/>
      <c r="J8323" s="2"/>
      <c r="K8323" s="2"/>
      <c r="L8323" s="2"/>
      <c r="M8323" s="2"/>
      <c r="N8323" s="29"/>
      <c r="O8323" s="29"/>
    </row>
    <row r="8324">
      <c r="A8324" s="4"/>
      <c r="B8324" s="2"/>
      <c r="C8324" s="2"/>
      <c r="D8324" s="2"/>
      <c r="E8324" s="2"/>
      <c r="F8324" s="2"/>
      <c r="G8324" s="2"/>
      <c r="H8324" s="2"/>
      <c r="I8324" s="2"/>
      <c r="J8324" s="2"/>
      <c r="K8324" s="2"/>
      <c r="L8324" s="2"/>
      <c r="M8324" s="2"/>
      <c r="N8324" s="29"/>
      <c r="O8324" s="29"/>
    </row>
    <row r="8325">
      <c r="A8325" s="4"/>
      <c r="B8325" s="2"/>
      <c r="C8325" s="2"/>
      <c r="D8325" s="2"/>
      <c r="E8325" s="2"/>
      <c r="F8325" s="2"/>
      <c r="G8325" s="2"/>
      <c r="H8325" s="2"/>
      <c r="I8325" s="2"/>
      <c r="J8325" s="2"/>
      <c r="K8325" s="2"/>
      <c r="L8325" s="2"/>
      <c r="M8325" s="2"/>
      <c r="N8325" s="29"/>
      <c r="O8325" s="29"/>
    </row>
    <row r="8326">
      <c r="A8326" s="4"/>
      <c r="B8326" s="2"/>
      <c r="C8326" s="2"/>
      <c r="D8326" s="2"/>
      <c r="E8326" s="2"/>
      <c r="F8326" s="2"/>
      <c r="G8326" s="2"/>
      <c r="H8326" s="2"/>
      <c r="I8326" s="2"/>
      <c r="J8326" s="2"/>
      <c r="K8326" s="2"/>
      <c r="L8326" s="2"/>
      <c r="M8326" s="2"/>
      <c r="N8326" s="29"/>
      <c r="O8326" s="29"/>
    </row>
    <row r="8327">
      <c r="A8327" s="4"/>
      <c r="B8327" s="2"/>
      <c r="C8327" s="2"/>
      <c r="D8327" s="2"/>
      <c r="E8327" s="2"/>
      <c r="F8327" s="2"/>
      <c r="G8327" s="2"/>
      <c r="H8327" s="2"/>
      <c r="I8327" s="2"/>
      <c r="J8327" s="2"/>
      <c r="K8327" s="2"/>
      <c r="L8327" s="2"/>
      <c r="M8327" s="2"/>
      <c r="N8327" s="29"/>
      <c r="O8327" s="29"/>
    </row>
    <row r="8328">
      <c r="A8328" s="4"/>
      <c r="B8328" s="2"/>
      <c r="C8328" s="2"/>
      <c r="D8328" s="2"/>
      <c r="E8328" s="2"/>
      <c r="F8328" s="2"/>
      <c r="G8328" s="2"/>
      <c r="H8328" s="2"/>
      <c r="I8328" s="2"/>
      <c r="J8328" s="2"/>
      <c r="K8328" s="2"/>
      <c r="L8328" s="2"/>
      <c r="M8328" s="2"/>
      <c r="N8328" s="29"/>
      <c r="O8328" s="29"/>
    </row>
    <row r="8329">
      <c r="A8329" s="4"/>
      <c r="B8329" s="2"/>
      <c r="C8329" s="2"/>
      <c r="D8329" s="2"/>
      <c r="E8329" s="2"/>
      <c r="F8329" s="2"/>
      <c r="G8329" s="2"/>
      <c r="H8329" s="2"/>
      <c r="I8329" s="2"/>
      <c r="J8329" s="2"/>
      <c r="K8329" s="2"/>
      <c r="L8329" s="2"/>
      <c r="M8329" s="2"/>
      <c r="N8329" s="29"/>
      <c r="O8329" s="29"/>
    </row>
    <row r="8330">
      <c r="A8330" s="4"/>
      <c r="B8330" s="2"/>
      <c r="C8330" s="2"/>
      <c r="D8330" s="2"/>
      <c r="E8330" s="2"/>
      <c r="F8330" s="2"/>
      <c r="G8330" s="2"/>
      <c r="H8330" s="2"/>
      <c r="I8330" s="2"/>
      <c r="J8330" s="2"/>
      <c r="K8330" s="2"/>
      <c r="L8330" s="2"/>
      <c r="M8330" s="2"/>
      <c r="N8330" s="29"/>
      <c r="O8330" s="29"/>
    </row>
    <row r="8331">
      <c r="A8331" s="4"/>
      <c r="B8331" s="2"/>
      <c r="C8331" s="2"/>
      <c r="D8331" s="2"/>
      <c r="E8331" s="2"/>
      <c r="F8331" s="2"/>
      <c r="G8331" s="2"/>
      <c r="H8331" s="2"/>
      <c r="I8331" s="2"/>
      <c r="J8331" s="2"/>
      <c r="K8331" s="2"/>
      <c r="L8331" s="2"/>
      <c r="M8331" s="2"/>
      <c r="N8331" s="29"/>
      <c r="O8331" s="29"/>
    </row>
    <row r="8332">
      <c r="A8332" s="4"/>
      <c r="B8332" s="2"/>
      <c r="C8332" s="2"/>
      <c r="D8332" s="2"/>
      <c r="E8332" s="2"/>
      <c r="F8332" s="2"/>
      <c r="G8332" s="2"/>
      <c r="H8332" s="2"/>
      <c r="I8332" s="2"/>
      <c r="J8332" s="2"/>
      <c r="K8332" s="2"/>
      <c r="L8332" s="2"/>
      <c r="M8332" s="2"/>
      <c r="N8332" s="29"/>
      <c r="O8332" s="29"/>
    </row>
    <row r="8333">
      <c r="A8333" s="4"/>
      <c r="B8333" s="2"/>
      <c r="C8333" s="2"/>
      <c r="D8333" s="2"/>
      <c r="E8333" s="2"/>
      <c r="F8333" s="2"/>
      <c r="G8333" s="2"/>
      <c r="H8333" s="2"/>
      <c r="I8333" s="2"/>
      <c r="J8333" s="2"/>
      <c r="K8333" s="2"/>
      <c r="L8333" s="2"/>
      <c r="M8333" s="2"/>
      <c r="N8333" s="29"/>
      <c r="O8333" s="29"/>
    </row>
    <row r="8334">
      <c r="A8334" s="4"/>
      <c r="B8334" s="2"/>
      <c r="C8334" s="2"/>
      <c r="D8334" s="2"/>
      <c r="E8334" s="2"/>
      <c r="F8334" s="2"/>
      <c r="G8334" s="2"/>
      <c r="H8334" s="2"/>
      <c r="I8334" s="2"/>
      <c r="J8334" s="2"/>
      <c r="K8334" s="2"/>
      <c r="L8334" s="2"/>
      <c r="M8334" s="2"/>
      <c r="N8334" s="29"/>
      <c r="O8334" s="29"/>
    </row>
    <row r="8335">
      <c r="A8335" s="4"/>
      <c r="B8335" s="2"/>
      <c r="C8335" s="2"/>
      <c r="D8335" s="2"/>
      <c r="E8335" s="2"/>
      <c r="F8335" s="2"/>
      <c r="G8335" s="2"/>
      <c r="H8335" s="2"/>
      <c r="I8335" s="2"/>
      <c r="J8335" s="2"/>
      <c r="K8335" s="2"/>
      <c r="L8335" s="2"/>
      <c r="M8335" s="2"/>
      <c r="N8335" s="29"/>
      <c r="O8335" s="29"/>
    </row>
    <row r="8336">
      <c r="A8336" s="4"/>
      <c r="B8336" s="2"/>
      <c r="C8336" s="2"/>
      <c r="D8336" s="2"/>
      <c r="E8336" s="2"/>
      <c r="F8336" s="2"/>
      <c r="G8336" s="2"/>
      <c r="H8336" s="2"/>
      <c r="I8336" s="2"/>
      <c r="J8336" s="2"/>
      <c r="K8336" s="2"/>
      <c r="L8336" s="2"/>
      <c r="M8336" s="2"/>
      <c r="N8336" s="29"/>
      <c r="O8336" s="29"/>
    </row>
    <row r="8337">
      <c r="A8337" s="4"/>
      <c r="B8337" s="2"/>
      <c r="C8337" s="2"/>
      <c r="D8337" s="2"/>
      <c r="E8337" s="2"/>
      <c r="F8337" s="2"/>
      <c r="G8337" s="2"/>
      <c r="H8337" s="2"/>
      <c r="I8337" s="2"/>
      <c r="J8337" s="2"/>
      <c r="K8337" s="2"/>
      <c r="L8337" s="2"/>
      <c r="M8337" s="2"/>
      <c r="N8337" s="29"/>
      <c r="O8337" s="29"/>
    </row>
    <row r="8338">
      <c r="A8338" s="4"/>
      <c r="B8338" s="2"/>
      <c r="C8338" s="2"/>
      <c r="D8338" s="2"/>
      <c r="E8338" s="2"/>
      <c r="F8338" s="2"/>
      <c r="G8338" s="2"/>
      <c r="H8338" s="2"/>
      <c r="I8338" s="2"/>
      <c r="J8338" s="2"/>
      <c r="K8338" s="2"/>
      <c r="L8338" s="2"/>
      <c r="M8338" s="2"/>
      <c r="N8338" s="29"/>
      <c r="O8338" s="29"/>
    </row>
    <row r="8339">
      <c r="A8339" s="4"/>
      <c r="B8339" s="2"/>
      <c r="C8339" s="2"/>
      <c r="D8339" s="2"/>
      <c r="E8339" s="2"/>
      <c r="F8339" s="2"/>
      <c r="G8339" s="2"/>
      <c r="H8339" s="2"/>
      <c r="I8339" s="2"/>
      <c r="J8339" s="2"/>
      <c r="K8339" s="2"/>
      <c r="L8339" s="2"/>
      <c r="M8339" s="2"/>
      <c r="N8339" s="29"/>
      <c r="O8339" s="29"/>
    </row>
    <row r="8340">
      <c r="A8340" s="4"/>
      <c r="B8340" s="2"/>
      <c r="C8340" s="2"/>
      <c r="D8340" s="2"/>
      <c r="E8340" s="2"/>
      <c r="F8340" s="2"/>
      <c r="G8340" s="2"/>
      <c r="H8340" s="2"/>
      <c r="I8340" s="2"/>
      <c r="J8340" s="2"/>
      <c r="K8340" s="2"/>
      <c r="L8340" s="2"/>
      <c r="M8340" s="2"/>
      <c r="N8340" s="29"/>
      <c r="O8340" s="29"/>
    </row>
    <row r="8341">
      <c r="A8341" s="4"/>
      <c r="B8341" s="2"/>
      <c r="C8341" s="2"/>
      <c r="D8341" s="2"/>
      <c r="E8341" s="2"/>
      <c r="F8341" s="2"/>
      <c r="G8341" s="2"/>
      <c r="H8341" s="2"/>
      <c r="I8341" s="2"/>
      <c r="J8341" s="2"/>
      <c r="K8341" s="2"/>
      <c r="L8341" s="2"/>
      <c r="M8341" s="2"/>
      <c r="N8341" s="29"/>
      <c r="O8341" s="29"/>
    </row>
    <row r="8342">
      <c r="A8342" s="4"/>
      <c r="B8342" s="2"/>
      <c r="C8342" s="2"/>
      <c r="D8342" s="2"/>
      <c r="E8342" s="2"/>
      <c r="F8342" s="2"/>
      <c r="G8342" s="2"/>
      <c r="H8342" s="2"/>
      <c r="I8342" s="2"/>
      <c r="J8342" s="2"/>
      <c r="K8342" s="2"/>
      <c r="L8342" s="2"/>
      <c r="M8342" s="2"/>
      <c r="N8342" s="29"/>
      <c r="O8342" s="29"/>
    </row>
    <row r="8343">
      <c r="A8343" s="4"/>
      <c r="B8343" s="2"/>
      <c r="C8343" s="2"/>
      <c r="D8343" s="2"/>
      <c r="E8343" s="2"/>
      <c r="F8343" s="2"/>
      <c r="G8343" s="2"/>
      <c r="H8343" s="2"/>
      <c r="I8343" s="2"/>
      <c r="J8343" s="2"/>
      <c r="K8343" s="2"/>
      <c r="L8343" s="2"/>
      <c r="M8343" s="2"/>
      <c r="N8343" s="29"/>
      <c r="O8343" s="29"/>
    </row>
    <row r="8344">
      <c r="A8344" s="4"/>
      <c r="B8344" s="2"/>
      <c r="C8344" s="2"/>
      <c r="D8344" s="2"/>
      <c r="E8344" s="2"/>
      <c r="F8344" s="2"/>
      <c r="G8344" s="2"/>
      <c r="H8344" s="2"/>
      <c r="I8344" s="2"/>
      <c r="J8344" s="2"/>
      <c r="K8344" s="2"/>
      <c r="L8344" s="2"/>
      <c r="M8344" s="2"/>
      <c r="N8344" s="29"/>
      <c r="O8344" s="29"/>
    </row>
    <row r="8345">
      <c r="A8345" s="4"/>
      <c r="B8345" s="2"/>
      <c r="C8345" s="2"/>
      <c r="D8345" s="2"/>
      <c r="E8345" s="2"/>
      <c r="F8345" s="2"/>
      <c r="G8345" s="2"/>
      <c r="H8345" s="2"/>
      <c r="I8345" s="2"/>
      <c r="J8345" s="2"/>
      <c r="K8345" s="2"/>
      <c r="L8345" s="2"/>
      <c r="M8345" s="2"/>
      <c r="N8345" s="29"/>
      <c r="O8345" s="29"/>
    </row>
    <row r="8346">
      <c r="A8346" s="4"/>
      <c r="B8346" s="2"/>
      <c r="C8346" s="2"/>
      <c r="D8346" s="2"/>
      <c r="E8346" s="2"/>
      <c r="F8346" s="2"/>
      <c r="G8346" s="2"/>
      <c r="H8346" s="2"/>
      <c r="I8346" s="2"/>
      <c r="J8346" s="2"/>
      <c r="K8346" s="2"/>
      <c r="L8346" s="2"/>
      <c r="M8346" s="2"/>
      <c r="N8346" s="29"/>
      <c r="O8346" s="29"/>
    </row>
    <row r="8347">
      <c r="A8347" s="4"/>
      <c r="B8347" s="2"/>
      <c r="C8347" s="2"/>
      <c r="D8347" s="2"/>
      <c r="E8347" s="2"/>
      <c r="F8347" s="2"/>
      <c r="G8347" s="2"/>
      <c r="H8347" s="2"/>
      <c r="I8347" s="2"/>
      <c r="J8347" s="2"/>
      <c r="K8347" s="2"/>
      <c r="L8347" s="2"/>
      <c r="M8347" s="2"/>
      <c r="N8347" s="29"/>
      <c r="O8347" s="29"/>
    </row>
    <row r="8348">
      <c r="A8348" s="4"/>
      <c r="B8348" s="2"/>
      <c r="C8348" s="2"/>
      <c r="D8348" s="2"/>
      <c r="E8348" s="2"/>
      <c r="F8348" s="2"/>
      <c r="G8348" s="2"/>
      <c r="H8348" s="2"/>
      <c r="I8348" s="2"/>
      <c r="J8348" s="2"/>
      <c r="K8348" s="2"/>
      <c r="L8348" s="2"/>
      <c r="M8348" s="2"/>
      <c r="N8348" s="29"/>
      <c r="O8348" s="29"/>
    </row>
    <row r="8349">
      <c r="A8349" s="4"/>
      <c r="B8349" s="2"/>
      <c r="C8349" s="2"/>
      <c r="D8349" s="2"/>
      <c r="E8349" s="2"/>
      <c r="F8349" s="2"/>
      <c r="G8349" s="2"/>
      <c r="H8349" s="2"/>
      <c r="I8349" s="2"/>
      <c r="J8349" s="2"/>
      <c r="K8349" s="2"/>
      <c r="L8349" s="2"/>
      <c r="M8349" s="2"/>
      <c r="N8349" s="29"/>
      <c r="O8349" s="29"/>
    </row>
    <row r="8350">
      <c r="A8350" s="4"/>
      <c r="B8350" s="2"/>
      <c r="C8350" s="2"/>
      <c r="D8350" s="2"/>
      <c r="E8350" s="2"/>
      <c r="F8350" s="2"/>
      <c r="G8350" s="2"/>
      <c r="H8350" s="2"/>
      <c r="I8350" s="2"/>
      <c r="J8350" s="2"/>
      <c r="K8350" s="2"/>
      <c r="L8350" s="2"/>
      <c r="M8350" s="2"/>
      <c r="N8350" s="29"/>
      <c r="O8350" s="29"/>
    </row>
    <row r="8351">
      <c r="A8351" s="4"/>
      <c r="B8351" s="2"/>
      <c r="C8351" s="2"/>
      <c r="D8351" s="2"/>
      <c r="E8351" s="2"/>
      <c r="F8351" s="2"/>
      <c r="G8351" s="2"/>
      <c r="H8351" s="2"/>
      <c r="I8351" s="2"/>
      <c r="J8351" s="2"/>
      <c r="K8351" s="2"/>
      <c r="L8351" s="2"/>
      <c r="M8351" s="2"/>
      <c r="N8351" s="29"/>
      <c r="O8351" s="29"/>
    </row>
    <row r="8352">
      <c r="A8352" s="4"/>
      <c r="B8352" s="2"/>
      <c r="C8352" s="2"/>
      <c r="D8352" s="2"/>
      <c r="E8352" s="2"/>
      <c r="F8352" s="2"/>
      <c r="G8352" s="2"/>
      <c r="H8352" s="2"/>
      <c r="I8352" s="2"/>
      <c r="J8352" s="2"/>
      <c r="K8352" s="2"/>
      <c r="L8352" s="2"/>
      <c r="M8352" s="2"/>
      <c r="N8352" s="29"/>
      <c r="O8352" s="29"/>
    </row>
    <row r="8353">
      <c r="A8353" s="4"/>
      <c r="B8353" s="2"/>
      <c r="C8353" s="2"/>
      <c r="D8353" s="2"/>
      <c r="E8353" s="2"/>
      <c r="F8353" s="2"/>
      <c r="G8353" s="2"/>
      <c r="H8353" s="2"/>
      <c r="I8353" s="2"/>
      <c r="J8353" s="2"/>
      <c r="K8353" s="2"/>
      <c r="L8353" s="2"/>
      <c r="M8353" s="2"/>
      <c r="N8353" s="29"/>
      <c r="O8353" s="29"/>
    </row>
    <row r="8354">
      <c r="A8354" s="4"/>
      <c r="B8354" s="2"/>
      <c r="C8354" s="2"/>
      <c r="D8354" s="2"/>
      <c r="E8354" s="2"/>
      <c r="F8354" s="2"/>
      <c r="G8354" s="2"/>
      <c r="H8354" s="2"/>
      <c r="I8354" s="2"/>
      <c r="J8354" s="2"/>
      <c r="K8354" s="2"/>
      <c r="L8354" s="2"/>
      <c r="M8354" s="2"/>
      <c r="N8354" s="29"/>
      <c r="O8354" s="29"/>
    </row>
    <row r="8355">
      <c r="A8355" s="4"/>
      <c r="B8355" s="2"/>
      <c r="C8355" s="2"/>
      <c r="D8355" s="2"/>
      <c r="E8355" s="2"/>
      <c r="F8355" s="2"/>
      <c r="G8355" s="2"/>
      <c r="H8355" s="2"/>
      <c r="I8355" s="2"/>
      <c r="J8355" s="2"/>
      <c r="K8355" s="2"/>
      <c r="L8355" s="2"/>
      <c r="M8355" s="2"/>
      <c r="N8355" s="29"/>
      <c r="O8355" s="29"/>
    </row>
    <row r="8356">
      <c r="A8356" s="4"/>
      <c r="B8356" s="2"/>
      <c r="C8356" s="2"/>
      <c r="D8356" s="2"/>
      <c r="E8356" s="2"/>
      <c r="F8356" s="2"/>
      <c r="G8356" s="2"/>
      <c r="H8356" s="2"/>
      <c r="I8356" s="2"/>
      <c r="J8356" s="2"/>
      <c r="K8356" s="2"/>
      <c r="L8356" s="2"/>
      <c r="M8356" s="2"/>
      <c r="N8356" s="29"/>
      <c r="O8356" s="29"/>
    </row>
    <row r="8357">
      <c r="A8357" s="4"/>
      <c r="B8357" s="2"/>
      <c r="C8357" s="2"/>
      <c r="D8357" s="2"/>
      <c r="E8357" s="2"/>
      <c r="F8357" s="2"/>
      <c r="G8357" s="2"/>
      <c r="H8357" s="2"/>
      <c r="I8357" s="2"/>
      <c r="J8357" s="2"/>
      <c r="K8357" s="2"/>
      <c r="L8357" s="2"/>
      <c r="M8357" s="2"/>
      <c r="N8357" s="29"/>
      <c r="O8357" s="29"/>
    </row>
    <row r="8358">
      <c r="A8358" s="4"/>
      <c r="B8358" s="2"/>
      <c r="C8358" s="2"/>
      <c r="D8358" s="2"/>
      <c r="E8358" s="2"/>
      <c r="F8358" s="2"/>
      <c r="G8358" s="2"/>
      <c r="H8358" s="2"/>
      <c r="I8358" s="2"/>
      <c r="J8358" s="2"/>
      <c r="K8358" s="2"/>
      <c r="L8358" s="2"/>
      <c r="M8358" s="2"/>
      <c r="N8358" s="29"/>
      <c r="O8358" s="29"/>
    </row>
    <row r="8359">
      <c r="A8359" s="4"/>
      <c r="B8359" s="2"/>
      <c r="C8359" s="2"/>
      <c r="D8359" s="2"/>
      <c r="E8359" s="2"/>
      <c r="F8359" s="2"/>
      <c r="G8359" s="2"/>
      <c r="H8359" s="2"/>
      <c r="I8359" s="2"/>
      <c r="J8359" s="2"/>
      <c r="K8359" s="2"/>
      <c r="L8359" s="2"/>
      <c r="M8359" s="2"/>
      <c r="N8359" s="29"/>
      <c r="O8359" s="29"/>
    </row>
    <row r="8360">
      <c r="A8360" s="4"/>
      <c r="B8360" s="2"/>
      <c r="C8360" s="2"/>
      <c r="D8360" s="2"/>
      <c r="E8360" s="2"/>
      <c r="F8360" s="2"/>
      <c r="G8360" s="2"/>
      <c r="H8360" s="2"/>
      <c r="I8360" s="2"/>
      <c r="J8360" s="2"/>
      <c r="K8360" s="2"/>
      <c r="L8360" s="2"/>
      <c r="M8360" s="2"/>
      <c r="N8360" s="29"/>
      <c r="O8360" s="29"/>
    </row>
    <row r="8361">
      <c r="A8361" s="4"/>
      <c r="B8361" s="2"/>
      <c r="C8361" s="2"/>
      <c r="D8361" s="2"/>
      <c r="E8361" s="2"/>
      <c r="F8361" s="2"/>
      <c r="G8361" s="2"/>
      <c r="H8361" s="2"/>
      <c r="I8361" s="2"/>
      <c r="J8361" s="2"/>
      <c r="K8361" s="2"/>
      <c r="L8361" s="2"/>
      <c r="M8361" s="2"/>
      <c r="N8361" s="29"/>
      <c r="O8361" s="29"/>
    </row>
    <row r="8362">
      <c r="A8362" s="4"/>
      <c r="B8362" s="2"/>
      <c r="C8362" s="2"/>
      <c r="D8362" s="2"/>
      <c r="E8362" s="2"/>
      <c r="F8362" s="2"/>
      <c r="G8362" s="2"/>
      <c r="H8362" s="2"/>
      <c r="I8362" s="2"/>
      <c r="J8362" s="2"/>
      <c r="K8362" s="2"/>
      <c r="L8362" s="2"/>
      <c r="M8362" s="2"/>
      <c r="N8362" s="29"/>
      <c r="O8362" s="29"/>
    </row>
    <row r="8363">
      <c r="A8363" s="4"/>
      <c r="B8363" s="2"/>
      <c r="C8363" s="2"/>
      <c r="D8363" s="2"/>
      <c r="E8363" s="2"/>
      <c r="F8363" s="2"/>
      <c r="G8363" s="2"/>
      <c r="H8363" s="2"/>
      <c r="I8363" s="2"/>
      <c r="J8363" s="2"/>
      <c r="K8363" s="2"/>
      <c r="L8363" s="2"/>
      <c r="M8363" s="2"/>
      <c r="N8363" s="29"/>
      <c r="O8363" s="29"/>
    </row>
    <row r="8364">
      <c r="A8364" s="4"/>
      <c r="B8364" s="2"/>
      <c r="C8364" s="2"/>
      <c r="D8364" s="2"/>
      <c r="E8364" s="2"/>
      <c r="F8364" s="2"/>
      <c r="G8364" s="2"/>
      <c r="H8364" s="2"/>
      <c r="I8364" s="2"/>
      <c r="J8364" s="2"/>
      <c r="K8364" s="2"/>
      <c r="L8364" s="2"/>
      <c r="M8364" s="2"/>
      <c r="N8364" s="29"/>
      <c r="O8364" s="29"/>
    </row>
    <row r="8365">
      <c r="A8365" s="4"/>
      <c r="B8365" s="2"/>
      <c r="C8365" s="2"/>
      <c r="D8365" s="2"/>
      <c r="E8365" s="2"/>
      <c r="F8365" s="2"/>
      <c r="G8365" s="2"/>
      <c r="H8365" s="2"/>
      <c r="I8365" s="2"/>
      <c r="J8365" s="2"/>
      <c r="K8365" s="2"/>
      <c r="L8365" s="2"/>
      <c r="M8365" s="2"/>
      <c r="N8365" s="29"/>
      <c r="O8365" s="29"/>
    </row>
    <row r="8366">
      <c r="A8366" s="4"/>
      <c r="B8366" s="2"/>
      <c r="C8366" s="2"/>
      <c r="D8366" s="2"/>
      <c r="E8366" s="2"/>
      <c r="F8366" s="2"/>
      <c r="G8366" s="2"/>
      <c r="H8366" s="2"/>
      <c r="I8366" s="2"/>
      <c r="J8366" s="2"/>
      <c r="K8366" s="2"/>
      <c r="L8366" s="2"/>
      <c r="M8366" s="2"/>
      <c r="N8366" s="29"/>
      <c r="O8366" s="29"/>
    </row>
    <row r="8367">
      <c r="A8367" s="4"/>
      <c r="B8367" s="2"/>
      <c r="C8367" s="2"/>
      <c r="D8367" s="2"/>
      <c r="E8367" s="2"/>
      <c r="F8367" s="2"/>
      <c r="G8367" s="2"/>
      <c r="H8367" s="2"/>
      <c r="I8367" s="2"/>
      <c r="J8367" s="2"/>
      <c r="K8367" s="2"/>
      <c r="L8367" s="2"/>
      <c r="M8367" s="2"/>
      <c r="N8367" s="29"/>
      <c r="O8367" s="29"/>
    </row>
    <row r="8368">
      <c r="A8368" s="4"/>
      <c r="B8368" s="2"/>
      <c r="C8368" s="2"/>
      <c r="D8368" s="2"/>
      <c r="E8368" s="2"/>
      <c r="F8368" s="2"/>
      <c r="G8368" s="2"/>
      <c r="H8368" s="2"/>
      <c r="I8368" s="2"/>
      <c r="J8368" s="2"/>
      <c r="K8368" s="2"/>
      <c r="L8368" s="2"/>
      <c r="M8368" s="2"/>
      <c r="N8368" s="29"/>
      <c r="O8368" s="29"/>
    </row>
    <row r="8369">
      <c r="A8369" s="4"/>
      <c r="B8369" s="2"/>
      <c r="C8369" s="2"/>
      <c r="D8369" s="2"/>
      <c r="E8369" s="2"/>
      <c r="F8369" s="2"/>
      <c r="G8369" s="2"/>
      <c r="H8369" s="2"/>
      <c r="I8369" s="2"/>
      <c r="J8369" s="2"/>
      <c r="K8369" s="2"/>
      <c r="L8369" s="2"/>
      <c r="M8369" s="2"/>
      <c r="N8369" s="29"/>
      <c r="O8369" s="29"/>
    </row>
    <row r="8370">
      <c r="A8370" s="4"/>
      <c r="B8370" s="2"/>
      <c r="C8370" s="2"/>
      <c r="D8370" s="2"/>
      <c r="E8370" s="2"/>
      <c r="F8370" s="2"/>
      <c r="G8370" s="2"/>
      <c r="H8370" s="2"/>
      <c r="I8370" s="2"/>
      <c r="J8370" s="2"/>
      <c r="K8370" s="2"/>
      <c r="L8370" s="2"/>
      <c r="M8370" s="2"/>
      <c r="N8370" s="29"/>
      <c r="O8370" s="29"/>
    </row>
    <row r="8371">
      <c r="A8371" s="4"/>
      <c r="B8371" s="2"/>
      <c r="C8371" s="2"/>
      <c r="D8371" s="2"/>
      <c r="E8371" s="2"/>
      <c r="F8371" s="2"/>
      <c r="G8371" s="2"/>
      <c r="H8371" s="2"/>
      <c r="I8371" s="2"/>
      <c r="J8371" s="2"/>
      <c r="K8371" s="2"/>
      <c r="L8371" s="2"/>
      <c r="M8371" s="2"/>
      <c r="N8371" s="29"/>
      <c r="O8371" s="29"/>
    </row>
    <row r="8372">
      <c r="A8372" s="4"/>
      <c r="B8372" s="2"/>
      <c r="C8372" s="2"/>
      <c r="D8372" s="2"/>
      <c r="E8372" s="2"/>
      <c r="F8372" s="2"/>
      <c r="G8372" s="2"/>
      <c r="H8372" s="2"/>
      <c r="I8372" s="2"/>
      <c r="J8372" s="2"/>
      <c r="K8372" s="2"/>
      <c r="L8372" s="2"/>
      <c r="M8372" s="2"/>
      <c r="N8372" s="29"/>
      <c r="O8372" s="29"/>
    </row>
    <row r="8373">
      <c r="A8373" s="4"/>
      <c r="B8373" s="2"/>
      <c r="C8373" s="2"/>
      <c r="D8373" s="2"/>
      <c r="E8373" s="2"/>
      <c r="F8373" s="2"/>
      <c r="G8373" s="2"/>
      <c r="H8373" s="2"/>
      <c r="I8373" s="2"/>
      <c r="J8373" s="2"/>
      <c r="K8373" s="2"/>
      <c r="L8373" s="2"/>
      <c r="M8373" s="2"/>
      <c r="N8373" s="29"/>
      <c r="O8373" s="29"/>
    </row>
    <row r="8374">
      <c r="A8374" s="4"/>
      <c r="B8374" s="2"/>
      <c r="C8374" s="2"/>
      <c r="D8374" s="2"/>
      <c r="E8374" s="2"/>
      <c r="F8374" s="2"/>
      <c r="G8374" s="2"/>
      <c r="H8374" s="2"/>
      <c r="I8374" s="2"/>
      <c r="J8374" s="2"/>
      <c r="K8374" s="2"/>
      <c r="L8374" s="2"/>
      <c r="M8374" s="2"/>
      <c r="N8374" s="29"/>
      <c r="O8374" s="29"/>
    </row>
    <row r="8375">
      <c r="A8375" s="4"/>
      <c r="B8375" s="2"/>
      <c r="C8375" s="2"/>
      <c r="D8375" s="2"/>
      <c r="E8375" s="2"/>
      <c r="F8375" s="2"/>
      <c r="G8375" s="2"/>
      <c r="H8375" s="2"/>
      <c r="I8375" s="2"/>
      <c r="J8375" s="2"/>
      <c r="K8375" s="2"/>
      <c r="L8375" s="2"/>
      <c r="M8375" s="2"/>
      <c r="N8375" s="29"/>
      <c r="O8375" s="29"/>
    </row>
    <row r="8376">
      <c r="A8376" s="4"/>
      <c r="B8376" s="2"/>
      <c r="C8376" s="2"/>
      <c r="D8376" s="2"/>
      <c r="E8376" s="2"/>
      <c r="F8376" s="2"/>
      <c r="G8376" s="2"/>
      <c r="H8376" s="2"/>
      <c r="I8376" s="2"/>
      <c r="J8376" s="2"/>
      <c r="K8376" s="2"/>
      <c r="L8376" s="2"/>
      <c r="M8376" s="2"/>
      <c r="N8376" s="29"/>
      <c r="O8376" s="29"/>
    </row>
    <row r="8377">
      <c r="A8377" s="4"/>
      <c r="B8377" s="2"/>
      <c r="C8377" s="2"/>
      <c r="D8377" s="2"/>
      <c r="E8377" s="2"/>
      <c r="F8377" s="2"/>
      <c r="G8377" s="2"/>
      <c r="H8377" s="2"/>
      <c r="I8377" s="2"/>
      <c r="J8377" s="2"/>
      <c r="K8377" s="2"/>
      <c r="L8377" s="2"/>
      <c r="M8377" s="2"/>
      <c r="N8377" s="29"/>
      <c r="O8377" s="29"/>
    </row>
    <row r="8378">
      <c r="A8378" s="4"/>
      <c r="B8378" s="2"/>
      <c r="C8378" s="2"/>
      <c r="D8378" s="2"/>
      <c r="E8378" s="2"/>
      <c r="F8378" s="2"/>
      <c r="G8378" s="2"/>
      <c r="H8378" s="2"/>
      <c r="I8378" s="2"/>
      <c r="J8378" s="2"/>
      <c r="K8378" s="2"/>
      <c r="L8378" s="2"/>
      <c r="M8378" s="2"/>
      <c r="N8378" s="29"/>
      <c r="O8378" s="29"/>
    </row>
    <row r="8379">
      <c r="A8379" s="4"/>
      <c r="B8379" s="2"/>
      <c r="C8379" s="2"/>
      <c r="D8379" s="2"/>
      <c r="E8379" s="2"/>
      <c r="F8379" s="2"/>
      <c r="G8379" s="2"/>
      <c r="H8379" s="2"/>
      <c r="I8379" s="2"/>
      <c r="J8379" s="2"/>
      <c r="K8379" s="2"/>
      <c r="L8379" s="2"/>
      <c r="M8379" s="2"/>
      <c r="N8379" s="29"/>
      <c r="O8379" s="29"/>
    </row>
    <row r="8380">
      <c r="A8380" s="4"/>
      <c r="B8380" s="2"/>
      <c r="C8380" s="2"/>
      <c r="D8380" s="2"/>
      <c r="E8380" s="2"/>
      <c r="F8380" s="2"/>
      <c r="G8380" s="2"/>
      <c r="H8380" s="2"/>
      <c r="I8380" s="2"/>
      <c r="J8380" s="2"/>
      <c r="K8380" s="2"/>
      <c r="L8380" s="2"/>
      <c r="M8380" s="2"/>
      <c r="N8380" s="29"/>
      <c r="O8380" s="29"/>
    </row>
    <row r="8381">
      <c r="A8381" s="4"/>
      <c r="B8381" s="2"/>
      <c r="C8381" s="2"/>
      <c r="D8381" s="2"/>
      <c r="E8381" s="2"/>
      <c r="F8381" s="2"/>
      <c r="G8381" s="2"/>
      <c r="H8381" s="2"/>
      <c r="I8381" s="2"/>
      <c r="J8381" s="2"/>
      <c r="K8381" s="2"/>
      <c r="L8381" s="2"/>
      <c r="M8381" s="2"/>
      <c r="N8381" s="29"/>
      <c r="O8381" s="29"/>
    </row>
    <row r="8382">
      <c r="A8382" s="4"/>
      <c r="B8382" s="2"/>
      <c r="C8382" s="2"/>
      <c r="D8382" s="2"/>
      <c r="E8382" s="2"/>
      <c r="F8382" s="2"/>
      <c r="G8382" s="2"/>
      <c r="H8382" s="2"/>
      <c r="I8382" s="2"/>
      <c r="J8382" s="2"/>
      <c r="K8382" s="2"/>
      <c r="L8382" s="2"/>
      <c r="M8382" s="2"/>
      <c r="N8382" s="29"/>
      <c r="O8382" s="29"/>
    </row>
    <row r="8383">
      <c r="A8383" s="4"/>
      <c r="B8383" s="2"/>
      <c r="C8383" s="2"/>
      <c r="D8383" s="2"/>
      <c r="E8383" s="2"/>
      <c r="F8383" s="2"/>
      <c r="G8383" s="2"/>
      <c r="H8383" s="2"/>
      <c r="I8383" s="2"/>
      <c r="J8383" s="2"/>
      <c r="K8383" s="2"/>
      <c r="L8383" s="2"/>
      <c r="M8383" s="2"/>
      <c r="N8383" s="29"/>
      <c r="O8383" s="29"/>
    </row>
    <row r="8384">
      <c r="A8384" s="4"/>
      <c r="B8384" s="2"/>
      <c r="C8384" s="2"/>
      <c r="D8384" s="2"/>
      <c r="E8384" s="2"/>
      <c r="F8384" s="2"/>
      <c r="G8384" s="2"/>
      <c r="H8384" s="2"/>
      <c r="I8384" s="2"/>
      <c r="J8384" s="2"/>
      <c r="K8384" s="2"/>
      <c r="L8384" s="2"/>
      <c r="M8384" s="2"/>
      <c r="N8384" s="29"/>
      <c r="O8384" s="29"/>
    </row>
    <row r="8385">
      <c r="A8385" s="4"/>
      <c r="B8385" s="2"/>
      <c r="C8385" s="2"/>
      <c r="D8385" s="2"/>
      <c r="E8385" s="2"/>
      <c r="F8385" s="2"/>
      <c r="G8385" s="2"/>
      <c r="H8385" s="2"/>
      <c r="I8385" s="2"/>
      <c r="J8385" s="2"/>
      <c r="K8385" s="2"/>
      <c r="L8385" s="2"/>
      <c r="M8385" s="2"/>
      <c r="N8385" s="29"/>
      <c r="O8385" s="29"/>
    </row>
    <row r="8386">
      <c r="A8386" s="4"/>
      <c r="B8386" s="2"/>
      <c r="C8386" s="2"/>
      <c r="D8386" s="2"/>
      <c r="E8386" s="2"/>
      <c r="F8386" s="2"/>
      <c r="G8386" s="2"/>
      <c r="H8386" s="2"/>
      <c r="I8386" s="2"/>
      <c r="J8386" s="2"/>
      <c r="K8386" s="2"/>
      <c r="L8386" s="2"/>
      <c r="M8386" s="2"/>
      <c r="N8386" s="29"/>
      <c r="O8386" s="29"/>
    </row>
    <row r="8387">
      <c r="A8387" s="4"/>
      <c r="B8387" s="2"/>
      <c r="C8387" s="2"/>
      <c r="D8387" s="2"/>
      <c r="E8387" s="2"/>
      <c r="F8387" s="2"/>
      <c r="G8387" s="2"/>
      <c r="H8387" s="2"/>
      <c r="I8387" s="2"/>
      <c r="J8387" s="2"/>
      <c r="K8387" s="2"/>
      <c r="L8387" s="2"/>
      <c r="M8387" s="2"/>
      <c r="N8387" s="29"/>
      <c r="O8387" s="29"/>
    </row>
    <row r="8388">
      <c r="A8388" s="4"/>
      <c r="B8388" s="2"/>
      <c r="C8388" s="2"/>
      <c r="D8388" s="2"/>
      <c r="E8388" s="2"/>
      <c r="F8388" s="2"/>
      <c r="G8388" s="2"/>
      <c r="H8388" s="2"/>
      <c r="I8388" s="2"/>
      <c r="J8388" s="2"/>
      <c r="K8388" s="2"/>
      <c r="L8388" s="2"/>
      <c r="M8388" s="2"/>
      <c r="N8388" s="29"/>
      <c r="O8388" s="29"/>
    </row>
    <row r="8389">
      <c r="A8389" s="4"/>
      <c r="B8389" s="2"/>
      <c r="C8389" s="2"/>
      <c r="D8389" s="2"/>
      <c r="E8389" s="2"/>
      <c r="F8389" s="2"/>
      <c r="G8389" s="2"/>
      <c r="H8389" s="2"/>
      <c r="I8389" s="2"/>
      <c r="J8389" s="2"/>
      <c r="K8389" s="2"/>
      <c r="L8389" s="2"/>
      <c r="M8389" s="2"/>
      <c r="N8389" s="29"/>
      <c r="O8389" s="29"/>
    </row>
    <row r="8390">
      <c r="A8390" s="4"/>
      <c r="B8390" s="2"/>
      <c r="C8390" s="2"/>
      <c r="D8390" s="2"/>
      <c r="E8390" s="2"/>
      <c r="F8390" s="2"/>
      <c r="G8390" s="2"/>
      <c r="H8390" s="2"/>
      <c r="I8390" s="2"/>
      <c r="J8390" s="2"/>
      <c r="K8390" s="2"/>
      <c r="L8390" s="2"/>
      <c r="M8390" s="2"/>
      <c r="N8390" s="29"/>
      <c r="O8390" s="29"/>
    </row>
    <row r="8391">
      <c r="A8391" s="4"/>
      <c r="B8391" s="2"/>
      <c r="C8391" s="2"/>
      <c r="D8391" s="2"/>
      <c r="E8391" s="2"/>
      <c r="F8391" s="2"/>
      <c r="G8391" s="2"/>
      <c r="H8391" s="2"/>
      <c r="I8391" s="2"/>
      <c r="J8391" s="2"/>
      <c r="K8391" s="2"/>
      <c r="L8391" s="2"/>
      <c r="M8391" s="2"/>
      <c r="N8391" s="29"/>
      <c r="O8391" s="29"/>
    </row>
    <row r="8392">
      <c r="A8392" s="4"/>
      <c r="B8392" s="2"/>
      <c r="C8392" s="2"/>
      <c r="D8392" s="2"/>
      <c r="E8392" s="2"/>
      <c r="F8392" s="2"/>
      <c r="G8392" s="2"/>
      <c r="H8392" s="2"/>
      <c r="I8392" s="2"/>
      <c r="J8392" s="2"/>
      <c r="K8392" s="2"/>
      <c r="L8392" s="2"/>
      <c r="M8392" s="2"/>
      <c r="N8392" s="29"/>
      <c r="O8392" s="29"/>
    </row>
    <row r="8393">
      <c r="A8393" s="4"/>
      <c r="B8393" s="2"/>
      <c r="C8393" s="2"/>
      <c r="D8393" s="2"/>
      <c r="E8393" s="2"/>
      <c r="F8393" s="2"/>
      <c r="G8393" s="2"/>
      <c r="H8393" s="2"/>
      <c r="I8393" s="2"/>
      <c r="J8393" s="2"/>
      <c r="K8393" s="2"/>
      <c r="L8393" s="2"/>
      <c r="M8393" s="2"/>
      <c r="N8393" s="29"/>
      <c r="O8393" s="29"/>
    </row>
    <row r="8394">
      <c r="A8394" s="4"/>
      <c r="B8394" s="2"/>
      <c r="C8394" s="2"/>
      <c r="D8394" s="2"/>
      <c r="E8394" s="2"/>
      <c r="F8394" s="2"/>
      <c r="G8394" s="2"/>
      <c r="H8394" s="2"/>
      <c r="I8394" s="2"/>
      <c r="J8394" s="2"/>
      <c r="K8394" s="2"/>
      <c r="L8394" s="2"/>
      <c r="M8394" s="2"/>
      <c r="N8394" s="29"/>
      <c r="O8394" s="29"/>
    </row>
    <row r="8395">
      <c r="A8395" s="4"/>
      <c r="B8395" s="2"/>
      <c r="C8395" s="2"/>
      <c r="D8395" s="2"/>
      <c r="E8395" s="2"/>
      <c r="F8395" s="2"/>
      <c r="G8395" s="2"/>
      <c r="H8395" s="2"/>
      <c r="I8395" s="2"/>
      <c r="J8395" s="2"/>
      <c r="K8395" s="2"/>
      <c r="L8395" s="2"/>
      <c r="M8395" s="2"/>
      <c r="N8395" s="29"/>
      <c r="O8395" s="29"/>
    </row>
    <row r="8396">
      <c r="A8396" s="4"/>
      <c r="B8396" s="2"/>
      <c r="C8396" s="2"/>
      <c r="D8396" s="2"/>
      <c r="E8396" s="2"/>
      <c r="F8396" s="2"/>
      <c r="G8396" s="2"/>
      <c r="H8396" s="2"/>
      <c r="I8396" s="2"/>
      <c r="J8396" s="2"/>
      <c r="K8396" s="2"/>
      <c r="L8396" s="2"/>
      <c r="M8396" s="2"/>
      <c r="N8396" s="29"/>
      <c r="O8396" s="29"/>
    </row>
    <row r="8397">
      <c r="A8397" s="4"/>
      <c r="B8397" s="2"/>
      <c r="C8397" s="2"/>
      <c r="D8397" s="2"/>
      <c r="E8397" s="2"/>
      <c r="F8397" s="2"/>
      <c r="G8397" s="2"/>
      <c r="H8397" s="2"/>
      <c r="I8397" s="2"/>
      <c r="J8397" s="2"/>
      <c r="K8397" s="2"/>
      <c r="L8397" s="2"/>
      <c r="M8397" s="2"/>
      <c r="N8397" s="29"/>
      <c r="O8397" s="29"/>
    </row>
    <row r="8398">
      <c r="A8398" s="4"/>
      <c r="B8398" s="2"/>
      <c r="C8398" s="2"/>
      <c r="D8398" s="2"/>
      <c r="E8398" s="2"/>
      <c r="F8398" s="2"/>
      <c r="G8398" s="2"/>
      <c r="H8398" s="2"/>
      <c r="I8398" s="2"/>
      <c r="J8398" s="2"/>
      <c r="K8398" s="2"/>
      <c r="L8398" s="2"/>
      <c r="M8398" s="2"/>
      <c r="N8398" s="29"/>
      <c r="O8398" s="29"/>
    </row>
    <row r="8399">
      <c r="A8399" s="4"/>
      <c r="B8399" s="2"/>
      <c r="C8399" s="2"/>
      <c r="D8399" s="2"/>
      <c r="E8399" s="2"/>
      <c r="F8399" s="2"/>
      <c r="G8399" s="2"/>
      <c r="H8399" s="2"/>
      <c r="I8399" s="2"/>
      <c r="J8399" s="2"/>
      <c r="K8399" s="2"/>
      <c r="L8399" s="2"/>
      <c r="M8399" s="2"/>
      <c r="N8399" s="29"/>
      <c r="O8399" s="29"/>
    </row>
    <row r="8400">
      <c r="A8400" s="4"/>
      <c r="B8400" s="2"/>
      <c r="C8400" s="2"/>
      <c r="D8400" s="2"/>
      <c r="E8400" s="2"/>
      <c r="F8400" s="2"/>
      <c r="G8400" s="2"/>
      <c r="H8400" s="2"/>
      <c r="I8400" s="2"/>
      <c r="J8400" s="2"/>
      <c r="K8400" s="2"/>
      <c r="L8400" s="2"/>
      <c r="M8400" s="2"/>
      <c r="N8400" s="29"/>
      <c r="O8400" s="29"/>
    </row>
    <row r="8401">
      <c r="A8401" s="4"/>
      <c r="B8401" s="2"/>
      <c r="C8401" s="2"/>
      <c r="D8401" s="2"/>
      <c r="E8401" s="2"/>
      <c r="F8401" s="2"/>
      <c r="G8401" s="2"/>
      <c r="H8401" s="2"/>
      <c r="I8401" s="2"/>
      <c r="J8401" s="2"/>
      <c r="K8401" s="2"/>
      <c r="L8401" s="2"/>
      <c r="M8401" s="2"/>
      <c r="N8401" s="29"/>
      <c r="O8401" s="29"/>
    </row>
    <row r="8402">
      <c r="A8402" s="4"/>
      <c r="B8402" s="2"/>
      <c r="C8402" s="2"/>
      <c r="D8402" s="2"/>
      <c r="E8402" s="2"/>
      <c r="F8402" s="2"/>
      <c r="G8402" s="2"/>
      <c r="H8402" s="2"/>
      <c r="I8402" s="2"/>
      <c r="J8402" s="2"/>
      <c r="K8402" s="2"/>
      <c r="L8402" s="2"/>
      <c r="M8402" s="2"/>
      <c r="N8402" s="29"/>
      <c r="O8402" s="29"/>
    </row>
    <row r="8403">
      <c r="A8403" s="4"/>
      <c r="B8403" s="2"/>
      <c r="C8403" s="2"/>
      <c r="D8403" s="2"/>
      <c r="E8403" s="2"/>
      <c r="F8403" s="2"/>
      <c r="G8403" s="2"/>
      <c r="H8403" s="2"/>
      <c r="I8403" s="2"/>
      <c r="J8403" s="2"/>
      <c r="K8403" s="2"/>
      <c r="L8403" s="2"/>
      <c r="M8403" s="2"/>
      <c r="N8403" s="29"/>
      <c r="O8403" s="29"/>
    </row>
    <row r="8404">
      <c r="A8404" s="4"/>
      <c r="B8404" s="2"/>
      <c r="C8404" s="2"/>
      <c r="D8404" s="2"/>
      <c r="E8404" s="2"/>
      <c r="F8404" s="2"/>
      <c r="G8404" s="2"/>
      <c r="H8404" s="2"/>
      <c r="I8404" s="2"/>
      <c r="J8404" s="2"/>
      <c r="K8404" s="2"/>
      <c r="L8404" s="2"/>
      <c r="M8404" s="2"/>
      <c r="N8404" s="29"/>
      <c r="O8404" s="29"/>
    </row>
    <row r="8405">
      <c r="A8405" s="4"/>
      <c r="B8405" s="2"/>
      <c r="C8405" s="2"/>
      <c r="D8405" s="2"/>
      <c r="E8405" s="2"/>
      <c r="F8405" s="2"/>
      <c r="G8405" s="2"/>
      <c r="H8405" s="2"/>
      <c r="I8405" s="2"/>
      <c r="J8405" s="2"/>
      <c r="K8405" s="2"/>
      <c r="L8405" s="2"/>
      <c r="M8405" s="2"/>
      <c r="N8405" s="29"/>
      <c r="O8405" s="29"/>
    </row>
    <row r="8406">
      <c r="A8406" s="4"/>
      <c r="B8406" s="2"/>
      <c r="C8406" s="2"/>
      <c r="D8406" s="2"/>
      <c r="E8406" s="2"/>
      <c r="F8406" s="2"/>
      <c r="G8406" s="2"/>
      <c r="H8406" s="2"/>
      <c r="I8406" s="2"/>
      <c r="J8406" s="2"/>
      <c r="K8406" s="2"/>
      <c r="L8406" s="2"/>
      <c r="M8406" s="2"/>
      <c r="N8406" s="29"/>
      <c r="O8406" s="29"/>
    </row>
    <row r="8407">
      <c r="A8407" s="4"/>
      <c r="B8407" s="2"/>
      <c r="C8407" s="2"/>
      <c r="D8407" s="2"/>
      <c r="E8407" s="2"/>
      <c r="F8407" s="2"/>
      <c r="G8407" s="2"/>
      <c r="H8407" s="2"/>
      <c r="I8407" s="2"/>
      <c r="J8407" s="2"/>
      <c r="K8407" s="2"/>
      <c r="L8407" s="2"/>
      <c r="M8407" s="2"/>
      <c r="N8407" s="29"/>
      <c r="O8407" s="29"/>
    </row>
    <row r="8408">
      <c r="A8408" s="4"/>
      <c r="B8408" s="2"/>
      <c r="C8408" s="2"/>
      <c r="D8408" s="2"/>
      <c r="E8408" s="2"/>
      <c r="F8408" s="2"/>
      <c r="G8408" s="2"/>
      <c r="H8408" s="2"/>
      <c r="I8408" s="2"/>
      <c r="J8408" s="2"/>
      <c r="K8408" s="2"/>
      <c r="L8408" s="2"/>
      <c r="M8408" s="2"/>
      <c r="N8408" s="29"/>
      <c r="O8408" s="29"/>
    </row>
    <row r="8409">
      <c r="A8409" s="4"/>
      <c r="B8409" s="2"/>
      <c r="C8409" s="2"/>
      <c r="D8409" s="2"/>
      <c r="E8409" s="2"/>
      <c r="F8409" s="2"/>
      <c r="G8409" s="2"/>
      <c r="H8409" s="2"/>
      <c r="I8409" s="2"/>
      <c r="J8409" s="2"/>
      <c r="K8409" s="2"/>
      <c r="L8409" s="2"/>
      <c r="M8409" s="2"/>
      <c r="N8409" s="29"/>
      <c r="O8409" s="29"/>
    </row>
    <row r="8410">
      <c r="A8410" s="4"/>
      <c r="B8410" s="2"/>
      <c r="C8410" s="2"/>
      <c r="D8410" s="2"/>
      <c r="E8410" s="2"/>
      <c r="F8410" s="2"/>
      <c r="G8410" s="2"/>
      <c r="H8410" s="2"/>
      <c r="I8410" s="2"/>
      <c r="J8410" s="2"/>
      <c r="K8410" s="2"/>
      <c r="L8410" s="2"/>
      <c r="M8410" s="2"/>
      <c r="N8410" s="29"/>
      <c r="O8410" s="29"/>
    </row>
    <row r="8411">
      <c r="A8411" s="4"/>
      <c r="B8411" s="2"/>
      <c r="C8411" s="2"/>
      <c r="D8411" s="2"/>
      <c r="E8411" s="2"/>
      <c r="F8411" s="2"/>
      <c r="G8411" s="2"/>
      <c r="H8411" s="2"/>
      <c r="I8411" s="2"/>
      <c r="J8411" s="2"/>
      <c r="K8411" s="2"/>
      <c r="L8411" s="2"/>
      <c r="M8411" s="2"/>
      <c r="N8411" s="29"/>
      <c r="O8411" s="29"/>
    </row>
    <row r="8412">
      <c r="A8412" s="4"/>
      <c r="B8412" s="2"/>
      <c r="C8412" s="2"/>
      <c r="D8412" s="2"/>
      <c r="E8412" s="2"/>
      <c r="F8412" s="2"/>
      <c r="G8412" s="2"/>
      <c r="H8412" s="2"/>
      <c r="I8412" s="2"/>
      <c r="J8412" s="2"/>
      <c r="K8412" s="2"/>
      <c r="L8412" s="2"/>
      <c r="M8412" s="2"/>
      <c r="N8412" s="29"/>
      <c r="O8412" s="29"/>
    </row>
    <row r="8413">
      <c r="A8413" s="4"/>
      <c r="B8413" s="2"/>
      <c r="C8413" s="2"/>
      <c r="D8413" s="2"/>
      <c r="E8413" s="2"/>
      <c r="F8413" s="2"/>
      <c r="G8413" s="2"/>
      <c r="H8413" s="2"/>
      <c r="I8413" s="2"/>
      <c r="J8413" s="2"/>
      <c r="K8413" s="2"/>
      <c r="L8413" s="2"/>
      <c r="M8413" s="2"/>
      <c r="N8413" s="29"/>
      <c r="O8413" s="29"/>
    </row>
    <row r="8414">
      <c r="A8414" s="4"/>
      <c r="B8414" s="2"/>
      <c r="C8414" s="2"/>
      <c r="D8414" s="2"/>
      <c r="E8414" s="2"/>
      <c r="F8414" s="2"/>
      <c r="G8414" s="2"/>
      <c r="H8414" s="2"/>
      <c r="I8414" s="2"/>
      <c r="J8414" s="2"/>
      <c r="K8414" s="2"/>
      <c r="L8414" s="2"/>
      <c r="M8414" s="2"/>
      <c r="N8414" s="29"/>
      <c r="O8414" s="29"/>
    </row>
    <row r="8415">
      <c r="A8415" s="4"/>
      <c r="B8415" s="2"/>
      <c r="C8415" s="2"/>
      <c r="D8415" s="2"/>
      <c r="E8415" s="2"/>
      <c r="F8415" s="2"/>
      <c r="G8415" s="2"/>
      <c r="H8415" s="2"/>
      <c r="I8415" s="2"/>
      <c r="J8415" s="2"/>
      <c r="K8415" s="2"/>
      <c r="L8415" s="2"/>
      <c r="M8415" s="2"/>
      <c r="N8415" s="29"/>
      <c r="O8415" s="29"/>
    </row>
    <row r="8416">
      <c r="A8416" s="4"/>
      <c r="B8416" s="2"/>
      <c r="C8416" s="2"/>
      <c r="D8416" s="2"/>
      <c r="E8416" s="2"/>
      <c r="F8416" s="2"/>
      <c r="G8416" s="2"/>
      <c r="H8416" s="2"/>
      <c r="I8416" s="2"/>
      <c r="J8416" s="2"/>
      <c r="K8416" s="2"/>
      <c r="L8416" s="2"/>
      <c r="M8416" s="2"/>
      <c r="N8416" s="29"/>
      <c r="O8416" s="29"/>
    </row>
    <row r="8417">
      <c r="A8417" s="4"/>
      <c r="B8417" s="2"/>
      <c r="C8417" s="2"/>
      <c r="D8417" s="2"/>
      <c r="E8417" s="2"/>
      <c r="F8417" s="2"/>
      <c r="G8417" s="2"/>
      <c r="H8417" s="2"/>
      <c r="I8417" s="2"/>
      <c r="J8417" s="2"/>
      <c r="K8417" s="2"/>
      <c r="L8417" s="2"/>
      <c r="M8417" s="2"/>
      <c r="N8417" s="29"/>
      <c r="O8417" s="29"/>
    </row>
    <row r="8418">
      <c r="A8418" s="4"/>
      <c r="B8418" s="2"/>
      <c r="C8418" s="2"/>
      <c r="D8418" s="2"/>
      <c r="E8418" s="2"/>
      <c r="F8418" s="2"/>
      <c r="G8418" s="2"/>
      <c r="H8418" s="2"/>
      <c r="I8418" s="2"/>
      <c r="J8418" s="2"/>
      <c r="K8418" s="2"/>
      <c r="L8418" s="2"/>
      <c r="M8418" s="2"/>
      <c r="N8418" s="29"/>
      <c r="O8418" s="29"/>
    </row>
    <row r="8419">
      <c r="A8419" s="4"/>
      <c r="B8419" s="2"/>
      <c r="C8419" s="2"/>
      <c r="D8419" s="2"/>
      <c r="E8419" s="2"/>
      <c r="F8419" s="2"/>
      <c r="G8419" s="2"/>
      <c r="H8419" s="2"/>
      <c r="I8419" s="2"/>
      <c r="J8419" s="2"/>
      <c r="K8419" s="2"/>
      <c r="L8419" s="2"/>
      <c r="M8419" s="2"/>
      <c r="N8419" s="29"/>
      <c r="O8419" s="29"/>
    </row>
    <row r="8420">
      <c r="A8420" s="4"/>
      <c r="B8420" s="2"/>
      <c r="C8420" s="2"/>
      <c r="D8420" s="2"/>
      <c r="E8420" s="2"/>
      <c r="F8420" s="2"/>
      <c r="G8420" s="2"/>
      <c r="H8420" s="2"/>
      <c r="I8420" s="2"/>
      <c r="J8420" s="2"/>
      <c r="K8420" s="2"/>
      <c r="L8420" s="2"/>
      <c r="M8420" s="2"/>
      <c r="N8420" s="29"/>
      <c r="O8420" s="29"/>
    </row>
    <row r="8421">
      <c r="A8421" s="4"/>
      <c r="B8421" s="2"/>
      <c r="C8421" s="2"/>
      <c r="D8421" s="2"/>
      <c r="E8421" s="2"/>
      <c r="F8421" s="2"/>
      <c r="G8421" s="2"/>
      <c r="H8421" s="2"/>
      <c r="I8421" s="2"/>
      <c r="J8421" s="2"/>
      <c r="K8421" s="2"/>
      <c r="L8421" s="2"/>
      <c r="M8421" s="2"/>
      <c r="N8421" s="29"/>
      <c r="O8421" s="29"/>
    </row>
    <row r="8422">
      <c r="A8422" s="4"/>
      <c r="B8422" s="2"/>
      <c r="C8422" s="2"/>
      <c r="D8422" s="2"/>
      <c r="E8422" s="2"/>
      <c r="F8422" s="2"/>
      <c r="G8422" s="2"/>
      <c r="H8422" s="2"/>
      <c r="I8422" s="2"/>
      <c r="J8422" s="2"/>
      <c r="K8422" s="2"/>
      <c r="L8422" s="2"/>
      <c r="M8422" s="2"/>
      <c r="N8422" s="29"/>
      <c r="O8422" s="29"/>
    </row>
    <row r="8423">
      <c r="A8423" s="4"/>
      <c r="B8423" s="2"/>
      <c r="C8423" s="2"/>
      <c r="D8423" s="2"/>
      <c r="E8423" s="2"/>
      <c r="F8423" s="2"/>
      <c r="G8423" s="2"/>
      <c r="H8423" s="2"/>
      <c r="I8423" s="2"/>
      <c r="J8423" s="2"/>
      <c r="K8423" s="2"/>
      <c r="L8423" s="2"/>
      <c r="M8423" s="2"/>
      <c r="N8423" s="29"/>
      <c r="O8423" s="29"/>
    </row>
    <row r="8424">
      <c r="A8424" s="4"/>
      <c r="B8424" s="2"/>
      <c r="C8424" s="2"/>
      <c r="D8424" s="2"/>
      <c r="E8424" s="2"/>
      <c r="F8424" s="2"/>
      <c r="G8424" s="2"/>
      <c r="H8424" s="2"/>
      <c r="I8424" s="2"/>
      <c r="J8424" s="2"/>
      <c r="K8424" s="2"/>
      <c r="L8424" s="2"/>
      <c r="M8424" s="2"/>
      <c r="N8424" s="29"/>
      <c r="O8424" s="29"/>
    </row>
    <row r="8425">
      <c r="A8425" s="4"/>
      <c r="B8425" s="2"/>
      <c r="C8425" s="2"/>
      <c r="D8425" s="2"/>
      <c r="E8425" s="2"/>
      <c r="F8425" s="2"/>
      <c r="G8425" s="2"/>
      <c r="H8425" s="2"/>
      <c r="I8425" s="2"/>
      <c r="J8425" s="2"/>
      <c r="K8425" s="2"/>
      <c r="L8425" s="2"/>
      <c r="M8425" s="2"/>
      <c r="N8425" s="29"/>
      <c r="O8425" s="29"/>
    </row>
    <row r="8426">
      <c r="A8426" s="4"/>
      <c r="B8426" s="2"/>
      <c r="C8426" s="2"/>
      <c r="D8426" s="2"/>
      <c r="E8426" s="2"/>
      <c r="F8426" s="2"/>
      <c r="G8426" s="2"/>
      <c r="H8426" s="2"/>
      <c r="I8426" s="2"/>
      <c r="J8426" s="2"/>
      <c r="K8426" s="2"/>
      <c r="L8426" s="2"/>
      <c r="M8426" s="2"/>
      <c r="N8426" s="29"/>
      <c r="O8426" s="29"/>
    </row>
    <row r="8427">
      <c r="A8427" s="4"/>
      <c r="B8427" s="2"/>
      <c r="C8427" s="2"/>
      <c r="D8427" s="2"/>
      <c r="E8427" s="2"/>
      <c r="F8427" s="2"/>
      <c r="G8427" s="2"/>
      <c r="H8427" s="2"/>
      <c r="I8427" s="2"/>
      <c r="J8427" s="2"/>
      <c r="K8427" s="2"/>
      <c r="L8427" s="2"/>
      <c r="M8427" s="2"/>
      <c r="N8427" s="29"/>
      <c r="O8427" s="29"/>
    </row>
    <row r="8428">
      <c r="A8428" s="4"/>
      <c r="B8428" s="2"/>
      <c r="C8428" s="2"/>
      <c r="D8428" s="2"/>
      <c r="E8428" s="2"/>
      <c r="F8428" s="2"/>
      <c r="G8428" s="2"/>
      <c r="H8428" s="2"/>
      <c r="I8428" s="2"/>
      <c r="J8428" s="2"/>
      <c r="K8428" s="2"/>
      <c r="L8428" s="2"/>
      <c r="M8428" s="2"/>
      <c r="N8428" s="29"/>
      <c r="O8428" s="29"/>
    </row>
    <row r="8429">
      <c r="A8429" s="4"/>
      <c r="B8429" s="2"/>
      <c r="C8429" s="2"/>
      <c r="D8429" s="2"/>
      <c r="E8429" s="2"/>
      <c r="F8429" s="2"/>
      <c r="G8429" s="2"/>
      <c r="H8429" s="2"/>
      <c r="I8429" s="2"/>
      <c r="J8429" s="2"/>
      <c r="K8429" s="2"/>
      <c r="L8429" s="2"/>
      <c r="M8429" s="2"/>
      <c r="N8429" s="29"/>
      <c r="O8429" s="29"/>
    </row>
    <row r="8430">
      <c r="A8430" s="4"/>
      <c r="B8430" s="2"/>
      <c r="C8430" s="2"/>
      <c r="D8430" s="2"/>
      <c r="E8430" s="2"/>
      <c r="F8430" s="2"/>
      <c r="G8430" s="2"/>
      <c r="H8430" s="2"/>
      <c r="I8430" s="2"/>
      <c r="J8430" s="2"/>
      <c r="K8430" s="2"/>
      <c r="L8430" s="2"/>
      <c r="M8430" s="2"/>
      <c r="N8430" s="29"/>
      <c r="O8430" s="29"/>
    </row>
    <row r="8431">
      <c r="A8431" s="4"/>
      <c r="B8431" s="2"/>
      <c r="C8431" s="2"/>
      <c r="D8431" s="2"/>
      <c r="E8431" s="2"/>
      <c r="F8431" s="2"/>
      <c r="G8431" s="2"/>
      <c r="H8431" s="2"/>
      <c r="I8431" s="2"/>
      <c r="J8431" s="2"/>
      <c r="K8431" s="2"/>
      <c r="L8431" s="2"/>
      <c r="M8431" s="2"/>
      <c r="N8431" s="29"/>
      <c r="O8431" s="29"/>
    </row>
    <row r="8432">
      <c r="A8432" s="4"/>
      <c r="B8432" s="2"/>
      <c r="C8432" s="2"/>
      <c r="D8432" s="2"/>
      <c r="E8432" s="2"/>
      <c r="F8432" s="2"/>
      <c r="G8432" s="2"/>
      <c r="H8432" s="2"/>
      <c r="I8432" s="2"/>
      <c r="J8432" s="2"/>
      <c r="K8432" s="2"/>
      <c r="L8432" s="2"/>
      <c r="M8432" s="2"/>
      <c r="N8432" s="29"/>
      <c r="O8432" s="29"/>
    </row>
    <row r="8433">
      <c r="A8433" s="4"/>
      <c r="B8433" s="2"/>
      <c r="C8433" s="2"/>
      <c r="D8433" s="2"/>
      <c r="E8433" s="2"/>
      <c r="F8433" s="2"/>
      <c r="G8433" s="2"/>
      <c r="H8433" s="2"/>
      <c r="I8433" s="2"/>
      <c r="J8433" s="2"/>
      <c r="K8433" s="2"/>
      <c r="L8433" s="2"/>
      <c r="M8433" s="2"/>
      <c r="N8433" s="29"/>
      <c r="O8433" s="29"/>
    </row>
    <row r="8434">
      <c r="A8434" s="4"/>
      <c r="B8434" s="2"/>
      <c r="C8434" s="2"/>
      <c r="D8434" s="2"/>
      <c r="E8434" s="2"/>
      <c r="F8434" s="2"/>
      <c r="G8434" s="2"/>
      <c r="H8434" s="2"/>
      <c r="I8434" s="2"/>
      <c r="J8434" s="2"/>
      <c r="K8434" s="2"/>
      <c r="L8434" s="2"/>
      <c r="M8434" s="2"/>
      <c r="N8434" s="29"/>
      <c r="O8434" s="29"/>
    </row>
    <row r="8435">
      <c r="A8435" s="4"/>
      <c r="B8435" s="2"/>
      <c r="C8435" s="2"/>
      <c r="D8435" s="2"/>
      <c r="E8435" s="2"/>
      <c r="F8435" s="2"/>
      <c r="G8435" s="2"/>
      <c r="H8435" s="2"/>
      <c r="I8435" s="2"/>
      <c r="J8435" s="2"/>
      <c r="K8435" s="2"/>
      <c r="L8435" s="2"/>
      <c r="M8435" s="2"/>
      <c r="N8435" s="29"/>
      <c r="O8435" s="29"/>
    </row>
    <row r="8436">
      <c r="A8436" s="4"/>
      <c r="B8436" s="2"/>
      <c r="C8436" s="2"/>
      <c r="D8436" s="2"/>
      <c r="E8436" s="2"/>
      <c r="F8436" s="2"/>
      <c r="G8436" s="2"/>
      <c r="H8436" s="2"/>
      <c r="I8436" s="2"/>
      <c r="J8436" s="2"/>
      <c r="K8436" s="2"/>
      <c r="L8436" s="2"/>
      <c r="M8436" s="2"/>
      <c r="N8436" s="29"/>
      <c r="O8436" s="29"/>
    </row>
    <row r="8437">
      <c r="A8437" s="4"/>
      <c r="B8437" s="2"/>
      <c r="C8437" s="2"/>
      <c r="D8437" s="2"/>
      <c r="E8437" s="2"/>
      <c r="F8437" s="2"/>
      <c r="G8437" s="2"/>
      <c r="H8437" s="2"/>
      <c r="I8437" s="2"/>
      <c r="J8437" s="2"/>
      <c r="K8437" s="2"/>
      <c r="L8437" s="2"/>
      <c r="M8437" s="2"/>
      <c r="N8437" s="29"/>
      <c r="O8437" s="29"/>
    </row>
    <row r="8438">
      <c r="A8438" s="4"/>
      <c r="B8438" s="2"/>
      <c r="C8438" s="2"/>
      <c r="D8438" s="2"/>
      <c r="E8438" s="2"/>
      <c r="F8438" s="2"/>
      <c r="G8438" s="2"/>
      <c r="H8438" s="2"/>
      <c r="I8438" s="2"/>
      <c r="J8438" s="2"/>
      <c r="K8438" s="2"/>
      <c r="L8438" s="2"/>
      <c r="M8438" s="2"/>
      <c r="N8438" s="29"/>
      <c r="O8438" s="29"/>
    </row>
    <row r="8439">
      <c r="A8439" s="4"/>
      <c r="B8439" s="2"/>
      <c r="C8439" s="2"/>
      <c r="D8439" s="2"/>
      <c r="E8439" s="2"/>
      <c r="F8439" s="2"/>
      <c r="G8439" s="2"/>
      <c r="H8439" s="2"/>
      <c r="I8439" s="2"/>
      <c r="J8439" s="2"/>
      <c r="K8439" s="2"/>
      <c r="L8439" s="2"/>
      <c r="M8439" s="2"/>
      <c r="N8439" s="29"/>
      <c r="O8439" s="29"/>
    </row>
    <row r="8440">
      <c r="A8440" s="4"/>
      <c r="B8440" s="2"/>
      <c r="C8440" s="2"/>
      <c r="D8440" s="2"/>
      <c r="E8440" s="2"/>
      <c r="F8440" s="2"/>
      <c r="G8440" s="2"/>
      <c r="H8440" s="2"/>
      <c r="I8440" s="2"/>
      <c r="J8440" s="2"/>
      <c r="K8440" s="2"/>
      <c r="L8440" s="2"/>
      <c r="M8440" s="2"/>
      <c r="N8440" s="29"/>
      <c r="O8440" s="29"/>
    </row>
    <row r="8441">
      <c r="A8441" s="4"/>
      <c r="B8441" s="2"/>
      <c r="C8441" s="2"/>
      <c r="D8441" s="2"/>
      <c r="E8441" s="2"/>
      <c r="F8441" s="2"/>
      <c r="G8441" s="2"/>
      <c r="H8441" s="2"/>
      <c r="I8441" s="2"/>
      <c r="J8441" s="2"/>
      <c r="K8441" s="2"/>
      <c r="L8441" s="2"/>
      <c r="M8441" s="2"/>
      <c r="N8441" s="29"/>
      <c r="O8441" s="29"/>
    </row>
    <row r="8442">
      <c r="A8442" s="4"/>
      <c r="B8442" s="2"/>
      <c r="C8442" s="2"/>
      <c r="D8442" s="2"/>
      <c r="E8442" s="2"/>
      <c r="F8442" s="2"/>
      <c r="G8442" s="2"/>
      <c r="H8442" s="2"/>
      <c r="I8442" s="2"/>
      <c r="J8442" s="2"/>
      <c r="K8442" s="2"/>
      <c r="L8442" s="2"/>
      <c r="M8442" s="2"/>
      <c r="N8442" s="29"/>
      <c r="O8442" s="29"/>
    </row>
    <row r="8443">
      <c r="A8443" s="4"/>
      <c r="B8443" s="2"/>
      <c r="C8443" s="2"/>
      <c r="D8443" s="2"/>
      <c r="E8443" s="2"/>
      <c r="F8443" s="2"/>
      <c r="G8443" s="2"/>
      <c r="H8443" s="2"/>
      <c r="I8443" s="2"/>
      <c r="J8443" s="2"/>
      <c r="K8443" s="2"/>
      <c r="L8443" s="2"/>
      <c r="M8443" s="2"/>
      <c r="N8443" s="29"/>
      <c r="O8443" s="29"/>
    </row>
    <row r="8444">
      <c r="A8444" s="4"/>
      <c r="B8444" s="2"/>
      <c r="C8444" s="2"/>
      <c r="D8444" s="2"/>
      <c r="E8444" s="2"/>
      <c r="F8444" s="2"/>
      <c r="G8444" s="2"/>
      <c r="H8444" s="2"/>
      <c r="I8444" s="2"/>
      <c r="J8444" s="2"/>
      <c r="K8444" s="2"/>
      <c r="L8444" s="2"/>
      <c r="M8444" s="2"/>
      <c r="N8444" s="29"/>
      <c r="O8444" s="29"/>
    </row>
    <row r="8445">
      <c r="A8445" s="4"/>
      <c r="B8445" s="2"/>
      <c r="C8445" s="2"/>
      <c r="D8445" s="2"/>
      <c r="E8445" s="2"/>
      <c r="F8445" s="2"/>
      <c r="G8445" s="2"/>
      <c r="H8445" s="2"/>
      <c r="I8445" s="2"/>
      <c r="J8445" s="2"/>
      <c r="K8445" s="2"/>
      <c r="L8445" s="2"/>
      <c r="M8445" s="2"/>
      <c r="N8445" s="29"/>
      <c r="O8445" s="29"/>
    </row>
    <row r="8446">
      <c r="A8446" s="4"/>
      <c r="B8446" s="2"/>
      <c r="C8446" s="2"/>
      <c r="D8446" s="2"/>
      <c r="E8446" s="2"/>
      <c r="F8446" s="2"/>
      <c r="G8446" s="2"/>
      <c r="H8446" s="2"/>
      <c r="I8446" s="2"/>
      <c r="J8446" s="2"/>
      <c r="K8446" s="2"/>
      <c r="L8446" s="2"/>
      <c r="M8446" s="2"/>
      <c r="N8446" s="29"/>
      <c r="O8446" s="29"/>
    </row>
    <row r="8447">
      <c r="A8447" s="4"/>
      <c r="B8447" s="2"/>
      <c r="C8447" s="2"/>
      <c r="D8447" s="2"/>
      <c r="E8447" s="2"/>
      <c r="F8447" s="2"/>
      <c r="G8447" s="2"/>
      <c r="H8447" s="2"/>
      <c r="I8447" s="2"/>
      <c r="J8447" s="2"/>
      <c r="K8447" s="2"/>
      <c r="L8447" s="2"/>
      <c r="M8447" s="2"/>
      <c r="N8447" s="29"/>
      <c r="O8447" s="29"/>
    </row>
    <row r="8448">
      <c r="A8448" s="4"/>
      <c r="B8448" s="2"/>
      <c r="C8448" s="2"/>
      <c r="D8448" s="2"/>
      <c r="E8448" s="2"/>
      <c r="F8448" s="2"/>
      <c r="G8448" s="2"/>
      <c r="H8448" s="2"/>
      <c r="I8448" s="2"/>
      <c r="J8448" s="2"/>
      <c r="K8448" s="2"/>
      <c r="L8448" s="2"/>
      <c r="M8448" s="2"/>
      <c r="N8448" s="29"/>
      <c r="O8448" s="29"/>
    </row>
    <row r="8449">
      <c r="A8449" s="4"/>
      <c r="B8449" s="2"/>
      <c r="C8449" s="2"/>
      <c r="D8449" s="2"/>
      <c r="E8449" s="2"/>
      <c r="F8449" s="2"/>
      <c r="G8449" s="2"/>
      <c r="H8449" s="2"/>
      <c r="I8449" s="2"/>
      <c r="J8449" s="2"/>
      <c r="K8449" s="2"/>
      <c r="L8449" s="2"/>
      <c r="M8449" s="2"/>
      <c r="N8449" s="29"/>
      <c r="O8449" s="29"/>
    </row>
    <row r="8450">
      <c r="A8450" s="4"/>
      <c r="B8450" s="2"/>
      <c r="C8450" s="2"/>
      <c r="D8450" s="2"/>
      <c r="E8450" s="2"/>
      <c r="F8450" s="2"/>
      <c r="G8450" s="2"/>
      <c r="H8450" s="2"/>
      <c r="I8450" s="2"/>
      <c r="J8450" s="2"/>
      <c r="K8450" s="2"/>
      <c r="L8450" s="2"/>
      <c r="M8450" s="2"/>
      <c r="N8450" s="29"/>
      <c r="O8450" s="29"/>
    </row>
    <row r="8451">
      <c r="A8451" s="4"/>
      <c r="B8451" s="2"/>
      <c r="C8451" s="2"/>
      <c r="D8451" s="2"/>
      <c r="E8451" s="2"/>
      <c r="F8451" s="2"/>
      <c r="G8451" s="2"/>
      <c r="H8451" s="2"/>
      <c r="I8451" s="2"/>
      <c r="J8451" s="2"/>
      <c r="K8451" s="2"/>
      <c r="L8451" s="2"/>
      <c r="M8451" s="2"/>
      <c r="N8451" s="29"/>
      <c r="O8451" s="29"/>
    </row>
    <row r="8452">
      <c r="A8452" s="4"/>
      <c r="B8452" s="2"/>
      <c r="C8452" s="2"/>
      <c r="D8452" s="2"/>
      <c r="E8452" s="2"/>
      <c r="F8452" s="2"/>
      <c r="G8452" s="2"/>
      <c r="H8452" s="2"/>
      <c r="I8452" s="2"/>
      <c r="J8452" s="2"/>
      <c r="K8452" s="2"/>
      <c r="L8452" s="2"/>
      <c r="M8452" s="2"/>
      <c r="N8452" s="29"/>
      <c r="O8452" s="29"/>
    </row>
    <row r="8453">
      <c r="A8453" s="4"/>
      <c r="B8453" s="2"/>
      <c r="C8453" s="2"/>
      <c r="D8453" s="2"/>
      <c r="E8453" s="2"/>
      <c r="F8453" s="2"/>
      <c r="G8453" s="2"/>
      <c r="H8453" s="2"/>
      <c r="I8453" s="2"/>
      <c r="J8453" s="2"/>
      <c r="K8453" s="2"/>
      <c r="L8453" s="2"/>
      <c r="M8453" s="2"/>
      <c r="N8453" s="29"/>
      <c r="O8453" s="29"/>
    </row>
    <row r="8454">
      <c r="A8454" s="4"/>
      <c r="B8454" s="2"/>
      <c r="C8454" s="2"/>
      <c r="D8454" s="2"/>
      <c r="E8454" s="2"/>
      <c r="F8454" s="2"/>
      <c r="G8454" s="2"/>
      <c r="H8454" s="2"/>
      <c r="I8454" s="2"/>
      <c r="J8454" s="2"/>
      <c r="K8454" s="2"/>
      <c r="L8454" s="2"/>
      <c r="M8454" s="2"/>
      <c r="N8454" s="29"/>
      <c r="O8454" s="29"/>
    </row>
    <row r="8455">
      <c r="A8455" s="4"/>
      <c r="B8455" s="2"/>
      <c r="C8455" s="2"/>
      <c r="D8455" s="2"/>
      <c r="E8455" s="2"/>
      <c r="F8455" s="2"/>
      <c r="G8455" s="2"/>
      <c r="H8455" s="2"/>
      <c r="I8455" s="2"/>
      <c r="J8455" s="2"/>
      <c r="K8455" s="2"/>
      <c r="L8455" s="2"/>
      <c r="M8455" s="2"/>
      <c r="N8455" s="29"/>
      <c r="O8455" s="29"/>
    </row>
    <row r="8456">
      <c r="A8456" s="4"/>
      <c r="B8456" s="2"/>
      <c r="C8456" s="2"/>
      <c r="D8456" s="2"/>
      <c r="E8456" s="2"/>
      <c r="F8456" s="2"/>
      <c r="G8456" s="2"/>
      <c r="H8456" s="2"/>
      <c r="I8456" s="2"/>
      <c r="J8456" s="2"/>
      <c r="K8456" s="2"/>
      <c r="L8456" s="2"/>
      <c r="M8456" s="2"/>
      <c r="N8456" s="29"/>
      <c r="O8456" s="29"/>
    </row>
    <row r="8457">
      <c r="A8457" s="4"/>
      <c r="B8457" s="2"/>
      <c r="C8457" s="2"/>
      <c r="D8457" s="2"/>
      <c r="E8457" s="2"/>
      <c r="F8457" s="2"/>
      <c r="G8457" s="2"/>
      <c r="H8457" s="2"/>
      <c r="I8457" s="2"/>
      <c r="J8457" s="2"/>
      <c r="K8457" s="2"/>
      <c r="L8457" s="2"/>
      <c r="M8457" s="2"/>
      <c r="N8457" s="29"/>
      <c r="O8457" s="29"/>
    </row>
    <row r="8458">
      <c r="A8458" s="4"/>
      <c r="B8458" s="2"/>
      <c r="C8458" s="2"/>
      <c r="D8458" s="2"/>
      <c r="E8458" s="2"/>
      <c r="F8458" s="2"/>
      <c r="G8458" s="2"/>
      <c r="H8458" s="2"/>
      <c r="I8458" s="2"/>
      <c r="J8458" s="2"/>
      <c r="K8458" s="2"/>
      <c r="L8458" s="2"/>
      <c r="M8458" s="2"/>
      <c r="N8458" s="29"/>
      <c r="O8458" s="29"/>
    </row>
    <row r="8459">
      <c r="A8459" s="4"/>
      <c r="B8459" s="2"/>
      <c r="C8459" s="2"/>
      <c r="D8459" s="2"/>
      <c r="E8459" s="2"/>
      <c r="F8459" s="2"/>
      <c r="G8459" s="2"/>
      <c r="H8459" s="2"/>
      <c r="I8459" s="2"/>
      <c r="J8459" s="2"/>
      <c r="K8459" s="2"/>
      <c r="L8459" s="2"/>
      <c r="M8459" s="2"/>
      <c r="N8459" s="29"/>
      <c r="O8459" s="29"/>
    </row>
    <row r="8460">
      <c r="A8460" s="4"/>
      <c r="B8460" s="2"/>
      <c r="C8460" s="2"/>
      <c r="D8460" s="2"/>
      <c r="E8460" s="2"/>
      <c r="F8460" s="2"/>
      <c r="G8460" s="2"/>
      <c r="H8460" s="2"/>
      <c r="I8460" s="2"/>
      <c r="J8460" s="2"/>
      <c r="K8460" s="2"/>
      <c r="L8460" s="2"/>
      <c r="M8460" s="2"/>
      <c r="N8460" s="29"/>
      <c r="O8460" s="29"/>
    </row>
    <row r="8461">
      <c r="A8461" s="4"/>
      <c r="B8461" s="2"/>
      <c r="C8461" s="2"/>
      <c r="D8461" s="2"/>
      <c r="E8461" s="2"/>
      <c r="F8461" s="2"/>
      <c r="G8461" s="2"/>
      <c r="H8461" s="2"/>
      <c r="I8461" s="2"/>
      <c r="J8461" s="2"/>
      <c r="K8461" s="2"/>
      <c r="L8461" s="2"/>
      <c r="M8461" s="2"/>
      <c r="N8461" s="29"/>
      <c r="O8461" s="29"/>
    </row>
    <row r="8462">
      <c r="A8462" s="4"/>
      <c r="B8462" s="2"/>
      <c r="C8462" s="2"/>
      <c r="D8462" s="2"/>
      <c r="E8462" s="2"/>
      <c r="F8462" s="2"/>
      <c r="G8462" s="2"/>
      <c r="H8462" s="2"/>
      <c r="I8462" s="2"/>
      <c r="J8462" s="2"/>
      <c r="K8462" s="2"/>
      <c r="L8462" s="2"/>
      <c r="M8462" s="2"/>
      <c r="N8462" s="29"/>
      <c r="O8462" s="29"/>
    </row>
  </sheetData>
  <autoFilter ref="$A$1:$Q$7977">
    <sortState ref="A1:Q7977">
      <sortCondition ref="A1:A7977"/>
      <sortCondition ref="Q1:Q7977"/>
    </sortState>
  </autoFilter>
  <hyperlinks>
    <hyperlink r:id="rId1" ref="L6"/>
    <hyperlink r:id="rId2" ref="L7"/>
    <hyperlink r:id="rId3" ref="L8"/>
    <hyperlink r:id="rId4" ref="L9"/>
    <hyperlink r:id="rId5" ref="L10"/>
    <hyperlink r:id="rId6" ref="L11"/>
    <hyperlink r:id="rId7" ref="L12"/>
    <hyperlink r:id="rId8" ref="L13"/>
    <hyperlink r:id="rId9" ref="L14"/>
    <hyperlink r:id="rId10" ref="L15"/>
    <hyperlink r:id="rId11" ref="L16"/>
    <hyperlink r:id="rId12" ref="L17"/>
    <hyperlink r:id="rId13" ref="L18"/>
    <hyperlink r:id="rId14" ref="L19"/>
    <hyperlink r:id="rId15" ref="L20"/>
    <hyperlink r:id="rId16" ref="L21"/>
    <hyperlink r:id="rId17" ref="L22"/>
    <hyperlink r:id="rId18" ref="L23"/>
    <hyperlink r:id="rId19" ref="L24"/>
    <hyperlink r:id="rId20" ref="L25"/>
    <hyperlink r:id="rId21" ref="L26"/>
    <hyperlink r:id="rId22" ref="L27"/>
    <hyperlink r:id="rId23" ref="L28"/>
    <hyperlink r:id="rId24" ref="L29"/>
    <hyperlink r:id="rId25" ref="L30"/>
    <hyperlink r:id="rId26" ref="L31"/>
    <hyperlink r:id="rId27" ref="L32"/>
    <hyperlink r:id="rId28" ref="L33"/>
    <hyperlink r:id="rId29" ref="L34"/>
    <hyperlink r:id="rId30" ref="L35"/>
    <hyperlink r:id="rId31" ref="L36"/>
    <hyperlink r:id="rId32" ref="L37"/>
    <hyperlink r:id="rId33" ref="L38"/>
    <hyperlink r:id="rId34" ref="L39"/>
    <hyperlink r:id="rId35" ref="L40"/>
    <hyperlink r:id="rId36" ref="L41"/>
    <hyperlink r:id="rId37" ref="L42"/>
    <hyperlink r:id="rId38" ref="L43"/>
    <hyperlink r:id="rId39" ref="L44"/>
    <hyperlink r:id="rId40" ref="L45"/>
    <hyperlink r:id="rId41" ref="L46"/>
    <hyperlink r:id="rId42" ref="L47"/>
    <hyperlink r:id="rId43" ref="L48"/>
    <hyperlink r:id="rId44" ref="L49"/>
    <hyperlink r:id="rId45" ref="L50"/>
    <hyperlink r:id="rId46" ref="L51"/>
    <hyperlink r:id="rId47" ref="L52"/>
    <hyperlink r:id="rId48" ref="L53"/>
    <hyperlink r:id="rId49" ref="L54"/>
    <hyperlink r:id="rId50" ref="L55"/>
    <hyperlink r:id="rId51" ref="L56"/>
    <hyperlink r:id="rId52" ref="L57"/>
    <hyperlink r:id="rId53" ref="L58"/>
    <hyperlink r:id="rId54" ref="L59"/>
    <hyperlink r:id="rId55" ref="L60"/>
    <hyperlink r:id="rId56" ref="L61"/>
    <hyperlink r:id="rId57" ref="L62"/>
    <hyperlink r:id="rId58" ref="L63"/>
    <hyperlink r:id="rId59" ref="L64"/>
    <hyperlink r:id="rId60" ref="L65"/>
    <hyperlink r:id="rId61" ref="L66"/>
    <hyperlink r:id="rId62" ref="L67"/>
    <hyperlink r:id="rId63" ref="L68"/>
    <hyperlink r:id="rId64" ref="L69"/>
    <hyperlink r:id="rId65" ref="L70"/>
    <hyperlink r:id="rId66" ref="L71"/>
    <hyperlink r:id="rId67" ref="L93"/>
    <hyperlink r:id="rId68" ref="L96"/>
    <hyperlink r:id="rId69" ref="L97"/>
    <hyperlink r:id="rId70" ref="L98"/>
    <hyperlink r:id="rId71" ref="L99"/>
    <hyperlink r:id="rId72" ref="L100"/>
    <hyperlink r:id="rId73" ref="L101"/>
    <hyperlink r:id="rId74" ref="L102"/>
    <hyperlink r:id="rId75" ref="L103"/>
    <hyperlink r:id="rId76" ref="L104"/>
    <hyperlink r:id="rId77" ref="L105"/>
    <hyperlink r:id="rId78" ref="L106"/>
    <hyperlink r:id="rId79" ref="L107"/>
    <hyperlink r:id="rId80" ref="L108"/>
    <hyperlink r:id="rId81" ref="L109"/>
    <hyperlink r:id="rId82" ref="L110"/>
    <hyperlink r:id="rId83" ref="L111"/>
    <hyperlink r:id="rId84" ref="L112"/>
    <hyperlink r:id="rId85" ref="L113"/>
    <hyperlink r:id="rId86" ref="L114"/>
    <hyperlink r:id="rId87" ref="L115"/>
    <hyperlink r:id="rId88" ref="L116"/>
    <hyperlink r:id="rId89" ref="L117"/>
    <hyperlink r:id="rId90" ref="L118"/>
    <hyperlink r:id="rId91" ref="L119"/>
    <hyperlink r:id="rId92" ref="L120"/>
    <hyperlink r:id="rId93" ref="L121"/>
    <hyperlink r:id="rId94" ref="L122"/>
    <hyperlink r:id="rId95" ref="L123"/>
    <hyperlink r:id="rId96" ref="L124"/>
    <hyperlink r:id="rId97" ref="L125"/>
    <hyperlink r:id="rId98" ref="L126"/>
    <hyperlink r:id="rId99" ref="L127"/>
    <hyperlink r:id="rId100" ref="L128"/>
    <hyperlink r:id="rId101" ref="L129"/>
    <hyperlink r:id="rId102" ref="L130"/>
    <hyperlink r:id="rId103" ref="L131"/>
    <hyperlink r:id="rId104" ref="L132"/>
    <hyperlink r:id="rId105" ref="L133"/>
    <hyperlink r:id="rId106" ref="L134"/>
    <hyperlink r:id="rId107" ref="L135"/>
    <hyperlink r:id="rId108" ref="L136"/>
    <hyperlink r:id="rId109" ref="L137"/>
    <hyperlink r:id="rId110" ref="L138"/>
    <hyperlink r:id="rId111" ref="L139"/>
    <hyperlink r:id="rId112" ref="L140"/>
    <hyperlink r:id="rId113" ref="L141"/>
    <hyperlink r:id="rId114" ref="L142"/>
    <hyperlink r:id="rId115" ref="L143"/>
    <hyperlink r:id="rId116" ref="L144"/>
    <hyperlink r:id="rId117" ref="L145"/>
    <hyperlink r:id="rId118" ref="L146"/>
    <hyperlink r:id="rId119" ref="L147"/>
    <hyperlink r:id="rId120" ref="L148"/>
    <hyperlink r:id="rId121" ref="L149"/>
    <hyperlink r:id="rId122" ref="L150"/>
    <hyperlink r:id="rId123" ref="L151"/>
    <hyperlink r:id="rId124" ref="L152"/>
    <hyperlink r:id="rId125" ref="L153"/>
    <hyperlink r:id="rId126" ref="L154"/>
    <hyperlink r:id="rId127" ref="L155"/>
    <hyperlink r:id="rId128" ref="L156"/>
    <hyperlink r:id="rId129" ref="L157"/>
    <hyperlink r:id="rId130" ref="L158"/>
    <hyperlink r:id="rId131" ref="L159"/>
    <hyperlink r:id="rId132" ref="L160"/>
    <hyperlink r:id="rId133" ref="L161"/>
    <hyperlink r:id="rId134" ref="L162"/>
    <hyperlink r:id="rId135" ref="L163"/>
    <hyperlink r:id="rId136" ref="L164"/>
    <hyperlink r:id="rId137" ref="L165"/>
    <hyperlink r:id="rId138" ref="L166"/>
    <hyperlink r:id="rId139" ref="L167"/>
    <hyperlink r:id="rId140" ref="L168"/>
    <hyperlink r:id="rId141" ref="L169"/>
    <hyperlink r:id="rId142" ref="L170"/>
    <hyperlink r:id="rId143" ref="L171"/>
    <hyperlink r:id="rId144" ref="L172"/>
    <hyperlink r:id="rId145" ref="L173"/>
    <hyperlink r:id="rId146" ref="L174"/>
    <hyperlink r:id="rId147" ref="L175"/>
    <hyperlink r:id="rId148" ref="L176"/>
    <hyperlink r:id="rId149" ref="L177"/>
    <hyperlink r:id="rId150" ref="L178"/>
    <hyperlink r:id="rId151" ref="L179"/>
    <hyperlink r:id="rId152" ref="L180"/>
    <hyperlink r:id="rId153" ref="L181"/>
    <hyperlink r:id="rId154" ref="L182"/>
    <hyperlink r:id="rId155" ref="L183"/>
    <hyperlink r:id="rId156" ref="L184"/>
    <hyperlink r:id="rId157" ref="L185"/>
    <hyperlink r:id="rId158" ref="L186"/>
    <hyperlink r:id="rId159" ref="L187"/>
    <hyperlink r:id="rId160" ref="L188"/>
    <hyperlink r:id="rId161" ref="L189"/>
    <hyperlink r:id="rId162" ref="L190"/>
    <hyperlink r:id="rId163" ref="L191"/>
    <hyperlink r:id="rId164" ref="L192"/>
    <hyperlink r:id="rId165" ref="L193"/>
    <hyperlink r:id="rId166" ref="L194"/>
    <hyperlink r:id="rId167" ref="L195"/>
    <hyperlink r:id="rId168" ref="L196"/>
    <hyperlink r:id="rId169" ref="L197"/>
    <hyperlink r:id="rId170" ref="L198"/>
    <hyperlink r:id="rId171" ref="L199"/>
    <hyperlink r:id="rId172" ref="L200"/>
    <hyperlink r:id="rId173" ref="L201"/>
    <hyperlink r:id="rId174" ref="L202"/>
    <hyperlink r:id="rId175" ref="L203"/>
    <hyperlink r:id="rId176" ref="L204"/>
    <hyperlink r:id="rId177" ref="L205"/>
    <hyperlink r:id="rId178" ref="L206"/>
    <hyperlink r:id="rId179" ref="L207"/>
    <hyperlink r:id="rId180" ref="L208"/>
    <hyperlink r:id="rId181" ref="L209"/>
    <hyperlink r:id="rId182" ref="L210"/>
    <hyperlink r:id="rId183" ref="L211"/>
    <hyperlink r:id="rId184" ref="L212"/>
    <hyperlink r:id="rId185" ref="L213"/>
    <hyperlink r:id="rId186" ref="L214"/>
    <hyperlink r:id="rId187" ref="L215"/>
    <hyperlink r:id="rId188" ref="L216"/>
    <hyperlink r:id="rId189" ref="L217"/>
    <hyperlink r:id="rId190" ref="L218"/>
    <hyperlink r:id="rId191" ref="L219"/>
    <hyperlink r:id="rId192" ref="L220"/>
    <hyperlink r:id="rId193" ref="L221"/>
    <hyperlink r:id="rId194" ref="L222"/>
    <hyperlink r:id="rId195" ref="L223"/>
    <hyperlink r:id="rId196" ref="L224"/>
    <hyperlink r:id="rId197" ref="L225"/>
    <hyperlink r:id="rId198" ref="L226"/>
    <hyperlink r:id="rId199" ref="L227"/>
    <hyperlink r:id="rId200" ref="L228"/>
    <hyperlink r:id="rId201" ref="L229"/>
    <hyperlink r:id="rId202" ref="L230"/>
    <hyperlink r:id="rId203" ref="L231"/>
    <hyperlink r:id="rId204" ref="L232"/>
    <hyperlink r:id="rId205" ref="L233"/>
    <hyperlink r:id="rId206" ref="L234"/>
    <hyperlink r:id="rId207" ref="L235"/>
    <hyperlink r:id="rId208" ref="L236"/>
    <hyperlink r:id="rId209" ref="L237"/>
    <hyperlink r:id="rId210" ref="L238"/>
    <hyperlink r:id="rId211" ref="L239"/>
    <hyperlink r:id="rId212" ref="L240"/>
    <hyperlink r:id="rId213" ref="L241"/>
    <hyperlink r:id="rId214" ref="L242"/>
    <hyperlink r:id="rId215" ref="L243"/>
    <hyperlink r:id="rId216" ref="L244"/>
    <hyperlink r:id="rId217" ref="L245"/>
    <hyperlink r:id="rId218" ref="L246"/>
    <hyperlink r:id="rId219" ref="L247"/>
    <hyperlink r:id="rId220" ref="L248"/>
    <hyperlink r:id="rId221" ref="L249"/>
    <hyperlink r:id="rId222" ref="L250"/>
    <hyperlink r:id="rId223" ref="L251"/>
    <hyperlink r:id="rId224" ref="L252"/>
    <hyperlink r:id="rId225" ref="L253"/>
    <hyperlink r:id="rId226" ref="L254"/>
    <hyperlink r:id="rId227" ref="L255"/>
    <hyperlink r:id="rId228" ref="L256"/>
    <hyperlink r:id="rId229" ref="L257"/>
    <hyperlink r:id="rId230" ref="L258"/>
    <hyperlink r:id="rId231" ref="L259"/>
    <hyperlink r:id="rId232" ref="L260"/>
    <hyperlink r:id="rId233" ref="L261"/>
    <hyperlink r:id="rId234" ref="L262"/>
    <hyperlink r:id="rId235" ref="L263"/>
    <hyperlink r:id="rId236" ref="L264"/>
    <hyperlink r:id="rId237" ref="L265"/>
    <hyperlink r:id="rId238" ref="L266"/>
    <hyperlink r:id="rId239" ref="L267"/>
    <hyperlink r:id="rId240" ref="L268"/>
    <hyperlink r:id="rId241" ref="L269"/>
    <hyperlink r:id="rId242" ref="L270"/>
    <hyperlink r:id="rId243" ref="L271"/>
    <hyperlink r:id="rId244" ref="L272"/>
    <hyperlink r:id="rId245" ref="L273"/>
    <hyperlink r:id="rId246" ref="L274"/>
    <hyperlink r:id="rId247" ref="L275"/>
    <hyperlink r:id="rId248" ref="L276"/>
    <hyperlink r:id="rId249" ref="L277"/>
    <hyperlink r:id="rId250" ref="L278"/>
    <hyperlink r:id="rId251" ref="L279"/>
    <hyperlink r:id="rId252" ref="L280"/>
    <hyperlink r:id="rId253" ref="L281"/>
    <hyperlink r:id="rId254" ref="L282"/>
    <hyperlink r:id="rId255" ref="L283"/>
    <hyperlink r:id="rId256" ref="L284"/>
    <hyperlink r:id="rId257" ref="L285"/>
    <hyperlink r:id="rId258" ref="L286"/>
    <hyperlink r:id="rId259" ref="L287"/>
    <hyperlink r:id="rId260" ref="L288"/>
    <hyperlink r:id="rId261" ref="L289"/>
    <hyperlink r:id="rId262" ref="L290"/>
    <hyperlink r:id="rId263" ref="L291"/>
    <hyperlink r:id="rId264" ref="L292"/>
    <hyperlink r:id="rId265" ref="L293"/>
    <hyperlink r:id="rId266" ref="L294"/>
    <hyperlink r:id="rId267" ref="L295"/>
    <hyperlink r:id="rId268" ref="L296"/>
    <hyperlink r:id="rId269" ref="L297"/>
    <hyperlink r:id="rId270" ref="L298"/>
    <hyperlink r:id="rId271" ref="L299"/>
    <hyperlink r:id="rId272" ref="L300"/>
    <hyperlink r:id="rId273" ref="L301"/>
    <hyperlink r:id="rId274" ref="L302"/>
    <hyperlink r:id="rId275" ref="L303"/>
    <hyperlink r:id="rId276" ref="L304"/>
    <hyperlink r:id="rId277" ref="L305"/>
    <hyperlink r:id="rId278" ref="L306"/>
    <hyperlink r:id="rId279" ref="L307"/>
    <hyperlink r:id="rId280" ref="L308"/>
    <hyperlink r:id="rId281" ref="L309"/>
    <hyperlink r:id="rId282" ref="L310"/>
    <hyperlink r:id="rId283" ref="L311"/>
    <hyperlink r:id="rId284" ref="L312"/>
    <hyperlink r:id="rId285" ref="L313"/>
    <hyperlink r:id="rId286" ref="L314"/>
    <hyperlink r:id="rId287" ref="L315"/>
    <hyperlink r:id="rId288" ref="L316"/>
    <hyperlink r:id="rId289" ref="L317"/>
    <hyperlink r:id="rId290" ref="L318"/>
    <hyperlink r:id="rId291" ref="L319"/>
    <hyperlink r:id="rId292" ref="L320"/>
    <hyperlink r:id="rId293" ref="L321"/>
    <hyperlink r:id="rId294" ref="L322"/>
    <hyperlink r:id="rId295" ref="L323"/>
    <hyperlink r:id="rId296" ref="L324"/>
    <hyperlink r:id="rId297" ref="L325"/>
    <hyperlink r:id="rId298" ref="L326"/>
    <hyperlink r:id="rId299" ref="L327"/>
    <hyperlink r:id="rId300" ref="L328"/>
    <hyperlink r:id="rId301" ref="L329"/>
    <hyperlink r:id="rId302" ref="L330"/>
    <hyperlink r:id="rId303" ref="L331"/>
    <hyperlink r:id="rId304" ref="L332"/>
    <hyperlink r:id="rId305" ref="L333"/>
    <hyperlink r:id="rId306" ref="L334"/>
    <hyperlink r:id="rId307" ref="L335"/>
    <hyperlink r:id="rId308" ref="L336"/>
    <hyperlink r:id="rId309" ref="L337"/>
    <hyperlink r:id="rId310" ref="L338"/>
    <hyperlink r:id="rId311" ref="L339"/>
    <hyperlink r:id="rId312" ref="L340"/>
    <hyperlink r:id="rId313" ref="L341"/>
    <hyperlink r:id="rId314" ref="L342"/>
    <hyperlink r:id="rId315" ref="L343"/>
    <hyperlink r:id="rId316" ref="L344"/>
    <hyperlink r:id="rId317" ref="L345"/>
    <hyperlink r:id="rId318" ref="L346"/>
    <hyperlink r:id="rId319" ref="L347"/>
    <hyperlink r:id="rId320" ref="L348"/>
    <hyperlink r:id="rId321" ref="L349"/>
    <hyperlink r:id="rId322" ref="L350"/>
    <hyperlink r:id="rId323" ref="L351"/>
    <hyperlink r:id="rId324" ref="L352"/>
    <hyperlink r:id="rId325" ref="L353"/>
    <hyperlink r:id="rId326" ref="L354"/>
    <hyperlink r:id="rId327" ref="L355"/>
    <hyperlink r:id="rId328" ref="L356"/>
    <hyperlink r:id="rId329" ref="L357"/>
    <hyperlink r:id="rId330" ref="L358"/>
    <hyperlink r:id="rId331" ref="L359"/>
    <hyperlink r:id="rId332" ref="L360"/>
    <hyperlink r:id="rId333" ref="L361"/>
    <hyperlink r:id="rId334" ref="L362"/>
    <hyperlink r:id="rId335" ref="L363"/>
    <hyperlink r:id="rId336" ref="L364"/>
    <hyperlink r:id="rId337" ref="L365"/>
    <hyperlink r:id="rId338" ref="L366"/>
    <hyperlink r:id="rId339" ref="L367"/>
    <hyperlink r:id="rId340" ref="L368"/>
    <hyperlink r:id="rId341" ref="L369"/>
    <hyperlink r:id="rId342" ref="L370"/>
    <hyperlink r:id="rId343" ref="L371"/>
    <hyperlink r:id="rId344" ref="L372"/>
    <hyperlink r:id="rId345" ref="L373"/>
    <hyperlink r:id="rId346" ref="L374"/>
    <hyperlink r:id="rId347" ref="L375"/>
    <hyperlink r:id="rId348" ref="L376"/>
    <hyperlink r:id="rId349" ref="L377"/>
    <hyperlink r:id="rId350" ref="L378"/>
    <hyperlink r:id="rId351" ref="L379"/>
    <hyperlink r:id="rId352" ref="L380"/>
    <hyperlink r:id="rId353" ref="L381"/>
    <hyperlink r:id="rId354" ref="L382"/>
    <hyperlink r:id="rId355" ref="L383"/>
    <hyperlink r:id="rId356" ref="L384"/>
    <hyperlink r:id="rId357" ref="L385"/>
    <hyperlink r:id="rId358" ref="L386"/>
    <hyperlink r:id="rId359" ref="L387"/>
    <hyperlink r:id="rId360" ref="L388"/>
    <hyperlink r:id="rId361" ref="L389"/>
    <hyperlink r:id="rId362" ref="L390"/>
    <hyperlink r:id="rId363" ref="L391"/>
    <hyperlink r:id="rId364" ref="L392"/>
    <hyperlink r:id="rId365" ref="L393"/>
    <hyperlink r:id="rId366" ref="L394"/>
    <hyperlink r:id="rId367" ref="L395"/>
    <hyperlink r:id="rId368" ref="L396"/>
    <hyperlink r:id="rId369" ref="L397"/>
    <hyperlink r:id="rId370" ref="L398"/>
    <hyperlink r:id="rId371" ref="L399"/>
    <hyperlink r:id="rId372" ref="L400"/>
    <hyperlink r:id="rId373" ref="L401"/>
    <hyperlink r:id="rId374" ref="L402"/>
    <hyperlink r:id="rId375" ref="L403"/>
    <hyperlink r:id="rId376" ref="L404"/>
    <hyperlink r:id="rId377" ref="L405"/>
    <hyperlink r:id="rId378" ref="L406"/>
    <hyperlink r:id="rId379" ref="L407"/>
    <hyperlink r:id="rId380" ref="L408"/>
    <hyperlink r:id="rId381" ref="L409"/>
    <hyperlink r:id="rId382" ref="L410"/>
    <hyperlink r:id="rId383" ref="L411"/>
    <hyperlink r:id="rId384" ref="L412"/>
    <hyperlink r:id="rId385" ref="L413"/>
    <hyperlink r:id="rId386" ref="L414"/>
    <hyperlink r:id="rId387" ref="L415"/>
    <hyperlink r:id="rId388" ref="L416"/>
    <hyperlink r:id="rId389" ref="L417"/>
    <hyperlink r:id="rId390" ref="L418"/>
    <hyperlink r:id="rId391" ref="L419"/>
    <hyperlink r:id="rId392" ref="L420"/>
    <hyperlink r:id="rId393" ref="L421"/>
    <hyperlink r:id="rId394" ref="L422"/>
    <hyperlink r:id="rId395" ref="L423"/>
    <hyperlink r:id="rId396" ref="L424"/>
    <hyperlink r:id="rId397" ref="L425"/>
    <hyperlink r:id="rId398" ref="L426"/>
    <hyperlink r:id="rId399" ref="L427"/>
    <hyperlink r:id="rId400" ref="L428"/>
    <hyperlink r:id="rId401" ref="L429"/>
    <hyperlink r:id="rId402" ref="L430"/>
    <hyperlink r:id="rId403" ref="L431"/>
    <hyperlink r:id="rId404" ref="L432"/>
    <hyperlink r:id="rId405" ref="L433"/>
    <hyperlink r:id="rId406" ref="L434"/>
    <hyperlink r:id="rId407" ref="L435"/>
    <hyperlink r:id="rId408" ref="L436"/>
    <hyperlink r:id="rId409" ref="L437"/>
    <hyperlink r:id="rId410" ref="L438"/>
    <hyperlink r:id="rId411" ref="L439"/>
    <hyperlink r:id="rId412" ref="L440"/>
    <hyperlink r:id="rId413" ref="L441"/>
    <hyperlink r:id="rId414" ref="L442"/>
    <hyperlink r:id="rId415" ref="L443"/>
    <hyperlink r:id="rId416" ref="L444"/>
    <hyperlink r:id="rId417" ref="L445"/>
    <hyperlink r:id="rId418" ref="L446"/>
    <hyperlink r:id="rId419" ref="L447"/>
    <hyperlink r:id="rId420" ref="L448"/>
    <hyperlink r:id="rId421" ref="L449"/>
    <hyperlink r:id="rId422" ref="L450"/>
    <hyperlink r:id="rId423" ref="L451"/>
    <hyperlink r:id="rId424" ref="L452"/>
    <hyperlink r:id="rId425" ref="L453"/>
    <hyperlink r:id="rId426" ref="L454"/>
    <hyperlink r:id="rId427" ref="L455"/>
    <hyperlink r:id="rId428" ref="L456"/>
    <hyperlink r:id="rId429" ref="L457"/>
    <hyperlink r:id="rId430" ref="L458"/>
    <hyperlink r:id="rId431" ref="L459"/>
    <hyperlink r:id="rId432" ref="L460"/>
    <hyperlink r:id="rId433" ref="L461"/>
    <hyperlink r:id="rId434" ref="L462"/>
    <hyperlink r:id="rId435" ref="L463"/>
    <hyperlink r:id="rId436" ref="L464"/>
    <hyperlink r:id="rId437" ref="L465"/>
    <hyperlink r:id="rId438" ref="L466"/>
    <hyperlink r:id="rId439" ref="L467"/>
    <hyperlink r:id="rId440" ref="L468"/>
    <hyperlink r:id="rId441" ref="L469"/>
    <hyperlink r:id="rId442" ref="L470"/>
    <hyperlink r:id="rId443" ref="L471"/>
    <hyperlink r:id="rId444" ref="L472"/>
    <hyperlink r:id="rId445" ref="L473"/>
    <hyperlink r:id="rId446" ref="L474"/>
    <hyperlink r:id="rId447" ref="L475"/>
    <hyperlink r:id="rId448" ref="L476"/>
    <hyperlink r:id="rId449" ref="L477"/>
    <hyperlink r:id="rId450" ref="L478"/>
    <hyperlink r:id="rId451" ref="L479"/>
    <hyperlink r:id="rId452" ref="L480"/>
    <hyperlink r:id="rId453" ref="L481"/>
    <hyperlink r:id="rId454" ref="L482"/>
    <hyperlink r:id="rId455" ref="L483"/>
    <hyperlink r:id="rId456" ref="L484"/>
    <hyperlink r:id="rId457" ref="L485"/>
    <hyperlink r:id="rId458" ref="L486"/>
    <hyperlink r:id="rId459" ref="L487"/>
    <hyperlink r:id="rId460" ref="L488"/>
    <hyperlink r:id="rId461" ref="L489"/>
    <hyperlink r:id="rId462" ref="L490"/>
    <hyperlink r:id="rId463" ref="L491"/>
    <hyperlink r:id="rId464" ref="L492"/>
    <hyperlink r:id="rId465" ref="L493"/>
    <hyperlink r:id="rId466" ref="L494"/>
    <hyperlink r:id="rId467" ref="L495"/>
    <hyperlink r:id="rId468" ref="L496"/>
    <hyperlink r:id="rId469" ref="L497"/>
    <hyperlink r:id="rId470" ref="L498"/>
    <hyperlink r:id="rId471" ref="L499"/>
    <hyperlink r:id="rId472" ref="L500"/>
    <hyperlink r:id="rId473" ref="L501"/>
    <hyperlink r:id="rId474" ref="L502"/>
    <hyperlink r:id="rId475" ref="L503"/>
    <hyperlink r:id="rId476" ref="L504"/>
    <hyperlink r:id="rId477" ref="L505"/>
    <hyperlink r:id="rId478" ref="L506"/>
    <hyperlink r:id="rId479" ref="L507"/>
    <hyperlink r:id="rId480" ref="L508"/>
    <hyperlink r:id="rId481" ref="L509"/>
    <hyperlink r:id="rId482" ref="L510"/>
    <hyperlink r:id="rId483" ref="L511"/>
    <hyperlink r:id="rId484" ref="L512"/>
    <hyperlink r:id="rId485" ref="L513"/>
    <hyperlink r:id="rId486" ref="L514"/>
    <hyperlink r:id="rId487" ref="L515"/>
    <hyperlink r:id="rId488" ref="L516"/>
    <hyperlink r:id="rId489" ref="L517"/>
    <hyperlink r:id="rId490" ref="L518"/>
    <hyperlink r:id="rId491" ref="L519"/>
    <hyperlink r:id="rId492" ref="L520"/>
    <hyperlink r:id="rId493" ref="L521"/>
    <hyperlink r:id="rId494" ref="L522"/>
    <hyperlink r:id="rId495" ref="L523"/>
    <hyperlink r:id="rId496" ref="L524"/>
    <hyperlink r:id="rId497" ref="L525"/>
    <hyperlink r:id="rId498" ref="L526"/>
    <hyperlink r:id="rId499" ref="L527"/>
    <hyperlink r:id="rId500" ref="L528"/>
    <hyperlink r:id="rId501" ref="L529"/>
    <hyperlink r:id="rId502" ref="L530"/>
    <hyperlink r:id="rId503" ref="L531"/>
    <hyperlink r:id="rId504" ref="L532"/>
    <hyperlink r:id="rId505" ref="L533"/>
    <hyperlink r:id="rId506" ref="L534"/>
    <hyperlink r:id="rId507" ref="L535"/>
    <hyperlink r:id="rId508" ref="L536"/>
    <hyperlink r:id="rId509" ref="L537"/>
    <hyperlink r:id="rId510" ref="L538"/>
    <hyperlink r:id="rId511" ref="L539"/>
    <hyperlink r:id="rId512" ref="L540"/>
    <hyperlink r:id="rId513" ref="L541"/>
    <hyperlink r:id="rId514" ref="L542"/>
    <hyperlink r:id="rId515" ref="L543"/>
    <hyperlink r:id="rId516" ref="L544"/>
    <hyperlink r:id="rId517" ref="L545"/>
    <hyperlink r:id="rId518" ref="L546"/>
    <hyperlink r:id="rId519" ref="L547"/>
    <hyperlink r:id="rId520" ref="L548"/>
    <hyperlink r:id="rId521" ref="L549"/>
    <hyperlink r:id="rId522" ref="L550"/>
    <hyperlink r:id="rId523" ref="L551"/>
    <hyperlink r:id="rId524" ref="L552"/>
    <hyperlink r:id="rId525" ref="L553"/>
    <hyperlink r:id="rId526" ref="L554"/>
    <hyperlink r:id="rId527" ref="L555"/>
    <hyperlink r:id="rId528" ref="L556"/>
    <hyperlink r:id="rId529" ref="L557"/>
    <hyperlink r:id="rId530" ref="L558"/>
    <hyperlink r:id="rId531" ref="L559"/>
    <hyperlink r:id="rId532" ref="L560"/>
    <hyperlink r:id="rId533" ref="L561"/>
    <hyperlink r:id="rId534" ref="L562"/>
    <hyperlink r:id="rId535" ref="L563"/>
    <hyperlink r:id="rId536" ref="L564"/>
    <hyperlink r:id="rId537" ref="L565"/>
    <hyperlink r:id="rId538" ref="L566"/>
    <hyperlink r:id="rId539" ref="L567"/>
    <hyperlink r:id="rId540" ref="L568"/>
    <hyperlink r:id="rId541" ref="L569"/>
    <hyperlink r:id="rId542" ref="L570"/>
    <hyperlink r:id="rId543" ref="L571"/>
    <hyperlink r:id="rId544" ref="L572"/>
    <hyperlink r:id="rId545" ref="L573"/>
    <hyperlink r:id="rId546" ref="L574"/>
    <hyperlink r:id="rId547" ref="L575"/>
    <hyperlink r:id="rId548" ref="L576"/>
    <hyperlink r:id="rId549" ref="L577"/>
    <hyperlink r:id="rId550" ref="L578"/>
    <hyperlink r:id="rId551" ref="L579"/>
    <hyperlink r:id="rId552" ref="L580"/>
    <hyperlink r:id="rId553" ref="L581"/>
    <hyperlink r:id="rId554" ref="L582"/>
    <hyperlink r:id="rId555" ref="L583"/>
    <hyperlink r:id="rId556" ref="L584"/>
    <hyperlink r:id="rId557" ref="L585"/>
    <hyperlink r:id="rId558" ref="L586"/>
    <hyperlink r:id="rId559" ref="L587"/>
    <hyperlink r:id="rId560" ref="L588"/>
    <hyperlink r:id="rId561" ref="L589"/>
    <hyperlink r:id="rId562" ref="L590"/>
    <hyperlink r:id="rId563" ref="L591"/>
    <hyperlink r:id="rId564" ref="L592"/>
    <hyperlink r:id="rId565" ref="L593"/>
    <hyperlink r:id="rId566" ref="L594"/>
    <hyperlink r:id="rId567" ref="L595"/>
    <hyperlink r:id="rId568" ref="L596"/>
    <hyperlink r:id="rId569" ref="L597"/>
    <hyperlink r:id="rId570" ref="L598"/>
    <hyperlink r:id="rId571" ref="L599"/>
    <hyperlink r:id="rId572" ref="L600"/>
    <hyperlink r:id="rId573" ref="L601"/>
    <hyperlink r:id="rId574" ref="L602"/>
    <hyperlink r:id="rId575" ref="L603"/>
    <hyperlink r:id="rId576" ref="L604"/>
    <hyperlink r:id="rId577" ref="L605"/>
    <hyperlink r:id="rId578" ref="L606"/>
    <hyperlink r:id="rId579" ref="L607"/>
    <hyperlink r:id="rId580" ref="L608"/>
    <hyperlink r:id="rId581" ref="L609"/>
    <hyperlink r:id="rId582" ref="L610"/>
    <hyperlink r:id="rId583" ref="L611"/>
    <hyperlink r:id="rId584" ref="L612"/>
    <hyperlink r:id="rId585" ref="L613"/>
    <hyperlink r:id="rId586" ref="L614"/>
    <hyperlink r:id="rId587" ref="L615"/>
    <hyperlink r:id="rId588" ref="L616"/>
    <hyperlink r:id="rId589" ref="L617"/>
    <hyperlink r:id="rId590" ref="L618"/>
    <hyperlink r:id="rId591" ref="L619"/>
    <hyperlink r:id="rId592" ref="L620"/>
    <hyperlink r:id="rId593" ref="L621"/>
    <hyperlink r:id="rId594" ref="L622"/>
    <hyperlink r:id="rId595" ref="L623"/>
    <hyperlink r:id="rId596" ref="L624"/>
    <hyperlink r:id="rId597" ref="L625"/>
    <hyperlink r:id="rId598" ref="L626"/>
    <hyperlink r:id="rId599" ref="L627"/>
    <hyperlink r:id="rId600" ref="L628"/>
    <hyperlink r:id="rId601" ref="L629"/>
    <hyperlink r:id="rId602" ref="L630"/>
    <hyperlink r:id="rId603" ref="L631"/>
    <hyperlink r:id="rId604" ref="L632"/>
    <hyperlink r:id="rId605" ref="L633"/>
    <hyperlink r:id="rId606" ref="L634"/>
    <hyperlink r:id="rId607" ref="L635"/>
    <hyperlink r:id="rId608" ref="L636"/>
    <hyperlink r:id="rId609" ref="L637"/>
    <hyperlink r:id="rId610" ref="L638"/>
    <hyperlink r:id="rId611" ref="L639"/>
    <hyperlink r:id="rId612" ref="L640"/>
    <hyperlink r:id="rId613" ref="L641"/>
    <hyperlink r:id="rId614" ref="L642"/>
    <hyperlink r:id="rId615" ref="L643"/>
    <hyperlink r:id="rId616" ref="L644"/>
    <hyperlink r:id="rId617" ref="L645"/>
    <hyperlink r:id="rId618" ref="L646"/>
    <hyperlink r:id="rId619" ref="L647"/>
    <hyperlink r:id="rId620" ref="L648"/>
    <hyperlink r:id="rId621" ref="L649"/>
    <hyperlink r:id="rId622" ref="L650"/>
    <hyperlink r:id="rId623" ref="L651"/>
    <hyperlink r:id="rId624" ref="L652"/>
    <hyperlink r:id="rId625" ref="L653"/>
    <hyperlink r:id="rId626" ref="L654"/>
    <hyperlink r:id="rId627" ref="L655"/>
    <hyperlink r:id="rId628" ref="L656"/>
    <hyperlink r:id="rId629" ref="L657"/>
    <hyperlink r:id="rId630" ref="L658"/>
    <hyperlink r:id="rId631" ref="L659"/>
    <hyperlink r:id="rId632" ref="L660"/>
    <hyperlink r:id="rId633" ref="L661"/>
    <hyperlink r:id="rId634" ref="L662"/>
    <hyperlink r:id="rId635" ref="L663"/>
    <hyperlink r:id="rId636" ref="L664"/>
    <hyperlink r:id="rId637" ref="L665"/>
    <hyperlink r:id="rId638" ref="L666"/>
    <hyperlink r:id="rId639" ref="L667"/>
    <hyperlink r:id="rId640" ref="L668"/>
    <hyperlink r:id="rId641" ref="L669"/>
    <hyperlink r:id="rId642" ref="L670"/>
    <hyperlink r:id="rId643" ref="L671"/>
    <hyperlink r:id="rId644" ref="L672"/>
    <hyperlink r:id="rId645" ref="L673"/>
    <hyperlink r:id="rId646" ref="L674"/>
    <hyperlink r:id="rId647" ref="L675"/>
    <hyperlink r:id="rId648" ref="L676"/>
    <hyperlink r:id="rId649" ref="L677"/>
    <hyperlink r:id="rId650" ref="L678"/>
    <hyperlink r:id="rId651" ref="L679"/>
    <hyperlink r:id="rId652" ref="L680"/>
    <hyperlink r:id="rId653" ref="L681"/>
    <hyperlink r:id="rId654" ref="L682"/>
    <hyperlink r:id="rId655" ref="L683"/>
    <hyperlink r:id="rId656" ref="L684"/>
    <hyperlink r:id="rId657" ref="L685"/>
    <hyperlink r:id="rId658" ref="L686"/>
    <hyperlink r:id="rId659" ref="L687"/>
    <hyperlink r:id="rId660" ref="L688"/>
    <hyperlink r:id="rId661" ref="L689"/>
    <hyperlink r:id="rId662" ref="L690"/>
    <hyperlink r:id="rId663" ref="L691"/>
    <hyperlink r:id="rId664" ref="L692"/>
    <hyperlink r:id="rId665" ref="L693"/>
    <hyperlink r:id="rId666" ref="L694"/>
    <hyperlink r:id="rId667" ref="L695"/>
    <hyperlink r:id="rId668" ref="L696"/>
    <hyperlink r:id="rId669" ref="L697"/>
    <hyperlink r:id="rId670" ref="L698"/>
    <hyperlink r:id="rId671" ref="L699"/>
    <hyperlink r:id="rId672" ref="L700"/>
    <hyperlink r:id="rId673" ref="L701"/>
    <hyperlink r:id="rId674" ref="L702"/>
    <hyperlink r:id="rId675" ref="L703"/>
    <hyperlink r:id="rId676" ref="L704"/>
    <hyperlink r:id="rId677" ref="L705"/>
    <hyperlink r:id="rId678" ref="L706"/>
    <hyperlink r:id="rId679" ref="L707"/>
    <hyperlink r:id="rId680" ref="L708"/>
    <hyperlink r:id="rId681" ref="L709"/>
    <hyperlink r:id="rId682" ref="L710"/>
    <hyperlink r:id="rId683" ref="L711"/>
    <hyperlink r:id="rId684" ref="L712"/>
    <hyperlink r:id="rId685" ref="L713"/>
    <hyperlink r:id="rId686" ref="L714"/>
    <hyperlink r:id="rId687" ref="L715"/>
    <hyperlink r:id="rId688" ref="L716"/>
    <hyperlink r:id="rId689" ref="L717"/>
    <hyperlink r:id="rId690" ref="L718"/>
    <hyperlink r:id="rId691" ref="L719"/>
    <hyperlink r:id="rId692" ref="L720"/>
    <hyperlink r:id="rId693" ref="L721"/>
    <hyperlink r:id="rId694" ref="L722"/>
    <hyperlink r:id="rId695" ref="L723"/>
    <hyperlink r:id="rId696" ref="L724"/>
    <hyperlink r:id="rId697" ref="L725"/>
    <hyperlink r:id="rId698" ref="L726"/>
    <hyperlink r:id="rId699" ref="L727"/>
    <hyperlink r:id="rId700" ref="L728"/>
    <hyperlink r:id="rId701" ref="L729"/>
    <hyperlink r:id="rId702" ref="L730"/>
    <hyperlink r:id="rId703" ref="L731"/>
    <hyperlink r:id="rId704" ref="L732"/>
    <hyperlink r:id="rId705" ref="L733"/>
    <hyperlink r:id="rId706" ref="L734"/>
    <hyperlink r:id="rId707" ref="L735"/>
    <hyperlink r:id="rId708" ref="L736"/>
    <hyperlink r:id="rId709" ref="L737"/>
    <hyperlink r:id="rId710" ref="L738"/>
    <hyperlink r:id="rId711" ref="L739"/>
    <hyperlink r:id="rId712" ref="L740"/>
    <hyperlink r:id="rId713" ref="L741"/>
    <hyperlink r:id="rId714" ref="L742"/>
    <hyperlink r:id="rId715" ref="L743"/>
    <hyperlink r:id="rId716" ref="L744"/>
    <hyperlink r:id="rId717" ref="L745"/>
    <hyperlink r:id="rId718" ref="L746"/>
    <hyperlink r:id="rId719" ref="L747"/>
    <hyperlink r:id="rId720" ref="L748"/>
    <hyperlink r:id="rId721" ref="L749"/>
    <hyperlink r:id="rId722" ref="L750"/>
    <hyperlink r:id="rId723" ref="L751"/>
    <hyperlink r:id="rId724" ref="L752"/>
    <hyperlink r:id="rId725" ref="L753"/>
    <hyperlink r:id="rId726" ref="L754"/>
    <hyperlink r:id="rId727" ref="L755"/>
    <hyperlink r:id="rId728" ref="L756"/>
    <hyperlink r:id="rId729" ref="L757"/>
    <hyperlink r:id="rId730" ref="L758"/>
    <hyperlink r:id="rId731" ref="L759"/>
    <hyperlink r:id="rId732" ref="L760"/>
    <hyperlink r:id="rId733" ref="L761"/>
    <hyperlink r:id="rId734" ref="L762"/>
    <hyperlink r:id="rId735" ref="L763"/>
    <hyperlink r:id="rId736" ref="L764"/>
    <hyperlink r:id="rId737" ref="L765"/>
    <hyperlink r:id="rId738" ref="L766"/>
    <hyperlink r:id="rId739" ref="L767"/>
    <hyperlink r:id="rId740" ref="L768"/>
    <hyperlink r:id="rId741" ref="L769"/>
    <hyperlink r:id="rId742" ref="L770"/>
    <hyperlink r:id="rId743" ref="L771"/>
    <hyperlink r:id="rId744" ref="L772"/>
    <hyperlink r:id="rId745" ref="L773"/>
    <hyperlink r:id="rId746" ref="L774"/>
    <hyperlink r:id="rId747" ref="L775"/>
    <hyperlink r:id="rId748" ref="L776"/>
    <hyperlink r:id="rId749" ref="L777"/>
    <hyperlink r:id="rId750" ref="L778"/>
    <hyperlink r:id="rId751" ref="L779"/>
    <hyperlink r:id="rId752" ref="L780"/>
    <hyperlink r:id="rId753" ref="L781"/>
    <hyperlink r:id="rId754" ref="L782"/>
    <hyperlink r:id="rId755" ref="L783"/>
    <hyperlink r:id="rId756" ref="L784"/>
    <hyperlink r:id="rId757" ref="L785"/>
    <hyperlink r:id="rId758" ref="L786"/>
    <hyperlink r:id="rId759" ref="L787"/>
    <hyperlink r:id="rId760" ref="L788"/>
    <hyperlink r:id="rId761" ref="L789"/>
    <hyperlink r:id="rId762" ref="L790"/>
    <hyperlink r:id="rId763" ref="L791"/>
    <hyperlink r:id="rId764" ref="L792"/>
    <hyperlink r:id="rId765" ref="L793"/>
    <hyperlink r:id="rId766" ref="L794"/>
    <hyperlink r:id="rId767" ref="L795"/>
    <hyperlink r:id="rId768" ref="L796"/>
    <hyperlink r:id="rId769" ref="L797"/>
    <hyperlink r:id="rId770" ref="L798"/>
    <hyperlink r:id="rId771" ref="L799"/>
    <hyperlink r:id="rId772" ref="L800"/>
    <hyperlink r:id="rId773" ref="L801"/>
    <hyperlink r:id="rId774" ref="L802"/>
    <hyperlink r:id="rId775" ref="L803"/>
    <hyperlink r:id="rId776" ref="L804"/>
    <hyperlink r:id="rId777" ref="L805"/>
    <hyperlink r:id="rId778" ref="L806"/>
    <hyperlink r:id="rId779" ref="L807"/>
    <hyperlink r:id="rId780" ref="L808"/>
    <hyperlink r:id="rId781" ref="L809"/>
    <hyperlink r:id="rId782" ref="L810"/>
    <hyperlink r:id="rId783" ref="L811"/>
    <hyperlink r:id="rId784" ref="L812"/>
    <hyperlink r:id="rId785" ref="L813"/>
    <hyperlink r:id="rId786" ref="L814"/>
    <hyperlink r:id="rId787" ref="L815"/>
    <hyperlink r:id="rId788" ref="L816"/>
    <hyperlink r:id="rId789" ref="L817"/>
    <hyperlink r:id="rId790" ref="L818"/>
    <hyperlink r:id="rId791" ref="L819"/>
    <hyperlink r:id="rId792" ref="L820"/>
    <hyperlink r:id="rId793" ref="L821"/>
    <hyperlink r:id="rId794" ref="L822"/>
    <hyperlink r:id="rId795" ref="L823"/>
    <hyperlink r:id="rId796" ref="L824"/>
    <hyperlink r:id="rId797" ref="L825"/>
    <hyperlink r:id="rId798" ref="L826"/>
    <hyperlink r:id="rId799" ref="L827"/>
    <hyperlink r:id="rId800" ref="L828"/>
    <hyperlink r:id="rId801" ref="L829"/>
    <hyperlink r:id="rId802" ref="L830"/>
    <hyperlink r:id="rId803" ref="L831"/>
    <hyperlink r:id="rId804" ref="L832"/>
    <hyperlink r:id="rId805" ref="L833"/>
    <hyperlink r:id="rId806" ref="L834"/>
    <hyperlink r:id="rId807" ref="L835"/>
    <hyperlink r:id="rId808" ref="L836"/>
    <hyperlink r:id="rId809" ref="L837"/>
    <hyperlink r:id="rId810" ref="L838"/>
    <hyperlink r:id="rId811" ref="L839"/>
    <hyperlink r:id="rId812" ref="L840"/>
    <hyperlink r:id="rId813" ref="L841"/>
    <hyperlink r:id="rId814" ref="L842"/>
    <hyperlink r:id="rId815" ref="L843"/>
    <hyperlink r:id="rId816" ref="L844"/>
    <hyperlink r:id="rId817" ref="L845"/>
    <hyperlink r:id="rId818" ref="L846"/>
    <hyperlink r:id="rId819" ref="L847"/>
    <hyperlink r:id="rId820" ref="L848"/>
    <hyperlink r:id="rId821" ref="L849"/>
    <hyperlink r:id="rId822" ref="L850"/>
    <hyperlink r:id="rId823" ref="L851"/>
    <hyperlink r:id="rId824" ref="L852"/>
    <hyperlink r:id="rId825" ref="L853"/>
    <hyperlink r:id="rId826" ref="L854"/>
    <hyperlink r:id="rId827" ref="L855"/>
    <hyperlink r:id="rId828" ref="L856"/>
    <hyperlink r:id="rId829" ref="L857"/>
    <hyperlink r:id="rId830" ref="L858"/>
    <hyperlink r:id="rId831" ref="L859"/>
    <hyperlink r:id="rId832" ref="L860"/>
    <hyperlink r:id="rId833" ref="L861"/>
    <hyperlink r:id="rId834" ref="L862"/>
    <hyperlink r:id="rId835" ref="L863"/>
    <hyperlink r:id="rId836" ref="L864"/>
    <hyperlink r:id="rId837" ref="L865"/>
    <hyperlink r:id="rId838" ref="L866"/>
    <hyperlink r:id="rId839" ref="L867"/>
    <hyperlink r:id="rId840" ref="L868"/>
    <hyperlink r:id="rId841" ref="L869"/>
    <hyperlink r:id="rId842" ref="L870"/>
    <hyperlink r:id="rId843" ref="L871"/>
    <hyperlink r:id="rId844" ref="L872"/>
    <hyperlink r:id="rId845" ref="L873"/>
    <hyperlink r:id="rId846" ref="L874"/>
    <hyperlink r:id="rId847" ref="L875"/>
    <hyperlink r:id="rId848" ref="L876"/>
    <hyperlink r:id="rId849" ref="L877"/>
    <hyperlink r:id="rId850" ref="L878"/>
    <hyperlink r:id="rId851" ref="L879"/>
    <hyperlink r:id="rId852" ref="L880"/>
    <hyperlink r:id="rId853" ref="L881"/>
    <hyperlink r:id="rId854" ref="L882"/>
    <hyperlink r:id="rId855" ref="L883"/>
    <hyperlink r:id="rId856" ref="L884"/>
    <hyperlink r:id="rId857" ref="L885"/>
    <hyperlink r:id="rId858" ref="L886"/>
    <hyperlink r:id="rId859" ref="L887"/>
    <hyperlink r:id="rId860" ref="L888"/>
    <hyperlink r:id="rId861" ref="L889"/>
    <hyperlink r:id="rId862" ref="L890"/>
    <hyperlink r:id="rId863" ref="L891"/>
    <hyperlink r:id="rId864" ref="L892"/>
    <hyperlink r:id="rId865" ref="L893"/>
    <hyperlink r:id="rId866" ref="L894"/>
    <hyperlink r:id="rId867" ref="L895"/>
    <hyperlink r:id="rId868" ref="L896"/>
    <hyperlink r:id="rId869" ref="L897"/>
    <hyperlink r:id="rId870" ref="L898"/>
    <hyperlink r:id="rId871" ref="L899"/>
    <hyperlink r:id="rId872" ref="L900"/>
    <hyperlink r:id="rId873" ref="L901"/>
    <hyperlink r:id="rId874" ref="L902"/>
    <hyperlink r:id="rId875" ref="L903"/>
    <hyperlink r:id="rId876" ref="L904"/>
    <hyperlink r:id="rId877" ref="L905"/>
    <hyperlink r:id="rId878" ref="L906"/>
    <hyperlink r:id="rId879" ref="L907"/>
    <hyperlink r:id="rId880" ref="L908"/>
    <hyperlink r:id="rId881" ref="L909"/>
    <hyperlink r:id="rId882" ref="L910"/>
    <hyperlink r:id="rId883" ref="L911"/>
    <hyperlink r:id="rId884" ref="L912"/>
    <hyperlink r:id="rId885" ref="L913"/>
    <hyperlink r:id="rId886" ref="L914"/>
    <hyperlink r:id="rId887" ref="L915"/>
    <hyperlink r:id="rId888" ref="L916"/>
    <hyperlink r:id="rId889" ref="L917"/>
    <hyperlink r:id="rId890" ref="L918"/>
    <hyperlink r:id="rId891" ref="L919"/>
    <hyperlink r:id="rId892" ref="L920"/>
    <hyperlink r:id="rId893" ref="L921"/>
    <hyperlink r:id="rId894" ref="L922"/>
    <hyperlink r:id="rId895" ref="L923"/>
    <hyperlink r:id="rId896" ref="L924"/>
    <hyperlink r:id="rId897" ref="L925"/>
    <hyperlink r:id="rId898" ref="L926"/>
    <hyperlink r:id="rId899" ref="L927"/>
    <hyperlink r:id="rId900" ref="L928"/>
    <hyperlink r:id="rId901" ref="L929"/>
    <hyperlink r:id="rId902" ref="L930"/>
    <hyperlink r:id="rId903" ref="L931"/>
    <hyperlink r:id="rId904" ref="L932"/>
    <hyperlink r:id="rId905" ref="L933"/>
    <hyperlink r:id="rId906" ref="L934"/>
    <hyperlink r:id="rId907" ref="L935"/>
    <hyperlink r:id="rId908" ref="L936"/>
    <hyperlink r:id="rId909" ref="L937"/>
    <hyperlink r:id="rId910" ref="L938"/>
    <hyperlink r:id="rId911" ref="L939"/>
    <hyperlink r:id="rId912" ref="L940"/>
    <hyperlink r:id="rId913" ref="L941"/>
    <hyperlink r:id="rId914" ref="L942"/>
    <hyperlink r:id="rId915" ref="L943"/>
    <hyperlink r:id="rId916" ref="L944"/>
    <hyperlink r:id="rId917" ref="L945"/>
    <hyperlink r:id="rId918" ref="L946"/>
    <hyperlink r:id="rId919" ref="L947"/>
    <hyperlink r:id="rId920" ref="L948"/>
    <hyperlink r:id="rId921" ref="L949"/>
    <hyperlink r:id="rId922" ref="L950"/>
    <hyperlink r:id="rId923" ref="L951"/>
    <hyperlink r:id="rId924" ref="L952"/>
    <hyperlink r:id="rId925" ref="L953"/>
    <hyperlink r:id="rId926" ref="L954"/>
    <hyperlink r:id="rId927" ref="L955"/>
    <hyperlink r:id="rId928" ref="L956"/>
    <hyperlink r:id="rId929" ref="L957"/>
    <hyperlink r:id="rId930" ref="L958"/>
    <hyperlink r:id="rId931" ref="L959"/>
    <hyperlink r:id="rId932" ref="L960"/>
    <hyperlink r:id="rId933" ref="L961"/>
    <hyperlink r:id="rId934" ref="L962"/>
    <hyperlink r:id="rId935" ref="L963"/>
    <hyperlink r:id="rId936" ref="L964"/>
    <hyperlink r:id="rId937" ref="L965"/>
    <hyperlink r:id="rId938" ref="L966"/>
    <hyperlink r:id="rId939" ref="L967"/>
    <hyperlink r:id="rId940" ref="L968"/>
    <hyperlink r:id="rId941" ref="L969"/>
    <hyperlink r:id="rId942" ref="L970"/>
    <hyperlink r:id="rId943" ref="L971"/>
    <hyperlink r:id="rId944" ref="L972"/>
    <hyperlink r:id="rId945" ref="L973"/>
    <hyperlink r:id="rId946" ref="L974"/>
    <hyperlink r:id="rId947" ref="L975"/>
    <hyperlink r:id="rId948" ref="L976"/>
    <hyperlink r:id="rId949" ref="L977"/>
    <hyperlink r:id="rId950" ref="L978"/>
    <hyperlink r:id="rId951" ref="L979"/>
    <hyperlink r:id="rId952" ref="L980"/>
    <hyperlink r:id="rId953" ref="L981"/>
    <hyperlink r:id="rId954" ref="L982"/>
    <hyperlink r:id="rId955" ref="L983"/>
    <hyperlink r:id="rId956" ref="L984"/>
    <hyperlink r:id="rId957" ref="L985"/>
    <hyperlink r:id="rId958" ref="L986"/>
    <hyperlink r:id="rId959" ref="L987"/>
    <hyperlink r:id="rId960" ref="L988"/>
    <hyperlink r:id="rId961" ref="L989"/>
    <hyperlink r:id="rId962" ref="L990"/>
    <hyperlink r:id="rId963" ref="L991"/>
    <hyperlink r:id="rId964" ref="L992"/>
    <hyperlink r:id="rId965" ref="L993"/>
    <hyperlink r:id="rId966" ref="L994"/>
    <hyperlink r:id="rId967" ref="L995"/>
    <hyperlink r:id="rId968" ref="L996"/>
    <hyperlink r:id="rId969" ref="L997"/>
    <hyperlink r:id="rId970" ref="L998"/>
    <hyperlink r:id="rId971" ref="L999"/>
    <hyperlink r:id="rId972" ref="L1000"/>
    <hyperlink r:id="rId973" ref="L1001"/>
    <hyperlink r:id="rId974" ref="L1002"/>
    <hyperlink r:id="rId975" ref="L1003"/>
    <hyperlink r:id="rId976" ref="L1004"/>
    <hyperlink r:id="rId977" ref="L1005"/>
    <hyperlink r:id="rId978" ref="L1006"/>
    <hyperlink r:id="rId979" ref="L1007"/>
    <hyperlink r:id="rId980" ref="L1008"/>
    <hyperlink r:id="rId981" ref="L1009"/>
    <hyperlink r:id="rId982" ref="L1010"/>
    <hyperlink r:id="rId983" ref="L1011"/>
    <hyperlink r:id="rId984" ref="L1012"/>
    <hyperlink r:id="rId985" ref="L1013"/>
    <hyperlink r:id="rId986" ref="L1014"/>
    <hyperlink r:id="rId987" ref="L1015"/>
    <hyperlink r:id="rId988" ref="L1016"/>
    <hyperlink r:id="rId989" ref="L1017"/>
    <hyperlink r:id="rId990" ref="L1018"/>
    <hyperlink r:id="rId991" ref="L1019"/>
    <hyperlink r:id="rId992" ref="L1020"/>
    <hyperlink r:id="rId993" ref="L1021"/>
    <hyperlink r:id="rId994" ref="L1022"/>
    <hyperlink r:id="rId995" ref="L1023"/>
    <hyperlink r:id="rId996" ref="L1024"/>
    <hyperlink r:id="rId997" ref="L1025"/>
    <hyperlink r:id="rId998" ref="L1026"/>
    <hyperlink r:id="rId999" ref="L1027"/>
    <hyperlink r:id="rId1000" ref="L1028"/>
    <hyperlink r:id="rId1001" ref="L1029"/>
    <hyperlink r:id="rId1002" ref="L1030"/>
    <hyperlink r:id="rId1003" ref="L1031"/>
    <hyperlink r:id="rId1004" ref="L1032"/>
    <hyperlink r:id="rId1005" ref="L1033"/>
    <hyperlink r:id="rId1006" ref="L1034"/>
    <hyperlink r:id="rId1007" ref="L1035"/>
    <hyperlink r:id="rId1008" ref="L1036"/>
    <hyperlink r:id="rId1009" ref="L1037"/>
    <hyperlink r:id="rId1010" ref="L1038"/>
    <hyperlink r:id="rId1011" ref="L1039"/>
    <hyperlink r:id="rId1012" ref="L1040"/>
    <hyperlink r:id="rId1013" ref="L1041"/>
    <hyperlink r:id="rId1014" ref="L1042"/>
    <hyperlink r:id="rId1015" ref="L1043"/>
    <hyperlink r:id="rId1016" ref="L1044"/>
    <hyperlink r:id="rId1017" ref="L1045"/>
    <hyperlink r:id="rId1018" ref="L1046"/>
    <hyperlink r:id="rId1019" ref="L1047"/>
    <hyperlink r:id="rId1020" ref="L1048"/>
    <hyperlink r:id="rId1021" ref="L1049"/>
    <hyperlink r:id="rId1022" ref="L1050"/>
    <hyperlink r:id="rId1023" ref="L1051"/>
    <hyperlink r:id="rId1024" ref="L1052"/>
    <hyperlink r:id="rId1025" ref="L1053"/>
    <hyperlink r:id="rId1026" ref="L1054"/>
    <hyperlink r:id="rId1027" ref="L1055"/>
    <hyperlink r:id="rId1028" ref="L1056"/>
    <hyperlink r:id="rId1029" ref="L1057"/>
    <hyperlink r:id="rId1030" ref="L1058"/>
    <hyperlink r:id="rId1031" ref="L1059"/>
    <hyperlink r:id="rId1032" ref="L1060"/>
    <hyperlink r:id="rId1033" ref="L1061"/>
    <hyperlink r:id="rId1034" ref="L1062"/>
    <hyperlink r:id="rId1035" ref="L1063"/>
    <hyperlink r:id="rId1036" ref="L1064"/>
    <hyperlink r:id="rId1037" ref="L1065"/>
    <hyperlink r:id="rId1038" ref="L1066"/>
    <hyperlink r:id="rId1039" ref="L1067"/>
    <hyperlink r:id="rId1040" ref="L1068"/>
    <hyperlink r:id="rId1041" ref="L1069"/>
    <hyperlink r:id="rId1042" ref="L1070"/>
    <hyperlink r:id="rId1043" ref="L1071"/>
    <hyperlink r:id="rId1044" ref="L1072"/>
    <hyperlink r:id="rId1045" ref="L1073"/>
    <hyperlink r:id="rId1046" ref="L1074"/>
    <hyperlink r:id="rId1047" ref="L1075"/>
    <hyperlink r:id="rId1048" ref="L1076"/>
    <hyperlink r:id="rId1049" ref="L1077"/>
    <hyperlink r:id="rId1050" ref="L1078"/>
    <hyperlink r:id="rId1051" ref="L1079"/>
    <hyperlink r:id="rId1052" ref="L1080"/>
    <hyperlink r:id="rId1053" ref="L1081"/>
    <hyperlink r:id="rId1054" ref="L1082"/>
    <hyperlink r:id="rId1055" ref="L1083"/>
    <hyperlink r:id="rId1056" ref="L1084"/>
    <hyperlink r:id="rId1057" ref="L1085"/>
    <hyperlink r:id="rId1058" ref="L1086"/>
    <hyperlink r:id="rId1059" ref="L1087"/>
    <hyperlink r:id="rId1060" ref="L1088"/>
    <hyperlink r:id="rId1061" ref="L1089"/>
    <hyperlink r:id="rId1062" ref="L1090"/>
    <hyperlink r:id="rId1063" ref="L1091"/>
    <hyperlink r:id="rId1064" ref="L1092"/>
    <hyperlink r:id="rId1065" ref="L1093"/>
    <hyperlink r:id="rId1066" ref="L1094"/>
    <hyperlink r:id="rId1067" ref="L1095"/>
    <hyperlink r:id="rId1068" ref="L1096"/>
    <hyperlink r:id="rId1069" ref="L1097"/>
    <hyperlink r:id="rId1070" ref="L1098"/>
    <hyperlink r:id="rId1071" ref="L1099"/>
    <hyperlink r:id="rId1072" ref="L1100"/>
    <hyperlink r:id="rId1073" ref="L1101"/>
    <hyperlink r:id="rId1074" ref="L1102"/>
    <hyperlink r:id="rId1075" ref="L1103"/>
    <hyperlink r:id="rId1076" ref="L1104"/>
    <hyperlink r:id="rId1077" ref="L1105"/>
    <hyperlink r:id="rId1078" ref="L1106"/>
    <hyperlink r:id="rId1079" ref="L1107"/>
    <hyperlink r:id="rId1080" ref="L1108"/>
    <hyperlink r:id="rId1081" ref="L1109"/>
    <hyperlink r:id="rId1082" ref="L1110"/>
    <hyperlink r:id="rId1083" ref="L1111"/>
    <hyperlink r:id="rId1084" ref="L1112"/>
    <hyperlink r:id="rId1085" ref="L1113"/>
    <hyperlink r:id="rId1086" ref="L1114"/>
    <hyperlink r:id="rId1087" ref="L1115"/>
    <hyperlink r:id="rId1088" ref="L1116"/>
    <hyperlink r:id="rId1089" ref="L1117"/>
    <hyperlink r:id="rId1090" ref="L1118"/>
    <hyperlink r:id="rId1091" ref="L1119"/>
    <hyperlink r:id="rId1092" ref="L1120"/>
    <hyperlink r:id="rId1093" ref="L1121"/>
    <hyperlink r:id="rId1094" ref="L1122"/>
    <hyperlink r:id="rId1095" ref="L1123"/>
    <hyperlink r:id="rId1096" ref="L1124"/>
    <hyperlink r:id="rId1097" ref="L1125"/>
    <hyperlink r:id="rId1098" ref="L1126"/>
    <hyperlink r:id="rId1099" ref="L1127"/>
    <hyperlink r:id="rId1100" ref="L1128"/>
    <hyperlink r:id="rId1101" ref="L1129"/>
    <hyperlink r:id="rId1102" ref="L1130"/>
    <hyperlink r:id="rId1103" ref="L1131"/>
    <hyperlink r:id="rId1104" ref="L1132"/>
    <hyperlink r:id="rId1105" ref="L1133"/>
    <hyperlink r:id="rId1106" ref="L1134"/>
    <hyperlink r:id="rId1107" ref="L1135"/>
    <hyperlink r:id="rId1108" ref="L1136"/>
    <hyperlink r:id="rId1109" ref="L1137"/>
    <hyperlink r:id="rId1110" ref="L1138"/>
    <hyperlink r:id="rId1111" ref="L1139"/>
    <hyperlink r:id="rId1112" ref="L1140"/>
    <hyperlink r:id="rId1113" ref="L1141"/>
    <hyperlink r:id="rId1114" ref="L1142"/>
    <hyperlink r:id="rId1115" ref="L1143"/>
    <hyperlink r:id="rId1116" ref="L1144"/>
    <hyperlink r:id="rId1117" ref="L1145"/>
    <hyperlink r:id="rId1118" ref="L1146"/>
    <hyperlink r:id="rId1119" ref="L1147"/>
    <hyperlink r:id="rId1120" ref="L1148"/>
    <hyperlink r:id="rId1121" ref="L1149"/>
    <hyperlink r:id="rId1122" ref="L1150"/>
    <hyperlink r:id="rId1123" ref="L1151"/>
    <hyperlink r:id="rId1124" ref="L1152"/>
    <hyperlink r:id="rId1125" ref="L1153"/>
    <hyperlink r:id="rId1126" ref="L1154"/>
    <hyperlink r:id="rId1127" ref="L1155"/>
    <hyperlink r:id="rId1128" ref="L1156"/>
    <hyperlink r:id="rId1129" ref="L1157"/>
    <hyperlink r:id="rId1130" ref="L1158"/>
    <hyperlink r:id="rId1131" ref="L1159"/>
    <hyperlink r:id="rId1132" ref="L1160"/>
    <hyperlink r:id="rId1133" ref="L1161"/>
    <hyperlink r:id="rId1134" ref="L1162"/>
    <hyperlink r:id="rId1135" ref="L1163"/>
    <hyperlink r:id="rId1136" ref="L1164"/>
    <hyperlink r:id="rId1137" ref="L1165"/>
    <hyperlink r:id="rId1138" ref="L1166"/>
    <hyperlink r:id="rId1139" ref="L1167"/>
    <hyperlink r:id="rId1140" ref="L1168"/>
    <hyperlink r:id="rId1141" ref="L1169"/>
    <hyperlink r:id="rId1142" ref="L1170"/>
    <hyperlink r:id="rId1143" ref="L1171"/>
    <hyperlink r:id="rId1144" ref="L1172"/>
    <hyperlink r:id="rId1145" ref="L1173"/>
    <hyperlink r:id="rId1146" ref="L1174"/>
    <hyperlink r:id="rId1147" ref="L1175"/>
    <hyperlink r:id="rId1148" ref="L1176"/>
    <hyperlink r:id="rId1149" ref="L1177"/>
    <hyperlink r:id="rId1150" ref="L1178"/>
    <hyperlink r:id="rId1151" ref="L1179"/>
    <hyperlink r:id="rId1152" ref="L1180"/>
    <hyperlink r:id="rId1153" ref="L1181"/>
    <hyperlink r:id="rId1154" ref="L1182"/>
    <hyperlink r:id="rId1155" ref="L1183"/>
    <hyperlink r:id="rId1156" ref="L1184"/>
    <hyperlink r:id="rId1157" ref="L1185"/>
    <hyperlink r:id="rId1158" ref="L1186"/>
    <hyperlink r:id="rId1159" ref="L1187"/>
    <hyperlink r:id="rId1160" ref="L1188"/>
    <hyperlink r:id="rId1161" ref="L1189"/>
    <hyperlink r:id="rId1162" ref="L1190"/>
    <hyperlink r:id="rId1163" ref="L1191"/>
    <hyperlink r:id="rId1164" ref="L1192"/>
    <hyperlink r:id="rId1165" ref="L1193"/>
    <hyperlink r:id="rId1166" ref="L1194"/>
    <hyperlink r:id="rId1167" ref="L1195"/>
    <hyperlink r:id="rId1168" ref="L1196"/>
    <hyperlink r:id="rId1169" ref="L1197"/>
    <hyperlink r:id="rId1170" ref="L1198"/>
    <hyperlink r:id="rId1171" ref="L1199"/>
    <hyperlink r:id="rId1172" ref="L1200"/>
    <hyperlink r:id="rId1173" ref="L1201"/>
    <hyperlink r:id="rId1174" ref="L1202"/>
    <hyperlink r:id="rId1175" ref="L1203"/>
    <hyperlink r:id="rId1176" ref="L1204"/>
    <hyperlink r:id="rId1177" ref="L1205"/>
    <hyperlink r:id="rId1178" ref="L1206"/>
    <hyperlink r:id="rId1179" ref="L1207"/>
    <hyperlink r:id="rId1180" ref="L1208"/>
    <hyperlink r:id="rId1181" ref="L1209"/>
    <hyperlink r:id="rId1182" ref="L1210"/>
    <hyperlink r:id="rId1183" ref="L1211"/>
    <hyperlink r:id="rId1184" ref="L1212"/>
    <hyperlink r:id="rId1185" ref="L1213"/>
    <hyperlink r:id="rId1186" ref="L1214"/>
    <hyperlink r:id="rId1187" ref="L1215"/>
    <hyperlink r:id="rId1188" ref="L1216"/>
    <hyperlink r:id="rId1189" ref="L1217"/>
    <hyperlink r:id="rId1190" ref="L1218"/>
    <hyperlink r:id="rId1191" ref="L1219"/>
    <hyperlink r:id="rId1192" ref="L1220"/>
    <hyperlink r:id="rId1193" ref="L1221"/>
    <hyperlink r:id="rId1194" ref="L1222"/>
    <hyperlink r:id="rId1195" ref="L1223"/>
    <hyperlink r:id="rId1196" ref="L1224"/>
    <hyperlink r:id="rId1197" ref="L1225"/>
    <hyperlink r:id="rId1198" ref="L1226"/>
    <hyperlink r:id="rId1199" ref="L1227"/>
    <hyperlink r:id="rId1200" ref="L1228"/>
    <hyperlink r:id="rId1201" ref="L1229"/>
    <hyperlink r:id="rId1202" ref="L1230"/>
    <hyperlink r:id="rId1203" ref="L1231"/>
    <hyperlink r:id="rId1204" ref="L1232"/>
    <hyperlink r:id="rId1205" ref="L1233"/>
    <hyperlink r:id="rId1206" ref="L1234"/>
    <hyperlink r:id="rId1207" ref="L1235"/>
    <hyperlink r:id="rId1208" ref="L1236"/>
    <hyperlink r:id="rId1209" ref="L1237"/>
    <hyperlink r:id="rId1210" ref="L1238"/>
    <hyperlink r:id="rId1211" ref="L1239"/>
    <hyperlink r:id="rId1212" ref="L1240"/>
    <hyperlink r:id="rId1213" ref="L1241"/>
    <hyperlink r:id="rId1214" ref="L1242"/>
    <hyperlink r:id="rId1215" ref="L1243"/>
    <hyperlink r:id="rId1216" ref="L1244"/>
    <hyperlink r:id="rId1217" ref="L1245"/>
    <hyperlink r:id="rId1218" ref="L1246"/>
    <hyperlink r:id="rId1219" ref="L1247"/>
    <hyperlink r:id="rId1220" ref="L1248"/>
    <hyperlink r:id="rId1221" ref="L1249"/>
    <hyperlink r:id="rId1222" ref="L1250"/>
    <hyperlink r:id="rId1223" ref="L1251"/>
    <hyperlink r:id="rId1224" ref="L1252"/>
    <hyperlink r:id="rId1225" ref="L1253"/>
    <hyperlink r:id="rId1226" ref="L1254"/>
    <hyperlink r:id="rId1227" ref="L1255"/>
    <hyperlink r:id="rId1228" ref="L1256"/>
    <hyperlink r:id="rId1229" ref="L1257"/>
    <hyperlink r:id="rId1230" ref="L1258"/>
    <hyperlink r:id="rId1231" ref="L1259"/>
    <hyperlink r:id="rId1232" ref="L1260"/>
    <hyperlink r:id="rId1233" ref="L1261"/>
    <hyperlink r:id="rId1234" ref="L1262"/>
    <hyperlink r:id="rId1235" ref="L1263"/>
    <hyperlink r:id="rId1236" ref="L1264"/>
    <hyperlink r:id="rId1237" ref="L1265"/>
    <hyperlink r:id="rId1238" ref="L1266"/>
    <hyperlink r:id="rId1239" ref="L1267"/>
    <hyperlink r:id="rId1240" ref="L1268"/>
    <hyperlink r:id="rId1241" ref="L1269"/>
    <hyperlink r:id="rId1242" ref="L1270"/>
    <hyperlink r:id="rId1243" ref="L1271"/>
    <hyperlink r:id="rId1244" ref="L1272"/>
    <hyperlink r:id="rId1245" ref="L1273"/>
    <hyperlink r:id="rId1246" ref="L1274"/>
    <hyperlink r:id="rId1247" ref="L1275"/>
    <hyperlink r:id="rId1248" ref="L1276"/>
    <hyperlink r:id="rId1249" ref="L1277"/>
    <hyperlink r:id="rId1250" ref="L1278"/>
    <hyperlink r:id="rId1251" ref="L1279"/>
    <hyperlink r:id="rId1252" ref="L1280"/>
    <hyperlink r:id="rId1253" ref="L1281"/>
    <hyperlink r:id="rId1254" ref="L1282"/>
    <hyperlink r:id="rId1255" ref="L1283"/>
    <hyperlink r:id="rId1256" ref="L1284"/>
    <hyperlink r:id="rId1257" ref="L1285"/>
    <hyperlink r:id="rId1258" ref="L1286"/>
    <hyperlink r:id="rId1259" ref="L1287"/>
    <hyperlink r:id="rId1260" ref="L1288"/>
    <hyperlink r:id="rId1261" ref="L1289"/>
    <hyperlink r:id="rId1262" ref="L1290"/>
    <hyperlink r:id="rId1263" ref="L1291"/>
    <hyperlink r:id="rId1264" ref="L1292"/>
    <hyperlink r:id="rId1265" ref="L1293"/>
    <hyperlink r:id="rId1266" ref="L1294"/>
    <hyperlink r:id="rId1267" ref="L1295"/>
    <hyperlink r:id="rId1268" ref="L1296"/>
    <hyperlink r:id="rId1269" ref="L1297"/>
    <hyperlink r:id="rId1270" ref="L1298"/>
    <hyperlink r:id="rId1271" ref="L1299"/>
    <hyperlink r:id="rId1272" ref="L1300"/>
    <hyperlink r:id="rId1273" ref="L1301"/>
    <hyperlink r:id="rId1274" ref="L1302"/>
    <hyperlink r:id="rId1275" ref="L1303"/>
    <hyperlink r:id="rId1276" ref="L1304"/>
    <hyperlink r:id="rId1277" ref="L1305"/>
    <hyperlink r:id="rId1278" ref="L1306"/>
    <hyperlink r:id="rId1279" ref="L1307"/>
    <hyperlink r:id="rId1280" ref="L1308"/>
    <hyperlink r:id="rId1281" ref="L1309"/>
    <hyperlink r:id="rId1282" ref="L1310"/>
    <hyperlink r:id="rId1283" ref="L1311"/>
    <hyperlink r:id="rId1284" ref="L1312"/>
    <hyperlink r:id="rId1285" ref="L1313"/>
    <hyperlink r:id="rId1286" ref="L1314"/>
    <hyperlink r:id="rId1287" ref="L1315"/>
    <hyperlink r:id="rId1288" ref="L1316"/>
    <hyperlink r:id="rId1289" ref="L1317"/>
    <hyperlink r:id="rId1290" ref="L1318"/>
    <hyperlink r:id="rId1291" ref="L1319"/>
    <hyperlink r:id="rId1292" ref="L1320"/>
    <hyperlink r:id="rId1293" ref="L1321"/>
    <hyperlink r:id="rId1294" ref="L1322"/>
    <hyperlink r:id="rId1295" ref="L1323"/>
    <hyperlink r:id="rId1296" ref="L1324"/>
    <hyperlink r:id="rId1297" ref="L1325"/>
    <hyperlink r:id="rId1298" ref="L1326"/>
    <hyperlink r:id="rId1299" ref="L1327"/>
    <hyperlink r:id="rId1300" ref="L1328"/>
    <hyperlink r:id="rId1301" ref="L1329"/>
    <hyperlink r:id="rId1302" ref="L1330"/>
    <hyperlink r:id="rId1303" ref="L1331"/>
    <hyperlink r:id="rId1304" ref="L1332"/>
    <hyperlink r:id="rId1305" ref="L1333"/>
    <hyperlink r:id="rId1306" ref="L1334"/>
    <hyperlink r:id="rId1307" ref="L1335"/>
    <hyperlink r:id="rId1308" ref="L1336"/>
    <hyperlink r:id="rId1309" ref="L1337"/>
    <hyperlink r:id="rId1310" ref="L1338"/>
    <hyperlink r:id="rId1311" ref="L1339"/>
    <hyperlink r:id="rId1312" ref="L1340"/>
    <hyperlink r:id="rId1313" ref="L1341"/>
    <hyperlink r:id="rId1314" ref="L1342"/>
    <hyperlink r:id="rId1315" ref="L1343"/>
    <hyperlink r:id="rId1316" ref="L1344"/>
    <hyperlink r:id="rId1317" ref="L1345"/>
    <hyperlink r:id="rId1318" ref="L1346"/>
    <hyperlink r:id="rId1319" ref="L1347"/>
    <hyperlink r:id="rId1320" ref="L1348"/>
    <hyperlink r:id="rId1321" ref="L1349"/>
    <hyperlink r:id="rId1322" ref="L1350"/>
    <hyperlink r:id="rId1323" ref="L1351"/>
    <hyperlink r:id="rId1324" ref="L1352"/>
    <hyperlink r:id="rId1325" ref="L1353"/>
    <hyperlink r:id="rId1326" ref="L1354"/>
    <hyperlink r:id="rId1327" ref="L1355"/>
    <hyperlink r:id="rId1328" ref="L1356"/>
    <hyperlink r:id="rId1329" ref="L1357"/>
    <hyperlink r:id="rId1330" ref="L1358"/>
    <hyperlink r:id="rId1331" ref="L1359"/>
    <hyperlink r:id="rId1332" ref="L1360"/>
    <hyperlink r:id="rId1333" ref="L1361"/>
    <hyperlink r:id="rId1334" ref="L1362"/>
    <hyperlink r:id="rId1335" ref="L1363"/>
    <hyperlink r:id="rId1336" ref="L1364"/>
    <hyperlink r:id="rId1337" ref="L1365"/>
    <hyperlink r:id="rId1338" ref="L1366"/>
    <hyperlink r:id="rId1339" ref="L1367"/>
    <hyperlink r:id="rId1340" ref="L1368"/>
    <hyperlink r:id="rId1341" ref="L1369"/>
    <hyperlink r:id="rId1342" ref="L1370"/>
    <hyperlink r:id="rId1343" ref="L1371"/>
    <hyperlink r:id="rId1344" ref="L1372"/>
    <hyperlink r:id="rId1345" ref="L1373"/>
    <hyperlink r:id="rId1346" ref="L1374"/>
    <hyperlink r:id="rId1347" ref="L1375"/>
    <hyperlink r:id="rId1348" ref="L1376"/>
    <hyperlink r:id="rId1349" ref="L1377"/>
    <hyperlink r:id="rId1350" ref="L1378"/>
    <hyperlink r:id="rId1351" ref="L1379"/>
    <hyperlink r:id="rId1352" ref="L1380"/>
    <hyperlink r:id="rId1353" ref="L1381"/>
    <hyperlink r:id="rId1354" ref="L1382"/>
    <hyperlink r:id="rId1355" ref="L1383"/>
    <hyperlink r:id="rId1356" ref="L1384"/>
    <hyperlink r:id="rId1357" ref="L1385"/>
    <hyperlink r:id="rId1358" ref="L1386"/>
    <hyperlink r:id="rId1359" ref="L1387"/>
    <hyperlink r:id="rId1360" ref="L1388"/>
    <hyperlink r:id="rId1361" ref="L1389"/>
    <hyperlink r:id="rId1362" ref="L1390"/>
    <hyperlink r:id="rId1363" ref="L1391"/>
    <hyperlink r:id="rId1364" ref="L1392"/>
    <hyperlink r:id="rId1365" ref="L1393"/>
    <hyperlink r:id="rId1366" ref="L1394"/>
    <hyperlink r:id="rId1367" ref="L1395"/>
    <hyperlink r:id="rId1368" ref="L1396"/>
    <hyperlink r:id="rId1369" ref="L1397"/>
    <hyperlink r:id="rId1370" ref="L1398"/>
    <hyperlink r:id="rId1371" ref="L1399"/>
    <hyperlink r:id="rId1372" ref="L1400"/>
    <hyperlink r:id="rId1373" ref="L1401"/>
    <hyperlink r:id="rId1374" ref="L1402"/>
    <hyperlink r:id="rId1375" ref="L1403"/>
    <hyperlink r:id="rId1376" ref="L1404"/>
    <hyperlink r:id="rId1377" ref="L1405"/>
    <hyperlink r:id="rId1378" ref="L1406"/>
    <hyperlink r:id="rId1379" ref="L1407"/>
    <hyperlink r:id="rId1380" ref="L1408"/>
    <hyperlink r:id="rId1381" ref="L1409"/>
    <hyperlink r:id="rId1382" ref="L1410"/>
    <hyperlink r:id="rId1383" ref="L1411"/>
    <hyperlink r:id="rId1384" ref="L1412"/>
    <hyperlink r:id="rId1385" ref="L1413"/>
    <hyperlink r:id="rId1386" ref="L1414"/>
    <hyperlink r:id="rId1387" ref="L1415"/>
    <hyperlink r:id="rId1388" ref="L1416"/>
    <hyperlink r:id="rId1389" ref="L1417"/>
    <hyperlink r:id="rId1390" ref="L1418"/>
    <hyperlink r:id="rId1391" ref="L1419"/>
    <hyperlink r:id="rId1392" ref="L1420"/>
    <hyperlink r:id="rId1393" ref="L1421"/>
    <hyperlink r:id="rId1394" ref="L1422"/>
    <hyperlink r:id="rId1395" ref="L1423"/>
    <hyperlink r:id="rId1396" ref="L1424"/>
    <hyperlink r:id="rId1397" ref="L1425"/>
    <hyperlink r:id="rId1398" ref="L1426"/>
    <hyperlink r:id="rId1399" ref="L1427"/>
    <hyperlink r:id="rId1400" ref="L1428"/>
    <hyperlink r:id="rId1401" ref="L1429"/>
    <hyperlink r:id="rId1402" ref="L1430"/>
    <hyperlink r:id="rId1403" ref="L1431"/>
    <hyperlink r:id="rId1404" ref="L1432"/>
    <hyperlink r:id="rId1405" ref="L1433"/>
    <hyperlink r:id="rId1406" ref="L1434"/>
    <hyperlink r:id="rId1407" ref="L1435"/>
    <hyperlink r:id="rId1408" ref="L1436"/>
    <hyperlink r:id="rId1409" ref="L1437"/>
    <hyperlink r:id="rId1410" ref="L1438"/>
    <hyperlink r:id="rId1411" ref="L1439"/>
    <hyperlink r:id="rId1412" ref="L1440"/>
    <hyperlink r:id="rId1413" ref="L1441"/>
    <hyperlink r:id="rId1414" ref="L1442"/>
    <hyperlink r:id="rId1415" ref="L1443"/>
    <hyperlink r:id="rId1416" ref="L1444"/>
    <hyperlink r:id="rId1417" ref="L1445"/>
    <hyperlink r:id="rId1418" ref="L1446"/>
    <hyperlink r:id="rId1419" ref="L1447"/>
    <hyperlink r:id="rId1420" ref="L1448"/>
    <hyperlink r:id="rId1421" ref="L1449"/>
    <hyperlink r:id="rId1422" ref="L1450"/>
    <hyperlink r:id="rId1423" ref="L1451"/>
    <hyperlink r:id="rId1424" ref="L1452"/>
    <hyperlink r:id="rId1425" ref="L1453"/>
    <hyperlink r:id="rId1426" ref="L1454"/>
    <hyperlink r:id="rId1427" ref="L1455"/>
    <hyperlink r:id="rId1428" ref="L1456"/>
    <hyperlink r:id="rId1429" ref="L1457"/>
    <hyperlink r:id="rId1430" ref="L1458"/>
    <hyperlink r:id="rId1431" ref="L1459"/>
    <hyperlink r:id="rId1432" ref="L1460"/>
    <hyperlink r:id="rId1433" ref="L1461"/>
    <hyperlink r:id="rId1434" ref="L1462"/>
    <hyperlink r:id="rId1435" ref="L1463"/>
    <hyperlink r:id="rId1436" ref="L1464"/>
    <hyperlink r:id="rId1437" ref="L1465"/>
    <hyperlink r:id="rId1438" ref="L1466"/>
    <hyperlink r:id="rId1439" ref="L1467"/>
    <hyperlink r:id="rId1440" ref="L1468"/>
    <hyperlink r:id="rId1441" ref="L1469"/>
    <hyperlink r:id="rId1442" ref="L1470"/>
    <hyperlink r:id="rId1443" ref="L1471"/>
    <hyperlink r:id="rId1444" ref="L1472"/>
    <hyperlink r:id="rId1445" ref="L1473"/>
    <hyperlink r:id="rId1446" ref="L1474"/>
    <hyperlink r:id="rId1447" ref="L1475"/>
    <hyperlink r:id="rId1448" ref="L1476"/>
    <hyperlink r:id="rId1449" ref="L1477"/>
    <hyperlink r:id="rId1450" ref="L1478"/>
    <hyperlink r:id="rId1451" ref="L1479"/>
    <hyperlink r:id="rId1452" ref="L1480"/>
    <hyperlink r:id="rId1453" ref="L1481"/>
    <hyperlink r:id="rId1454" ref="L1482"/>
    <hyperlink r:id="rId1455" ref="L1483"/>
    <hyperlink r:id="rId1456" ref="L1484"/>
    <hyperlink r:id="rId1457" ref="L1485"/>
    <hyperlink r:id="rId1458" ref="L1486"/>
    <hyperlink r:id="rId1459" ref="L1487"/>
    <hyperlink r:id="rId1460" ref="L1488"/>
    <hyperlink r:id="rId1461" ref="L1489"/>
    <hyperlink r:id="rId1462" ref="L1490"/>
    <hyperlink r:id="rId1463" ref="L1491"/>
    <hyperlink r:id="rId1464" ref="L1492"/>
    <hyperlink r:id="rId1465" ref="L1493"/>
    <hyperlink r:id="rId1466" ref="L1494"/>
    <hyperlink r:id="rId1467" ref="L1495"/>
    <hyperlink r:id="rId1468" ref="L1496"/>
    <hyperlink r:id="rId1469" ref="L1497"/>
    <hyperlink r:id="rId1470" ref="L1498"/>
    <hyperlink r:id="rId1471" ref="L1499"/>
    <hyperlink r:id="rId1472" ref="L1500"/>
    <hyperlink r:id="rId1473" ref="L1501"/>
    <hyperlink r:id="rId1474" ref="L1502"/>
    <hyperlink r:id="rId1475" ref="L1503"/>
    <hyperlink r:id="rId1476" ref="L1504"/>
    <hyperlink r:id="rId1477" ref="L1505"/>
    <hyperlink r:id="rId1478" ref="L1506"/>
    <hyperlink r:id="rId1479" ref="L1507"/>
    <hyperlink r:id="rId1480" ref="L1508"/>
    <hyperlink r:id="rId1481" ref="L1509"/>
    <hyperlink r:id="rId1482" ref="L1510"/>
    <hyperlink r:id="rId1483" ref="L1511"/>
    <hyperlink r:id="rId1484" ref="L1512"/>
    <hyperlink r:id="rId1485" ref="L1513"/>
    <hyperlink r:id="rId1486" ref="L1514"/>
    <hyperlink r:id="rId1487" ref="L1515"/>
    <hyperlink r:id="rId1488" ref="L1516"/>
    <hyperlink r:id="rId1489" ref="L1517"/>
    <hyperlink r:id="rId1490" ref="L1518"/>
    <hyperlink r:id="rId1491" ref="L1519"/>
    <hyperlink r:id="rId1492" ref="L1520"/>
    <hyperlink r:id="rId1493" ref="L1521"/>
    <hyperlink r:id="rId1494" ref="L1522"/>
    <hyperlink r:id="rId1495" ref="L1523"/>
    <hyperlink r:id="rId1496" ref="L1524"/>
    <hyperlink r:id="rId1497" ref="L1525"/>
    <hyperlink r:id="rId1498" ref="L1526"/>
    <hyperlink r:id="rId1499" ref="L1527"/>
    <hyperlink r:id="rId1500" ref="L1528"/>
    <hyperlink r:id="rId1501" ref="L1529"/>
    <hyperlink r:id="rId1502" ref="L1530"/>
    <hyperlink r:id="rId1503" ref="L1531"/>
    <hyperlink r:id="rId1504" ref="L1532"/>
    <hyperlink r:id="rId1505" ref="L1533"/>
    <hyperlink r:id="rId1506" ref="L1534"/>
    <hyperlink r:id="rId1507" ref="L1535"/>
    <hyperlink r:id="rId1508" ref="L1536"/>
    <hyperlink r:id="rId1509" ref="L1537"/>
    <hyperlink r:id="rId1510" ref="L1538"/>
    <hyperlink r:id="rId1511" ref="L1539"/>
    <hyperlink r:id="rId1512" ref="L1540"/>
    <hyperlink r:id="rId1513" ref="L1541"/>
    <hyperlink r:id="rId1514" ref="L1542"/>
    <hyperlink r:id="rId1515" ref="L1543"/>
    <hyperlink r:id="rId1516" ref="L1544"/>
    <hyperlink r:id="rId1517" ref="L1545"/>
    <hyperlink r:id="rId1518" ref="L1546"/>
    <hyperlink r:id="rId1519" ref="L1547"/>
    <hyperlink r:id="rId1520" ref="L1548"/>
    <hyperlink r:id="rId1521" ref="L1549"/>
    <hyperlink r:id="rId1522" ref="L1550"/>
    <hyperlink r:id="rId1523" ref="L1551"/>
    <hyperlink r:id="rId1524" ref="L1552"/>
    <hyperlink r:id="rId1525" ref="L1553"/>
    <hyperlink r:id="rId1526" ref="L1554"/>
    <hyperlink r:id="rId1527" ref="L1555"/>
    <hyperlink r:id="rId1528" ref="L1556"/>
    <hyperlink r:id="rId1529" ref="L1557"/>
    <hyperlink r:id="rId1530" ref="L1558"/>
    <hyperlink r:id="rId1531" ref="L1559"/>
    <hyperlink r:id="rId1532" ref="L1560"/>
    <hyperlink r:id="rId1533" ref="L1561"/>
    <hyperlink r:id="rId1534" ref="L1562"/>
    <hyperlink r:id="rId1535" ref="L1563"/>
    <hyperlink r:id="rId1536" ref="L1564"/>
    <hyperlink r:id="rId1537" ref="L1565"/>
    <hyperlink r:id="rId1538" ref="L1566"/>
    <hyperlink r:id="rId1539" ref="L1567"/>
    <hyperlink r:id="rId1540" ref="L1568"/>
    <hyperlink r:id="rId1541" ref="L1569"/>
    <hyperlink r:id="rId1542" ref="L1570"/>
    <hyperlink r:id="rId1543" ref="L1571"/>
    <hyperlink r:id="rId1544" ref="L1572"/>
    <hyperlink r:id="rId1545" ref="L1573"/>
    <hyperlink r:id="rId1546" ref="L1574"/>
    <hyperlink r:id="rId1547" ref="L1575"/>
    <hyperlink r:id="rId1548" ref="L1576"/>
    <hyperlink r:id="rId1549" ref="L1577"/>
    <hyperlink r:id="rId1550" ref="L1578"/>
    <hyperlink r:id="rId1551" ref="L1579"/>
    <hyperlink r:id="rId1552" ref="L1580"/>
    <hyperlink r:id="rId1553" ref="L1581"/>
    <hyperlink r:id="rId1554" ref="L1582"/>
    <hyperlink r:id="rId1555" ref="L1583"/>
    <hyperlink r:id="rId1556" ref="L1584"/>
    <hyperlink r:id="rId1557" ref="L1585"/>
    <hyperlink r:id="rId1558" ref="L1586"/>
    <hyperlink r:id="rId1559" ref="L1587"/>
    <hyperlink r:id="rId1560" ref="L1588"/>
    <hyperlink r:id="rId1561" ref="L1589"/>
    <hyperlink r:id="rId1562" ref="L1590"/>
    <hyperlink r:id="rId1563" ref="L1591"/>
    <hyperlink r:id="rId1564" ref="L1592"/>
    <hyperlink r:id="rId1565" ref="L1593"/>
    <hyperlink r:id="rId1566" ref="L1594"/>
    <hyperlink r:id="rId1567" ref="L1595"/>
    <hyperlink r:id="rId1568" ref="L1596"/>
    <hyperlink r:id="rId1569" ref="L1597"/>
    <hyperlink r:id="rId1570" ref="L1598"/>
    <hyperlink r:id="rId1571" ref="L1599"/>
    <hyperlink r:id="rId1572" ref="L1600"/>
    <hyperlink r:id="rId1573" ref="L1601"/>
    <hyperlink r:id="rId1574" ref="L1602"/>
    <hyperlink r:id="rId1575" ref="L1603"/>
    <hyperlink r:id="rId1576" ref="L1604"/>
    <hyperlink r:id="rId1577" ref="L1605"/>
    <hyperlink r:id="rId1578" ref="L1606"/>
    <hyperlink r:id="rId1579" ref="L1607"/>
    <hyperlink r:id="rId1580" ref="L1608"/>
    <hyperlink r:id="rId1581" ref="L1609"/>
    <hyperlink r:id="rId1582" ref="L1610"/>
    <hyperlink r:id="rId1583" ref="L1611"/>
    <hyperlink r:id="rId1584" ref="L1612"/>
    <hyperlink r:id="rId1585" ref="L1613"/>
    <hyperlink r:id="rId1586" ref="L1614"/>
    <hyperlink r:id="rId1587" ref="L1615"/>
    <hyperlink r:id="rId1588" ref="L1616"/>
    <hyperlink r:id="rId1589" ref="L1617"/>
    <hyperlink r:id="rId1590" ref="L1618"/>
    <hyperlink r:id="rId1591" ref="L1619"/>
    <hyperlink r:id="rId1592" ref="L1620"/>
    <hyperlink r:id="rId1593" ref="L1621"/>
    <hyperlink r:id="rId1594" ref="L1622"/>
    <hyperlink r:id="rId1595" ref="L1623"/>
    <hyperlink r:id="rId1596" ref="L1624"/>
    <hyperlink r:id="rId1597" ref="L1625"/>
    <hyperlink r:id="rId1598" ref="L1626"/>
    <hyperlink r:id="rId1599" ref="L1627"/>
    <hyperlink r:id="rId1600" ref="L1628"/>
    <hyperlink r:id="rId1601" ref="L1629"/>
    <hyperlink r:id="rId1602" ref="L1630"/>
    <hyperlink r:id="rId1603" ref="L1631"/>
    <hyperlink r:id="rId1604" ref="L1632"/>
    <hyperlink r:id="rId1605" ref="L1633"/>
    <hyperlink r:id="rId1606" ref="L1634"/>
    <hyperlink r:id="rId1607" ref="L1635"/>
    <hyperlink r:id="rId1608" ref="L1636"/>
    <hyperlink r:id="rId1609" ref="L1637"/>
    <hyperlink r:id="rId1610" ref="L1638"/>
    <hyperlink r:id="rId1611" ref="L1639"/>
    <hyperlink r:id="rId1612" ref="L1640"/>
    <hyperlink r:id="rId1613" ref="L1641"/>
    <hyperlink r:id="rId1614" ref="L1642"/>
    <hyperlink r:id="rId1615" ref="L1643"/>
    <hyperlink r:id="rId1616" ref="L1644"/>
    <hyperlink r:id="rId1617" ref="L1645"/>
    <hyperlink r:id="rId1618" ref="L1646"/>
    <hyperlink r:id="rId1619" ref="L1647"/>
    <hyperlink r:id="rId1620" ref="L1648"/>
    <hyperlink r:id="rId1621" ref="L1649"/>
    <hyperlink r:id="rId1622" ref="L1650"/>
    <hyperlink r:id="rId1623" ref="L1651"/>
    <hyperlink r:id="rId1624" ref="L1652"/>
    <hyperlink r:id="rId1625" ref="L1653"/>
    <hyperlink r:id="rId1626" ref="L1654"/>
    <hyperlink r:id="rId1627" ref="L1655"/>
    <hyperlink r:id="rId1628" ref="L1656"/>
    <hyperlink r:id="rId1629" ref="L1657"/>
    <hyperlink r:id="rId1630" ref="L1658"/>
    <hyperlink r:id="rId1631" ref="L1659"/>
    <hyperlink r:id="rId1632" ref="L1660"/>
    <hyperlink r:id="rId1633" ref="L1661"/>
    <hyperlink r:id="rId1634" ref="L1662"/>
    <hyperlink r:id="rId1635" ref="L1663"/>
    <hyperlink r:id="rId1636" ref="L1664"/>
    <hyperlink r:id="rId1637" ref="L1665"/>
    <hyperlink r:id="rId1638" ref="L1666"/>
    <hyperlink r:id="rId1639" ref="L1667"/>
    <hyperlink r:id="rId1640" ref="L1668"/>
    <hyperlink r:id="rId1641" ref="L1669"/>
    <hyperlink r:id="rId1642" ref="L1670"/>
    <hyperlink r:id="rId1643" ref="L1671"/>
    <hyperlink r:id="rId1644" ref="L1672"/>
    <hyperlink r:id="rId1645" ref="L1673"/>
    <hyperlink r:id="rId1646" ref="L1674"/>
    <hyperlink r:id="rId1647" ref="L1675"/>
    <hyperlink r:id="rId1648" ref="L1676"/>
    <hyperlink r:id="rId1649" ref="L1677"/>
    <hyperlink r:id="rId1650" ref="L1678"/>
    <hyperlink r:id="rId1651" ref="L1679"/>
    <hyperlink r:id="rId1652" ref="L1680"/>
    <hyperlink r:id="rId1653" ref="L1681"/>
    <hyperlink r:id="rId1654" ref="L1682"/>
    <hyperlink r:id="rId1655" ref="L1683"/>
    <hyperlink r:id="rId1656" ref="L1684"/>
    <hyperlink r:id="rId1657" ref="L1685"/>
    <hyperlink r:id="rId1658" ref="L1686"/>
    <hyperlink r:id="rId1659" ref="L1687"/>
    <hyperlink r:id="rId1660" ref="L1688"/>
    <hyperlink r:id="rId1661" ref="L1689"/>
    <hyperlink r:id="rId1662" ref="L1690"/>
    <hyperlink r:id="rId1663" ref="L1691"/>
    <hyperlink r:id="rId1664" ref="L1692"/>
    <hyperlink r:id="rId1665" ref="L1693"/>
    <hyperlink r:id="rId1666" ref="L1694"/>
    <hyperlink r:id="rId1667" ref="L1695"/>
    <hyperlink r:id="rId1668" ref="L1696"/>
    <hyperlink r:id="rId1669" ref="L1697"/>
    <hyperlink r:id="rId1670" ref="L1698"/>
    <hyperlink r:id="rId1671" ref="L1699"/>
    <hyperlink r:id="rId1672" ref="L1700"/>
    <hyperlink r:id="rId1673" ref="L1701"/>
    <hyperlink r:id="rId1674" ref="L1702"/>
    <hyperlink r:id="rId1675" ref="L1703"/>
    <hyperlink r:id="rId1676" ref="L1704"/>
    <hyperlink r:id="rId1677" ref="L1705"/>
    <hyperlink r:id="rId1678" ref="L1706"/>
    <hyperlink r:id="rId1679" ref="L1707"/>
    <hyperlink r:id="rId1680" ref="L1708"/>
    <hyperlink r:id="rId1681" ref="L1709"/>
    <hyperlink r:id="rId1682" ref="L1710"/>
    <hyperlink r:id="rId1683" ref="L1711"/>
    <hyperlink r:id="rId1684" ref="L1712"/>
    <hyperlink r:id="rId1685" ref="L1713"/>
    <hyperlink r:id="rId1686" ref="L1714"/>
    <hyperlink r:id="rId1687" ref="L1715"/>
    <hyperlink r:id="rId1688" ref="L1716"/>
    <hyperlink r:id="rId1689" ref="L1717"/>
    <hyperlink r:id="rId1690" ref="L1718"/>
    <hyperlink r:id="rId1691" ref="L1719"/>
    <hyperlink r:id="rId1692" ref="L1720"/>
    <hyperlink r:id="rId1693" ref="L1721"/>
    <hyperlink r:id="rId1694" ref="L1722"/>
    <hyperlink r:id="rId1695" ref="L1723"/>
    <hyperlink r:id="rId1696" ref="L1724"/>
    <hyperlink r:id="rId1697" ref="L1725"/>
    <hyperlink r:id="rId1698" ref="L1726"/>
    <hyperlink r:id="rId1699" ref="L1727"/>
    <hyperlink r:id="rId1700" ref="L1728"/>
    <hyperlink r:id="rId1701" ref="L1729"/>
    <hyperlink r:id="rId1702" ref="L1730"/>
    <hyperlink r:id="rId1703" ref="L1731"/>
    <hyperlink r:id="rId1704" ref="L1732"/>
    <hyperlink r:id="rId1705" ref="L1733"/>
    <hyperlink r:id="rId1706" ref="L1734"/>
    <hyperlink r:id="rId1707" ref="L1735"/>
    <hyperlink r:id="rId1708" ref="L1736"/>
    <hyperlink r:id="rId1709" ref="L1737"/>
    <hyperlink r:id="rId1710" ref="L1738"/>
    <hyperlink r:id="rId1711" ref="L1739"/>
    <hyperlink r:id="rId1712" ref="L1740"/>
    <hyperlink r:id="rId1713" ref="L1741"/>
    <hyperlink r:id="rId1714" ref="L1742"/>
    <hyperlink r:id="rId1715" ref="L1743"/>
    <hyperlink r:id="rId1716" ref="L1744"/>
    <hyperlink r:id="rId1717" ref="L1745"/>
    <hyperlink r:id="rId1718" ref="L1746"/>
    <hyperlink r:id="rId1719" ref="L1747"/>
    <hyperlink r:id="rId1720" ref="L1748"/>
    <hyperlink r:id="rId1721" ref="L1749"/>
    <hyperlink r:id="rId1722" ref="L1750"/>
    <hyperlink r:id="rId1723" ref="L1751"/>
    <hyperlink r:id="rId1724" ref="L1752"/>
    <hyperlink r:id="rId1725" ref="L1753"/>
    <hyperlink r:id="rId1726" ref="L1754"/>
    <hyperlink r:id="rId1727" ref="L1755"/>
    <hyperlink r:id="rId1728" ref="L1756"/>
    <hyperlink r:id="rId1729" ref="L1757"/>
    <hyperlink r:id="rId1730" ref="L1758"/>
    <hyperlink r:id="rId1731" ref="L1759"/>
    <hyperlink r:id="rId1732" ref="L1760"/>
    <hyperlink r:id="rId1733" ref="L1761"/>
    <hyperlink r:id="rId1734" ref="L1762"/>
    <hyperlink r:id="rId1735" ref="L1763"/>
    <hyperlink r:id="rId1736" ref="L1764"/>
    <hyperlink r:id="rId1737" ref="L1765"/>
    <hyperlink r:id="rId1738" ref="L1766"/>
    <hyperlink r:id="rId1739" ref="L1767"/>
    <hyperlink r:id="rId1740" ref="L1768"/>
    <hyperlink r:id="rId1741" ref="L1769"/>
    <hyperlink r:id="rId1742" ref="L1770"/>
    <hyperlink r:id="rId1743" ref="L1771"/>
    <hyperlink r:id="rId1744" ref="L1772"/>
    <hyperlink r:id="rId1745" ref="L1773"/>
    <hyperlink r:id="rId1746" ref="L1774"/>
    <hyperlink r:id="rId1747" ref="L1775"/>
    <hyperlink r:id="rId1748" ref="L1776"/>
    <hyperlink r:id="rId1749" ref="L1777"/>
    <hyperlink r:id="rId1750" ref="L1778"/>
    <hyperlink r:id="rId1751" ref="L1779"/>
    <hyperlink r:id="rId1752" ref="L1780"/>
    <hyperlink r:id="rId1753" ref="L1781"/>
    <hyperlink r:id="rId1754" ref="L1782"/>
    <hyperlink r:id="rId1755" ref="L1783"/>
    <hyperlink r:id="rId1756" ref="L1784"/>
    <hyperlink r:id="rId1757" ref="L1785"/>
    <hyperlink r:id="rId1758" ref="L1786"/>
    <hyperlink r:id="rId1759" ref="L1787"/>
    <hyperlink r:id="rId1760" ref="L1788"/>
    <hyperlink r:id="rId1761" ref="L1789"/>
    <hyperlink r:id="rId1762" ref="L1790"/>
    <hyperlink r:id="rId1763" ref="L1791"/>
    <hyperlink r:id="rId1764" ref="L1792"/>
    <hyperlink r:id="rId1765" ref="L1793"/>
    <hyperlink r:id="rId1766" ref="L1794"/>
    <hyperlink r:id="rId1767" ref="L1795"/>
    <hyperlink r:id="rId1768" ref="L1796"/>
    <hyperlink r:id="rId1769" ref="L1797"/>
    <hyperlink r:id="rId1770" ref="L1798"/>
    <hyperlink r:id="rId1771" ref="L1799"/>
    <hyperlink r:id="rId1772" ref="L1800"/>
    <hyperlink r:id="rId1773" ref="L1801"/>
    <hyperlink r:id="rId1774" ref="L1802"/>
    <hyperlink r:id="rId1775" ref="L1803"/>
    <hyperlink r:id="rId1776" ref="L1804"/>
    <hyperlink r:id="rId1777" ref="L1805"/>
    <hyperlink r:id="rId1778" ref="L1806"/>
    <hyperlink r:id="rId1779" ref="L1807"/>
    <hyperlink r:id="rId1780" ref="L1808"/>
    <hyperlink r:id="rId1781" ref="L1809"/>
    <hyperlink r:id="rId1782" ref="L1810"/>
    <hyperlink r:id="rId1783" ref="L1811"/>
    <hyperlink r:id="rId1784" ref="L1812"/>
    <hyperlink r:id="rId1785" ref="L1813"/>
    <hyperlink r:id="rId1786" ref="L1814"/>
    <hyperlink r:id="rId1787" ref="L1815"/>
    <hyperlink r:id="rId1788" ref="L1816"/>
    <hyperlink r:id="rId1789" ref="L1817"/>
    <hyperlink r:id="rId1790" ref="L1818"/>
    <hyperlink r:id="rId1791" ref="L1819"/>
    <hyperlink r:id="rId1792" ref="L1820"/>
    <hyperlink r:id="rId1793" ref="L1821"/>
    <hyperlink r:id="rId1794" ref="L1822"/>
    <hyperlink r:id="rId1795" ref="L1823"/>
    <hyperlink r:id="rId1796" ref="L1824"/>
    <hyperlink r:id="rId1797" ref="L1825"/>
    <hyperlink r:id="rId1798" ref="L1826"/>
    <hyperlink r:id="rId1799" ref="L1827"/>
    <hyperlink r:id="rId1800" ref="L1828"/>
    <hyperlink r:id="rId1801" ref="L1829"/>
    <hyperlink r:id="rId1802" ref="L1830"/>
    <hyperlink r:id="rId1803" ref="L1831"/>
    <hyperlink r:id="rId1804" ref="L1832"/>
    <hyperlink r:id="rId1805" ref="L1833"/>
    <hyperlink r:id="rId1806" ref="L1834"/>
    <hyperlink r:id="rId1807" ref="L1835"/>
    <hyperlink r:id="rId1808" ref="L1836"/>
    <hyperlink r:id="rId1809" ref="L1837"/>
    <hyperlink r:id="rId1810" ref="L1838"/>
    <hyperlink r:id="rId1811" ref="L1839"/>
    <hyperlink r:id="rId1812" ref="L1840"/>
    <hyperlink r:id="rId1813" ref="L1841"/>
    <hyperlink r:id="rId1814" ref="L1842"/>
    <hyperlink r:id="rId1815" ref="L1843"/>
    <hyperlink r:id="rId1816" ref="L1844"/>
    <hyperlink r:id="rId1817" ref="L1845"/>
    <hyperlink r:id="rId1818" ref="L1846"/>
    <hyperlink r:id="rId1819" ref="L1847"/>
    <hyperlink r:id="rId1820" ref="L1848"/>
    <hyperlink r:id="rId1821" ref="L1849"/>
    <hyperlink r:id="rId1822" ref="L1850"/>
    <hyperlink r:id="rId1823" ref="L1851"/>
    <hyperlink r:id="rId1824" ref="L1852"/>
    <hyperlink r:id="rId1825" ref="L1853"/>
    <hyperlink r:id="rId1826" ref="L1854"/>
    <hyperlink r:id="rId1827" ref="L1855"/>
    <hyperlink r:id="rId1828" ref="L1856"/>
    <hyperlink r:id="rId1829" ref="L1857"/>
    <hyperlink r:id="rId1830" ref="L1858"/>
    <hyperlink r:id="rId1831" ref="L1859"/>
    <hyperlink r:id="rId1832" ref="L1860"/>
    <hyperlink r:id="rId1833" ref="L1861"/>
    <hyperlink r:id="rId1834" ref="L1862"/>
    <hyperlink r:id="rId1835" ref="L1863"/>
    <hyperlink r:id="rId1836" ref="L1864"/>
    <hyperlink r:id="rId1837" ref="L1865"/>
    <hyperlink r:id="rId1838" ref="L1866"/>
    <hyperlink r:id="rId1839" ref="L1867"/>
    <hyperlink r:id="rId1840" ref="L1868"/>
    <hyperlink r:id="rId1841" ref="L1869"/>
    <hyperlink r:id="rId1842" ref="L1870"/>
    <hyperlink r:id="rId1843" ref="L1871"/>
    <hyperlink r:id="rId1844" ref="L1872"/>
    <hyperlink r:id="rId1845" ref="L1873"/>
    <hyperlink r:id="rId1846" ref="L1874"/>
    <hyperlink r:id="rId1847" ref="L1875"/>
    <hyperlink r:id="rId1848" ref="L1876"/>
    <hyperlink r:id="rId1849" ref="L1877"/>
    <hyperlink r:id="rId1850" ref="L1878"/>
    <hyperlink r:id="rId1851" ref="L1879"/>
    <hyperlink r:id="rId1852" ref="L1880"/>
    <hyperlink r:id="rId1853" ref="L1881"/>
    <hyperlink r:id="rId1854" ref="L1882"/>
    <hyperlink r:id="rId1855" ref="L1883"/>
    <hyperlink r:id="rId1856" ref="L1884"/>
    <hyperlink r:id="rId1857" ref="L1885"/>
    <hyperlink r:id="rId1858" ref="L1886"/>
    <hyperlink r:id="rId1859" ref="L1887"/>
    <hyperlink r:id="rId1860" ref="L1888"/>
    <hyperlink r:id="rId1861" ref="L1889"/>
    <hyperlink r:id="rId1862" ref="L1890"/>
    <hyperlink r:id="rId1863" ref="L1891"/>
    <hyperlink r:id="rId1864" ref="L1892"/>
    <hyperlink r:id="rId1865" ref="L1893"/>
    <hyperlink r:id="rId1866" ref="L1894"/>
    <hyperlink r:id="rId1867" ref="L1895"/>
    <hyperlink r:id="rId1868" ref="L1896"/>
    <hyperlink r:id="rId1869" ref="L1897"/>
    <hyperlink r:id="rId1870" ref="L1898"/>
    <hyperlink r:id="rId1871" ref="L1899"/>
    <hyperlink r:id="rId1872" ref="L1900"/>
    <hyperlink r:id="rId1873" ref="L1901"/>
    <hyperlink r:id="rId1874" ref="L1902"/>
    <hyperlink r:id="rId1875" ref="L1903"/>
    <hyperlink r:id="rId1876" ref="L1904"/>
    <hyperlink r:id="rId1877" ref="L1905"/>
    <hyperlink r:id="rId1878" ref="L1906"/>
    <hyperlink r:id="rId1879" ref="L1907"/>
    <hyperlink r:id="rId1880" ref="L1908"/>
    <hyperlink r:id="rId1881" ref="L1909"/>
    <hyperlink r:id="rId1882" ref="L1910"/>
    <hyperlink r:id="rId1883" ref="L1911"/>
    <hyperlink r:id="rId1884" ref="L1912"/>
    <hyperlink r:id="rId1885" ref="L1913"/>
    <hyperlink r:id="rId1886" ref="L1914"/>
    <hyperlink r:id="rId1887" ref="L1915"/>
    <hyperlink r:id="rId1888" ref="L1916"/>
    <hyperlink r:id="rId1889" ref="L1917"/>
    <hyperlink r:id="rId1890" ref="L1918"/>
    <hyperlink r:id="rId1891" ref="L1919"/>
    <hyperlink r:id="rId1892" ref="L1920"/>
    <hyperlink r:id="rId1893" ref="L1921"/>
    <hyperlink r:id="rId1894" ref="L1922"/>
    <hyperlink r:id="rId1895" ref="L1923"/>
    <hyperlink r:id="rId1896" ref="L1924"/>
    <hyperlink r:id="rId1897" ref="L1925"/>
    <hyperlink r:id="rId1898" ref="L1926"/>
    <hyperlink r:id="rId1899" ref="L1927"/>
    <hyperlink r:id="rId1900" ref="L1928"/>
    <hyperlink r:id="rId1901" ref="L1929"/>
    <hyperlink r:id="rId1902" ref="L1930"/>
    <hyperlink r:id="rId1903" ref="L1931"/>
    <hyperlink r:id="rId1904" ref="L1932"/>
    <hyperlink r:id="rId1905" ref="L1933"/>
    <hyperlink r:id="rId1906" ref="L1934"/>
    <hyperlink r:id="rId1907" ref="L1935"/>
    <hyperlink r:id="rId1908" ref="L1936"/>
    <hyperlink r:id="rId1909" ref="L1937"/>
    <hyperlink r:id="rId1910" ref="L1938"/>
    <hyperlink r:id="rId1911" ref="L1939"/>
    <hyperlink r:id="rId1912" ref="L1940"/>
    <hyperlink r:id="rId1913" ref="L1941"/>
    <hyperlink r:id="rId1914" ref="L1942"/>
    <hyperlink r:id="rId1915" ref="L1943"/>
    <hyperlink r:id="rId1916" ref="L1944"/>
    <hyperlink r:id="rId1917" ref="L1945"/>
    <hyperlink r:id="rId1918" ref="L1946"/>
    <hyperlink r:id="rId1919" ref="L1947"/>
    <hyperlink r:id="rId1920" ref="L1948"/>
    <hyperlink r:id="rId1921" ref="L1949"/>
    <hyperlink r:id="rId1922" ref="L1950"/>
    <hyperlink r:id="rId1923" ref="L1951"/>
    <hyperlink r:id="rId1924" ref="L1952"/>
    <hyperlink r:id="rId1925" ref="L1953"/>
    <hyperlink r:id="rId1926" ref="L1954"/>
    <hyperlink r:id="rId1927" ref="L1955"/>
    <hyperlink r:id="rId1928" ref="L1956"/>
    <hyperlink r:id="rId1929" ref="L1957"/>
    <hyperlink r:id="rId1930" ref="L1958"/>
    <hyperlink r:id="rId1931" ref="L1959"/>
    <hyperlink r:id="rId1932" ref="L1960"/>
    <hyperlink r:id="rId1933" ref="L1961"/>
    <hyperlink r:id="rId1934" ref="L1962"/>
    <hyperlink r:id="rId1935" ref="L1963"/>
    <hyperlink r:id="rId1936" ref="L1964"/>
    <hyperlink r:id="rId1937" ref="L1965"/>
    <hyperlink r:id="rId1938" ref="L1966"/>
    <hyperlink r:id="rId1939" ref="L1967"/>
    <hyperlink r:id="rId1940" ref="L1968"/>
    <hyperlink r:id="rId1941" ref="L1969"/>
    <hyperlink r:id="rId1942" ref="L1970"/>
    <hyperlink r:id="rId1943" ref="L1971"/>
    <hyperlink r:id="rId1944" ref="L1972"/>
    <hyperlink r:id="rId1945" ref="L1973"/>
    <hyperlink r:id="rId1946" ref="L1974"/>
    <hyperlink r:id="rId1947" ref="L1975"/>
    <hyperlink r:id="rId1948" ref="L1976"/>
    <hyperlink r:id="rId1949" ref="L1977"/>
    <hyperlink r:id="rId1950" ref="L1978"/>
    <hyperlink r:id="rId1951" ref="L1979"/>
    <hyperlink r:id="rId1952" ref="L1980"/>
    <hyperlink r:id="rId1953" ref="L1981"/>
    <hyperlink r:id="rId1954" ref="L1982"/>
    <hyperlink r:id="rId1955" ref="L1983"/>
    <hyperlink r:id="rId1956" ref="L1984"/>
    <hyperlink r:id="rId1957" ref="L1985"/>
    <hyperlink r:id="rId1958" ref="L1986"/>
    <hyperlink r:id="rId1959" ref="L1987"/>
    <hyperlink r:id="rId1960" ref="L1988"/>
    <hyperlink r:id="rId1961" ref="L1989"/>
    <hyperlink r:id="rId1962" ref="L1990"/>
    <hyperlink r:id="rId1963" ref="L1991"/>
    <hyperlink r:id="rId1964" ref="L1992"/>
    <hyperlink r:id="rId1965" ref="L1993"/>
    <hyperlink r:id="rId1966" ref="L1994"/>
    <hyperlink r:id="rId1967" ref="L1995"/>
    <hyperlink r:id="rId1968" ref="L1996"/>
    <hyperlink r:id="rId1969" ref="L1997"/>
    <hyperlink r:id="rId1970" ref="L1998"/>
    <hyperlink r:id="rId1971" ref="L1999"/>
    <hyperlink r:id="rId1972" ref="L2000"/>
    <hyperlink r:id="rId1973" ref="L2001"/>
    <hyperlink r:id="rId1974" ref="L2002"/>
    <hyperlink r:id="rId1975" ref="L2003"/>
    <hyperlink r:id="rId1976" ref="L2004"/>
    <hyperlink r:id="rId1977" ref="L2005"/>
    <hyperlink r:id="rId1978" ref="L2006"/>
    <hyperlink r:id="rId1979" ref="L2007"/>
    <hyperlink r:id="rId1980" ref="L2008"/>
    <hyperlink r:id="rId1981" ref="L2009"/>
    <hyperlink r:id="rId1982" ref="L2010"/>
    <hyperlink r:id="rId1983" ref="L2011"/>
    <hyperlink r:id="rId1984" ref="L2012"/>
    <hyperlink r:id="rId1985" ref="L2013"/>
    <hyperlink r:id="rId1986" ref="L2014"/>
    <hyperlink r:id="rId1987" ref="L2015"/>
    <hyperlink r:id="rId1988" ref="L2016"/>
    <hyperlink r:id="rId1989" ref="L2017"/>
    <hyperlink r:id="rId1990" ref="L2018"/>
    <hyperlink r:id="rId1991" ref="L2019"/>
    <hyperlink r:id="rId1992" ref="L2020"/>
    <hyperlink r:id="rId1993" ref="L2021"/>
    <hyperlink r:id="rId1994" ref="L2022"/>
    <hyperlink r:id="rId1995" ref="L2023"/>
    <hyperlink r:id="rId1996" ref="L2024"/>
    <hyperlink r:id="rId1997" ref="L2025"/>
    <hyperlink r:id="rId1998" ref="L2026"/>
    <hyperlink r:id="rId1999" ref="L2027"/>
    <hyperlink r:id="rId2000" ref="L2028"/>
    <hyperlink r:id="rId2001" ref="L2029"/>
    <hyperlink r:id="rId2002" ref="L2030"/>
    <hyperlink r:id="rId2003" ref="L2031"/>
    <hyperlink r:id="rId2004" ref="L2032"/>
    <hyperlink r:id="rId2005" ref="L2033"/>
    <hyperlink r:id="rId2006" ref="L2034"/>
    <hyperlink r:id="rId2007" ref="L2035"/>
    <hyperlink r:id="rId2008" ref="L2036"/>
    <hyperlink r:id="rId2009" ref="L2037"/>
    <hyperlink r:id="rId2010" ref="L2038"/>
    <hyperlink r:id="rId2011" ref="L2039"/>
    <hyperlink r:id="rId2012" ref="L2040"/>
    <hyperlink r:id="rId2013" ref="L2041"/>
    <hyperlink r:id="rId2014" ref="L2042"/>
    <hyperlink r:id="rId2015" ref="L2043"/>
    <hyperlink r:id="rId2016" ref="L2044"/>
    <hyperlink r:id="rId2017" ref="L2045"/>
    <hyperlink r:id="rId2018" ref="L2046"/>
    <hyperlink r:id="rId2019" ref="L2047"/>
    <hyperlink r:id="rId2020" ref="L2048"/>
    <hyperlink r:id="rId2021" ref="L2049"/>
    <hyperlink r:id="rId2022" ref="L2050"/>
    <hyperlink r:id="rId2023" ref="L2051"/>
    <hyperlink r:id="rId2024" ref="L2052"/>
    <hyperlink r:id="rId2025" ref="L2053"/>
    <hyperlink r:id="rId2026" ref="L2054"/>
    <hyperlink r:id="rId2027" ref="L2055"/>
    <hyperlink r:id="rId2028" ref="L2056"/>
    <hyperlink r:id="rId2029" ref="L2057"/>
    <hyperlink r:id="rId2030" ref="L2058"/>
    <hyperlink r:id="rId2031" ref="L2059"/>
    <hyperlink r:id="rId2032" ref="L2060"/>
    <hyperlink r:id="rId2033" ref="L2061"/>
    <hyperlink r:id="rId2034" ref="L2062"/>
    <hyperlink r:id="rId2035" ref="L2063"/>
    <hyperlink r:id="rId2036" ref="L2064"/>
    <hyperlink r:id="rId2037" ref="L2065"/>
    <hyperlink r:id="rId2038" ref="L2066"/>
    <hyperlink r:id="rId2039" ref="L2067"/>
    <hyperlink r:id="rId2040" ref="L2068"/>
    <hyperlink r:id="rId2041" ref="L2069"/>
    <hyperlink r:id="rId2042" ref="L2070"/>
    <hyperlink r:id="rId2043" ref="L2071"/>
    <hyperlink r:id="rId2044" ref="L2072"/>
    <hyperlink r:id="rId2045" ref="L2073"/>
    <hyperlink r:id="rId2046" ref="L2074"/>
    <hyperlink r:id="rId2047" ref="L2075"/>
    <hyperlink r:id="rId2048" ref="L2076"/>
    <hyperlink r:id="rId2049" ref="L2077"/>
    <hyperlink r:id="rId2050" ref="L2078"/>
    <hyperlink r:id="rId2051" ref="L2079"/>
    <hyperlink r:id="rId2052" ref="L2080"/>
    <hyperlink r:id="rId2053" ref="L2081"/>
    <hyperlink r:id="rId2054" ref="L2082"/>
    <hyperlink r:id="rId2055" ref="L2083"/>
    <hyperlink r:id="rId2056" ref="L2084"/>
    <hyperlink r:id="rId2057" ref="L2085"/>
    <hyperlink r:id="rId2058" ref="L2086"/>
    <hyperlink r:id="rId2059" ref="L2087"/>
    <hyperlink r:id="rId2060" ref="L2088"/>
    <hyperlink r:id="rId2061" ref="L2089"/>
    <hyperlink r:id="rId2062" ref="L2090"/>
    <hyperlink r:id="rId2063" ref="L2091"/>
    <hyperlink r:id="rId2064" ref="L2092"/>
    <hyperlink r:id="rId2065" ref="L2093"/>
    <hyperlink r:id="rId2066" ref="L2094"/>
    <hyperlink r:id="rId2067" ref="L2095"/>
    <hyperlink r:id="rId2068" ref="L2096"/>
    <hyperlink r:id="rId2069" ref="L2097"/>
    <hyperlink r:id="rId2070" ref="L2098"/>
    <hyperlink r:id="rId2071" ref="L2099"/>
    <hyperlink r:id="rId2072" ref="L2100"/>
    <hyperlink r:id="rId2073" ref="L2101"/>
    <hyperlink r:id="rId2074" ref="L2102"/>
    <hyperlink r:id="rId2075" ref="L2103"/>
    <hyperlink r:id="rId2076" ref="L2104"/>
    <hyperlink r:id="rId2077" ref="L2105"/>
    <hyperlink r:id="rId2078" ref="L2106"/>
    <hyperlink r:id="rId2079" ref="L2107"/>
    <hyperlink r:id="rId2080" ref="L2108"/>
    <hyperlink r:id="rId2081" ref="L2109"/>
    <hyperlink r:id="rId2082" ref="L2110"/>
    <hyperlink r:id="rId2083" ref="L2111"/>
    <hyperlink r:id="rId2084" ref="L2112"/>
    <hyperlink r:id="rId2085" ref="L2113"/>
    <hyperlink r:id="rId2086" ref="L2114"/>
    <hyperlink r:id="rId2087" ref="L2115"/>
    <hyperlink r:id="rId2088" ref="L2116"/>
    <hyperlink r:id="rId2089" ref="L2117"/>
    <hyperlink r:id="rId2090" ref="L2118"/>
    <hyperlink r:id="rId2091" ref="L2119"/>
    <hyperlink r:id="rId2092" ref="L2120"/>
    <hyperlink r:id="rId2093" ref="L2121"/>
    <hyperlink r:id="rId2094" ref="L2122"/>
    <hyperlink r:id="rId2095" ref="L2123"/>
    <hyperlink r:id="rId2096" ref="L2124"/>
    <hyperlink r:id="rId2097" ref="L2125"/>
    <hyperlink r:id="rId2098" ref="L2126"/>
    <hyperlink r:id="rId2099" ref="L2127"/>
    <hyperlink r:id="rId2100" ref="L2128"/>
    <hyperlink r:id="rId2101" ref="L2129"/>
    <hyperlink r:id="rId2102" ref="L2130"/>
    <hyperlink r:id="rId2103" ref="L2131"/>
    <hyperlink r:id="rId2104" ref="L2132"/>
    <hyperlink r:id="rId2105" ref="L2133"/>
    <hyperlink r:id="rId2106" ref="L2134"/>
    <hyperlink r:id="rId2107" ref="L2135"/>
    <hyperlink r:id="rId2108" ref="L2136"/>
    <hyperlink r:id="rId2109" ref="L2137"/>
    <hyperlink r:id="rId2110" ref="L2138"/>
    <hyperlink r:id="rId2111" ref="L2139"/>
    <hyperlink r:id="rId2112" ref="L2140"/>
    <hyperlink r:id="rId2113" ref="L2141"/>
    <hyperlink r:id="rId2114" ref="L2142"/>
    <hyperlink r:id="rId2115" ref="L2143"/>
    <hyperlink r:id="rId2116" ref="L2144"/>
    <hyperlink r:id="rId2117" ref="L2145"/>
    <hyperlink r:id="rId2118" ref="L2146"/>
    <hyperlink r:id="rId2119" ref="L2147"/>
    <hyperlink r:id="rId2120" ref="L2148"/>
    <hyperlink r:id="rId2121" ref="L2149"/>
    <hyperlink r:id="rId2122" ref="L2150"/>
    <hyperlink r:id="rId2123" ref="L2151"/>
    <hyperlink r:id="rId2124" ref="L2152"/>
    <hyperlink r:id="rId2125" ref="L2153"/>
    <hyperlink r:id="rId2126" ref="L2154"/>
    <hyperlink r:id="rId2127" ref="L2155"/>
    <hyperlink r:id="rId2128" ref="L2156"/>
    <hyperlink r:id="rId2129" ref="L2157"/>
    <hyperlink r:id="rId2130" ref="L2158"/>
    <hyperlink r:id="rId2131" ref="L2159"/>
    <hyperlink r:id="rId2132" ref="L2160"/>
    <hyperlink r:id="rId2133" ref="L2161"/>
    <hyperlink r:id="rId2134" ref="L2162"/>
    <hyperlink r:id="rId2135" ref="L2163"/>
    <hyperlink r:id="rId2136" ref="L2164"/>
    <hyperlink r:id="rId2137" ref="L2165"/>
    <hyperlink r:id="rId2138" ref="L2166"/>
    <hyperlink r:id="rId2139" ref="L2167"/>
    <hyperlink r:id="rId2140" ref="L2168"/>
    <hyperlink r:id="rId2141" ref="L2169"/>
    <hyperlink r:id="rId2142" ref="L2170"/>
    <hyperlink r:id="rId2143" ref="L2171"/>
    <hyperlink r:id="rId2144" ref="L2172"/>
    <hyperlink r:id="rId2145" ref="L2173"/>
    <hyperlink r:id="rId2146" ref="L2174"/>
    <hyperlink r:id="rId2147" ref="L2175"/>
    <hyperlink r:id="rId2148" ref="L2176"/>
    <hyperlink r:id="rId2149" ref="L2177"/>
    <hyperlink r:id="rId2150" ref="L2178"/>
    <hyperlink r:id="rId2151" ref="L2179"/>
    <hyperlink r:id="rId2152" ref="L2180"/>
    <hyperlink r:id="rId2153" ref="L2181"/>
    <hyperlink r:id="rId2154" ref="L2182"/>
    <hyperlink r:id="rId2155" ref="L2183"/>
    <hyperlink r:id="rId2156" ref="L2184"/>
    <hyperlink r:id="rId2157" ref="L2185"/>
    <hyperlink r:id="rId2158" ref="L2186"/>
    <hyperlink r:id="rId2159" ref="L2187"/>
    <hyperlink r:id="rId2160" ref="L2188"/>
    <hyperlink r:id="rId2161" ref="L2189"/>
    <hyperlink r:id="rId2162" ref="L2190"/>
    <hyperlink r:id="rId2163" ref="L2191"/>
    <hyperlink r:id="rId2164" ref="L2192"/>
    <hyperlink r:id="rId2165" ref="L2193"/>
    <hyperlink r:id="rId2166" ref="L2194"/>
    <hyperlink r:id="rId2167" ref="L2195"/>
    <hyperlink r:id="rId2168" ref="L2196"/>
    <hyperlink r:id="rId2169" ref="L2197"/>
    <hyperlink r:id="rId2170" ref="L2198"/>
    <hyperlink r:id="rId2171" ref="L2199"/>
    <hyperlink r:id="rId2172" ref="L2200"/>
    <hyperlink r:id="rId2173" ref="L2201"/>
    <hyperlink r:id="rId2174" ref="L2202"/>
    <hyperlink r:id="rId2175" ref="L2203"/>
    <hyperlink r:id="rId2176" ref="L2204"/>
    <hyperlink r:id="rId2177" ref="L2205"/>
    <hyperlink r:id="rId2178" ref="L2206"/>
    <hyperlink r:id="rId2179" ref="L2207"/>
    <hyperlink r:id="rId2180" ref="L2208"/>
    <hyperlink r:id="rId2181" ref="L2209"/>
    <hyperlink r:id="rId2182" ref="L2210"/>
    <hyperlink r:id="rId2183" ref="L2211"/>
    <hyperlink r:id="rId2184" ref="L2212"/>
    <hyperlink r:id="rId2185" ref="L2213"/>
    <hyperlink r:id="rId2186" ref="L2214"/>
    <hyperlink r:id="rId2187" ref="L2215"/>
    <hyperlink r:id="rId2188" ref="L2216"/>
    <hyperlink r:id="rId2189" ref="L2217"/>
    <hyperlink r:id="rId2190" ref="L2218"/>
    <hyperlink r:id="rId2191" ref="L2219"/>
    <hyperlink r:id="rId2192" ref="L2220"/>
    <hyperlink r:id="rId2193" ref="L2221"/>
    <hyperlink r:id="rId2194" ref="L2222"/>
    <hyperlink r:id="rId2195" ref="L2223"/>
    <hyperlink r:id="rId2196" ref="L2224"/>
    <hyperlink r:id="rId2197" ref="L2225"/>
    <hyperlink r:id="rId2198" ref="L2226"/>
    <hyperlink r:id="rId2199" ref="L2227"/>
    <hyperlink r:id="rId2200" ref="L2228"/>
    <hyperlink r:id="rId2201" ref="L2229"/>
    <hyperlink r:id="rId2202" ref="L2230"/>
    <hyperlink r:id="rId2203" ref="L2231"/>
    <hyperlink r:id="rId2204" ref="L2232"/>
    <hyperlink r:id="rId2205" ref="L2233"/>
    <hyperlink r:id="rId2206" ref="L2234"/>
    <hyperlink r:id="rId2207" ref="L2235"/>
    <hyperlink r:id="rId2208" ref="L2236"/>
    <hyperlink r:id="rId2209" ref="L2237"/>
    <hyperlink r:id="rId2210" ref="L2238"/>
    <hyperlink r:id="rId2211" ref="L2239"/>
    <hyperlink r:id="rId2212" ref="L2240"/>
    <hyperlink r:id="rId2213" ref="L2241"/>
    <hyperlink r:id="rId2214" ref="L2242"/>
    <hyperlink r:id="rId2215" ref="L2243"/>
    <hyperlink r:id="rId2216" ref="L2244"/>
    <hyperlink r:id="rId2217" ref="L2245"/>
    <hyperlink r:id="rId2218" ref="L2246"/>
    <hyperlink r:id="rId2219" ref="L2247"/>
    <hyperlink r:id="rId2220" ref="L2248"/>
    <hyperlink r:id="rId2221" ref="L2249"/>
    <hyperlink r:id="rId2222" ref="L2250"/>
    <hyperlink r:id="rId2223" ref="L2251"/>
    <hyperlink r:id="rId2224" ref="L2252"/>
    <hyperlink r:id="rId2225" ref="L2253"/>
    <hyperlink r:id="rId2226" ref="L2254"/>
    <hyperlink r:id="rId2227" ref="L2255"/>
    <hyperlink r:id="rId2228" ref="L2256"/>
    <hyperlink r:id="rId2229" ref="L2257"/>
    <hyperlink r:id="rId2230" ref="L2258"/>
    <hyperlink r:id="rId2231" ref="L2259"/>
    <hyperlink r:id="rId2232" ref="L2260"/>
    <hyperlink r:id="rId2233" ref="L2261"/>
    <hyperlink r:id="rId2234" ref="L2262"/>
    <hyperlink r:id="rId2235" ref="L2263"/>
    <hyperlink r:id="rId2236" ref="L2264"/>
    <hyperlink r:id="rId2237" ref="L2265"/>
    <hyperlink r:id="rId2238" ref="L2266"/>
    <hyperlink r:id="rId2239" ref="L2267"/>
    <hyperlink r:id="rId2240" ref="L2268"/>
    <hyperlink r:id="rId2241" ref="L2269"/>
    <hyperlink r:id="rId2242" ref="L2270"/>
    <hyperlink r:id="rId2243" ref="L2271"/>
    <hyperlink r:id="rId2244" ref="L2272"/>
    <hyperlink r:id="rId2245" ref="L2286"/>
    <hyperlink r:id="rId2246" ref="L2287"/>
    <hyperlink r:id="rId2247" ref="L2288"/>
    <hyperlink r:id="rId2248" ref="L2289"/>
    <hyperlink r:id="rId2249" ref="L2290"/>
    <hyperlink r:id="rId2250" ref="L2291"/>
    <hyperlink r:id="rId2251" ref="L2292"/>
    <hyperlink r:id="rId2252" ref="L2293"/>
    <hyperlink r:id="rId2253" ref="L2294"/>
    <hyperlink r:id="rId2254" ref="L2295"/>
    <hyperlink r:id="rId2255" ref="L2296"/>
    <hyperlink r:id="rId2256" ref="L2297"/>
    <hyperlink r:id="rId2257" ref="L2298"/>
    <hyperlink r:id="rId2258" ref="L2299"/>
    <hyperlink r:id="rId2259" ref="L2300"/>
    <hyperlink r:id="rId2260" ref="L2301"/>
    <hyperlink r:id="rId2261" ref="L2302"/>
    <hyperlink r:id="rId2262" ref="L2303"/>
    <hyperlink r:id="rId2263" ref="L2304"/>
    <hyperlink r:id="rId2264" ref="L2305"/>
    <hyperlink r:id="rId2265" ref="L2306"/>
    <hyperlink r:id="rId2266" ref="L2307"/>
    <hyperlink r:id="rId2267" ref="L2308"/>
    <hyperlink r:id="rId2268" ref="L2309"/>
    <hyperlink r:id="rId2269" ref="L2310"/>
    <hyperlink r:id="rId2270" ref="L2311"/>
    <hyperlink r:id="rId2271" ref="L2312"/>
    <hyperlink r:id="rId2272" ref="L2313"/>
    <hyperlink r:id="rId2273" ref="L2314"/>
    <hyperlink r:id="rId2274" ref="L2315"/>
    <hyperlink r:id="rId2275" ref="L2316"/>
    <hyperlink r:id="rId2276" ref="L2317"/>
    <hyperlink r:id="rId2277" ref="L2318"/>
    <hyperlink r:id="rId2278" ref="L2319"/>
    <hyperlink r:id="rId2279" ref="L2320"/>
    <hyperlink r:id="rId2280" ref="L2321"/>
    <hyperlink r:id="rId2281" ref="L2322"/>
    <hyperlink r:id="rId2282" ref="L2323"/>
    <hyperlink r:id="rId2283" ref="L2324"/>
    <hyperlink r:id="rId2284" ref="L2325"/>
    <hyperlink r:id="rId2285" ref="L2326"/>
    <hyperlink r:id="rId2286" ref="L2327"/>
    <hyperlink r:id="rId2287" ref="L2328"/>
    <hyperlink r:id="rId2288" ref="L2329"/>
    <hyperlink r:id="rId2289" ref="L2330"/>
    <hyperlink r:id="rId2290" ref="L2331"/>
    <hyperlink r:id="rId2291" ref="L2332"/>
    <hyperlink r:id="rId2292" ref="L2333"/>
    <hyperlink r:id="rId2293" ref="L2334"/>
    <hyperlink r:id="rId2294" ref="L2335"/>
    <hyperlink r:id="rId2295" ref="L2336"/>
    <hyperlink r:id="rId2296" ref="L2337"/>
    <hyperlink r:id="rId2297" ref="L2338"/>
    <hyperlink r:id="rId2298" ref="L2339"/>
    <hyperlink r:id="rId2299" ref="L2340"/>
    <hyperlink r:id="rId2300" ref="L2341"/>
    <hyperlink r:id="rId2301" ref="L2342"/>
    <hyperlink r:id="rId2302" ref="L2343"/>
    <hyperlink r:id="rId2303" ref="L2344"/>
    <hyperlink r:id="rId2304" ref="L2345"/>
    <hyperlink r:id="rId2305" ref="L2346"/>
    <hyperlink r:id="rId2306" ref="L2347"/>
    <hyperlink r:id="rId2307" ref="L2348"/>
    <hyperlink r:id="rId2308" ref="L2349"/>
    <hyperlink r:id="rId2309" ref="L2350"/>
    <hyperlink r:id="rId2310" ref="L2351"/>
    <hyperlink r:id="rId2311" ref="L2352"/>
    <hyperlink r:id="rId2312" ref="L2353"/>
    <hyperlink r:id="rId2313" ref="L2354"/>
    <hyperlink r:id="rId2314" ref="L2355"/>
    <hyperlink r:id="rId2315" ref="L2356"/>
    <hyperlink r:id="rId2316" ref="L2357"/>
    <hyperlink r:id="rId2317" ref="L2358"/>
    <hyperlink r:id="rId2318" ref="L2359"/>
    <hyperlink r:id="rId2319" ref="L2360"/>
    <hyperlink r:id="rId2320" ref="L2361"/>
    <hyperlink r:id="rId2321" ref="L2362"/>
    <hyperlink r:id="rId2322" ref="L2363"/>
    <hyperlink r:id="rId2323" ref="L2364"/>
    <hyperlink r:id="rId2324" ref="L2365"/>
    <hyperlink r:id="rId2325" ref="L2366"/>
    <hyperlink r:id="rId2326" ref="L2367"/>
    <hyperlink r:id="rId2327" ref="L2368"/>
    <hyperlink r:id="rId2328" ref="L2369"/>
    <hyperlink r:id="rId2329" ref="L2370"/>
    <hyperlink r:id="rId2330" ref="L2371"/>
    <hyperlink r:id="rId2331" ref="L2372"/>
    <hyperlink r:id="rId2332" ref="L2373"/>
    <hyperlink r:id="rId2333" ref="L2374"/>
    <hyperlink r:id="rId2334" ref="L2375"/>
    <hyperlink r:id="rId2335" ref="L2376"/>
    <hyperlink r:id="rId2336" ref="L2377"/>
    <hyperlink r:id="rId2337" ref="L2378"/>
    <hyperlink r:id="rId2338" ref="L2379"/>
    <hyperlink r:id="rId2339" ref="L2380"/>
    <hyperlink r:id="rId2340" ref="L2381"/>
    <hyperlink r:id="rId2341" ref="L2382"/>
    <hyperlink r:id="rId2342" ref="L2383"/>
    <hyperlink r:id="rId2343" ref="L2384"/>
    <hyperlink r:id="rId2344" ref="L2385"/>
    <hyperlink r:id="rId2345" ref="L2386"/>
    <hyperlink r:id="rId2346" ref="L2387"/>
    <hyperlink r:id="rId2347" ref="L2388"/>
    <hyperlink r:id="rId2348" ref="L2389"/>
    <hyperlink r:id="rId2349" ref="L2390"/>
    <hyperlink r:id="rId2350" ref="L2391"/>
    <hyperlink r:id="rId2351" ref="L2392"/>
    <hyperlink r:id="rId2352" ref="L2393"/>
    <hyperlink r:id="rId2353" ref="L2394"/>
    <hyperlink r:id="rId2354" ref="L2395"/>
    <hyperlink r:id="rId2355" ref="L2396"/>
    <hyperlink r:id="rId2356" ref="L2397"/>
    <hyperlink r:id="rId2357" ref="L2398"/>
    <hyperlink r:id="rId2358" ref="L2399"/>
    <hyperlink r:id="rId2359" ref="L2400"/>
    <hyperlink r:id="rId2360" ref="L2401"/>
    <hyperlink r:id="rId2361" ref="L2402"/>
    <hyperlink r:id="rId2362" ref="L2403"/>
    <hyperlink r:id="rId2363" ref="L2404"/>
    <hyperlink r:id="rId2364" ref="L2405"/>
    <hyperlink r:id="rId2365" ref="L2406"/>
    <hyperlink r:id="rId2366" ref="L2407"/>
    <hyperlink r:id="rId2367" ref="L2408"/>
    <hyperlink r:id="rId2368" ref="L2409"/>
    <hyperlink r:id="rId2369" ref="L2410"/>
    <hyperlink r:id="rId2370" ref="L2411"/>
    <hyperlink r:id="rId2371" ref="L2412"/>
    <hyperlink r:id="rId2372" ref="L2413"/>
    <hyperlink r:id="rId2373" ref="L2414"/>
    <hyperlink r:id="rId2374" ref="L2415"/>
    <hyperlink r:id="rId2375" ref="L2416"/>
    <hyperlink r:id="rId2376" ref="L2417"/>
    <hyperlink r:id="rId2377" ref="L2418"/>
    <hyperlink r:id="rId2378" ref="L2419"/>
    <hyperlink r:id="rId2379" ref="L2420"/>
    <hyperlink r:id="rId2380" ref="L2421"/>
    <hyperlink r:id="rId2381" ref="L2422"/>
    <hyperlink r:id="rId2382" ref="L2423"/>
    <hyperlink r:id="rId2383" ref="L2424"/>
    <hyperlink r:id="rId2384" ref="L2425"/>
    <hyperlink r:id="rId2385" ref="L2426"/>
    <hyperlink r:id="rId2386" ref="L2427"/>
    <hyperlink r:id="rId2387" ref="L2428"/>
    <hyperlink r:id="rId2388" ref="L2429"/>
    <hyperlink r:id="rId2389" ref="L2430"/>
    <hyperlink r:id="rId2390" ref="L2431"/>
    <hyperlink r:id="rId2391" ref="L2432"/>
    <hyperlink r:id="rId2392" ref="L2433"/>
    <hyperlink r:id="rId2393" ref="L2434"/>
    <hyperlink r:id="rId2394" ref="L2435"/>
    <hyperlink r:id="rId2395" ref="L2436"/>
    <hyperlink r:id="rId2396" ref="L2437"/>
    <hyperlink r:id="rId2397" ref="L2438"/>
    <hyperlink r:id="rId2398" ref="L2439"/>
    <hyperlink r:id="rId2399" ref="L2440"/>
    <hyperlink r:id="rId2400" ref="L2441"/>
    <hyperlink r:id="rId2401" ref="L2442"/>
    <hyperlink r:id="rId2402" ref="L2443"/>
    <hyperlink r:id="rId2403" ref="L2444"/>
    <hyperlink r:id="rId2404" ref="L2445"/>
    <hyperlink r:id="rId2405" ref="L2446"/>
    <hyperlink r:id="rId2406" ref="L2447"/>
    <hyperlink r:id="rId2407" ref="L2448"/>
    <hyperlink r:id="rId2408" ref="L2449"/>
    <hyperlink r:id="rId2409" ref="L2450"/>
    <hyperlink r:id="rId2410" ref="L2451"/>
    <hyperlink r:id="rId2411" ref="L2452"/>
    <hyperlink r:id="rId2412" ref="L2453"/>
    <hyperlink r:id="rId2413" ref="L2454"/>
    <hyperlink r:id="rId2414" ref="L2455"/>
    <hyperlink r:id="rId2415" ref="L2456"/>
    <hyperlink r:id="rId2416" ref="L2457"/>
    <hyperlink r:id="rId2417" ref="L2458"/>
    <hyperlink r:id="rId2418" ref="L2459"/>
    <hyperlink r:id="rId2419" ref="L2460"/>
    <hyperlink r:id="rId2420" ref="L2461"/>
    <hyperlink r:id="rId2421" ref="L2462"/>
    <hyperlink r:id="rId2422" ref="L2463"/>
    <hyperlink r:id="rId2423" ref="L2464"/>
    <hyperlink r:id="rId2424" ref="L2465"/>
    <hyperlink r:id="rId2425" ref="L2466"/>
    <hyperlink r:id="rId2426" ref="L2467"/>
    <hyperlink r:id="rId2427" ref="L2468"/>
    <hyperlink r:id="rId2428" ref="L2469"/>
    <hyperlink r:id="rId2429" ref="L2470"/>
    <hyperlink r:id="rId2430" ref="L2471"/>
    <hyperlink r:id="rId2431" ref="L2472"/>
    <hyperlink r:id="rId2432" ref="L2473"/>
    <hyperlink r:id="rId2433" ref="L2474"/>
    <hyperlink r:id="rId2434" ref="L2475"/>
    <hyperlink r:id="rId2435" ref="L2476"/>
    <hyperlink r:id="rId2436" ref="L2477"/>
    <hyperlink r:id="rId2437" ref="L2478"/>
    <hyperlink r:id="rId2438" ref="L2479"/>
    <hyperlink r:id="rId2439" ref="L2480"/>
    <hyperlink r:id="rId2440" ref="L2481"/>
    <hyperlink r:id="rId2441" ref="L2482"/>
    <hyperlink r:id="rId2442" ref="L2483"/>
    <hyperlink r:id="rId2443" ref="L2484"/>
    <hyperlink r:id="rId2444" ref="L2485"/>
    <hyperlink r:id="rId2445" ref="L2486"/>
    <hyperlink r:id="rId2446" ref="L2487"/>
    <hyperlink r:id="rId2447" ref="L2488"/>
    <hyperlink r:id="rId2448" ref="L2489"/>
    <hyperlink r:id="rId2449" ref="L2490"/>
    <hyperlink r:id="rId2450" ref="L2491"/>
    <hyperlink r:id="rId2451" ref="L2492"/>
    <hyperlink r:id="rId2452" ref="L2493"/>
    <hyperlink r:id="rId2453" ref="L2494"/>
    <hyperlink r:id="rId2454" ref="L2495"/>
    <hyperlink r:id="rId2455" ref="L2496"/>
    <hyperlink r:id="rId2456" ref="L2497"/>
    <hyperlink r:id="rId2457" ref="L2498"/>
    <hyperlink r:id="rId2458" ref="L2499"/>
    <hyperlink r:id="rId2459" ref="L2500"/>
    <hyperlink r:id="rId2460" ref="L2501"/>
    <hyperlink r:id="rId2461" ref="L2502"/>
    <hyperlink r:id="rId2462" ref="L2503"/>
    <hyperlink r:id="rId2463" ref="L2504"/>
    <hyperlink r:id="rId2464" ref="L2505"/>
    <hyperlink r:id="rId2465" ref="L2506"/>
    <hyperlink r:id="rId2466" ref="L2507"/>
    <hyperlink r:id="rId2467" ref="L2508"/>
    <hyperlink r:id="rId2468" ref="L2509"/>
    <hyperlink r:id="rId2469" ref="L2510"/>
    <hyperlink r:id="rId2470" ref="L2511"/>
    <hyperlink r:id="rId2471" ref="L2512"/>
    <hyperlink r:id="rId2472" ref="L2513"/>
    <hyperlink r:id="rId2473" ref="L2514"/>
    <hyperlink r:id="rId2474" ref="L2515"/>
    <hyperlink r:id="rId2475" ref="L2516"/>
    <hyperlink r:id="rId2476" ref="L2517"/>
    <hyperlink r:id="rId2477" ref="L2518"/>
    <hyperlink r:id="rId2478" ref="L2519"/>
    <hyperlink r:id="rId2479" ref="L2520"/>
    <hyperlink r:id="rId2480" ref="L2521"/>
    <hyperlink r:id="rId2481" ref="L2522"/>
    <hyperlink r:id="rId2482" ref="L2523"/>
    <hyperlink r:id="rId2483" ref="L2524"/>
    <hyperlink r:id="rId2484" ref="L2525"/>
    <hyperlink r:id="rId2485" ref="L2526"/>
    <hyperlink r:id="rId2486" ref="L2527"/>
    <hyperlink r:id="rId2487" ref="L2528"/>
    <hyperlink r:id="rId2488" ref="L2529"/>
    <hyperlink r:id="rId2489" ref="L2530"/>
    <hyperlink r:id="rId2490" ref="L2531"/>
    <hyperlink r:id="rId2491" ref="L2532"/>
    <hyperlink r:id="rId2492" ref="L2533"/>
    <hyperlink r:id="rId2493" ref="L2534"/>
    <hyperlink r:id="rId2494" ref="L2535"/>
    <hyperlink r:id="rId2495" ref="L2536"/>
    <hyperlink r:id="rId2496" ref="L2537"/>
    <hyperlink r:id="rId2497" ref="L2538"/>
    <hyperlink r:id="rId2498" ref="L2539"/>
    <hyperlink r:id="rId2499" ref="L2540"/>
    <hyperlink r:id="rId2500" ref="L2541"/>
    <hyperlink r:id="rId2501" ref="L2542"/>
    <hyperlink r:id="rId2502" ref="L2543"/>
    <hyperlink r:id="rId2503" ref="L2544"/>
    <hyperlink r:id="rId2504" ref="L2545"/>
    <hyperlink r:id="rId2505" ref="L2546"/>
    <hyperlink r:id="rId2506" ref="L2547"/>
    <hyperlink r:id="rId2507" ref="L2548"/>
    <hyperlink r:id="rId2508" ref="L2549"/>
    <hyperlink r:id="rId2509" ref="L2550"/>
    <hyperlink r:id="rId2510" ref="L2551"/>
    <hyperlink r:id="rId2511" ref="L2552"/>
    <hyperlink r:id="rId2512" ref="L2553"/>
    <hyperlink r:id="rId2513" ref="L2554"/>
    <hyperlink r:id="rId2514" ref="L2555"/>
    <hyperlink r:id="rId2515" ref="L2556"/>
    <hyperlink r:id="rId2516" ref="L2557"/>
    <hyperlink r:id="rId2517" ref="L2558"/>
    <hyperlink r:id="rId2518" ref="L2559"/>
    <hyperlink r:id="rId2519" ref="L2560"/>
    <hyperlink r:id="rId2520" ref="L2561"/>
    <hyperlink r:id="rId2521" ref="L2562"/>
    <hyperlink r:id="rId2522" ref="L2563"/>
    <hyperlink r:id="rId2523" ref="L2564"/>
    <hyperlink r:id="rId2524" ref="L2565"/>
    <hyperlink r:id="rId2525" ref="L2566"/>
    <hyperlink r:id="rId2526" ref="L2567"/>
    <hyperlink r:id="rId2527" ref="L2568"/>
    <hyperlink r:id="rId2528" ref="L2569"/>
    <hyperlink r:id="rId2529" ref="L2570"/>
    <hyperlink r:id="rId2530" ref="L2571"/>
    <hyperlink r:id="rId2531" ref="L2572"/>
    <hyperlink r:id="rId2532" ref="L2573"/>
    <hyperlink r:id="rId2533" ref="L2574"/>
    <hyperlink r:id="rId2534" ref="L2575"/>
    <hyperlink r:id="rId2535" ref="L2576"/>
    <hyperlink r:id="rId2536" ref="L2577"/>
    <hyperlink r:id="rId2537" ref="L2578"/>
    <hyperlink r:id="rId2538" ref="L2579"/>
    <hyperlink r:id="rId2539" ref="L2580"/>
    <hyperlink r:id="rId2540" ref="L2581"/>
    <hyperlink r:id="rId2541" ref="L2582"/>
    <hyperlink r:id="rId2542" ref="L2583"/>
    <hyperlink r:id="rId2543" ref="L2584"/>
    <hyperlink r:id="rId2544" ref="L2585"/>
    <hyperlink r:id="rId2545" ref="L2586"/>
    <hyperlink r:id="rId2546" ref="L2587"/>
    <hyperlink r:id="rId2547" ref="L2588"/>
    <hyperlink r:id="rId2548" ref="L2589"/>
    <hyperlink r:id="rId2549" ref="L2590"/>
    <hyperlink r:id="rId2550" ref="L2591"/>
    <hyperlink r:id="rId2551" ref="L2592"/>
    <hyperlink r:id="rId2552" ref="L2593"/>
    <hyperlink r:id="rId2553" ref="L2594"/>
    <hyperlink r:id="rId2554" ref="L2595"/>
    <hyperlink r:id="rId2555" ref="L2596"/>
    <hyperlink r:id="rId2556" ref="L2597"/>
    <hyperlink r:id="rId2557" ref="L2598"/>
    <hyperlink r:id="rId2558" ref="L2599"/>
    <hyperlink r:id="rId2559" ref="L2600"/>
    <hyperlink r:id="rId2560" ref="L2601"/>
    <hyperlink r:id="rId2561" ref="L2602"/>
    <hyperlink r:id="rId2562" ref="L2603"/>
    <hyperlink r:id="rId2563" ref="L2604"/>
    <hyperlink r:id="rId2564" ref="L2605"/>
    <hyperlink r:id="rId2565" ref="L2606"/>
    <hyperlink r:id="rId2566" ref="L2607"/>
    <hyperlink r:id="rId2567" ref="L2608"/>
    <hyperlink r:id="rId2568" ref="L2609"/>
    <hyperlink r:id="rId2569" ref="L2610"/>
    <hyperlink r:id="rId2570" ref="L2611"/>
    <hyperlink r:id="rId2571" ref="L2612"/>
    <hyperlink r:id="rId2572" ref="L2613"/>
    <hyperlink r:id="rId2573" ref="L2614"/>
    <hyperlink r:id="rId2574" ref="L2615"/>
    <hyperlink r:id="rId2575" ref="L2616"/>
    <hyperlink r:id="rId2576" ref="L2617"/>
    <hyperlink r:id="rId2577" ref="L2618"/>
    <hyperlink r:id="rId2578" ref="L2619"/>
    <hyperlink r:id="rId2579" ref="L2620"/>
    <hyperlink r:id="rId2580" ref="L2621"/>
    <hyperlink r:id="rId2581" ref="L2622"/>
    <hyperlink r:id="rId2582" ref="L2623"/>
    <hyperlink r:id="rId2583" ref="L2624"/>
    <hyperlink r:id="rId2584" ref="L2625"/>
    <hyperlink r:id="rId2585" ref="L2626"/>
    <hyperlink r:id="rId2586" ref="L2627"/>
    <hyperlink r:id="rId2587" ref="L2628"/>
    <hyperlink r:id="rId2588" ref="L2629"/>
    <hyperlink r:id="rId2589" ref="L2630"/>
    <hyperlink r:id="rId2590" ref="L2631"/>
    <hyperlink r:id="rId2591" ref="L2632"/>
    <hyperlink r:id="rId2592" ref="L2633"/>
    <hyperlink r:id="rId2593" ref="L2634"/>
    <hyperlink r:id="rId2594" ref="L2635"/>
    <hyperlink r:id="rId2595" ref="L2636"/>
    <hyperlink r:id="rId2596" ref="L2637"/>
    <hyperlink r:id="rId2597" ref="L2638"/>
    <hyperlink r:id="rId2598" ref="L2639"/>
    <hyperlink r:id="rId2599" ref="L2640"/>
    <hyperlink r:id="rId2600" ref="L2641"/>
    <hyperlink r:id="rId2601" ref="L2642"/>
    <hyperlink r:id="rId2602" ref="L2643"/>
    <hyperlink r:id="rId2603" ref="L2644"/>
    <hyperlink r:id="rId2604" ref="L2645"/>
    <hyperlink r:id="rId2605" ref="L2646"/>
    <hyperlink r:id="rId2606" ref="L2647"/>
    <hyperlink r:id="rId2607" ref="L2648"/>
    <hyperlink r:id="rId2608" ref="L2649"/>
    <hyperlink r:id="rId2609" ref="L2650"/>
    <hyperlink r:id="rId2610" ref="L2651"/>
    <hyperlink r:id="rId2611" ref="L2652"/>
    <hyperlink r:id="rId2612" ref="L2653"/>
    <hyperlink r:id="rId2613" ref="L2654"/>
    <hyperlink r:id="rId2614" ref="L2655"/>
    <hyperlink r:id="rId2615" ref="L2656"/>
    <hyperlink r:id="rId2616" ref="L2657"/>
    <hyperlink r:id="rId2617" ref="L2658"/>
    <hyperlink r:id="rId2618" ref="L2659"/>
    <hyperlink r:id="rId2619" ref="L2660"/>
    <hyperlink r:id="rId2620" ref="L2661"/>
    <hyperlink r:id="rId2621" ref="L2662"/>
    <hyperlink r:id="rId2622" ref="L2663"/>
    <hyperlink r:id="rId2623" ref="L2664"/>
    <hyperlink r:id="rId2624" ref="L2665"/>
    <hyperlink r:id="rId2625" ref="L2666"/>
    <hyperlink r:id="rId2626" ref="L2667"/>
    <hyperlink r:id="rId2627" ref="L2668"/>
    <hyperlink r:id="rId2628" ref="L2669"/>
    <hyperlink r:id="rId2629" ref="L2670"/>
    <hyperlink r:id="rId2630" ref="L2671"/>
    <hyperlink r:id="rId2631" ref="L2672"/>
    <hyperlink r:id="rId2632" ref="L2673"/>
    <hyperlink r:id="rId2633" ref="L2674"/>
    <hyperlink r:id="rId2634" ref="L2675"/>
    <hyperlink r:id="rId2635" ref="L2676"/>
    <hyperlink r:id="rId2636" ref="L2677"/>
    <hyperlink r:id="rId2637" ref="L2678"/>
    <hyperlink r:id="rId2638" ref="L2679"/>
    <hyperlink r:id="rId2639" ref="L2680"/>
    <hyperlink r:id="rId2640" ref="L2681"/>
    <hyperlink r:id="rId2641" ref="L2682"/>
    <hyperlink r:id="rId2642" ref="L2683"/>
    <hyperlink r:id="rId2643" ref="L2684"/>
    <hyperlink r:id="rId2644" ref="L2685"/>
    <hyperlink r:id="rId2645" ref="L2686"/>
    <hyperlink r:id="rId2646" ref="L2687"/>
    <hyperlink r:id="rId2647" ref="L2688"/>
    <hyperlink r:id="rId2648" ref="L2689"/>
    <hyperlink r:id="rId2649" ref="L2690"/>
    <hyperlink r:id="rId2650" ref="L2691"/>
    <hyperlink r:id="rId2651" ref="L2692"/>
    <hyperlink r:id="rId2652" ref="L2693"/>
    <hyperlink r:id="rId2653" ref="L2694"/>
    <hyperlink r:id="rId2654" ref="L2695"/>
    <hyperlink r:id="rId2655" ref="L2696"/>
    <hyperlink r:id="rId2656" ref="L2697"/>
    <hyperlink r:id="rId2657" ref="L2698"/>
    <hyperlink r:id="rId2658" ref="L2699"/>
    <hyperlink r:id="rId2659" ref="L2700"/>
    <hyperlink r:id="rId2660" ref="L2701"/>
    <hyperlink r:id="rId2661" ref="L2702"/>
    <hyperlink r:id="rId2662" ref="L2703"/>
    <hyperlink r:id="rId2663" ref="L2704"/>
    <hyperlink r:id="rId2664" ref="L2705"/>
    <hyperlink r:id="rId2665" ref="L2706"/>
    <hyperlink r:id="rId2666" ref="L2707"/>
    <hyperlink r:id="rId2667" ref="L2708"/>
    <hyperlink r:id="rId2668" ref="L2709"/>
    <hyperlink r:id="rId2669" ref="L2710"/>
    <hyperlink r:id="rId2670" ref="L2711"/>
    <hyperlink r:id="rId2671" ref="L2712"/>
    <hyperlink r:id="rId2672" ref="L2713"/>
    <hyperlink r:id="rId2673" ref="L2714"/>
    <hyperlink r:id="rId2674" ref="L2715"/>
    <hyperlink r:id="rId2675" ref="L2716"/>
    <hyperlink r:id="rId2676" ref="L2717"/>
    <hyperlink r:id="rId2677" ref="L2718"/>
    <hyperlink r:id="rId2678" ref="L2719"/>
    <hyperlink r:id="rId2679" ref="L2720"/>
    <hyperlink r:id="rId2680" ref="L2721"/>
    <hyperlink r:id="rId2681" ref="L2722"/>
    <hyperlink r:id="rId2682" ref="L2723"/>
    <hyperlink r:id="rId2683" ref="L2724"/>
    <hyperlink r:id="rId2684" ref="L2725"/>
    <hyperlink r:id="rId2685" ref="L2726"/>
    <hyperlink r:id="rId2686" ref="L2727"/>
    <hyperlink r:id="rId2687" ref="L2728"/>
    <hyperlink r:id="rId2688" ref="L2729"/>
    <hyperlink r:id="rId2689" ref="L2730"/>
    <hyperlink r:id="rId2690" ref="L2731"/>
    <hyperlink r:id="rId2691" ref="L2732"/>
    <hyperlink r:id="rId2692" ref="L2733"/>
    <hyperlink r:id="rId2693" ref="L2734"/>
    <hyperlink r:id="rId2694" ref="L2735"/>
    <hyperlink r:id="rId2695" ref="L2736"/>
    <hyperlink r:id="rId2696" ref="L2737"/>
    <hyperlink r:id="rId2697" ref="L2738"/>
    <hyperlink r:id="rId2698" ref="L2739"/>
    <hyperlink r:id="rId2699" ref="L2740"/>
    <hyperlink r:id="rId2700" ref="L2741"/>
    <hyperlink r:id="rId2701" ref="L2742"/>
    <hyperlink r:id="rId2702" ref="L2743"/>
    <hyperlink r:id="rId2703" ref="L2744"/>
    <hyperlink r:id="rId2704" ref="L2745"/>
    <hyperlink r:id="rId2705" ref="L2746"/>
    <hyperlink r:id="rId2706" ref="L2747"/>
    <hyperlink r:id="rId2707" ref="L2748"/>
    <hyperlink r:id="rId2708" ref="L2749"/>
    <hyperlink r:id="rId2709" ref="L2750"/>
    <hyperlink r:id="rId2710" ref="L2751"/>
    <hyperlink r:id="rId2711" ref="L2752"/>
    <hyperlink r:id="rId2712" ref="L2753"/>
    <hyperlink r:id="rId2713" ref="L2754"/>
    <hyperlink r:id="rId2714" ref="L2755"/>
    <hyperlink r:id="rId2715" ref="L2756"/>
    <hyperlink r:id="rId2716" ref="L2757"/>
    <hyperlink r:id="rId2717" ref="L2758"/>
    <hyperlink r:id="rId2718" ref="L2759"/>
    <hyperlink r:id="rId2719" ref="L2760"/>
    <hyperlink r:id="rId2720" ref="L2761"/>
    <hyperlink r:id="rId2721" ref="L2762"/>
    <hyperlink r:id="rId2722" ref="L2763"/>
    <hyperlink r:id="rId2723" ref="L2764"/>
    <hyperlink r:id="rId2724" ref="L2765"/>
    <hyperlink r:id="rId2725" ref="L2766"/>
    <hyperlink r:id="rId2726" ref="L2767"/>
    <hyperlink r:id="rId2727" ref="L2768"/>
    <hyperlink r:id="rId2728" ref="L2769"/>
    <hyperlink r:id="rId2729" ref="L2770"/>
    <hyperlink r:id="rId2730" ref="L2771"/>
    <hyperlink r:id="rId2731" ref="L2772"/>
    <hyperlink r:id="rId2732" ref="L2773"/>
    <hyperlink r:id="rId2733" ref="L2774"/>
    <hyperlink r:id="rId2734" ref="L2775"/>
    <hyperlink r:id="rId2735" ref="L2776"/>
    <hyperlink r:id="rId2736" ref="L2777"/>
    <hyperlink r:id="rId2737" ref="L2778"/>
    <hyperlink r:id="rId2738" ref="L2779"/>
    <hyperlink r:id="rId2739" ref="L2780"/>
    <hyperlink r:id="rId2740" ref="L2781"/>
    <hyperlink r:id="rId2741" ref="L2782"/>
    <hyperlink r:id="rId2742" ref="L2783"/>
    <hyperlink r:id="rId2743" ref="L2784"/>
    <hyperlink r:id="rId2744" ref="L2785"/>
    <hyperlink r:id="rId2745" ref="L2786"/>
    <hyperlink r:id="rId2746" ref="L2787"/>
    <hyperlink r:id="rId2747" ref="L2788"/>
    <hyperlink r:id="rId2748" ref="L2789"/>
    <hyperlink r:id="rId2749" ref="L2790"/>
    <hyperlink r:id="rId2750" ref="L2791"/>
    <hyperlink r:id="rId2751" ref="L2792"/>
    <hyperlink r:id="rId2752" ref="L2793"/>
    <hyperlink r:id="rId2753" ref="L2794"/>
    <hyperlink r:id="rId2754" ref="L2795"/>
    <hyperlink r:id="rId2755" ref="L2796"/>
    <hyperlink r:id="rId2756" ref="L2797"/>
    <hyperlink r:id="rId2757" ref="L2798"/>
    <hyperlink r:id="rId2758" ref="L2799"/>
    <hyperlink r:id="rId2759" ref="L2800"/>
    <hyperlink r:id="rId2760" ref="L2801"/>
    <hyperlink r:id="rId2761" ref="L2802"/>
    <hyperlink r:id="rId2762" ref="L2803"/>
    <hyperlink r:id="rId2763" ref="L2804"/>
    <hyperlink r:id="rId2764" ref="L2805"/>
    <hyperlink r:id="rId2765" ref="L2806"/>
    <hyperlink r:id="rId2766" ref="L2807"/>
    <hyperlink r:id="rId2767" ref="L2808"/>
    <hyperlink r:id="rId2768" ref="L2809"/>
    <hyperlink r:id="rId2769" ref="L2810"/>
    <hyperlink r:id="rId2770" ref="L2811"/>
    <hyperlink r:id="rId2771" ref="L2812"/>
    <hyperlink r:id="rId2772" ref="L2813"/>
    <hyperlink r:id="rId2773" ref="L2814"/>
    <hyperlink r:id="rId2774" ref="L2815"/>
    <hyperlink r:id="rId2775" ref="L2816"/>
    <hyperlink r:id="rId2776" ref="L2817"/>
    <hyperlink r:id="rId2777" ref="L2818"/>
    <hyperlink r:id="rId2778" ref="L2819"/>
    <hyperlink r:id="rId2779" ref="L2820"/>
    <hyperlink r:id="rId2780" ref="L2821"/>
    <hyperlink r:id="rId2781" ref="L2822"/>
    <hyperlink r:id="rId2782" ref="L2823"/>
    <hyperlink r:id="rId2783" ref="L2824"/>
    <hyperlink r:id="rId2784" ref="L2825"/>
    <hyperlink r:id="rId2785" ref="L2826"/>
    <hyperlink r:id="rId2786" ref="L2827"/>
    <hyperlink r:id="rId2787" ref="L2828"/>
    <hyperlink r:id="rId2788" ref="L2830"/>
    <hyperlink r:id="rId2789" ref="L2831"/>
    <hyperlink r:id="rId2790" ref="L2832"/>
    <hyperlink r:id="rId2791" ref="L2833"/>
    <hyperlink r:id="rId2792" ref="L2834"/>
    <hyperlink r:id="rId2793" ref="L2835"/>
    <hyperlink r:id="rId2794" ref="L2836"/>
    <hyperlink r:id="rId2795" ref="L2837"/>
    <hyperlink r:id="rId2796" ref="L2838"/>
    <hyperlink r:id="rId2797" ref="L2839"/>
    <hyperlink r:id="rId2798" ref="L2840"/>
    <hyperlink r:id="rId2799" ref="L2841"/>
    <hyperlink r:id="rId2800" ref="L2842"/>
    <hyperlink r:id="rId2801" ref="L2843"/>
    <hyperlink r:id="rId2802" ref="L2844"/>
    <hyperlink r:id="rId2803" ref="L2845"/>
    <hyperlink r:id="rId2804" ref="L2846"/>
    <hyperlink r:id="rId2805" ref="L2847"/>
    <hyperlink r:id="rId2806" ref="L2848"/>
    <hyperlink r:id="rId2807" ref="L2849"/>
    <hyperlink r:id="rId2808" ref="L2850"/>
    <hyperlink r:id="rId2809" ref="L2851"/>
    <hyperlink r:id="rId2810" ref="L2852"/>
    <hyperlink r:id="rId2811" ref="L2853"/>
    <hyperlink r:id="rId2812" ref="L2854"/>
    <hyperlink r:id="rId2813" ref="L2855"/>
    <hyperlink r:id="rId2814" ref="L2856"/>
    <hyperlink r:id="rId2815" ref="L2857"/>
    <hyperlink r:id="rId2816" ref="L2858"/>
    <hyperlink r:id="rId2817" ref="L2859"/>
    <hyperlink r:id="rId2818" ref="L2860"/>
    <hyperlink r:id="rId2819" ref="L2861"/>
    <hyperlink r:id="rId2820" ref="L2862"/>
    <hyperlink r:id="rId2821" ref="L2863"/>
    <hyperlink r:id="rId2822" ref="L2864"/>
    <hyperlink r:id="rId2823" ref="L2865"/>
    <hyperlink r:id="rId2824" ref="L2866"/>
    <hyperlink r:id="rId2825" ref="L2867"/>
    <hyperlink r:id="rId2826" ref="L2868"/>
    <hyperlink r:id="rId2827" ref="L2869"/>
    <hyperlink r:id="rId2828" ref="L2870"/>
    <hyperlink r:id="rId2829" ref="L2871"/>
    <hyperlink r:id="rId2830" ref="L2872"/>
    <hyperlink r:id="rId2831" ref="L2873"/>
    <hyperlink r:id="rId2832" ref="L2874"/>
    <hyperlink r:id="rId2833" ref="L2875"/>
    <hyperlink r:id="rId2834" ref="L2876"/>
    <hyperlink r:id="rId2835" ref="L2877"/>
    <hyperlink r:id="rId2836" ref="L2878"/>
    <hyperlink r:id="rId2837" ref="L2879"/>
    <hyperlink r:id="rId2838" ref="L2880"/>
    <hyperlink r:id="rId2839" ref="L2881"/>
    <hyperlink r:id="rId2840" ref="L2882"/>
    <hyperlink r:id="rId2841" ref="L2883"/>
    <hyperlink r:id="rId2842" ref="L2884"/>
    <hyperlink r:id="rId2843" ref="L2885"/>
    <hyperlink r:id="rId2844" ref="L2886"/>
    <hyperlink r:id="rId2845" ref="L2887"/>
    <hyperlink r:id="rId2846" ref="L2888"/>
    <hyperlink r:id="rId2847" ref="L2889"/>
    <hyperlink r:id="rId2848" ref="L2890"/>
    <hyperlink r:id="rId2849" ref="L2891"/>
    <hyperlink r:id="rId2850" ref="L2892"/>
    <hyperlink r:id="rId2851" ref="L2893"/>
    <hyperlink r:id="rId2852" ref="L2894"/>
    <hyperlink r:id="rId2853" ref="L2895"/>
    <hyperlink r:id="rId2854" ref="L2896"/>
    <hyperlink r:id="rId2855" ref="L2897"/>
    <hyperlink r:id="rId2856" ref="L2898"/>
    <hyperlink r:id="rId2857" ref="L2899"/>
    <hyperlink r:id="rId2858" ref="L2900"/>
    <hyperlink r:id="rId2859" ref="L2901"/>
    <hyperlink r:id="rId2860" ref="L2902"/>
    <hyperlink r:id="rId2861" ref="L2903"/>
    <hyperlink r:id="rId2862" ref="L2904"/>
    <hyperlink r:id="rId2863" ref="L2905"/>
    <hyperlink r:id="rId2864" ref="L2906"/>
    <hyperlink r:id="rId2865" ref="L2907"/>
    <hyperlink r:id="rId2866" ref="L2908"/>
    <hyperlink r:id="rId2867" ref="L2909"/>
    <hyperlink r:id="rId2868" ref="L2910"/>
    <hyperlink r:id="rId2869" ref="L2911"/>
    <hyperlink r:id="rId2870" ref="L2912"/>
    <hyperlink r:id="rId2871" ref="L2913"/>
    <hyperlink r:id="rId2872" ref="L2914"/>
    <hyperlink r:id="rId2873" ref="L2915"/>
    <hyperlink r:id="rId2874" ref="L2916"/>
    <hyperlink r:id="rId2875" ref="L2917"/>
    <hyperlink r:id="rId2876" ref="L2918"/>
    <hyperlink r:id="rId2877" ref="L2919"/>
    <hyperlink r:id="rId2878" ref="L2920"/>
    <hyperlink r:id="rId2879" ref="L2921"/>
    <hyperlink r:id="rId2880" ref="L2922"/>
    <hyperlink r:id="rId2881" ref="L2923"/>
    <hyperlink r:id="rId2882" ref="L2924"/>
    <hyperlink r:id="rId2883" ref="L2925"/>
    <hyperlink r:id="rId2884" ref="L3124"/>
    <hyperlink r:id="rId2885" ref="L3650"/>
    <hyperlink r:id="rId2886" ref="L3651"/>
    <hyperlink r:id="rId2887" ref="L3652"/>
    <hyperlink r:id="rId2888" ref="L3653"/>
    <hyperlink r:id="rId2889" ref="L3654"/>
    <hyperlink r:id="rId2890" ref="L3655"/>
    <hyperlink r:id="rId2891" ref="L3656"/>
    <hyperlink r:id="rId2892" ref="L3657"/>
    <hyperlink r:id="rId2893" ref="L3658"/>
    <hyperlink r:id="rId2894" ref="L3659"/>
    <hyperlink r:id="rId2895" ref="L3660"/>
    <hyperlink r:id="rId2896" ref="L3661"/>
    <hyperlink r:id="rId2897" ref="L3662"/>
    <hyperlink r:id="rId2898" ref="L3663"/>
    <hyperlink r:id="rId2899" ref="L3664"/>
    <hyperlink r:id="rId2900" ref="L3665"/>
    <hyperlink r:id="rId2901" ref="L3666"/>
    <hyperlink r:id="rId2902" ref="L3667"/>
    <hyperlink r:id="rId2903" ref="L3668"/>
    <hyperlink r:id="rId2904" ref="L3669"/>
    <hyperlink r:id="rId2905" ref="L3670"/>
    <hyperlink r:id="rId2906" ref="L3671"/>
    <hyperlink r:id="rId2907" ref="L3672"/>
    <hyperlink r:id="rId2908" ref="L3673"/>
    <hyperlink r:id="rId2909" ref="L3674"/>
    <hyperlink r:id="rId2910" ref="L3675"/>
    <hyperlink r:id="rId2911" ref="L3676"/>
    <hyperlink r:id="rId2912" ref="L3677"/>
    <hyperlink r:id="rId2913" ref="L3678"/>
    <hyperlink r:id="rId2914" ref="L3679"/>
    <hyperlink r:id="rId2915" ref="L3680"/>
    <hyperlink r:id="rId2916" ref="L3681"/>
    <hyperlink r:id="rId2917" ref="L3682"/>
    <hyperlink r:id="rId2918" ref="L3683"/>
    <hyperlink r:id="rId2919" ref="L3684"/>
    <hyperlink r:id="rId2920" ref="L3685"/>
    <hyperlink r:id="rId2921" ref="L3686"/>
    <hyperlink r:id="rId2922" ref="L3687"/>
    <hyperlink r:id="rId2923" ref="L3688"/>
    <hyperlink r:id="rId2924" ref="L3689"/>
    <hyperlink r:id="rId2925" ref="L3690"/>
    <hyperlink r:id="rId2926" ref="L3691"/>
    <hyperlink r:id="rId2927" ref="L3692"/>
    <hyperlink r:id="rId2928" ref="L3693"/>
    <hyperlink r:id="rId2929" ref="L3694"/>
    <hyperlink r:id="rId2930" ref="L3695"/>
    <hyperlink r:id="rId2931" ref="L3696"/>
    <hyperlink r:id="rId2932" ref="L3697"/>
    <hyperlink r:id="rId2933" ref="L3698"/>
    <hyperlink r:id="rId2934" ref="L3699"/>
    <hyperlink r:id="rId2935" ref="L3700"/>
    <hyperlink r:id="rId2936" ref="L3701"/>
    <hyperlink r:id="rId2937" ref="L3702"/>
    <hyperlink r:id="rId2938" ref="L3703"/>
    <hyperlink r:id="rId2939" ref="L3704"/>
    <hyperlink r:id="rId2940" ref="L3705"/>
    <hyperlink r:id="rId2941" ref="L3706"/>
    <hyperlink r:id="rId2942" ref="L3707"/>
    <hyperlink r:id="rId2943" ref="L3708"/>
    <hyperlink r:id="rId2944" ref="L3709"/>
    <hyperlink r:id="rId2945" ref="L3710"/>
    <hyperlink r:id="rId2946" ref="L3711"/>
    <hyperlink r:id="rId2947" ref="L3712"/>
    <hyperlink r:id="rId2948" ref="L3713"/>
    <hyperlink r:id="rId2949" ref="L3714"/>
    <hyperlink r:id="rId2950" ref="L3715"/>
    <hyperlink r:id="rId2951" ref="L3716"/>
    <hyperlink r:id="rId2952" ref="L3717"/>
    <hyperlink r:id="rId2953" ref="L3718"/>
    <hyperlink r:id="rId2954" ref="L3719"/>
    <hyperlink r:id="rId2955" ref="L3720"/>
    <hyperlink r:id="rId2956" ref="L3721"/>
    <hyperlink r:id="rId2957" ref="L3722"/>
    <hyperlink r:id="rId2958" ref="L3723"/>
    <hyperlink r:id="rId2959" ref="L3724"/>
    <hyperlink r:id="rId2960" ref="L3725"/>
    <hyperlink r:id="rId2961" ref="L3726"/>
    <hyperlink r:id="rId2962" ref="L3727"/>
    <hyperlink r:id="rId2963" ref="L3728"/>
    <hyperlink r:id="rId2964" ref="L3729"/>
    <hyperlink r:id="rId2965" ref="L3730"/>
    <hyperlink r:id="rId2966" ref="L3731"/>
    <hyperlink r:id="rId2967" ref="L3732"/>
    <hyperlink r:id="rId2968" ref="L3733"/>
    <hyperlink r:id="rId2969" ref="L3734"/>
    <hyperlink r:id="rId2970" ref="L3735"/>
    <hyperlink r:id="rId2971" ref="L3736"/>
    <hyperlink r:id="rId2972" ref="L3737"/>
    <hyperlink r:id="rId2973" ref="L3738"/>
    <hyperlink r:id="rId2974" ref="L3739"/>
    <hyperlink r:id="rId2975" ref="L3740"/>
    <hyperlink r:id="rId2976" ref="L3741"/>
    <hyperlink r:id="rId2977" ref="L3742"/>
    <hyperlink r:id="rId2978" ref="L3743"/>
    <hyperlink r:id="rId2979" ref="L3744"/>
    <hyperlink r:id="rId2980" ref="L3745"/>
    <hyperlink r:id="rId2981" ref="L3746"/>
    <hyperlink r:id="rId2982" ref="L3747"/>
    <hyperlink r:id="rId2983" ref="L3748"/>
    <hyperlink r:id="rId2984" ref="L3749"/>
    <hyperlink r:id="rId2985" ref="L3765"/>
    <hyperlink r:id="rId2986" ref="L3766"/>
    <hyperlink r:id="rId2987" ref="L3767"/>
    <hyperlink r:id="rId2988" ref="L3768"/>
    <hyperlink r:id="rId2989" ref="L3769"/>
    <hyperlink r:id="rId2990" ref="L3770"/>
    <hyperlink r:id="rId2991" ref="L3771"/>
    <hyperlink r:id="rId2992" ref="L3772"/>
    <hyperlink r:id="rId2993" ref="L3773"/>
    <hyperlink r:id="rId2994" ref="L3774"/>
    <hyperlink r:id="rId2995" ref="L3775"/>
    <hyperlink r:id="rId2996" ref="L3776"/>
    <hyperlink r:id="rId2997" ref="L3777"/>
    <hyperlink r:id="rId2998" ref="L3778"/>
    <hyperlink r:id="rId2999" ref="L3779"/>
    <hyperlink r:id="rId3000" ref="L3780"/>
    <hyperlink r:id="rId3001" ref="L3781"/>
    <hyperlink r:id="rId3002" ref="L3782"/>
    <hyperlink r:id="rId3003" ref="L3783"/>
    <hyperlink r:id="rId3004" ref="L3784"/>
    <hyperlink r:id="rId3005" ref="L3785"/>
    <hyperlink r:id="rId3006" ref="L3786"/>
    <hyperlink r:id="rId3007" ref="L3787"/>
    <hyperlink r:id="rId3008" ref="L3788"/>
    <hyperlink r:id="rId3009" ref="L3789"/>
    <hyperlink r:id="rId3010" ref="L3790"/>
    <hyperlink r:id="rId3011" ref="L3791"/>
    <hyperlink r:id="rId3012" ref="L3792"/>
    <hyperlink r:id="rId3013" ref="L3793"/>
    <hyperlink r:id="rId3014" ref="L3794"/>
    <hyperlink r:id="rId3015" ref="L3795"/>
    <hyperlink r:id="rId3016" ref="L3796"/>
    <hyperlink r:id="rId3017" ref="L3797"/>
    <hyperlink r:id="rId3018" ref="L3798"/>
    <hyperlink r:id="rId3019" ref="L3814"/>
    <hyperlink r:id="rId3020" ref="L3815"/>
    <hyperlink r:id="rId3021" ref="L3816"/>
    <hyperlink r:id="rId3022" ref="L3817"/>
    <hyperlink r:id="rId3023" ref="L3818"/>
    <hyperlink r:id="rId3024" ref="L3819"/>
    <hyperlink r:id="rId3025" ref="L3820"/>
    <hyperlink r:id="rId3026" ref="L3821"/>
    <hyperlink r:id="rId3027" ref="L3822"/>
    <hyperlink r:id="rId3028" ref="L3823"/>
    <hyperlink r:id="rId3029" ref="L3824"/>
    <hyperlink r:id="rId3030" ref="L3825"/>
    <hyperlink r:id="rId3031" ref="L3826"/>
    <hyperlink r:id="rId3032" ref="L3827"/>
    <hyperlink r:id="rId3033" ref="L3828"/>
    <hyperlink r:id="rId3034" ref="L3829"/>
    <hyperlink r:id="rId3035" ref="L3830"/>
    <hyperlink r:id="rId3036" ref="L3831"/>
    <hyperlink r:id="rId3037" ref="L3832"/>
    <hyperlink r:id="rId3038" ref="L3833"/>
    <hyperlink r:id="rId3039" ref="L3834"/>
    <hyperlink r:id="rId3040" ref="L3835"/>
    <hyperlink r:id="rId3041" ref="L3836"/>
    <hyperlink r:id="rId3042" ref="L3837"/>
    <hyperlink r:id="rId3043" ref="L3838"/>
    <hyperlink r:id="rId3044" ref="L3839"/>
    <hyperlink r:id="rId3045" ref="L3840"/>
    <hyperlink r:id="rId3046" ref="L3841"/>
    <hyperlink r:id="rId3047" ref="L3842"/>
    <hyperlink r:id="rId3048" ref="L3843"/>
    <hyperlink r:id="rId3049" ref="L3844"/>
    <hyperlink r:id="rId3050" ref="L3845"/>
    <hyperlink r:id="rId3051" ref="L3846"/>
    <hyperlink r:id="rId3052" ref="L3847"/>
    <hyperlink r:id="rId3053" ref="L3862"/>
    <hyperlink r:id="rId3054" ref="L3863"/>
    <hyperlink r:id="rId3055" ref="L3864"/>
    <hyperlink r:id="rId3056" ref="L3865"/>
    <hyperlink r:id="rId3057" ref="L3866"/>
    <hyperlink r:id="rId3058" ref="L3867"/>
    <hyperlink r:id="rId3059" ref="L3868"/>
    <hyperlink r:id="rId3060" ref="L3869"/>
    <hyperlink r:id="rId3061" ref="L3870"/>
    <hyperlink r:id="rId3062" ref="L3871"/>
    <hyperlink r:id="rId3063" ref="L3872"/>
    <hyperlink r:id="rId3064" ref="L3873"/>
    <hyperlink r:id="rId3065" ref="L3874"/>
    <hyperlink r:id="rId3066" ref="L3875"/>
    <hyperlink r:id="rId3067" ref="L3876"/>
    <hyperlink r:id="rId3068" ref="L3877"/>
    <hyperlink r:id="rId3069" ref="L3878"/>
    <hyperlink r:id="rId3070" ref="L3879"/>
    <hyperlink r:id="rId3071" ref="L3880"/>
    <hyperlink r:id="rId3072" ref="L3881"/>
    <hyperlink r:id="rId3073" ref="L3882"/>
    <hyperlink r:id="rId3074" ref="L3883"/>
    <hyperlink r:id="rId3075" ref="L3884"/>
    <hyperlink r:id="rId3076" ref="L3885"/>
    <hyperlink r:id="rId3077" ref="L3886"/>
    <hyperlink r:id="rId3078" ref="L3887"/>
    <hyperlink r:id="rId3079" ref="L3888"/>
    <hyperlink r:id="rId3080" ref="L3889"/>
    <hyperlink r:id="rId3081" ref="L3890"/>
    <hyperlink r:id="rId3082" ref="L3891"/>
    <hyperlink r:id="rId3083" ref="L3892"/>
    <hyperlink r:id="rId3084" ref="L3893"/>
    <hyperlink r:id="rId3085" ref="L3894"/>
    <hyperlink r:id="rId3086" ref="L3895"/>
    <hyperlink r:id="rId3087" ref="L3911"/>
    <hyperlink r:id="rId3088" ref="L3912"/>
    <hyperlink r:id="rId3089" ref="L3913"/>
    <hyperlink r:id="rId3090" ref="L3914"/>
    <hyperlink r:id="rId3091" ref="L3915"/>
    <hyperlink r:id="rId3092" ref="L3916"/>
    <hyperlink r:id="rId3093" ref="L3917"/>
    <hyperlink r:id="rId3094" ref="L3918"/>
    <hyperlink r:id="rId3095" ref="L3919"/>
    <hyperlink r:id="rId3096" ref="L3920"/>
    <hyperlink r:id="rId3097" ref="L3921"/>
    <hyperlink r:id="rId3098" ref="L3922"/>
    <hyperlink r:id="rId3099" ref="L3923"/>
    <hyperlink r:id="rId3100" ref="L3924"/>
    <hyperlink r:id="rId3101" ref="L3925"/>
    <hyperlink r:id="rId3102" ref="L3926"/>
    <hyperlink r:id="rId3103" ref="L3927"/>
    <hyperlink r:id="rId3104" ref="L3928"/>
    <hyperlink r:id="rId3105" ref="L3929"/>
    <hyperlink r:id="rId3106" ref="L3930"/>
    <hyperlink r:id="rId3107" ref="L3931"/>
    <hyperlink r:id="rId3108" ref="L3932"/>
    <hyperlink r:id="rId3109" ref="L3933"/>
    <hyperlink r:id="rId3110" ref="L3934"/>
    <hyperlink r:id="rId3111" ref="L3935"/>
    <hyperlink r:id="rId3112" ref="L3936"/>
    <hyperlink r:id="rId3113" ref="L3937"/>
    <hyperlink r:id="rId3114" ref="L3938"/>
    <hyperlink r:id="rId3115" ref="L3939"/>
    <hyperlink r:id="rId3116" ref="L3940"/>
    <hyperlink r:id="rId3117" ref="L3941"/>
    <hyperlink r:id="rId3118" ref="L3942"/>
    <hyperlink r:id="rId3119" ref="L3943"/>
    <hyperlink r:id="rId3120" ref="L3944"/>
    <hyperlink r:id="rId3121" ref="L3960"/>
    <hyperlink r:id="rId3122" ref="L3961"/>
    <hyperlink r:id="rId3123" ref="L3962"/>
    <hyperlink r:id="rId3124" ref="L3963"/>
    <hyperlink r:id="rId3125" ref="L3964"/>
    <hyperlink r:id="rId3126" ref="L3965"/>
    <hyperlink r:id="rId3127" ref="L3966"/>
    <hyperlink r:id="rId3128" ref="L3967"/>
    <hyperlink r:id="rId3129" ref="L3968"/>
    <hyperlink r:id="rId3130" ref="L3969"/>
    <hyperlink r:id="rId3131" ref="L3970"/>
    <hyperlink r:id="rId3132" ref="L3971"/>
    <hyperlink r:id="rId3133" ref="L3972"/>
    <hyperlink r:id="rId3134" ref="L3973"/>
    <hyperlink r:id="rId3135" ref="L3974"/>
    <hyperlink r:id="rId3136" ref="L3975"/>
    <hyperlink r:id="rId3137" ref="L3976"/>
    <hyperlink r:id="rId3138" ref="L3977"/>
    <hyperlink r:id="rId3139" ref="L3978"/>
    <hyperlink r:id="rId3140" ref="L3979"/>
    <hyperlink r:id="rId3141" ref="L3980"/>
    <hyperlink r:id="rId3142" ref="L3981"/>
    <hyperlink r:id="rId3143" ref="L3982"/>
    <hyperlink r:id="rId3144" ref="L3983"/>
    <hyperlink r:id="rId3145" ref="L3984"/>
    <hyperlink r:id="rId3146" ref="L3985"/>
    <hyperlink r:id="rId3147" ref="L3986"/>
    <hyperlink r:id="rId3148" ref="L3987"/>
    <hyperlink r:id="rId3149" ref="L3988"/>
    <hyperlink r:id="rId3150" ref="L3989"/>
    <hyperlink r:id="rId3151" ref="L3990"/>
    <hyperlink r:id="rId3152" ref="L3991"/>
    <hyperlink r:id="rId3153" ref="L3992"/>
    <hyperlink r:id="rId3154" ref="L3993"/>
    <hyperlink r:id="rId3155" ref="L3994"/>
    <hyperlink r:id="rId3156" ref="L3995"/>
    <hyperlink r:id="rId3157" ref="L3996"/>
    <hyperlink r:id="rId3158" ref="L3997"/>
    <hyperlink r:id="rId3159" ref="L3998"/>
    <hyperlink r:id="rId3160" ref="L3999"/>
    <hyperlink r:id="rId3161" ref="L4000"/>
    <hyperlink r:id="rId3162" ref="L4001"/>
    <hyperlink r:id="rId3163" ref="L4002"/>
    <hyperlink r:id="rId3164" ref="L4003"/>
    <hyperlink r:id="rId3165" ref="L4004"/>
    <hyperlink r:id="rId3166" ref="L4005"/>
    <hyperlink r:id="rId3167" ref="L4021"/>
    <hyperlink r:id="rId3168" ref="L4022"/>
    <hyperlink r:id="rId3169" ref="L4023"/>
    <hyperlink r:id="rId3170" ref="L4024"/>
    <hyperlink r:id="rId3171" ref="L4025"/>
    <hyperlink r:id="rId3172" ref="L4026"/>
    <hyperlink r:id="rId3173" ref="L4027"/>
    <hyperlink r:id="rId3174" ref="L4028"/>
    <hyperlink r:id="rId3175" ref="L4029"/>
    <hyperlink r:id="rId3176" ref="L4030"/>
    <hyperlink r:id="rId3177" ref="L4031"/>
    <hyperlink r:id="rId3178" ref="L4032"/>
    <hyperlink r:id="rId3179" ref="L4033"/>
    <hyperlink r:id="rId3180" ref="L4034"/>
    <hyperlink r:id="rId3181" ref="L4035"/>
    <hyperlink r:id="rId3182" ref="L4036"/>
    <hyperlink r:id="rId3183" ref="L4037"/>
    <hyperlink r:id="rId3184" ref="L4038"/>
    <hyperlink r:id="rId3185" ref="L4039"/>
    <hyperlink r:id="rId3186" ref="L4040"/>
    <hyperlink r:id="rId3187" ref="L4041"/>
    <hyperlink r:id="rId3188" ref="L4042"/>
    <hyperlink r:id="rId3189" ref="L4043"/>
    <hyperlink r:id="rId3190" ref="L4044"/>
    <hyperlink r:id="rId3191" ref="L4045"/>
    <hyperlink r:id="rId3192" ref="L4046"/>
    <hyperlink r:id="rId3193" ref="L4047"/>
    <hyperlink r:id="rId3194" ref="L4048"/>
    <hyperlink r:id="rId3195" ref="L4049"/>
    <hyperlink r:id="rId3196" ref="L4050"/>
    <hyperlink r:id="rId3197" ref="L4051"/>
    <hyperlink r:id="rId3198" ref="L4052"/>
    <hyperlink r:id="rId3199" ref="L4053"/>
    <hyperlink r:id="rId3200" ref="L4054"/>
    <hyperlink r:id="rId3201" ref="L4055"/>
    <hyperlink r:id="rId3202" ref="L4056"/>
    <hyperlink r:id="rId3203" ref="L4057"/>
    <hyperlink r:id="rId3204" ref="L4058"/>
    <hyperlink r:id="rId3205" ref="L4059"/>
    <hyperlink r:id="rId3206" ref="L4060"/>
    <hyperlink r:id="rId3207" ref="L4061"/>
    <hyperlink r:id="rId3208" ref="L4062"/>
    <hyperlink r:id="rId3209" ref="L4063"/>
    <hyperlink r:id="rId3210" ref="L4064"/>
    <hyperlink r:id="rId3211" ref="L4065"/>
    <hyperlink r:id="rId3212" ref="L4066"/>
    <hyperlink r:id="rId3213" ref="L4082"/>
    <hyperlink r:id="rId3214" ref="L4083"/>
    <hyperlink r:id="rId3215" ref="L4084"/>
    <hyperlink r:id="rId3216" ref="L4085"/>
    <hyperlink r:id="rId3217" ref="L4086"/>
    <hyperlink r:id="rId3218" ref="L4087"/>
    <hyperlink r:id="rId3219" ref="L4088"/>
    <hyperlink r:id="rId3220" ref="L4089"/>
    <hyperlink r:id="rId3221" ref="L4090"/>
    <hyperlink r:id="rId3222" ref="L4091"/>
    <hyperlink r:id="rId3223" ref="L4092"/>
    <hyperlink r:id="rId3224" ref="L4093"/>
    <hyperlink r:id="rId3225" ref="L4094"/>
    <hyperlink r:id="rId3226" ref="L4095"/>
    <hyperlink r:id="rId3227" ref="L4096"/>
    <hyperlink r:id="rId3228" ref="L4097"/>
    <hyperlink r:id="rId3229" ref="L4098"/>
    <hyperlink r:id="rId3230" ref="L4099"/>
    <hyperlink r:id="rId3231" ref="L4100"/>
    <hyperlink r:id="rId3232" ref="L4101"/>
    <hyperlink r:id="rId3233" ref="L4102"/>
    <hyperlink r:id="rId3234" ref="L4103"/>
    <hyperlink r:id="rId3235" ref="L4104"/>
    <hyperlink r:id="rId3236" ref="L4105"/>
    <hyperlink r:id="rId3237" ref="L4106"/>
    <hyperlink r:id="rId3238" ref="L4107"/>
    <hyperlink r:id="rId3239" ref="L4108"/>
    <hyperlink r:id="rId3240" ref="L4109"/>
    <hyperlink r:id="rId3241" ref="L4110"/>
    <hyperlink r:id="rId3242" ref="L4111"/>
    <hyperlink r:id="rId3243" ref="L4112"/>
    <hyperlink r:id="rId3244" ref="L4113"/>
    <hyperlink r:id="rId3245" ref="L4114"/>
    <hyperlink r:id="rId3246" ref="L4115"/>
    <hyperlink r:id="rId3247" ref="L4116"/>
    <hyperlink r:id="rId3248" ref="L4117"/>
    <hyperlink r:id="rId3249" ref="L4118"/>
    <hyperlink r:id="rId3250" ref="L4119"/>
    <hyperlink r:id="rId3251" ref="L4120"/>
    <hyperlink r:id="rId3252" ref="L4121"/>
    <hyperlink r:id="rId3253" ref="L4122"/>
    <hyperlink r:id="rId3254" ref="L4123"/>
    <hyperlink r:id="rId3255" ref="L4124"/>
    <hyperlink r:id="rId3256" ref="L4125"/>
    <hyperlink r:id="rId3257" ref="L4126"/>
    <hyperlink r:id="rId3258" ref="L4127"/>
    <hyperlink r:id="rId3259" ref="L4143"/>
    <hyperlink r:id="rId3260" ref="L4144"/>
    <hyperlink r:id="rId3261" ref="L4145"/>
    <hyperlink r:id="rId3262" ref="L4146"/>
    <hyperlink r:id="rId3263" ref="L4147"/>
    <hyperlink r:id="rId3264" ref="L4148"/>
    <hyperlink r:id="rId3265" ref="L4149"/>
    <hyperlink r:id="rId3266" ref="L4150"/>
    <hyperlink r:id="rId3267" ref="L4151"/>
    <hyperlink r:id="rId3268" ref="L4152"/>
    <hyperlink r:id="rId3269" ref="L4153"/>
    <hyperlink r:id="rId3270" ref="L4154"/>
    <hyperlink r:id="rId3271" ref="L4155"/>
    <hyperlink r:id="rId3272" ref="L4156"/>
    <hyperlink r:id="rId3273" ref="L4157"/>
    <hyperlink r:id="rId3274" ref="L4158"/>
    <hyperlink r:id="rId3275" ref="L4159"/>
    <hyperlink r:id="rId3276" ref="L4160"/>
    <hyperlink r:id="rId3277" ref="L4161"/>
    <hyperlink r:id="rId3278" ref="L4162"/>
    <hyperlink r:id="rId3279" ref="L4163"/>
    <hyperlink r:id="rId3280" ref="L4164"/>
    <hyperlink r:id="rId3281" ref="L4165"/>
    <hyperlink r:id="rId3282" ref="L4166"/>
    <hyperlink r:id="rId3283" ref="L4167"/>
    <hyperlink r:id="rId3284" ref="L4168"/>
    <hyperlink r:id="rId3285" ref="L4169"/>
    <hyperlink r:id="rId3286" ref="L4170"/>
    <hyperlink r:id="rId3287" ref="L4171"/>
    <hyperlink r:id="rId3288" ref="L4172"/>
    <hyperlink r:id="rId3289" ref="L4173"/>
    <hyperlink r:id="rId3290" ref="L4174"/>
    <hyperlink r:id="rId3291" ref="L4175"/>
    <hyperlink r:id="rId3292" ref="L4176"/>
    <hyperlink r:id="rId3293" ref="L4177"/>
    <hyperlink r:id="rId3294" ref="L4178"/>
    <hyperlink r:id="rId3295" ref="L4179"/>
    <hyperlink r:id="rId3296" ref="L4180"/>
    <hyperlink r:id="rId3297" ref="L4181"/>
    <hyperlink r:id="rId3298" ref="L4182"/>
    <hyperlink r:id="rId3299" ref="L4183"/>
    <hyperlink r:id="rId3300" ref="L4184"/>
    <hyperlink r:id="rId3301" ref="L4185"/>
    <hyperlink r:id="rId3302" ref="L4186"/>
    <hyperlink r:id="rId3303" ref="L4187"/>
    <hyperlink r:id="rId3304" ref="L4188"/>
    <hyperlink r:id="rId3305" ref="L4204"/>
    <hyperlink r:id="rId3306" ref="L4205"/>
    <hyperlink r:id="rId3307" ref="L4206"/>
    <hyperlink r:id="rId3308" ref="L4207"/>
    <hyperlink r:id="rId3309" ref="L4208"/>
    <hyperlink r:id="rId3310" ref="L4209"/>
    <hyperlink r:id="rId3311" ref="L4210"/>
    <hyperlink r:id="rId3312" ref="L4211"/>
    <hyperlink r:id="rId3313" ref="L4212"/>
    <hyperlink r:id="rId3314" ref="L4213"/>
    <hyperlink r:id="rId3315" ref="L4214"/>
    <hyperlink r:id="rId3316" ref="L4215"/>
    <hyperlink r:id="rId3317" ref="L4216"/>
    <hyperlink r:id="rId3318" ref="L4217"/>
    <hyperlink r:id="rId3319" ref="L4218"/>
    <hyperlink r:id="rId3320" ref="L4219"/>
    <hyperlink r:id="rId3321" ref="L4220"/>
    <hyperlink r:id="rId3322" ref="L4221"/>
    <hyperlink r:id="rId3323" ref="L4222"/>
    <hyperlink r:id="rId3324" ref="L4223"/>
    <hyperlink r:id="rId3325" ref="L4224"/>
    <hyperlink r:id="rId3326" ref="L4225"/>
    <hyperlink r:id="rId3327" ref="L4226"/>
    <hyperlink r:id="rId3328" ref="L4227"/>
    <hyperlink r:id="rId3329" ref="L4228"/>
    <hyperlink r:id="rId3330" ref="L4229"/>
    <hyperlink r:id="rId3331" ref="L4230"/>
    <hyperlink r:id="rId3332" ref="L4231"/>
    <hyperlink r:id="rId3333" ref="L4232"/>
    <hyperlink r:id="rId3334" ref="L4233"/>
    <hyperlink r:id="rId3335" ref="L4234"/>
    <hyperlink r:id="rId3336" ref="L4235"/>
    <hyperlink r:id="rId3337" ref="L4236"/>
    <hyperlink r:id="rId3338" ref="L4237"/>
    <hyperlink r:id="rId3339" ref="L4238"/>
    <hyperlink r:id="rId3340" ref="L4239"/>
    <hyperlink r:id="rId3341" ref="L4240"/>
    <hyperlink r:id="rId3342" ref="L4241"/>
    <hyperlink r:id="rId3343" ref="L4242"/>
    <hyperlink r:id="rId3344" ref="L4243"/>
    <hyperlink r:id="rId3345" ref="L4244"/>
    <hyperlink r:id="rId3346" ref="L4245"/>
    <hyperlink r:id="rId3347" ref="L4246"/>
    <hyperlink r:id="rId3348" ref="L4247"/>
    <hyperlink r:id="rId3349" ref="L4248"/>
    <hyperlink r:id="rId3350" ref="L4249"/>
    <hyperlink r:id="rId3351" ref="L4262"/>
    <hyperlink r:id="rId3352" ref="L4263"/>
    <hyperlink r:id="rId3353" ref="L4264"/>
    <hyperlink r:id="rId3354" ref="L4265"/>
    <hyperlink r:id="rId3355" ref="L4266"/>
    <hyperlink r:id="rId3356" ref="L4267"/>
    <hyperlink r:id="rId3357" ref="L4268"/>
    <hyperlink r:id="rId3358" ref="L4269"/>
    <hyperlink r:id="rId3359" ref="L4270"/>
    <hyperlink r:id="rId3360" ref="L4271"/>
    <hyperlink r:id="rId3361" ref="L4272"/>
    <hyperlink r:id="rId3362" ref="L4273"/>
    <hyperlink r:id="rId3363" ref="L4274"/>
    <hyperlink r:id="rId3364" ref="L4275"/>
    <hyperlink r:id="rId3365" ref="L4276"/>
    <hyperlink r:id="rId3366" ref="L4277"/>
    <hyperlink r:id="rId3367" ref="L4278"/>
    <hyperlink r:id="rId3368" ref="L4279"/>
    <hyperlink r:id="rId3369" ref="L4280"/>
    <hyperlink r:id="rId3370" ref="L4281"/>
    <hyperlink r:id="rId3371" ref="L4282"/>
    <hyperlink r:id="rId3372" ref="L4283"/>
    <hyperlink r:id="rId3373" ref="L4284"/>
    <hyperlink r:id="rId3374" ref="L4285"/>
    <hyperlink r:id="rId3375" ref="L4286"/>
    <hyperlink r:id="rId3376" ref="L4287"/>
    <hyperlink r:id="rId3377" ref="L4288"/>
    <hyperlink r:id="rId3378" ref="L4289"/>
    <hyperlink r:id="rId3379" ref="L4290"/>
    <hyperlink r:id="rId3380" ref="L4291"/>
    <hyperlink r:id="rId3381" ref="L4292"/>
    <hyperlink r:id="rId3382" ref="L4293"/>
    <hyperlink r:id="rId3383" ref="L4294"/>
    <hyperlink r:id="rId3384" ref="L4295"/>
    <hyperlink r:id="rId3385" ref="L4296"/>
    <hyperlink r:id="rId3386" ref="L4297"/>
    <hyperlink r:id="rId3387" ref="L4298"/>
    <hyperlink r:id="rId3388" ref="L4299"/>
    <hyperlink r:id="rId3389" ref="L4300"/>
    <hyperlink r:id="rId3390" ref="L4301"/>
    <hyperlink r:id="rId3391" ref="L4302"/>
    <hyperlink r:id="rId3392" ref="L4303"/>
    <hyperlink r:id="rId3393" ref="L4304"/>
    <hyperlink r:id="rId3394" ref="L4305"/>
    <hyperlink r:id="rId3395" ref="L4306"/>
    <hyperlink r:id="rId3396" ref="L4322"/>
    <hyperlink r:id="rId3397" ref="L4323"/>
    <hyperlink r:id="rId3398" ref="L4324"/>
    <hyperlink r:id="rId3399" ref="L4325"/>
    <hyperlink r:id="rId3400" ref="L4326"/>
    <hyperlink r:id="rId3401" ref="L4327"/>
    <hyperlink r:id="rId3402" ref="L4328"/>
    <hyperlink r:id="rId3403" ref="L4329"/>
    <hyperlink r:id="rId3404" ref="L4330"/>
    <hyperlink r:id="rId3405" ref="L4331"/>
    <hyperlink r:id="rId3406" ref="L4332"/>
    <hyperlink r:id="rId3407" ref="L4333"/>
    <hyperlink r:id="rId3408" ref="L4334"/>
    <hyperlink r:id="rId3409" ref="L4335"/>
    <hyperlink r:id="rId3410" ref="L4336"/>
    <hyperlink r:id="rId3411" ref="L4337"/>
    <hyperlink r:id="rId3412" ref="L4338"/>
    <hyperlink r:id="rId3413" ref="L4339"/>
    <hyperlink r:id="rId3414" ref="L4340"/>
    <hyperlink r:id="rId3415" ref="L4341"/>
    <hyperlink r:id="rId3416" ref="L4342"/>
    <hyperlink r:id="rId3417" ref="L4343"/>
    <hyperlink r:id="rId3418" ref="L4344"/>
    <hyperlink r:id="rId3419" ref="L4345"/>
    <hyperlink r:id="rId3420" ref="L4346"/>
    <hyperlink r:id="rId3421" ref="L4347"/>
    <hyperlink r:id="rId3422" ref="L4348"/>
    <hyperlink r:id="rId3423" ref="L4349"/>
    <hyperlink r:id="rId3424" ref="L4350"/>
    <hyperlink r:id="rId3425" ref="L4351"/>
    <hyperlink r:id="rId3426" ref="L4352"/>
    <hyperlink r:id="rId3427" ref="L4353"/>
    <hyperlink r:id="rId3428" ref="L4354"/>
    <hyperlink r:id="rId3429" ref="L4355"/>
    <hyperlink r:id="rId3430" ref="L4356"/>
    <hyperlink r:id="rId3431" ref="L4357"/>
    <hyperlink r:id="rId3432" ref="L4358"/>
    <hyperlink r:id="rId3433" ref="L4359"/>
    <hyperlink r:id="rId3434" ref="L4360"/>
    <hyperlink r:id="rId3435" ref="L4361"/>
    <hyperlink r:id="rId3436" ref="L4362"/>
    <hyperlink r:id="rId3437" ref="L4363"/>
    <hyperlink r:id="rId3438" ref="L4364"/>
    <hyperlink r:id="rId3439" ref="L4365"/>
    <hyperlink r:id="rId3440" ref="L4366"/>
    <hyperlink r:id="rId3441" ref="L4367"/>
    <hyperlink r:id="rId3442" ref="L4382"/>
    <hyperlink r:id="rId3443" ref="L4383"/>
    <hyperlink r:id="rId3444" ref="L4384"/>
    <hyperlink r:id="rId3445" ref="L4385"/>
    <hyperlink r:id="rId3446" ref="L4386"/>
    <hyperlink r:id="rId3447" ref="L4387"/>
    <hyperlink r:id="rId3448" ref="L4388"/>
    <hyperlink r:id="rId3449" ref="L4389"/>
    <hyperlink r:id="rId3450" ref="L4390"/>
    <hyperlink r:id="rId3451" ref="L4391"/>
    <hyperlink r:id="rId3452" ref="L4392"/>
    <hyperlink r:id="rId3453" ref="L4393"/>
    <hyperlink r:id="rId3454" ref="L4394"/>
    <hyperlink r:id="rId3455" ref="L4395"/>
    <hyperlink r:id="rId3456" ref="L4396"/>
    <hyperlink r:id="rId3457" ref="L4397"/>
    <hyperlink r:id="rId3458" ref="L4398"/>
    <hyperlink r:id="rId3459" ref="L4399"/>
    <hyperlink r:id="rId3460" ref="L4400"/>
    <hyperlink r:id="rId3461" ref="L4401"/>
    <hyperlink r:id="rId3462" ref="L4402"/>
    <hyperlink r:id="rId3463" ref="L4403"/>
    <hyperlink r:id="rId3464" ref="L4404"/>
    <hyperlink r:id="rId3465" ref="L4405"/>
    <hyperlink r:id="rId3466" ref="L4406"/>
    <hyperlink r:id="rId3467" ref="L4407"/>
    <hyperlink r:id="rId3468" ref="L4408"/>
    <hyperlink r:id="rId3469" ref="L4409"/>
    <hyperlink r:id="rId3470" ref="L4410"/>
    <hyperlink r:id="rId3471" ref="L4411"/>
    <hyperlink r:id="rId3472" ref="L4412"/>
    <hyperlink r:id="rId3473" ref="L4413"/>
    <hyperlink r:id="rId3474" ref="L4414"/>
    <hyperlink r:id="rId3475" ref="L4415"/>
    <hyperlink r:id="rId3476" ref="L4416"/>
    <hyperlink r:id="rId3477" ref="L4417"/>
    <hyperlink r:id="rId3478" ref="L4418"/>
    <hyperlink r:id="rId3479" ref="L4419"/>
    <hyperlink r:id="rId3480" ref="L4420"/>
    <hyperlink r:id="rId3481" ref="L4421"/>
    <hyperlink r:id="rId3482" ref="L4422"/>
    <hyperlink r:id="rId3483" ref="L4423"/>
    <hyperlink r:id="rId3484" ref="L4424"/>
    <hyperlink r:id="rId3485" ref="L4425"/>
    <hyperlink r:id="rId3486" ref="L4426"/>
    <hyperlink r:id="rId3487" ref="L4427"/>
    <hyperlink r:id="rId3488" ref="L4442"/>
    <hyperlink r:id="rId3489" ref="L4443"/>
    <hyperlink r:id="rId3490" ref="L4444"/>
    <hyperlink r:id="rId3491" ref="L4445"/>
    <hyperlink r:id="rId3492" ref="L4446"/>
    <hyperlink r:id="rId3493" ref="L4447"/>
    <hyperlink r:id="rId3494" ref="L4448"/>
    <hyperlink r:id="rId3495" ref="L4449"/>
    <hyperlink r:id="rId3496" ref="L4450"/>
    <hyperlink r:id="rId3497" ref="L4451"/>
    <hyperlink r:id="rId3498" ref="L4452"/>
    <hyperlink r:id="rId3499" ref="L4453"/>
    <hyperlink r:id="rId3500" ref="L4454"/>
    <hyperlink r:id="rId3501" ref="L4455"/>
    <hyperlink r:id="rId3502" ref="L4456"/>
    <hyperlink r:id="rId3503" ref="L4457"/>
    <hyperlink r:id="rId3504" ref="L4458"/>
    <hyperlink r:id="rId3505" ref="L4459"/>
    <hyperlink r:id="rId3506" ref="L4460"/>
    <hyperlink r:id="rId3507" ref="L4461"/>
    <hyperlink r:id="rId3508" ref="L4462"/>
    <hyperlink r:id="rId3509" ref="L4463"/>
    <hyperlink r:id="rId3510" ref="L4464"/>
    <hyperlink r:id="rId3511" ref="L4465"/>
    <hyperlink r:id="rId3512" ref="L4466"/>
    <hyperlink r:id="rId3513" ref="L4467"/>
    <hyperlink r:id="rId3514" ref="L4468"/>
    <hyperlink r:id="rId3515" ref="L4469"/>
    <hyperlink r:id="rId3516" ref="L4470"/>
    <hyperlink r:id="rId3517" ref="L4471"/>
    <hyperlink r:id="rId3518" ref="L4472"/>
    <hyperlink r:id="rId3519" ref="L4473"/>
    <hyperlink r:id="rId3520" ref="L4474"/>
    <hyperlink r:id="rId3521" ref="L4475"/>
    <hyperlink r:id="rId3522" ref="L4476"/>
    <hyperlink r:id="rId3523" ref="L4477"/>
    <hyperlink r:id="rId3524" ref="L4478"/>
    <hyperlink r:id="rId3525" ref="L4479"/>
    <hyperlink r:id="rId3526" ref="L4480"/>
    <hyperlink r:id="rId3527" ref="L4481"/>
    <hyperlink r:id="rId3528" ref="L4482"/>
    <hyperlink r:id="rId3529" ref="L4483"/>
    <hyperlink r:id="rId3530" ref="L4484"/>
    <hyperlink r:id="rId3531" ref="L4485"/>
    <hyperlink r:id="rId3532" ref="L4501"/>
    <hyperlink r:id="rId3533" ref="L4502"/>
    <hyperlink r:id="rId3534" ref="L4503"/>
    <hyperlink r:id="rId3535" ref="L4504"/>
    <hyperlink r:id="rId3536" ref="L4505"/>
    <hyperlink r:id="rId3537" ref="L4506"/>
    <hyperlink r:id="rId3538" ref="L4507"/>
    <hyperlink r:id="rId3539" ref="L4508"/>
    <hyperlink r:id="rId3540" ref="L4509"/>
    <hyperlink r:id="rId3541" ref="L4510"/>
    <hyperlink r:id="rId3542" ref="L4511"/>
    <hyperlink r:id="rId3543" ref="L4512"/>
    <hyperlink r:id="rId3544" ref="L4513"/>
    <hyperlink r:id="rId3545" ref="L4514"/>
    <hyperlink r:id="rId3546" ref="L4515"/>
    <hyperlink r:id="rId3547" ref="L4516"/>
    <hyperlink r:id="rId3548" ref="L4517"/>
    <hyperlink r:id="rId3549" ref="L4518"/>
    <hyperlink r:id="rId3550" ref="L4519"/>
    <hyperlink r:id="rId3551" ref="L4520"/>
    <hyperlink r:id="rId3552" ref="L4521"/>
    <hyperlink r:id="rId3553" ref="L4522"/>
    <hyperlink r:id="rId3554" ref="L4523"/>
    <hyperlink r:id="rId3555" ref="L4524"/>
    <hyperlink r:id="rId3556" ref="L4525"/>
    <hyperlink r:id="rId3557" ref="L4526"/>
    <hyperlink r:id="rId3558" ref="L4527"/>
    <hyperlink r:id="rId3559" ref="L4528"/>
    <hyperlink r:id="rId3560" ref="L4529"/>
    <hyperlink r:id="rId3561" ref="L4530"/>
    <hyperlink r:id="rId3562" ref="L4531"/>
    <hyperlink r:id="rId3563" ref="L4532"/>
    <hyperlink r:id="rId3564" ref="L4533"/>
    <hyperlink r:id="rId3565" ref="L4534"/>
    <hyperlink r:id="rId3566" ref="L4535"/>
    <hyperlink r:id="rId3567" ref="L4536"/>
    <hyperlink r:id="rId3568" ref="L4537"/>
    <hyperlink r:id="rId3569" ref="L4538"/>
    <hyperlink r:id="rId3570" ref="L4539"/>
    <hyperlink r:id="rId3571" ref="L4540"/>
    <hyperlink r:id="rId3572" ref="L4541"/>
    <hyperlink r:id="rId3573" ref="L4542"/>
    <hyperlink r:id="rId3574" ref="L4543"/>
    <hyperlink r:id="rId3575" ref="L4544"/>
    <hyperlink r:id="rId3576" ref="L4545"/>
    <hyperlink r:id="rId3577" ref="L4546"/>
    <hyperlink r:id="rId3578" ref="L4547"/>
    <hyperlink r:id="rId3579" ref="L4548"/>
    <hyperlink r:id="rId3580" ref="L4549"/>
    <hyperlink r:id="rId3581" ref="L4550"/>
    <hyperlink r:id="rId3582" ref="L4551"/>
    <hyperlink r:id="rId3583" ref="L4552"/>
    <hyperlink r:id="rId3584" ref="L4553"/>
    <hyperlink r:id="rId3585" ref="L4554"/>
    <hyperlink r:id="rId3586" ref="L4555"/>
    <hyperlink r:id="rId3587" ref="L4556"/>
    <hyperlink r:id="rId3588" ref="L4557"/>
    <hyperlink r:id="rId3589" ref="L4558"/>
    <hyperlink r:id="rId3590" ref="L4559"/>
    <hyperlink r:id="rId3591" ref="L4560"/>
    <hyperlink r:id="rId3592" ref="L4561"/>
    <hyperlink r:id="rId3593" ref="L4562"/>
    <hyperlink r:id="rId3594" ref="L4563"/>
    <hyperlink r:id="rId3595" ref="L4564"/>
    <hyperlink r:id="rId3596" ref="L4565"/>
    <hyperlink r:id="rId3597" ref="L4566"/>
    <hyperlink r:id="rId3598" ref="L4567"/>
    <hyperlink r:id="rId3599" ref="L4568"/>
    <hyperlink r:id="rId3600" ref="L4569"/>
    <hyperlink r:id="rId3601" ref="L4570"/>
    <hyperlink r:id="rId3602" ref="L4571"/>
    <hyperlink r:id="rId3603" ref="L4572"/>
    <hyperlink r:id="rId3604" ref="L4573"/>
    <hyperlink r:id="rId3605" ref="L4574"/>
    <hyperlink r:id="rId3606" ref="L4575"/>
    <hyperlink r:id="rId3607" ref="L4576"/>
    <hyperlink r:id="rId3608" ref="L4577"/>
    <hyperlink r:id="rId3609" ref="L4578"/>
    <hyperlink r:id="rId3610" ref="L4579"/>
    <hyperlink r:id="rId3611" ref="L4580"/>
    <hyperlink r:id="rId3612" ref="L4581"/>
    <hyperlink r:id="rId3613" ref="L4582"/>
    <hyperlink r:id="rId3614" ref="L4583"/>
    <hyperlink r:id="rId3615" ref="L4584"/>
    <hyperlink r:id="rId3616" ref="L4585"/>
    <hyperlink r:id="rId3617" ref="L4586"/>
    <hyperlink r:id="rId3618" ref="L4587"/>
    <hyperlink r:id="rId3619" ref="L4588"/>
    <hyperlink r:id="rId3620" ref="L4589"/>
    <hyperlink r:id="rId3621" ref="L4590"/>
    <hyperlink r:id="rId3622" ref="L4591"/>
    <hyperlink r:id="rId3623" ref="L4592"/>
    <hyperlink r:id="rId3624" ref="L4593"/>
    <hyperlink r:id="rId3625" ref="L4594"/>
    <hyperlink r:id="rId3626" ref="L4595"/>
    <hyperlink r:id="rId3627" ref="L4596"/>
    <hyperlink r:id="rId3628" ref="L4597"/>
    <hyperlink r:id="rId3629" ref="L4598"/>
    <hyperlink r:id="rId3630" ref="L4599"/>
    <hyperlink r:id="rId3631" ref="L4600"/>
    <hyperlink r:id="rId3632" ref="L4601"/>
    <hyperlink r:id="rId3633" ref="L4602"/>
    <hyperlink r:id="rId3634" ref="L4603"/>
    <hyperlink r:id="rId3635" ref="L4604"/>
    <hyperlink r:id="rId3636" ref="L4605"/>
    <hyperlink r:id="rId3637" ref="L4606"/>
    <hyperlink r:id="rId3638" ref="L4607"/>
    <hyperlink r:id="rId3639" ref="L4608"/>
    <hyperlink r:id="rId3640" ref="L4609"/>
    <hyperlink r:id="rId3641" ref="L4610"/>
    <hyperlink r:id="rId3642" ref="L4611"/>
    <hyperlink r:id="rId3643" ref="L4612"/>
    <hyperlink r:id="rId3644" ref="L4613"/>
    <hyperlink r:id="rId3645" ref="L4614"/>
    <hyperlink r:id="rId3646" ref="L4615"/>
    <hyperlink r:id="rId3647" ref="L4616"/>
    <hyperlink r:id="rId3648" ref="L4617"/>
    <hyperlink r:id="rId3649" ref="L4618"/>
    <hyperlink r:id="rId3650" ref="L4619"/>
    <hyperlink r:id="rId3651" ref="L4620"/>
    <hyperlink r:id="rId3652" ref="L4621"/>
    <hyperlink r:id="rId3653" ref="L4622"/>
    <hyperlink r:id="rId3654" ref="L4623"/>
    <hyperlink r:id="rId3655" ref="L4624"/>
    <hyperlink r:id="rId3656" ref="L4625"/>
    <hyperlink r:id="rId3657" ref="L4626"/>
    <hyperlink r:id="rId3658" ref="L4627"/>
    <hyperlink r:id="rId3659" ref="L4628"/>
    <hyperlink r:id="rId3660" ref="L4629"/>
    <hyperlink r:id="rId3661" ref="L4630"/>
    <hyperlink r:id="rId3662" ref="L4631"/>
    <hyperlink r:id="rId3663" ref="L4632"/>
    <hyperlink r:id="rId3664" ref="L4633"/>
    <hyperlink r:id="rId3665" ref="L4634"/>
    <hyperlink r:id="rId3666" ref="L4635"/>
    <hyperlink r:id="rId3667" ref="L4636"/>
    <hyperlink r:id="rId3668" ref="L4637"/>
    <hyperlink r:id="rId3669" ref="L4638"/>
    <hyperlink r:id="rId3670" ref="L4639"/>
    <hyperlink r:id="rId3671" ref="L4640"/>
    <hyperlink r:id="rId3672" ref="L4641"/>
    <hyperlink r:id="rId3673" ref="L4642"/>
    <hyperlink r:id="rId3674" ref="L4643"/>
    <hyperlink r:id="rId3675" ref="L4644"/>
    <hyperlink r:id="rId3676" ref="L4645"/>
    <hyperlink r:id="rId3677" ref="L4646"/>
    <hyperlink r:id="rId3678" ref="L4647"/>
    <hyperlink r:id="rId3679" ref="L4648"/>
    <hyperlink r:id="rId3680" ref="L4649"/>
    <hyperlink r:id="rId3681" ref="L4650"/>
    <hyperlink r:id="rId3682" ref="L4651"/>
    <hyperlink r:id="rId3683" ref="L4652"/>
    <hyperlink r:id="rId3684" ref="L4653"/>
    <hyperlink r:id="rId3685" ref="L4654"/>
    <hyperlink r:id="rId3686" ref="L4655"/>
    <hyperlink r:id="rId3687" ref="L4656"/>
    <hyperlink r:id="rId3688" ref="L4657"/>
    <hyperlink r:id="rId3689" ref="L4658"/>
    <hyperlink r:id="rId3690" ref="L4659"/>
    <hyperlink r:id="rId3691" ref="L4660"/>
    <hyperlink r:id="rId3692" ref="L4661"/>
    <hyperlink r:id="rId3693" ref="L4662"/>
    <hyperlink r:id="rId3694" ref="L4663"/>
    <hyperlink r:id="rId3695" ref="L4664"/>
    <hyperlink r:id="rId3696" ref="L4665"/>
    <hyperlink r:id="rId3697" ref="L4666"/>
    <hyperlink r:id="rId3698" ref="L4667"/>
    <hyperlink r:id="rId3699" ref="L4668"/>
    <hyperlink r:id="rId3700" ref="L4669"/>
    <hyperlink r:id="rId3701" ref="L4670"/>
    <hyperlink r:id="rId3702" ref="L4671"/>
    <hyperlink r:id="rId3703" ref="L4672"/>
    <hyperlink r:id="rId3704" ref="L4673"/>
    <hyperlink r:id="rId3705" ref="L4674"/>
    <hyperlink r:id="rId3706" ref="L4675"/>
    <hyperlink r:id="rId3707" ref="L4676"/>
    <hyperlink r:id="rId3708" ref="L4677"/>
    <hyperlink r:id="rId3709" ref="L4678"/>
    <hyperlink r:id="rId3710" ref="L4679"/>
    <hyperlink r:id="rId3711" ref="L4680"/>
    <hyperlink r:id="rId3712" ref="L4681"/>
    <hyperlink r:id="rId3713" ref="L4682"/>
    <hyperlink r:id="rId3714" ref="L4683"/>
    <hyperlink r:id="rId3715" ref="L4684"/>
    <hyperlink r:id="rId3716" ref="L4685"/>
    <hyperlink r:id="rId3717" ref="L4686"/>
    <hyperlink r:id="rId3718" ref="L4687"/>
    <hyperlink r:id="rId3719" ref="L4688"/>
    <hyperlink r:id="rId3720" ref="L4689"/>
    <hyperlink r:id="rId3721" ref="L4690"/>
    <hyperlink r:id="rId3722" ref="L4691"/>
    <hyperlink r:id="rId3723" ref="L4692"/>
    <hyperlink r:id="rId3724" ref="L4693"/>
    <hyperlink r:id="rId3725" ref="L4694"/>
    <hyperlink r:id="rId3726" ref="L4695"/>
    <hyperlink r:id="rId3727" ref="L4696"/>
    <hyperlink r:id="rId3728" ref="L4697"/>
    <hyperlink r:id="rId3729" ref="L4698"/>
    <hyperlink r:id="rId3730" ref="L4699"/>
    <hyperlink r:id="rId3731" ref="L4700"/>
    <hyperlink r:id="rId3732" ref="L4701"/>
    <hyperlink r:id="rId3733" ref="L4702"/>
    <hyperlink r:id="rId3734" ref="L4703"/>
    <hyperlink r:id="rId3735" ref="L4704"/>
    <hyperlink r:id="rId3736" ref="L4705"/>
    <hyperlink r:id="rId3737" ref="L4706"/>
    <hyperlink r:id="rId3738" ref="L4707"/>
    <hyperlink r:id="rId3739" ref="L4708"/>
    <hyperlink r:id="rId3740" ref="L4709"/>
    <hyperlink r:id="rId3741" ref="L4710"/>
    <hyperlink r:id="rId3742" ref="L4711"/>
    <hyperlink r:id="rId3743" ref="L4712"/>
    <hyperlink r:id="rId3744" ref="L4713"/>
    <hyperlink r:id="rId3745" ref="L4714"/>
    <hyperlink r:id="rId3746" ref="L4715"/>
    <hyperlink r:id="rId3747" ref="L4716"/>
    <hyperlink r:id="rId3748" ref="L4717"/>
    <hyperlink r:id="rId3749" ref="L4718"/>
    <hyperlink r:id="rId3750" ref="L4719"/>
    <hyperlink r:id="rId3751" ref="L4720"/>
    <hyperlink r:id="rId3752" ref="L4721"/>
    <hyperlink r:id="rId3753" ref="L4722"/>
    <hyperlink r:id="rId3754" ref="L4723"/>
    <hyperlink r:id="rId3755" ref="L4724"/>
    <hyperlink r:id="rId3756" ref="L4725"/>
    <hyperlink r:id="rId3757" ref="L4726"/>
    <hyperlink r:id="rId3758" ref="L4727"/>
    <hyperlink r:id="rId3759" ref="L4728"/>
    <hyperlink r:id="rId3760" ref="L4729"/>
    <hyperlink r:id="rId3761" ref="L4730"/>
    <hyperlink r:id="rId3762" ref="L4731"/>
    <hyperlink r:id="rId3763" ref="L4732"/>
    <hyperlink r:id="rId3764" ref="L4733"/>
    <hyperlink r:id="rId3765" ref="L4734"/>
    <hyperlink r:id="rId3766" ref="L4735"/>
    <hyperlink r:id="rId3767" ref="L4736"/>
    <hyperlink r:id="rId3768" ref="L4737"/>
    <hyperlink r:id="rId3769" ref="L4738"/>
    <hyperlink r:id="rId3770" ref="L4739"/>
    <hyperlink r:id="rId3771" ref="L4740"/>
    <hyperlink r:id="rId3772" ref="L4741"/>
    <hyperlink r:id="rId3773" ref="L4742"/>
    <hyperlink r:id="rId3774" ref="L4743"/>
    <hyperlink r:id="rId3775" ref="L4744"/>
    <hyperlink r:id="rId3776" ref="L4745"/>
    <hyperlink r:id="rId3777" ref="L4746"/>
    <hyperlink r:id="rId3778" ref="L4747"/>
    <hyperlink r:id="rId3779" ref="L4748"/>
    <hyperlink r:id="rId3780" ref="L4749"/>
    <hyperlink r:id="rId3781" ref="L4750"/>
    <hyperlink r:id="rId3782" ref="L4751"/>
    <hyperlink r:id="rId3783" ref="L4752"/>
    <hyperlink r:id="rId3784" ref="L4753"/>
    <hyperlink r:id="rId3785" ref="L4754"/>
    <hyperlink r:id="rId3786" ref="L4755"/>
    <hyperlink r:id="rId3787" ref="L4756"/>
    <hyperlink r:id="rId3788" ref="L4757"/>
    <hyperlink r:id="rId3789" ref="L4758"/>
    <hyperlink r:id="rId3790" ref="L4759"/>
    <hyperlink r:id="rId3791" ref="L4760"/>
    <hyperlink r:id="rId3792" ref="L4761"/>
    <hyperlink r:id="rId3793" ref="L4762"/>
    <hyperlink r:id="rId3794" ref="L4763"/>
    <hyperlink r:id="rId3795" ref="L4764"/>
    <hyperlink r:id="rId3796" ref="L4765"/>
    <hyperlink r:id="rId3797" ref="L4766"/>
    <hyperlink r:id="rId3798" ref="L4767"/>
    <hyperlink r:id="rId3799" ref="L4768"/>
    <hyperlink r:id="rId3800" ref="L4769"/>
    <hyperlink r:id="rId3801" ref="L4770"/>
    <hyperlink r:id="rId3802" ref="L4771"/>
    <hyperlink r:id="rId3803" ref="L4772"/>
    <hyperlink r:id="rId3804" ref="L4773"/>
    <hyperlink r:id="rId3805" ref="L4774"/>
    <hyperlink r:id="rId3806" ref="L4775"/>
    <hyperlink r:id="rId3807" ref="L4776"/>
    <hyperlink r:id="rId3808" ref="L4777"/>
    <hyperlink r:id="rId3809" ref="L4778"/>
    <hyperlink r:id="rId3810" ref="L4779"/>
    <hyperlink r:id="rId3811" ref="L4780"/>
    <hyperlink r:id="rId3812" ref="L4781"/>
    <hyperlink r:id="rId3813" ref="L4782"/>
    <hyperlink r:id="rId3814" ref="L4783"/>
    <hyperlink r:id="rId3815" ref="L4784"/>
    <hyperlink r:id="rId3816" ref="L4785"/>
    <hyperlink r:id="rId3817" ref="L4786"/>
    <hyperlink r:id="rId3818" ref="L4787"/>
    <hyperlink r:id="rId3819" ref="L4788"/>
    <hyperlink r:id="rId3820" ref="L4789"/>
    <hyperlink r:id="rId3821" ref="L4790"/>
    <hyperlink r:id="rId3822" ref="L4791"/>
    <hyperlink r:id="rId3823" ref="L4792"/>
    <hyperlink r:id="rId3824" ref="L4793"/>
    <hyperlink r:id="rId3825" ref="L4794"/>
    <hyperlink r:id="rId3826" ref="L4795"/>
    <hyperlink r:id="rId3827" ref="L4796"/>
    <hyperlink r:id="rId3828" ref="L4797"/>
    <hyperlink r:id="rId3829" ref="L4798"/>
    <hyperlink r:id="rId3830" ref="L4799"/>
    <hyperlink r:id="rId3831" ref="L4800"/>
    <hyperlink r:id="rId3832" ref="L4801"/>
    <hyperlink r:id="rId3833" ref="L4802"/>
    <hyperlink r:id="rId3834" ref="L4803"/>
    <hyperlink r:id="rId3835" ref="L4804"/>
    <hyperlink r:id="rId3836" ref="L4805"/>
    <hyperlink r:id="rId3837" ref="L4806"/>
    <hyperlink r:id="rId3838" ref="L4807"/>
    <hyperlink r:id="rId3839" ref="L4808"/>
    <hyperlink r:id="rId3840" ref="L4809"/>
    <hyperlink r:id="rId3841" ref="L4810"/>
    <hyperlink r:id="rId3842" ref="L4811"/>
    <hyperlink r:id="rId3843" ref="L4812"/>
    <hyperlink r:id="rId3844" ref="L4813"/>
    <hyperlink r:id="rId3845" ref="L4814"/>
    <hyperlink r:id="rId3846" ref="L4815"/>
    <hyperlink r:id="rId3847" ref="L4816"/>
    <hyperlink r:id="rId3848" ref="L4817"/>
    <hyperlink r:id="rId3849" ref="L4818"/>
    <hyperlink r:id="rId3850" ref="L4819"/>
    <hyperlink r:id="rId3851" ref="L4820"/>
    <hyperlink r:id="rId3852" ref="L4821"/>
    <hyperlink r:id="rId3853" ref="L4822"/>
    <hyperlink r:id="rId3854" ref="L4823"/>
    <hyperlink r:id="rId3855" ref="L4824"/>
    <hyperlink r:id="rId3856" ref="L4825"/>
    <hyperlink r:id="rId3857" ref="L4826"/>
    <hyperlink r:id="rId3858" ref="L4827"/>
    <hyperlink r:id="rId3859" ref="L4828"/>
    <hyperlink r:id="rId3860" ref="L4829"/>
    <hyperlink r:id="rId3861" ref="L4830"/>
    <hyperlink r:id="rId3862" ref="L4831"/>
    <hyperlink r:id="rId3863" ref="L4832"/>
    <hyperlink r:id="rId3864" ref="L4833"/>
    <hyperlink r:id="rId3865" ref="L4834"/>
    <hyperlink r:id="rId3866" ref="L4835"/>
    <hyperlink r:id="rId3867" ref="L4836"/>
    <hyperlink r:id="rId3868" ref="L4837"/>
    <hyperlink r:id="rId3869" ref="L4838"/>
    <hyperlink r:id="rId3870" ref="L4839"/>
    <hyperlink r:id="rId3871" ref="L4840"/>
    <hyperlink r:id="rId3872" ref="L4841"/>
    <hyperlink r:id="rId3873" ref="L4842"/>
    <hyperlink r:id="rId3874" ref="L4843"/>
    <hyperlink r:id="rId3875" ref="L4844"/>
    <hyperlink r:id="rId3876" ref="L4845"/>
    <hyperlink r:id="rId3877" ref="L4846"/>
    <hyperlink r:id="rId3878" ref="L4847"/>
    <hyperlink r:id="rId3879" ref="L4848"/>
    <hyperlink r:id="rId3880" ref="L4849"/>
    <hyperlink r:id="rId3881" ref="L4850"/>
    <hyperlink r:id="rId3882" ref="L4851"/>
    <hyperlink r:id="rId3883" ref="L4852"/>
    <hyperlink r:id="rId3884" ref="L4853"/>
    <hyperlink r:id="rId3885" ref="L4854"/>
    <hyperlink r:id="rId3886" ref="L4855"/>
    <hyperlink r:id="rId3887" ref="L4856"/>
    <hyperlink r:id="rId3888" ref="L4857"/>
    <hyperlink r:id="rId3889" ref="L4858"/>
    <hyperlink r:id="rId3890" ref="L4859"/>
    <hyperlink r:id="rId3891" ref="L4860"/>
    <hyperlink r:id="rId3892" ref="L4861"/>
    <hyperlink r:id="rId3893" ref="L4862"/>
    <hyperlink r:id="rId3894" ref="L4863"/>
    <hyperlink r:id="rId3895" ref="L4864"/>
    <hyperlink r:id="rId3896" ref="L4865"/>
    <hyperlink r:id="rId3897" ref="L4866"/>
    <hyperlink r:id="rId3898" ref="L4867"/>
    <hyperlink r:id="rId3899" ref="L4868"/>
    <hyperlink r:id="rId3900" ref="L4869"/>
    <hyperlink r:id="rId3901" ref="L4870"/>
    <hyperlink r:id="rId3902" ref="L4871"/>
    <hyperlink r:id="rId3903" ref="L4872"/>
    <hyperlink r:id="rId3904" ref="L4873"/>
    <hyperlink r:id="rId3905" ref="L4874"/>
    <hyperlink r:id="rId3906" ref="L4875"/>
    <hyperlink r:id="rId3907" ref="L4876"/>
    <hyperlink r:id="rId3908" ref="L4877"/>
    <hyperlink r:id="rId3909" ref="L4878"/>
    <hyperlink r:id="rId3910" ref="L4879"/>
    <hyperlink r:id="rId3911" ref="L4880"/>
    <hyperlink r:id="rId3912" ref="L4881"/>
    <hyperlink r:id="rId3913" ref="L4882"/>
    <hyperlink r:id="rId3914" ref="L4883"/>
    <hyperlink r:id="rId3915" ref="L4884"/>
    <hyperlink r:id="rId3916" ref="L4885"/>
    <hyperlink r:id="rId3917" ref="L4886"/>
    <hyperlink r:id="rId3918" ref="L4887"/>
    <hyperlink r:id="rId3919" ref="L4888"/>
    <hyperlink r:id="rId3920" ref="L4889"/>
    <hyperlink r:id="rId3921" ref="L4890"/>
    <hyperlink r:id="rId3922" ref="L4891"/>
    <hyperlink r:id="rId3923" ref="L4892"/>
    <hyperlink r:id="rId3924" ref="L4893"/>
    <hyperlink r:id="rId3925" ref="L4894"/>
    <hyperlink r:id="rId3926" ref="L4895"/>
    <hyperlink r:id="rId3927" ref="L4896"/>
    <hyperlink r:id="rId3928" ref="L4897"/>
    <hyperlink r:id="rId3929" ref="L4898"/>
    <hyperlink r:id="rId3930" ref="L4899"/>
    <hyperlink r:id="rId3931" ref="L4900"/>
    <hyperlink r:id="rId3932" ref="L4901"/>
    <hyperlink r:id="rId3933" ref="L4902"/>
    <hyperlink r:id="rId3934" ref="L4903"/>
    <hyperlink r:id="rId3935" ref="L4904"/>
    <hyperlink r:id="rId3936" ref="L4905"/>
    <hyperlink r:id="rId3937" ref="L4906"/>
    <hyperlink r:id="rId3938" ref="L4907"/>
    <hyperlink r:id="rId3939" ref="L4908"/>
    <hyperlink r:id="rId3940" ref="L4909"/>
    <hyperlink r:id="rId3941" ref="L4910"/>
    <hyperlink r:id="rId3942" ref="L4911"/>
    <hyperlink r:id="rId3943" ref="L4912"/>
    <hyperlink r:id="rId3944" ref="L4913"/>
    <hyperlink r:id="rId3945" ref="L4914"/>
    <hyperlink r:id="rId3946" ref="L4915"/>
    <hyperlink r:id="rId3947" ref="L4916"/>
    <hyperlink r:id="rId3948" ref="L4917"/>
    <hyperlink r:id="rId3949" ref="L4918"/>
    <hyperlink r:id="rId3950" ref="L4919"/>
    <hyperlink r:id="rId3951" ref="L4920"/>
    <hyperlink r:id="rId3952" ref="L4921"/>
    <hyperlink r:id="rId3953" ref="L4922"/>
    <hyperlink r:id="rId3954" ref="L4923"/>
    <hyperlink r:id="rId3955" ref="L4924"/>
    <hyperlink r:id="rId3956" ref="L4925"/>
    <hyperlink r:id="rId3957" ref="L4926"/>
    <hyperlink r:id="rId3958" ref="L4927"/>
    <hyperlink r:id="rId3959" ref="L4928"/>
    <hyperlink r:id="rId3960" ref="L4929"/>
    <hyperlink r:id="rId3961" ref="L4930"/>
    <hyperlink r:id="rId3962" ref="L4931"/>
    <hyperlink r:id="rId3963" ref="L4932"/>
    <hyperlink r:id="rId3964" ref="L4933"/>
    <hyperlink r:id="rId3965" ref="L4934"/>
    <hyperlink r:id="rId3966" ref="L4935"/>
    <hyperlink r:id="rId3967" ref="L4936"/>
    <hyperlink r:id="rId3968" ref="L4937"/>
    <hyperlink r:id="rId3969" ref="L4938"/>
    <hyperlink r:id="rId3970" ref="L4939"/>
    <hyperlink r:id="rId3971" ref="L4940"/>
    <hyperlink r:id="rId3972" ref="L4941"/>
    <hyperlink r:id="rId3973" ref="L4942"/>
    <hyperlink r:id="rId3974" ref="L4943"/>
    <hyperlink r:id="rId3975" ref="L4944"/>
    <hyperlink r:id="rId3976" ref="L4945"/>
    <hyperlink r:id="rId3977" ref="L4946"/>
    <hyperlink r:id="rId3978" ref="L4947"/>
    <hyperlink r:id="rId3979" ref="L4948"/>
    <hyperlink r:id="rId3980" ref="L4949"/>
    <hyperlink r:id="rId3981" ref="L4950"/>
    <hyperlink r:id="rId3982" ref="L4951"/>
    <hyperlink r:id="rId3983" ref="L4952"/>
    <hyperlink r:id="rId3984" ref="L4953"/>
    <hyperlink r:id="rId3985" ref="L4954"/>
    <hyperlink r:id="rId3986" ref="L4955"/>
    <hyperlink r:id="rId3987" ref="L4956"/>
    <hyperlink r:id="rId3988" ref="L4957"/>
    <hyperlink r:id="rId3989" ref="L4958"/>
    <hyperlink r:id="rId3990" ref="L4959"/>
    <hyperlink r:id="rId3991" ref="L4960"/>
    <hyperlink r:id="rId3992" ref="L4961"/>
    <hyperlink r:id="rId3993" ref="L4962"/>
    <hyperlink r:id="rId3994" ref="L4963"/>
    <hyperlink r:id="rId3995" ref="L4964"/>
    <hyperlink r:id="rId3996" ref="L4965"/>
    <hyperlink r:id="rId3997" ref="L4966"/>
    <hyperlink r:id="rId3998" ref="L4967"/>
    <hyperlink r:id="rId3999" ref="L4968"/>
    <hyperlink r:id="rId4000" ref="L4969"/>
    <hyperlink r:id="rId4001" ref="L4970"/>
    <hyperlink r:id="rId4002" ref="L4971"/>
    <hyperlink r:id="rId4003" ref="L4972"/>
    <hyperlink r:id="rId4004" ref="L4973"/>
    <hyperlink r:id="rId4005" ref="L4974"/>
    <hyperlink r:id="rId4006" ref="L4975"/>
    <hyperlink r:id="rId4007" ref="L4976"/>
    <hyperlink r:id="rId4008" ref="L4977"/>
    <hyperlink r:id="rId4009" ref="L4978"/>
    <hyperlink r:id="rId4010" ref="L4979"/>
    <hyperlink r:id="rId4011" ref="L4980"/>
    <hyperlink r:id="rId4012" ref="L4981"/>
    <hyperlink r:id="rId4013" ref="L4982"/>
    <hyperlink r:id="rId4014" ref="L4983"/>
    <hyperlink r:id="rId4015" ref="L4984"/>
    <hyperlink r:id="rId4016" ref="L4985"/>
    <hyperlink r:id="rId4017" ref="L4986"/>
    <hyperlink r:id="rId4018" ref="L4987"/>
    <hyperlink r:id="rId4019" ref="L4988"/>
    <hyperlink r:id="rId4020" ref="L4989"/>
    <hyperlink r:id="rId4021" ref="L4990"/>
    <hyperlink r:id="rId4022" ref="L4991"/>
    <hyperlink r:id="rId4023" ref="L4992"/>
    <hyperlink r:id="rId4024" ref="L4993"/>
    <hyperlink r:id="rId4025" ref="L4994"/>
    <hyperlink r:id="rId4026" ref="L4995"/>
    <hyperlink r:id="rId4027" ref="L4996"/>
    <hyperlink r:id="rId4028" ref="L4997"/>
    <hyperlink r:id="rId4029" ref="L4998"/>
    <hyperlink r:id="rId4030" ref="L4999"/>
    <hyperlink r:id="rId4031" ref="L5000"/>
    <hyperlink r:id="rId4032" ref="L5001"/>
    <hyperlink r:id="rId4033" ref="L5002"/>
    <hyperlink r:id="rId4034" ref="L5003"/>
    <hyperlink r:id="rId4035" ref="L5004"/>
    <hyperlink r:id="rId4036" ref="L5005"/>
    <hyperlink r:id="rId4037" ref="L5006"/>
    <hyperlink r:id="rId4038" ref="L5007"/>
    <hyperlink r:id="rId4039" ref="L5008"/>
    <hyperlink r:id="rId4040" ref="L5009"/>
    <hyperlink r:id="rId4041" ref="L5010"/>
    <hyperlink r:id="rId4042" ref="L5011"/>
    <hyperlink r:id="rId4043" ref="L5012"/>
    <hyperlink r:id="rId4044" ref="L5013"/>
    <hyperlink r:id="rId4045" ref="L5014"/>
    <hyperlink r:id="rId4046" ref="L5015"/>
    <hyperlink r:id="rId4047" ref="L5016"/>
    <hyperlink r:id="rId4048" ref="L5017"/>
    <hyperlink r:id="rId4049" ref="L5018"/>
    <hyperlink r:id="rId4050" ref="L5019"/>
    <hyperlink r:id="rId4051" ref="L5020"/>
    <hyperlink r:id="rId4052" ref="L5021"/>
    <hyperlink r:id="rId4053" ref="L5022"/>
    <hyperlink r:id="rId4054" ref="L5023"/>
    <hyperlink r:id="rId4055" ref="L5024"/>
    <hyperlink r:id="rId4056" ref="L5025"/>
    <hyperlink r:id="rId4057" ref="L5026"/>
    <hyperlink r:id="rId4058" ref="L5027"/>
    <hyperlink r:id="rId4059" ref="L5028"/>
    <hyperlink r:id="rId4060" ref="L5029"/>
    <hyperlink r:id="rId4061" ref="L5030"/>
    <hyperlink r:id="rId4062" ref="L5031"/>
    <hyperlink r:id="rId4063" ref="L5032"/>
    <hyperlink r:id="rId4064" ref="L5033"/>
    <hyperlink r:id="rId4065" ref="L5034"/>
    <hyperlink r:id="rId4066" ref="L5035"/>
    <hyperlink r:id="rId4067" ref="L5036"/>
    <hyperlink r:id="rId4068" ref="L5037"/>
    <hyperlink r:id="rId4069" ref="L5038"/>
    <hyperlink r:id="rId4070" ref="L5039"/>
    <hyperlink r:id="rId4071" ref="L5040"/>
    <hyperlink r:id="rId4072" ref="L5041"/>
    <hyperlink r:id="rId4073" ref="L5042"/>
    <hyperlink r:id="rId4074" ref="L5043"/>
    <hyperlink r:id="rId4075" ref="L5044"/>
    <hyperlink r:id="rId4076" ref="L5045"/>
    <hyperlink r:id="rId4077" ref="L5046"/>
    <hyperlink r:id="rId4078" ref="L5047"/>
    <hyperlink r:id="rId4079" ref="L5048"/>
    <hyperlink r:id="rId4080" ref="L5049"/>
    <hyperlink r:id="rId4081" ref="L5050"/>
    <hyperlink r:id="rId4082" ref="L5051"/>
    <hyperlink r:id="rId4083" ref="L5052"/>
    <hyperlink r:id="rId4084" ref="L5053"/>
    <hyperlink r:id="rId4085" ref="L5054"/>
    <hyperlink r:id="rId4086" ref="L5055"/>
    <hyperlink r:id="rId4087" ref="L5056"/>
    <hyperlink r:id="rId4088" ref="L5057"/>
    <hyperlink r:id="rId4089" ref="L5058"/>
    <hyperlink r:id="rId4090" ref="L5059"/>
    <hyperlink r:id="rId4091" ref="L5060"/>
    <hyperlink r:id="rId4092" ref="L5061"/>
    <hyperlink r:id="rId4093" ref="L5062"/>
    <hyperlink r:id="rId4094" ref="L5063"/>
    <hyperlink r:id="rId4095" ref="L5064"/>
    <hyperlink r:id="rId4096" ref="L5065"/>
    <hyperlink r:id="rId4097" ref="L5066"/>
    <hyperlink r:id="rId4098" ref="L5067"/>
    <hyperlink r:id="rId4099" ref="L5068"/>
    <hyperlink r:id="rId4100" ref="L5069"/>
    <hyperlink r:id="rId4101" ref="L5070"/>
    <hyperlink r:id="rId4102" ref="L5071"/>
    <hyperlink r:id="rId4103" ref="L5072"/>
    <hyperlink r:id="rId4104" ref="L5073"/>
    <hyperlink r:id="rId4105" ref="L5074"/>
    <hyperlink r:id="rId4106" ref="L5075"/>
    <hyperlink r:id="rId4107" ref="L5076"/>
    <hyperlink r:id="rId4108" ref="L5077"/>
    <hyperlink r:id="rId4109" ref="L5078"/>
    <hyperlink r:id="rId4110" ref="L5079"/>
    <hyperlink r:id="rId4111" ref="L5080"/>
    <hyperlink r:id="rId4112" ref="L5081"/>
    <hyperlink r:id="rId4113" ref="L5082"/>
    <hyperlink r:id="rId4114" ref="L5083"/>
    <hyperlink r:id="rId4115" ref="L5084"/>
    <hyperlink r:id="rId4116" ref="L5085"/>
    <hyperlink r:id="rId4117" ref="L5086"/>
    <hyperlink r:id="rId4118" ref="L5087"/>
    <hyperlink r:id="rId4119" ref="L5088"/>
    <hyperlink r:id="rId4120" ref="L5089"/>
    <hyperlink r:id="rId4121" ref="L5090"/>
    <hyperlink r:id="rId4122" ref="L5091"/>
    <hyperlink r:id="rId4123" ref="L5092"/>
    <hyperlink r:id="rId4124" ref="L5093"/>
    <hyperlink r:id="rId4125" ref="L5094"/>
    <hyperlink r:id="rId4126" ref="L5095"/>
    <hyperlink r:id="rId4127" ref="L5096"/>
    <hyperlink r:id="rId4128" ref="L5097"/>
    <hyperlink r:id="rId4129" ref="L5098"/>
    <hyperlink r:id="rId4130" ref="L5099"/>
    <hyperlink r:id="rId4131" ref="L5100"/>
    <hyperlink r:id="rId4132" ref="L5101"/>
    <hyperlink r:id="rId4133" ref="L5102"/>
    <hyperlink r:id="rId4134" ref="L5103"/>
    <hyperlink r:id="rId4135" ref="L5104"/>
    <hyperlink r:id="rId4136" ref="L5105"/>
    <hyperlink r:id="rId4137" ref="L5106"/>
    <hyperlink r:id="rId4138" ref="L5107"/>
    <hyperlink r:id="rId4139" ref="L5108"/>
    <hyperlink r:id="rId4140" ref="L5109"/>
    <hyperlink r:id="rId4141" ref="L5110"/>
    <hyperlink r:id="rId4142" ref="L5111"/>
    <hyperlink r:id="rId4143" ref="L5112"/>
    <hyperlink r:id="rId4144" ref="L5113"/>
    <hyperlink r:id="rId4145" ref="L5114"/>
    <hyperlink r:id="rId4146" ref="L5115"/>
    <hyperlink r:id="rId4147" ref="L5116"/>
    <hyperlink r:id="rId4148" ref="L5117"/>
    <hyperlink r:id="rId4149" ref="L5118"/>
    <hyperlink r:id="rId4150" ref="L5119"/>
    <hyperlink r:id="rId4151" ref="L5120"/>
    <hyperlink r:id="rId4152" ref="L5121"/>
    <hyperlink r:id="rId4153" ref="L5122"/>
    <hyperlink r:id="rId4154" ref="L5123"/>
    <hyperlink r:id="rId4155" ref="L5124"/>
    <hyperlink r:id="rId4156" ref="L5125"/>
    <hyperlink r:id="rId4157" ref="L5126"/>
    <hyperlink r:id="rId4158" ref="L5127"/>
    <hyperlink r:id="rId4159" ref="L5128"/>
    <hyperlink r:id="rId4160" ref="L5129"/>
    <hyperlink r:id="rId4161" ref="L5130"/>
    <hyperlink r:id="rId4162" ref="L5131"/>
    <hyperlink r:id="rId4163" ref="L5132"/>
    <hyperlink r:id="rId4164" ref="L5133"/>
    <hyperlink r:id="rId4165" ref="L5134"/>
    <hyperlink r:id="rId4166" ref="L5135"/>
    <hyperlink r:id="rId4167" ref="L5136"/>
    <hyperlink r:id="rId4168" ref="L5137"/>
    <hyperlink r:id="rId4169" ref="L5138"/>
    <hyperlink r:id="rId4170" ref="L5139"/>
    <hyperlink r:id="rId4171" ref="L5140"/>
    <hyperlink r:id="rId4172" ref="L5141"/>
    <hyperlink r:id="rId4173" ref="L5142"/>
    <hyperlink r:id="rId4174" ref="L5143"/>
    <hyperlink r:id="rId4175" ref="L5144"/>
    <hyperlink r:id="rId4176" ref="L5145"/>
    <hyperlink r:id="rId4177" ref="L5146"/>
    <hyperlink r:id="rId4178" ref="L5147"/>
    <hyperlink r:id="rId4179" ref="L5148"/>
    <hyperlink r:id="rId4180" ref="L5149"/>
    <hyperlink r:id="rId4181" ref="L5150"/>
    <hyperlink r:id="rId4182" ref="L5151"/>
    <hyperlink r:id="rId4183" ref="L5152"/>
    <hyperlink r:id="rId4184" ref="L5153"/>
    <hyperlink r:id="rId4185" ref="L5154"/>
    <hyperlink r:id="rId4186" ref="L5155"/>
    <hyperlink r:id="rId4187" ref="L5156"/>
    <hyperlink r:id="rId4188" ref="L5157"/>
    <hyperlink r:id="rId4189" ref="L5158"/>
    <hyperlink r:id="rId4190" ref="L5159"/>
    <hyperlink r:id="rId4191" ref="L5160"/>
    <hyperlink r:id="rId4192" ref="L5161"/>
    <hyperlink r:id="rId4193" ref="L5162"/>
    <hyperlink r:id="rId4194" ref="L5163"/>
    <hyperlink r:id="rId4195" ref="L5164"/>
    <hyperlink r:id="rId4196" ref="L5165"/>
    <hyperlink r:id="rId4197" ref="L5166"/>
    <hyperlink r:id="rId4198" ref="L5167"/>
    <hyperlink r:id="rId4199" ref="L5168"/>
    <hyperlink r:id="rId4200" ref="L5169"/>
    <hyperlink r:id="rId4201" ref="L5170"/>
    <hyperlink r:id="rId4202" ref="L5171"/>
    <hyperlink r:id="rId4203" ref="L5172"/>
    <hyperlink r:id="rId4204" ref="L5173"/>
    <hyperlink r:id="rId4205" ref="L5174"/>
    <hyperlink r:id="rId4206" ref="L5175"/>
    <hyperlink r:id="rId4207" ref="L5176"/>
    <hyperlink r:id="rId4208" ref="L5177"/>
    <hyperlink r:id="rId4209" ref="L5178"/>
    <hyperlink r:id="rId4210" ref="L5179"/>
    <hyperlink r:id="rId4211" ref="L5180"/>
    <hyperlink r:id="rId4212" ref="L5181"/>
    <hyperlink r:id="rId4213" ref="L5182"/>
    <hyperlink r:id="rId4214" ref="L5183"/>
    <hyperlink r:id="rId4215" ref="L5184"/>
    <hyperlink r:id="rId4216" ref="L5185"/>
    <hyperlink r:id="rId4217" ref="L5186"/>
    <hyperlink r:id="rId4218" ref="L5187"/>
    <hyperlink r:id="rId4219" ref="L5188"/>
    <hyperlink r:id="rId4220" ref="L5189"/>
    <hyperlink r:id="rId4221" ref="L5190"/>
    <hyperlink r:id="rId4222" ref="L5191"/>
    <hyperlink r:id="rId4223" ref="L5192"/>
    <hyperlink r:id="rId4224" ref="L5193"/>
    <hyperlink r:id="rId4225" ref="L5194"/>
    <hyperlink r:id="rId4226" ref="L5195"/>
    <hyperlink r:id="rId4227" ref="L5196"/>
    <hyperlink r:id="rId4228" ref="L5197"/>
    <hyperlink r:id="rId4229" ref="L5198"/>
    <hyperlink r:id="rId4230" ref="L5199"/>
    <hyperlink r:id="rId4231" ref="L5200"/>
    <hyperlink r:id="rId4232" ref="L5201"/>
    <hyperlink r:id="rId4233" ref="L5202"/>
    <hyperlink r:id="rId4234" ref="L5203"/>
    <hyperlink r:id="rId4235" ref="L5204"/>
    <hyperlink r:id="rId4236" ref="L5205"/>
    <hyperlink r:id="rId4237" ref="L5206"/>
    <hyperlink r:id="rId4238" ref="L5207"/>
    <hyperlink r:id="rId4239" ref="L5208"/>
    <hyperlink r:id="rId4240" ref="L5209"/>
    <hyperlink r:id="rId4241" ref="L5210"/>
    <hyperlink r:id="rId4242" ref="L5211"/>
    <hyperlink r:id="rId4243" ref="L5212"/>
    <hyperlink r:id="rId4244" ref="L5213"/>
    <hyperlink r:id="rId4245" ref="L5214"/>
    <hyperlink r:id="rId4246" ref="L5215"/>
    <hyperlink r:id="rId4247" ref="L5216"/>
    <hyperlink r:id="rId4248" ref="L5217"/>
    <hyperlink r:id="rId4249" ref="L5218"/>
    <hyperlink r:id="rId4250" ref="L5219"/>
    <hyperlink r:id="rId4251" ref="L5220"/>
    <hyperlink r:id="rId4252" ref="L5221"/>
    <hyperlink r:id="rId4253" ref="L5222"/>
    <hyperlink r:id="rId4254" ref="L5223"/>
    <hyperlink r:id="rId4255" ref="L5224"/>
    <hyperlink r:id="rId4256" ref="L5225"/>
    <hyperlink r:id="rId4257" ref="L5226"/>
    <hyperlink r:id="rId4258" ref="L5227"/>
    <hyperlink r:id="rId4259" ref="L5228"/>
    <hyperlink r:id="rId4260" ref="L5229"/>
    <hyperlink r:id="rId4261" ref="L5230"/>
    <hyperlink r:id="rId4262" ref="L5231"/>
    <hyperlink r:id="rId4263" ref="L5232"/>
    <hyperlink r:id="rId4264" ref="L5233"/>
    <hyperlink r:id="rId4265" ref="L5234"/>
    <hyperlink r:id="rId4266" ref="L5235"/>
    <hyperlink r:id="rId4267" ref="L5236"/>
    <hyperlink r:id="rId4268" ref="L5237"/>
    <hyperlink r:id="rId4269" ref="L5238"/>
    <hyperlink r:id="rId4270" ref="L5239"/>
    <hyperlink r:id="rId4271" ref="L5240"/>
    <hyperlink r:id="rId4272" ref="L5241"/>
    <hyperlink r:id="rId4273" ref="L5242"/>
    <hyperlink r:id="rId4274" ref="L5243"/>
    <hyperlink r:id="rId4275" ref="L5244"/>
    <hyperlink r:id="rId4276" ref="L5245"/>
    <hyperlink r:id="rId4277" ref="L5246"/>
    <hyperlink r:id="rId4278" ref="L5247"/>
    <hyperlink r:id="rId4279" ref="L5248"/>
    <hyperlink r:id="rId4280" ref="L5249"/>
    <hyperlink r:id="rId4281" ref="L5250"/>
    <hyperlink r:id="rId4282" ref="L5251"/>
    <hyperlink r:id="rId4283" ref="L5252"/>
    <hyperlink r:id="rId4284" ref="L5253"/>
    <hyperlink r:id="rId4285" ref="L5254"/>
    <hyperlink r:id="rId4286" ref="L5255"/>
    <hyperlink r:id="rId4287" ref="L5256"/>
    <hyperlink r:id="rId4288" ref="L5257"/>
    <hyperlink r:id="rId4289" ref="L5258"/>
    <hyperlink r:id="rId4290" ref="L5259"/>
    <hyperlink r:id="rId4291" ref="L5260"/>
    <hyperlink r:id="rId4292" ref="L5261"/>
    <hyperlink r:id="rId4293" ref="L5262"/>
    <hyperlink r:id="rId4294" ref="L5263"/>
    <hyperlink r:id="rId4295" ref="L5264"/>
    <hyperlink r:id="rId4296" ref="L5265"/>
    <hyperlink r:id="rId4297" ref="L5266"/>
    <hyperlink r:id="rId4298" ref="L5267"/>
    <hyperlink r:id="rId4299" ref="L5268"/>
    <hyperlink r:id="rId4300" ref="L5269"/>
    <hyperlink r:id="rId4301" ref="L5270"/>
    <hyperlink r:id="rId4302" ref="L5271"/>
    <hyperlink r:id="rId4303" ref="L5272"/>
    <hyperlink r:id="rId4304" ref="L5273"/>
    <hyperlink r:id="rId4305" ref="L5274"/>
    <hyperlink r:id="rId4306" ref="L5275"/>
    <hyperlink r:id="rId4307" ref="L5276"/>
    <hyperlink r:id="rId4308" ref="L5277"/>
    <hyperlink r:id="rId4309" ref="L5278"/>
    <hyperlink r:id="rId4310" ref="L5279"/>
    <hyperlink r:id="rId4311" ref="L5280"/>
    <hyperlink r:id="rId4312" ref="L5281"/>
    <hyperlink r:id="rId4313" ref="L5282"/>
    <hyperlink r:id="rId4314" ref="L5283"/>
    <hyperlink r:id="rId4315" ref="L5284"/>
    <hyperlink r:id="rId4316" ref="L5285"/>
    <hyperlink r:id="rId4317" ref="L5286"/>
    <hyperlink r:id="rId4318" ref="L5287"/>
    <hyperlink r:id="rId4319" ref="L5288"/>
    <hyperlink r:id="rId4320" ref="L5289"/>
    <hyperlink r:id="rId4321" ref="L5290"/>
    <hyperlink r:id="rId4322" ref="L5291"/>
    <hyperlink r:id="rId4323" ref="L5292"/>
    <hyperlink r:id="rId4324" ref="L5293"/>
    <hyperlink r:id="rId4325" ref="L5294"/>
    <hyperlink r:id="rId4326" ref="L5295"/>
    <hyperlink r:id="rId4327" ref="L5296"/>
    <hyperlink r:id="rId4328" ref="L5297"/>
    <hyperlink r:id="rId4329" ref="L5298"/>
    <hyperlink r:id="rId4330" ref="L5299"/>
    <hyperlink r:id="rId4331" ref="L5300"/>
    <hyperlink r:id="rId4332" ref="L5301"/>
    <hyperlink r:id="rId4333" ref="L5302"/>
    <hyperlink r:id="rId4334" ref="L5303"/>
    <hyperlink r:id="rId4335" ref="L5304"/>
    <hyperlink r:id="rId4336" ref="L5305"/>
    <hyperlink r:id="rId4337" ref="L5306"/>
    <hyperlink r:id="rId4338" ref="L5307"/>
    <hyperlink r:id="rId4339" ref="L5308"/>
    <hyperlink r:id="rId4340" ref="L5309"/>
    <hyperlink r:id="rId4341" ref="L5310"/>
    <hyperlink r:id="rId4342" ref="L5311"/>
    <hyperlink r:id="rId4343" ref="L5312"/>
    <hyperlink r:id="rId4344" ref="L5313"/>
    <hyperlink r:id="rId4345" ref="L5314"/>
    <hyperlink r:id="rId4346" ref="L5315"/>
    <hyperlink r:id="rId4347" ref="L5316"/>
    <hyperlink r:id="rId4348" ref="L5317"/>
    <hyperlink r:id="rId4349" ref="L5318"/>
    <hyperlink r:id="rId4350" ref="L5319"/>
    <hyperlink r:id="rId4351" ref="L5320"/>
    <hyperlink r:id="rId4352" ref="L5321"/>
    <hyperlink r:id="rId4353" ref="L5322"/>
    <hyperlink r:id="rId4354" ref="L5323"/>
    <hyperlink r:id="rId4355" ref="L5324"/>
    <hyperlink r:id="rId4356" ref="L5325"/>
    <hyperlink r:id="rId4357" ref="L5326"/>
    <hyperlink r:id="rId4358" ref="L5327"/>
    <hyperlink r:id="rId4359" ref="L5328"/>
    <hyperlink r:id="rId4360" ref="L5329"/>
    <hyperlink r:id="rId4361" ref="L5330"/>
    <hyperlink r:id="rId4362" ref="L5331"/>
    <hyperlink r:id="rId4363" ref="L5332"/>
    <hyperlink r:id="rId4364" ref="L5333"/>
    <hyperlink r:id="rId4365" ref="L5334"/>
    <hyperlink r:id="rId4366" ref="L5335"/>
    <hyperlink r:id="rId4367" ref="L5336"/>
    <hyperlink r:id="rId4368" ref="L5337"/>
    <hyperlink r:id="rId4369" ref="L5338"/>
    <hyperlink r:id="rId4370" ref="L5339"/>
    <hyperlink r:id="rId4371" ref="L5340"/>
    <hyperlink r:id="rId4372" ref="L5341"/>
    <hyperlink r:id="rId4373" ref="L5342"/>
    <hyperlink r:id="rId4374" ref="L5343"/>
    <hyperlink r:id="rId4375" ref="L5344"/>
    <hyperlink r:id="rId4376" ref="L5345"/>
    <hyperlink r:id="rId4377" ref="L5346"/>
    <hyperlink r:id="rId4378" ref="L5347"/>
    <hyperlink r:id="rId4379" ref="L5348"/>
    <hyperlink r:id="rId4380" ref="L5349"/>
    <hyperlink r:id="rId4381" ref="L5350"/>
    <hyperlink r:id="rId4382" ref="L5351"/>
    <hyperlink r:id="rId4383" ref="L5352"/>
    <hyperlink r:id="rId4384" ref="L5353"/>
    <hyperlink r:id="rId4385" ref="L5354"/>
    <hyperlink r:id="rId4386" ref="L5355"/>
    <hyperlink r:id="rId4387" ref="L5356"/>
    <hyperlink r:id="rId4388" ref="L5357"/>
    <hyperlink r:id="rId4389" ref="L5358"/>
    <hyperlink r:id="rId4390" ref="L5359"/>
    <hyperlink r:id="rId4391" ref="L5360"/>
    <hyperlink r:id="rId4392" ref="L5361"/>
    <hyperlink r:id="rId4393" ref="L5362"/>
    <hyperlink r:id="rId4394" ref="L5363"/>
    <hyperlink r:id="rId4395" ref="L5364"/>
    <hyperlink r:id="rId4396" ref="L5365"/>
    <hyperlink r:id="rId4397" ref="L5366"/>
    <hyperlink r:id="rId4398" ref="L5367"/>
    <hyperlink r:id="rId4399" ref="L5368"/>
    <hyperlink r:id="rId4400" ref="L5369"/>
    <hyperlink r:id="rId4401" ref="L5370"/>
    <hyperlink r:id="rId4402" ref="L5371"/>
    <hyperlink r:id="rId4403" ref="L5372"/>
    <hyperlink r:id="rId4404" ref="L5373"/>
    <hyperlink r:id="rId4405" ref="L5374"/>
    <hyperlink r:id="rId4406" ref="L5375"/>
    <hyperlink r:id="rId4407" ref="L5376"/>
    <hyperlink r:id="rId4408" ref="L5377"/>
    <hyperlink r:id="rId4409" ref="L5378"/>
    <hyperlink r:id="rId4410" ref="L5379"/>
    <hyperlink r:id="rId4411" ref="L5380"/>
    <hyperlink r:id="rId4412" ref="L5381"/>
    <hyperlink r:id="rId4413" ref="L5382"/>
    <hyperlink r:id="rId4414" ref="L5383"/>
    <hyperlink r:id="rId4415" ref="L5384"/>
    <hyperlink r:id="rId4416" ref="L5385"/>
    <hyperlink r:id="rId4417" ref="L5386"/>
    <hyperlink r:id="rId4418" ref="L5387"/>
    <hyperlink r:id="rId4419" ref="L5388"/>
    <hyperlink r:id="rId4420" ref="L5389"/>
    <hyperlink r:id="rId4421" ref="L5390"/>
    <hyperlink r:id="rId4422" ref="L5391"/>
    <hyperlink r:id="rId4423" ref="L5392"/>
    <hyperlink r:id="rId4424" ref="L5393"/>
    <hyperlink r:id="rId4425" ref="L5394"/>
    <hyperlink r:id="rId4426" ref="L5395"/>
    <hyperlink r:id="rId4427" ref="L5396"/>
    <hyperlink r:id="rId4428" ref="L5397"/>
    <hyperlink r:id="rId4429" ref="L5398"/>
    <hyperlink r:id="rId4430" ref="L5399"/>
    <hyperlink r:id="rId4431" ref="L5400"/>
    <hyperlink r:id="rId4432" ref="L5401"/>
    <hyperlink r:id="rId4433" ref="L5402"/>
    <hyperlink r:id="rId4434" ref="L5403"/>
    <hyperlink r:id="rId4435" ref="L5404"/>
    <hyperlink r:id="rId4436" ref="L5405"/>
    <hyperlink r:id="rId4437" ref="L5406"/>
    <hyperlink r:id="rId4438" ref="L5407"/>
    <hyperlink r:id="rId4439" ref="L5408"/>
    <hyperlink r:id="rId4440" ref="L5409"/>
    <hyperlink r:id="rId4441" ref="L5410"/>
    <hyperlink r:id="rId4442" ref="L5411"/>
    <hyperlink r:id="rId4443" ref="L5412"/>
    <hyperlink r:id="rId4444" ref="L5413"/>
    <hyperlink r:id="rId4445" ref="L5414"/>
    <hyperlink r:id="rId4446" ref="L5415"/>
    <hyperlink r:id="rId4447" ref="L5416"/>
    <hyperlink r:id="rId4448" ref="L5417"/>
    <hyperlink r:id="rId4449" ref="L5418"/>
    <hyperlink r:id="rId4450" ref="L5419"/>
    <hyperlink r:id="rId4451" ref="L5420"/>
    <hyperlink r:id="rId4452" ref="L5421"/>
    <hyperlink r:id="rId4453" ref="L5422"/>
    <hyperlink r:id="rId4454" ref="L5423"/>
    <hyperlink r:id="rId4455" ref="L5424"/>
    <hyperlink r:id="rId4456" ref="L5425"/>
    <hyperlink r:id="rId4457" ref="L5426"/>
    <hyperlink r:id="rId4458" ref="L5427"/>
    <hyperlink r:id="rId4459" ref="L5428"/>
    <hyperlink r:id="rId4460" ref="L5429"/>
    <hyperlink r:id="rId4461" ref="L5430"/>
    <hyperlink r:id="rId4462" ref="L5431"/>
    <hyperlink r:id="rId4463" ref="L5432"/>
    <hyperlink r:id="rId4464" ref="L5433"/>
    <hyperlink r:id="rId4465" ref="L5434"/>
    <hyperlink r:id="rId4466" ref="L5435"/>
    <hyperlink r:id="rId4467" ref="L5436"/>
    <hyperlink r:id="rId4468" ref="L5437"/>
    <hyperlink r:id="rId4469" ref="L5438"/>
    <hyperlink r:id="rId4470" ref="L5439"/>
    <hyperlink r:id="rId4471" ref="L5440"/>
    <hyperlink r:id="rId4472" ref="L5441"/>
    <hyperlink r:id="rId4473" ref="L5442"/>
    <hyperlink r:id="rId4474" ref="L5443"/>
    <hyperlink r:id="rId4475" ref="L5444"/>
    <hyperlink r:id="rId4476" ref="L5445"/>
    <hyperlink r:id="rId4477" ref="L5446"/>
    <hyperlink r:id="rId4478" ref="L5447"/>
    <hyperlink r:id="rId4479" ref="L5448"/>
    <hyperlink r:id="rId4480" ref="L5449"/>
    <hyperlink r:id="rId4481" ref="L5450"/>
    <hyperlink r:id="rId4482" ref="L5451"/>
    <hyperlink r:id="rId4483" ref="L5452"/>
    <hyperlink r:id="rId4484" ref="L5453"/>
    <hyperlink r:id="rId4485" ref="L5454"/>
    <hyperlink r:id="rId4486" ref="L5455"/>
    <hyperlink r:id="rId4487" ref="L5456"/>
    <hyperlink r:id="rId4488" ref="L5457"/>
    <hyperlink r:id="rId4489" ref="L5458"/>
    <hyperlink r:id="rId4490" ref="L5459"/>
    <hyperlink r:id="rId4491" ref="L5460"/>
    <hyperlink r:id="rId4492" ref="L5461"/>
    <hyperlink r:id="rId4493" ref="L5462"/>
    <hyperlink r:id="rId4494" ref="L5463"/>
    <hyperlink r:id="rId4495" ref="L5464"/>
    <hyperlink r:id="rId4496" ref="L5465"/>
    <hyperlink r:id="rId4497" ref="L5466"/>
    <hyperlink r:id="rId4498" ref="L5467"/>
    <hyperlink r:id="rId4499" ref="L5468"/>
    <hyperlink r:id="rId4500" ref="L5469"/>
    <hyperlink r:id="rId4501" ref="L5470"/>
    <hyperlink r:id="rId4502" ref="L5471"/>
    <hyperlink r:id="rId4503" ref="L5472"/>
    <hyperlink r:id="rId4504" ref="L5473"/>
    <hyperlink r:id="rId4505" ref="L5474"/>
    <hyperlink r:id="rId4506" ref="L5475"/>
    <hyperlink r:id="rId4507" ref="L5476"/>
    <hyperlink r:id="rId4508" ref="L5477"/>
    <hyperlink r:id="rId4509" ref="L5478"/>
    <hyperlink r:id="rId4510" ref="L5479"/>
    <hyperlink r:id="rId4511" ref="L5480"/>
    <hyperlink r:id="rId4512" ref="L5481"/>
    <hyperlink r:id="rId4513" ref="L5482"/>
    <hyperlink r:id="rId4514" ref="L5483"/>
    <hyperlink r:id="rId4515" ref="L5484"/>
    <hyperlink r:id="rId4516" ref="L5485"/>
    <hyperlink r:id="rId4517" ref="L5486"/>
    <hyperlink r:id="rId4518" ref="L5487"/>
    <hyperlink r:id="rId4519" ref="L5488"/>
    <hyperlink r:id="rId4520" ref="L5489"/>
    <hyperlink r:id="rId4521" ref="L5490"/>
    <hyperlink r:id="rId4522" ref="L5491"/>
    <hyperlink r:id="rId4523" ref="L5492"/>
    <hyperlink r:id="rId4524" ref="L5493"/>
    <hyperlink r:id="rId4525" ref="L5494"/>
    <hyperlink r:id="rId4526" ref="L5495"/>
    <hyperlink r:id="rId4527" ref="L5496"/>
    <hyperlink r:id="rId4528" ref="L5497"/>
    <hyperlink r:id="rId4529" ref="L5498"/>
    <hyperlink r:id="rId4530" ref="L5499"/>
    <hyperlink r:id="rId4531" ref="L5500"/>
    <hyperlink r:id="rId4532" ref="L5501"/>
    <hyperlink r:id="rId4533" ref="L5502"/>
    <hyperlink r:id="rId4534" ref="L5503"/>
    <hyperlink r:id="rId4535" ref="L5504"/>
    <hyperlink r:id="rId4536" ref="L5505"/>
    <hyperlink r:id="rId4537" ref="L5506"/>
    <hyperlink r:id="rId4538" ref="L5507"/>
    <hyperlink r:id="rId4539" ref="L5508"/>
    <hyperlink r:id="rId4540" ref="L5509"/>
    <hyperlink r:id="rId4541" ref="L5510"/>
    <hyperlink r:id="rId4542" ref="L5511"/>
    <hyperlink r:id="rId4543" ref="L5512"/>
    <hyperlink r:id="rId4544" ref="L5513"/>
    <hyperlink r:id="rId4545" ref="L5514"/>
    <hyperlink r:id="rId4546" ref="L5515"/>
    <hyperlink r:id="rId4547" ref="L5516"/>
    <hyperlink r:id="rId4548" ref="L5517"/>
    <hyperlink r:id="rId4549" ref="L5518"/>
    <hyperlink r:id="rId4550" ref="L5519"/>
    <hyperlink r:id="rId4551" ref="L5520"/>
    <hyperlink r:id="rId4552" ref="L5521"/>
    <hyperlink r:id="rId4553" ref="L5522"/>
    <hyperlink r:id="rId4554" ref="L5523"/>
    <hyperlink r:id="rId4555" ref="L5524"/>
    <hyperlink r:id="rId4556" ref="L5525"/>
    <hyperlink r:id="rId4557" ref="L5526"/>
    <hyperlink r:id="rId4558" ref="L5527"/>
    <hyperlink r:id="rId4559" ref="L5528"/>
    <hyperlink r:id="rId4560" ref="L5529"/>
    <hyperlink r:id="rId4561" ref="L5530"/>
    <hyperlink r:id="rId4562" ref="L5531"/>
    <hyperlink r:id="rId4563" ref="L5532"/>
    <hyperlink r:id="rId4564" ref="L5533"/>
    <hyperlink r:id="rId4565" ref="L5534"/>
    <hyperlink r:id="rId4566" ref="L5535"/>
    <hyperlink r:id="rId4567" ref="L5536"/>
    <hyperlink r:id="rId4568" ref="L5537"/>
    <hyperlink r:id="rId4569" ref="L5538"/>
    <hyperlink r:id="rId4570" ref="L5539"/>
    <hyperlink r:id="rId4571" ref="L5540"/>
    <hyperlink r:id="rId4572" ref="L5541"/>
    <hyperlink r:id="rId4573" ref="L5542"/>
    <hyperlink r:id="rId4574" ref="L5543"/>
    <hyperlink r:id="rId4575" ref="L5544"/>
    <hyperlink r:id="rId4576" ref="L5545"/>
    <hyperlink r:id="rId4577" ref="L5546"/>
    <hyperlink r:id="rId4578" ref="L5547"/>
    <hyperlink r:id="rId4579" ref="L5548"/>
    <hyperlink r:id="rId4580" ref="L5549"/>
    <hyperlink r:id="rId4581" ref="L5550"/>
    <hyperlink r:id="rId4582" ref="L5551"/>
    <hyperlink r:id="rId4583" ref="L5552"/>
    <hyperlink r:id="rId4584" ref="L5553"/>
    <hyperlink r:id="rId4585" ref="L5554"/>
    <hyperlink r:id="rId4586" ref="L5555"/>
    <hyperlink r:id="rId4587" ref="L5556"/>
    <hyperlink r:id="rId4588" ref="L5557"/>
    <hyperlink r:id="rId4589" ref="L5558"/>
    <hyperlink r:id="rId4590" ref="L5559"/>
    <hyperlink r:id="rId4591" ref="L5560"/>
    <hyperlink r:id="rId4592" ref="L5561"/>
    <hyperlink r:id="rId4593" ref="L5562"/>
    <hyperlink r:id="rId4594" ref="L5563"/>
    <hyperlink r:id="rId4595" ref="L5564"/>
    <hyperlink r:id="rId4596" ref="L5565"/>
    <hyperlink r:id="rId4597" ref="L5566"/>
    <hyperlink r:id="rId4598" ref="L5567"/>
    <hyperlink r:id="rId4599" ref="L5568"/>
    <hyperlink r:id="rId4600" ref="L5569"/>
    <hyperlink r:id="rId4601" ref="L5570"/>
    <hyperlink r:id="rId4602" ref="L5571"/>
    <hyperlink r:id="rId4603" ref="L5572"/>
    <hyperlink r:id="rId4604" ref="L5573"/>
    <hyperlink r:id="rId4605" ref="L5574"/>
    <hyperlink r:id="rId4606" ref="L5575"/>
    <hyperlink r:id="rId4607" ref="L5576"/>
    <hyperlink r:id="rId4608" ref="L5577"/>
    <hyperlink r:id="rId4609" ref="L5578"/>
    <hyperlink r:id="rId4610" ref="L5579"/>
    <hyperlink r:id="rId4611" ref="L5580"/>
    <hyperlink r:id="rId4612" ref="L5581"/>
    <hyperlink r:id="rId4613" ref="L5582"/>
    <hyperlink r:id="rId4614" ref="L5583"/>
    <hyperlink r:id="rId4615" ref="L5584"/>
    <hyperlink r:id="rId4616" ref="L5585"/>
    <hyperlink r:id="rId4617" ref="L5586"/>
    <hyperlink r:id="rId4618" ref="L5587"/>
    <hyperlink r:id="rId4619" ref="L5588"/>
    <hyperlink r:id="rId4620" ref="L5589"/>
    <hyperlink r:id="rId4621" ref="L5590"/>
    <hyperlink r:id="rId4622" ref="L5591"/>
    <hyperlink r:id="rId4623" ref="L5592"/>
    <hyperlink r:id="rId4624" ref="L5593"/>
    <hyperlink r:id="rId4625" ref="L5594"/>
    <hyperlink r:id="rId4626" ref="L5595"/>
    <hyperlink r:id="rId4627" ref="L5596"/>
    <hyperlink r:id="rId4628" ref="L5597"/>
    <hyperlink r:id="rId4629" ref="L5598"/>
    <hyperlink r:id="rId4630" ref="L5599"/>
    <hyperlink r:id="rId4631" ref="L5600"/>
    <hyperlink r:id="rId4632" ref="L5601"/>
    <hyperlink r:id="rId4633" ref="L5602"/>
    <hyperlink r:id="rId4634" ref="L5603"/>
    <hyperlink r:id="rId4635" ref="L5604"/>
    <hyperlink r:id="rId4636" ref="L5605"/>
    <hyperlink r:id="rId4637" ref="L5606"/>
    <hyperlink r:id="rId4638" ref="L5607"/>
    <hyperlink r:id="rId4639" ref="L5608"/>
    <hyperlink r:id="rId4640" ref="L5609"/>
    <hyperlink r:id="rId4641" ref="L5610"/>
    <hyperlink r:id="rId4642" ref="L5611"/>
    <hyperlink r:id="rId4643" ref="L5612"/>
    <hyperlink r:id="rId4644" ref="L5613"/>
    <hyperlink r:id="rId4645" ref="L5614"/>
    <hyperlink r:id="rId4646" ref="L5615"/>
    <hyperlink r:id="rId4647" ref="L5616"/>
    <hyperlink r:id="rId4648" ref="L5617"/>
    <hyperlink r:id="rId4649" ref="L5618"/>
    <hyperlink r:id="rId4650" ref="L5619"/>
    <hyperlink r:id="rId4651" ref="L5620"/>
    <hyperlink r:id="rId4652" ref="L5621"/>
    <hyperlink r:id="rId4653" ref="L5622"/>
    <hyperlink r:id="rId4654" ref="L5623"/>
    <hyperlink r:id="rId4655" ref="L5624"/>
    <hyperlink r:id="rId4656" ref="L5625"/>
    <hyperlink r:id="rId4657" ref="L5626"/>
    <hyperlink r:id="rId4658" ref="L5627"/>
    <hyperlink r:id="rId4659" ref="L5628"/>
    <hyperlink r:id="rId4660" ref="L5629"/>
    <hyperlink r:id="rId4661" ref="L5630"/>
    <hyperlink r:id="rId4662" ref="L5631"/>
    <hyperlink r:id="rId4663" ref="L5632"/>
    <hyperlink r:id="rId4664" ref="L5633"/>
    <hyperlink r:id="rId4665" ref="L5634"/>
    <hyperlink r:id="rId4666" ref="L5635"/>
    <hyperlink r:id="rId4667" ref="L5636"/>
    <hyperlink r:id="rId4668" ref="L5637"/>
    <hyperlink r:id="rId4669" ref="L5638"/>
    <hyperlink r:id="rId4670" ref="L5639"/>
    <hyperlink r:id="rId4671" ref="L5640"/>
    <hyperlink r:id="rId4672" ref="L5641"/>
    <hyperlink r:id="rId4673" ref="L5642"/>
    <hyperlink r:id="rId4674" ref="L5643"/>
    <hyperlink r:id="rId4675" ref="L5644"/>
    <hyperlink r:id="rId4676" ref="L5645"/>
    <hyperlink r:id="rId4677" ref="L5646"/>
    <hyperlink r:id="rId4678" ref="L5647"/>
    <hyperlink r:id="rId4679" ref="L5648"/>
    <hyperlink r:id="rId4680" ref="L5649"/>
    <hyperlink r:id="rId4681" ref="L5650"/>
    <hyperlink r:id="rId4682" ref="L5651"/>
    <hyperlink r:id="rId4683" ref="L5652"/>
    <hyperlink r:id="rId4684" ref="L5653"/>
    <hyperlink r:id="rId4685" ref="L5654"/>
    <hyperlink r:id="rId4686" ref="L5655"/>
    <hyperlink r:id="rId4687" ref="L5656"/>
    <hyperlink r:id="rId4688" ref="L5657"/>
    <hyperlink r:id="rId4689" ref="L5658"/>
    <hyperlink r:id="rId4690" ref="L5659"/>
    <hyperlink r:id="rId4691" ref="L5660"/>
    <hyperlink r:id="rId4692" ref="L5661"/>
    <hyperlink r:id="rId4693" ref="L5662"/>
    <hyperlink r:id="rId4694" ref="L5663"/>
    <hyperlink r:id="rId4695" ref="L5664"/>
    <hyperlink r:id="rId4696" ref="L5665"/>
    <hyperlink r:id="rId4697" ref="L5666"/>
    <hyperlink r:id="rId4698" ref="L5667"/>
    <hyperlink r:id="rId4699" ref="L5668"/>
    <hyperlink r:id="rId4700" ref="L5669"/>
    <hyperlink r:id="rId4701" ref="L5670"/>
    <hyperlink r:id="rId4702" ref="L5671"/>
    <hyperlink r:id="rId4703" ref="L5672"/>
    <hyperlink r:id="rId4704" ref="L5673"/>
    <hyperlink r:id="rId4705" ref="L5674"/>
    <hyperlink r:id="rId4706" ref="L5675"/>
    <hyperlink r:id="rId4707" ref="L5676"/>
    <hyperlink r:id="rId4708" ref="L5677"/>
    <hyperlink r:id="rId4709" ref="L5678"/>
    <hyperlink r:id="rId4710" ref="L5679"/>
    <hyperlink r:id="rId4711" ref="L5680"/>
    <hyperlink r:id="rId4712" ref="L5681"/>
    <hyperlink r:id="rId4713" ref="L5682"/>
    <hyperlink r:id="rId4714" ref="L5683"/>
    <hyperlink r:id="rId4715" ref="L5684"/>
    <hyperlink r:id="rId4716" ref="L5685"/>
    <hyperlink r:id="rId4717" ref="L5686"/>
    <hyperlink r:id="rId4718" ref="L5687"/>
    <hyperlink r:id="rId4719" ref="L5688"/>
    <hyperlink r:id="rId4720" ref="L5689"/>
    <hyperlink r:id="rId4721" ref="L5690"/>
    <hyperlink r:id="rId4722" ref="L5691"/>
    <hyperlink r:id="rId4723" ref="L5692"/>
    <hyperlink r:id="rId4724" ref="L5693"/>
    <hyperlink r:id="rId4725" ref="L5694"/>
    <hyperlink r:id="rId4726" ref="L5695"/>
    <hyperlink r:id="rId4727" ref="L5696"/>
    <hyperlink r:id="rId4728" ref="L5697"/>
    <hyperlink r:id="rId4729" ref="L5698"/>
    <hyperlink r:id="rId4730" ref="L5699"/>
    <hyperlink r:id="rId4731" ref="L5700"/>
    <hyperlink r:id="rId4732" ref="L5701"/>
    <hyperlink r:id="rId4733" ref="L5702"/>
    <hyperlink r:id="rId4734" ref="L5703"/>
    <hyperlink r:id="rId4735" ref="L5704"/>
    <hyperlink r:id="rId4736" ref="L5705"/>
    <hyperlink r:id="rId4737" ref="L5706"/>
    <hyperlink r:id="rId4738" ref="L5707"/>
    <hyperlink r:id="rId4739" ref="L5708"/>
    <hyperlink r:id="rId4740" ref="L5709"/>
    <hyperlink r:id="rId4741" ref="L5710"/>
    <hyperlink r:id="rId4742" ref="L5711"/>
    <hyperlink r:id="rId4743" ref="L5712"/>
    <hyperlink r:id="rId4744" ref="L5713"/>
    <hyperlink r:id="rId4745" ref="L5714"/>
    <hyperlink r:id="rId4746" ref="L5715"/>
    <hyperlink r:id="rId4747" ref="L5716"/>
    <hyperlink r:id="rId4748" ref="L5717"/>
    <hyperlink r:id="rId4749" ref="L5718"/>
    <hyperlink r:id="rId4750" ref="L5719"/>
    <hyperlink r:id="rId4751" ref="L5720"/>
    <hyperlink r:id="rId4752" ref="L5721"/>
    <hyperlink r:id="rId4753" ref="L5722"/>
    <hyperlink r:id="rId4754" ref="L5723"/>
    <hyperlink r:id="rId4755" ref="L5724"/>
    <hyperlink r:id="rId4756" ref="L5725"/>
    <hyperlink r:id="rId4757" ref="L5726"/>
    <hyperlink r:id="rId4758" ref="L5727"/>
    <hyperlink r:id="rId4759" ref="L5728"/>
    <hyperlink r:id="rId4760" ref="L5729"/>
    <hyperlink r:id="rId4761" ref="L5730"/>
    <hyperlink r:id="rId4762" ref="L5731"/>
    <hyperlink r:id="rId4763" ref="L5732"/>
    <hyperlink r:id="rId4764" ref="L5733"/>
    <hyperlink r:id="rId4765" ref="L5734"/>
    <hyperlink r:id="rId4766" ref="L5735"/>
    <hyperlink r:id="rId4767" ref="L5736"/>
    <hyperlink r:id="rId4768" ref="L5737"/>
    <hyperlink r:id="rId4769" ref="L5738"/>
    <hyperlink r:id="rId4770" ref="L5739"/>
    <hyperlink r:id="rId4771" ref="L5740"/>
    <hyperlink r:id="rId4772" ref="L5741"/>
    <hyperlink r:id="rId4773" ref="L5742"/>
    <hyperlink r:id="rId4774" ref="L5743"/>
    <hyperlink r:id="rId4775" ref="L5744"/>
    <hyperlink r:id="rId4776" ref="L5745"/>
    <hyperlink r:id="rId4777" ref="L5746"/>
    <hyperlink r:id="rId4778" ref="L5747"/>
    <hyperlink r:id="rId4779" ref="L5748"/>
    <hyperlink r:id="rId4780" ref="L5749"/>
    <hyperlink r:id="rId4781" ref="L5750"/>
    <hyperlink r:id="rId4782" ref="L5751"/>
    <hyperlink r:id="rId4783" ref="L5752"/>
    <hyperlink r:id="rId4784" ref="L5753"/>
    <hyperlink r:id="rId4785" ref="L5754"/>
    <hyperlink r:id="rId4786" ref="L5755"/>
    <hyperlink r:id="rId4787" ref="L5756"/>
    <hyperlink r:id="rId4788" ref="L5757"/>
    <hyperlink r:id="rId4789" ref="L5758"/>
    <hyperlink r:id="rId4790" ref="L5759"/>
    <hyperlink r:id="rId4791" ref="L5760"/>
    <hyperlink r:id="rId4792" ref="L5761"/>
    <hyperlink r:id="rId4793" ref="L5762"/>
    <hyperlink r:id="rId4794" ref="L5763"/>
    <hyperlink r:id="rId4795" ref="L5764"/>
    <hyperlink r:id="rId4796" ref="L5765"/>
    <hyperlink r:id="rId4797" ref="L5766"/>
    <hyperlink r:id="rId4798" ref="L5767"/>
    <hyperlink r:id="rId4799" ref="L5768"/>
    <hyperlink r:id="rId4800" ref="L5769"/>
    <hyperlink r:id="rId4801" ref="L5770"/>
    <hyperlink r:id="rId4802" ref="L5771"/>
    <hyperlink r:id="rId4803" ref="L5772"/>
    <hyperlink r:id="rId4804" ref="L5773"/>
    <hyperlink r:id="rId4805" ref="L5774"/>
    <hyperlink r:id="rId4806" ref="L5775"/>
    <hyperlink r:id="rId4807" ref="L5776"/>
    <hyperlink r:id="rId4808" ref="L5777"/>
    <hyperlink r:id="rId4809" ref="L5778"/>
    <hyperlink r:id="rId4810" ref="L5779"/>
    <hyperlink r:id="rId4811" ref="L5780"/>
    <hyperlink r:id="rId4812" ref="L5781"/>
    <hyperlink r:id="rId4813" ref="L5782"/>
    <hyperlink r:id="rId4814" ref="L5783"/>
    <hyperlink r:id="rId4815" ref="L5784"/>
    <hyperlink r:id="rId4816" ref="L5785"/>
    <hyperlink r:id="rId4817" ref="L5786"/>
    <hyperlink r:id="rId4818" ref="L5787"/>
    <hyperlink r:id="rId4819" ref="L5788"/>
    <hyperlink r:id="rId4820" ref="L5789"/>
    <hyperlink r:id="rId4821" ref="L5790"/>
    <hyperlink r:id="rId4822" ref="L5791"/>
    <hyperlink r:id="rId4823" ref="L5792"/>
    <hyperlink r:id="rId4824" ref="L5793"/>
    <hyperlink r:id="rId4825" ref="L5794"/>
    <hyperlink r:id="rId4826" ref="L5795"/>
    <hyperlink r:id="rId4827" ref="L5796"/>
    <hyperlink r:id="rId4828" ref="L5797"/>
    <hyperlink r:id="rId4829" ref="L5798"/>
    <hyperlink r:id="rId4830" ref="L5799"/>
    <hyperlink r:id="rId4831" ref="L5800"/>
    <hyperlink r:id="rId4832" ref="L5801"/>
    <hyperlink r:id="rId4833" ref="L5802"/>
    <hyperlink r:id="rId4834" ref="L5803"/>
    <hyperlink r:id="rId4835" ref="L5804"/>
    <hyperlink r:id="rId4836" ref="L5805"/>
    <hyperlink r:id="rId4837" ref="L5806"/>
    <hyperlink r:id="rId4838" ref="L5807"/>
    <hyperlink r:id="rId4839" ref="L5808"/>
    <hyperlink r:id="rId4840" ref="L5809"/>
    <hyperlink r:id="rId4841" ref="L5810"/>
    <hyperlink r:id="rId4842" ref="L5811"/>
    <hyperlink r:id="rId4843" ref="L5812"/>
    <hyperlink r:id="rId4844" ref="L5813"/>
    <hyperlink r:id="rId4845" ref="L5814"/>
    <hyperlink r:id="rId4846" ref="L5815"/>
    <hyperlink r:id="rId4847" ref="L5816"/>
    <hyperlink r:id="rId4848" ref="L5817"/>
    <hyperlink r:id="rId4849" ref="L5818"/>
    <hyperlink r:id="rId4850" ref="L5819"/>
    <hyperlink r:id="rId4851" ref="L5820"/>
    <hyperlink r:id="rId4852" ref="L5821"/>
    <hyperlink r:id="rId4853" ref="L5822"/>
    <hyperlink r:id="rId4854" ref="L5823"/>
    <hyperlink r:id="rId4855" ref="L5824"/>
    <hyperlink r:id="rId4856" ref="L5825"/>
    <hyperlink r:id="rId4857" ref="L5826"/>
    <hyperlink r:id="rId4858" ref="L5827"/>
    <hyperlink r:id="rId4859" ref="L5828"/>
    <hyperlink r:id="rId4860" ref="L5829"/>
    <hyperlink r:id="rId4861" ref="L5830"/>
    <hyperlink r:id="rId4862" ref="L5831"/>
    <hyperlink r:id="rId4863" ref="L5832"/>
    <hyperlink r:id="rId4864" ref="L5833"/>
    <hyperlink r:id="rId4865" ref="L5834"/>
    <hyperlink r:id="rId4866" ref="L5835"/>
    <hyperlink r:id="rId4867" ref="L5836"/>
    <hyperlink r:id="rId4868" ref="L5837"/>
    <hyperlink r:id="rId4869" ref="L5838"/>
    <hyperlink r:id="rId4870" ref="L5839"/>
    <hyperlink r:id="rId4871" ref="L5840"/>
    <hyperlink r:id="rId4872" ref="L5841"/>
    <hyperlink r:id="rId4873" ref="L5842"/>
    <hyperlink r:id="rId4874" ref="L5843"/>
    <hyperlink r:id="rId4875" ref="L5844"/>
    <hyperlink r:id="rId4876" ref="L5845"/>
    <hyperlink r:id="rId4877" ref="L5846"/>
    <hyperlink r:id="rId4878" ref="L5847"/>
    <hyperlink r:id="rId4879" ref="L5848"/>
    <hyperlink r:id="rId4880" ref="L5849"/>
    <hyperlink r:id="rId4881" ref="L5850"/>
    <hyperlink r:id="rId4882" ref="L5851"/>
    <hyperlink r:id="rId4883" ref="L5852"/>
    <hyperlink r:id="rId4884" ref="L5853"/>
    <hyperlink r:id="rId4885" ref="L5854"/>
    <hyperlink r:id="rId4886" ref="L5855"/>
    <hyperlink r:id="rId4887" ref="L5856"/>
    <hyperlink r:id="rId4888" ref="L5857"/>
    <hyperlink r:id="rId4889" ref="L5858"/>
    <hyperlink r:id="rId4890" ref="L5859"/>
    <hyperlink r:id="rId4891" ref="L5860"/>
    <hyperlink r:id="rId4892" ref="L5861"/>
    <hyperlink r:id="rId4893" ref="L5862"/>
    <hyperlink r:id="rId4894" ref="L5863"/>
    <hyperlink r:id="rId4895" ref="L5864"/>
    <hyperlink r:id="rId4896" ref="L5865"/>
    <hyperlink r:id="rId4897" ref="L5866"/>
    <hyperlink r:id="rId4898" ref="L5867"/>
    <hyperlink r:id="rId4899" ref="L5868"/>
    <hyperlink r:id="rId4900" ref="L5869"/>
    <hyperlink r:id="rId4901" ref="L5870"/>
    <hyperlink r:id="rId4902" ref="L5871"/>
    <hyperlink r:id="rId4903" ref="L5872"/>
    <hyperlink r:id="rId4904" ref="L5873"/>
    <hyperlink r:id="rId4905" ref="L5874"/>
    <hyperlink r:id="rId4906" ref="L5875"/>
    <hyperlink r:id="rId4907" ref="L5876"/>
    <hyperlink r:id="rId4908" ref="L5877"/>
    <hyperlink r:id="rId4909" ref="L5878"/>
    <hyperlink r:id="rId4910" ref="L5879"/>
    <hyperlink r:id="rId4911" ref="L5880"/>
    <hyperlink r:id="rId4912" ref="L5881"/>
    <hyperlink r:id="rId4913" ref="L5882"/>
    <hyperlink r:id="rId4914" ref="L5883"/>
    <hyperlink r:id="rId4915" ref="L5884"/>
    <hyperlink r:id="rId4916" ref="L5885"/>
    <hyperlink r:id="rId4917" ref="L5886"/>
    <hyperlink r:id="rId4918" ref="L5887"/>
    <hyperlink r:id="rId4919" ref="L5888"/>
    <hyperlink r:id="rId4920" ref="L5889"/>
    <hyperlink r:id="rId4921" ref="L5890"/>
    <hyperlink r:id="rId4922" ref="L5891"/>
    <hyperlink r:id="rId4923" ref="L5892"/>
    <hyperlink r:id="rId4924" ref="L5893"/>
    <hyperlink r:id="rId4925" ref="L5894"/>
    <hyperlink r:id="rId4926" ref="L5895"/>
    <hyperlink r:id="rId4927" ref="L5896"/>
    <hyperlink r:id="rId4928" ref="L5897"/>
    <hyperlink r:id="rId4929" ref="L5898"/>
    <hyperlink r:id="rId4930" ref="L5899"/>
    <hyperlink r:id="rId4931" ref="L5900"/>
    <hyperlink r:id="rId4932" ref="L5901"/>
    <hyperlink r:id="rId4933" ref="L5902"/>
    <hyperlink r:id="rId4934" ref="L5903"/>
    <hyperlink r:id="rId4935" ref="L5904"/>
    <hyperlink r:id="rId4936" ref="L5905"/>
    <hyperlink r:id="rId4937" ref="L5906"/>
    <hyperlink r:id="rId4938" ref="L5907"/>
    <hyperlink r:id="rId4939" ref="L5908"/>
    <hyperlink r:id="rId4940" ref="L5909"/>
    <hyperlink r:id="rId4941" ref="L5910"/>
    <hyperlink r:id="rId4942" ref="L5911"/>
    <hyperlink r:id="rId4943" ref="L5912"/>
    <hyperlink r:id="rId4944" ref="L5913"/>
    <hyperlink r:id="rId4945" ref="L5914"/>
    <hyperlink r:id="rId4946" ref="L5915"/>
    <hyperlink r:id="rId4947" ref="L5916"/>
    <hyperlink r:id="rId4948" ref="L5917"/>
    <hyperlink r:id="rId4949" ref="L5918"/>
    <hyperlink r:id="rId4950" ref="L5919"/>
    <hyperlink r:id="rId4951" ref="L5920"/>
    <hyperlink r:id="rId4952" ref="L5921"/>
    <hyperlink r:id="rId4953" ref="L5922"/>
    <hyperlink r:id="rId4954" ref="L5923"/>
    <hyperlink r:id="rId4955" ref="L5924"/>
    <hyperlink r:id="rId4956" ref="L5925"/>
    <hyperlink r:id="rId4957" ref="L5926"/>
    <hyperlink r:id="rId4958" ref="L5927"/>
    <hyperlink r:id="rId4959" ref="L5928"/>
    <hyperlink r:id="rId4960" ref="L5929"/>
    <hyperlink r:id="rId4961" ref="L5930"/>
    <hyperlink r:id="rId4962" ref="L5931"/>
    <hyperlink r:id="rId4963" ref="L5932"/>
    <hyperlink r:id="rId4964" ref="L5933"/>
    <hyperlink r:id="rId4965" ref="L5934"/>
    <hyperlink r:id="rId4966" ref="L5935"/>
    <hyperlink r:id="rId4967" ref="L5936"/>
    <hyperlink r:id="rId4968" ref="L5937"/>
    <hyperlink r:id="rId4969" ref="L5938"/>
    <hyperlink r:id="rId4970" ref="L5939"/>
    <hyperlink r:id="rId4971" ref="L5940"/>
    <hyperlink r:id="rId4972" ref="L5941"/>
    <hyperlink r:id="rId4973" ref="L5942"/>
    <hyperlink r:id="rId4974" ref="L5943"/>
    <hyperlink r:id="rId4975" ref="L5944"/>
    <hyperlink r:id="rId4976" ref="L5945"/>
    <hyperlink r:id="rId4977" ref="L5946"/>
    <hyperlink r:id="rId4978" ref="L5947"/>
    <hyperlink r:id="rId4979" ref="L5948"/>
    <hyperlink r:id="rId4980" ref="L5949"/>
    <hyperlink r:id="rId4981" ref="L5950"/>
    <hyperlink r:id="rId4982" ref="L5951"/>
    <hyperlink r:id="rId4983" ref="L5952"/>
    <hyperlink r:id="rId4984" ref="L5953"/>
    <hyperlink r:id="rId4985" ref="L5954"/>
    <hyperlink r:id="rId4986" ref="L5955"/>
    <hyperlink r:id="rId4987" ref="L5956"/>
    <hyperlink r:id="rId4988" ref="L5957"/>
    <hyperlink r:id="rId4989" ref="L5958"/>
    <hyperlink r:id="rId4990" ref="L5959"/>
    <hyperlink r:id="rId4991" ref="L5960"/>
    <hyperlink r:id="rId4992" ref="L5961"/>
    <hyperlink r:id="rId4993" ref="L5962"/>
    <hyperlink r:id="rId4994" ref="L5963"/>
    <hyperlink r:id="rId4995" ref="L5964"/>
    <hyperlink r:id="rId4996" ref="L5965"/>
    <hyperlink r:id="rId4997" ref="L5966"/>
    <hyperlink r:id="rId4998" ref="L5967"/>
    <hyperlink r:id="rId4999" ref="L5968"/>
    <hyperlink r:id="rId5000" ref="L5969"/>
    <hyperlink r:id="rId5001" ref="L5970"/>
    <hyperlink r:id="rId5002" ref="L5971"/>
    <hyperlink r:id="rId5003" ref="L5972"/>
    <hyperlink r:id="rId5004" ref="L5973"/>
    <hyperlink r:id="rId5005" ref="L5974"/>
    <hyperlink r:id="rId5006" ref="L5975"/>
    <hyperlink r:id="rId5007" ref="L5976"/>
    <hyperlink r:id="rId5008" ref="L5977"/>
    <hyperlink r:id="rId5009" ref="L5978"/>
    <hyperlink r:id="rId5010" ref="L5979"/>
    <hyperlink r:id="rId5011" ref="L5980"/>
    <hyperlink r:id="rId5012" ref="L5981"/>
    <hyperlink r:id="rId5013" ref="L5982"/>
    <hyperlink r:id="rId5014" ref="L5983"/>
    <hyperlink r:id="rId5015" ref="L5984"/>
    <hyperlink r:id="rId5016" ref="L5985"/>
    <hyperlink r:id="rId5017" ref="L5986"/>
    <hyperlink r:id="rId5018" ref="L5987"/>
    <hyperlink r:id="rId5019" ref="L5988"/>
    <hyperlink r:id="rId5020" ref="L5989"/>
    <hyperlink r:id="rId5021" ref="L5990"/>
    <hyperlink r:id="rId5022" ref="L5991"/>
    <hyperlink r:id="rId5023" ref="L5992"/>
    <hyperlink r:id="rId5024" ref="L5993"/>
    <hyperlink r:id="rId5025" ref="L5994"/>
    <hyperlink r:id="rId5026" ref="L5995"/>
    <hyperlink r:id="rId5027" ref="L5996"/>
    <hyperlink r:id="rId5028" ref="L5997"/>
    <hyperlink r:id="rId5029" ref="L5998"/>
    <hyperlink r:id="rId5030" ref="L5999"/>
    <hyperlink r:id="rId5031" ref="L6000"/>
    <hyperlink r:id="rId5032" ref="L6001"/>
    <hyperlink r:id="rId5033" ref="L6002"/>
    <hyperlink r:id="rId5034" ref="L6003"/>
    <hyperlink r:id="rId5035" ref="L6004"/>
    <hyperlink r:id="rId5036" ref="L6005"/>
    <hyperlink r:id="rId5037" ref="L6006"/>
    <hyperlink r:id="rId5038" ref="L6007"/>
    <hyperlink r:id="rId5039" ref="L6008"/>
    <hyperlink r:id="rId5040" ref="L6009"/>
    <hyperlink r:id="rId5041" ref="L6010"/>
    <hyperlink r:id="rId5042" ref="L6011"/>
    <hyperlink r:id="rId5043" ref="L6012"/>
    <hyperlink r:id="rId5044" ref="L6013"/>
    <hyperlink r:id="rId5045" ref="L6014"/>
    <hyperlink r:id="rId5046" ref="L6015"/>
    <hyperlink r:id="rId5047" ref="L6016"/>
    <hyperlink r:id="rId5048" ref="L6017"/>
    <hyperlink r:id="rId5049" ref="L6018"/>
    <hyperlink r:id="rId5050" ref="L6019"/>
    <hyperlink r:id="rId5051" ref="L6020"/>
    <hyperlink r:id="rId5052" ref="L6021"/>
    <hyperlink r:id="rId5053" ref="L6022"/>
    <hyperlink r:id="rId5054" ref="L6023"/>
    <hyperlink r:id="rId5055" ref="L6024"/>
    <hyperlink r:id="rId5056" ref="L6025"/>
    <hyperlink r:id="rId5057" ref="L6026"/>
    <hyperlink r:id="rId5058" ref="L6027"/>
    <hyperlink r:id="rId5059" ref="L6028"/>
    <hyperlink r:id="rId5060" ref="L6029"/>
    <hyperlink r:id="rId5061" ref="L6030"/>
    <hyperlink r:id="rId5062" ref="L6031"/>
    <hyperlink r:id="rId5063" ref="L6032"/>
    <hyperlink r:id="rId5064" ref="L6033"/>
    <hyperlink r:id="rId5065" ref="L6034"/>
    <hyperlink r:id="rId5066" ref="L6035"/>
    <hyperlink r:id="rId5067" ref="L6036"/>
    <hyperlink r:id="rId5068" ref="L6037"/>
    <hyperlink r:id="rId5069" ref="L6038"/>
    <hyperlink r:id="rId5070" ref="L6039"/>
    <hyperlink r:id="rId5071" ref="L6040"/>
    <hyperlink r:id="rId5072" ref="L6041"/>
    <hyperlink r:id="rId5073" ref="L6042"/>
    <hyperlink r:id="rId5074" ref="L6043"/>
    <hyperlink r:id="rId5075" ref="L6044"/>
    <hyperlink r:id="rId5076" ref="L6045"/>
    <hyperlink r:id="rId5077" ref="L6046"/>
    <hyperlink r:id="rId5078" ref="L6047"/>
    <hyperlink r:id="rId5079" ref="L6048"/>
    <hyperlink r:id="rId5080" ref="L6049"/>
    <hyperlink r:id="rId5081" ref="L6050"/>
    <hyperlink r:id="rId5082" ref="L6051"/>
    <hyperlink r:id="rId5083" ref="L6052"/>
    <hyperlink r:id="rId5084" ref="L6053"/>
    <hyperlink r:id="rId5085" ref="L6054"/>
    <hyperlink r:id="rId5086" ref="L6055"/>
    <hyperlink r:id="rId5087" ref="L6056"/>
    <hyperlink r:id="rId5088" ref="L6057"/>
    <hyperlink r:id="rId5089" ref="L6058"/>
    <hyperlink r:id="rId5090" ref="L6059"/>
    <hyperlink r:id="rId5091" ref="L6060"/>
    <hyperlink r:id="rId5092" ref="L6061"/>
    <hyperlink r:id="rId5093" ref="L6062"/>
    <hyperlink r:id="rId5094" ref="L6063"/>
    <hyperlink r:id="rId5095" ref="L6064"/>
    <hyperlink r:id="rId5096" ref="L6065"/>
    <hyperlink r:id="rId5097" ref="L6066"/>
    <hyperlink r:id="rId5098" ref="L6067"/>
    <hyperlink r:id="rId5099" ref="L6068"/>
    <hyperlink r:id="rId5100" ref="L6069"/>
    <hyperlink r:id="rId5101" ref="L6070"/>
    <hyperlink r:id="rId5102" ref="L6071"/>
    <hyperlink r:id="rId5103" ref="L6072"/>
    <hyperlink r:id="rId5104" ref="L6073"/>
    <hyperlink r:id="rId5105" ref="L6074"/>
    <hyperlink r:id="rId5106" ref="L6075"/>
    <hyperlink r:id="rId5107" ref="L6076"/>
    <hyperlink r:id="rId5108" ref="L6077"/>
    <hyperlink r:id="rId5109" ref="L6078"/>
    <hyperlink r:id="rId5110" ref="L6079"/>
    <hyperlink r:id="rId5111" ref="L6080"/>
    <hyperlink r:id="rId5112" ref="L6081"/>
    <hyperlink r:id="rId5113" ref="L6082"/>
    <hyperlink r:id="rId5114" ref="L6083"/>
    <hyperlink r:id="rId5115" ref="L6084"/>
    <hyperlink r:id="rId5116" ref="L6085"/>
    <hyperlink r:id="rId5117" ref="L6086"/>
    <hyperlink r:id="rId5118" ref="L6087"/>
    <hyperlink r:id="rId5119" ref="L6088"/>
    <hyperlink r:id="rId5120" ref="L6089"/>
    <hyperlink r:id="rId5121" ref="L6090"/>
    <hyperlink r:id="rId5122" ref="L6091"/>
    <hyperlink r:id="rId5123" ref="L6092"/>
    <hyperlink r:id="rId5124" ref="L6093"/>
    <hyperlink r:id="rId5125" ref="L6094"/>
    <hyperlink r:id="rId5126" ref="L6095"/>
    <hyperlink r:id="rId5127" ref="L6096"/>
    <hyperlink r:id="rId5128" ref="L6097"/>
    <hyperlink r:id="rId5129" ref="L6098"/>
    <hyperlink r:id="rId5130" ref="L6099"/>
    <hyperlink r:id="rId5131" ref="L6100"/>
    <hyperlink r:id="rId5132" ref="L6101"/>
    <hyperlink r:id="rId5133" ref="L6102"/>
    <hyperlink r:id="rId5134" ref="L6103"/>
    <hyperlink r:id="rId5135" ref="L6104"/>
    <hyperlink r:id="rId5136" ref="L6105"/>
    <hyperlink r:id="rId5137" ref="L6106"/>
    <hyperlink r:id="rId5138" ref="L6107"/>
    <hyperlink r:id="rId5139" ref="L6108"/>
    <hyperlink r:id="rId5140" ref="L6109"/>
    <hyperlink r:id="rId5141" ref="L6110"/>
    <hyperlink r:id="rId5142" ref="L6111"/>
    <hyperlink r:id="rId5143" ref="L6112"/>
    <hyperlink r:id="rId5144" ref="L6113"/>
    <hyperlink r:id="rId5145" ref="L6114"/>
    <hyperlink r:id="rId5146" ref="L6115"/>
    <hyperlink r:id="rId5147" ref="L6116"/>
    <hyperlink r:id="rId5148" ref="L6117"/>
    <hyperlink r:id="rId5149" ref="L6118"/>
    <hyperlink r:id="rId5150" ref="L6119"/>
    <hyperlink r:id="rId5151" ref="L6120"/>
    <hyperlink r:id="rId5152" ref="L6121"/>
    <hyperlink r:id="rId5153" ref="L6122"/>
    <hyperlink r:id="rId5154" ref="L6123"/>
    <hyperlink r:id="rId5155" ref="L6124"/>
    <hyperlink r:id="rId5156" ref="L6125"/>
    <hyperlink r:id="rId5157" ref="L6126"/>
    <hyperlink r:id="rId5158" ref="L6127"/>
    <hyperlink r:id="rId5159" ref="L6128"/>
    <hyperlink r:id="rId5160" ref="L6129"/>
    <hyperlink r:id="rId5161" ref="L6130"/>
    <hyperlink r:id="rId5162" ref="L6131"/>
    <hyperlink r:id="rId5163" ref="L6132"/>
    <hyperlink r:id="rId5164" ref="L6133"/>
    <hyperlink r:id="rId5165" ref="L6134"/>
    <hyperlink r:id="rId5166" ref="L6135"/>
    <hyperlink r:id="rId5167" ref="L6136"/>
    <hyperlink r:id="rId5168" ref="L6137"/>
    <hyperlink r:id="rId5169" ref="L6138"/>
    <hyperlink r:id="rId5170" ref="L6139"/>
    <hyperlink r:id="rId5171" ref="L6140"/>
    <hyperlink r:id="rId5172" ref="L6141"/>
    <hyperlink r:id="rId5173" ref="L6142"/>
    <hyperlink r:id="rId5174" ref="L6143"/>
    <hyperlink r:id="rId5175" ref="L6144"/>
    <hyperlink r:id="rId5176" ref="L6145"/>
    <hyperlink r:id="rId5177" ref="L6146"/>
    <hyperlink r:id="rId5178" ref="L6147"/>
    <hyperlink r:id="rId5179" ref="L6148"/>
    <hyperlink r:id="rId5180" ref="L6149"/>
    <hyperlink r:id="rId5181" ref="L6150"/>
    <hyperlink r:id="rId5182" ref="L6151"/>
    <hyperlink r:id="rId5183" ref="L6152"/>
    <hyperlink r:id="rId5184" ref="L6153"/>
    <hyperlink r:id="rId5185" ref="L6154"/>
    <hyperlink r:id="rId5186" ref="L6155"/>
    <hyperlink r:id="rId5187" ref="L6156"/>
    <hyperlink r:id="rId5188" ref="L6157"/>
    <hyperlink r:id="rId5189" ref="L6158"/>
    <hyperlink r:id="rId5190" ref="L6159"/>
    <hyperlink r:id="rId5191" ref="L6160"/>
    <hyperlink r:id="rId5192" ref="L6161"/>
    <hyperlink r:id="rId5193" ref="L6162"/>
    <hyperlink r:id="rId5194" ref="L6163"/>
    <hyperlink r:id="rId5195" ref="L6164"/>
    <hyperlink r:id="rId5196" ref="L6165"/>
    <hyperlink r:id="rId5197" ref="L6166"/>
    <hyperlink r:id="rId5198" ref="L6167"/>
    <hyperlink r:id="rId5199" ref="L6168"/>
    <hyperlink r:id="rId5200" ref="L6169"/>
    <hyperlink r:id="rId5201" ref="L6170"/>
    <hyperlink r:id="rId5202" ref="L6171"/>
    <hyperlink r:id="rId5203" ref="L6172"/>
    <hyperlink r:id="rId5204" ref="L6173"/>
    <hyperlink r:id="rId5205" ref="L6174"/>
    <hyperlink r:id="rId5206" ref="L6175"/>
    <hyperlink r:id="rId5207" ref="L6176"/>
    <hyperlink r:id="rId5208" ref="L6177"/>
    <hyperlink r:id="rId5209" ref="L6178"/>
    <hyperlink r:id="rId5210" ref="L6179"/>
    <hyperlink r:id="rId5211" ref="L6180"/>
    <hyperlink r:id="rId5212" ref="L6181"/>
    <hyperlink r:id="rId5213" ref="L6182"/>
    <hyperlink r:id="rId5214" ref="L6183"/>
    <hyperlink r:id="rId5215" ref="L6184"/>
    <hyperlink r:id="rId5216" ref="L6185"/>
    <hyperlink r:id="rId5217" ref="L6186"/>
    <hyperlink r:id="rId5218" ref="L6187"/>
    <hyperlink r:id="rId5219" ref="L6188"/>
    <hyperlink r:id="rId5220" ref="L6189"/>
    <hyperlink r:id="rId5221" ref="L6190"/>
    <hyperlink r:id="rId5222" ref="L6191"/>
    <hyperlink r:id="rId5223" ref="L6192"/>
    <hyperlink r:id="rId5224" ref="L6193"/>
    <hyperlink r:id="rId5225" ref="L6194"/>
    <hyperlink r:id="rId5226" ref="L6195"/>
    <hyperlink r:id="rId5227" ref="L6196"/>
    <hyperlink r:id="rId5228" ref="L6197"/>
    <hyperlink r:id="rId5229" ref="L6198"/>
    <hyperlink r:id="rId5230" ref="L6199"/>
    <hyperlink r:id="rId5231" ref="L6200"/>
    <hyperlink r:id="rId5232" ref="L6201"/>
    <hyperlink r:id="rId5233" ref="L6202"/>
    <hyperlink r:id="rId5234" ref="L6203"/>
    <hyperlink r:id="rId5235" ref="L6204"/>
    <hyperlink r:id="rId5236" ref="L6205"/>
    <hyperlink r:id="rId5237" ref="L6206"/>
    <hyperlink r:id="rId5238" ref="L6207"/>
    <hyperlink r:id="rId5239" ref="L6208"/>
    <hyperlink r:id="rId5240" ref="L6209"/>
    <hyperlink r:id="rId5241" ref="L6210"/>
    <hyperlink r:id="rId5242" ref="L6211"/>
    <hyperlink r:id="rId5243" ref="L6212"/>
    <hyperlink r:id="rId5244" ref="L6213"/>
    <hyperlink r:id="rId5245" ref="L6214"/>
    <hyperlink r:id="rId5246" ref="L6215"/>
    <hyperlink r:id="rId5247" ref="L6216"/>
    <hyperlink r:id="rId5248" ref="L6217"/>
    <hyperlink r:id="rId5249" ref="L6218"/>
    <hyperlink r:id="rId5250" ref="L6219"/>
    <hyperlink r:id="rId5251" ref="L6220"/>
    <hyperlink r:id="rId5252" ref="L6221"/>
    <hyperlink r:id="rId5253" ref="L6222"/>
    <hyperlink r:id="rId5254" ref="L6223"/>
    <hyperlink r:id="rId5255" ref="L6224"/>
    <hyperlink r:id="rId5256" ref="L6225"/>
    <hyperlink r:id="rId5257" ref="L6226"/>
    <hyperlink r:id="rId5258" ref="L6227"/>
    <hyperlink r:id="rId5259" ref="L6228"/>
    <hyperlink r:id="rId5260" ref="L6229"/>
    <hyperlink r:id="rId5261" ref="L6230"/>
    <hyperlink r:id="rId5262" ref="L6231"/>
    <hyperlink r:id="rId5263" ref="L6232"/>
    <hyperlink r:id="rId5264" ref="L6233"/>
    <hyperlink r:id="rId5265" ref="L6234"/>
    <hyperlink r:id="rId5266" ref="L6235"/>
    <hyperlink r:id="rId5267" ref="L6236"/>
    <hyperlink r:id="rId5268" ref="L6237"/>
    <hyperlink r:id="rId5269" ref="L6238"/>
    <hyperlink r:id="rId5270" ref="L6239"/>
    <hyperlink r:id="rId5271" ref="L6240"/>
    <hyperlink r:id="rId5272" ref="L6241"/>
    <hyperlink r:id="rId5273" ref="L6242"/>
    <hyperlink r:id="rId5274" ref="L6243"/>
    <hyperlink r:id="rId5275" ref="L6244"/>
    <hyperlink r:id="rId5276" ref="L6245"/>
    <hyperlink r:id="rId5277" ref="L6246"/>
    <hyperlink r:id="rId5278" ref="L6247"/>
    <hyperlink r:id="rId5279" ref="L6248"/>
    <hyperlink r:id="rId5280" ref="L6249"/>
    <hyperlink r:id="rId5281" ref="L6250"/>
    <hyperlink r:id="rId5282" ref="L6251"/>
    <hyperlink r:id="rId5283" ref="L6252"/>
    <hyperlink r:id="rId5284" ref="L6253"/>
    <hyperlink r:id="rId5285" ref="L6254"/>
    <hyperlink r:id="rId5286" ref="L6255"/>
    <hyperlink r:id="rId5287" ref="L6256"/>
    <hyperlink r:id="rId5288" ref="L6257"/>
    <hyperlink r:id="rId5289" ref="L6258"/>
    <hyperlink r:id="rId5290" ref="L6259"/>
    <hyperlink r:id="rId5291" ref="L6260"/>
    <hyperlink r:id="rId5292" ref="L6261"/>
    <hyperlink r:id="rId5293" ref="L6262"/>
    <hyperlink r:id="rId5294" ref="L6263"/>
    <hyperlink r:id="rId5295" ref="L6264"/>
    <hyperlink r:id="rId5296" ref="L6265"/>
    <hyperlink r:id="rId5297" ref="L6266"/>
    <hyperlink r:id="rId5298" ref="L6267"/>
    <hyperlink r:id="rId5299" ref="L6268"/>
    <hyperlink r:id="rId5300" ref="L6269"/>
    <hyperlink r:id="rId5301" ref="L6270"/>
    <hyperlink r:id="rId5302" ref="L6271"/>
    <hyperlink r:id="rId5303" ref="L6272"/>
    <hyperlink r:id="rId5304" ref="L6273"/>
    <hyperlink r:id="rId5305" ref="L6274"/>
    <hyperlink r:id="rId5306" ref="L6275"/>
    <hyperlink r:id="rId5307" ref="L6276"/>
    <hyperlink r:id="rId5308" ref="L6277"/>
    <hyperlink r:id="rId5309" ref="L6278"/>
    <hyperlink r:id="rId5310" ref="L6279"/>
    <hyperlink r:id="rId5311" ref="L6280"/>
    <hyperlink r:id="rId5312" ref="L6281"/>
    <hyperlink r:id="rId5313" ref="L6282"/>
    <hyperlink r:id="rId5314" ref="L6283"/>
    <hyperlink r:id="rId5315" ref="L6284"/>
    <hyperlink r:id="rId5316" ref="L6285"/>
    <hyperlink r:id="rId5317" ref="L6286"/>
    <hyperlink r:id="rId5318" ref="L6287"/>
    <hyperlink r:id="rId5319" ref="L6288"/>
    <hyperlink r:id="rId5320" ref="L6289"/>
    <hyperlink r:id="rId5321" ref="L6290"/>
    <hyperlink r:id="rId5322" ref="L6291"/>
    <hyperlink r:id="rId5323" ref="L6292"/>
    <hyperlink r:id="rId5324" ref="L6293"/>
    <hyperlink r:id="rId5325" ref="L6294"/>
    <hyperlink r:id="rId5326" ref="L6295"/>
    <hyperlink r:id="rId5327" ref="L6296"/>
    <hyperlink r:id="rId5328" ref="L6297"/>
    <hyperlink r:id="rId5329" ref="L6298"/>
    <hyperlink r:id="rId5330" ref="L6299"/>
    <hyperlink r:id="rId5331" ref="L6300"/>
    <hyperlink r:id="rId5332" ref="L6301"/>
    <hyperlink r:id="rId5333" ref="L6302"/>
    <hyperlink r:id="rId5334" ref="L6303"/>
    <hyperlink r:id="rId5335" ref="L6304"/>
    <hyperlink r:id="rId5336" ref="L6305"/>
    <hyperlink r:id="rId5337" ref="L6306"/>
    <hyperlink r:id="rId5338" ref="L6307"/>
    <hyperlink r:id="rId5339" ref="L6308"/>
    <hyperlink r:id="rId5340" ref="L6309"/>
    <hyperlink r:id="rId5341" ref="L6310"/>
    <hyperlink r:id="rId5342" ref="L6311"/>
    <hyperlink r:id="rId5343" ref="L6312"/>
    <hyperlink r:id="rId5344" ref="L6313"/>
    <hyperlink r:id="rId5345" ref="L6314"/>
    <hyperlink r:id="rId5346" ref="L6315"/>
    <hyperlink r:id="rId5347" ref="L6316"/>
    <hyperlink r:id="rId5348" ref="L6317"/>
    <hyperlink r:id="rId5349" ref="L6318"/>
    <hyperlink r:id="rId5350" ref="L6319"/>
    <hyperlink r:id="rId5351" ref="L6320"/>
    <hyperlink r:id="rId5352" ref="L6321"/>
    <hyperlink r:id="rId5353" ref="L6322"/>
    <hyperlink r:id="rId5354" ref="L6323"/>
    <hyperlink r:id="rId5355" ref="L6324"/>
    <hyperlink r:id="rId5356" ref="L6325"/>
    <hyperlink r:id="rId5357" ref="L6326"/>
    <hyperlink r:id="rId5358" ref="L6327"/>
    <hyperlink r:id="rId5359" ref="L6328"/>
    <hyperlink r:id="rId5360" ref="L6329"/>
    <hyperlink r:id="rId5361" ref="L6330"/>
    <hyperlink r:id="rId5362" ref="L6331"/>
    <hyperlink r:id="rId5363" ref="L6332"/>
    <hyperlink r:id="rId5364" ref="L6333"/>
    <hyperlink r:id="rId5365" ref="L6334"/>
    <hyperlink r:id="rId5366" ref="L6335"/>
    <hyperlink r:id="rId5367" ref="L6336"/>
    <hyperlink r:id="rId5368" ref="L6337"/>
    <hyperlink r:id="rId5369" ref="L6338"/>
    <hyperlink r:id="rId5370" ref="L6339"/>
    <hyperlink r:id="rId5371" ref="L6340"/>
    <hyperlink r:id="rId5372" ref="L6341"/>
    <hyperlink r:id="rId5373" ref="L6342"/>
    <hyperlink r:id="rId5374" ref="L6343"/>
    <hyperlink r:id="rId5375" ref="L6344"/>
    <hyperlink r:id="rId5376" ref="L6345"/>
    <hyperlink r:id="rId5377" ref="L6346"/>
    <hyperlink r:id="rId5378" ref="L6347"/>
    <hyperlink r:id="rId5379" ref="L6348"/>
    <hyperlink r:id="rId5380" ref="L6349"/>
    <hyperlink r:id="rId5381" ref="L6350"/>
    <hyperlink r:id="rId5382" ref="L6351"/>
    <hyperlink r:id="rId5383" ref="L6352"/>
    <hyperlink r:id="rId5384" ref="L6353"/>
    <hyperlink r:id="rId5385" ref="L6354"/>
    <hyperlink r:id="rId5386" ref="L6355"/>
    <hyperlink r:id="rId5387" ref="L6356"/>
    <hyperlink r:id="rId5388" ref="L6357"/>
    <hyperlink r:id="rId5389" ref="L6358"/>
    <hyperlink r:id="rId5390" ref="L6359"/>
    <hyperlink r:id="rId5391" ref="L6360"/>
    <hyperlink r:id="rId5392" ref="L6361"/>
    <hyperlink r:id="rId5393" ref="L6362"/>
    <hyperlink r:id="rId5394" ref="L6363"/>
    <hyperlink r:id="rId5395" ref="L6364"/>
    <hyperlink r:id="rId5396" ref="L6365"/>
    <hyperlink r:id="rId5397" ref="L6366"/>
    <hyperlink r:id="rId5398" ref="L6367"/>
    <hyperlink r:id="rId5399" ref="L6368"/>
    <hyperlink r:id="rId5400" ref="L6369"/>
    <hyperlink r:id="rId5401" ref="L6370"/>
    <hyperlink r:id="rId5402" ref="L6371"/>
    <hyperlink r:id="rId5403" ref="L6372"/>
    <hyperlink r:id="rId5404" ref="L6373"/>
    <hyperlink r:id="rId5405" ref="L6374"/>
    <hyperlink r:id="rId5406" ref="L6375"/>
    <hyperlink r:id="rId5407" ref="L6376"/>
    <hyperlink r:id="rId5408" ref="L6377"/>
    <hyperlink r:id="rId5409" ref="L6378"/>
    <hyperlink r:id="rId5410" ref="L6379"/>
    <hyperlink r:id="rId5411" ref="L6380"/>
    <hyperlink r:id="rId5412" ref="L6381"/>
    <hyperlink r:id="rId5413" ref="L6382"/>
    <hyperlink r:id="rId5414" ref="L6383"/>
    <hyperlink r:id="rId5415" ref="L6384"/>
    <hyperlink r:id="rId5416" ref="L6385"/>
    <hyperlink r:id="rId5417" ref="L6386"/>
    <hyperlink r:id="rId5418" ref="L6387"/>
    <hyperlink r:id="rId5419" ref="L6388"/>
    <hyperlink r:id="rId5420" ref="L6389"/>
    <hyperlink r:id="rId5421" ref="L6390"/>
    <hyperlink r:id="rId5422" ref="L6391"/>
    <hyperlink r:id="rId5423" ref="L6392"/>
    <hyperlink r:id="rId5424" ref="L6393"/>
    <hyperlink r:id="rId5425" ref="L6394"/>
    <hyperlink r:id="rId5426" ref="L6395"/>
    <hyperlink r:id="rId5427" ref="L6396"/>
    <hyperlink r:id="rId5428" ref="L6397"/>
    <hyperlink r:id="rId5429" ref="L6398"/>
    <hyperlink r:id="rId5430" ref="L6399"/>
    <hyperlink r:id="rId5431" ref="L6400"/>
    <hyperlink r:id="rId5432" ref="L6401"/>
    <hyperlink r:id="rId5433" ref="L6402"/>
    <hyperlink r:id="rId5434" ref="L6403"/>
    <hyperlink r:id="rId5435" ref="L6404"/>
    <hyperlink r:id="rId5436" ref="L6405"/>
    <hyperlink r:id="rId5437" ref="L6406"/>
    <hyperlink r:id="rId5438" ref="L6407"/>
    <hyperlink r:id="rId5439" ref="L6408"/>
    <hyperlink r:id="rId5440" ref="L6409"/>
    <hyperlink r:id="rId5441" ref="L6410"/>
    <hyperlink r:id="rId5442" ref="L6411"/>
    <hyperlink r:id="rId5443" ref="L6412"/>
    <hyperlink r:id="rId5444" ref="L6413"/>
    <hyperlink r:id="rId5445" ref="L6414"/>
    <hyperlink r:id="rId5446" ref="L6415"/>
    <hyperlink r:id="rId5447" ref="L6416"/>
    <hyperlink r:id="rId5448" ref="L6417"/>
    <hyperlink r:id="rId5449" ref="L6418"/>
    <hyperlink r:id="rId5450" ref="L6419"/>
    <hyperlink r:id="rId5451" ref="L6420"/>
    <hyperlink r:id="rId5452" ref="L6421"/>
    <hyperlink r:id="rId5453" ref="L6422"/>
    <hyperlink r:id="rId5454" ref="L6423"/>
    <hyperlink r:id="rId5455" ref="L6424"/>
    <hyperlink r:id="rId5456" ref="L6425"/>
    <hyperlink r:id="rId5457" ref="L6426"/>
    <hyperlink r:id="rId5458" ref="L6427"/>
    <hyperlink r:id="rId5459" ref="L6428"/>
    <hyperlink r:id="rId5460" ref="L6429"/>
    <hyperlink r:id="rId5461" ref="L6430"/>
    <hyperlink r:id="rId5462" ref="L6431"/>
    <hyperlink r:id="rId5463" ref="L6432"/>
    <hyperlink r:id="rId5464" ref="L6433"/>
    <hyperlink r:id="rId5465" ref="L6434"/>
    <hyperlink r:id="rId5466" ref="L6435"/>
    <hyperlink r:id="rId5467" ref="L6436"/>
    <hyperlink r:id="rId5468" ref="L6437"/>
    <hyperlink r:id="rId5469" ref="L6438"/>
    <hyperlink r:id="rId5470" ref="L6439"/>
    <hyperlink r:id="rId5471" ref="L6440"/>
    <hyperlink r:id="rId5472" ref="L6441"/>
    <hyperlink r:id="rId5473" ref="L6442"/>
    <hyperlink r:id="rId5474" ref="L6443"/>
    <hyperlink r:id="rId5475" ref="L6444"/>
    <hyperlink r:id="rId5476" ref="L6445"/>
    <hyperlink r:id="rId5477" ref="L6446"/>
    <hyperlink r:id="rId5478" ref="L6447"/>
    <hyperlink r:id="rId5479" ref="L6448"/>
    <hyperlink r:id="rId5480" ref="L6449"/>
    <hyperlink r:id="rId5481" ref="L6450"/>
    <hyperlink r:id="rId5482" ref="L6451"/>
    <hyperlink r:id="rId5483" ref="L6452"/>
    <hyperlink r:id="rId5484" ref="L6453"/>
    <hyperlink r:id="rId5485" ref="L6454"/>
    <hyperlink r:id="rId5486" ref="L6455"/>
    <hyperlink r:id="rId5487" ref="L6456"/>
    <hyperlink r:id="rId5488" ref="L6457"/>
    <hyperlink r:id="rId5489" ref="L6458"/>
    <hyperlink r:id="rId5490" ref="L6459"/>
    <hyperlink r:id="rId5491" ref="L6460"/>
    <hyperlink r:id="rId5492" ref="L6461"/>
    <hyperlink r:id="rId5493" ref="L6462"/>
    <hyperlink r:id="rId5494" ref="L6463"/>
    <hyperlink r:id="rId5495" ref="L6464"/>
    <hyperlink r:id="rId5496" ref="L6465"/>
    <hyperlink r:id="rId5497" ref="L6466"/>
    <hyperlink r:id="rId5498" ref="L6467"/>
    <hyperlink r:id="rId5499" ref="L6468"/>
    <hyperlink r:id="rId5500" ref="L6469"/>
    <hyperlink r:id="rId5501" ref="L6470"/>
    <hyperlink r:id="rId5502" ref="L6471"/>
    <hyperlink r:id="rId5503" ref="L6472"/>
    <hyperlink r:id="rId5504" ref="L6473"/>
    <hyperlink r:id="rId5505" ref="L6474"/>
    <hyperlink r:id="rId5506" ref="L6475"/>
    <hyperlink r:id="rId5507" ref="L6476"/>
    <hyperlink r:id="rId5508" ref="L6477"/>
    <hyperlink r:id="rId5509" ref="L6478"/>
    <hyperlink r:id="rId5510" ref="L6479"/>
    <hyperlink r:id="rId5511" ref="L6480"/>
    <hyperlink r:id="rId5512" ref="L6481"/>
    <hyperlink r:id="rId5513" ref="L6482"/>
    <hyperlink r:id="rId5514" ref="L6483"/>
    <hyperlink r:id="rId5515" ref="L6484"/>
    <hyperlink r:id="rId5516" ref="L6485"/>
    <hyperlink r:id="rId5517" ref="L6486"/>
    <hyperlink r:id="rId5518" ref="L6487"/>
    <hyperlink r:id="rId5519" ref="L6488"/>
    <hyperlink r:id="rId5520" ref="L6489"/>
    <hyperlink r:id="rId5521" ref="L6490"/>
    <hyperlink r:id="rId5522" ref="L6491"/>
    <hyperlink r:id="rId5523" ref="L6492"/>
    <hyperlink r:id="rId5524" ref="L6493"/>
    <hyperlink r:id="rId5525" ref="L6494"/>
    <hyperlink r:id="rId5526" ref="L6495"/>
    <hyperlink r:id="rId5527" ref="L6496"/>
    <hyperlink r:id="rId5528" ref="L6497"/>
    <hyperlink r:id="rId5529" ref="L6498"/>
    <hyperlink r:id="rId5530" ref="L6499"/>
    <hyperlink r:id="rId5531" ref="L6500"/>
    <hyperlink r:id="rId5532" ref="L6501"/>
    <hyperlink r:id="rId5533" ref="L6502"/>
    <hyperlink r:id="rId5534" ref="L6503"/>
    <hyperlink r:id="rId5535" ref="L6504"/>
    <hyperlink r:id="rId5536" ref="L6505"/>
    <hyperlink r:id="rId5537" ref="L6506"/>
    <hyperlink r:id="rId5538" ref="L6507"/>
    <hyperlink r:id="rId5539" ref="L6508"/>
    <hyperlink r:id="rId5540" ref="L6509"/>
    <hyperlink r:id="rId5541" ref="L6510"/>
    <hyperlink r:id="rId5542" ref="L6511"/>
    <hyperlink r:id="rId5543" ref="L6512"/>
    <hyperlink r:id="rId5544" ref="L6513"/>
    <hyperlink r:id="rId5545" ref="L6514"/>
    <hyperlink r:id="rId5546" ref="L6515"/>
    <hyperlink r:id="rId5547" ref="L6516"/>
    <hyperlink r:id="rId5548" ref="L6517"/>
    <hyperlink r:id="rId5549" ref="L6518"/>
    <hyperlink r:id="rId5550" ref="L6519"/>
    <hyperlink r:id="rId5551" ref="L6520"/>
    <hyperlink r:id="rId5552" ref="L6521"/>
    <hyperlink r:id="rId5553" ref="L6522"/>
    <hyperlink r:id="rId5554" ref="L6523"/>
    <hyperlink r:id="rId5555" ref="L6524"/>
    <hyperlink r:id="rId5556" ref="L6525"/>
    <hyperlink r:id="rId5557" ref="L6526"/>
    <hyperlink r:id="rId5558" ref="L6527"/>
    <hyperlink r:id="rId5559" ref="L6528"/>
    <hyperlink r:id="rId5560" ref="L6529"/>
    <hyperlink r:id="rId5561" ref="L6530"/>
    <hyperlink r:id="rId5562" ref="L6531"/>
    <hyperlink r:id="rId5563" ref="L6532"/>
    <hyperlink r:id="rId5564" ref="L6533"/>
    <hyperlink r:id="rId5565" ref="L6534"/>
    <hyperlink r:id="rId5566" ref="L6535"/>
    <hyperlink r:id="rId5567" ref="L6536"/>
    <hyperlink r:id="rId5568" ref="L6537"/>
    <hyperlink r:id="rId5569" ref="L6538"/>
    <hyperlink r:id="rId5570" ref="L6539"/>
    <hyperlink r:id="rId5571" ref="L6540"/>
    <hyperlink r:id="rId5572" ref="L6541"/>
    <hyperlink r:id="rId5573" ref="L6542"/>
    <hyperlink r:id="rId5574" ref="L6543"/>
    <hyperlink r:id="rId5575" ref="L6544"/>
    <hyperlink r:id="rId5576" ref="L6545"/>
    <hyperlink r:id="rId5577" ref="L6546"/>
    <hyperlink r:id="rId5578" ref="L6547"/>
    <hyperlink r:id="rId5579" ref="L6548"/>
    <hyperlink r:id="rId5580" ref="L6549"/>
    <hyperlink r:id="rId5581" ref="L6550"/>
    <hyperlink r:id="rId5582" ref="L6551"/>
    <hyperlink r:id="rId5583" ref="L6552"/>
    <hyperlink r:id="rId5584" ref="L6553"/>
    <hyperlink r:id="rId5585" ref="L6554"/>
    <hyperlink r:id="rId5586" ref="L6555"/>
    <hyperlink r:id="rId5587" ref="L6556"/>
    <hyperlink r:id="rId5588" ref="L6557"/>
    <hyperlink r:id="rId5589" ref="L6558"/>
    <hyperlink r:id="rId5590" ref="L6559"/>
    <hyperlink r:id="rId5591" ref="L6560"/>
    <hyperlink r:id="rId5592" ref="L6561"/>
    <hyperlink r:id="rId5593" ref="L6562"/>
    <hyperlink r:id="rId5594" ref="L6563"/>
    <hyperlink r:id="rId5595" ref="L6564"/>
    <hyperlink r:id="rId5596" ref="L6565"/>
    <hyperlink r:id="rId5597" ref="L6566"/>
    <hyperlink r:id="rId5598" ref="L6567"/>
    <hyperlink r:id="rId5599" ref="L6568"/>
    <hyperlink r:id="rId5600" ref="L6569"/>
    <hyperlink r:id="rId5601" ref="L6570"/>
    <hyperlink r:id="rId5602" ref="L6571"/>
    <hyperlink r:id="rId5603" ref="L6572"/>
    <hyperlink r:id="rId5604" ref="L6573"/>
    <hyperlink r:id="rId5605" ref="L6574"/>
    <hyperlink r:id="rId5606" ref="L6575"/>
    <hyperlink r:id="rId5607" ref="L6576"/>
    <hyperlink r:id="rId5608" ref="L6577"/>
    <hyperlink r:id="rId5609" ref="L6578"/>
    <hyperlink r:id="rId5610" ref="L6579"/>
    <hyperlink r:id="rId5611" ref="L6580"/>
    <hyperlink r:id="rId5612" ref="L6581"/>
    <hyperlink r:id="rId5613" ref="L6582"/>
    <hyperlink r:id="rId5614" ref="L6583"/>
    <hyperlink r:id="rId5615" ref="L6584"/>
    <hyperlink r:id="rId5616" ref="L6585"/>
    <hyperlink r:id="rId5617" ref="L6586"/>
    <hyperlink r:id="rId5618" ref="L6587"/>
    <hyperlink r:id="rId5619" ref="L6588"/>
    <hyperlink r:id="rId5620" ref="L6589"/>
    <hyperlink r:id="rId5621" ref="L6590"/>
    <hyperlink r:id="rId5622" ref="L6591"/>
    <hyperlink r:id="rId5623" ref="L6592"/>
    <hyperlink r:id="rId5624" ref="L6593"/>
    <hyperlink r:id="rId5625" ref="L6594"/>
    <hyperlink r:id="rId5626" ref="L6595"/>
    <hyperlink r:id="rId5627" ref="L6596"/>
    <hyperlink r:id="rId5628" ref="L6597"/>
    <hyperlink r:id="rId5629" ref="L6598"/>
    <hyperlink r:id="rId5630" ref="L6599"/>
    <hyperlink r:id="rId5631" ref="L6600"/>
    <hyperlink r:id="rId5632" ref="L6601"/>
    <hyperlink r:id="rId5633" ref="L6602"/>
    <hyperlink r:id="rId5634" ref="L6603"/>
    <hyperlink r:id="rId5635" ref="L6604"/>
    <hyperlink r:id="rId5636" ref="L6605"/>
    <hyperlink r:id="rId5637" ref="L6606"/>
    <hyperlink r:id="rId5638" ref="L6607"/>
    <hyperlink r:id="rId5639" ref="L6608"/>
    <hyperlink r:id="rId5640" ref="L6609"/>
    <hyperlink r:id="rId5641" ref="L6610"/>
    <hyperlink r:id="rId5642" ref="L6611"/>
    <hyperlink r:id="rId5643" ref="L6612"/>
    <hyperlink r:id="rId5644" ref="L6613"/>
    <hyperlink r:id="rId5645" ref="L6614"/>
    <hyperlink r:id="rId5646" ref="L6615"/>
    <hyperlink r:id="rId5647" ref="L6616"/>
    <hyperlink r:id="rId5648" ref="L6617"/>
    <hyperlink r:id="rId5649" ref="L6618"/>
    <hyperlink r:id="rId5650" ref="L6619"/>
    <hyperlink r:id="rId5651" ref="L6620"/>
    <hyperlink r:id="rId5652" ref="L6621"/>
    <hyperlink r:id="rId5653" ref="L6622"/>
    <hyperlink r:id="rId5654" ref="L6623"/>
    <hyperlink r:id="rId5655" ref="L6624"/>
    <hyperlink r:id="rId5656" ref="L6625"/>
    <hyperlink r:id="rId5657" ref="L6626"/>
    <hyperlink r:id="rId5658" ref="L6627"/>
    <hyperlink r:id="rId5659" ref="L6628"/>
    <hyperlink r:id="rId5660" ref="L6629"/>
    <hyperlink r:id="rId5661" ref="L6630"/>
    <hyperlink r:id="rId5662" ref="L6631"/>
    <hyperlink r:id="rId5663" ref="L6632"/>
    <hyperlink r:id="rId5664" ref="L6633"/>
    <hyperlink r:id="rId5665" ref="L6634"/>
    <hyperlink r:id="rId5666" ref="L6635"/>
    <hyperlink r:id="rId5667" ref="L6636"/>
    <hyperlink r:id="rId5668" ref="L6637"/>
    <hyperlink r:id="rId5669" ref="L6638"/>
    <hyperlink r:id="rId5670" ref="L6639"/>
    <hyperlink r:id="rId5671" ref="L6640"/>
    <hyperlink r:id="rId5672" ref="L6641"/>
    <hyperlink r:id="rId5673" ref="L6642"/>
    <hyperlink r:id="rId5674" ref="L6643"/>
    <hyperlink r:id="rId5675" ref="L6644"/>
    <hyperlink r:id="rId5676" ref="L6645"/>
    <hyperlink r:id="rId5677" ref="L6646"/>
    <hyperlink r:id="rId5678" ref="L6647"/>
    <hyperlink r:id="rId5679" ref="L6648"/>
    <hyperlink r:id="rId5680" ref="L6649"/>
    <hyperlink r:id="rId5681" ref="L6650"/>
    <hyperlink r:id="rId5682" ref="L6651"/>
    <hyperlink r:id="rId5683" ref="L6652"/>
    <hyperlink r:id="rId5684" ref="L6653"/>
    <hyperlink r:id="rId5685" ref="L6654"/>
    <hyperlink r:id="rId5686" ref="L6655"/>
    <hyperlink r:id="rId5687" ref="L6656"/>
    <hyperlink r:id="rId5688" ref="L6657"/>
    <hyperlink r:id="rId5689" ref="L6658"/>
    <hyperlink r:id="rId5690" ref="L6659"/>
    <hyperlink r:id="rId5691" ref="L6660"/>
    <hyperlink r:id="rId5692" ref="L6661"/>
    <hyperlink r:id="rId5693" ref="L6662"/>
    <hyperlink r:id="rId5694" ref="L6663"/>
    <hyperlink r:id="rId5695" ref="L6664"/>
    <hyperlink r:id="rId5696" ref="L6665"/>
    <hyperlink r:id="rId5697" ref="L6666"/>
    <hyperlink r:id="rId5698" ref="L6667"/>
    <hyperlink r:id="rId5699" ref="L6668"/>
    <hyperlink r:id="rId5700" ref="L6669"/>
    <hyperlink r:id="rId5701" ref="L6670"/>
    <hyperlink r:id="rId5702" ref="L6671"/>
    <hyperlink r:id="rId5703" ref="L6672"/>
    <hyperlink r:id="rId5704" ref="L6673"/>
    <hyperlink r:id="rId5705" ref="L6674"/>
    <hyperlink r:id="rId5706" ref="L6675"/>
    <hyperlink r:id="rId5707" ref="L6676"/>
    <hyperlink r:id="rId5708" ref="L6677"/>
    <hyperlink r:id="rId5709" ref="L6678"/>
    <hyperlink r:id="rId5710" ref="L6679"/>
    <hyperlink r:id="rId5711" ref="L6680"/>
    <hyperlink r:id="rId5712" ref="L6681"/>
    <hyperlink r:id="rId5713" ref="L6682"/>
    <hyperlink r:id="rId5714" ref="L6683"/>
    <hyperlink r:id="rId5715" ref="L6684"/>
    <hyperlink r:id="rId5716" ref="L6685"/>
    <hyperlink r:id="rId5717" ref="L6686"/>
    <hyperlink r:id="rId5718" ref="L6687"/>
    <hyperlink r:id="rId5719" ref="L6688"/>
    <hyperlink r:id="rId5720" ref="L6689"/>
    <hyperlink r:id="rId5721" ref="L6690"/>
    <hyperlink r:id="rId5722" ref="L6691"/>
    <hyperlink r:id="rId5723" ref="L6692"/>
    <hyperlink r:id="rId5724" ref="L6693"/>
    <hyperlink r:id="rId5725" ref="L6694"/>
    <hyperlink r:id="rId5726" ref="L6695"/>
    <hyperlink r:id="rId5727" ref="L6696"/>
    <hyperlink r:id="rId5728" ref="L6697"/>
    <hyperlink r:id="rId5729" ref="L6698"/>
    <hyperlink r:id="rId5730" ref="L6699"/>
    <hyperlink r:id="rId5731" ref="L6700"/>
    <hyperlink r:id="rId5732" ref="L6701"/>
    <hyperlink r:id="rId5733" ref="L6702"/>
    <hyperlink r:id="rId5734" ref="L6703"/>
    <hyperlink r:id="rId5735" ref="L6704"/>
    <hyperlink r:id="rId5736" ref="L6705"/>
    <hyperlink r:id="rId5737" ref="L6706"/>
    <hyperlink r:id="rId5738" ref="L6707"/>
    <hyperlink r:id="rId5739" ref="L6708"/>
    <hyperlink r:id="rId5740" ref="L6709"/>
    <hyperlink r:id="rId5741" ref="L6710"/>
    <hyperlink r:id="rId5742" ref="L6711"/>
    <hyperlink r:id="rId5743" ref="L6712"/>
    <hyperlink r:id="rId5744" ref="L6713"/>
    <hyperlink r:id="rId5745" ref="L6714"/>
    <hyperlink r:id="rId5746" ref="L6715"/>
    <hyperlink r:id="rId5747" ref="L6716"/>
    <hyperlink r:id="rId5748" ref="L6717"/>
    <hyperlink r:id="rId5749" ref="L6718"/>
    <hyperlink r:id="rId5750" ref="L6719"/>
    <hyperlink r:id="rId5751" ref="L6720"/>
    <hyperlink r:id="rId5752" ref="L6721"/>
    <hyperlink r:id="rId5753" ref="L6722"/>
    <hyperlink r:id="rId5754" ref="L6723"/>
    <hyperlink r:id="rId5755" ref="L6724"/>
    <hyperlink r:id="rId5756" ref="L6725"/>
    <hyperlink r:id="rId5757" ref="L6726"/>
    <hyperlink r:id="rId5758" ref="L6727"/>
    <hyperlink r:id="rId5759" ref="L6728"/>
    <hyperlink r:id="rId5760" ref="L6729"/>
    <hyperlink r:id="rId5761" ref="L6730"/>
    <hyperlink r:id="rId5762" ref="L6731"/>
    <hyperlink r:id="rId5763" ref="L6732"/>
    <hyperlink r:id="rId5764" ref="L6733"/>
    <hyperlink r:id="rId5765" ref="L6734"/>
    <hyperlink r:id="rId5766" ref="L6735"/>
    <hyperlink r:id="rId5767" ref="L6736"/>
    <hyperlink r:id="rId5768" ref="L6737"/>
    <hyperlink r:id="rId5769" ref="L6738"/>
    <hyperlink r:id="rId5770" ref="L6739"/>
    <hyperlink r:id="rId5771" ref="L6740"/>
    <hyperlink r:id="rId5772" ref="L6741"/>
    <hyperlink r:id="rId5773" ref="L6742"/>
    <hyperlink r:id="rId5774" ref="L6743"/>
    <hyperlink r:id="rId5775" ref="L6744"/>
    <hyperlink r:id="rId5776" ref="L6745"/>
    <hyperlink r:id="rId5777" ref="L6746"/>
    <hyperlink r:id="rId5778" ref="L6747"/>
    <hyperlink r:id="rId5779" ref="L6748"/>
    <hyperlink r:id="rId5780" ref="L6749"/>
    <hyperlink r:id="rId5781" ref="L6750"/>
    <hyperlink r:id="rId5782" ref="L6751"/>
    <hyperlink r:id="rId5783" ref="L6752"/>
    <hyperlink r:id="rId5784" ref="L6753"/>
    <hyperlink r:id="rId5785" ref="L6754"/>
    <hyperlink r:id="rId5786" ref="L6755"/>
    <hyperlink r:id="rId5787" ref="L6756"/>
    <hyperlink r:id="rId5788" ref="L6757"/>
    <hyperlink r:id="rId5789" ref="L6758"/>
    <hyperlink r:id="rId5790" ref="L6759"/>
    <hyperlink r:id="rId5791" ref="L6760"/>
    <hyperlink r:id="rId5792" ref="L6761"/>
    <hyperlink r:id="rId5793" ref="L6762"/>
    <hyperlink r:id="rId5794" ref="L6763"/>
    <hyperlink r:id="rId5795" ref="L6764"/>
    <hyperlink r:id="rId5796" ref="L6765"/>
    <hyperlink r:id="rId5797" ref="L6766"/>
    <hyperlink r:id="rId5798" ref="L6767"/>
    <hyperlink r:id="rId5799" ref="L6768"/>
    <hyperlink r:id="rId5800" ref="L6769"/>
    <hyperlink r:id="rId5801" ref="L6770"/>
    <hyperlink r:id="rId5802" ref="L6771"/>
    <hyperlink r:id="rId5803" ref="L6772"/>
    <hyperlink r:id="rId5804" ref="L6773"/>
    <hyperlink r:id="rId5805" ref="L6774"/>
    <hyperlink r:id="rId5806" ref="L6775"/>
    <hyperlink r:id="rId5807" ref="L6776"/>
    <hyperlink r:id="rId5808" ref="L6777"/>
    <hyperlink r:id="rId5809" ref="L6778"/>
    <hyperlink r:id="rId5810" ref="L6779"/>
    <hyperlink r:id="rId5811" ref="L6780"/>
    <hyperlink r:id="rId5812" ref="L6781"/>
    <hyperlink r:id="rId5813" ref="L6782"/>
    <hyperlink r:id="rId5814" ref="L6783"/>
    <hyperlink r:id="rId5815" ref="L6784"/>
    <hyperlink r:id="rId5816" ref="L6785"/>
    <hyperlink r:id="rId5817" ref="L6786"/>
    <hyperlink r:id="rId5818" ref="L6787"/>
    <hyperlink r:id="rId5819" ref="L6788"/>
    <hyperlink r:id="rId5820" ref="L6789"/>
    <hyperlink r:id="rId5821" ref="L6790"/>
    <hyperlink r:id="rId5822" ref="L6791"/>
    <hyperlink r:id="rId5823" ref="L6792"/>
    <hyperlink r:id="rId5824" ref="L6793"/>
    <hyperlink r:id="rId5825" ref="L6794"/>
    <hyperlink r:id="rId5826" ref="L6795"/>
    <hyperlink r:id="rId5827" ref="L6796"/>
    <hyperlink r:id="rId5828" ref="L6797"/>
    <hyperlink r:id="rId5829" ref="L6798"/>
    <hyperlink r:id="rId5830" ref="L6799"/>
    <hyperlink r:id="rId5831" ref="L6800"/>
    <hyperlink r:id="rId5832" ref="L6801"/>
    <hyperlink r:id="rId5833" ref="L6802"/>
    <hyperlink r:id="rId5834" ref="L6803"/>
    <hyperlink r:id="rId5835" ref="L6804"/>
    <hyperlink r:id="rId5836" ref="L6805"/>
    <hyperlink r:id="rId5837" ref="L6806"/>
    <hyperlink r:id="rId5838" ref="L6807"/>
    <hyperlink r:id="rId5839" ref="L6808"/>
    <hyperlink r:id="rId5840" ref="L6809"/>
    <hyperlink r:id="rId5841" ref="L6810"/>
    <hyperlink r:id="rId5842" ref="L6811"/>
    <hyperlink r:id="rId5843" ref="L6812"/>
    <hyperlink r:id="rId5844" ref="L6813"/>
    <hyperlink r:id="rId5845" ref="L6814"/>
    <hyperlink r:id="rId5846" ref="L6815"/>
    <hyperlink r:id="rId5847" ref="L6816"/>
    <hyperlink r:id="rId5848" ref="L6817"/>
    <hyperlink r:id="rId5849" ref="L6818"/>
    <hyperlink r:id="rId5850" ref="L6819"/>
    <hyperlink r:id="rId5851" ref="L6820"/>
    <hyperlink r:id="rId5852" ref="L6821"/>
    <hyperlink r:id="rId5853" ref="L6822"/>
    <hyperlink r:id="rId5854" ref="L6823"/>
    <hyperlink r:id="rId5855" ref="L6824"/>
    <hyperlink r:id="rId5856" ref="L6825"/>
    <hyperlink r:id="rId5857" ref="L6826"/>
    <hyperlink r:id="rId5858" ref="L6827"/>
    <hyperlink r:id="rId5859" ref="L6828"/>
    <hyperlink r:id="rId5860" ref="L6829"/>
    <hyperlink r:id="rId5861" ref="L6830"/>
    <hyperlink r:id="rId5862" ref="L6831"/>
    <hyperlink r:id="rId5863" ref="L6832"/>
    <hyperlink r:id="rId5864" ref="L6833"/>
    <hyperlink r:id="rId5865" ref="L6834"/>
    <hyperlink r:id="rId5866" ref="L6835"/>
    <hyperlink r:id="rId5867" ref="L6836"/>
    <hyperlink r:id="rId5868" ref="L6837"/>
    <hyperlink r:id="rId5869" ref="L6838"/>
    <hyperlink r:id="rId5870" ref="L6839"/>
    <hyperlink r:id="rId5871" ref="L6840"/>
    <hyperlink r:id="rId5872" ref="L6841"/>
    <hyperlink r:id="rId5873" ref="L6842"/>
    <hyperlink r:id="rId5874" ref="L6843"/>
    <hyperlink r:id="rId5875" ref="L6844"/>
    <hyperlink r:id="rId5876" ref="L6845"/>
    <hyperlink r:id="rId5877" ref="L6846"/>
    <hyperlink r:id="rId5878" ref="L6847"/>
    <hyperlink r:id="rId5879" ref="L6848"/>
    <hyperlink r:id="rId5880" ref="L6849"/>
    <hyperlink r:id="rId5881" ref="L6850"/>
    <hyperlink r:id="rId5882" ref="L6851"/>
    <hyperlink r:id="rId5883" ref="L6852"/>
    <hyperlink r:id="rId5884" ref="L6853"/>
    <hyperlink r:id="rId5885" ref="L6854"/>
    <hyperlink r:id="rId5886" ref="L6855"/>
    <hyperlink r:id="rId5887" ref="L6856"/>
    <hyperlink r:id="rId5888" ref="L6857"/>
    <hyperlink r:id="rId5889" ref="L6858"/>
    <hyperlink r:id="rId5890" ref="L6859"/>
    <hyperlink r:id="rId5891" ref="L6860"/>
    <hyperlink r:id="rId5892" ref="L6861"/>
    <hyperlink r:id="rId5893" ref="L6862"/>
    <hyperlink r:id="rId5894" ref="L6863"/>
    <hyperlink r:id="rId5895" ref="L6864"/>
    <hyperlink r:id="rId5896" ref="L6865"/>
    <hyperlink r:id="rId5897" ref="L6866"/>
    <hyperlink r:id="rId5898" ref="L6867"/>
    <hyperlink r:id="rId5899" ref="L6868"/>
    <hyperlink r:id="rId5900" ref="L6869"/>
    <hyperlink r:id="rId5901" ref="L6870"/>
    <hyperlink r:id="rId5902" ref="L6871"/>
    <hyperlink r:id="rId5903" ref="L6872"/>
    <hyperlink r:id="rId5904" ref="L6873"/>
    <hyperlink r:id="rId5905" ref="L6874"/>
    <hyperlink r:id="rId5906" ref="L6875"/>
    <hyperlink r:id="rId5907" ref="L6876"/>
    <hyperlink r:id="rId5908" ref="L6877"/>
    <hyperlink r:id="rId5909" ref="L6878"/>
    <hyperlink r:id="rId5910" ref="L6879"/>
    <hyperlink r:id="rId5911" ref="L6880"/>
    <hyperlink r:id="rId5912" ref="L6881"/>
    <hyperlink r:id="rId5913" ref="L6882"/>
    <hyperlink r:id="rId5914" ref="L6883"/>
    <hyperlink r:id="rId5915" ref="L6884"/>
    <hyperlink r:id="rId5916" ref="L6885"/>
    <hyperlink r:id="rId5917" ref="L6886"/>
    <hyperlink r:id="rId5918" ref="L6887"/>
    <hyperlink r:id="rId5919" ref="L6888"/>
    <hyperlink r:id="rId5920" ref="L6889"/>
    <hyperlink r:id="rId5921" ref="L6890"/>
    <hyperlink r:id="rId5922" ref="L6891"/>
    <hyperlink r:id="rId5923" ref="L6892"/>
    <hyperlink r:id="rId5924" ref="L6893"/>
    <hyperlink r:id="rId5925" ref="L6894"/>
    <hyperlink r:id="rId5926" ref="L6895"/>
    <hyperlink r:id="rId5927" ref="L6896"/>
    <hyperlink r:id="rId5928" ref="L6897"/>
    <hyperlink r:id="rId5929" ref="L6898"/>
    <hyperlink r:id="rId5930" ref="L6899"/>
    <hyperlink r:id="rId5931" ref="L6900"/>
    <hyperlink r:id="rId5932" ref="L6901"/>
    <hyperlink r:id="rId5933" ref="L6902"/>
    <hyperlink r:id="rId5934" ref="L6903"/>
    <hyperlink r:id="rId5935" ref="L6904"/>
    <hyperlink r:id="rId5936" ref="L6905"/>
    <hyperlink r:id="rId5937" ref="L6906"/>
    <hyperlink r:id="rId5938" ref="L6907"/>
    <hyperlink r:id="rId5939" ref="L6908"/>
    <hyperlink r:id="rId5940" ref="L6909"/>
    <hyperlink r:id="rId5941" ref="L6910"/>
    <hyperlink r:id="rId5942" ref="L6911"/>
    <hyperlink r:id="rId5943" ref="L6912"/>
    <hyperlink r:id="rId5944" ref="L6913"/>
    <hyperlink r:id="rId5945" ref="L6914"/>
    <hyperlink r:id="rId5946" ref="L6915"/>
    <hyperlink r:id="rId5947" ref="L6916"/>
    <hyperlink r:id="rId5948" ref="L6917"/>
    <hyperlink r:id="rId5949" ref="L6918"/>
    <hyperlink r:id="rId5950" ref="L6919"/>
    <hyperlink r:id="rId5951" ref="L6920"/>
    <hyperlink r:id="rId5952" ref="L6921"/>
    <hyperlink r:id="rId5953" ref="L6922"/>
    <hyperlink r:id="rId5954" ref="L6923"/>
    <hyperlink r:id="rId5955" ref="L6924"/>
    <hyperlink r:id="rId5956" ref="L6925"/>
    <hyperlink r:id="rId5957" ref="L6926"/>
    <hyperlink r:id="rId5958" ref="L6927"/>
    <hyperlink r:id="rId5959" ref="L6928"/>
    <hyperlink r:id="rId5960" ref="L6929"/>
    <hyperlink r:id="rId5961" ref="L6930"/>
    <hyperlink r:id="rId5962" ref="L6931"/>
    <hyperlink r:id="rId5963" ref="L6932"/>
    <hyperlink r:id="rId5964" ref="L6933"/>
    <hyperlink r:id="rId5965" ref="L6934"/>
    <hyperlink r:id="rId5966" ref="L6935"/>
    <hyperlink r:id="rId5967" ref="L6936"/>
    <hyperlink r:id="rId5968" ref="L6937"/>
    <hyperlink r:id="rId5969" ref="L6938"/>
    <hyperlink r:id="rId5970" ref="L6939"/>
    <hyperlink r:id="rId5971" ref="L6940"/>
    <hyperlink r:id="rId5972" ref="L6941"/>
    <hyperlink r:id="rId5973" ref="L6942"/>
    <hyperlink r:id="rId5974" ref="L6943"/>
    <hyperlink r:id="rId5975" ref="L6944"/>
    <hyperlink r:id="rId5976" ref="L6945"/>
    <hyperlink r:id="rId5977" ref="L6946"/>
    <hyperlink r:id="rId5978" ref="L6947"/>
    <hyperlink r:id="rId5979" ref="L6948"/>
    <hyperlink r:id="rId5980" ref="L6949"/>
    <hyperlink r:id="rId5981" ref="L6950"/>
    <hyperlink r:id="rId5982" ref="L6951"/>
    <hyperlink r:id="rId5983" ref="L6952"/>
    <hyperlink r:id="rId5984" ref="L6953"/>
    <hyperlink r:id="rId5985" ref="L6954"/>
    <hyperlink r:id="rId5986" ref="L6955"/>
    <hyperlink r:id="rId5987" ref="L6956"/>
    <hyperlink r:id="rId5988" ref="L6957"/>
    <hyperlink r:id="rId5989" ref="L6958"/>
    <hyperlink r:id="rId5990" ref="L6959"/>
    <hyperlink r:id="rId5991" ref="L6960"/>
    <hyperlink r:id="rId5992" ref="L6961"/>
    <hyperlink r:id="rId5993" ref="L6962"/>
    <hyperlink r:id="rId5994" ref="L6963"/>
    <hyperlink r:id="rId5995" ref="L6964"/>
    <hyperlink r:id="rId5996" ref="L6965"/>
    <hyperlink r:id="rId5997" ref="L6966"/>
    <hyperlink r:id="rId5998" ref="L6967"/>
    <hyperlink r:id="rId5999" ref="L6968"/>
    <hyperlink r:id="rId6000" ref="L6969"/>
    <hyperlink r:id="rId6001" ref="L6970"/>
    <hyperlink r:id="rId6002" ref="L6971"/>
    <hyperlink r:id="rId6003" ref="L6972"/>
    <hyperlink r:id="rId6004" ref="L6973"/>
    <hyperlink r:id="rId6005" ref="L6974"/>
    <hyperlink r:id="rId6006" ref="L6975"/>
    <hyperlink r:id="rId6007" ref="L6976"/>
    <hyperlink r:id="rId6008" ref="L6977"/>
    <hyperlink r:id="rId6009" ref="L6978"/>
    <hyperlink r:id="rId6010" ref="L6979"/>
    <hyperlink r:id="rId6011" ref="L6980"/>
    <hyperlink r:id="rId6012" ref="L6981"/>
    <hyperlink r:id="rId6013" ref="L6982"/>
    <hyperlink r:id="rId6014" ref="L6983"/>
    <hyperlink r:id="rId6015" ref="L6984"/>
    <hyperlink r:id="rId6016" ref="L6985"/>
    <hyperlink r:id="rId6017" ref="L6986"/>
    <hyperlink r:id="rId6018" ref="L6987"/>
    <hyperlink r:id="rId6019" ref="L6988"/>
    <hyperlink r:id="rId6020" ref="L6989"/>
    <hyperlink r:id="rId6021" ref="L6990"/>
    <hyperlink r:id="rId6022" ref="L6991"/>
    <hyperlink r:id="rId6023" ref="L6992"/>
    <hyperlink r:id="rId6024" ref="L6993"/>
    <hyperlink r:id="rId6025" ref="L6994"/>
    <hyperlink r:id="rId6026" ref="L6995"/>
    <hyperlink r:id="rId6027" ref="L6996"/>
    <hyperlink r:id="rId6028" ref="L6997"/>
    <hyperlink r:id="rId6029" ref="L6998"/>
    <hyperlink r:id="rId6030" ref="L6999"/>
    <hyperlink r:id="rId6031" ref="L7000"/>
    <hyperlink r:id="rId6032" ref="L7001"/>
    <hyperlink r:id="rId6033" ref="L7002"/>
    <hyperlink r:id="rId6034" ref="L7003"/>
    <hyperlink r:id="rId6035" ref="L7004"/>
    <hyperlink r:id="rId6036" ref="L7005"/>
    <hyperlink r:id="rId6037" ref="L7006"/>
    <hyperlink r:id="rId6038" ref="L7007"/>
    <hyperlink r:id="rId6039" ref="L7008"/>
    <hyperlink r:id="rId6040" ref="L7009"/>
    <hyperlink r:id="rId6041" ref="L7010"/>
    <hyperlink r:id="rId6042" ref="L7011"/>
    <hyperlink r:id="rId6043" ref="L7012"/>
    <hyperlink r:id="rId6044" ref="L7013"/>
    <hyperlink r:id="rId6045" ref="L7014"/>
    <hyperlink r:id="rId6046" ref="L7015"/>
    <hyperlink r:id="rId6047" ref="L7016"/>
    <hyperlink r:id="rId6048" ref="L7017"/>
    <hyperlink r:id="rId6049" ref="L7018"/>
    <hyperlink r:id="rId6050" ref="L7019"/>
    <hyperlink r:id="rId6051" ref="L7020"/>
    <hyperlink r:id="rId6052" ref="L7021"/>
    <hyperlink r:id="rId6053" ref="L7022"/>
    <hyperlink r:id="rId6054" ref="L7023"/>
    <hyperlink r:id="rId6055" ref="L7024"/>
    <hyperlink r:id="rId6056" ref="L7025"/>
    <hyperlink r:id="rId6057" ref="L7026"/>
    <hyperlink r:id="rId6058" ref="L7027"/>
    <hyperlink r:id="rId6059" ref="L7028"/>
    <hyperlink r:id="rId6060" ref="L7029"/>
    <hyperlink r:id="rId6061" ref="L7030"/>
    <hyperlink r:id="rId6062" ref="L7031"/>
    <hyperlink r:id="rId6063" ref="L7032"/>
    <hyperlink r:id="rId6064" ref="L7033"/>
    <hyperlink r:id="rId6065" ref="L7034"/>
    <hyperlink r:id="rId6066" ref="L7035"/>
    <hyperlink r:id="rId6067" ref="L7036"/>
    <hyperlink r:id="rId6068" ref="L7037"/>
    <hyperlink r:id="rId6069" ref="L7038"/>
    <hyperlink r:id="rId6070" ref="L7039"/>
    <hyperlink r:id="rId6071" ref="L7040"/>
    <hyperlink r:id="rId6072" ref="L7041"/>
    <hyperlink r:id="rId6073" ref="L7042"/>
    <hyperlink r:id="rId6074" ref="L7043"/>
    <hyperlink r:id="rId6075" ref="L7044"/>
    <hyperlink r:id="rId6076" ref="L7045"/>
    <hyperlink r:id="rId6077" ref="L7046"/>
    <hyperlink r:id="rId6078" ref="L7047"/>
    <hyperlink r:id="rId6079" ref="L7048"/>
    <hyperlink r:id="rId6080" ref="L7049"/>
    <hyperlink r:id="rId6081" ref="L7050"/>
    <hyperlink r:id="rId6082" ref="L7051"/>
    <hyperlink r:id="rId6083" ref="L7052"/>
    <hyperlink r:id="rId6084" ref="L7053"/>
    <hyperlink r:id="rId6085" ref="L7054"/>
    <hyperlink r:id="rId6086" ref="L7055"/>
    <hyperlink r:id="rId6087" ref="L7056"/>
    <hyperlink r:id="rId6088" ref="L7057"/>
    <hyperlink r:id="rId6089" ref="L7058"/>
    <hyperlink r:id="rId6090" ref="L7059"/>
    <hyperlink r:id="rId6091" ref="L7060"/>
    <hyperlink r:id="rId6092" ref="L7061"/>
    <hyperlink r:id="rId6093" ref="L7062"/>
    <hyperlink r:id="rId6094" ref="L7063"/>
    <hyperlink r:id="rId6095" ref="L7064"/>
    <hyperlink r:id="rId6096" ref="L7065"/>
    <hyperlink r:id="rId6097" ref="L7066"/>
    <hyperlink r:id="rId6098" ref="L7067"/>
    <hyperlink r:id="rId6099" ref="L7068"/>
    <hyperlink r:id="rId6100" ref="L7069"/>
    <hyperlink r:id="rId6101" ref="L7070"/>
    <hyperlink r:id="rId6102" ref="L7071"/>
    <hyperlink r:id="rId6103" ref="L7072"/>
    <hyperlink r:id="rId6104" ref="L7073"/>
    <hyperlink r:id="rId6105" ref="L7074"/>
    <hyperlink r:id="rId6106" ref="L7075"/>
    <hyperlink r:id="rId6107" ref="L7076"/>
    <hyperlink r:id="rId6108" ref="L7077"/>
    <hyperlink r:id="rId6109" ref="L7078"/>
    <hyperlink r:id="rId6110" ref="L7079"/>
    <hyperlink r:id="rId6111" ref="L7080"/>
    <hyperlink r:id="rId6112" ref="L7081"/>
    <hyperlink r:id="rId6113" ref="L7082"/>
    <hyperlink r:id="rId6114" ref="L7083"/>
    <hyperlink r:id="rId6115" ref="L7084"/>
    <hyperlink r:id="rId6116" ref="L7085"/>
    <hyperlink r:id="rId6117" ref="L7086"/>
    <hyperlink r:id="rId6118" ref="L7087"/>
    <hyperlink r:id="rId6119" ref="L7088"/>
    <hyperlink r:id="rId6120" ref="L7089"/>
    <hyperlink r:id="rId6121" ref="L7090"/>
    <hyperlink r:id="rId6122" ref="L7091"/>
    <hyperlink r:id="rId6123" ref="L7092"/>
    <hyperlink r:id="rId6124" ref="L7093"/>
    <hyperlink r:id="rId6125" ref="L7094"/>
    <hyperlink r:id="rId6126" ref="L7095"/>
    <hyperlink r:id="rId6127" ref="L7096"/>
    <hyperlink r:id="rId6128" ref="L7097"/>
    <hyperlink r:id="rId6129" ref="L7098"/>
    <hyperlink r:id="rId6130" ref="L7099"/>
    <hyperlink r:id="rId6131" ref="L7100"/>
    <hyperlink r:id="rId6132" ref="L7101"/>
    <hyperlink r:id="rId6133" ref="L7102"/>
    <hyperlink r:id="rId6134" ref="L7103"/>
    <hyperlink r:id="rId6135" ref="L7104"/>
    <hyperlink r:id="rId6136" ref="L7105"/>
    <hyperlink r:id="rId6137" ref="L7106"/>
    <hyperlink r:id="rId6138" ref="L7107"/>
    <hyperlink r:id="rId6139" ref="L7108"/>
    <hyperlink r:id="rId6140" ref="L7109"/>
    <hyperlink r:id="rId6141" ref="L7110"/>
    <hyperlink r:id="rId6142" ref="L7111"/>
    <hyperlink r:id="rId6143" ref="L7112"/>
    <hyperlink r:id="rId6144" ref="L7113"/>
    <hyperlink r:id="rId6145" ref="L7114"/>
    <hyperlink r:id="rId6146" ref="L7115"/>
    <hyperlink r:id="rId6147" ref="L7116"/>
    <hyperlink r:id="rId6148" ref="L7117"/>
    <hyperlink r:id="rId6149" ref="L7118"/>
    <hyperlink r:id="rId6150" ref="L7119"/>
    <hyperlink r:id="rId6151" ref="L7120"/>
    <hyperlink r:id="rId6152" ref="L7121"/>
    <hyperlink r:id="rId6153" ref="L7122"/>
    <hyperlink r:id="rId6154" ref="L7123"/>
    <hyperlink r:id="rId6155" ref="L7124"/>
    <hyperlink r:id="rId6156" ref="L7125"/>
    <hyperlink r:id="rId6157" ref="L7126"/>
    <hyperlink r:id="rId6158" ref="L7127"/>
    <hyperlink r:id="rId6159" ref="L7128"/>
    <hyperlink r:id="rId6160" ref="L7129"/>
    <hyperlink r:id="rId6161" ref="L7130"/>
    <hyperlink r:id="rId6162" ref="L7131"/>
    <hyperlink r:id="rId6163" ref="L7132"/>
    <hyperlink r:id="rId6164" ref="L7133"/>
    <hyperlink r:id="rId6165" ref="L7134"/>
    <hyperlink r:id="rId6166" ref="L7135"/>
    <hyperlink r:id="rId6167" ref="L7136"/>
    <hyperlink r:id="rId6168" ref="L7137"/>
    <hyperlink r:id="rId6169" ref="L7138"/>
    <hyperlink r:id="rId6170" ref="L7139"/>
    <hyperlink r:id="rId6171" ref="L7140"/>
    <hyperlink r:id="rId6172" ref="L7141"/>
    <hyperlink r:id="rId6173" ref="L7142"/>
    <hyperlink r:id="rId6174" ref="L7143"/>
    <hyperlink r:id="rId6175" ref="L7144"/>
    <hyperlink r:id="rId6176" ref="L7145"/>
    <hyperlink r:id="rId6177" ref="L7146"/>
    <hyperlink r:id="rId6178" ref="L7147"/>
    <hyperlink r:id="rId6179" ref="L7148"/>
    <hyperlink r:id="rId6180" ref="L7149"/>
    <hyperlink r:id="rId6181" ref="L7150"/>
    <hyperlink r:id="rId6182" ref="L7151"/>
    <hyperlink r:id="rId6183" ref="L7152"/>
    <hyperlink r:id="rId6184" ref="L7153"/>
    <hyperlink r:id="rId6185" ref="L7154"/>
    <hyperlink r:id="rId6186" ref="L7155"/>
    <hyperlink r:id="rId6187" ref="L7156"/>
    <hyperlink r:id="rId6188" ref="L7157"/>
    <hyperlink r:id="rId6189" ref="L7158"/>
    <hyperlink r:id="rId6190" ref="L7159"/>
    <hyperlink r:id="rId6191" ref="L7160"/>
    <hyperlink r:id="rId6192" ref="L7161"/>
    <hyperlink r:id="rId6193" ref="L7162"/>
    <hyperlink r:id="rId6194" ref="L7163"/>
    <hyperlink r:id="rId6195" ref="L7164"/>
    <hyperlink r:id="rId6196" ref="L7165"/>
    <hyperlink r:id="rId6197" ref="L7166"/>
    <hyperlink r:id="rId6198" ref="L7167"/>
    <hyperlink r:id="rId6199" ref="L7168"/>
    <hyperlink r:id="rId6200" ref="L7169"/>
    <hyperlink r:id="rId6201" ref="L7170"/>
    <hyperlink r:id="rId6202" ref="L7171"/>
    <hyperlink r:id="rId6203" ref="L7172"/>
    <hyperlink r:id="rId6204" ref="L7173"/>
    <hyperlink r:id="rId6205" ref="L7174"/>
    <hyperlink r:id="rId6206" ref="L7175"/>
    <hyperlink r:id="rId6207" ref="L7176"/>
    <hyperlink r:id="rId6208" ref="L7177"/>
    <hyperlink r:id="rId6209" ref="L7178"/>
    <hyperlink r:id="rId6210" ref="L7179"/>
    <hyperlink r:id="rId6211" ref="L7180"/>
    <hyperlink r:id="rId6212" ref="L7181"/>
    <hyperlink r:id="rId6213" ref="L7182"/>
    <hyperlink r:id="rId6214" ref="L7183"/>
    <hyperlink r:id="rId6215" ref="L7184"/>
    <hyperlink r:id="rId6216" ref="L7185"/>
    <hyperlink r:id="rId6217" ref="L7186"/>
    <hyperlink r:id="rId6218" ref="L7187"/>
    <hyperlink r:id="rId6219" ref="L7188"/>
    <hyperlink r:id="rId6220" ref="L7189"/>
    <hyperlink r:id="rId6221" ref="L7190"/>
    <hyperlink r:id="rId6222" ref="L7191"/>
    <hyperlink r:id="rId6223" ref="L7192"/>
    <hyperlink r:id="rId6224" ref="L7193"/>
    <hyperlink r:id="rId6225" ref="L7194"/>
    <hyperlink r:id="rId6226" ref="L7195"/>
    <hyperlink r:id="rId6227" ref="L7196"/>
    <hyperlink r:id="rId6228" ref="L7197"/>
    <hyperlink r:id="rId6229" ref="L7198"/>
    <hyperlink r:id="rId6230" ref="L7199"/>
    <hyperlink r:id="rId6231" ref="L7200"/>
    <hyperlink r:id="rId6232" ref="L7201"/>
    <hyperlink r:id="rId6233" ref="L7202"/>
    <hyperlink r:id="rId6234" ref="L7203"/>
    <hyperlink r:id="rId6235" ref="L7204"/>
    <hyperlink r:id="rId6236" ref="L7205"/>
    <hyperlink r:id="rId6237" ref="L7206"/>
    <hyperlink r:id="rId6238" ref="L7207"/>
    <hyperlink r:id="rId6239" ref="L7208"/>
    <hyperlink r:id="rId6240" ref="L7209"/>
    <hyperlink r:id="rId6241" ref="L7210"/>
    <hyperlink r:id="rId6242" ref="L7211"/>
    <hyperlink r:id="rId6243" ref="L7212"/>
    <hyperlink r:id="rId6244" ref="L7213"/>
    <hyperlink r:id="rId6245" ref="L7214"/>
    <hyperlink r:id="rId6246" ref="L7215"/>
    <hyperlink r:id="rId6247" ref="L7216"/>
    <hyperlink r:id="rId6248" ref="L7217"/>
    <hyperlink r:id="rId6249" ref="L7218"/>
    <hyperlink r:id="rId6250" ref="L7219"/>
    <hyperlink r:id="rId6251" ref="L7220"/>
    <hyperlink r:id="rId6252" ref="L7221"/>
    <hyperlink r:id="rId6253" ref="L7222"/>
    <hyperlink r:id="rId6254" ref="L7223"/>
    <hyperlink r:id="rId6255" ref="L7224"/>
    <hyperlink r:id="rId6256" ref="L7225"/>
    <hyperlink r:id="rId6257" ref="L7226"/>
    <hyperlink r:id="rId6258" ref="L7227"/>
    <hyperlink r:id="rId6259" ref="L7228"/>
    <hyperlink r:id="rId6260" ref="L7229"/>
    <hyperlink r:id="rId6261" ref="L7230"/>
    <hyperlink r:id="rId6262" ref="L7231"/>
    <hyperlink r:id="rId6263" ref="L7232"/>
    <hyperlink r:id="rId6264" ref="L7233"/>
    <hyperlink r:id="rId6265" ref="L7234"/>
    <hyperlink r:id="rId6266" ref="L7235"/>
    <hyperlink r:id="rId6267" ref="L7236"/>
    <hyperlink r:id="rId6268" ref="L7237"/>
    <hyperlink r:id="rId6269" ref="L7238"/>
    <hyperlink r:id="rId6270" ref="L7239"/>
    <hyperlink r:id="rId6271" ref="L7240"/>
    <hyperlink r:id="rId6272" ref="L7241"/>
    <hyperlink r:id="rId6273" ref="L7242"/>
    <hyperlink r:id="rId6274" ref="L7243"/>
    <hyperlink r:id="rId6275" ref="L7244"/>
    <hyperlink r:id="rId6276" ref="L7245"/>
    <hyperlink r:id="rId6277" ref="L7246"/>
    <hyperlink r:id="rId6278" ref="L7247"/>
    <hyperlink r:id="rId6279" ref="L7248"/>
    <hyperlink r:id="rId6280" ref="L7249"/>
    <hyperlink r:id="rId6281" ref="L7250"/>
    <hyperlink r:id="rId6282" ref="L7251"/>
    <hyperlink r:id="rId6283" ref="L7252"/>
    <hyperlink r:id="rId6284" ref="L7253"/>
    <hyperlink r:id="rId6285" ref="L7254"/>
    <hyperlink r:id="rId6286" ref="L7255"/>
    <hyperlink r:id="rId6287" ref="L7256"/>
    <hyperlink r:id="rId6288" ref="L7257"/>
    <hyperlink r:id="rId6289" ref="L7258"/>
    <hyperlink r:id="rId6290" ref="L7259"/>
    <hyperlink r:id="rId6291" ref="L7260"/>
    <hyperlink r:id="rId6292" ref="L7261"/>
    <hyperlink r:id="rId6293" ref="L7262"/>
    <hyperlink r:id="rId6294" ref="L7263"/>
    <hyperlink r:id="rId6295" ref="L7264"/>
    <hyperlink r:id="rId6296" ref="L7265"/>
    <hyperlink r:id="rId6297" ref="L7266"/>
    <hyperlink r:id="rId6298" ref="L7267"/>
    <hyperlink r:id="rId6299" ref="L7268"/>
    <hyperlink r:id="rId6300" ref="L7269"/>
    <hyperlink r:id="rId6301" ref="L7270"/>
    <hyperlink r:id="rId6302" ref="L7271"/>
    <hyperlink r:id="rId6303" ref="L7272"/>
    <hyperlink r:id="rId6304" ref="L7273"/>
    <hyperlink r:id="rId6305" ref="L7274"/>
    <hyperlink r:id="rId6306" ref="L7275"/>
    <hyperlink r:id="rId6307" ref="L7276"/>
    <hyperlink r:id="rId6308" ref="L7277"/>
    <hyperlink r:id="rId6309" ref="L7278"/>
    <hyperlink r:id="rId6310" ref="L7279"/>
    <hyperlink r:id="rId6311" ref="L7280"/>
    <hyperlink r:id="rId6312" ref="L7281"/>
    <hyperlink r:id="rId6313" ref="L7282"/>
    <hyperlink r:id="rId6314" ref="L7283"/>
    <hyperlink r:id="rId6315" ref="L7284"/>
    <hyperlink r:id="rId6316" ref="L7285"/>
    <hyperlink r:id="rId6317" ref="L7286"/>
    <hyperlink r:id="rId6318" ref="L7287"/>
    <hyperlink r:id="rId6319" ref="L7288"/>
    <hyperlink r:id="rId6320" ref="L7289"/>
    <hyperlink r:id="rId6321" ref="L7290"/>
    <hyperlink r:id="rId6322" ref="L7291"/>
    <hyperlink r:id="rId6323" ref="L7292"/>
    <hyperlink r:id="rId6324" ref="L7293"/>
    <hyperlink r:id="rId6325" ref="L7294"/>
    <hyperlink r:id="rId6326" ref="L7295"/>
    <hyperlink r:id="rId6327" ref="L7296"/>
    <hyperlink r:id="rId6328" ref="L7297"/>
    <hyperlink r:id="rId6329" ref="L7298"/>
    <hyperlink r:id="rId6330" ref="L7299"/>
    <hyperlink r:id="rId6331" ref="L7300"/>
    <hyperlink r:id="rId6332" ref="L7301"/>
    <hyperlink r:id="rId6333" ref="L7302"/>
    <hyperlink r:id="rId6334" ref="L7303"/>
    <hyperlink r:id="rId6335" ref="L7304"/>
    <hyperlink r:id="rId6336" ref="L7305"/>
    <hyperlink r:id="rId6337" ref="L7306"/>
    <hyperlink r:id="rId6338" ref="L7307"/>
    <hyperlink r:id="rId6339" ref="L7308"/>
    <hyperlink r:id="rId6340" ref="L7309"/>
    <hyperlink r:id="rId6341" ref="L7310"/>
    <hyperlink r:id="rId6342" ref="L7311"/>
    <hyperlink r:id="rId6343" ref="L7312"/>
    <hyperlink r:id="rId6344" ref="L7313"/>
    <hyperlink r:id="rId6345" ref="L7314"/>
    <hyperlink r:id="rId6346" ref="L7315"/>
    <hyperlink r:id="rId6347" ref="L7316"/>
    <hyperlink r:id="rId6348" ref="L7317"/>
    <hyperlink r:id="rId6349" ref="L7318"/>
    <hyperlink r:id="rId6350" ref="L7319"/>
    <hyperlink r:id="rId6351" ref="L7320"/>
    <hyperlink r:id="rId6352" ref="L7321"/>
    <hyperlink r:id="rId6353" ref="L7322"/>
    <hyperlink r:id="rId6354" ref="L7323"/>
    <hyperlink r:id="rId6355" ref="L7324"/>
    <hyperlink r:id="rId6356" ref="L7325"/>
    <hyperlink r:id="rId6357" ref="L7326"/>
    <hyperlink r:id="rId6358" ref="L7327"/>
    <hyperlink r:id="rId6359" ref="L7328"/>
    <hyperlink r:id="rId6360" ref="L7329"/>
    <hyperlink r:id="rId6361" ref="L7330"/>
    <hyperlink r:id="rId6362" ref="L7331"/>
    <hyperlink r:id="rId6363" ref="L7332"/>
    <hyperlink r:id="rId6364" ref="L7333"/>
    <hyperlink r:id="rId6365" ref="L7334"/>
    <hyperlink r:id="rId6366" ref="L7335"/>
    <hyperlink r:id="rId6367" ref="L7336"/>
    <hyperlink r:id="rId6368" ref="L7337"/>
    <hyperlink r:id="rId6369" ref="L7338"/>
    <hyperlink r:id="rId6370" ref="L7339"/>
    <hyperlink r:id="rId6371" ref="L7340"/>
    <hyperlink r:id="rId6372" ref="L7341"/>
    <hyperlink r:id="rId6373" ref="L7342"/>
    <hyperlink r:id="rId6374" ref="L7343"/>
    <hyperlink r:id="rId6375" ref="L7344"/>
    <hyperlink r:id="rId6376" ref="L7345"/>
    <hyperlink r:id="rId6377" ref="L7346"/>
    <hyperlink r:id="rId6378" ref="L7347"/>
    <hyperlink r:id="rId6379" ref="L7348"/>
    <hyperlink r:id="rId6380" ref="L7349"/>
    <hyperlink r:id="rId6381" ref="L7350"/>
    <hyperlink r:id="rId6382" ref="L7351"/>
    <hyperlink r:id="rId6383" ref="L7352"/>
    <hyperlink r:id="rId6384" ref="L7353"/>
    <hyperlink r:id="rId6385" ref="L7354"/>
    <hyperlink r:id="rId6386" ref="L7355"/>
    <hyperlink r:id="rId6387" ref="L7356"/>
    <hyperlink r:id="rId6388" ref="L7357"/>
    <hyperlink r:id="rId6389" ref="L7358"/>
    <hyperlink r:id="rId6390" ref="L7359"/>
    <hyperlink r:id="rId6391" ref="L7360"/>
    <hyperlink r:id="rId6392" ref="L7361"/>
    <hyperlink r:id="rId6393" ref="L7362"/>
    <hyperlink r:id="rId6394" ref="L7363"/>
    <hyperlink r:id="rId6395" ref="L7364"/>
    <hyperlink r:id="rId6396" ref="L7365"/>
    <hyperlink r:id="rId6397" ref="L7366"/>
    <hyperlink r:id="rId6398" ref="L7367"/>
    <hyperlink r:id="rId6399" ref="L7368"/>
    <hyperlink r:id="rId6400" ref="L7369"/>
    <hyperlink r:id="rId6401" ref="L7370"/>
    <hyperlink r:id="rId6402" ref="L7371"/>
    <hyperlink r:id="rId6403" ref="L7372"/>
    <hyperlink r:id="rId6404" ref="L7373"/>
    <hyperlink r:id="rId6405" ref="L7374"/>
    <hyperlink r:id="rId6406" ref="L7375"/>
    <hyperlink r:id="rId6407" ref="L7376"/>
    <hyperlink r:id="rId6408" ref="L7377"/>
    <hyperlink r:id="rId6409" ref="L7378"/>
    <hyperlink r:id="rId6410" ref="L7379"/>
    <hyperlink r:id="rId6411" ref="L7380"/>
    <hyperlink r:id="rId6412" ref="L7381"/>
    <hyperlink r:id="rId6413" ref="L7382"/>
    <hyperlink r:id="rId6414" ref="L7383"/>
    <hyperlink r:id="rId6415" ref="L7384"/>
    <hyperlink r:id="rId6416" ref="L7385"/>
    <hyperlink r:id="rId6417" ref="L7386"/>
    <hyperlink r:id="rId6418" ref="L7387"/>
    <hyperlink r:id="rId6419" ref="L7388"/>
    <hyperlink r:id="rId6420" ref="L7389"/>
    <hyperlink r:id="rId6421" ref="L7390"/>
    <hyperlink r:id="rId6422" ref="L7391"/>
    <hyperlink r:id="rId6423" ref="L7392"/>
    <hyperlink r:id="rId6424" ref="L7393"/>
    <hyperlink r:id="rId6425" ref="L7394"/>
    <hyperlink r:id="rId6426" ref="L7395"/>
    <hyperlink r:id="rId6427" ref="L7396"/>
    <hyperlink r:id="rId6428" ref="L7397"/>
    <hyperlink r:id="rId6429" ref="L7398"/>
    <hyperlink r:id="rId6430" ref="L7399"/>
    <hyperlink r:id="rId6431" ref="L7400"/>
    <hyperlink r:id="rId6432" ref="L7401"/>
    <hyperlink r:id="rId6433" ref="L7402"/>
    <hyperlink r:id="rId6434" ref="L7403"/>
    <hyperlink r:id="rId6435" ref="L7404"/>
    <hyperlink r:id="rId6436" ref="L7405"/>
    <hyperlink r:id="rId6437" ref="L7406"/>
    <hyperlink r:id="rId6438" ref="L7407"/>
    <hyperlink r:id="rId6439" ref="L7408"/>
    <hyperlink r:id="rId6440" ref="L7409"/>
    <hyperlink r:id="rId6441" ref="L7410"/>
    <hyperlink r:id="rId6442" ref="L7411"/>
    <hyperlink r:id="rId6443" ref="L7412"/>
    <hyperlink r:id="rId6444" ref="L7413"/>
    <hyperlink r:id="rId6445" ref="L7414"/>
    <hyperlink r:id="rId6446" ref="L7415"/>
    <hyperlink r:id="rId6447" ref="L7416"/>
    <hyperlink r:id="rId6448" ref="L7417"/>
    <hyperlink r:id="rId6449" ref="L7418"/>
    <hyperlink r:id="rId6450" ref="L7419"/>
    <hyperlink r:id="rId6451" ref="L7420"/>
    <hyperlink r:id="rId6452" ref="L7421"/>
    <hyperlink r:id="rId6453" ref="L7422"/>
    <hyperlink r:id="rId6454" ref="L7423"/>
    <hyperlink r:id="rId6455" ref="L7424"/>
    <hyperlink r:id="rId6456" ref="L7425"/>
    <hyperlink r:id="rId6457" ref="L7426"/>
    <hyperlink r:id="rId6458" ref="L7427"/>
    <hyperlink r:id="rId6459" ref="L7428"/>
    <hyperlink r:id="rId6460" ref="L7429"/>
    <hyperlink r:id="rId6461" ref="L7430"/>
    <hyperlink r:id="rId6462" ref="L7431"/>
    <hyperlink r:id="rId6463" ref="L7432"/>
    <hyperlink r:id="rId6464" ref="L7433"/>
    <hyperlink r:id="rId6465" ref="L7434"/>
    <hyperlink r:id="rId6466" ref="L7435"/>
    <hyperlink r:id="rId6467" ref="L7436"/>
    <hyperlink r:id="rId6468" ref="L7437"/>
    <hyperlink r:id="rId6469" ref="L7438"/>
    <hyperlink r:id="rId6470" ref="L7439"/>
    <hyperlink r:id="rId6471" ref="L7440"/>
    <hyperlink r:id="rId6472" ref="L7441"/>
    <hyperlink r:id="rId6473" ref="L7442"/>
    <hyperlink r:id="rId6474" ref="L7443"/>
    <hyperlink r:id="rId6475" ref="L7444"/>
    <hyperlink r:id="rId6476" ref="L7445"/>
    <hyperlink r:id="rId6477" ref="L7446"/>
    <hyperlink r:id="rId6478" ref="L7447"/>
    <hyperlink r:id="rId6479" ref="L7448"/>
    <hyperlink r:id="rId6480" ref="L7449"/>
    <hyperlink r:id="rId6481" ref="L7450"/>
    <hyperlink r:id="rId6482" ref="L7451"/>
    <hyperlink r:id="rId6483" ref="L7452"/>
    <hyperlink r:id="rId6484" ref="L7453"/>
    <hyperlink r:id="rId6485" ref="L7454"/>
    <hyperlink r:id="rId6486" ref="L7455"/>
    <hyperlink r:id="rId6487" ref="L7456"/>
    <hyperlink r:id="rId6488" ref="L7457"/>
    <hyperlink r:id="rId6489" ref="L7458"/>
    <hyperlink r:id="rId6490" ref="L7459"/>
    <hyperlink r:id="rId6491" ref="L7460"/>
    <hyperlink r:id="rId6492" ref="L7461"/>
    <hyperlink r:id="rId6493" ref="L7462"/>
    <hyperlink r:id="rId6494" ref="L7463"/>
    <hyperlink r:id="rId6495" ref="L7464"/>
    <hyperlink r:id="rId6496" ref="L7465"/>
    <hyperlink r:id="rId6497" ref="L7466"/>
    <hyperlink r:id="rId6498" ref="L7467"/>
    <hyperlink r:id="rId6499" ref="L7468"/>
    <hyperlink r:id="rId6500" ref="L7469"/>
    <hyperlink r:id="rId6501" ref="L7470"/>
    <hyperlink r:id="rId6502" ref="L7471"/>
    <hyperlink r:id="rId6503" ref="L7472"/>
    <hyperlink r:id="rId6504" ref="L7473"/>
    <hyperlink r:id="rId6505" ref="L7474"/>
    <hyperlink r:id="rId6506" ref="L7475"/>
    <hyperlink r:id="rId6507" ref="L7476"/>
    <hyperlink r:id="rId6508" ref="L7477"/>
    <hyperlink r:id="rId6509" ref="L7478"/>
    <hyperlink r:id="rId6510" ref="L7479"/>
    <hyperlink r:id="rId6511" ref="L7480"/>
    <hyperlink r:id="rId6512" ref="L7481"/>
    <hyperlink r:id="rId6513" ref="L7482"/>
    <hyperlink r:id="rId6514" ref="L7483"/>
    <hyperlink r:id="rId6515" ref="L7484"/>
    <hyperlink r:id="rId6516" ref="L7485"/>
    <hyperlink r:id="rId6517" ref="L7486"/>
    <hyperlink r:id="rId6518" ref="L7487"/>
    <hyperlink r:id="rId6519" ref="L7488"/>
    <hyperlink r:id="rId6520" ref="L7489"/>
    <hyperlink r:id="rId6521" ref="L7490"/>
    <hyperlink r:id="rId6522" ref="L7491"/>
    <hyperlink r:id="rId6523" ref="L7492"/>
    <hyperlink r:id="rId6524" ref="L7493"/>
    <hyperlink r:id="rId6525" ref="L7494"/>
    <hyperlink r:id="rId6526" ref="L7495"/>
    <hyperlink r:id="rId6527" ref="L7496"/>
    <hyperlink r:id="rId6528" ref="L7497"/>
    <hyperlink r:id="rId6529" ref="L7498"/>
    <hyperlink r:id="rId6530" ref="L7499"/>
    <hyperlink r:id="rId6531" ref="L7500"/>
    <hyperlink r:id="rId6532" ref="L7501"/>
    <hyperlink r:id="rId6533" ref="L7502"/>
    <hyperlink r:id="rId6534" ref="L7503"/>
    <hyperlink r:id="rId6535" ref="L7504"/>
    <hyperlink r:id="rId6536" ref="L7505"/>
    <hyperlink r:id="rId6537" ref="L7506"/>
    <hyperlink r:id="rId6538" ref="L7507"/>
    <hyperlink r:id="rId6539" ref="L7508"/>
    <hyperlink r:id="rId6540" ref="L7509"/>
    <hyperlink r:id="rId6541" ref="L7510"/>
    <hyperlink r:id="rId6542" ref="L7511"/>
    <hyperlink r:id="rId6543" ref="L7512"/>
    <hyperlink r:id="rId6544" ref="L7513"/>
    <hyperlink r:id="rId6545" ref="L7514"/>
    <hyperlink r:id="rId6546" ref="L7515"/>
    <hyperlink r:id="rId6547" ref="L7516"/>
    <hyperlink r:id="rId6548" ref="L7517"/>
    <hyperlink r:id="rId6549" ref="L7518"/>
    <hyperlink r:id="rId6550" ref="L7519"/>
    <hyperlink r:id="rId6551" ref="L7520"/>
    <hyperlink r:id="rId6552" ref="L7521"/>
    <hyperlink r:id="rId6553" ref="L7522"/>
    <hyperlink r:id="rId6554" ref="L7523"/>
    <hyperlink r:id="rId6555" ref="L7524"/>
    <hyperlink r:id="rId6556" ref="L7525"/>
    <hyperlink r:id="rId6557" ref="L7526"/>
    <hyperlink r:id="rId6558" ref="L7527"/>
    <hyperlink r:id="rId6559" ref="L7528"/>
    <hyperlink r:id="rId6560" ref="L7529"/>
    <hyperlink r:id="rId6561" ref="L7530"/>
    <hyperlink r:id="rId6562" ref="L7531"/>
    <hyperlink r:id="rId6563" ref="L7532"/>
    <hyperlink r:id="rId6564" ref="L7533"/>
    <hyperlink r:id="rId6565" ref="L7534"/>
    <hyperlink r:id="rId6566" ref="L7535"/>
    <hyperlink r:id="rId6567" ref="L7536"/>
    <hyperlink r:id="rId6568" ref="L7537"/>
    <hyperlink r:id="rId6569" ref="L7538"/>
    <hyperlink r:id="rId6570" ref="L7539"/>
    <hyperlink r:id="rId6571" ref="L7540"/>
    <hyperlink r:id="rId6572" ref="L7541"/>
    <hyperlink r:id="rId6573" ref="L7542"/>
    <hyperlink r:id="rId6574" ref="L7543"/>
    <hyperlink r:id="rId6575" ref="L7544"/>
    <hyperlink r:id="rId6576" ref="L7545"/>
    <hyperlink r:id="rId6577" ref="L7546"/>
    <hyperlink r:id="rId6578" ref="L7547"/>
    <hyperlink r:id="rId6579" ref="L7548"/>
    <hyperlink r:id="rId6580" ref="L7549"/>
    <hyperlink r:id="rId6581" ref="L7550"/>
    <hyperlink r:id="rId6582" ref="L7551"/>
    <hyperlink r:id="rId6583" ref="L7552"/>
    <hyperlink r:id="rId6584" ref="L7553"/>
    <hyperlink r:id="rId6585" ref="L7554"/>
    <hyperlink r:id="rId6586" ref="L7555"/>
    <hyperlink r:id="rId6587" ref="L7556"/>
    <hyperlink r:id="rId6588" ref="L7557"/>
    <hyperlink r:id="rId6589" ref="L7558"/>
    <hyperlink r:id="rId6590" ref="L7559"/>
    <hyperlink r:id="rId6591" ref="L7560"/>
    <hyperlink r:id="rId6592" ref="L7561"/>
    <hyperlink r:id="rId6593" ref="L7562"/>
    <hyperlink r:id="rId6594" ref="L7563"/>
    <hyperlink r:id="rId6595" ref="L7564"/>
    <hyperlink r:id="rId6596" ref="L7565"/>
    <hyperlink r:id="rId6597" ref="L7566"/>
    <hyperlink r:id="rId6598" ref="L7567"/>
    <hyperlink r:id="rId6599" ref="L7568"/>
    <hyperlink r:id="rId6600" ref="L7569"/>
    <hyperlink r:id="rId6601" ref="L7570"/>
    <hyperlink r:id="rId6602" ref="L7571"/>
    <hyperlink r:id="rId6603" ref="L7572"/>
    <hyperlink r:id="rId6604" ref="L7573"/>
    <hyperlink r:id="rId6605" ref="L7574"/>
    <hyperlink r:id="rId6606" ref="L7575"/>
    <hyperlink r:id="rId6607" ref="L7576"/>
    <hyperlink r:id="rId6608" ref="L7577"/>
    <hyperlink r:id="rId6609" ref="L7578"/>
    <hyperlink r:id="rId6610" ref="L7579"/>
    <hyperlink r:id="rId6611" ref="L7580"/>
    <hyperlink r:id="rId6612" ref="L7581"/>
    <hyperlink r:id="rId6613" ref="L7582"/>
    <hyperlink r:id="rId6614" ref="L7583"/>
    <hyperlink r:id="rId6615" ref="L7584"/>
    <hyperlink r:id="rId6616" ref="L7585"/>
    <hyperlink r:id="rId6617" ref="L7586"/>
    <hyperlink r:id="rId6618" ref="L7587"/>
    <hyperlink r:id="rId6619" ref="L7588"/>
    <hyperlink r:id="rId6620" ref="L7589"/>
    <hyperlink r:id="rId6621" ref="L7590"/>
    <hyperlink r:id="rId6622" ref="L7591"/>
    <hyperlink r:id="rId6623" ref="L7592"/>
    <hyperlink r:id="rId6624" ref="L7593"/>
    <hyperlink r:id="rId6625" ref="L7594"/>
    <hyperlink r:id="rId6626" ref="L7595"/>
    <hyperlink r:id="rId6627" ref="L7596"/>
    <hyperlink r:id="rId6628" ref="L7597"/>
    <hyperlink r:id="rId6629" ref="L7598"/>
    <hyperlink r:id="rId6630" ref="L7599"/>
    <hyperlink r:id="rId6631" ref="L7600"/>
    <hyperlink r:id="rId6632" ref="L7601"/>
    <hyperlink r:id="rId6633" ref="L7602"/>
    <hyperlink r:id="rId6634" ref="L7603"/>
    <hyperlink r:id="rId6635" ref="L7604"/>
    <hyperlink r:id="rId6636" ref="L7605"/>
    <hyperlink r:id="rId6637" ref="L7606"/>
    <hyperlink r:id="rId6638" ref="L7607"/>
    <hyperlink r:id="rId6639" ref="L7608"/>
    <hyperlink r:id="rId6640" ref="L7609"/>
    <hyperlink r:id="rId6641" ref="L7610"/>
    <hyperlink r:id="rId6642" ref="L7611"/>
    <hyperlink r:id="rId6643" ref="L7612"/>
    <hyperlink r:id="rId6644" ref="L7613"/>
    <hyperlink r:id="rId6645" ref="L7614"/>
    <hyperlink r:id="rId6646" ref="L7615"/>
    <hyperlink r:id="rId6647" ref="L7616"/>
    <hyperlink r:id="rId6648" ref="L7617"/>
    <hyperlink r:id="rId6649" ref="L7618"/>
    <hyperlink r:id="rId6650" ref="L7619"/>
    <hyperlink r:id="rId6651" ref="L7620"/>
    <hyperlink r:id="rId6652" ref="L7621"/>
    <hyperlink r:id="rId6653" ref="L7622"/>
    <hyperlink r:id="rId6654" ref="L7623"/>
    <hyperlink r:id="rId6655" ref="L7624"/>
    <hyperlink r:id="rId6656" ref="L7625"/>
    <hyperlink r:id="rId6657" ref="L7626"/>
    <hyperlink r:id="rId6658" ref="L7627"/>
    <hyperlink r:id="rId6659" ref="L7628"/>
    <hyperlink r:id="rId6660" ref="L7629"/>
    <hyperlink r:id="rId6661" ref="L7630"/>
    <hyperlink r:id="rId6662" ref="L7631"/>
    <hyperlink r:id="rId6663" ref="L7632"/>
    <hyperlink r:id="rId6664" ref="L7633"/>
    <hyperlink r:id="rId6665" ref="L7634"/>
    <hyperlink r:id="rId6666" ref="L7635"/>
    <hyperlink r:id="rId6667" ref="L7636"/>
    <hyperlink r:id="rId6668" ref="L7637"/>
    <hyperlink r:id="rId6669" ref="L7638"/>
    <hyperlink r:id="rId6670" ref="L7639"/>
    <hyperlink r:id="rId6671" ref="L7640"/>
    <hyperlink r:id="rId6672" ref="L7641"/>
    <hyperlink r:id="rId6673" ref="L7642"/>
    <hyperlink r:id="rId6674" ref="L7643"/>
    <hyperlink r:id="rId6675" ref="L7644"/>
    <hyperlink r:id="rId6676" ref="L7645"/>
    <hyperlink r:id="rId6677" ref="L7646"/>
    <hyperlink r:id="rId6678" ref="L7647"/>
    <hyperlink r:id="rId6679" ref="L7648"/>
    <hyperlink r:id="rId6680" ref="L7649"/>
    <hyperlink r:id="rId6681" ref="L7650"/>
    <hyperlink r:id="rId6682" ref="L7651"/>
    <hyperlink r:id="rId6683" ref="L7652"/>
    <hyperlink r:id="rId6684" ref="L7653"/>
    <hyperlink r:id="rId6685" ref="L7654"/>
    <hyperlink r:id="rId6686" ref="L7655"/>
    <hyperlink r:id="rId6687" ref="L7656"/>
    <hyperlink r:id="rId6688" ref="L7657"/>
    <hyperlink r:id="rId6689" ref="L7658"/>
    <hyperlink r:id="rId6690" ref="L7659"/>
    <hyperlink r:id="rId6691" ref="L7660"/>
    <hyperlink r:id="rId6692" ref="L7661"/>
    <hyperlink r:id="rId6693" ref="L7662"/>
    <hyperlink r:id="rId6694" ref="L7663"/>
    <hyperlink r:id="rId6695" ref="L7664"/>
    <hyperlink r:id="rId6696" ref="L7665"/>
    <hyperlink r:id="rId6697" ref="L7666"/>
    <hyperlink r:id="rId6698" ref="L7667"/>
    <hyperlink r:id="rId6699" ref="L7668"/>
    <hyperlink r:id="rId6700" ref="L7669"/>
    <hyperlink r:id="rId6701" ref="L7670"/>
    <hyperlink r:id="rId6702" ref="L7671"/>
    <hyperlink r:id="rId6703" ref="L7672"/>
    <hyperlink r:id="rId6704" ref="L7673"/>
    <hyperlink r:id="rId6705" ref="L7674"/>
    <hyperlink r:id="rId6706" ref="L7675"/>
    <hyperlink r:id="rId6707" ref="L7676"/>
    <hyperlink r:id="rId6708" ref="L7677"/>
    <hyperlink r:id="rId6709" ref="L7678"/>
    <hyperlink r:id="rId6710" ref="L7679"/>
    <hyperlink r:id="rId6711" ref="L7680"/>
    <hyperlink r:id="rId6712" ref="L7681"/>
    <hyperlink r:id="rId6713" ref="L7682"/>
    <hyperlink r:id="rId6714" ref="L7683"/>
    <hyperlink r:id="rId6715" ref="L7684"/>
    <hyperlink r:id="rId6716" ref="L7685"/>
    <hyperlink r:id="rId6717" ref="L7686"/>
    <hyperlink r:id="rId6718" ref="L7687"/>
    <hyperlink r:id="rId6719" ref="L7688"/>
    <hyperlink r:id="rId6720" ref="L7689"/>
    <hyperlink r:id="rId6721" ref="L7690"/>
    <hyperlink r:id="rId6722" ref="L7691"/>
    <hyperlink r:id="rId6723" ref="L7692"/>
    <hyperlink r:id="rId6724" ref="L7693"/>
    <hyperlink r:id="rId6725" ref="L7694"/>
    <hyperlink r:id="rId6726" ref="L7695"/>
    <hyperlink r:id="rId6727" ref="L7696"/>
    <hyperlink r:id="rId6728" ref="L7697"/>
    <hyperlink r:id="rId6729" ref="L7698"/>
    <hyperlink r:id="rId6730" ref="L7699"/>
    <hyperlink r:id="rId6731" ref="L7700"/>
    <hyperlink r:id="rId6732" ref="L7701"/>
    <hyperlink r:id="rId6733" ref="L7702"/>
    <hyperlink r:id="rId6734" ref="L7703"/>
    <hyperlink r:id="rId6735" ref="L7704"/>
    <hyperlink r:id="rId6736" ref="L7705"/>
    <hyperlink r:id="rId6737" ref="L7706"/>
    <hyperlink r:id="rId6738" ref="L7707"/>
    <hyperlink r:id="rId6739" ref="L7708"/>
    <hyperlink r:id="rId6740" ref="L7709"/>
    <hyperlink r:id="rId6741" ref="L7710"/>
    <hyperlink r:id="rId6742" ref="L7711"/>
    <hyperlink r:id="rId6743" ref="L7712"/>
    <hyperlink r:id="rId6744" ref="L7713"/>
    <hyperlink r:id="rId6745" ref="L7714"/>
    <hyperlink r:id="rId6746" ref="L7715"/>
    <hyperlink r:id="rId6747" ref="L7716"/>
    <hyperlink r:id="rId6748" ref="L7717"/>
    <hyperlink r:id="rId6749" ref="L7718"/>
    <hyperlink r:id="rId6750" ref="L7719"/>
    <hyperlink r:id="rId6751" ref="L7720"/>
    <hyperlink r:id="rId6752" ref="L7721"/>
    <hyperlink r:id="rId6753" ref="L7722"/>
    <hyperlink r:id="rId6754" ref="L7723"/>
    <hyperlink r:id="rId6755" ref="L7724"/>
    <hyperlink r:id="rId6756" ref="L7725"/>
    <hyperlink r:id="rId6757" ref="L7726"/>
    <hyperlink r:id="rId6758" ref="L7727"/>
    <hyperlink r:id="rId6759" ref="L7728"/>
    <hyperlink r:id="rId6760" ref="L7729"/>
    <hyperlink r:id="rId6761" ref="L7730"/>
    <hyperlink r:id="rId6762" ref="L7731"/>
    <hyperlink r:id="rId6763" ref="L7732"/>
    <hyperlink r:id="rId6764" ref="L7733"/>
    <hyperlink r:id="rId6765" ref="L7734"/>
    <hyperlink r:id="rId6766" ref="L7735"/>
    <hyperlink r:id="rId6767" ref="L7736"/>
    <hyperlink r:id="rId6768" ref="L7737"/>
    <hyperlink r:id="rId6769" ref="L7738"/>
    <hyperlink r:id="rId6770" ref="L7739"/>
    <hyperlink r:id="rId6771" ref="L7740"/>
    <hyperlink r:id="rId6772" ref="L7741"/>
    <hyperlink r:id="rId6773" ref="L7742"/>
    <hyperlink r:id="rId6774" ref="L7743"/>
    <hyperlink r:id="rId6775" ref="L7744"/>
    <hyperlink r:id="rId6776" ref="L7745"/>
    <hyperlink r:id="rId6777" ref="L7746"/>
    <hyperlink r:id="rId6778" ref="L7747"/>
    <hyperlink r:id="rId6779" ref="L7748"/>
    <hyperlink r:id="rId6780" ref="L7749"/>
    <hyperlink r:id="rId6781" ref="L7750"/>
    <hyperlink r:id="rId6782" ref="L7751"/>
    <hyperlink r:id="rId6783" ref="L7752"/>
    <hyperlink r:id="rId6784" ref="L7753"/>
    <hyperlink r:id="rId6785" ref="L7754"/>
    <hyperlink r:id="rId6786" ref="L7755"/>
    <hyperlink r:id="rId6787" ref="L7756"/>
    <hyperlink r:id="rId6788" ref="L7757"/>
    <hyperlink r:id="rId6789" ref="L7758"/>
    <hyperlink r:id="rId6790" ref="L7759"/>
    <hyperlink r:id="rId6791" ref="L7760"/>
    <hyperlink r:id="rId6792" ref="L7761"/>
    <hyperlink r:id="rId6793" ref="L7762"/>
    <hyperlink r:id="rId6794" ref="L7763"/>
    <hyperlink r:id="rId6795" ref="L7764"/>
    <hyperlink r:id="rId6796" ref="L7765"/>
    <hyperlink r:id="rId6797" ref="L7766"/>
    <hyperlink r:id="rId6798" ref="L7767"/>
    <hyperlink r:id="rId6799" ref="L7768"/>
    <hyperlink r:id="rId6800" ref="L7769"/>
    <hyperlink r:id="rId6801" ref="L7770"/>
    <hyperlink r:id="rId6802" ref="L7771"/>
    <hyperlink r:id="rId6803" ref="L7772"/>
    <hyperlink r:id="rId6804" ref="L7773"/>
    <hyperlink r:id="rId6805" ref="L7774"/>
    <hyperlink r:id="rId6806" ref="L7775"/>
    <hyperlink r:id="rId6807" ref="L7776"/>
    <hyperlink r:id="rId6808" ref="L7777"/>
    <hyperlink r:id="rId6809" ref="L7778"/>
    <hyperlink r:id="rId6810" ref="L7779"/>
    <hyperlink r:id="rId6811" ref="L7780"/>
    <hyperlink r:id="rId6812" ref="L7781"/>
    <hyperlink r:id="rId6813" ref="L7782"/>
    <hyperlink r:id="rId6814" ref="L7783"/>
    <hyperlink r:id="rId6815" ref="L7784"/>
    <hyperlink r:id="rId6816" ref="L7785"/>
    <hyperlink r:id="rId6817" ref="L7786"/>
    <hyperlink r:id="rId6818" ref="L7787"/>
    <hyperlink r:id="rId6819" ref="L7788"/>
    <hyperlink r:id="rId6820" ref="L7789"/>
    <hyperlink r:id="rId6821" ref="L7790"/>
    <hyperlink r:id="rId6822" ref="L7791"/>
    <hyperlink r:id="rId6823" ref="L7792"/>
    <hyperlink r:id="rId6824" ref="L7793"/>
    <hyperlink r:id="rId6825" ref="L7794"/>
    <hyperlink r:id="rId6826" ref="L7795"/>
    <hyperlink r:id="rId6827" ref="L7796"/>
    <hyperlink r:id="rId6828" ref="L7797"/>
    <hyperlink r:id="rId6829" ref="L7798"/>
    <hyperlink r:id="rId6830" ref="L7799"/>
    <hyperlink r:id="rId6831" ref="L7800"/>
    <hyperlink r:id="rId6832" ref="L7801"/>
    <hyperlink r:id="rId6833" ref="L7802"/>
    <hyperlink r:id="rId6834" ref="L7803"/>
    <hyperlink r:id="rId6835" ref="L7804"/>
    <hyperlink r:id="rId6836" ref="L7805"/>
    <hyperlink r:id="rId6837" ref="L7806"/>
    <hyperlink r:id="rId6838" ref="L7807"/>
    <hyperlink r:id="rId6839" ref="L7808"/>
    <hyperlink r:id="rId6840" ref="L7809"/>
    <hyperlink r:id="rId6841" ref="L7810"/>
    <hyperlink r:id="rId6842" ref="L7811"/>
    <hyperlink r:id="rId6843" ref="L7812"/>
    <hyperlink r:id="rId6844" ref="L7813"/>
    <hyperlink r:id="rId6845" ref="L7814"/>
    <hyperlink r:id="rId6846" ref="L7815"/>
    <hyperlink r:id="rId6847" ref="L7816"/>
    <hyperlink r:id="rId6848" ref="L7817"/>
    <hyperlink r:id="rId6849" ref="L7818"/>
    <hyperlink r:id="rId6850" ref="L7819"/>
    <hyperlink r:id="rId6851" ref="L7820"/>
    <hyperlink r:id="rId6852" ref="L7821"/>
    <hyperlink r:id="rId6853" ref="L7822"/>
    <hyperlink r:id="rId6854" ref="L7823"/>
    <hyperlink r:id="rId6855" ref="L7824"/>
    <hyperlink r:id="rId6856" ref="L7825"/>
    <hyperlink r:id="rId6857" ref="L7826"/>
    <hyperlink r:id="rId6858" ref="L7827"/>
    <hyperlink r:id="rId6859" ref="L7828"/>
    <hyperlink r:id="rId6860" ref="L7829"/>
    <hyperlink r:id="rId6861" ref="L7830"/>
    <hyperlink r:id="rId6862" ref="L7831"/>
    <hyperlink r:id="rId6863" ref="L7832"/>
    <hyperlink r:id="rId6864" ref="L7833"/>
    <hyperlink r:id="rId6865" ref="L7834"/>
    <hyperlink r:id="rId6866" ref="L7835"/>
    <hyperlink r:id="rId6867" ref="L7836"/>
    <hyperlink r:id="rId6868" ref="L7837"/>
    <hyperlink r:id="rId6869" ref="L7838"/>
    <hyperlink r:id="rId6870" ref="L7839"/>
    <hyperlink r:id="rId6871" ref="L7840"/>
    <hyperlink r:id="rId6872" ref="L7841"/>
    <hyperlink r:id="rId6873" ref="L7842"/>
    <hyperlink r:id="rId6874" ref="L7843"/>
    <hyperlink r:id="rId6875" ref="L7844"/>
    <hyperlink r:id="rId6876" ref="L7845"/>
    <hyperlink r:id="rId6877" ref="L7846"/>
    <hyperlink r:id="rId6878" ref="L7847"/>
    <hyperlink r:id="rId6879" ref="L7848"/>
    <hyperlink r:id="rId6880" ref="L7849"/>
    <hyperlink r:id="rId6881" ref="L7850"/>
    <hyperlink r:id="rId6882" ref="L7851"/>
    <hyperlink r:id="rId6883" ref="L7852"/>
    <hyperlink r:id="rId6884" ref="L7853"/>
    <hyperlink r:id="rId6885" ref="L7854"/>
    <hyperlink r:id="rId6886" ref="L7855"/>
    <hyperlink r:id="rId6887" ref="L7856"/>
    <hyperlink r:id="rId6888" ref="L7857"/>
    <hyperlink r:id="rId6889" ref="L7858"/>
    <hyperlink r:id="rId6890" ref="L7859"/>
    <hyperlink r:id="rId6891" ref="L7860"/>
    <hyperlink r:id="rId6892" ref="L7861"/>
    <hyperlink r:id="rId6893" ref="L7862"/>
    <hyperlink r:id="rId6894" ref="L7863"/>
    <hyperlink r:id="rId6895" ref="L7864"/>
    <hyperlink r:id="rId6896" ref="L7865"/>
    <hyperlink r:id="rId6897" ref="L7866"/>
    <hyperlink r:id="rId6898" ref="L7867"/>
    <hyperlink r:id="rId6899" ref="L7868"/>
    <hyperlink r:id="rId6900" ref="L7869"/>
    <hyperlink r:id="rId6901" ref="L7870"/>
    <hyperlink r:id="rId6902" ref="L7871"/>
    <hyperlink r:id="rId6903" ref="L7872"/>
    <hyperlink r:id="rId6904" ref="L7873"/>
    <hyperlink r:id="rId6905" ref="L7874"/>
    <hyperlink r:id="rId6906" ref="L7875"/>
    <hyperlink r:id="rId6907" ref="L7876"/>
    <hyperlink r:id="rId6908" ref="L7877"/>
    <hyperlink r:id="rId6909" ref="L7878"/>
    <hyperlink r:id="rId6910" ref="L7879"/>
    <hyperlink r:id="rId6911" ref="L7880"/>
    <hyperlink r:id="rId6912" ref="L7881"/>
    <hyperlink r:id="rId6913" ref="L7882"/>
    <hyperlink r:id="rId6914" ref="L7883"/>
    <hyperlink r:id="rId6915" ref="L7884"/>
    <hyperlink r:id="rId6916" ref="L7885"/>
    <hyperlink r:id="rId6917" ref="L7886"/>
    <hyperlink r:id="rId6918" ref="L7887"/>
    <hyperlink r:id="rId6919" ref="L7888"/>
    <hyperlink r:id="rId6920" ref="L7889"/>
    <hyperlink r:id="rId6921" ref="L7890"/>
    <hyperlink r:id="rId6922" ref="L7891"/>
    <hyperlink r:id="rId6923" ref="L7892"/>
    <hyperlink r:id="rId6924" ref="L7893"/>
    <hyperlink r:id="rId6925" ref="L7894"/>
    <hyperlink r:id="rId6926" ref="L7895"/>
    <hyperlink r:id="rId6927" ref="L7896"/>
    <hyperlink r:id="rId6928" ref="L7897"/>
    <hyperlink r:id="rId6929" ref="L7898"/>
    <hyperlink r:id="rId6930" ref="L7899"/>
    <hyperlink r:id="rId6931" ref="L7900"/>
    <hyperlink r:id="rId6932" ref="L7901"/>
    <hyperlink r:id="rId6933" ref="L7902"/>
    <hyperlink r:id="rId6934" ref="L7903"/>
    <hyperlink r:id="rId6935" ref="L7904"/>
    <hyperlink r:id="rId6936" ref="L7905"/>
    <hyperlink r:id="rId6937" ref="L7906"/>
    <hyperlink r:id="rId6938" ref="L7907"/>
    <hyperlink r:id="rId6939" ref="L7908"/>
    <hyperlink r:id="rId6940" ref="L7909"/>
    <hyperlink r:id="rId6941" ref="L7910"/>
    <hyperlink r:id="rId6942" ref="L7911"/>
    <hyperlink r:id="rId6943" ref="L7912"/>
    <hyperlink r:id="rId6944" ref="L7913"/>
    <hyperlink r:id="rId6945" ref="L7914"/>
    <hyperlink r:id="rId6946" ref="L7915"/>
    <hyperlink r:id="rId6947" ref="L7916"/>
    <hyperlink r:id="rId6948" ref="L7917"/>
    <hyperlink r:id="rId6949" ref="L7918"/>
    <hyperlink r:id="rId6950" ref="L7919"/>
    <hyperlink r:id="rId6951" ref="L7920"/>
    <hyperlink r:id="rId6952" ref="L7921"/>
    <hyperlink r:id="rId6953" ref="L7922"/>
    <hyperlink r:id="rId6954" ref="L7923"/>
    <hyperlink r:id="rId6955" ref="L7924"/>
    <hyperlink r:id="rId6956" ref="L7925"/>
    <hyperlink r:id="rId6957" ref="L7926"/>
    <hyperlink r:id="rId6958" ref="L7927"/>
    <hyperlink r:id="rId6959" ref="L7928"/>
    <hyperlink r:id="rId6960" ref="L7929"/>
    <hyperlink r:id="rId6961" ref="L7930"/>
    <hyperlink r:id="rId6962" ref="L7931"/>
    <hyperlink r:id="rId6963" ref="L7932"/>
    <hyperlink r:id="rId6964" ref="L7933"/>
    <hyperlink r:id="rId6965" ref="L7934"/>
    <hyperlink r:id="rId6966" ref="L7935"/>
    <hyperlink r:id="rId6967" ref="L7936"/>
    <hyperlink r:id="rId6968" ref="L7937"/>
    <hyperlink r:id="rId6969" ref="L7938"/>
    <hyperlink r:id="rId6970" ref="L7939"/>
    <hyperlink r:id="rId6971" ref="L7940"/>
    <hyperlink r:id="rId6972" ref="L7941"/>
    <hyperlink r:id="rId6973" ref="L7942"/>
    <hyperlink r:id="rId6974" ref="L7943"/>
    <hyperlink r:id="rId6975" ref="L7944"/>
    <hyperlink r:id="rId6976" ref="L7945"/>
    <hyperlink r:id="rId6977" ref="L7946"/>
    <hyperlink r:id="rId6978" ref="L7947"/>
    <hyperlink r:id="rId6979" ref="L7948"/>
    <hyperlink r:id="rId6980" ref="L7949"/>
    <hyperlink r:id="rId6981" ref="L7950"/>
    <hyperlink r:id="rId6982" ref="L7951"/>
    <hyperlink r:id="rId6983" ref="L7952"/>
    <hyperlink r:id="rId6984" ref="L7953"/>
    <hyperlink r:id="rId6985" ref="L7954"/>
    <hyperlink r:id="rId6986" ref="L7955"/>
    <hyperlink r:id="rId6987" ref="L7956"/>
    <hyperlink r:id="rId6988" ref="L7957"/>
    <hyperlink r:id="rId6989" ref="L7958"/>
    <hyperlink r:id="rId6990" ref="L7959"/>
    <hyperlink r:id="rId6991" ref="L7960"/>
    <hyperlink r:id="rId6992" ref="L7961"/>
    <hyperlink r:id="rId6993" ref="L7962"/>
    <hyperlink r:id="rId6994" ref="L7963"/>
    <hyperlink r:id="rId6995" ref="L7964"/>
    <hyperlink r:id="rId6996" ref="L7965"/>
    <hyperlink r:id="rId6997" ref="L7966"/>
    <hyperlink r:id="rId6998" ref="L7967"/>
    <hyperlink r:id="rId6999" ref="L7968"/>
    <hyperlink r:id="rId7000" ref="L7969"/>
    <hyperlink r:id="rId7001" ref="L7970"/>
    <hyperlink r:id="rId7002" ref="L7971"/>
    <hyperlink r:id="rId7003" ref="L7972"/>
    <hyperlink r:id="rId7004" ref="L7973"/>
    <hyperlink r:id="rId7005" ref="L7974"/>
    <hyperlink r:id="rId7006" ref="L7975"/>
    <hyperlink r:id="rId7007" ref="L7976"/>
    <hyperlink r:id="rId7008" ref="L7977"/>
  </hyperlinks>
  <drawing r:id="rId7009"/>
</worksheet>
</file>